
<file path=[Content_Types].xml><?xml version="1.0" encoding="utf-8"?>
<Types xmlns="http://schemas.openxmlformats.org/package/2006/content-types">
  <Default ContentType="application/vnd.openxmlformats-officedocument.spreadsheetml.printerSettings" Extension="bin"/>
  <Default ContentType="image/gif" Extension="gif"/>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ms-excel.controlproperties+xml" PartName="/xl/ctrlProps/ctrlProp1.xml"/>
  <Override ContentType="application/vnd.ms-excel.controlproperties+xml" PartName="/xl/ctrlProps/ctrlProp2.xml"/>
  <Override ContentType="application/vnd.ms-excel.controlproperties+xml" PartName="/xl/ctrlProps/ctrlProp3.xml"/>
  <Override ContentType="application/vnd.ms-excel.controlproperties+xml" PartName="/xl/ctrlProps/ctrlProp4.xml"/>
  <Override ContentType="application/vnd.ms-excel.controlproperties+xml" PartName="/xl/ctrlProps/ctrlProp5.xml"/>
  <Override ContentType="application/vnd.ms-excel.controlproperties+xml" PartName="/xl/ctrlProps/ctrlProp6.xml"/>
  <Override ContentType="application/vnd.ms-excel.controlproperties+xml" PartName="/xl/ctrlProps/ctrlProp7.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bookViews>
    <workbookView xWindow="60" yWindow="1845" windowWidth="15300" windowHeight="4050" tabRatio="856" firstSheet="1" activeTab="1"/>
  </bookViews>
  <sheets>
    <sheet name="__FDSCACHE__" sheetId="315" state="veryHidden" r:id="rId1"/>
    <sheet name="ImportantDisclosures" sheetId="356" r:id="rId2"/>
    <sheet name="Cover" sheetId="342" r:id="rId3"/>
    <sheet name="Income Statement" sheetId="2" r:id="rId4"/>
    <sheet name="MW-Cache" sheetId="283" state="veryHidden" r:id="rId5"/>
    <sheet name="Revenue Model" sheetId="329" r:id="rId6"/>
    <sheet name="Balance Sheet" sheetId="3" r:id="rId7"/>
    <sheet name="Cash Flow" sheetId="4" r:id="rId8"/>
    <sheet name="IndexInformation" sheetId="357" r:id="rId9"/>
    <sheet name="ModPubIndex" sheetId="358" r:id="rId10"/>
  </sheets>
  <definedNames>
    <definedName name="__FDS_HYPERLINK_TOGGLE_STATE__" hidden="1">"ON"</definedName>
    <definedName name="__FDS_UNIQUE_RANGE_ID_GENERATOR_COUNTER" hidden="1">1</definedName>
    <definedName name="__FDS_USED_FOR_REUSING_RANGE_IDS_RECYCLE" hidden="1">{1,1,1,1,1,1,1,1,1,1,1,1,1,1,1,1,1,1,1,1,1,1,1,1,1,1,1,1,1,1}</definedName>
    <definedName name="_bdm.0151FD0BC0224A06B4E2EEF93BC47F70.edm" localSheetId="3" hidden="1">'Income Statement'!$B$5:$EN$74</definedName>
    <definedName name="_bdm.0151FD0BC0224A06B4E2EEF93BC47F70.edm" localSheetId="5" hidden="1">'Revenue Model'!$F$4:$EN$5</definedName>
    <definedName name="_bdm.01D90891D7784E8FAF0E29AD737A0B5F.edm" localSheetId="6" hidden="1">'Balance Sheet'!$A$5:$EK$44</definedName>
    <definedName name="_bdm.05216C1D8135487BB9E7DF4FCD9C158B.edm" localSheetId="3" hidden="1">'Income Statement'!$B$5:$EL$74</definedName>
    <definedName name="_bdm.05216C1D8135487BB9E7DF4FCD9C158B.edm" localSheetId="5" hidden="1">'Revenue Model'!$F$4:$EL$5</definedName>
    <definedName name="_bdm.05D0A3FAF6C34704BE3C429C050B5283.edm" localSheetId="6" hidden="1">'Balance Sheet'!$A$5:$EA$109</definedName>
    <definedName name="_bdm.07020157FAE14A0EA3B277D39FEA0588.edm" localSheetId="3" hidden="1">'Income Statement'!$A$4:$EL$74</definedName>
    <definedName name="_bdm.07020157FAE14A0EA3B277D39FEA0588.edm" localSheetId="5" hidden="1">'Revenue Model'!$A$3:$EL$5</definedName>
    <definedName name="_bdm.11A4CFC4D73F45D795A47E223FAE483C.edm" localSheetId="6" hidden="1">'Balance Sheet'!$A$3:$DZ$98</definedName>
    <definedName name="_bdm.24BADF14C9C249239963BB73186D5CF5.edm" localSheetId="7" hidden="1">'Cash Flow'!$A$5:$DZ$98</definedName>
    <definedName name="_bdm.25F6988EA77840BDAA46124299ACA866.edm" localSheetId="6" hidden="1">'Balance Sheet'!$A$5:$EA$127</definedName>
    <definedName name="_bdm.2DDCB2FC2514445BBA75ECD5D9D1DF99.edm" localSheetId="5" hidden="1">'Revenue Model'!$A$5:$EX$413</definedName>
    <definedName name="_bdm.2E2DBA1766C344F9A5D7FBBCEDAEF94B.edm" hidden="1">'Balance Sheet'!$1:$1048576</definedName>
    <definedName name="_bdm.352A798A36AB43868459AC5A91E7B85E.edm" localSheetId="6" hidden="1">'Balance Sheet'!$A$5:$DZ$84</definedName>
    <definedName name="_bdm.3D8F5CC3A3B94F37A84891C4F8543D62.edm" localSheetId="3" hidden="1">'Income Statement'!$B$5:$EL$74</definedName>
    <definedName name="_bdm.3D8F5CC3A3B94F37A84891C4F8543D62.edm" localSheetId="5" hidden="1">'Revenue Model'!$F$4:$EL$5</definedName>
    <definedName name="_bdm.418B8522EA9C47F2A4232958EFFAF9E0.edm" localSheetId="6" hidden="1">'Balance Sheet'!$A$5:$DZ$98</definedName>
    <definedName name="_bdm.4459365E1D964F379491B01F4EA54D58.edm" localSheetId="7" hidden="1">'Cash Flow'!$A$5:$EK$64</definedName>
    <definedName name="_bdm.4DDB5B1E64D0406E8300B220F103CFB8.edm" localSheetId="6" hidden="1">'Balance Sheet'!$A$5:$EB$98</definedName>
    <definedName name="_bdm.51C9EE0390D948078E8D990697576255.edm" localSheetId="6" hidden="1">'Balance Sheet'!$A$5:$DZ$98</definedName>
    <definedName name="_bdm.538561655370499894C6133AE8742B0A.edm" localSheetId="3" hidden="1">'Income Statement'!$A$6:$EL$74</definedName>
    <definedName name="_bdm.538561655370499894C6133AE8742B0A.edm" localSheetId="5" hidden="1">'Revenue Model'!$A$5:$EL$5</definedName>
    <definedName name="_bdm.5EBF3C814FBA414BA6E680CAF1ABC421.edm" hidden="1">'Cash Flow'!$1:$1048576</definedName>
    <definedName name="_bdm.62999C189A464BF2830D9612AEFAEF39.edm" localSheetId="5" hidden="1">'Revenue Model'!$A$5:$EX$391</definedName>
    <definedName name="_bdm.62E4712416D24C578ADD86CAF42B443E.edm" localSheetId="6" hidden="1">'Balance Sheet'!$B$3:$DZ$98</definedName>
    <definedName name="_bdm.6B92D29C1BD54E8082C5215A1186E55A.edm" localSheetId="6" hidden="1">'Balance Sheet'!$B$4:$DZ$98</definedName>
    <definedName name="_bdm.6BD96667564F412AB7A319F993B4A5A8.edm" localSheetId="7" hidden="1">'Cash Flow'!$B$3:$DY$65</definedName>
    <definedName name="_bdm.76034EF93B4E460DB1ED1C25CF282B8B.edm" localSheetId="3" hidden="1">'Income Statement'!$B$5:$EL$74</definedName>
    <definedName name="_bdm.76034EF93B4E460DB1ED1C25CF282B8B.edm" localSheetId="5" hidden="1">'Revenue Model'!$F$4:$EL$5</definedName>
    <definedName name="_bdm.78BA51B6A7D84DFD84F6B4A6D580BCBE.edm" localSheetId="3" hidden="1">'Income Statement'!$B$5:$EM$74</definedName>
    <definedName name="_bdm.78BA51B6A7D84DFD84F6B4A6D580BCBE.edm" localSheetId="5" hidden="1">'Revenue Model'!$F$4:$EM$5</definedName>
    <definedName name="_bdm.83FC24CFD5F14C1BBDBCCE9155EBACCD.edm" localSheetId="3" hidden="1">'Income Statement'!$B$4:$EL$74</definedName>
    <definedName name="_bdm.83FC24CFD5F14C1BBDBCCE9155EBACCD.edm" localSheetId="5" hidden="1">'Revenue Model'!$F$3:$EL$5</definedName>
    <definedName name="_bdm.8721DA7B35D34091ABA4C832167A8D26.edm" localSheetId="3" hidden="1">'Income Statement'!$B$4:$EL$74</definedName>
    <definedName name="_bdm.8721DA7B35D34091ABA4C832167A8D26.edm" localSheetId="5" hidden="1">'Revenue Model'!$F$3:$EL$5</definedName>
    <definedName name="_bdm.938E0B4BAD144023A60DE482413A1F57.edm" localSheetId="7" hidden="1">'Cash Flow'!$A$3:$DZ$98</definedName>
    <definedName name="_bdm.A24FB2F4FB1C48118135526395FBCB73.edm" localSheetId="3" hidden="1">'Income Statement'!$B$5:$EM$74</definedName>
    <definedName name="_bdm.A24FB2F4FB1C48118135526395FBCB73.edm" localSheetId="5" hidden="1">'Revenue Model'!$F$4:$EM$5</definedName>
    <definedName name="_bdm.AEB5B97FFC2044C18A0FBE8398D14199.edm" localSheetId="7" hidden="1">'Cash Flow'!$B$3:$DY$64</definedName>
    <definedName name="_bdm.B179D5B545DE40388E38D01C22FB60ED.edm" localSheetId="7" hidden="1">'Cash Flow'!$B$3:$DZ$64</definedName>
    <definedName name="_bdm.B82677AC05DD4DF08697953CF134DB57.edm" localSheetId="3" hidden="1">'Income Statement'!$B$4:$EK$74</definedName>
    <definedName name="_bdm.B82677AC05DD4DF08697953CF134DB57.edm" localSheetId="5" hidden="1">'Revenue Model'!$F$3:$EK$5</definedName>
    <definedName name="_bdm.B971FC4B4E5D42609073EC716CDD22DB.edm" localSheetId="3" hidden="1">'Income Statement'!$A$5:$EM$74</definedName>
    <definedName name="_bdm.B971FC4B4E5D42609073EC716CDD22DB.edm" localSheetId="5" hidden="1">'Revenue Model'!$A$4:$EM$5</definedName>
    <definedName name="_bdm.C456B93F1F514AD1A1D162FB5DE8947F.edm" hidden="1">'Revenue Model'!$1:$1048576</definedName>
    <definedName name="_bdm.C4FF17BDFCF44D8D94D33E2D5A21E4EF.edm" localSheetId="3" hidden="1">'Income Statement'!$A$6:$EL$74</definedName>
    <definedName name="_bdm.C4FF17BDFCF44D8D94D33E2D5A21E4EF.edm" localSheetId="5" hidden="1">'Revenue Model'!$A$5:$EL$5</definedName>
    <definedName name="_bdm.C55E834F6E3E4D2891B610EC4ECC4CA4.edm" hidden="1">'Income Statement'!$1:$1048576</definedName>
    <definedName name="_bdm.C6C84A80990B48ABA0FE2DF880ED2E78.edm" localSheetId="3" hidden="1">'Income Statement'!$A$6:$EN$74</definedName>
    <definedName name="_bdm.C6C84A80990B48ABA0FE2DF880ED2E78.edm" localSheetId="5" hidden="1">'Revenue Model'!$A$5:$EN$5</definedName>
    <definedName name="_bdm.CFE6E3EB10354B7897E25FAFD694E00A.edm" localSheetId="6" hidden="1">'Balance Sheet'!$B$4:$DZ$98</definedName>
    <definedName name="_bdm.D8A5C78AAF8343E3A35D1D5EB191C857.edm" localSheetId="7" hidden="1">'Cash Flow'!$A$5:$EB$98</definedName>
    <definedName name="_bdm.E5A56400BF3D43DFB8B2E1319B322AAF.edm" localSheetId="3" hidden="1">'Income Statement'!$A$6:$EM$74</definedName>
    <definedName name="_bdm.E5A56400BF3D43DFB8B2E1319B322AAF.edm" localSheetId="5" hidden="1">'Revenue Model'!$A$5:$EM$5</definedName>
    <definedName name="_bdm.E68CF800179E4D50B058D92FD124EE6C.edm" localSheetId="6" hidden="1">'Balance Sheet'!$A$5:$EB$98</definedName>
    <definedName name="_bdm.E6EF10E9FE5342DCA19F8A87F50DF4F3.edm" localSheetId="3" hidden="1">'Income Statement'!$A$6:$EX$51</definedName>
    <definedName name="_bdm.ECAA265A5FD04694BB1AAAC7E085D690.edm" localSheetId="6" hidden="1">'Balance Sheet'!$A$5:$EB$98</definedName>
    <definedName name="_bdm.ECF151C452AE4F20989F9E36F99B3B6E.edm" localSheetId="7" hidden="1">'Cash Flow'!$A$5:$EA$98</definedName>
    <definedName name="_bdm.EFAB5B26D20E4C189BA4784BE291109D.edm" localSheetId="3" hidden="1">'Income Statement'!$B$5:$EP$51</definedName>
    <definedName name="_bdm.F1F3F10B0FCA43DB9B51734B34647D72.edm" localSheetId="6" hidden="1">'Balance Sheet'!$A$5:$EA$98</definedName>
    <definedName name="_bdm.F4BD9C4CAECE49C8BD8B4289BED9CDC6.edm" localSheetId="5" hidden="1">'Revenue Model'!$F$4:$EP$413</definedName>
    <definedName name="_bdm.F72C0C5ACD9C479D856724082CFA82E8.edm" localSheetId="6" hidden="1">'Balance Sheet'!$B$3:$DY$127</definedName>
    <definedName name="_bdm.FA1A45C57E22437FBF5DB926F5360F8B.edm" localSheetId="3" hidden="1">'Income Statement'!$B$4:$EK$74</definedName>
    <definedName name="_bdm.FA1A45C57E22437FBF5DB926F5360F8B.edm" localSheetId="5" hidden="1">'Revenue Model'!$F$3:$EK$5</definedName>
    <definedName name="_Order1" hidden="1">255</definedName>
    <definedName name="AdditionalInstructions">IndexInformation!$B$42</definedName>
    <definedName name="Address" localSheetId="1">ImportantDisclosures!$A$2:$A$2</definedName>
    <definedName name="ANA" localSheetId="9">ModPubIndex!$A$7</definedName>
    <definedName name="anscount" hidden="1">1</definedName>
    <definedName name="AssetsCurrentAccountsReceivableAllowance">0</definedName>
    <definedName name="AssetsCurrentAccountsReceivableGross">0</definedName>
    <definedName name="AssetsCurrentDeferredIncomeTaxes">0</definedName>
    <definedName name="AssetsCurrentOther">0</definedName>
    <definedName name="AssetsCurrentPrepaidExpens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thors" localSheetId="1">ImportantDisclosures!$A$7</definedName>
    <definedName name="Authors" localSheetId="8">IndexInformation!$B$18</definedName>
    <definedName name="BRO" localSheetId="9">ModPubIndex!$A$1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onsolidated_Income_Statement">"A1AnnIS"</definedName>
    <definedName name="CopyrightStamp">ImportantDisclosures!$A$27</definedName>
    <definedName name="COU" localSheetId="9">ModPubIndex!$A$5</definedName>
    <definedName name="CQEnd" localSheetId="8">IndexInformation!$B$31</definedName>
    <definedName name="Currency" localSheetId="8">IndexInformation!$B$24</definedName>
    <definedName name="CurrentStockPrice" localSheetId="8">IndexInformation!$B$23</definedName>
    <definedName name="CurrQtrEPS" localSheetId="8">IndexInformation!$B$29</definedName>
    <definedName name="CurrYearEPS" localSheetId="8">IndexInformation!$B$11</definedName>
    <definedName name="CurrYearTotalRevenue" localSheetId="8">IndexInformation!$B$10</definedName>
    <definedName name="CurrYearTotalRevenueActual" localSheetId="8">IndexInformation!$B$32</definedName>
    <definedName name="CUSIP" localSheetId="8">IndexInformation!$B$20</definedName>
    <definedName name="CYEnd" localSheetId="8">IndexInformation!$B$30</definedName>
    <definedName name="Date" localSheetId="1">ImportantDisclosures!$A$8</definedName>
    <definedName name="Deleted" localSheetId="8">IndexInformation!$B$27</definedName>
    <definedName name="Description" localSheetId="8">IndexInformation!$B$7</definedName>
    <definedName name="DEVELOPMENT">5</definedName>
    <definedName name="Discipline" localSheetId="8">IndexInformation!$B$3</definedName>
    <definedName name="DISCIPLINE" localSheetId="9">ModPubIndex!$A$12</definedName>
    <definedName name="DisclosuresText">ImportantDisclosures!$A$22</definedName>
    <definedName name="Distribution" localSheetId="8">IndexInformation!$B$26</definedName>
    <definedName name="DistTable" localSheetId="1">ImportantDisclosures!#REF!</definedName>
    <definedName name="DistTablePreamble" localSheetId="1">ImportantDisclosures!#REF!</definedName>
    <definedName name="DOCDAT" localSheetId="9">ModPubIndex!$A$2</definedName>
    <definedName name="DOCTIME" localSheetId="9">ModPubIndex!$A$3</definedName>
    <definedName name="DocType" localSheetId="8">IndexInformation!$B$5</definedName>
    <definedName name="EMAIL_ALERT" localSheetId="9">ModPubIndex!$A$10</definedName>
    <definedName name="EmailAlert" localSheetId="8">IndexInformation!$B$28</definedName>
    <definedName name="EquityAdjustments">0</definedName>
    <definedName name="EquityOther">0</definedName>
    <definedName name="EquityPaidInCapital">0</definedName>
    <definedName name="EquityTreasuryStock">0</definedName>
    <definedName name="ev.Calculation" hidden="1">-4105</definedName>
    <definedName name="ev.Initialized" hidden="1">FALSE</definedName>
    <definedName name="FiveYearGrowthRate" localSheetId="8">IndexInformation!$B$16</definedName>
    <definedName name="fmv_04" localSheetId="2">{"Client Name or Project Name"}</definedName>
    <definedName name="fmv_04">{"Client Name or Project Name"}</definedName>
    <definedName name="FollowingYearEPS" localSheetId="8">IndexInformation!$B$15</definedName>
    <definedName name="FollowingYearTotalRevenue" localSheetId="8">IndexInformation!$B$14</definedName>
    <definedName name="FollowingYearTotalRevenueActual" localSheetId="8">IndexInformation!$B$34</definedName>
    <definedName name="High_Ratio">" 100+"</definedName>
    <definedName name="HL" localSheetId="9">ModPubIndex!$A$8</definedName>
    <definedName name="hn.ExtDb" hidden="1">FALSE</definedName>
    <definedName name="hn.ModelType" hidden="1">"DEAL"</definedName>
    <definedName name="hn.ModelVersion" hidden="1">1</definedName>
    <definedName name="hn.NoUpload" hidden="1">0</definedName>
    <definedName name="HTML_CodePage" hidden="1">1252</definedName>
    <definedName name="HTML_Control" localSheetId="2" hidden="1">{"'Breakup 01 Euro'!$A$3:$I$30"}</definedName>
    <definedName name="HTML_Control" localSheetId="5" hidden="1">{"'Breakup 01 Euro'!$A$3:$I$30"}</definedName>
    <definedName name="HTML_Control" hidden="1">{"'Breakup 01 Euro'!$A$3:$I$30"}</definedName>
    <definedName name="HTML_Description" hidden="1">""</definedName>
    <definedName name="HTML_Email" hidden="1">""</definedName>
    <definedName name="HTML_Header" hidden="1">"Breakup 01 Euro"</definedName>
    <definedName name="HTML_LastUpdate" hidden="1">"27/02/2001"</definedName>
    <definedName name="HTML_LineAfter" hidden="1">FALSE</definedName>
    <definedName name="HTML_LineBefore" hidden="1">FALSE</definedName>
    <definedName name="HTML_Name" hidden="1">"jonasa"</definedName>
    <definedName name="HTML_OBDlg2" hidden="1">TRUE</definedName>
    <definedName name="HTML_OBDlg4" hidden="1">TRUE</definedName>
    <definedName name="HTML_OS" hidden="1">0</definedName>
    <definedName name="HTML_PathFile" hidden="1">"L:\AUTOS\XLDATA\Jonas\other\DCX_Sop.htm"</definedName>
    <definedName name="HTML_Title" hidden="1">"DAIC-INC"</definedName>
    <definedName name="Img_ML_7g5e5e2b" hidden="1">"IMG_12"</definedName>
    <definedName name="in_millions__expect_per_share_data">"QtlyErngsBook_AnnIS"</definedName>
    <definedName name="IncomeEPSFullyDiluted">0</definedName>
    <definedName name="IncomeEPSPrimary">0</definedName>
    <definedName name="IncomeEPSRegular">0</definedName>
    <definedName name="IND" localSheetId="9">ModPubIndex!$A$9</definedName>
    <definedName name="Industry" localSheetId="1">ImportantDisclosures!$A$12</definedName>
    <definedName name="IndustryId">IndexInformation!$B$40</definedName>
    <definedName name="IndustryRating" localSheetId="1">ImportantDisclosures!$A$13</definedName>
    <definedName name="iQShowHideColumns">"iQShowAll"</definedName>
    <definedName name="KeepVersions" localSheetId="8">IndexInformation!$B$8</definedName>
    <definedName name="LanguageCode">IndexInformation!$B$38</definedName>
    <definedName name="LastCell" localSheetId="1">ImportantDisclosures!$A$22</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2">'Income Statement'!$A$2:$EZ$115</definedName>
    <definedName name="Linking_3">'Income Statement'!$A$5:$FA$115</definedName>
    <definedName name="Linking_4">'Income Statement'!$A$2:$FA$116</definedName>
    <definedName name="Linking_7">'Income Statement'!$A$2:$FB$116</definedName>
    <definedName name="Linking_Range_10">'Income Statement'!$B$5:$EP$51</definedName>
    <definedName name="Linking_Range_11">'Balance Sheet'!$A$4:$EK$45</definedName>
    <definedName name="Linking_Range_12">'Balance Sheet'!$A$4:$EK$44</definedName>
    <definedName name="Linking_Range_13">'Cash Flow'!$A$4:$EK$64</definedName>
    <definedName name="Linking_Range_14">'Revenue Model'!$A$4:$EX$413</definedName>
    <definedName name="Linking_Range_26">'Income Statement'!$A$6:$EX$51</definedName>
    <definedName name="Linking_Range_27">'Income Statement'!$B$5:$ES$51</definedName>
    <definedName name="Linking_Range_28">'Balance Sheet'!$A$5:$EK$44</definedName>
    <definedName name="Linking_Range_29">'Cash Flow'!$A$5:$EK$64</definedName>
    <definedName name="Linking_Range_3">'Revenue Model'!$A$5:$EX$413</definedName>
    <definedName name="Linking_Range_30">'Revenue Model'!$A$5:$EX$391</definedName>
    <definedName name="Linking_Range_32">'Revenue Model'!$F$4:$ES$413</definedName>
    <definedName name="Linking_Range_36">'Income Statement'!$B$5:$EU$51</definedName>
    <definedName name="Linking_Range_37">'Revenue Model'!$F$4:$EU$413</definedName>
    <definedName name="Linking_Range_4">'Revenue Model'!$F$4:$EP$413</definedName>
    <definedName name="Linking_Range_46">'Revenue Model'!$F$4:$EU$413</definedName>
    <definedName name="Linking_Range_47">'Income Statement'!$A$2:$EX$141</definedName>
    <definedName name="Linking_Range_48">'Income Statement'!$A$2:$EY$141</definedName>
    <definedName name="Linking_Range_49">'Balance Sheet'!$A$1:$EK$97</definedName>
    <definedName name="Linking_Range_50">'Cash Flow'!$A$1:$EK$101</definedName>
    <definedName name="Linking_Range_51">'Income Statement'!$A$1:$EX$141</definedName>
    <definedName name="Linking_Range_52">'Income Statement'!$A$2:$EY$136</definedName>
    <definedName name="Linking_Range_53">'Income Statement'!$A$2:$EY$115</definedName>
    <definedName name="Linking_Range_9">'Income Statement'!$A$5:$EX$51</definedName>
    <definedName name="MacroVersion" localSheetId="8">IndexInformation!$B$1</definedName>
    <definedName name="ModelPrice" localSheetId="1">ImportantDisclosures!$A$14</definedName>
    <definedName name="Multiplier" localSheetId="8">IndexInformation!$B$35</definedName>
    <definedName name="NA">"  n/a "</definedName>
    <definedName name="new">{"Client Name or Project Name"}</definedName>
    <definedName name="NextYearEPS" localSheetId="8">IndexInformation!$B$13</definedName>
    <definedName name="NextYearTotalRevenue" localSheetId="8">IndexInformation!$B$12</definedName>
    <definedName name="NextYearTotalRevenueActual" localSheetId="8">IndexInformation!$B$33</definedName>
    <definedName name="NM">"NM"</definedName>
    <definedName name="Normalized_Income_Statement">"IS_Annual"</definedName>
    <definedName name="ObjectType">IndexInformation!$B$37</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ExEquityIncome">0</definedName>
    <definedName name="OtherExGainOnSale">0</definedName>
    <definedName name="OtherExInterestIncome">0</definedName>
    <definedName name="OtherExMinorityInterest">0</definedName>
    <definedName name="over_15_years">0.1</definedName>
    <definedName name="P_C_eta">364555.662947771</definedName>
    <definedName name="P_C_lambda">0</definedName>
    <definedName name="P_C_ol">245918.445065017</definedName>
    <definedName name="P_C_pi">30841.2775368761</definedName>
    <definedName name="P_C_sigma">0</definedName>
    <definedName name="P_C_TotAssets">937433.834135586</definedName>
    <definedName name="PANA" localSheetId="9">ModPubIndex!$A$11</definedName>
    <definedName name="PathName" localSheetId="8">IndexInformation!$B$25</definedName>
    <definedName name="_xlnm.Print_Area">#REF!</definedName>
    <definedName name="_xlnm.Print_Titles">#REF!</definedName>
    <definedName name="PRODUCT" localSheetId="9">ModPubIndex!$A$6</definedName>
    <definedName name="ProjectName" localSheetId="2">{"Client Name or Project Name"}</definedName>
    <definedName name="ProjectName" localSheetId="5">{"Client Name or Project Name"}</definedName>
    <definedName name="ProjectName">{"Client Name or Project Name"}</definedName>
    <definedName name="ProjectName_1" localSheetId="2">{"Client Name or Project Name"}</definedName>
    <definedName name="ProjectName_1">{"Client Name or Project Name"}</definedName>
    <definedName name="PSYM" localSheetId="9">ModPubIndex!$A$4</definedName>
    <definedName name="PublishDate" localSheetId="8">IndexInformation!$B$2</definedName>
    <definedName name="Rating" localSheetId="8">IndexInformation!$B$9</definedName>
    <definedName name="RatingsDefined" localSheetId="1">ImportantDisclosures!$A$21</definedName>
    <definedName name="RatingsDefs" localSheetId="1">ImportantDisclosures!#REF!</definedName>
    <definedName name="RegACDisclosure" localSheetId="1">ImportantDisclosures!#REF!</definedName>
    <definedName name="ResearchTopic" localSheetId="8">IndexInformation!$B$4</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IC" localSheetId="8">IndexInformation!$B$21</definedName>
    <definedName name="scenario">2</definedName>
    <definedName name="SecondROI" localSheetId="2">{"Client Name or Project Name"}</definedName>
    <definedName name="SecondROI">{"Client Name or Project Name"}</definedName>
    <definedName name="SECSettlement" localSheetId="1">ImportantDisclosures!#REF!</definedName>
    <definedName name="SEDOL" localSheetId="8">IndexInformation!$B$22</definedName>
    <definedName name="SharesConvertibleSecurities">0</definedName>
    <definedName name="SharesFullyDiluted">0</definedName>
    <definedName name="SharesOptions">0</definedName>
    <definedName name="SharesOutstandingOther">0</definedName>
    <definedName name="SharesOutstandingSenior">0</definedName>
    <definedName name="SharesOutstandingSubordinate">0</definedName>
    <definedName name="SharesPrimary">0</definedName>
    <definedName name="SharesWarrants">0</definedName>
    <definedName name="SourceDefined" localSheetId="1">ImportantDisclosures!$A$19</definedName>
    <definedName name="SPWS_WBID">"AB974E08-D2D4-47A3-BC27-DEDF1C76035D"</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tockRating" localSheetId="1">ImportantDisclosures!$A$11</definedName>
    <definedName name="SubjectCode" localSheetId="8">IndexInformation!$B$6</definedName>
    <definedName name="SubmitterUserId">IndexInformation!$B$39</definedName>
    <definedName name="SUPPRESSED" localSheetId="9">ModPubIndex!$A$13</definedName>
    <definedName name="TargetPrice" localSheetId="1">ImportantDisclosures!$A$15</definedName>
    <definedName name="TemplateRegion">IndexInformation!$B$36</definedName>
    <definedName name="ticker" localSheetId="2">Cover!$C$3</definedName>
    <definedName name="Ticker" localSheetId="1">ImportantDisclosures!$A$10</definedName>
    <definedName name="TickerRegion">IndexInformation!$B$41</definedName>
    <definedName name="Tickers" localSheetId="8">IndexInformation!$B$19</definedName>
    <definedName name="trc_XLS_DATASHEET_ProtectDate">36879.7503587963</definedName>
    <definedName name="trc_XLS_DATASHEET_ProtectDate_1">36879.7503587963</definedName>
    <definedName name="UpdateReason" localSheetId="8">IndexInformation!$B$17</definedName>
    <definedName name="USRegDisclosures" localSheetId="1">ImportantDisclosures!#REF!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s>
  <calcPr calcId="145621" iterate="1"/>
</workbook>
</file>

<file path=xl/calcChain.xml><?xml version="1.0" encoding="utf-8"?>
<calcChain xmlns="http://schemas.openxmlformats.org/spreadsheetml/2006/main">
  <c r="DJ179" i="2" l="1"/>
  <c r="DL192" i="2"/>
  <c r="DK192" i="2"/>
  <c r="DJ192" i="2"/>
  <c r="DM192" i="2"/>
  <c r="FA196" i="2" l="1"/>
  <c r="DM196" i="2"/>
  <c r="DL196" i="2"/>
  <c r="DK196" i="2"/>
  <c r="DJ196" i="2"/>
  <c r="FB192" i="2"/>
  <c r="FA192" i="2"/>
  <c r="FB186" i="2"/>
  <c r="FA186" i="2"/>
  <c r="DM186" i="2"/>
  <c r="DL186" i="2"/>
  <c r="DK186" i="2"/>
  <c r="DJ186" i="2"/>
  <c r="FB182" i="2"/>
  <c r="FA182" i="2"/>
  <c r="DM182" i="2"/>
  <c r="DL182" i="2"/>
  <c r="DK182" i="2"/>
  <c r="DJ182" i="2"/>
  <c r="FB184" i="2"/>
  <c r="FA184" i="2"/>
  <c r="FB180" i="2"/>
  <c r="FA180" i="2"/>
  <c r="DI27" i="2" l="1"/>
  <c r="CW40" i="3"/>
  <c r="DI7" i="2"/>
  <c r="EY7" i="2"/>
  <c r="EZ58" i="2"/>
  <c r="FC98" i="329"/>
  <c r="FD98" i="329" s="1"/>
  <c r="FE98" i="329" s="1"/>
  <c r="FF98" i="329" s="1"/>
  <c r="FG98" i="329" s="1"/>
  <c r="FH98" i="329" s="1"/>
  <c r="FB98" i="329"/>
  <c r="FA98" i="329"/>
  <c r="DM129" i="329"/>
  <c r="CW27" i="3"/>
  <c r="DI32" i="2" l="1"/>
  <c r="DI161" i="2"/>
  <c r="DI160" i="2"/>
  <c r="DI23" i="2"/>
  <c r="EY259" i="329"/>
  <c r="EY258" i="329"/>
  <c r="EY257" i="329"/>
  <c r="EY256" i="329"/>
  <c r="EY255" i="329"/>
  <c r="EY254" i="329"/>
  <c r="EY253" i="329"/>
  <c r="EY252" i="329"/>
  <c r="EY251" i="329"/>
  <c r="EY250" i="329"/>
  <c r="EY287" i="329"/>
  <c r="EY286" i="329"/>
  <c r="EY285" i="329"/>
  <c r="EY284" i="329"/>
  <c r="EY283" i="329"/>
  <c r="EY282" i="329"/>
  <c r="EY281" i="329"/>
  <c r="EY280" i="329"/>
  <c r="EY279" i="329"/>
  <c r="EY278" i="329"/>
  <c r="EX286" i="329"/>
  <c r="EX285" i="329"/>
  <c r="EX284" i="329"/>
  <c r="EX283" i="329"/>
  <c r="EX282" i="329"/>
  <c r="EX281" i="329"/>
  <c r="EX280" i="329"/>
  <c r="EX279" i="329"/>
  <c r="EX278" i="329"/>
  <c r="EX258" i="329"/>
  <c r="EX257" i="329"/>
  <c r="EX256" i="329"/>
  <c r="EX255" i="329"/>
  <c r="EX254" i="329"/>
  <c r="EX253" i="329"/>
  <c r="EX252" i="329"/>
  <c r="EX251" i="329"/>
  <c r="EX250" i="329"/>
  <c r="EL82" i="4" l="1"/>
  <c r="CW57" i="4"/>
  <c r="CW56" i="4"/>
  <c r="CW53" i="4"/>
  <c r="CW52" i="4"/>
  <c r="CW51" i="4"/>
  <c r="CW50" i="4"/>
  <c r="CW49" i="4"/>
  <c r="CW48" i="4"/>
  <c r="CW47" i="4"/>
  <c r="CW46" i="4"/>
  <c r="CW45" i="4"/>
  <c r="CW39" i="4"/>
  <c r="CW38" i="4"/>
  <c r="CW37" i="4"/>
  <c r="CW36" i="4"/>
  <c r="CW35" i="4"/>
  <c r="CW34" i="4"/>
  <c r="CW33" i="4"/>
  <c r="CW32" i="4"/>
  <c r="CW26" i="4"/>
  <c r="CW25" i="4"/>
  <c r="CW24" i="4"/>
  <c r="CW23" i="4"/>
  <c r="CW22" i="4"/>
  <c r="CW21" i="4"/>
  <c r="CW20" i="4"/>
  <c r="CW17" i="4"/>
  <c r="CW16" i="4"/>
  <c r="CW15" i="4"/>
  <c r="CW14" i="4"/>
  <c r="CW13" i="4"/>
  <c r="CW12" i="4"/>
  <c r="CW11" i="4"/>
  <c r="CW10" i="4"/>
  <c r="DI12" i="2" s="1"/>
  <c r="DI264" i="329"/>
  <c r="EY264" i="329" s="1"/>
  <c r="DI272" i="329"/>
  <c r="EY272" i="329" s="1"/>
  <c r="DI271" i="329"/>
  <c r="EY271" i="329" s="1"/>
  <c r="DI270" i="329"/>
  <c r="EY270" i="329" s="1"/>
  <c r="DI269" i="329"/>
  <c r="EY269" i="329" s="1"/>
  <c r="DI268" i="329"/>
  <c r="EY268" i="329" s="1"/>
  <c r="DI267" i="329"/>
  <c r="EY267" i="329" s="1"/>
  <c r="DI266" i="329"/>
  <c r="EY266" i="329" s="1"/>
  <c r="DI265" i="329"/>
  <c r="EY265" i="329" s="1"/>
  <c r="DI263" i="329"/>
  <c r="DI262" i="329"/>
  <c r="DI273" i="329" l="1"/>
  <c r="EY273" i="329" s="1"/>
  <c r="DJ1" i="2" l="1"/>
  <c r="DK1" i="2"/>
  <c r="DL1" i="2"/>
  <c r="DM1" i="2"/>
  <c r="CV42" i="3" l="1"/>
  <c r="DM111" i="329" l="1"/>
  <c r="DL111" i="329"/>
  <c r="DK111" i="329"/>
  <c r="DJ111" i="329"/>
  <c r="DJ137" i="329" s="1"/>
  <c r="DH295" i="329" l="1"/>
  <c r="DJ129" i="329" l="1"/>
  <c r="DK129" i="329"/>
  <c r="DL129" i="329"/>
  <c r="DI295" i="329"/>
  <c r="DJ295" i="329" s="1"/>
  <c r="DK295" i="329" s="1"/>
  <c r="DL295" i="329" s="1"/>
  <c r="DM295" i="329" s="1"/>
  <c r="CU49" i="4"/>
  <c r="CV49" i="4" s="1"/>
  <c r="CV27" i="3"/>
  <c r="DH23" i="2"/>
  <c r="DH290" i="329"/>
  <c r="DH272" i="329"/>
  <c r="DH271" i="329"/>
  <c r="DH270" i="329"/>
  <c r="DH269" i="329"/>
  <c r="DH268" i="329"/>
  <c r="DH267" i="329"/>
  <c r="DH266" i="329"/>
  <c r="DH265" i="329"/>
  <c r="DH264" i="329"/>
  <c r="DH263" i="329"/>
  <c r="DH262" i="329"/>
  <c r="DH63" i="2"/>
  <c r="DH273" i="329" l="1"/>
  <c r="EM60" i="4" l="1"/>
  <c r="EM59" i="4"/>
  <c r="EM56" i="4"/>
  <c r="EM51" i="4"/>
  <c r="EM50" i="4"/>
  <c r="EM49" i="4"/>
  <c r="EM48" i="4"/>
  <c r="EM45" i="4"/>
  <c r="EM39" i="4"/>
  <c r="EM38" i="4"/>
  <c r="EM37" i="4"/>
  <c r="EM36" i="4"/>
  <c r="EM35" i="4"/>
  <c r="EM34" i="4"/>
  <c r="EM33" i="4"/>
  <c r="EM26" i="4"/>
  <c r="EM22" i="4"/>
  <c r="EM17" i="4"/>
  <c r="EM16" i="4"/>
  <c r="EM15" i="4"/>
  <c r="EM13" i="4"/>
  <c r="EM12" i="4"/>
  <c r="EM29" i="3"/>
  <c r="EZ69" i="2"/>
  <c r="EZ63" i="2"/>
  <c r="EZ33" i="2"/>
  <c r="EZ32" i="2"/>
  <c r="EZ29" i="2"/>
  <c r="EZ28" i="2"/>
  <c r="EZ323" i="329"/>
  <c r="EZ62" i="329"/>
  <c r="DA46" i="4"/>
  <c r="DA117" i="4" s="1"/>
  <c r="DA11" i="4"/>
  <c r="CZ46" i="4"/>
  <c r="CZ117" i="4" s="1"/>
  <c r="CZ11" i="4"/>
  <c r="CY46" i="4"/>
  <c r="CY117" i="4" s="1"/>
  <c r="CY11" i="4"/>
  <c r="CX46" i="4"/>
  <c r="CX14" i="4"/>
  <c r="CX11" i="4"/>
  <c r="DM60" i="2"/>
  <c r="DL60" i="2"/>
  <c r="DK60" i="2"/>
  <c r="DJ60" i="2"/>
  <c r="DM12" i="2"/>
  <c r="DA10" i="4" s="1"/>
  <c r="DM193" i="2"/>
  <c r="DM194" i="2"/>
  <c r="DM189" i="2"/>
  <c r="DM190" i="2"/>
  <c r="DM184" i="2"/>
  <c r="DM183" i="2"/>
  <c r="DM180" i="2"/>
  <c r="DM179" i="2"/>
  <c r="DL194" i="2"/>
  <c r="DL193" i="2"/>
  <c r="DL190" i="2"/>
  <c r="DL189" i="2"/>
  <c r="DL183" i="2"/>
  <c r="DL184" i="2"/>
  <c r="DL180" i="2"/>
  <c r="DL179" i="2"/>
  <c r="DL12" i="2"/>
  <c r="CZ10" i="4" s="1"/>
  <c r="DK194" i="2"/>
  <c r="DK193" i="2"/>
  <c r="DK190" i="2"/>
  <c r="DK189" i="2"/>
  <c r="DK183" i="2"/>
  <c r="DK184" i="2"/>
  <c r="DK180" i="2"/>
  <c r="DK179" i="2"/>
  <c r="DK23" i="2"/>
  <c r="DK12" i="2"/>
  <c r="DJ12" i="2"/>
  <c r="DJ194" i="2"/>
  <c r="DJ193" i="2"/>
  <c r="DJ190" i="2"/>
  <c r="DJ189" i="2"/>
  <c r="DJ184" i="2"/>
  <c r="DJ183" i="2"/>
  <c r="DJ180" i="2"/>
  <c r="DJ23" i="2"/>
  <c r="DM395" i="329"/>
  <c r="DM348" i="329"/>
  <c r="DM344" i="329"/>
  <c r="DM340" i="329"/>
  <c r="DM336" i="329"/>
  <c r="DM332" i="329"/>
  <c r="DM317" i="329"/>
  <c r="DM315" i="329"/>
  <c r="DM314" i="329"/>
  <c r="DM243" i="329"/>
  <c r="DM114" i="329"/>
  <c r="DM112" i="329"/>
  <c r="DM137" i="329"/>
  <c r="DM90" i="329"/>
  <c r="DL395" i="329"/>
  <c r="DL348" i="329"/>
  <c r="DL344" i="329"/>
  <c r="DL340" i="329"/>
  <c r="DL336" i="329"/>
  <c r="DL332" i="329"/>
  <c r="DL317" i="329"/>
  <c r="DL315" i="329"/>
  <c r="DL314" i="329"/>
  <c r="DL243" i="329"/>
  <c r="DL187" i="329"/>
  <c r="DL114" i="329"/>
  <c r="DL112" i="329"/>
  <c r="DL137" i="329"/>
  <c r="DL90" i="329"/>
  <c r="DK395" i="329"/>
  <c r="DK365" i="329"/>
  <c r="DK348" i="329"/>
  <c r="DK344" i="329"/>
  <c r="DK340" i="329"/>
  <c r="DK336" i="329"/>
  <c r="DK332" i="329"/>
  <c r="DK317" i="329"/>
  <c r="DK315" i="329"/>
  <c r="DK314" i="329"/>
  <c r="DK243" i="329"/>
  <c r="DK187" i="329"/>
  <c r="DK114" i="329"/>
  <c r="DK112" i="329"/>
  <c r="DK137" i="329"/>
  <c r="DK90" i="329"/>
  <c r="DK56" i="329"/>
  <c r="DJ395" i="329"/>
  <c r="EZ395" i="329" s="1"/>
  <c r="DJ365" i="329"/>
  <c r="DJ348" i="329"/>
  <c r="DJ344" i="329"/>
  <c r="DJ340" i="329"/>
  <c r="DJ336" i="329"/>
  <c r="DJ332" i="329"/>
  <c r="DJ317" i="329"/>
  <c r="DJ315" i="329"/>
  <c r="DJ314" i="329"/>
  <c r="DJ243" i="329"/>
  <c r="DJ187" i="329"/>
  <c r="DJ114" i="329"/>
  <c r="DJ112" i="329"/>
  <c r="DA5" i="4"/>
  <c r="CZ5" i="4"/>
  <c r="CY5" i="4"/>
  <c r="CX5" i="4"/>
  <c r="DA5" i="3"/>
  <c r="CZ5" i="3"/>
  <c r="CY5" i="3"/>
  <c r="CX5" i="3"/>
  <c r="DM5" i="329"/>
  <c r="DL5" i="329"/>
  <c r="DK5" i="329"/>
  <c r="DJ5" i="329"/>
  <c r="EZ60" i="2" l="1"/>
  <c r="EM11" i="4"/>
  <c r="DK57" i="329"/>
  <c r="CX117" i="4"/>
  <c r="EM46" i="4"/>
  <c r="EM117" i="4" s="1"/>
  <c r="CX10" i="4"/>
  <c r="CY10" i="4"/>
  <c r="DK318" i="329"/>
  <c r="DL56" i="329"/>
  <c r="DM399" i="329"/>
  <c r="DM105" i="2" s="1"/>
  <c r="DL399" i="329"/>
  <c r="DL105" i="2" s="1"/>
  <c r="DK55" i="329"/>
  <c r="DK134" i="329"/>
  <c r="DK399" i="329"/>
  <c r="DK105" i="2" s="1"/>
  <c r="DK135" i="329"/>
  <c r="DJ134" i="329"/>
  <c r="DJ399" i="329"/>
  <c r="DJ105" i="2" s="1"/>
  <c r="DJ135" i="329"/>
  <c r="DJ318" i="329"/>
  <c r="EM10" i="4" l="1"/>
  <c r="DL55" i="329"/>
  <c r="DL57" i="329"/>
  <c r="DM56" i="329"/>
  <c r="EZ57" i="329" s="1"/>
  <c r="DM57" i="329" l="1"/>
  <c r="DM55" i="329"/>
  <c r="DG63" i="2" l="1"/>
  <c r="DF63" i="2"/>
  <c r="EQ215" i="329"/>
  <c r="DG32" i="2"/>
  <c r="DG49" i="2" s="1"/>
  <c r="CU56" i="4"/>
  <c r="CV56" i="4" s="1"/>
  <c r="CU51" i="4"/>
  <c r="CU53" i="4"/>
  <c r="CV53" i="4" s="1"/>
  <c r="CU47" i="4"/>
  <c r="CV47" i="4" s="1"/>
  <c r="CU46" i="4"/>
  <c r="CV46" i="4" s="1"/>
  <c r="CU45" i="4"/>
  <c r="CV45" i="4" s="1"/>
  <c r="CU39" i="4"/>
  <c r="CV39" i="4" s="1"/>
  <c r="CU36" i="4"/>
  <c r="CV36" i="4" s="1"/>
  <c r="CU35" i="4"/>
  <c r="CV35" i="4" s="1"/>
  <c r="CU34" i="4"/>
  <c r="CV34" i="4" s="1"/>
  <c r="CU32" i="4"/>
  <c r="CV32" i="4" s="1"/>
  <c r="CU25" i="4"/>
  <c r="CV25" i="4" s="1"/>
  <c r="CU24" i="4"/>
  <c r="CV24" i="4" s="1"/>
  <c r="CU23" i="4"/>
  <c r="CV23" i="4" s="1"/>
  <c r="CU22" i="4"/>
  <c r="CV22" i="4" s="1"/>
  <c r="CU21" i="4"/>
  <c r="CV21" i="4" s="1"/>
  <c r="CU20" i="4"/>
  <c r="CV20" i="4" s="1"/>
  <c r="CU17" i="4"/>
  <c r="CV17" i="4" s="1"/>
  <c r="CU15" i="4"/>
  <c r="CV15" i="4" s="1"/>
  <c r="CU14" i="4"/>
  <c r="CV14" i="4" s="1"/>
  <c r="CU13" i="4"/>
  <c r="CV13" i="4" s="1"/>
  <c r="CU9" i="4"/>
  <c r="CU8" i="4"/>
  <c r="CU27" i="3"/>
  <c r="CV9" i="4" l="1"/>
  <c r="CW9" i="4" s="1"/>
  <c r="DI11" i="2" s="1"/>
  <c r="CV8" i="4"/>
  <c r="CW8" i="4" s="1"/>
  <c r="CY14" i="4"/>
  <c r="CU118" i="4" l="1"/>
  <c r="CU117" i="4"/>
  <c r="CU110" i="4"/>
  <c r="CU109" i="4"/>
  <c r="CU54" i="4"/>
  <c r="CU40" i="4"/>
  <c r="CU29" i="4"/>
  <c r="CU28" i="4"/>
  <c r="CU27" i="4"/>
  <c r="CT27" i="4"/>
  <c r="CT28" i="4"/>
  <c r="CT29" i="4"/>
  <c r="CU5" i="4"/>
  <c r="CU107" i="3"/>
  <c r="CU104" i="3"/>
  <c r="CU89" i="3"/>
  <c r="CU87" i="3"/>
  <c r="CU75" i="3"/>
  <c r="CU64" i="3"/>
  <c r="CU42" i="3"/>
  <c r="CU30" i="3"/>
  <c r="CU35" i="3" s="1"/>
  <c r="CU12" i="3"/>
  <c r="CU5" i="3"/>
  <c r="DG365" i="329"/>
  <c r="DG325" i="329"/>
  <c r="DG338" i="329" s="1"/>
  <c r="DG318" i="329"/>
  <c r="DG295" i="329"/>
  <c r="DG290" i="329"/>
  <c r="DH293" i="329" s="1"/>
  <c r="DG272" i="329"/>
  <c r="DG271" i="329"/>
  <c r="DG270" i="329"/>
  <c r="DG269" i="329"/>
  <c r="DG268" i="329"/>
  <c r="DG267" i="329"/>
  <c r="DG266" i="329"/>
  <c r="DG265" i="329"/>
  <c r="DG264" i="329"/>
  <c r="DG263" i="329"/>
  <c r="DG262" i="329"/>
  <c r="DG242" i="329"/>
  <c r="DG222" i="329"/>
  <c r="DG220" i="329"/>
  <c r="DG219" i="329"/>
  <c r="DG218" i="329"/>
  <c r="DG217" i="329"/>
  <c r="DG216" i="329"/>
  <c r="DG213" i="329"/>
  <c r="DG212" i="329"/>
  <c r="DG211" i="329"/>
  <c r="DG208" i="329"/>
  <c r="DG207" i="329"/>
  <c r="DG206" i="329"/>
  <c r="DG203" i="329"/>
  <c r="DG202" i="329"/>
  <c r="DG201" i="329"/>
  <c r="DG198" i="329"/>
  <c r="DG197" i="329"/>
  <c r="DG196" i="329"/>
  <c r="DG193" i="329"/>
  <c r="DG192" i="329"/>
  <c r="DG191" i="329"/>
  <c r="DG187" i="329"/>
  <c r="DG143" i="329"/>
  <c r="DG142" i="329"/>
  <c r="DG141" i="329"/>
  <c r="DG147" i="329"/>
  <c r="DG404" i="329"/>
  <c r="DG400" i="329"/>
  <c r="DG402" i="329" s="1"/>
  <c r="DG399" i="329"/>
  <c r="DG395" i="329"/>
  <c r="DG396" i="329" s="1"/>
  <c r="DG394" i="329"/>
  <c r="DF147" i="329"/>
  <c r="DG135" i="329"/>
  <c r="DG134" i="329"/>
  <c r="DG94" i="329"/>
  <c r="DG93" i="329"/>
  <c r="DG65" i="329"/>
  <c r="DG64" i="329"/>
  <c r="DG58" i="329"/>
  <c r="DG57" i="329"/>
  <c r="DG55" i="329"/>
  <c r="DG50" i="329"/>
  <c r="DG48" i="329"/>
  <c r="DG46" i="329"/>
  <c r="DG5" i="329"/>
  <c r="DG229" i="2"/>
  <c r="DG226" i="2"/>
  <c r="DG225" i="2"/>
  <c r="DG193" i="2"/>
  <c r="DK213" i="2" s="1"/>
  <c r="DK246" i="2" s="1"/>
  <c r="DG183" i="2"/>
  <c r="DK209" i="2" s="1"/>
  <c r="DK245" i="2" s="1"/>
  <c r="DG169" i="2"/>
  <c r="DG168" i="2"/>
  <c r="DG162" i="2"/>
  <c r="DG157" i="2"/>
  <c r="DG148" i="2"/>
  <c r="DG152" i="2" s="1"/>
  <c r="DG133" i="2"/>
  <c r="DG69" i="2"/>
  <c r="DG68" i="2"/>
  <c r="DG59" i="2"/>
  <c r="DG58" i="2"/>
  <c r="DG24" i="2"/>
  <c r="DG12" i="2"/>
  <c r="DG11" i="2"/>
  <c r="DG16" i="2" l="1"/>
  <c r="CU105" i="4"/>
  <c r="DG60" i="2"/>
  <c r="DG273" i="329"/>
  <c r="DG299" i="329"/>
  <c r="DG70" i="2"/>
  <c r="CU63" i="4"/>
  <c r="CU42" i="4"/>
  <c r="CU98" i="4" s="1"/>
  <c r="CU124" i="4" s="1"/>
  <c r="CU44" i="3"/>
  <c r="CU67" i="3"/>
  <c r="CU65" i="3"/>
  <c r="CU66" i="3"/>
  <c r="CU68" i="3" s="1"/>
  <c r="CU74" i="3"/>
  <c r="CU76" i="3"/>
  <c r="CU21" i="3"/>
  <c r="CU71" i="3" s="1"/>
  <c r="CU77" i="3"/>
  <c r="CU103" i="3"/>
  <c r="DG215" i="329"/>
  <c r="DG200" i="2"/>
  <c r="DG170" i="2"/>
  <c r="DG407" i="329"/>
  <c r="DG346" i="329"/>
  <c r="DG350" i="329"/>
  <c r="DG334" i="329"/>
  <c r="DG342" i="329"/>
  <c r="DG354" i="329"/>
  <c r="DG330" i="329" s="1"/>
  <c r="DG176" i="2"/>
  <c r="DG324" i="329"/>
  <c r="DG176" i="329"/>
  <c r="DG164" i="329" s="1"/>
  <c r="DG19" i="2"/>
  <c r="CU78" i="3"/>
  <c r="DG221" i="329"/>
  <c r="CK249" i="2"/>
  <c r="EQ249" i="2"/>
  <c r="EQ251" i="2" s="1"/>
  <c r="ER249" i="2"/>
  <c r="ER251" i="2" s="1"/>
  <c r="ET249" i="2"/>
  <c r="ES249" i="2" s="1"/>
  <c r="EU249" i="2"/>
  <c r="EU251" i="2" s="1"/>
  <c r="EV249" i="2"/>
  <c r="EV251" i="2" s="1"/>
  <c r="EW249" i="2"/>
  <c r="EX249" i="2"/>
  <c r="EX251" i="2" s="1"/>
  <c r="EY249" i="2"/>
  <c r="CU99" i="4" l="1"/>
  <c r="CU45" i="3"/>
  <c r="DG168" i="329"/>
  <c r="DG160" i="329"/>
  <c r="DG156" i="329"/>
  <c r="DG152" i="329"/>
  <c r="ET251" i="2"/>
  <c r="EW251" i="2"/>
  <c r="ES251" i="2"/>
  <c r="DG172" i="329" l="1"/>
  <c r="EL60" i="4" l="1"/>
  <c r="EL59" i="4"/>
  <c r="FA129" i="329" l="1"/>
  <c r="DB47" i="2" l="1"/>
  <c r="DA47" i="2"/>
  <c r="EW47" i="2" s="1"/>
  <c r="CZ47" i="2"/>
  <c r="CY47" i="2"/>
  <c r="CX47" i="2"/>
  <c r="CW47" i="2"/>
  <c r="EV47" i="2" s="1"/>
  <c r="CV47" i="2"/>
  <c r="CU47" i="2"/>
  <c r="CT47" i="2"/>
  <c r="CS47" i="2"/>
  <c r="CR47" i="2"/>
  <c r="CQ47" i="2"/>
  <c r="CP47" i="2"/>
  <c r="EV44" i="2"/>
  <c r="DB46" i="2"/>
  <c r="DA46" i="2"/>
  <c r="EW46" i="2" s="1"/>
  <c r="CZ46" i="2"/>
  <c r="CY46" i="2"/>
  <c r="CX46" i="2"/>
  <c r="CW46" i="2"/>
  <c r="EV46" i="2" s="1"/>
  <c r="CV46" i="2"/>
  <c r="CU46" i="2"/>
  <c r="CT46" i="2"/>
  <c r="CS46" i="2"/>
  <c r="CR46" i="2"/>
  <c r="CQ46" i="2"/>
  <c r="CP46" i="2"/>
  <c r="ET39" i="2"/>
  <c r="EW44" i="2"/>
  <c r="EY39" i="2"/>
  <c r="DI43" i="2"/>
  <c r="EY43" i="2" s="1"/>
  <c r="DH43" i="2"/>
  <c r="CO40" i="2"/>
  <c r="DB39" i="2"/>
  <c r="EX39" i="2" s="1"/>
  <c r="DA39" i="2"/>
  <c r="CZ39" i="2"/>
  <c r="CY39" i="2"/>
  <c r="CX39" i="2"/>
  <c r="CW39" i="2"/>
  <c r="CV39" i="2"/>
  <c r="CU39" i="2"/>
  <c r="CT39" i="2"/>
  <c r="CS39" i="2"/>
  <c r="CR39" i="2"/>
  <c r="CQ39" i="2"/>
  <c r="CO44" i="2"/>
  <c r="CO47" i="2" s="1"/>
  <c r="DF272" i="329"/>
  <c r="DF271" i="329"/>
  <c r="DF270" i="329"/>
  <c r="DF269" i="329"/>
  <c r="DF268" i="329"/>
  <c r="DF267" i="329"/>
  <c r="DF266" i="329"/>
  <c r="DF265" i="329"/>
  <c r="DF264" i="329"/>
  <c r="DF263" i="329"/>
  <c r="DF262" i="329"/>
  <c r="CT27" i="3"/>
  <c r="DF273" i="329" l="1"/>
  <c r="DG42" i="2"/>
  <c r="CU41" i="2"/>
  <c r="DA42" i="2"/>
  <c r="EW42" i="2" s="1"/>
  <c r="CP39" i="2"/>
  <c r="DG44" i="2" s="1"/>
  <c r="CV41" i="2"/>
  <c r="CW41" i="2"/>
  <c r="DE42" i="2"/>
  <c r="EX42" i="2" s="1"/>
  <c r="EV39" i="2"/>
  <c r="CT41" i="2"/>
  <c r="CX42" i="2"/>
  <c r="DB42" i="2"/>
  <c r="DF42" i="2"/>
  <c r="EW39" i="2"/>
  <c r="CO46" i="2"/>
  <c r="CY42" i="2"/>
  <c r="DC42" i="2"/>
  <c r="CZ42" i="2"/>
  <c r="DD42" i="2"/>
  <c r="DH42" i="2" l="1"/>
  <c r="DI42" i="2" s="1"/>
  <c r="EY42" i="2" s="1"/>
  <c r="DG47" i="2"/>
  <c r="DG46" i="2"/>
  <c r="CX41" i="2"/>
  <c r="CY41" i="2" s="1"/>
  <c r="CZ41" i="2" s="1"/>
  <c r="DA41" i="2" s="1"/>
  <c r="EV41" i="2"/>
  <c r="DF44" i="2"/>
  <c r="DF46" i="2" s="1"/>
  <c r="DI44" i="2"/>
  <c r="CR40" i="2"/>
  <c r="EU39" i="2"/>
  <c r="DH44" i="2"/>
  <c r="CQ40" i="2"/>
  <c r="DE44" i="2"/>
  <c r="CP40" i="2"/>
  <c r="DD44" i="2"/>
  <c r="CS40" i="2"/>
  <c r="DC44" i="2"/>
  <c r="DH47" i="2" l="1"/>
  <c r="DH46" i="2"/>
  <c r="DF47" i="2"/>
  <c r="DC46" i="2"/>
  <c r="DC47" i="2"/>
  <c r="CT40" i="2"/>
  <c r="CU40" i="2" s="1"/>
  <c r="CV40" i="2" s="1"/>
  <c r="CW40" i="2" s="1"/>
  <c r="EU40" i="2"/>
  <c r="DE47" i="2"/>
  <c r="EX47" i="2" s="1"/>
  <c r="DE46" i="2"/>
  <c r="EX46" i="2" s="1"/>
  <c r="EX44" i="2"/>
  <c r="DB41" i="2"/>
  <c r="DC41" i="2" s="1"/>
  <c r="DD41" i="2" s="1"/>
  <c r="DE41" i="2" s="1"/>
  <c r="EW41" i="2"/>
  <c r="DD47" i="2"/>
  <c r="DD46" i="2"/>
  <c r="DI47" i="2"/>
  <c r="EY47" i="2" s="1"/>
  <c r="DI46" i="2"/>
  <c r="EY46" i="2" s="1"/>
  <c r="EY44" i="2"/>
  <c r="DF41" i="2" l="1"/>
  <c r="EX41" i="2"/>
  <c r="CX40" i="2"/>
  <c r="CY40" i="2" s="1"/>
  <c r="CZ40" i="2" s="1"/>
  <c r="DA40" i="2" s="1"/>
  <c r="EV40" i="2"/>
  <c r="DG41" i="2" l="1"/>
  <c r="DH41" i="2" s="1"/>
  <c r="DI41" i="2" s="1"/>
  <c r="EY41" i="2" s="1"/>
  <c r="DB40" i="2"/>
  <c r="DC40" i="2" s="1"/>
  <c r="DD40" i="2" s="1"/>
  <c r="DE40" i="2" s="1"/>
  <c r="EW40" i="2"/>
  <c r="DF40" i="2" l="1"/>
  <c r="EX40" i="2"/>
  <c r="DG40" i="2" l="1"/>
  <c r="DH40" i="2" s="1"/>
  <c r="DI40" i="2" s="1"/>
  <c r="EY40" i="2" s="1"/>
  <c r="DF325" i="329" l="1"/>
  <c r="DF287" i="329"/>
  <c r="DF295" i="329" s="1"/>
  <c r="DG297" i="329" s="1"/>
  <c r="DF259" i="329"/>
  <c r="DF290" i="329" s="1"/>
  <c r="DF65" i="329"/>
  <c r="DF58" i="329"/>
  <c r="DF59" i="2"/>
  <c r="DF193" i="2"/>
  <c r="DJ213" i="2" s="1"/>
  <c r="DJ246" i="2" s="1"/>
  <c r="DF189" i="2"/>
  <c r="DJ212" i="2" s="1"/>
  <c r="DF69" i="2"/>
  <c r="DF183" i="2"/>
  <c r="DJ209" i="2" s="1"/>
  <c r="DJ245" i="2" s="1"/>
  <c r="DF179" i="2"/>
  <c r="DJ208" i="2" s="1"/>
  <c r="DF12" i="2"/>
  <c r="DF11" i="2"/>
  <c r="CW5" i="3"/>
  <c r="CV5" i="3"/>
  <c r="CT5" i="3"/>
  <c r="DG292" i="329" l="1"/>
  <c r="DG301" i="329" s="1"/>
  <c r="DG293" i="329"/>
  <c r="DG243" i="329" s="1"/>
  <c r="DF19" i="2"/>
  <c r="DF70" i="2"/>
  <c r="EK82" i="4" l="1"/>
  <c r="EK79" i="4" s="1"/>
  <c r="EJ82" i="4"/>
  <c r="EJ79" i="4" s="1"/>
  <c r="EI82" i="4"/>
  <c r="EI79" i="4" s="1"/>
  <c r="EX213" i="329" l="1"/>
  <c r="EW213" i="329"/>
  <c r="EV213" i="329"/>
  <c r="EU213" i="329"/>
  <c r="ET213" i="329"/>
  <c r="ES213" i="329"/>
  <c r="ER213" i="329"/>
  <c r="EQ213" i="329"/>
  <c r="EX212" i="329"/>
  <c r="EW212" i="329"/>
  <c r="EV212" i="329"/>
  <c r="EU212" i="329"/>
  <c r="ET212" i="329"/>
  <c r="ES212" i="329"/>
  <c r="ER212" i="329"/>
  <c r="EQ212" i="329"/>
  <c r="EP212" i="329"/>
  <c r="EO212" i="329"/>
  <c r="EN212" i="329"/>
  <c r="EX211" i="329"/>
  <c r="EW211" i="329"/>
  <c r="EV211" i="329"/>
  <c r="EU211" i="329"/>
  <c r="ET211" i="329"/>
  <c r="ES211" i="329"/>
  <c r="ER211" i="329"/>
  <c r="EQ211" i="329"/>
  <c r="EP211" i="329"/>
  <c r="EO211" i="329"/>
  <c r="EN211" i="329"/>
  <c r="EM211" i="329"/>
  <c r="EX208" i="329"/>
  <c r="EW208" i="329"/>
  <c r="EV208" i="329"/>
  <c r="EU208" i="329"/>
  <c r="ET208" i="329"/>
  <c r="ES208" i="329"/>
  <c r="ER208" i="329"/>
  <c r="EQ208" i="329"/>
  <c r="EX207" i="329"/>
  <c r="EW207" i="329"/>
  <c r="EV207" i="329"/>
  <c r="EU207" i="329"/>
  <c r="ET207" i="329"/>
  <c r="ES207" i="329"/>
  <c r="ER207" i="329"/>
  <c r="EQ207" i="329"/>
  <c r="EP207" i="329"/>
  <c r="EO207" i="329"/>
  <c r="EN207" i="329"/>
  <c r="EX206" i="329"/>
  <c r="EW206" i="329"/>
  <c r="EV206" i="329"/>
  <c r="EU206" i="329"/>
  <c r="ET206" i="329"/>
  <c r="ES206" i="329"/>
  <c r="ER206" i="329"/>
  <c r="EQ206" i="329"/>
  <c r="EP206" i="329"/>
  <c r="EO206" i="329"/>
  <c r="EN206" i="329"/>
  <c r="EM206" i="329"/>
  <c r="EX203" i="329"/>
  <c r="EW203" i="329"/>
  <c r="EV203" i="329"/>
  <c r="EU203" i="329"/>
  <c r="ET203" i="329"/>
  <c r="ES203" i="329"/>
  <c r="ER203" i="329"/>
  <c r="EQ203" i="329"/>
  <c r="EX202" i="329"/>
  <c r="EW202" i="329"/>
  <c r="EV202" i="329"/>
  <c r="EU202" i="329"/>
  <c r="ET202" i="329"/>
  <c r="ES202" i="329"/>
  <c r="ER202" i="329"/>
  <c r="EQ202" i="329"/>
  <c r="EP202" i="329"/>
  <c r="EO202" i="329"/>
  <c r="EN202" i="329"/>
  <c r="EX201" i="329"/>
  <c r="EW201" i="329"/>
  <c r="EV201" i="329"/>
  <c r="EU201" i="329"/>
  <c r="ET201" i="329"/>
  <c r="ES201" i="329"/>
  <c r="ER201" i="329"/>
  <c r="EQ201" i="329"/>
  <c r="EP201" i="329"/>
  <c r="EO201" i="329"/>
  <c r="EN201" i="329"/>
  <c r="EM201" i="329"/>
  <c r="EX193" i="329"/>
  <c r="EW193" i="329"/>
  <c r="EV193" i="329"/>
  <c r="EU193" i="329"/>
  <c r="ET193" i="329"/>
  <c r="ES193" i="329"/>
  <c r="ER193" i="329"/>
  <c r="EQ193" i="329"/>
  <c r="EX192" i="329"/>
  <c r="EW192" i="329"/>
  <c r="EV192" i="329"/>
  <c r="EU192" i="329"/>
  <c r="ET192" i="329"/>
  <c r="ES192" i="329"/>
  <c r="ER192" i="329"/>
  <c r="EQ192" i="329"/>
  <c r="EP192" i="329"/>
  <c r="EO192" i="329"/>
  <c r="EN192" i="329"/>
  <c r="EX191" i="329"/>
  <c r="EW191" i="329"/>
  <c r="EV191" i="329"/>
  <c r="EU191" i="329"/>
  <c r="ET191" i="329"/>
  <c r="ES191" i="329"/>
  <c r="ER191" i="329"/>
  <c r="EQ191" i="329"/>
  <c r="EP191" i="329"/>
  <c r="EO191" i="329"/>
  <c r="EN191" i="329"/>
  <c r="EM191" i="329"/>
  <c r="ES198" i="329"/>
  <c r="ES197" i="329"/>
  <c r="ES196" i="329"/>
  <c r="EN197" i="329"/>
  <c r="EQ196" i="329"/>
  <c r="EQ197" i="329"/>
  <c r="EX198" i="329"/>
  <c r="EX197" i="329"/>
  <c r="EX196" i="329"/>
  <c r="EW198" i="329"/>
  <c r="EW197" i="329"/>
  <c r="EV198" i="329"/>
  <c r="EV197" i="329"/>
  <c r="EU198" i="329"/>
  <c r="EU197" i="329"/>
  <c r="ET196" i="329"/>
  <c r="ET197" i="329"/>
  <c r="ET198" i="329"/>
  <c r="ER198" i="329"/>
  <c r="EQ198" i="329"/>
  <c r="EP197" i="329"/>
  <c r="EO197" i="329"/>
  <c r="EP196" i="329"/>
  <c r="EO196" i="329"/>
  <c r="EN196" i="329"/>
  <c r="EM196" i="329"/>
  <c r="DD216" i="329"/>
  <c r="DI434" i="329" l="1"/>
  <c r="DH434" i="329"/>
  <c r="DG434" i="329"/>
  <c r="DF434" i="329"/>
  <c r="DD434" i="329"/>
  <c r="DC434" i="329"/>
  <c r="DB434" i="329"/>
  <c r="DA434" i="329"/>
  <c r="CZ434" i="329"/>
  <c r="CY434" i="329"/>
  <c r="CX434" i="329"/>
  <c r="DE434" i="329"/>
  <c r="DE428" i="329"/>
  <c r="CN422" i="329"/>
  <c r="CO422" i="329"/>
  <c r="CP422" i="329"/>
  <c r="CP429" i="329" s="1"/>
  <c r="CQ422" i="329"/>
  <c r="CQ429" i="329" s="1"/>
  <c r="CR422" i="329"/>
  <c r="CR429" i="329" s="1"/>
  <c r="CS422" i="329"/>
  <c r="CS429" i="329" s="1"/>
  <c r="CT422" i="329"/>
  <c r="CU422" i="329"/>
  <c r="CU429" i="329" s="1"/>
  <c r="CV422" i="329"/>
  <c r="CV429" i="329" s="1"/>
  <c r="CW422" i="329"/>
  <c r="CW429" i="329" s="1"/>
  <c r="CX422" i="329"/>
  <c r="CX429" i="329" s="1"/>
  <c r="CY422" i="329"/>
  <c r="CY429" i="329" s="1"/>
  <c r="CZ422" i="329"/>
  <c r="CZ429" i="329" s="1"/>
  <c r="DA422" i="329"/>
  <c r="DA429" i="329" s="1"/>
  <c r="DB422" i="329"/>
  <c r="DB429" i="329" s="1"/>
  <c r="DC422" i="329"/>
  <c r="DC429" i="329" s="1"/>
  <c r="DD422" i="329"/>
  <c r="DD429" i="329" s="1"/>
  <c r="DE422" i="329"/>
  <c r="CT424" i="329"/>
  <c r="CT429" i="329" l="1"/>
  <c r="DE429" i="329"/>
  <c r="CX147" i="329" l="1"/>
  <c r="CY147" i="329"/>
  <c r="CZ147" i="329"/>
  <c r="DA147" i="329"/>
  <c r="DB147" i="329"/>
  <c r="DC147" i="329"/>
  <c r="DG148" i="329" s="1"/>
  <c r="DD147" i="329"/>
  <c r="DE147" i="329"/>
  <c r="EY1" i="2" l="1"/>
  <c r="DP246" i="2" l="1"/>
  <c r="DP243" i="2"/>
  <c r="DP245" i="2"/>
  <c r="DP242" i="2"/>
  <c r="DL23" i="2"/>
  <c r="CQ51" i="4"/>
  <c r="CR51" i="4" s="1"/>
  <c r="CS27" i="3"/>
  <c r="DE32" i="2"/>
  <c r="DE23" i="2"/>
  <c r="DE222" i="329" l="1"/>
  <c r="DE215" i="329" l="1"/>
  <c r="DE193" i="2"/>
  <c r="DE189" i="2"/>
  <c r="DE183" i="2"/>
  <c r="DE179" i="2"/>
  <c r="DB69" i="2"/>
  <c r="DE63" i="2"/>
  <c r="CS57" i="4"/>
  <c r="CS53" i="4"/>
  <c r="CS52" i="4"/>
  <c r="CS51" i="4"/>
  <c r="CS50" i="4"/>
  <c r="CS48" i="4"/>
  <c r="CS38" i="4"/>
  <c r="CS37" i="4"/>
  <c r="CS33" i="4"/>
  <c r="CS26" i="4"/>
  <c r="CS16" i="4"/>
  <c r="CS12" i="4"/>
  <c r="CS11" i="4"/>
  <c r="CS10" i="4"/>
  <c r="DE12" i="2" s="1"/>
  <c r="EX45" i="329"/>
  <c r="EX50" i="329"/>
  <c r="EV50" i="329"/>
  <c r="EW50" i="329"/>
  <c r="DE65" i="329"/>
  <c r="DB58" i="329"/>
  <c r="DA58" i="329"/>
  <c r="CZ58" i="329"/>
  <c r="CY58" i="329"/>
  <c r="CX58" i="329"/>
  <c r="DD57" i="329"/>
  <c r="DC57" i="329"/>
  <c r="DB57" i="329"/>
  <c r="DA57" i="329"/>
  <c r="CZ57" i="329"/>
  <c r="CY57" i="329"/>
  <c r="CX57" i="329"/>
  <c r="DE57" i="329"/>
  <c r="EX59" i="329"/>
  <c r="EX66" i="329"/>
  <c r="EY73" i="329"/>
  <c r="EX73" i="329"/>
  <c r="EX57" i="329"/>
  <c r="EV57" i="329"/>
  <c r="EW57" i="329"/>
  <c r="EY69" i="329"/>
  <c r="EX69" i="329"/>
  <c r="EY62" i="329"/>
  <c r="FA62" i="329" s="1"/>
  <c r="FB62" i="329" s="1"/>
  <c r="FC62" i="329" s="1"/>
  <c r="FD62" i="329" s="1"/>
  <c r="FE62" i="329" s="1"/>
  <c r="FF62" i="329" s="1"/>
  <c r="FG62" i="329" s="1"/>
  <c r="FH62" i="329" s="1"/>
  <c r="EX62" i="329"/>
  <c r="DF70" i="329"/>
  <c r="DG70" i="329" s="1"/>
  <c r="DF55" i="329"/>
  <c r="DJ63" i="329"/>
  <c r="EX17" i="329"/>
  <c r="EX48" i="329" s="1"/>
  <c r="DE46" i="329"/>
  <c r="DE43" i="329"/>
  <c r="DE42" i="329"/>
  <c r="DE41" i="329"/>
  <c r="DE40" i="329"/>
  <c r="DE39" i="329"/>
  <c r="DE38" i="329"/>
  <c r="DD43" i="329"/>
  <c r="DD42" i="329"/>
  <c r="DD41" i="329"/>
  <c r="DD40" i="329"/>
  <c r="DD39" i="329"/>
  <c r="DD38" i="329"/>
  <c r="DE58" i="329"/>
  <c r="DE55" i="329"/>
  <c r="DE50" i="329"/>
  <c r="DE48" i="329"/>
  <c r="DE287" i="329"/>
  <c r="DE272" i="329"/>
  <c r="EX272" i="329" s="1"/>
  <c r="DE271" i="329"/>
  <c r="EX271" i="329" s="1"/>
  <c r="DE270" i="329"/>
  <c r="EX270" i="329" s="1"/>
  <c r="DE269" i="329"/>
  <c r="EX269" i="329" s="1"/>
  <c r="DE268" i="329"/>
  <c r="EX268" i="329" s="1"/>
  <c r="DE267" i="329"/>
  <c r="EX267" i="329" s="1"/>
  <c r="DE266" i="329"/>
  <c r="EX266" i="329" s="1"/>
  <c r="DE265" i="329"/>
  <c r="EX265" i="329" s="1"/>
  <c r="DE264" i="329"/>
  <c r="EX264" i="329" s="1"/>
  <c r="DE263" i="329"/>
  <c r="DE262" i="329"/>
  <c r="DE259" i="329"/>
  <c r="DE325" i="329"/>
  <c r="CW5" i="4"/>
  <c r="CV5" i="4"/>
  <c r="CT5" i="4"/>
  <c r="CS5" i="4"/>
  <c r="CP4" i="4"/>
  <c r="CP4" i="3"/>
  <c r="DI5" i="329"/>
  <c r="DH5" i="329"/>
  <c r="DF5" i="329"/>
  <c r="DE5" i="329"/>
  <c r="DB4" i="329"/>
  <c r="DE290" i="329" l="1"/>
  <c r="DF293" i="329" s="1"/>
  <c r="EX259" i="329"/>
  <c r="DE295" i="329"/>
  <c r="EX287" i="329"/>
  <c r="DJ64" i="329"/>
  <c r="DK63" i="329"/>
  <c r="DG71" i="329"/>
  <c r="DG82" i="329"/>
  <c r="DF64" i="2"/>
  <c r="DG64" i="2"/>
  <c r="EY64" i="329"/>
  <c r="EW51" i="329"/>
  <c r="DE82" i="329"/>
  <c r="DI64" i="329"/>
  <c r="DF64" i="329"/>
  <c r="DF71" i="329"/>
  <c r="DH64" i="329"/>
  <c r="EX51" i="329"/>
  <c r="DE273" i="329"/>
  <c r="EX273" i="329" s="1"/>
  <c r="DF57" i="329"/>
  <c r="DK64" i="329" l="1"/>
  <c r="DL63" i="329"/>
  <c r="DG87" i="329"/>
  <c r="DG371" i="329"/>
  <c r="DH70" i="329"/>
  <c r="DH71" i="329" s="1"/>
  <c r="DH55" i="329"/>
  <c r="DH57" i="329"/>
  <c r="CK1" i="4"/>
  <c r="CJ1" i="4"/>
  <c r="CI1" i="4"/>
  <c r="CH1" i="4"/>
  <c r="CG1" i="4"/>
  <c r="CF1" i="4"/>
  <c r="CE1" i="4"/>
  <c r="CD1" i="4"/>
  <c r="CC1" i="4"/>
  <c r="CB1" i="4"/>
  <c r="CA1" i="4"/>
  <c r="BZ1" i="4"/>
  <c r="BY1" i="4"/>
  <c r="BX1" i="4"/>
  <c r="BW1" i="4"/>
  <c r="BV1" i="4"/>
  <c r="BU1" i="4"/>
  <c r="BT1" i="4"/>
  <c r="BS1" i="4"/>
  <c r="BR1" i="4"/>
  <c r="BQ1" i="4"/>
  <c r="BP1" i="4"/>
  <c r="BO1" i="4"/>
  <c r="BN1" i="4"/>
  <c r="BM1" i="4"/>
  <c r="BL1" i="4"/>
  <c r="BK1" i="4"/>
  <c r="BJ1" i="4"/>
  <c r="BI1" i="4"/>
  <c r="BH1" i="4"/>
  <c r="BG1" i="4"/>
  <c r="BF1" i="4"/>
  <c r="BE1" i="4"/>
  <c r="BD1" i="4"/>
  <c r="BC1" i="4"/>
  <c r="BB1" i="4"/>
  <c r="BA1" i="4"/>
  <c r="AZ1" i="4"/>
  <c r="AY1" i="4"/>
  <c r="AX1" i="4"/>
  <c r="AW1" i="4"/>
  <c r="AV1" i="4"/>
  <c r="AU1" i="4"/>
  <c r="AT1" i="4"/>
  <c r="EU1" i="4"/>
  <c r="ET1" i="4"/>
  <c r="ES1" i="4"/>
  <c r="ER1" i="4"/>
  <c r="EQ1" i="4"/>
  <c r="EP1" i="4"/>
  <c r="EO1" i="4"/>
  <c r="EN1" i="4"/>
  <c r="EM1" i="4"/>
  <c r="EL1" i="4"/>
  <c r="EK1" i="4"/>
  <c r="EJ1" i="4"/>
  <c r="EI1" i="4"/>
  <c r="EH1" i="4"/>
  <c r="EG1" i="4"/>
  <c r="EF1" i="4"/>
  <c r="EE1" i="4"/>
  <c r="ED1" i="4"/>
  <c r="EC1" i="4"/>
  <c r="EB1" i="4"/>
  <c r="EA1" i="4"/>
  <c r="DZ1" i="4"/>
  <c r="DY1" i="4"/>
  <c r="DX1" i="4"/>
  <c r="DW1" i="4"/>
  <c r="DV1" i="4"/>
  <c r="DU1" i="4"/>
  <c r="DT1" i="4"/>
  <c r="DS1" i="4"/>
  <c r="DR1" i="4"/>
  <c r="DQ1" i="4"/>
  <c r="DP1" i="4"/>
  <c r="DO1" i="4"/>
  <c r="DN1" i="4"/>
  <c r="DM1" i="4"/>
  <c r="DL1" i="4"/>
  <c r="DK1" i="4"/>
  <c r="DJ1" i="4"/>
  <c r="DI1" i="4"/>
  <c r="DH1" i="4"/>
  <c r="DG1" i="4"/>
  <c r="DF1" i="4"/>
  <c r="DE1" i="4"/>
  <c r="DD1" i="4"/>
  <c r="CW1" i="4"/>
  <c r="CV1" i="4"/>
  <c r="CU1" i="4"/>
  <c r="CT1" i="4"/>
  <c r="CS1" i="4"/>
  <c r="CR1" i="4"/>
  <c r="CQ1" i="4"/>
  <c r="CP1" i="4"/>
  <c r="CO1" i="4"/>
  <c r="CN1" i="4"/>
  <c r="CM1" i="4"/>
  <c r="CL1" i="4"/>
  <c r="CK1" i="3"/>
  <c r="CJ1" i="3"/>
  <c r="CI1" i="3"/>
  <c r="CH1" i="3"/>
  <c r="CG1" i="3"/>
  <c r="CF1" i="3"/>
  <c r="CE1" i="3"/>
  <c r="CD1" i="3"/>
  <c r="CC1" i="3"/>
  <c r="CB1" i="3"/>
  <c r="CA1" i="3"/>
  <c r="BZ1" i="3"/>
  <c r="BY1" i="3"/>
  <c r="BX1" i="3"/>
  <c r="BW1" i="3"/>
  <c r="BV1" i="3"/>
  <c r="BU1" i="3"/>
  <c r="BT1" i="3"/>
  <c r="BS1" i="3"/>
  <c r="BR1" i="3"/>
  <c r="BQ1" i="3"/>
  <c r="BP1" i="3"/>
  <c r="BO1" i="3"/>
  <c r="BN1" i="3"/>
  <c r="BM1" i="3"/>
  <c r="BL1" i="3"/>
  <c r="BK1" i="3"/>
  <c r="BJ1" i="3"/>
  <c r="BI1" i="3"/>
  <c r="BH1" i="3"/>
  <c r="BG1" i="3"/>
  <c r="BF1" i="3"/>
  <c r="BE1" i="3"/>
  <c r="BD1" i="3"/>
  <c r="BC1" i="3"/>
  <c r="BB1" i="3"/>
  <c r="BA1" i="3"/>
  <c r="AZ1" i="3"/>
  <c r="AY1" i="3"/>
  <c r="AX1" i="3"/>
  <c r="AW1" i="3"/>
  <c r="AV1" i="3"/>
  <c r="AU1" i="3"/>
  <c r="AT1" i="3"/>
  <c r="EU1" i="3"/>
  <c r="ET1" i="3"/>
  <c r="ES1" i="3"/>
  <c r="ER1" i="3"/>
  <c r="EQ1" i="3"/>
  <c r="EP1" i="3"/>
  <c r="EO1" i="3"/>
  <c r="EN1" i="3"/>
  <c r="EM1" i="3"/>
  <c r="EL1" i="3"/>
  <c r="EK1" i="3"/>
  <c r="EJ1" i="3"/>
  <c r="EI1" i="3"/>
  <c r="EH1" i="3"/>
  <c r="EG1" i="3"/>
  <c r="EF1" i="3"/>
  <c r="EE1" i="3"/>
  <c r="ED1" i="3"/>
  <c r="EC1" i="3"/>
  <c r="EB1" i="3"/>
  <c r="EA1" i="3"/>
  <c r="DZ1" i="3"/>
  <c r="DY1" i="3"/>
  <c r="DX1" i="3"/>
  <c r="DW1" i="3"/>
  <c r="DV1" i="3"/>
  <c r="DU1" i="3"/>
  <c r="DT1" i="3"/>
  <c r="DS1" i="3"/>
  <c r="DR1" i="3"/>
  <c r="DQ1" i="3"/>
  <c r="DP1" i="3"/>
  <c r="DO1" i="3"/>
  <c r="DN1" i="3"/>
  <c r="DM1" i="3"/>
  <c r="DL1" i="3"/>
  <c r="DK1" i="3"/>
  <c r="DJ1" i="3"/>
  <c r="DI1" i="3"/>
  <c r="DH1" i="3"/>
  <c r="DG1" i="3"/>
  <c r="DF1" i="3"/>
  <c r="DE1" i="3"/>
  <c r="DD1" i="3"/>
  <c r="CW1" i="3"/>
  <c r="CV1" i="3"/>
  <c r="CU1" i="3"/>
  <c r="CT1" i="3"/>
  <c r="CS1" i="3"/>
  <c r="CR1" i="3"/>
  <c r="CQ1" i="3"/>
  <c r="CP1" i="3"/>
  <c r="CO1" i="3"/>
  <c r="CN1" i="3"/>
  <c r="CM1" i="3"/>
  <c r="CL1" i="3"/>
  <c r="CW1" i="329"/>
  <c r="CV1" i="329"/>
  <c r="CU1" i="329"/>
  <c r="CT1" i="329"/>
  <c r="CS1" i="329"/>
  <c r="CR1" i="329"/>
  <c r="CQ1" i="329"/>
  <c r="CP1" i="329"/>
  <c r="CO1" i="329"/>
  <c r="CN1" i="329"/>
  <c r="CM1" i="329"/>
  <c r="CL1" i="329"/>
  <c r="CG1" i="329"/>
  <c r="CF1" i="329"/>
  <c r="CE1" i="329"/>
  <c r="CD1" i="329"/>
  <c r="CC1" i="329"/>
  <c r="CB1" i="329"/>
  <c r="CA1" i="329"/>
  <c r="BZ1" i="329"/>
  <c r="BQ1" i="329"/>
  <c r="BP1" i="329"/>
  <c r="BO1" i="329"/>
  <c r="BN1" i="329"/>
  <c r="BM1" i="329"/>
  <c r="BL1" i="329"/>
  <c r="BK1" i="329"/>
  <c r="BJ1" i="329"/>
  <c r="BI1" i="329"/>
  <c r="BH1" i="329"/>
  <c r="BG1" i="329"/>
  <c r="BF1" i="329"/>
  <c r="BE1" i="329"/>
  <c r="BD1" i="329"/>
  <c r="BC1" i="329"/>
  <c r="BB1" i="329"/>
  <c r="BA1" i="329"/>
  <c r="AZ1" i="329"/>
  <c r="AY1" i="329"/>
  <c r="AX1" i="329"/>
  <c r="AW1" i="329"/>
  <c r="AV1" i="329"/>
  <c r="AU1" i="329"/>
  <c r="AT1" i="329"/>
  <c r="FH1" i="329"/>
  <c r="FG1" i="329"/>
  <c r="FF1" i="329"/>
  <c r="FE1" i="329"/>
  <c r="FD1" i="329"/>
  <c r="FC1" i="329"/>
  <c r="FB1" i="329"/>
  <c r="FA1" i="329"/>
  <c r="EZ1" i="329"/>
  <c r="EY1" i="329"/>
  <c r="EX1" i="329"/>
  <c r="EW1" i="329"/>
  <c r="EV1" i="329"/>
  <c r="EU1" i="329"/>
  <c r="ET1" i="329"/>
  <c r="ES1" i="329"/>
  <c r="ER1" i="329"/>
  <c r="EQ1" i="329"/>
  <c r="EP1" i="329"/>
  <c r="EO1" i="329"/>
  <c r="EN1" i="329"/>
  <c r="EM1" i="329"/>
  <c r="EL1" i="329"/>
  <c r="EK1" i="329"/>
  <c r="EJ1" i="329"/>
  <c r="EI1" i="329"/>
  <c r="EH1" i="329"/>
  <c r="EG1" i="329"/>
  <c r="EF1" i="329"/>
  <c r="EE1" i="329"/>
  <c r="ED1" i="329"/>
  <c r="EC1" i="329"/>
  <c r="EB1" i="329"/>
  <c r="EA1" i="329"/>
  <c r="DZ1" i="329"/>
  <c r="DY1" i="329"/>
  <c r="DX1" i="329"/>
  <c r="DW1" i="329"/>
  <c r="DV1" i="329"/>
  <c r="DU1" i="329"/>
  <c r="DT1" i="329"/>
  <c r="DS1" i="329"/>
  <c r="DR1" i="329"/>
  <c r="DQ1" i="329"/>
  <c r="DP1" i="329"/>
  <c r="DI1" i="329"/>
  <c r="DH1" i="329"/>
  <c r="DG1" i="329"/>
  <c r="DF1" i="329"/>
  <c r="DE1" i="329"/>
  <c r="DD1" i="329"/>
  <c r="DC1" i="329"/>
  <c r="DB1" i="329"/>
  <c r="DA1" i="329"/>
  <c r="CZ1" i="329"/>
  <c r="CY1" i="329"/>
  <c r="CX1" i="329"/>
  <c r="CW1" i="2"/>
  <c r="CV1" i="2"/>
  <c r="CU1" i="2"/>
  <c r="CT1" i="2"/>
  <c r="CS1" i="2"/>
  <c r="CR1" i="2"/>
  <c r="CQ1" i="2"/>
  <c r="CP1" i="2"/>
  <c r="CO1" i="2"/>
  <c r="CN1" i="2"/>
  <c r="CM1" i="2"/>
  <c r="CL1" i="2"/>
  <c r="CK1" i="2"/>
  <c r="CJ1" i="2"/>
  <c r="CI1" i="2"/>
  <c r="CH1" i="2"/>
  <c r="CG1" i="2"/>
  <c r="CF1" i="2"/>
  <c r="CE1" i="2"/>
  <c r="CD1" i="2"/>
  <c r="CC1" i="2"/>
  <c r="CB1" i="2"/>
  <c r="CA1" i="2"/>
  <c r="BZ1" i="2"/>
  <c r="BY1" i="2"/>
  <c r="BX1" i="2"/>
  <c r="BW1" i="2"/>
  <c r="BV1" i="2"/>
  <c r="BU1" i="2"/>
  <c r="BT1" i="2"/>
  <c r="BS1" i="2"/>
  <c r="BR1" i="2"/>
  <c r="BQ1" i="2"/>
  <c r="BP1" i="2"/>
  <c r="BO1" i="2"/>
  <c r="BN1" i="2"/>
  <c r="BM1" i="2"/>
  <c r="BL1" i="2"/>
  <c r="BK1" i="2"/>
  <c r="BJ1" i="2"/>
  <c r="BI1" i="2"/>
  <c r="BH1" i="2"/>
  <c r="BG1" i="2"/>
  <c r="BF1" i="2"/>
  <c r="BE1" i="2"/>
  <c r="BD1" i="2"/>
  <c r="BC1" i="2"/>
  <c r="BB1" i="2"/>
  <c r="BA1" i="2"/>
  <c r="AZ1" i="2"/>
  <c r="AY1" i="2"/>
  <c r="AX1" i="2"/>
  <c r="AW1" i="2"/>
  <c r="AV1" i="2"/>
  <c r="AU1" i="2"/>
  <c r="AT1" i="2"/>
  <c r="FH1" i="2"/>
  <c r="FG1" i="2"/>
  <c r="FF1" i="2"/>
  <c r="FE1" i="2"/>
  <c r="FD1" i="2"/>
  <c r="FC1" i="2"/>
  <c r="FB1" i="2"/>
  <c r="FA1" i="2"/>
  <c r="EZ1" i="2"/>
  <c r="EX1" i="2"/>
  <c r="EW1" i="2"/>
  <c r="EV1" i="2"/>
  <c r="EU1" i="2"/>
  <c r="ET1" i="2"/>
  <c r="ES1" i="2"/>
  <c r="ER1" i="2"/>
  <c r="EQ1" i="2"/>
  <c r="EP1" i="2"/>
  <c r="EO1" i="2"/>
  <c r="EN1" i="2"/>
  <c r="EM1" i="2"/>
  <c r="EL1" i="2"/>
  <c r="EK1" i="2"/>
  <c r="EJ1" i="2"/>
  <c r="EI1" i="2"/>
  <c r="EH1" i="2"/>
  <c r="EG1" i="2"/>
  <c r="EF1" i="2"/>
  <c r="EE1" i="2"/>
  <c r="ED1" i="2"/>
  <c r="EC1" i="2"/>
  <c r="EB1" i="2"/>
  <c r="EA1" i="2"/>
  <c r="DZ1" i="2"/>
  <c r="DY1" i="2"/>
  <c r="DX1" i="2"/>
  <c r="DW1" i="2"/>
  <c r="DV1" i="2"/>
  <c r="DU1" i="2"/>
  <c r="DT1" i="2"/>
  <c r="DS1" i="2"/>
  <c r="DR1" i="2"/>
  <c r="DQ1" i="2"/>
  <c r="DP1" i="2"/>
  <c r="DI1" i="2"/>
  <c r="DH1" i="2"/>
  <c r="DG1" i="2"/>
  <c r="DF1" i="2"/>
  <c r="DE1" i="2"/>
  <c r="DD1" i="2"/>
  <c r="DC1" i="2"/>
  <c r="DB1" i="2"/>
  <c r="DA1" i="2"/>
  <c r="CZ1" i="2"/>
  <c r="CY1" i="2"/>
  <c r="CX1" i="2"/>
  <c r="DL64" i="329" l="1"/>
  <c r="DM63" i="329"/>
  <c r="DI55" i="329"/>
  <c r="EY55" i="329" s="1"/>
  <c r="DJ57" i="329"/>
  <c r="DJ55" i="329"/>
  <c r="EZ55" i="329" s="1"/>
  <c r="DG378" i="329"/>
  <c r="DG96" i="329"/>
  <c r="DI70" i="329"/>
  <c r="EY57" i="329"/>
  <c r="DI57" i="329"/>
  <c r="EJ123" i="4"/>
  <c r="CL123" i="4"/>
  <c r="CH123" i="4"/>
  <c r="CD123" i="4"/>
  <c r="BZ123" i="4"/>
  <c r="BV123" i="4"/>
  <c r="BR123" i="4"/>
  <c r="BN123" i="4"/>
  <c r="BJ123" i="4"/>
  <c r="BF123" i="4"/>
  <c r="BB123" i="4"/>
  <c r="AX123" i="4"/>
  <c r="AT123" i="4"/>
  <c r="AP123" i="4"/>
  <c r="AL123" i="4"/>
  <c r="AH123" i="4"/>
  <c r="AD123" i="4"/>
  <c r="Z123" i="4"/>
  <c r="Y123" i="4"/>
  <c r="X123" i="4"/>
  <c r="W123" i="4"/>
  <c r="V123" i="4"/>
  <c r="U123" i="4"/>
  <c r="T123" i="4"/>
  <c r="S123" i="4"/>
  <c r="R123" i="4"/>
  <c r="Q123" i="4"/>
  <c r="P123" i="4"/>
  <c r="O123" i="4"/>
  <c r="N123" i="4"/>
  <c r="M123" i="4"/>
  <c r="L123" i="4"/>
  <c r="J123" i="4"/>
  <c r="I123" i="4"/>
  <c r="H123" i="4"/>
  <c r="F123" i="4"/>
  <c r="CP123" i="4"/>
  <c r="DM64" i="329" l="1"/>
  <c r="EZ64" i="329"/>
  <c r="EY71" i="329"/>
  <c r="DJ70" i="329"/>
  <c r="CU109" i="3"/>
  <c r="DG388" i="329"/>
  <c r="DI71" i="329"/>
  <c r="FB55" i="329"/>
  <c r="FC55" i="329" s="1"/>
  <c r="FD55" i="329" s="1"/>
  <c r="FE55" i="329" s="1"/>
  <c r="FF55" i="329" s="1"/>
  <c r="FG55" i="329" s="1"/>
  <c r="FH55" i="329" s="1"/>
  <c r="DJ71" i="329" l="1"/>
  <c r="DK70" i="329"/>
  <c r="CU91" i="3"/>
  <c r="CU93" i="3"/>
  <c r="DU137" i="2"/>
  <c r="DT137" i="2"/>
  <c r="DR137" i="2"/>
  <c r="DQ137" i="2"/>
  <c r="DP137" i="2"/>
  <c r="DK71" i="329" l="1"/>
  <c r="DL70" i="329"/>
  <c r="DL71" i="329" l="1"/>
  <c r="DM70" i="329"/>
  <c r="DM71" i="329" s="1"/>
  <c r="EN220" i="329"/>
  <c r="EM220" i="329"/>
  <c r="EL220" i="329"/>
  <c r="EN219" i="329"/>
  <c r="EM219" i="329"/>
  <c r="EL219" i="329"/>
  <c r="EN218" i="329"/>
  <c r="EM218" i="329"/>
  <c r="EL218" i="329"/>
  <c r="EN217" i="329"/>
  <c r="EM217" i="329"/>
  <c r="EL217" i="329"/>
  <c r="EN216" i="329"/>
  <c r="EM216" i="329"/>
  <c r="EL216" i="329"/>
  <c r="DH220" i="329"/>
  <c r="DF220" i="329"/>
  <c r="DE220" i="329"/>
  <c r="DC220" i="329"/>
  <c r="DB220" i="329"/>
  <c r="DA220" i="329"/>
  <c r="CZ220" i="329"/>
  <c r="CY220" i="329"/>
  <c r="CX220" i="329"/>
  <c r="CW220" i="329"/>
  <c r="CV220" i="329"/>
  <c r="CU220" i="329"/>
  <c r="CT220" i="329"/>
  <c r="CS220" i="329"/>
  <c r="CR220" i="329"/>
  <c r="CQ220" i="329"/>
  <c r="CP220" i="329"/>
  <c r="CO220" i="329"/>
  <c r="CN220" i="329"/>
  <c r="CM220" i="329"/>
  <c r="CL220" i="329"/>
  <c r="CK220" i="329"/>
  <c r="CJ220" i="329"/>
  <c r="CI220" i="329"/>
  <c r="CH220" i="329"/>
  <c r="CG220" i="329"/>
  <c r="CF220" i="329"/>
  <c r="CE220" i="329"/>
  <c r="CD220" i="329"/>
  <c r="CC220" i="329"/>
  <c r="CB220" i="329"/>
  <c r="CA220" i="329"/>
  <c r="BZ220" i="329"/>
  <c r="BY220" i="329"/>
  <c r="BX220" i="329"/>
  <c r="BW220" i="329"/>
  <c r="BV220" i="329"/>
  <c r="BU220" i="329"/>
  <c r="BT220" i="329"/>
  <c r="BS220" i="329"/>
  <c r="BR220" i="329"/>
  <c r="BQ220" i="329"/>
  <c r="BP220" i="329"/>
  <c r="BO220" i="329"/>
  <c r="BN220" i="329"/>
  <c r="BM220" i="329"/>
  <c r="BL220" i="329"/>
  <c r="BK220" i="329"/>
  <c r="BJ220" i="329"/>
  <c r="BI220" i="329"/>
  <c r="BH220" i="329"/>
  <c r="BG220" i="329"/>
  <c r="BF220" i="329"/>
  <c r="DH219" i="329"/>
  <c r="DF219" i="329"/>
  <c r="DE219" i="329"/>
  <c r="DC219" i="329"/>
  <c r="DB219" i="329"/>
  <c r="DA219" i="329"/>
  <c r="CZ219" i="329"/>
  <c r="CY219" i="329"/>
  <c r="CX219" i="329"/>
  <c r="CW219" i="329"/>
  <c r="CV219" i="329"/>
  <c r="CU219" i="329"/>
  <c r="CT219" i="329"/>
  <c r="CS219" i="329"/>
  <c r="CR219" i="329"/>
  <c r="CQ219" i="329"/>
  <c r="CP219" i="329"/>
  <c r="CO219" i="329"/>
  <c r="CN219" i="329"/>
  <c r="CM219" i="329"/>
  <c r="CL219" i="329"/>
  <c r="CK219" i="329"/>
  <c r="CJ219" i="329"/>
  <c r="CI219" i="329"/>
  <c r="CH219" i="329"/>
  <c r="CG219" i="329"/>
  <c r="CF219" i="329"/>
  <c r="CE219" i="329"/>
  <c r="CD219" i="329"/>
  <c r="CC219" i="329"/>
  <c r="CB219" i="329"/>
  <c r="CA219" i="329"/>
  <c r="BZ219" i="329"/>
  <c r="BY219" i="329"/>
  <c r="BX219" i="329"/>
  <c r="BW219" i="329"/>
  <c r="BV219" i="329"/>
  <c r="BU219" i="329"/>
  <c r="BT219" i="329"/>
  <c r="BS219" i="329"/>
  <c r="BR219" i="329"/>
  <c r="BQ219" i="329"/>
  <c r="BP219" i="329"/>
  <c r="BO219" i="329"/>
  <c r="BN219" i="329"/>
  <c r="BM219" i="329"/>
  <c r="BL219" i="329"/>
  <c r="BK219" i="329"/>
  <c r="BJ219" i="329"/>
  <c r="BI219" i="329"/>
  <c r="BH219" i="329"/>
  <c r="BG219" i="329"/>
  <c r="BF219" i="329"/>
  <c r="DH218" i="329"/>
  <c r="DF218" i="329"/>
  <c r="DE218" i="329"/>
  <c r="DC218" i="329"/>
  <c r="DB218" i="329"/>
  <c r="DA218" i="329"/>
  <c r="CZ218" i="329"/>
  <c r="CY218" i="329"/>
  <c r="CX218" i="329"/>
  <c r="CW218" i="329"/>
  <c r="CV218" i="329"/>
  <c r="CU218" i="329"/>
  <c r="CT218" i="329"/>
  <c r="CS218" i="329"/>
  <c r="CR218" i="329"/>
  <c r="CQ218" i="329"/>
  <c r="CP218" i="329"/>
  <c r="CO218" i="329"/>
  <c r="CN218" i="329"/>
  <c r="CM218" i="329"/>
  <c r="CL218" i="329"/>
  <c r="CK218" i="329"/>
  <c r="CJ218" i="329"/>
  <c r="CI218" i="329"/>
  <c r="CH218" i="329"/>
  <c r="CG218" i="329"/>
  <c r="CF218" i="329"/>
  <c r="CE218" i="329"/>
  <c r="CD218" i="329"/>
  <c r="CC218" i="329"/>
  <c r="CB218" i="329"/>
  <c r="CA218" i="329"/>
  <c r="BZ218" i="329"/>
  <c r="BY218" i="329"/>
  <c r="BX218" i="329"/>
  <c r="BW218" i="329"/>
  <c r="BV218" i="329"/>
  <c r="BU218" i="329"/>
  <c r="BT218" i="329"/>
  <c r="BS218" i="329"/>
  <c r="BR218" i="329"/>
  <c r="BQ218" i="329"/>
  <c r="BP218" i="329"/>
  <c r="BO218" i="329"/>
  <c r="BN218" i="329"/>
  <c r="BM218" i="329"/>
  <c r="BL218" i="329"/>
  <c r="BK218" i="329"/>
  <c r="BJ218" i="329"/>
  <c r="BI218" i="329"/>
  <c r="BH218" i="329"/>
  <c r="BG218" i="329"/>
  <c r="BF218" i="329"/>
  <c r="DH217" i="329"/>
  <c r="DF217" i="329"/>
  <c r="DE217" i="329"/>
  <c r="DC217" i="329"/>
  <c r="DB217" i="329"/>
  <c r="DA217" i="329"/>
  <c r="CZ217" i="329"/>
  <c r="CY217" i="329"/>
  <c r="CX217" i="329"/>
  <c r="CW217" i="329"/>
  <c r="CV217" i="329"/>
  <c r="CU217" i="329"/>
  <c r="CT217" i="329"/>
  <c r="CS217" i="329"/>
  <c r="CR217" i="329"/>
  <c r="CQ217" i="329"/>
  <c r="CP217" i="329"/>
  <c r="CO217" i="329"/>
  <c r="CN217" i="329"/>
  <c r="CM217" i="329"/>
  <c r="CL217" i="329"/>
  <c r="CK217" i="329"/>
  <c r="CJ217" i="329"/>
  <c r="CI217" i="329"/>
  <c r="CH217" i="329"/>
  <c r="CG217" i="329"/>
  <c r="CF217" i="329"/>
  <c r="CE217" i="329"/>
  <c r="CD217" i="329"/>
  <c r="CC217" i="329"/>
  <c r="CB217" i="329"/>
  <c r="CA217" i="329"/>
  <c r="BZ217" i="329"/>
  <c r="BY217" i="329"/>
  <c r="BX217" i="329"/>
  <c r="BW217" i="329"/>
  <c r="BV217" i="329"/>
  <c r="BU217" i="329"/>
  <c r="BT217" i="329"/>
  <c r="BS217" i="329"/>
  <c r="BR217" i="329"/>
  <c r="BQ217" i="329"/>
  <c r="BP217" i="329"/>
  <c r="BO217" i="329"/>
  <c r="BN217" i="329"/>
  <c r="BM217" i="329"/>
  <c r="BL217" i="329"/>
  <c r="BK217" i="329"/>
  <c r="BJ217" i="329"/>
  <c r="BI217" i="329"/>
  <c r="BH217" i="329"/>
  <c r="BG217" i="329"/>
  <c r="BF217" i="329"/>
  <c r="DH216" i="329"/>
  <c r="DF216" i="329"/>
  <c r="DE216" i="329"/>
  <c r="DC216" i="329"/>
  <c r="DB216" i="329"/>
  <c r="DA216" i="329"/>
  <c r="CZ216" i="329"/>
  <c r="CY216" i="329"/>
  <c r="CX216" i="329"/>
  <c r="CW216" i="329"/>
  <c r="CV216" i="329"/>
  <c r="CU216" i="329"/>
  <c r="CT216" i="329"/>
  <c r="CS216" i="329"/>
  <c r="CR216" i="329"/>
  <c r="CQ216" i="329"/>
  <c r="CP216" i="329"/>
  <c r="CO216" i="329"/>
  <c r="CN216" i="329"/>
  <c r="CM216" i="329"/>
  <c r="CL216" i="329"/>
  <c r="CK216" i="329"/>
  <c r="CJ216" i="329"/>
  <c r="CI216" i="329"/>
  <c r="CH216" i="329"/>
  <c r="CG216" i="329"/>
  <c r="CF216" i="329"/>
  <c r="CE216" i="329"/>
  <c r="CD216" i="329"/>
  <c r="CC216" i="329"/>
  <c r="CB216" i="329"/>
  <c r="CA216" i="329"/>
  <c r="BZ216" i="329"/>
  <c r="BY216" i="329"/>
  <c r="BX216" i="329"/>
  <c r="BW216" i="329"/>
  <c r="BV216" i="329"/>
  <c r="BU216" i="329"/>
  <c r="BT216" i="329"/>
  <c r="BS216" i="329"/>
  <c r="BR216" i="329"/>
  <c r="BQ216" i="329"/>
  <c r="BP216" i="329"/>
  <c r="BO216" i="329"/>
  <c r="BN216" i="329"/>
  <c r="BM216" i="329"/>
  <c r="BL216" i="329"/>
  <c r="BK216" i="329"/>
  <c r="BJ216" i="329"/>
  <c r="BI216" i="329"/>
  <c r="BH216" i="329"/>
  <c r="BG216" i="329"/>
  <c r="BF216" i="329"/>
  <c r="DD220" i="329"/>
  <c r="DD219" i="329"/>
  <c r="DD218" i="329"/>
  <c r="DD217" i="329"/>
  <c r="DF215" i="329" l="1"/>
  <c r="DH215" i="329"/>
  <c r="DL365" i="329" l="1"/>
  <c r="CR93" i="4" l="1"/>
  <c r="EE137" i="329"/>
  <c r="ED137" i="329"/>
  <c r="EB137" i="329"/>
  <c r="EA137" i="329"/>
  <c r="DZ137" i="329"/>
  <c r="DY137" i="329"/>
  <c r="DX137" i="329"/>
  <c r="DW137" i="329"/>
  <c r="DV137" i="329"/>
  <c r="DU137" i="329"/>
  <c r="DT137" i="329"/>
  <c r="DS137" i="329"/>
  <c r="DR137" i="329"/>
  <c r="DD394" i="329"/>
  <c r="DC394" i="329"/>
  <c r="DB394" i="329"/>
  <c r="DA394" i="329"/>
  <c r="CZ394" i="329"/>
  <c r="CY394" i="329"/>
  <c r="CY104" i="2" s="1"/>
  <c r="CX394" i="329"/>
  <c r="CW394" i="329"/>
  <c r="CV394" i="329"/>
  <c r="CV104" i="2" s="1"/>
  <c r="CU394" i="329"/>
  <c r="CU104" i="2" s="1"/>
  <c r="CT394" i="329"/>
  <c r="CS394" i="329"/>
  <c r="CR394" i="329"/>
  <c r="CQ394" i="329"/>
  <c r="CQ104" i="2" s="1"/>
  <c r="CP394" i="329"/>
  <c r="CP104" i="2" s="1"/>
  <c r="CO394" i="329"/>
  <c r="CN394" i="329"/>
  <c r="CN104" i="2" s="1"/>
  <c r="CM394" i="329"/>
  <c r="CM104" i="2" s="1"/>
  <c r="CL394" i="329"/>
  <c r="CK394" i="329"/>
  <c r="CJ394" i="329"/>
  <c r="CI394" i="329"/>
  <c r="CI104" i="2" s="1"/>
  <c r="CH394" i="329"/>
  <c r="CH104" i="2" s="1"/>
  <c r="CG394" i="329"/>
  <c r="CF394" i="329"/>
  <c r="CF104" i="2" s="1"/>
  <c r="CE394" i="329"/>
  <c r="CE104" i="2" s="1"/>
  <c r="CD394" i="329"/>
  <c r="CC394" i="329"/>
  <c r="CB394" i="329"/>
  <c r="CA394" i="329"/>
  <c r="CA104" i="2" s="1"/>
  <c r="BZ394" i="329"/>
  <c r="BZ104" i="2" s="1"/>
  <c r="BY394" i="329"/>
  <c r="BX394" i="329"/>
  <c r="BX104" i="2" s="1"/>
  <c r="BW394" i="329"/>
  <c r="BW104" i="2" s="1"/>
  <c r="BV394" i="329"/>
  <c r="BU394" i="329"/>
  <c r="BT394" i="329"/>
  <c r="BS394" i="329"/>
  <c r="BS104" i="2" s="1"/>
  <c r="BR394" i="329"/>
  <c r="BR104" i="2" s="1"/>
  <c r="BQ394" i="329"/>
  <c r="BP394" i="329"/>
  <c r="BP104" i="2" s="1"/>
  <c r="BO394" i="329"/>
  <c r="BO104" i="2" s="1"/>
  <c r="BN394" i="329"/>
  <c r="BM394" i="329"/>
  <c r="BL394" i="329"/>
  <c r="BK394" i="329"/>
  <c r="BK104" i="2" s="1"/>
  <c r="BJ394" i="329"/>
  <c r="BJ104" i="2" s="1"/>
  <c r="BI394" i="329"/>
  <c r="BH394" i="329"/>
  <c r="BH104" i="2" s="1"/>
  <c r="BG394" i="329"/>
  <c r="BG104" i="2" s="1"/>
  <c r="BF394" i="329"/>
  <c r="BE394" i="329"/>
  <c r="BD394" i="329"/>
  <c r="BC394" i="329"/>
  <c r="BC104" i="2" s="1"/>
  <c r="BB394" i="329"/>
  <c r="BB104" i="2" s="1"/>
  <c r="BA394" i="329"/>
  <c r="AZ394" i="329"/>
  <c r="AZ104" i="2" s="1"/>
  <c r="AY394" i="329"/>
  <c r="AY104" i="2" s="1"/>
  <c r="AX394" i="329"/>
  <c r="AW394" i="329"/>
  <c r="AV394" i="329"/>
  <c r="AU394" i="329"/>
  <c r="AU104" i="2" s="1"/>
  <c r="AT394" i="329"/>
  <c r="AT104" i="2" s="1"/>
  <c r="AS394" i="329"/>
  <c r="AR394" i="329"/>
  <c r="AR104" i="2" s="1"/>
  <c r="AQ394" i="329"/>
  <c r="AQ104" i="2" s="1"/>
  <c r="AP394" i="329"/>
  <c r="AO394" i="329"/>
  <c r="AN394" i="329"/>
  <c r="AM394" i="329"/>
  <c r="AM104" i="2" s="1"/>
  <c r="AL394" i="329"/>
  <c r="AL104" i="2" s="1"/>
  <c r="AK394" i="329"/>
  <c r="AJ394" i="329"/>
  <c r="AJ104" i="2" s="1"/>
  <c r="AI394" i="329"/>
  <c r="AI104" i="2" s="1"/>
  <c r="AH394" i="329"/>
  <c r="AG394" i="329"/>
  <c r="AF394" i="329"/>
  <c r="AE394" i="329"/>
  <c r="AE104" i="2" s="1"/>
  <c r="AD394" i="329"/>
  <c r="AD104" i="2" s="1"/>
  <c r="AC394" i="329"/>
  <c r="AB394" i="329"/>
  <c r="AB104" i="2" s="1"/>
  <c r="AA394" i="329"/>
  <c r="AA104" i="2" s="1"/>
  <c r="Z394" i="329"/>
  <c r="Y394" i="329"/>
  <c r="X394" i="329"/>
  <c r="W394" i="329"/>
  <c r="W104" i="2" s="1"/>
  <c r="V394" i="329"/>
  <c r="V104" i="2" s="1"/>
  <c r="U394" i="329"/>
  <c r="T394" i="329"/>
  <c r="T104" i="2" s="1"/>
  <c r="S394" i="329"/>
  <c r="S104" i="2" s="1"/>
  <c r="R394" i="329"/>
  <c r="Q394" i="329"/>
  <c r="P394" i="329"/>
  <c r="O394" i="329"/>
  <c r="O104" i="2" s="1"/>
  <c r="N394" i="329"/>
  <c r="N104" i="2" s="1"/>
  <c r="M394" i="329"/>
  <c r="L394" i="329"/>
  <c r="L104" i="2" s="1"/>
  <c r="K394" i="329"/>
  <c r="K104" i="2" s="1"/>
  <c r="J394" i="329"/>
  <c r="I394" i="329"/>
  <c r="H394" i="329"/>
  <c r="G394" i="329"/>
  <c r="G104" i="2" s="1"/>
  <c r="F394" i="329"/>
  <c r="F104" i="2" s="1"/>
  <c r="DD222" i="329"/>
  <c r="DC222" i="329"/>
  <c r="DB222" i="329"/>
  <c r="DA222" i="329"/>
  <c r="CZ222" i="329"/>
  <c r="CY222" i="329"/>
  <c r="CY221" i="329" s="1"/>
  <c r="CX222" i="329"/>
  <c r="CX221" i="329" s="1"/>
  <c r="CW222" i="329"/>
  <c r="CW221" i="329" s="1"/>
  <c r="CV222" i="329"/>
  <c r="CV221" i="329" s="1"/>
  <c r="CU222" i="329"/>
  <c r="CU221" i="329" s="1"/>
  <c r="CT222" i="329"/>
  <c r="CT221" i="329" s="1"/>
  <c r="CS222" i="329"/>
  <c r="CR222" i="329"/>
  <c r="CR221" i="329" s="1"/>
  <c r="CQ222" i="329"/>
  <c r="CQ221" i="329" s="1"/>
  <c r="CP222" i="329"/>
  <c r="CP221" i="329" s="1"/>
  <c r="CO222" i="329"/>
  <c r="CO221" i="329" s="1"/>
  <c r="CN222" i="329"/>
  <c r="CN221" i="329" s="1"/>
  <c r="CM222" i="329"/>
  <c r="CM221" i="329" s="1"/>
  <c r="CL222" i="329"/>
  <c r="CL221" i="329" s="1"/>
  <c r="CK222" i="329"/>
  <c r="CJ222" i="329"/>
  <c r="CJ221" i="329" s="1"/>
  <c r="CI222" i="329"/>
  <c r="CH222" i="329"/>
  <c r="CH221" i="329" s="1"/>
  <c r="CG222" i="329"/>
  <c r="CG221" i="329" s="1"/>
  <c r="CF222" i="329"/>
  <c r="CF221" i="329" s="1"/>
  <c r="CE222" i="329"/>
  <c r="CE221" i="329" s="1"/>
  <c r="CD222" i="329"/>
  <c r="CC222" i="329"/>
  <c r="CC221" i="329" s="1"/>
  <c r="CB222" i="329"/>
  <c r="CB221" i="329" s="1"/>
  <c r="CA222" i="329"/>
  <c r="CA221" i="329" s="1"/>
  <c r="BZ222" i="329"/>
  <c r="BZ221" i="329" s="1"/>
  <c r="BY222" i="329"/>
  <c r="BY221" i="329" s="1"/>
  <c r="BX222" i="329"/>
  <c r="BX221" i="329" s="1"/>
  <c r="BW222" i="329"/>
  <c r="BW221" i="329" s="1"/>
  <c r="BV222" i="329"/>
  <c r="BV221" i="329" s="1"/>
  <c r="BU222" i="329"/>
  <c r="BU221" i="329" s="1"/>
  <c r="BT222" i="329"/>
  <c r="BT221" i="329" s="1"/>
  <c r="BS222" i="329"/>
  <c r="BS221" i="329" s="1"/>
  <c r="BR222" i="329"/>
  <c r="BR221" i="329" s="1"/>
  <c r="BQ222" i="329"/>
  <c r="BQ221" i="329" s="1"/>
  <c r="BP222" i="329"/>
  <c r="BP221" i="329" s="1"/>
  <c r="BO222" i="329"/>
  <c r="BO221" i="329" s="1"/>
  <c r="BN222" i="329"/>
  <c r="BN221" i="329" s="1"/>
  <c r="BM222" i="329"/>
  <c r="BM221" i="329" s="1"/>
  <c r="BL222" i="329"/>
  <c r="BL221" i="329" s="1"/>
  <c r="BK222" i="329"/>
  <c r="BK221" i="329" s="1"/>
  <c r="BJ222" i="329"/>
  <c r="BJ221" i="329" s="1"/>
  <c r="BI222" i="329"/>
  <c r="BI221" i="329" s="1"/>
  <c r="BH222" i="329"/>
  <c r="BH221" i="329" s="1"/>
  <c r="BG222" i="329"/>
  <c r="BG221" i="329" s="1"/>
  <c r="BF222" i="329"/>
  <c r="BF221" i="329" s="1"/>
  <c r="BE222" i="329"/>
  <c r="BD222" i="329"/>
  <c r="BC222" i="329"/>
  <c r="BB222" i="329"/>
  <c r="BA222" i="329"/>
  <c r="AZ222" i="329"/>
  <c r="AY222" i="329"/>
  <c r="AX222" i="329"/>
  <c r="AW222" i="329"/>
  <c r="AV222" i="329"/>
  <c r="AU222" i="329"/>
  <c r="AT222" i="329"/>
  <c r="AS222" i="329"/>
  <c r="AR222" i="329"/>
  <c r="AQ222" i="329"/>
  <c r="AP222" i="329"/>
  <c r="AO222" i="329"/>
  <c r="AN222" i="329"/>
  <c r="AM222" i="329"/>
  <c r="AL222" i="329"/>
  <c r="AK222" i="329"/>
  <c r="AJ222" i="329"/>
  <c r="AI222" i="329"/>
  <c r="AH222" i="329"/>
  <c r="AG222" i="329"/>
  <c r="AF222" i="329"/>
  <c r="AE222" i="329"/>
  <c r="AD222" i="329"/>
  <c r="EB118" i="329"/>
  <c r="EA118" i="329"/>
  <c r="DZ118" i="329"/>
  <c r="EB117" i="329"/>
  <c r="EA117" i="329"/>
  <c r="DZ117" i="329"/>
  <c r="DR138" i="329"/>
  <c r="DR140" i="329" s="1"/>
  <c r="DD143" i="329"/>
  <c r="DC143" i="329"/>
  <c r="DB143" i="329"/>
  <c r="DA143" i="329"/>
  <c r="CZ143" i="329"/>
  <c r="CY143" i="329"/>
  <c r="CX143" i="329"/>
  <c r="CW143" i="329"/>
  <c r="CV143" i="329"/>
  <c r="CU143" i="329"/>
  <c r="CT143" i="329"/>
  <c r="CS143" i="329"/>
  <c r="CR143" i="329"/>
  <c r="CQ143" i="329"/>
  <c r="CP143" i="329"/>
  <c r="CO143" i="329"/>
  <c r="CN143" i="329"/>
  <c r="CM143" i="329"/>
  <c r="CL143" i="329"/>
  <c r="CK143" i="329"/>
  <c r="CJ143" i="329"/>
  <c r="CI143" i="329"/>
  <c r="CH143" i="329"/>
  <c r="CG143" i="329"/>
  <c r="CF143" i="329"/>
  <c r="CE143" i="329"/>
  <c r="CD143" i="329"/>
  <c r="CC143" i="329"/>
  <c r="CB143" i="329"/>
  <c r="CA143" i="329"/>
  <c r="BZ143" i="329"/>
  <c r="BY143" i="329"/>
  <c r="BX143" i="329"/>
  <c r="BW143" i="329"/>
  <c r="BV143" i="329"/>
  <c r="BU143" i="329"/>
  <c r="BT143" i="329"/>
  <c r="BS143" i="329"/>
  <c r="BR143" i="329"/>
  <c r="BQ143" i="329"/>
  <c r="BP143" i="329"/>
  <c r="BO143" i="329"/>
  <c r="BN143" i="329"/>
  <c r="BM143" i="329"/>
  <c r="BL143" i="329"/>
  <c r="BK143" i="329"/>
  <c r="BJ143" i="329"/>
  <c r="BI143" i="329"/>
  <c r="BH143" i="329"/>
  <c r="BG143" i="329"/>
  <c r="BF143" i="329"/>
  <c r="BE143" i="329"/>
  <c r="BD143" i="329"/>
  <c r="BC143" i="329"/>
  <c r="BB143" i="329"/>
  <c r="BA143" i="329"/>
  <c r="AZ143" i="329"/>
  <c r="AY143" i="329"/>
  <c r="AX143" i="329"/>
  <c r="AW143" i="329"/>
  <c r="AV143" i="329"/>
  <c r="AU143" i="329"/>
  <c r="AT143" i="329"/>
  <c r="AS143" i="329"/>
  <c r="AR143" i="329"/>
  <c r="AQ143" i="329"/>
  <c r="AP143" i="329"/>
  <c r="AO143" i="329"/>
  <c r="AN143" i="329"/>
  <c r="AM143" i="329"/>
  <c r="AL143" i="329"/>
  <c r="AK143" i="329"/>
  <c r="AJ143" i="329"/>
  <c r="AI143" i="329"/>
  <c r="AH143" i="329"/>
  <c r="AG143" i="329"/>
  <c r="AF143" i="329"/>
  <c r="AE143" i="329"/>
  <c r="AD143" i="329"/>
  <c r="AC143" i="329"/>
  <c r="AB143" i="329"/>
  <c r="AA143" i="329"/>
  <c r="Z143" i="329"/>
  <c r="Y143" i="329"/>
  <c r="X143" i="329"/>
  <c r="W143" i="329"/>
  <c r="V143" i="329"/>
  <c r="U143" i="329"/>
  <c r="T143" i="329"/>
  <c r="S143" i="329"/>
  <c r="R143" i="329"/>
  <c r="DD142" i="329"/>
  <c r="DC142" i="329"/>
  <c r="DB142" i="329"/>
  <c r="DA142" i="329"/>
  <c r="CZ142" i="329"/>
  <c r="CY142" i="329"/>
  <c r="CX142" i="329"/>
  <c r="CW142" i="329"/>
  <c r="CV142" i="329"/>
  <c r="CU142" i="329"/>
  <c r="CT142" i="329"/>
  <c r="CS142" i="329"/>
  <c r="CR142" i="329"/>
  <c r="CQ142" i="329"/>
  <c r="CP142" i="329"/>
  <c r="CO142" i="329"/>
  <c r="CN142" i="329"/>
  <c r="CM142" i="329"/>
  <c r="CL142" i="329"/>
  <c r="CK142" i="329"/>
  <c r="CJ142" i="329"/>
  <c r="CI142" i="329"/>
  <c r="CH142" i="329"/>
  <c r="CG142" i="329"/>
  <c r="CF142" i="329"/>
  <c r="CE142" i="329"/>
  <c r="CD142" i="329"/>
  <c r="CC142" i="329"/>
  <c r="CB142" i="329"/>
  <c r="CA142" i="329"/>
  <c r="BZ142" i="329"/>
  <c r="BY142" i="329"/>
  <c r="BX142" i="329"/>
  <c r="BW142" i="329"/>
  <c r="BV142" i="329"/>
  <c r="BU142" i="329"/>
  <c r="BT142" i="329"/>
  <c r="BS142" i="329"/>
  <c r="BR142" i="329"/>
  <c r="BQ142" i="329"/>
  <c r="BP142" i="329"/>
  <c r="BO142" i="329"/>
  <c r="BN142" i="329"/>
  <c r="BM142" i="329"/>
  <c r="BL142" i="329"/>
  <c r="BK142" i="329"/>
  <c r="BJ142" i="329"/>
  <c r="BI142" i="329"/>
  <c r="BH142" i="329"/>
  <c r="BG142" i="329"/>
  <c r="BF142" i="329"/>
  <c r="BE142" i="329"/>
  <c r="BD142" i="329"/>
  <c r="BC142" i="329"/>
  <c r="BB142" i="329"/>
  <c r="BA142" i="329"/>
  <c r="AZ142" i="329"/>
  <c r="AY142" i="329"/>
  <c r="AX142" i="329"/>
  <c r="AW142" i="329"/>
  <c r="AV142" i="329"/>
  <c r="AU142" i="329"/>
  <c r="AT142" i="329"/>
  <c r="AS142" i="329"/>
  <c r="AR142" i="329"/>
  <c r="AQ142" i="329"/>
  <c r="AP142" i="329"/>
  <c r="AO142" i="329"/>
  <c r="AN142" i="329"/>
  <c r="AM142" i="329"/>
  <c r="AL142" i="329"/>
  <c r="AK142" i="329"/>
  <c r="AJ142" i="329"/>
  <c r="AI142" i="329"/>
  <c r="AH142" i="329"/>
  <c r="AG142" i="329"/>
  <c r="AF142" i="329"/>
  <c r="AE142" i="329"/>
  <c r="AD142" i="329"/>
  <c r="AC142" i="329"/>
  <c r="AB142" i="329"/>
  <c r="AA142" i="329"/>
  <c r="Z142" i="329"/>
  <c r="Y142" i="329"/>
  <c r="X142" i="329"/>
  <c r="W142" i="329"/>
  <c r="V142" i="329"/>
  <c r="U142" i="329"/>
  <c r="T142" i="329"/>
  <c r="S142" i="329"/>
  <c r="R142" i="329"/>
  <c r="DD141" i="329"/>
  <c r="DC141" i="329"/>
  <c r="DB141" i="329"/>
  <c r="DA141" i="329"/>
  <c r="CZ141" i="329"/>
  <c r="CY141" i="329"/>
  <c r="CX141" i="329"/>
  <c r="CW141" i="329"/>
  <c r="CV141" i="329"/>
  <c r="CU141" i="329"/>
  <c r="CT141" i="329"/>
  <c r="CS141" i="329"/>
  <c r="CR141" i="329"/>
  <c r="CQ141" i="329"/>
  <c r="CP141" i="329"/>
  <c r="CO141" i="329"/>
  <c r="CN141" i="329"/>
  <c r="CM141" i="329"/>
  <c r="CL141" i="329"/>
  <c r="CK141" i="329"/>
  <c r="CJ141" i="329"/>
  <c r="CI141" i="329"/>
  <c r="CH141" i="329"/>
  <c r="CG141" i="329"/>
  <c r="CF141" i="329"/>
  <c r="CE141" i="329"/>
  <c r="CD141" i="329"/>
  <c r="CC141" i="329"/>
  <c r="CB141" i="329"/>
  <c r="CA141" i="329"/>
  <c r="BZ141" i="329"/>
  <c r="BY141" i="329"/>
  <c r="BX141" i="329"/>
  <c r="BW141" i="329"/>
  <c r="BV141" i="329"/>
  <c r="BU141" i="329"/>
  <c r="BT141" i="329"/>
  <c r="BS141" i="329"/>
  <c r="BR141" i="329"/>
  <c r="BQ141" i="329"/>
  <c r="BP141" i="329"/>
  <c r="BO141" i="329"/>
  <c r="BN141" i="329"/>
  <c r="BM141" i="329"/>
  <c r="BL141" i="329"/>
  <c r="BK141" i="329"/>
  <c r="BJ141" i="329"/>
  <c r="BI141" i="329"/>
  <c r="BH141" i="329"/>
  <c r="BG141" i="329"/>
  <c r="BF141" i="329"/>
  <c r="BE141" i="329"/>
  <c r="BD141" i="329"/>
  <c r="BC141" i="329"/>
  <c r="BB141" i="329"/>
  <c r="BA141" i="329"/>
  <c r="AZ141" i="329"/>
  <c r="AY141" i="329"/>
  <c r="AX141" i="329"/>
  <c r="AW141" i="329"/>
  <c r="AV141" i="329"/>
  <c r="AU141" i="329"/>
  <c r="AT141" i="329"/>
  <c r="AS141" i="329"/>
  <c r="AR141" i="329"/>
  <c r="AQ141" i="329"/>
  <c r="AP141" i="329"/>
  <c r="AO141" i="329"/>
  <c r="AN141" i="329"/>
  <c r="AM141" i="329"/>
  <c r="AL141" i="329"/>
  <c r="AK141" i="329"/>
  <c r="AJ141" i="329"/>
  <c r="AI141" i="329"/>
  <c r="AH141" i="329"/>
  <c r="AG141" i="329"/>
  <c r="AF141" i="329"/>
  <c r="AE141" i="329"/>
  <c r="AD141" i="329"/>
  <c r="AC141" i="329"/>
  <c r="AB141" i="329"/>
  <c r="AA141" i="329"/>
  <c r="Z141" i="329"/>
  <c r="Y141" i="329"/>
  <c r="X141" i="329"/>
  <c r="W141" i="329"/>
  <c r="V141" i="329"/>
  <c r="U141" i="329"/>
  <c r="T141" i="329"/>
  <c r="S141" i="329"/>
  <c r="R141" i="329"/>
  <c r="P143" i="329"/>
  <c r="O143" i="329"/>
  <c r="N143" i="329"/>
  <c r="Q143" i="329"/>
  <c r="Q142" i="329"/>
  <c r="P142" i="329"/>
  <c r="O142" i="329"/>
  <c r="N142" i="329"/>
  <c r="Q141" i="329"/>
  <c r="P141" i="329"/>
  <c r="O141" i="329"/>
  <c r="N141" i="329"/>
  <c r="L142" i="329"/>
  <c r="K142" i="329"/>
  <c r="J142" i="329"/>
  <c r="L141" i="329"/>
  <c r="K141" i="329"/>
  <c r="J141" i="329"/>
  <c r="I141" i="329"/>
  <c r="H141" i="329"/>
  <c r="G141" i="329"/>
  <c r="F141" i="329"/>
  <c r="M142" i="329"/>
  <c r="M141" i="329"/>
  <c r="D137" i="329"/>
  <c r="D111" i="329" s="1"/>
  <c r="C137" i="329"/>
  <c r="C111" i="329" s="1"/>
  <c r="B137" i="329"/>
  <c r="B111" i="329" s="1"/>
  <c r="E137" i="329"/>
  <c r="E111" i="329" s="1"/>
  <c r="E139" i="329"/>
  <c r="I138" i="329" s="1"/>
  <c r="I137" i="329" s="1"/>
  <c r="I111" i="329" s="1"/>
  <c r="D139" i="329"/>
  <c r="H138" i="329" s="1"/>
  <c r="H137" i="329" s="1"/>
  <c r="H111" i="329" s="1"/>
  <c r="C139" i="329"/>
  <c r="G138" i="329" s="1"/>
  <c r="G137" i="329" s="1"/>
  <c r="G111" i="329" s="1"/>
  <c r="B139" i="329"/>
  <c r="F138" i="329" s="1"/>
  <c r="F137" i="329" s="1"/>
  <c r="F111" i="329" s="1"/>
  <c r="AW139" i="329"/>
  <c r="BA138" i="329" s="1"/>
  <c r="BA137" i="329" s="1"/>
  <c r="BA111" i="329" s="1"/>
  <c r="AV139" i="329"/>
  <c r="AZ138" i="329" s="1"/>
  <c r="AZ137" i="329" s="1"/>
  <c r="AZ111" i="329" s="1"/>
  <c r="AU139" i="329"/>
  <c r="AY138" i="329" s="1"/>
  <c r="AY137" i="329" s="1"/>
  <c r="AY111" i="329" s="1"/>
  <c r="AT139" i="329"/>
  <c r="AX138" i="329" s="1"/>
  <c r="AX137" i="329" s="1"/>
  <c r="AX111" i="329" s="1"/>
  <c r="AS139" i="329"/>
  <c r="AW138" i="329" s="1"/>
  <c r="AW137" i="329" s="1"/>
  <c r="AW111" i="329" s="1"/>
  <c r="AR139" i="329"/>
  <c r="AV138" i="329" s="1"/>
  <c r="AV137" i="329" s="1"/>
  <c r="AV111" i="329" s="1"/>
  <c r="AQ139" i="329"/>
  <c r="AU138" i="329" s="1"/>
  <c r="AU137" i="329" s="1"/>
  <c r="AU111" i="329" s="1"/>
  <c r="AP139" i="329"/>
  <c r="AT138" i="329" s="1"/>
  <c r="AT137" i="329" s="1"/>
  <c r="AT111" i="329" s="1"/>
  <c r="AO139" i="329"/>
  <c r="AS138" i="329" s="1"/>
  <c r="AS137" i="329" s="1"/>
  <c r="AS111" i="329" s="1"/>
  <c r="BA117" i="329" s="1"/>
  <c r="AN139" i="329"/>
  <c r="AM139" i="329"/>
  <c r="AQ138" i="329" s="1"/>
  <c r="AQ137" i="329" s="1"/>
  <c r="AQ111" i="329" s="1"/>
  <c r="AY117" i="329" s="1"/>
  <c r="AL139" i="329"/>
  <c r="AP138" i="329" s="1"/>
  <c r="AP137" i="329" s="1"/>
  <c r="AP111" i="329" s="1"/>
  <c r="AX117" i="329" s="1"/>
  <c r="AK139" i="329"/>
  <c r="AO138" i="329" s="1"/>
  <c r="AO137" i="329" s="1"/>
  <c r="AO111" i="329" s="1"/>
  <c r="AJ139" i="329"/>
  <c r="AN138" i="329" s="1"/>
  <c r="AN137" i="329" s="1"/>
  <c r="AN111" i="329" s="1"/>
  <c r="AI139" i="329"/>
  <c r="AM138" i="329" s="1"/>
  <c r="AM137" i="329" s="1"/>
  <c r="AM111" i="329" s="1"/>
  <c r="AH139" i="329"/>
  <c r="AL138" i="329" s="1"/>
  <c r="AL137" i="329" s="1"/>
  <c r="AL111" i="329" s="1"/>
  <c r="AF139" i="329"/>
  <c r="AJ138" i="329" s="1"/>
  <c r="AJ137" i="329" s="1"/>
  <c r="AJ111" i="329" s="1"/>
  <c r="AE139" i="329"/>
  <c r="AI138" i="329" s="1"/>
  <c r="AI137" i="329" s="1"/>
  <c r="AI111" i="329" s="1"/>
  <c r="AD139" i="329"/>
  <c r="AH138" i="329" s="1"/>
  <c r="AH137" i="329" s="1"/>
  <c r="AH111" i="329" s="1"/>
  <c r="AC139" i="329"/>
  <c r="AG138" i="329" s="1"/>
  <c r="AG137" i="329" s="1"/>
  <c r="AG111" i="329" s="1"/>
  <c r="AB139" i="329"/>
  <c r="AF138" i="329" s="1"/>
  <c r="AF137" i="329" s="1"/>
  <c r="AF111" i="329" s="1"/>
  <c r="AA139" i="329"/>
  <c r="AE138" i="329" s="1"/>
  <c r="AE137" i="329" s="1"/>
  <c r="AE111" i="329" s="1"/>
  <c r="Z139" i="329"/>
  <c r="AD138" i="329" s="1"/>
  <c r="AD137" i="329" s="1"/>
  <c r="AD111" i="329" s="1"/>
  <c r="Y139" i="329"/>
  <c r="AC138" i="329" s="1"/>
  <c r="AC137" i="329" s="1"/>
  <c r="AC111" i="329" s="1"/>
  <c r="X139" i="329"/>
  <c r="AB138" i="329" s="1"/>
  <c r="AB137" i="329" s="1"/>
  <c r="AB111" i="329" s="1"/>
  <c r="AJ117" i="329" s="1"/>
  <c r="W139" i="329"/>
  <c r="AA138" i="329" s="1"/>
  <c r="AA137" i="329" s="1"/>
  <c r="AA111" i="329" s="1"/>
  <c r="V139" i="329"/>
  <c r="Z138" i="329" s="1"/>
  <c r="Z137" i="329" s="1"/>
  <c r="Z111" i="329" s="1"/>
  <c r="U139" i="329"/>
  <c r="Y138" i="329" s="1"/>
  <c r="Y137" i="329" s="1"/>
  <c r="Y111" i="329" s="1"/>
  <c r="T139" i="329"/>
  <c r="X138" i="329" s="1"/>
  <c r="X137" i="329" s="1"/>
  <c r="X111" i="329" s="1"/>
  <c r="S139" i="329"/>
  <c r="W138" i="329" s="1"/>
  <c r="W137" i="329" s="1"/>
  <c r="W111" i="329" s="1"/>
  <c r="R139" i="329"/>
  <c r="V138" i="329" s="1"/>
  <c r="V137" i="329" s="1"/>
  <c r="V111" i="329" s="1"/>
  <c r="Q139" i="329"/>
  <c r="U138" i="329" s="1"/>
  <c r="U137" i="329" s="1"/>
  <c r="U111" i="329" s="1"/>
  <c r="P139" i="329"/>
  <c r="T138" i="329" s="1"/>
  <c r="T137" i="329" s="1"/>
  <c r="T111" i="329" s="1"/>
  <c r="AB117" i="329" s="1"/>
  <c r="O139" i="329"/>
  <c r="S138" i="329" s="1"/>
  <c r="S137" i="329" s="1"/>
  <c r="S111" i="329" s="1"/>
  <c r="N139" i="329"/>
  <c r="R138" i="329" s="1"/>
  <c r="R137" i="329" s="1"/>
  <c r="R111" i="329" s="1"/>
  <c r="M139" i="329"/>
  <c r="Q138" i="329" s="1"/>
  <c r="Q137" i="329" s="1"/>
  <c r="Q111" i="329" s="1"/>
  <c r="L139" i="329"/>
  <c r="P138" i="329" s="1"/>
  <c r="P137" i="329" s="1"/>
  <c r="P111" i="329" s="1"/>
  <c r="X117" i="329" s="1"/>
  <c r="K139" i="329"/>
  <c r="O138" i="329" s="1"/>
  <c r="O137" i="329" s="1"/>
  <c r="O111" i="329" s="1"/>
  <c r="J139" i="329"/>
  <c r="N138" i="329" s="1"/>
  <c r="N137" i="329" s="1"/>
  <c r="N111" i="329" s="1"/>
  <c r="I139" i="329"/>
  <c r="M138" i="329" s="1"/>
  <c r="M137" i="329" s="1"/>
  <c r="M111" i="329" s="1"/>
  <c r="H139" i="329"/>
  <c r="L138" i="329" s="1"/>
  <c r="L137" i="329" s="1"/>
  <c r="L111" i="329" s="1"/>
  <c r="G139" i="329"/>
  <c r="K138" i="329" s="1"/>
  <c r="K137" i="329" s="1"/>
  <c r="K111" i="329" s="1"/>
  <c r="F139" i="329"/>
  <c r="J138" i="329" s="1"/>
  <c r="J137" i="329" s="1"/>
  <c r="J111" i="329" s="1"/>
  <c r="R117" i="329" s="1"/>
  <c r="AR138" i="329"/>
  <c r="AR137" i="329" s="1"/>
  <c r="AR111" i="329" s="1"/>
  <c r="DF134" i="329"/>
  <c r="CR27" i="3"/>
  <c r="DD32" i="2"/>
  <c r="DD229" i="2"/>
  <c r="DD12" i="2"/>
  <c r="DD63" i="2"/>
  <c r="DD59" i="2"/>
  <c r="DD58" i="2"/>
  <c r="DD183" i="2"/>
  <c r="DD179" i="2"/>
  <c r="DD325" i="329"/>
  <c r="DD350" i="329" s="1"/>
  <c r="DD287" i="329"/>
  <c r="DD295" i="329" s="1"/>
  <c r="DD259" i="329"/>
  <c r="DD290" i="329" s="1"/>
  <c r="DE293" i="329" s="1"/>
  <c r="DD272" i="329"/>
  <c r="DD271" i="329"/>
  <c r="DD270" i="329"/>
  <c r="DD269" i="329"/>
  <c r="DD268" i="329"/>
  <c r="DD267" i="329"/>
  <c r="DD266" i="329"/>
  <c r="DD265" i="329"/>
  <c r="DD264" i="329"/>
  <c r="DD263" i="329"/>
  <c r="DD262" i="329"/>
  <c r="DD58" i="329"/>
  <c r="DD55" i="329"/>
  <c r="DD50" i="329"/>
  <c r="DD48" i="329"/>
  <c r="DE49" i="329" s="1"/>
  <c r="DE83" i="329" s="1"/>
  <c r="DE90" i="329" s="1"/>
  <c r="DD46" i="329"/>
  <c r="CR5" i="4"/>
  <c r="CR5" i="3"/>
  <c r="DD5" i="329"/>
  <c r="EU17" i="4"/>
  <c r="EU16" i="4"/>
  <c r="EU48" i="4" s="1"/>
  <c r="EU15" i="4"/>
  <c r="EU13" i="4"/>
  <c r="EU12" i="4"/>
  <c r="EU11" i="4"/>
  <c r="EU10" i="4"/>
  <c r="FH348" i="329"/>
  <c r="FH344" i="329"/>
  <c r="FH336" i="329"/>
  <c r="FH332" i="329"/>
  <c r="FH317" i="329"/>
  <c r="FH315" i="329"/>
  <c r="FH314" i="329"/>
  <c r="FH243" i="329"/>
  <c r="FH154" i="329"/>
  <c r="FH132" i="329"/>
  <c r="FH130" i="329"/>
  <c r="FH129" i="329"/>
  <c r="FH114" i="329"/>
  <c r="FH112" i="329"/>
  <c r="FH111" i="329"/>
  <c r="FH137" i="329" s="1"/>
  <c r="FH90" i="329"/>
  <c r="DF365" i="329"/>
  <c r="EL29" i="3"/>
  <c r="EY323" i="329"/>
  <c r="EY33" i="2"/>
  <c r="EY32" i="2"/>
  <c r="EY29" i="2"/>
  <c r="EY28" i="2"/>
  <c r="EX23" i="2"/>
  <c r="EX28" i="2"/>
  <c r="EX29" i="2"/>
  <c r="DI395" i="329"/>
  <c r="DH395" i="329"/>
  <c r="DF395" i="329"/>
  <c r="DI348" i="329"/>
  <c r="DI344" i="329"/>
  <c r="DI340" i="329"/>
  <c r="DI336" i="329"/>
  <c r="DI332" i="329"/>
  <c r="DG105" i="2"/>
  <c r="DI243" i="329"/>
  <c r="DH243" i="329"/>
  <c r="DF243" i="329"/>
  <c r="DI213" i="329"/>
  <c r="DH213" i="329"/>
  <c r="DF213" i="329"/>
  <c r="DI212" i="329"/>
  <c r="DH212" i="329"/>
  <c r="DF212" i="329"/>
  <c r="DI211" i="329"/>
  <c r="DH211" i="329"/>
  <c r="DF211" i="329"/>
  <c r="DI208" i="329"/>
  <c r="DH208" i="329"/>
  <c r="DF208" i="329"/>
  <c r="DI207" i="329"/>
  <c r="DH207" i="329"/>
  <c r="DF207" i="329"/>
  <c r="DI206" i="329"/>
  <c r="DH206" i="329"/>
  <c r="DF206" i="329"/>
  <c r="DI203" i="329"/>
  <c r="DH203" i="329"/>
  <c r="DF203" i="329"/>
  <c r="DI202" i="329"/>
  <c r="DH202" i="329"/>
  <c r="DF202" i="329"/>
  <c r="DI201" i="329"/>
  <c r="DH201" i="329"/>
  <c r="DF201" i="329"/>
  <c r="DI198" i="329"/>
  <c r="DH198" i="329"/>
  <c r="DF198" i="329"/>
  <c r="DI197" i="329"/>
  <c r="DH197" i="329"/>
  <c r="DF197" i="329"/>
  <c r="DI196" i="329"/>
  <c r="DH196" i="329"/>
  <c r="DF196" i="329"/>
  <c r="DI193" i="329"/>
  <c r="DH193" i="329"/>
  <c r="DF193" i="329"/>
  <c r="DI192" i="329"/>
  <c r="DH192" i="329"/>
  <c r="DF192" i="329"/>
  <c r="DI191" i="329"/>
  <c r="DH191" i="329"/>
  <c r="DF191" i="329"/>
  <c r="B118" i="4"/>
  <c r="B117" i="4"/>
  <c r="ED118" i="4"/>
  <c r="EB118" i="4"/>
  <c r="EA118" i="4"/>
  <c r="DZ118" i="4"/>
  <c r="DY118" i="4"/>
  <c r="DX118" i="4"/>
  <c r="DW118" i="4"/>
  <c r="DV118" i="4"/>
  <c r="DU118" i="4"/>
  <c r="DT118" i="4"/>
  <c r="DS118" i="4"/>
  <c r="DR118" i="4"/>
  <c r="DQ118" i="4"/>
  <c r="DP118" i="4"/>
  <c r="ED117" i="4"/>
  <c r="EC117" i="4"/>
  <c r="EA117" i="4"/>
  <c r="DU117" i="4"/>
  <c r="DT117" i="4"/>
  <c r="DS117" i="4"/>
  <c r="EJ118" i="4"/>
  <c r="EI118" i="4"/>
  <c r="EG118" i="4"/>
  <c r="EI117" i="4"/>
  <c r="EG117" i="4"/>
  <c r="CP118" i="4"/>
  <c r="CL118" i="4"/>
  <c r="CH118" i="4"/>
  <c r="CD118" i="4"/>
  <c r="BV118" i="4"/>
  <c r="BN118" i="4"/>
  <c r="BJ118" i="4"/>
  <c r="BF118" i="4"/>
  <c r="BB118" i="4"/>
  <c r="AX118" i="4"/>
  <c r="AT118" i="4"/>
  <c r="AQ118" i="4"/>
  <c r="AP118" i="4"/>
  <c r="AO118" i="4"/>
  <c r="AN118" i="4"/>
  <c r="AM118" i="4"/>
  <c r="AL118" i="4"/>
  <c r="AK118" i="4"/>
  <c r="AJ118" i="4"/>
  <c r="AI118" i="4"/>
  <c r="AH118" i="4"/>
  <c r="AG118" i="4"/>
  <c r="AF118" i="4"/>
  <c r="AE118" i="4"/>
  <c r="AD118" i="4"/>
  <c r="AC118" i="4"/>
  <c r="AB118" i="4"/>
  <c r="AA118" i="4"/>
  <c r="Z118" i="4"/>
  <c r="Y118" i="4"/>
  <c r="X118" i="4"/>
  <c r="W118" i="4"/>
  <c r="V118" i="4"/>
  <c r="U118" i="4"/>
  <c r="T118" i="4"/>
  <c r="S118" i="4"/>
  <c r="R118" i="4"/>
  <c r="Q118" i="4"/>
  <c r="P118" i="4"/>
  <c r="O118" i="4"/>
  <c r="N118" i="4"/>
  <c r="M118" i="4"/>
  <c r="L118" i="4"/>
  <c r="K118" i="4"/>
  <c r="J118" i="4"/>
  <c r="I118" i="4"/>
  <c r="H118" i="4"/>
  <c r="G118" i="4"/>
  <c r="F118" i="4"/>
  <c r="E118" i="4"/>
  <c r="D118" i="4"/>
  <c r="C118" i="4"/>
  <c r="CP117" i="4"/>
  <c r="CL117" i="4"/>
  <c r="CH117" i="4"/>
  <c r="CD117" i="4"/>
  <c r="BZ117" i="4"/>
  <c r="BV117" i="4"/>
  <c r="BR117" i="4"/>
  <c r="BN117" i="4"/>
  <c r="BJ117" i="4"/>
  <c r="AP117" i="4"/>
  <c r="AN117" i="4"/>
  <c r="AM117" i="4"/>
  <c r="AL117" i="4"/>
  <c r="AH117" i="4"/>
  <c r="AD117" i="4"/>
  <c r="Y117" i="4"/>
  <c r="X117" i="4"/>
  <c r="W117" i="4"/>
  <c r="V117" i="4"/>
  <c r="U117" i="4"/>
  <c r="T117" i="4"/>
  <c r="S117" i="4"/>
  <c r="R117" i="4"/>
  <c r="Q117" i="4"/>
  <c r="P117" i="4"/>
  <c r="O117" i="4"/>
  <c r="N117" i="4"/>
  <c r="M117" i="4"/>
  <c r="L117" i="4"/>
  <c r="K117" i="4"/>
  <c r="J117" i="4"/>
  <c r="I117" i="4"/>
  <c r="H117" i="4"/>
  <c r="F117" i="4"/>
  <c r="E117" i="4"/>
  <c r="D117" i="4"/>
  <c r="DL112" i="4"/>
  <c r="EF110" i="4"/>
  <c r="EE110" i="4"/>
  <c r="EC110" i="4"/>
  <c r="EB110" i="4"/>
  <c r="EA110" i="4"/>
  <c r="DZ110" i="4"/>
  <c r="EF109" i="4"/>
  <c r="EE109" i="4"/>
  <c r="EC109" i="4"/>
  <c r="EB109" i="4"/>
  <c r="EA109" i="4"/>
  <c r="DZ109" i="4"/>
  <c r="DY109" i="4"/>
  <c r="DX109" i="4"/>
  <c r="DW109" i="4"/>
  <c r="DV109" i="4"/>
  <c r="DU109" i="4"/>
  <c r="DT109" i="4"/>
  <c r="DS109" i="4"/>
  <c r="DR109" i="4"/>
  <c r="DQ109" i="4"/>
  <c r="DP109" i="4"/>
  <c r="DO109" i="4"/>
  <c r="DN109" i="4"/>
  <c r="DM109" i="4"/>
  <c r="DL109" i="4"/>
  <c r="CQ110" i="4"/>
  <c r="CP110" i="4"/>
  <c r="CO110" i="4"/>
  <c r="CN110" i="4"/>
  <c r="CM110" i="4"/>
  <c r="CL110" i="4"/>
  <c r="CK110" i="4"/>
  <c r="CH110" i="4"/>
  <c r="CF110" i="4"/>
  <c r="CE110" i="4"/>
  <c r="CD110" i="4"/>
  <c r="CC110" i="4"/>
  <c r="CB110" i="4"/>
  <c r="CA110" i="4"/>
  <c r="BZ110" i="4"/>
  <c r="BY110" i="4"/>
  <c r="BX110" i="4"/>
  <c r="BW110" i="4"/>
  <c r="BV110" i="4"/>
  <c r="BU110" i="4"/>
  <c r="BT110" i="4"/>
  <c r="BS110" i="4"/>
  <c r="BR110" i="4"/>
  <c r="BQ110" i="4"/>
  <c r="BP110" i="4"/>
  <c r="BO110" i="4"/>
  <c r="BN110" i="4"/>
  <c r="BM110" i="4"/>
  <c r="BL110" i="4"/>
  <c r="BK110" i="4"/>
  <c r="BJ110" i="4"/>
  <c r="BI110" i="4"/>
  <c r="BH110" i="4"/>
  <c r="BG110" i="4"/>
  <c r="BF110" i="4"/>
  <c r="B110" i="4"/>
  <c r="CQ109" i="4"/>
  <c r="CP109" i="4"/>
  <c r="CO109" i="4"/>
  <c r="CN109" i="4"/>
  <c r="CM109" i="4"/>
  <c r="CL109" i="4"/>
  <c r="CK109" i="4"/>
  <c r="CJ109" i="4"/>
  <c r="CI109" i="4"/>
  <c r="CH109" i="4"/>
  <c r="CG109" i="4"/>
  <c r="CF109" i="4"/>
  <c r="CE109" i="4"/>
  <c r="CD109" i="4"/>
  <c r="CC109" i="4"/>
  <c r="CB109" i="4"/>
  <c r="CA109" i="4"/>
  <c r="BZ109" i="4"/>
  <c r="BY109" i="4"/>
  <c r="BX109" i="4"/>
  <c r="BW109" i="4"/>
  <c r="BV109" i="4"/>
  <c r="BU109" i="4"/>
  <c r="BT109" i="4"/>
  <c r="BS109" i="4"/>
  <c r="BR109" i="4"/>
  <c r="BQ109" i="4"/>
  <c r="BP109" i="4"/>
  <c r="BO109" i="4"/>
  <c r="BN109" i="4"/>
  <c r="BM109" i="4"/>
  <c r="BL109" i="4"/>
  <c r="BK109" i="4"/>
  <c r="BJ109" i="4"/>
  <c r="BI109" i="4"/>
  <c r="BH109" i="4"/>
  <c r="BG109" i="4"/>
  <c r="BF109" i="4"/>
  <c r="BE109" i="4"/>
  <c r="BD109" i="4"/>
  <c r="BC109" i="4"/>
  <c r="BB109" i="4"/>
  <c r="BA109" i="4"/>
  <c r="AZ109" i="4"/>
  <c r="AY109" i="4"/>
  <c r="AX109" i="4"/>
  <c r="AW109" i="4"/>
  <c r="AV109" i="4"/>
  <c r="AU109" i="4"/>
  <c r="AT109" i="4"/>
  <c r="AS109" i="4"/>
  <c r="AR109" i="4"/>
  <c r="AQ109" i="4"/>
  <c r="AP109" i="4"/>
  <c r="AO109" i="4"/>
  <c r="AN109" i="4"/>
  <c r="AM109" i="4"/>
  <c r="AL109" i="4"/>
  <c r="AK109" i="4"/>
  <c r="AJ109" i="4"/>
  <c r="AI109" i="4"/>
  <c r="AH109" i="4"/>
  <c r="AG109" i="4"/>
  <c r="AF109" i="4"/>
  <c r="AE109" i="4"/>
  <c r="AD109" i="4"/>
  <c r="AC109" i="4"/>
  <c r="AB109" i="4"/>
  <c r="AA109" i="4"/>
  <c r="Z109" i="4"/>
  <c r="Y109" i="4"/>
  <c r="X109" i="4"/>
  <c r="W109" i="4"/>
  <c r="V109" i="4"/>
  <c r="U109" i="4"/>
  <c r="T109" i="4"/>
  <c r="S109" i="4"/>
  <c r="R109" i="4"/>
  <c r="Q109" i="4"/>
  <c r="P109" i="4"/>
  <c r="O109" i="4"/>
  <c r="N109" i="4"/>
  <c r="M109" i="4"/>
  <c r="L109" i="4"/>
  <c r="K109" i="4"/>
  <c r="J109" i="4"/>
  <c r="I109" i="4"/>
  <c r="H109" i="4"/>
  <c r="G109" i="4"/>
  <c r="F109" i="4"/>
  <c r="E109" i="4"/>
  <c r="D109" i="4"/>
  <c r="C109" i="4"/>
  <c r="B109" i="4"/>
  <c r="AO105" i="4"/>
  <c r="AN105" i="4"/>
  <c r="AM105" i="4"/>
  <c r="AL105" i="4"/>
  <c r="AK105" i="4"/>
  <c r="AJ105" i="4"/>
  <c r="AI105" i="4"/>
  <c r="AH105" i="4"/>
  <c r="AV103" i="4"/>
  <c r="AT103" i="4"/>
  <c r="AK103" i="4"/>
  <c r="AJ103" i="4"/>
  <c r="AI103" i="4"/>
  <c r="AH103" i="4"/>
  <c r="AG103" i="4"/>
  <c r="AF103" i="4"/>
  <c r="AE103" i="4"/>
  <c r="AD103" i="4"/>
  <c r="AC103" i="4"/>
  <c r="AB103" i="4"/>
  <c r="AA103" i="4"/>
  <c r="Z103" i="4"/>
  <c r="Y103" i="4"/>
  <c r="X103" i="4"/>
  <c r="W103" i="4"/>
  <c r="V103" i="4"/>
  <c r="U103" i="4"/>
  <c r="T103" i="4"/>
  <c r="S103" i="4"/>
  <c r="R103" i="4"/>
  <c r="Q103" i="4"/>
  <c r="P103" i="4"/>
  <c r="O103" i="4"/>
  <c r="N103" i="4"/>
  <c r="M103" i="4"/>
  <c r="L103" i="4"/>
  <c r="K103" i="4"/>
  <c r="J103" i="4"/>
  <c r="I103" i="4"/>
  <c r="H103" i="4"/>
  <c r="G103" i="4"/>
  <c r="F103" i="4"/>
  <c r="E103" i="4"/>
  <c r="D103" i="4"/>
  <c r="C103" i="4"/>
  <c r="B103" i="4"/>
  <c r="AV95" i="4"/>
  <c r="DV93" i="4"/>
  <c r="CP95" i="4"/>
  <c r="CL95" i="4"/>
  <c r="CB95" i="4"/>
  <c r="BX95" i="4"/>
  <c r="BV95" i="4"/>
  <c r="BU95" i="4"/>
  <c r="BT95" i="4"/>
  <c r="BS95" i="4"/>
  <c r="BR95" i="4"/>
  <c r="BQ95" i="4"/>
  <c r="BP95" i="4"/>
  <c r="BO95" i="4"/>
  <c r="BN95" i="4"/>
  <c r="BM95" i="4"/>
  <c r="BL95" i="4"/>
  <c r="BK95" i="4"/>
  <c r="BJ95" i="4"/>
  <c r="BI95" i="4"/>
  <c r="BH95" i="4"/>
  <c r="BG95" i="4"/>
  <c r="BF95" i="4"/>
  <c r="BE95" i="4"/>
  <c r="BD95" i="4"/>
  <c r="BC95" i="4"/>
  <c r="BB95" i="4"/>
  <c r="BA95" i="4"/>
  <c r="AZ95" i="4"/>
  <c r="AY95" i="4"/>
  <c r="AX95" i="4"/>
  <c r="EJ93" i="4"/>
  <c r="EC93" i="4"/>
  <c r="EE93" i="4" s="1"/>
  <c r="EB93" i="4"/>
  <c r="EA93" i="4"/>
  <c r="DZ93" i="4"/>
  <c r="DY93" i="4"/>
  <c r="DX93" i="4"/>
  <c r="DW93" i="4"/>
  <c r="DW95" i="4" s="1"/>
  <c r="CQ93" i="4"/>
  <c r="CI93" i="4"/>
  <c r="CF93" i="4"/>
  <c r="CF95" i="4" s="1"/>
  <c r="CC93" i="4"/>
  <c r="CD93" i="4" s="1"/>
  <c r="BY93" i="4"/>
  <c r="BW93" i="4"/>
  <c r="EC82" i="4"/>
  <c r="EB82" i="4"/>
  <c r="EA82" i="4"/>
  <c r="DZ82" i="4"/>
  <c r="DY82" i="4"/>
  <c r="DX82" i="4"/>
  <c r="DW82" i="4"/>
  <c r="DL62" i="4"/>
  <c r="DE62" i="4"/>
  <c r="EK60" i="4"/>
  <c r="EK59" i="4"/>
  <c r="EG60" i="4"/>
  <c r="EF60" i="4"/>
  <c r="EE60" i="4"/>
  <c r="CM60" i="4"/>
  <c r="CK60" i="4"/>
  <c r="CE60" i="4"/>
  <c r="EH60" i="4" s="1"/>
  <c r="EJ59" i="4"/>
  <c r="EI59" i="4"/>
  <c r="CK59" i="4" s="1"/>
  <c r="EH59" i="4"/>
  <c r="EF59" i="4"/>
  <c r="EE59" i="4"/>
  <c r="DW59" i="4"/>
  <c r="CA59" i="4"/>
  <c r="CB59" i="4" s="1"/>
  <c r="EJ57" i="4"/>
  <c r="EI57" i="4"/>
  <c r="EH57" i="4"/>
  <c r="EF57" i="4"/>
  <c r="EE57" i="4"/>
  <c r="CK57" i="4"/>
  <c r="AU57" i="4"/>
  <c r="AV57" i="4" s="1"/>
  <c r="AO57" i="4"/>
  <c r="AK57" i="4"/>
  <c r="AG57" i="4"/>
  <c r="EE56" i="4"/>
  <c r="CQ56" i="4"/>
  <c r="CR56" i="4" s="1"/>
  <c r="CS56" i="4" s="1"/>
  <c r="CM56" i="4"/>
  <c r="CN56" i="4" s="1"/>
  <c r="CO56" i="4" s="1"/>
  <c r="CI56" i="4"/>
  <c r="CE56" i="4"/>
  <c r="CA56" i="4"/>
  <c r="CB56" i="4" s="1"/>
  <c r="CC56" i="4" s="1"/>
  <c r="BW56" i="4"/>
  <c r="BS56" i="4"/>
  <c r="BO56" i="4"/>
  <c r="BK56" i="4"/>
  <c r="BG56" i="4"/>
  <c r="BC56" i="4"/>
  <c r="AY56" i="4"/>
  <c r="AU56" i="4"/>
  <c r="AV56" i="4" s="1"/>
  <c r="AW56" i="4" s="1"/>
  <c r="AQ57" i="4"/>
  <c r="AQ56" i="4"/>
  <c r="EI54" i="4"/>
  <c r="EG54" i="4"/>
  <c r="DU54" i="4"/>
  <c r="DT54" i="4"/>
  <c r="DS54" i="4"/>
  <c r="DK54" i="4"/>
  <c r="DJ54" i="4"/>
  <c r="DI54" i="4"/>
  <c r="DH54" i="4"/>
  <c r="DG54" i="4"/>
  <c r="DF54" i="4"/>
  <c r="DE54" i="4"/>
  <c r="DD54" i="4"/>
  <c r="CP54" i="4"/>
  <c r="CL54" i="4"/>
  <c r="CH54" i="4"/>
  <c r="CD54" i="4"/>
  <c r="BV54" i="4"/>
  <c r="AP54" i="4"/>
  <c r="AN54" i="4"/>
  <c r="AL54" i="4"/>
  <c r="AH54" i="4"/>
  <c r="AD54" i="4"/>
  <c r="Y54" i="4"/>
  <c r="X54" i="4"/>
  <c r="W54" i="4"/>
  <c r="V54" i="4"/>
  <c r="U54" i="4"/>
  <c r="T54" i="4"/>
  <c r="S54" i="4"/>
  <c r="R54" i="4"/>
  <c r="Q54" i="4"/>
  <c r="P54" i="4"/>
  <c r="O54" i="4"/>
  <c r="N54" i="4"/>
  <c r="M54" i="4"/>
  <c r="L54" i="4"/>
  <c r="K54" i="4"/>
  <c r="J54" i="4"/>
  <c r="I54" i="4"/>
  <c r="H54" i="4"/>
  <c r="F54" i="4"/>
  <c r="E54" i="4"/>
  <c r="D54" i="4"/>
  <c r="B54" i="4"/>
  <c r="EH51" i="4"/>
  <c r="EH50" i="4"/>
  <c r="EC53" i="4"/>
  <c r="EC52" i="4"/>
  <c r="CM53" i="4"/>
  <c r="CN53" i="4" s="1"/>
  <c r="CI53" i="4"/>
  <c r="CJ53" i="4" s="1"/>
  <c r="CK53" i="4" s="1"/>
  <c r="AO53" i="4"/>
  <c r="AO52" i="4"/>
  <c r="AE53" i="4"/>
  <c r="AA53" i="4"/>
  <c r="G53" i="4"/>
  <c r="DM53" i="4" s="1"/>
  <c r="G52" i="4"/>
  <c r="DM52" i="4" s="1"/>
  <c r="G51" i="4"/>
  <c r="DM51" i="4" s="1"/>
  <c r="G50" i="4"/>
  <c r="C53" i="4"/>
  <c r="DL53" i="4" s="1"/>
  <c r="C52" i="4"/>
  <c r="C51" i="4"/>
  <c r="C50" i="4"/>
  <c r="DL50" i="4" s="1"/>
  <c r="CO52" i="4"/>
  <c r="CO51" i="4"/>
  <c r="CO50" i="4"/>
  <c r="CO48" i="4"/>
  <c r="CE53" i="4"/>
  <c r="CE52" i="4"/>
  <c r="CF52" i="4" s="1"/>
  <c r="CA53" i="4"/>
  <c r="CB53" i="4" s="1"/>
  <c r="CA52" i="4"/>
  <c r="CB52" i="4" s="1"/>
  <c r="CC52" i="4" s="1"/>
  <c r="BW53" i="4"/>
  <c r="BW52" i="4"/>
  <c r="BX52" i="4" s="1"/>
  <c r="BS53" i="4"/>
  <c r="BS52" i="4"/>
  <c r="BT52" i="4" s="1"/>
  <c r="BU52" i="4" s="1"/>
  <c r="BO53" i="4"/>
  <c r="BO52" i="4"/>
  <c r="BP52" i="4" s="1"/>
  <c r="BQ52" i="4" s="1"/>
  <c r="BK53" i="4"/>
  <c r="BK52" i="4"/>
  <c r="BL52" i="4" s="1"/>
  <c r="BM52" i="4" s="1"/>
  <c r="BG53" i="4"/>
  <c r="BG52" i="4"/>
  <c r="BH52" i="4" s="1"/>
  <c r="BC53" i="4"/>
  <c r="BC52" i="4"/>
  <c r="BD52" i="4" s="1"/>
  <c r="BE52" i="4" s="1"/>
  <c r="AY53" i="4"/>
  <c r="AY52" i="4"/>
  <c r="AZ52" i="4" s="1"/>
  <c r="BA52" i="4" s="1"/>
  <c r="AU53" i="4"/>
  <c r="AU52" i="4"/>
  <c r="AV52" i="4" s="1"/>
  <c r="AW52" i="4" s="1"/>
  <c r="AI53" i="4"/>
  <c r="AI52" i="4"/>
  <c r="AJ52" i="4" s="1"/>
  <c r="AG52" i="4"/>
  <c r="AG51" i="4"/>
  <c r="AG50" i="4"/>
  <c r="AC52" i="4"/>
  <c r="AC51" i="4"/>
  <c r="AC50" i="4"/>
  <c r="AM51" i="4"/>
  <c r="AM50" i="4"/>
  <c r="AK51" i="4"/>
  <c r="AK50" i="4"/>
  <c r="DQ53" i="4"/>
  <c r="DP53" i="4"/>
  <c r="DO53" i="4"/>
  <c r="DN53" i="4"/>
  <c r="DQ52" i="4"/>
  <c r="DP52" i="4"/>
  <c r="DO52" i="4"/>
  <c r="DN52" i="4"/>
  <c r="DL52" i="4"/>
  <c r="DQ51" i="4"/>
  <c r="DP51" i="4"/>
  <c r="DO51" i="4"/>
  <c r="DN51" i="4"/>
  <c r="DL51" i="4"/>
  <c r="DQ50" i="4"/>
  <c r="DP50" i="4"/>
  <c r="DO50" i="4"/>
  <c r="DN50" i="4"/>
  <c r="DM50" i="4"/>
  <c r="AY51" i="4"/>
  <c r="AZ51" i="4" s="1"/>
  <c r="AY50" i="4"/>
  <c r="AZ50" i="4" s="1"/>
  <c r="AU51" i="4"/>
  <c r="AV51" i="4" s="1"/>
  <c r="AU50" i="4"/>
  <c r="AV50" i="4" s="1"/>
  <c r="AQ53" i="4"/>
  <c r="AR53" i="4" s="1"/>
  <c r="AS53" i="4" s="1"/>
  <c r="AQ52" i="4"/>
  <c r="AQ51" i="4"/>
  <c r="AR51" i="4" s="1"/>
  <c r="AS51" i="4" s="1"/>
  <c r="AQ50" i="4"/>
  <c r="EJ49" i="4"/>
  <c r="ED49" i="4"/>
  <c r="ED54" i="4" s="1"/>
  <c r="EC49" i="4"/>
  <c r="EB49" i="4"/>
  <c r="EA49" i="4"/>
  <c r="EA54" i="4" s="1"/>
  <c r="DZ49" i="4"/>
  <c r="DY49" i="4"/>
  <c r="DX49" i="4"/>
  <c r="DM49" i="4"/>
  <c r="CQ49" i="4"/>
  <c r="CR49" i="4" s="1"/>
  <c r="CS49" i="4" s="1"/>
  <c r="CM49" i="4"/>
  <c r="CN49" i="4" s="1"/>
  <c r="CI49" i="4"/>
  <c r="CJ49" i="4" s="1"/>
  <c r="BW49" i="4"/>
  <c r="BN49" i="4"/>
  <c r="BN54" i="4" s="1"/>
  <c r="BJ49" i="4"/>
  <c r="BF49" i="4"/>
  <c r="BB49" i="4"/>
  <c r="AX49" i="4"/>
  <c r="AW49" i="4"/>
  <c r="AS49" i="4"/>
  <c r="EB48" i="4"/>
  <c r="BW48" i="4"/>
  <c r="BO48" i="4"/>
  <c r="EC47" i="4"/>
  <c r="CJ52" i="4"/>
  <c r="CK52" i="4" s="1"/>
  <c r="CJ51" i="4"/>
  <c r="CK51" i="4" s="1"/>
  <c r="CJ50" i="4"/>
  <c r="CK50" i="4" s="1"/>
  <c r="CJ48" i="4"/>
  <c r="CK48" i="4" s="1"/>
  <c r="CI47" i="4"/>
  <c r="CI118" i="4" s="1"/>
  <c r="CE49" i="4"/>
  <c r="CE48" i="4"/>
  <c r="CF48" i="4" s="1"/>
  <c r="CE47" i="4"/>
  <c r="CF47" i="4" s="1"/>
  <c r="CF118" i="4" s="1"/>
  <c r="BW47" i="4"/>
  <c r="BR47" i="4"/>
  <c r="BO47" i="4"/>
  <c r="BK48" i="4"/>
  <c r="BK47" i="4"/>
  <c r="BG47" i="4"/>
  <c r="BC47" i="4"/>
  <c r="AY47" i="4"/>
  <c r="AU47" i="4"/>
  <c r="AR47" i="4"/>
  <c r="EO46" i="4"/>
  <c r="EN46" i="4"/>
  <c r="EJ46" i="4"/>
  <c r="CQ47" i="4"/>
  <c r="CR47" i="4" s="1"/>
  <c r="CS47" i="4" s="1"/>
  <c r="CQ46" i="4"/>
  <c r="CK46" i="4"/>
  <c r="CE46" i="4"/>
  <c r="BQ46" i="4"/>
  <c r="BM46" i="4"/>
  <c r="EB45" i="4"/>
  <c r="EB54" i="4" s="1"/>
  <c r="DZ45" i="4"/>
  <c r="DY45" i="4"/>
  <c r="DX45" i="4"/>
  <c r="DW45" i="4"/>
  <c r="DV45" i="4"/>
  <c r="DR45" i="4"/>
  <c r="DQ45" i="4"/>
  <c r="DQ117" i="4" s="1"/>
  <c r="DP45" i="4"/>
  <c r="DP117" i="4" s="1"/>
  <c r="DO45" i="4"/>
  <c r="DN45" i="4"/>
  <c r="CQ45" i="4"/>
  <c r="CR45" i="4" s="1"/>
  <c r="CS45" i="4" s="1"/>
  <c r="CM47" i="4"/>
  <c r="CM46" i="4"/>
  <c r="CM45" i="4"/>
  <c r="CI45" i="4"/>
  <c r="CE45" i="4"/>
  <c r="CF45" i="4" s="1"/>
  <c r="CA48" i="4"/>
  <c r="CA46" i="4"/>
  <c r="CA45" i="4"/>
  <c r="BW46" i="4"/>
  <c r="BW45" i="4"/>
  <c r="BS49" i="4"/>
  <c r="BS48" i="4"/>
  <c r="BS46" i="4"/>
  <c r="BS45" i="4"/>
  <c r="BO45" i="4"/>
  <c r="BK45" i="4"/>
  <c r="BF45" i="4"/>
  <c r="BB45" i="4"/>
  <c r="AX45" i="4"/>
  <c r="AT45" i="4"/>
  <c r="AQ45" i="4"/>
  <c r="AO45" i="4"/>
  <c r="AO117" i="4" s="1"/>
  <c r="AI45" i="4"/>
  <c r="AE45" i="4"/>
  <c r="Z45" i="4"/>
  <c r="G45" i="4"/>
  <c r="C45" i="4"/>
  <c r="EJ40" i="4"/>
  <c r="EI40" i="4"/>
  <c r="EG40" i="4"/>
  <c r="EF40" i="4"/>
  <c r="EE40" i="4"/>
  <c r="ED40" i="4"/>
  <c r="DV40" i="4"/>
  <c r="DU40" i="4"/>
  <c r="DT40" i="4"/>
  <c r="DS40" i="4"/>
  <c r="DR40" i="4"/>
  <c r="DK40" i="4"/>
  <c r="DH40" i="4"/>
  <c r="DG40" i="4"/>
  <c r="DF40" i="4"/>
  <c r="DE40" i="4"/>
  <c r="DD40" i="4"/>
  <c r="CH40" i="4"/>
  <c r="BV40" i="4"/>
  <c r="BJ40" i="4"/>
  <c r="BF40" i="4"/>
  <c r="AT40" i="4"/>
  <c r="AP40" i="4"/>
  <c r="AN40" i="4"/>
  <c r="AL40" i="4"/>
  <c r="AH40" i="4"/>
  <c r="AD40" i="4"/>
  <c r="Z40" i="4"/>
  <c r="Y40" i="4"/>
  <c r="X40" i="4"/>
  <c r="V40" i="4"/>
  <c r="U40" i="4"/>
  <c r="T40" i="4"/>
  <c r="S40" i="4"/>
  <c r="R40" i="4"/>
  <c r="Q40" i="4"/>
  <c r="P40" i="4"/>
  <c r="O40" i="4"/>
  <c r="N40" i="4"/>
  <c r="M40" i="4"/>
  <c r="L40" i="4"/>
  <c r="K40" i="4"/>
  <c r="J40" i="4"/>
  <c r="E40" i="4"/>
  <c r="D40" i="4"/>
  <c r="B40" i="4"/>
  <c r="EH38" i="4"/>
  <c r="EH37" i="4"/>
  <c r="EC39" i="4"/>
  <c r="EB39" i="4"/>
  <c r="EA39" i="4"/>
  <c r="DZ39" i="4"/>
  <c r="DZ40" i="4" s="1"/>
  <c r="DY39" i="4"/>
  <c r="DX39" i="4"/>
  <c r="DW39" i="4"/>
  <c r="CQ39" i="4"/>
  <c r="CR39" i="4" s="1"/>
  <c r="CS39" i="4" s="1"/>
  <c r="CL39" i="4"/>
  <c r="CI39" i="4"/>
  <c r="CE39" i="4"/>
  <c r="CA39" i="4"/>
  <c r="CB39" i="4" s="1"/>
  <c r="CC39" i="4" s="1"/>
  <c r="BY39" i="4"/>
  <c r="BR39" i="4"/>
  <c r="BN39" i="4"/>
  <c r="BN40" i="4"/>
  <c r="BK39" i="4"/>
  <c r="BL39" i="4" s="1"/>
  <c r="BG39" i="4"/>
  <c r="BH39" i="4" s="1"/>
  <c r="BB39" i="4"/>
  <c r="AX39" i="4"/>
  <c r="AY39" i="4" s="1"/>
  <c r="AZ39" i="4" s="1"/>
  <c r="AU39" i="4"/>
  <c r="AV39" i="4" s="1"/>
  <c r="AO39" i="4"/>
  <c r="AO37" i="4"/>
  <c r="AI39" i="4"/>
  <c r="AJ39" i="4" s="1"/>
  <c r="AE39" i="4"/>
  <c r="AA39" i="4"/>
  <c r="W39" i="4"/>
  <c r="DQ39" i="4" s="1"/>
  <c r="F39" i="4"/>
  <c r="F40" i="4" s="1"/>
  <c r="C39" i="4"/>
  <c r="DL39" i="4" s="1"/>
  <c r="C38" i="4"/>
  <c r="DL38" i="4" s="1"/>
  <c r="CO38" i="4"/>
  <c r="CO37" i="4"/>
  <c r="CO35" i="4"/>
  <c r="CK38" i="4"/>
  <c r="CK37" i="4"/>
  <c r="CK35" i="4"/>
  <c r="BQ38" i="4"/>
  <c r="BQ37" i="4"/>
  <c r="BQ33" i="4"/>
  <c r="BM38" i="4"/>
  <c r="BM37" i="4"/>
  <c r="BI38" i="4"/>
  <c r="BI37" i="4"/>
  <c r="BE38" i="4"/>
  <c r="BE37" i="4"/>
  <c r="AW38" i="4"/>
  <c r="AW37" i="4"/>
  <c r="AM38" i="4"/>
  <c r="AK38" i="4"/>
  <c r="AG38" i="4"/>
  <c r="AC38" i="4"/>
  <c r="G38" i="4"/>
  <c r="DM38" i="4" s="1"/>
  <c r="G37" i="4"/>
  <c r="DM37" i="4" s="1"/>
  <c r="DP39" i="4"/>
  <c r="DO39" i="4"/>
  <c r="DN39" i="4"/>
  <c r="DQ38" i="4"/>
  <c r="DP38" i="4"/>
  <c r="DO38" i="4"/>
  <c r="DN38" i="4"/>
  <c r="DP37" i="4"/>
  <c r="DO37" i="4"/>
  <c r="DN37" i="4"/>
  <c r="DL37" i="4"/>
  <c r="AY38" i="4"/>
  <c r="AZ38" i="4" s="1"/>
  <c r="BA38" i="4" s="1"/>
  <c r="AY37" i="4"/>
  <c r="AQ39" i="4"/>
  <c r="AR39" i="4" s="1"/>
  <c r="AQ38" i="4"/>
  <c r="AR38" i="4" s="1"/>
  <c r="AS38" i="4" s="1"/>
  <c r="AQ37" i="4"/>
  <c r="AI37" i="4"/>
  <c r="AJ37" i="4" s="1"/>
  <c r="AK37" i="4" s="1"/>
  <c r="AE37" i="4"/>
  <c r="AF37" i="4" s="1"/>
  <c r="AA37" i="4"/>
  <c r="W37" i="4"/>
  <c r="W40" i="4" s="1"/>
  <c r="EC36" i="4"/>
  <c r="EB36" i="4"/>
  <c r="EA36" i="4"/>
  <c r="CQ36" i="4"/>
  <c r="CR36" i="4" s="1"/>
  <c r="CS36" i="4" s="1"/>
  <c r="CQ35" i="4"/>
  <c r="CR35" i="4" s="1"/>
  <c r="CS35" i="4" s="1"/>
  <c r="CM36" i="4"/>
  <c r="CN36" i="4" s="1"/>
  <c r="CO36" i="4" s="1"/>
  <c r="CI36" i="4"/>
  <c r="AW35" i="4"/>
  <c r="AW34" i="4"/>
  <c r="AW33" i="4"/>
  <c r="EB34" i="4"/>
  <c r="CP34" i="4"/>
  <c r="CM34" i="4"/>
  <c r="CN34" i="4" s="1"/>
  <c r="CO34" i="4" s="1"/>
  <c r="CA36" i="4"/>
  <c r="CB36" i="4" s="1"/>
  <c r="CA35" i="4"/>
  <c r="CA34" i="4"/>
  <c r="CB34" i="4" s="1"/>
  <c r="CC34" i="4" s="1"/>
  <c r="BW36" i="4"/>
  <c r="BX36" i="4" s="1"/>
  <c r="BW35" i="4"/>
  <c r="BW34" i="4"/>
  <c r="BX34" i="4" s="1"/>
  <c r="BR34" i="4"/>
  <c r="BO36" i="4"/>
  <c r="BP36" i="4" s="1"/>
  <c r="BQ36" i="4" s="1"/>
  <c r="BO35" i="4"/>
  <c r="BO34" i="4"/>
  <c r="EC33" i="4"/>
  <c r="EC40" i="4"/>
  <c r="EA33" i="4"/>
  <c r="CN33" i="4"/>
  <c r="CD33" i="4"/>
  <c r="CE33" i="4"/>
  <c r="CF33" i="4" s="1"/>
  <c r="BZ33" i="4"/>
  <c r="BW33" i="4"/>
  <c r="AO33" i="4"/>
  <c r="AO32" i="4"/>
  <c r="AG33" i="4"/>
  <c r="AC33" i="4"/>
  <c r="C33" i="4"/>
  <c r="C32" i="4"/>
  <c r="DL32" i="4" s="1"/>
  <c r="DQ33" i="4"/>
  <c r="DP33" i="4"/>
  <c r="DO33" i="4"/>
  <c r="DN33" i="4"/>
  <c r="DM33" i="4"/>
  <c r="DQ32" i="4"/>
  <c r="DP32" i="4"/>
  <c r="DO32" i="4"/>
  <c r="DN32" i="4"/>
  <c r="DJ32" i="4"/>
  <c r="DJ40" i="4" s="1"/>
  <c r="DI32" i="4"/>
  <c r="DI40" i="4" s="1"/>
  <c r="CQ32" i="4"/>
  <c r="CU123" i="4" s="1"/>
  <c r="CM32" i="4"/>
  <c r="CI34" i="4"/>
  <c r="CI33" i="4"/>
  <c r="CI32" i="4"/>
  <c r="CE36" i="4"/>
  <c r="CE35" i="4"/>
  <c r="CE34" i="4"/>
  <c r="CE32" i="4"/>
  <c r="CA32" i="4"/>
  <c r="BW32" i="4"/>
  <c r="BS36" i="4"/>
  <c r="BT36" i="4" s="1"/>
  <c r="BU36" i="4" s="1"/>
  <c r="BS35" i="4"/>
  <c r="BS33" i="4"/>
  <c r="BS32" i="4"/>
  <c r="BO32" i="4"/>
  <c r="BK36" i="4"/>
  <c r="BL36" i="4" s="1"/>
  <c r="BK35" i="4"/>
  <c r="BK34" i="4"/>
  <c r="BK33" i="4"/>
  <c r="BK32" i="4"/>
  <c r="BG35" i="4"/>
  <c r="BG34" i="4"/>
  <c r="BG33" i="4"/>
  <c r="BH33" i="4" s="1"/>
  <c r="BG32" i="4"/>
  <c r="BC35" i="4"/>
  <c r="BC34" i="4"/>
  <c r="BC33" i="4"/>
  <c r="BD33" i="4" s="1"/>
  <c r="BC32" i="4"/>
  <c r="AY35" i="4"/>
  <c r="AY34" i="4"/>
  <c r="AY33" i="4"/>
  <c r="AY32" i="4"/>
  <c r="AU32" i="4"/>
  <c r="AQ33" i="4"/>
  <c r="AR33" i="4" s="1"/>
  <c r="AQ32" i="4"/>
  <c r="AJ33" i="4"/>
  <c r="AK33" i="4" s="1"/>
  <c r="AI32" i="4"/>
  <c r="AE32" i="4"/>
  <c r="AA32" i="4"/>
  <c r="G32" i="4"/>
  <c r="DW29" i="4"/>
  <c r="DW42" i="4" s="1"/>
  <c r="DW98" i="4" s="1"/>
  <c r="DJ29" i="4"/>
  <c r="DI29" i="4"/>
  <c r="DH29" i="4"/>
  <c r="DH63" i="4" s="1"/>
  <c r="DG29" i="4"/>
  <c r="DF29" i="4"/>
  <c r="DF63" i="4" s="1"/>
  <c r="DE29" i="4"/>
  <c r="DD29" i="4"/>
  <c r="DD42" i="4" s="1"/>
  <c r="EJ28" i="4"/>
  <c r="EI28" i="4"/>
  <c r="EG28" i="4"/>
  <c r="EF28" i="4"/>
  <c r="ED28" i="4"/>
  <c r="DW28" i="4"/>
  <c r="DV28" i="4"/>
  <c r="DU28" i="4"/>
  <c r="DT28" i="4"/>
  <c r="DS28" i="4"/>
  <c r="DR28" i="4"/>
  <c r="DJ28" i="4"/>
  <c r="DI28" i="4"/>
  <c r="EJ27" i="4"/>
  <c r="EI27" i="4"/>
  <c r="EG27" i="4"/>
  <c r="EF27" i="4"/>
  <c r="ED27" i="4"/>
  <c r="EC27" i="4"/>
  <c r="EB27" i="4"/>
  <c r="EA27" i="4"/>
  <c r="DZ27" i="4"/>
  <c r="DY27" i="4"/>
  <c r="DX27" i="4"/>
  <c r="DW27" i="4"/>
  <c r="DV27" i="4"/>
  <c r="DU27" i="4"/>
  <c r="DT27" i="4"/>
  <c r="DS27" i="4"/>
  <c r="DR27" i="4"/>
  <c r="DJ27" i="4"/>
  <c r="DI27" i="4"/>
  <c r="CP29" i="4"/>
  <c r="CP42" i="4" s="1"/>
  <c r="CP98" i="4" s="1"/>
  <c r="CH29" i="4"/>
  <c r="BZ29" i="4"/>
  <c r="BZ42" i="4" s="1"/>
  <c r="BZ98" i="4" s="1"/>
  <c r="BV29" i="4"/>
  <c r="BR29" i="4"/>
  <c r="BR42" i="4" s="1"/>
  <c r="BR98" i="4" s="1"/>
  <c r="AT29" i="4"/>
  <c r="AT42" i="4" s="1"/>
  <c r="AT98" i="4" s="1"/>
  <c r="AP29" i="4"/>
  <c r="AP63" i="4" s="1"/>
  <c r="AN29" i="4"/>
  <c r="AL29" i="4"/>
  <c r="AL63" i="4" s="1"/>
  <c r="Z29" i="4"/>
  <c r="Z42" i="4" s="1"/>
  <c r="Y29" i="4"/>
  <c r="X29" i="4"/>
  <c r="X63" i="4" s="1"/>
  <c r="V29" i="4"/>
  <c r="U29" i="4"/>
  <c r="U42" i="4" s="1"/>
  <c r="R29" i="4"/>
  <c r="Q29" i="4"/>
  <c r="Q42" i="4" s="1"/>
  <c r="P29" i="4"/>
  <c r="O29" i="4"/>
  <c r="N29" i="4"/>
  <c r="N42" i="4" s="1"/>
  <c r="M29" i="4"/>
  <c r="M42" i="4" s="1"/>
  <c r="L29" i="4"/>
  <c r="K29" i="4"/>
  <c r="J29" i="4"/>
  <c r="I29" i="4"/>
  <c r="I42" i="4" s="1"/>
  <c r="H29" i="4"/>
  <c r="H42" i="4" s="1"/>
  <c r="F29" i="4"/>
  <c r="E29" i="4"/>
  <c r="D29" i="4"/>
  <c r="D63" i="4" s="1"/>
  <c r="C29" i="4"/>
  <c r="C42" i="4" s="1"/>
  <c r="B29" i="4"/>
  <c r="CP28" i="4"/>
  <c r="CL28" i="4"/>
  <c r="CH28" i="4"/>
  <c r="CD28" i="4"/>
  <c r="BZ28" i="4"/>
  <c r="BV28" i="4"/>
  <c r="BR28" i="4"/>
  <c r="AT28" i="4"/>
  <c r="AP28" i="4"/>
  <c r="AN28" i="4"/>
  <c r="AL28" i="4"/>
  <c r="Z28" i="4"/>
  <c r="Y28" i="4"/>
  <c r="X28" i="4"/>
  <c r="V28" i="4"/>
  <c r="U28" i="4"/>
  <c r="R28" i="4"/>
  <c r="Q28" i="4"/>
  <c r="P28" i="4"/>
  <c r="O28" i="4"/>
  <c r="N28" i="4"/>
  <c r="M28" i="4"/>
  <c r="L28" i="4"/>
  <c r="K28" i="4"/>
  <c r="J28" i="4"/>
  <c r="I28" i="4"/>
  <c r="H28" i="4"/>
  <c r="F28" i="4"/>
  <c r="E28" i="4"/>
  <c r="D28" i="4"/>
  <c r="C28" i="4"/>
  <c r="B28" i="4"/>
  <c r="CP27" i="4"/>
  <c r="CL27" i="4"/>
  <c r="CH27" i="4"/>
  <c r="CD27" i="4"/>
  <c r="BZ27" i="4"/>
  <c r="BV27" i="4"/>
  <c r="BR27" i="4"/>
  <c r="BN27" i="4"/>
  <c r="BJ27" i="4"/>
  <c r="BF27" i="4"/>
  <c r="BB27" i="4"/>
  <c r="AX27" i="4"/>
  <c r="AT27" i="4"/>
  <c r="AP27" i="4"/>
  <c r="AN27" i="4"/>
  <c r="AM27" i="4"/>
  <c r="AL27" i="4"/>
  <c r="AH27" i="4"/>
  <c r="AD27" i="4"/>
  <c r="Z27" i="4"/>
  <c r="Y27" i="4"/>
  <c r="X27" i="4"/>
  <c r="V27" i="4"/>
  <c r="U27" i="4"/>
  <c r="R27" i="4"/>
  <c r="Q27" i="4"/>
  <c r="P27" i="4"/>
  <c r="O27" i="4"/>
  <c r="N27" i="4"/>
  <c r="M27" i="4"/>
  <c r="L27" i="4"/>
  <c r="K27" i="4"/>
  <c r="J27" i="4"/>
  <c r="I27" i="4"/>
  <c r="H27" i="4"/>
  <c r="F27" i="4"/>
  <c r="E27" i="4"/>
  <c r="D27" i="4"/>
  <c r="C27" i="4"/>
  <c r="B27" i="4"/>
  <c r="EH26" i="4"/>
  <c r="CO26" i="4"/>
  <c r="CK26" i="4"/>
  <c r="BQ26" i="4"/>
  <c r="BM26" i="4"/>
  <c r="BI26" i="4"/>
  <c r="BI22" i="4"/>
  <c r="BE26" i="4"/>
  <c r="BE22" i="4"/>
  <c r="AY26" i="4"/>
  <c r="AU26" i="4"/>
  <c r="AQ26" i="4"/>
  <c r="AS26" i="4" s="1"/>
  <c r="AQ25" i="4"/>
  <c r="AQ24" i="4"/>
  <c r="AQ23" i="4"/>
  <c r="AQ22" i="4"/>
  <c r="AR22" i="4" s="1"/>
  <c r="AQ21" i="4"/>
  <c r="AQ20" i="4"/>
  <c r="AO25" i="4"/>
  <c r="AO24" i="4"/>
  <c r="AO23" i="4"/>
  <c r="AO22" i="4"/>
  <c r="AO21" i="4"/>
  <c r="AO20" i="4"/>
  <c r="AM26" i="4"/>
  <c r="AK26" i="4"/>
  <c r="AG26" i="4"/>
  <c r="AC26" i="4"/>
  <c r="W26" i="4"/>
  <c r="W25" i="4"/>
  <c r="W24" i="4"/>
  <c r="S26" i="4"/>
  <c r="DP26" i="4" s="1"/>
  <c r="S25" i="4"/>
  <c r="T25" i="4" s="1"/>
  <c r="S24" i="4"/>
  <c r="T24" i="4" s="1"/>
  <c r="G26" i="4"/>
  <c r="G25" i="4"/>
  <c r="DM25" i="4" s="1"/>
  <c r="G24" i="4"/>
  <c r="DM24" i="4" s="1"/>
  <c r="EC25" i="4"/>
  <c r="EB25" i="4"/>
  <c r="EB28" i="4" s="1"/>
  <c r="EA25" i="4"/>
  <c r="EA28" i="4" s="1"/>
  <c r="DZ25" i="4"/>
  <c r="DZ28" i="4" s="1"/>
  <c r="DY25" i="4"/>
  <c r="DY29" i="4" s="1"/>
  <c r="DX25" i="4"/>
  <c r="DX28" i="4"/>
  <c r="BJ25" i="4"/>
  <c r="BF25" i="4"/>
  <c r="BF29" i="4"/>
  <c r="BB25" i="4"/>
  <c r="AX25" i="4"/>
  <c r="AU25" i="4"/>
  <c r="AV25" i="4" s="1"/>
  <c r="AH25" i="4"/>
  <c r="AD25" i="4"/>
  <c r="CQ25" i="4"/>
  <c r="CQ24" i="4"/>
  <c r="CQ23" i="4"/>
  <c r="BG24" i="4"/>
  <c r="BG23" i="4"/>
  <c r="BH23" i="4" s="1"/>
  <c r="BI23" i="4" s="1"/>
  <c r="BC24" i="4"/>
  <c r="BD24" i="4" s="1"/>
  <c r="BC23" i="4"/>
  <c r="AY24" i="4"/>
  <c r="AY23" i="4"/>
  <c r="AA25" i="4"/>
  <c r="AB25" i="4" s="1"/>
  <c r="AC25" i="4" s="1"/>
  <c r="AA24" i="4"/>
  <c r="AB24" i="4" s="1"/>
  <c r="AA23" i="4"/>
  <c r="AB23" i="4" s="1"/>
  <c r="AC23" i="4" s="1"/>
  <c r="CQ22" i="4"/>
  <c r="CQ21" i="4"/>
  <c r="CQ20" i="4"/>
  <c r="BN22" i="4"/>
  <c r="BA22" i="4"/>
  <c r="AA22" i="4"/>
  <c r="AC22" i="4" s="1"/>
  <c r="AA21" i="4"/>
  <c r="AA20" i="4"/>
  <c r="W22" i="4"/>
  <c r="DQ22" i="4" s="1"/>
  <c r="S22" i="4"/>
  <c r="DP22" i="4" s="1"/>
  <c r="S21" i="4"/>
  <c r="DP21" i="4" s="1"/>
  <c r="S20" i="4"/>
  <c r="G22" i="4"/>
  <c r="DM22" i="4" s="1"/>
  <c r="G21" i="4"/>
  <c r="DM21" i="4" s="1"/>
  <c r="G20" i="4"/>
  <c r="EE21" i="4"/>
  <c r="EE20" i="4"/>
  <c r="DK21" i="4"/>
  <c r="DK20" i="4"/>
  <c r="DK29" i="4" s="1"/>
  <c r="DK63" i="4" s="1"/>
  <c r="DQ26" i="4"/>
  <c r="DO26" i="4"/>
  <c r="DN26" i="4"/>
  <c r="DM26" i="4"/>
  <c r="DL26" i="4"/>
  <c r="DO25" i="4"/>
  <c r="DN25" i="4"/>
  <c r="DL25" i="4"/>
  <c r="DO24" i="4"/>
  <c r="DN24" i="4"/>
  <c r="DL24" i="4"/>
  <c r="DQ23" i="4"/>
  <c r="DP23" i="4"/>
  <c r="DO23" i="4"/>
  <c r="DN23" i="4"/>
  <c r="DM23" i="4"/>
  <c r="DL23" i="4"/>
  <c r="DO22" i="4"/>
  <c r="DN22" i="4"/>
  <c r="DL22" i="4"/>
  <c r="DQ21" i="4"/>
  <c r="DO21" i="4"/>
  <c r="DN21" i="4"/>
  <c r="DL21" i="4"/>
  <c r="DQ20" i="4"/>
  <c r="DO20" i="4"/>
  <c r="DN20" i="4"/>
  <c r="DL20" i="4"/>
  <c r="CM25" i="4"/>
  <c r="CM24" i="4"/>
  <c r="CN24" i="4" s="1"/>
  <c r="CO24" i="4" s="1"/>
  <c r="CM23" i="4"/>
  <c r="CM22" i="4"/>
  <c r="CN22" i="4" s="1"/>
  <c r="CM21" i="4"/>
  <c r="CM20" i="4"/>
  <c r="CN20" i="4" s="1"/>
  <c r="CI25" i="4"/>
  <c r="CI24" i="4"/>
  <c r="CI23" i="4"/>
  <c r="CJ23" i="4" s="1"/>
  <c r="CK23" i="4" s="1"/>
  <c r="CI22" i="4"/>
  <c r="CI21" i="4"/>
  <c r="CJ21" i="4" s="1"/>
  <c r="CI20" i="4"/>
  <c r="CE25" i="4"/>
  <c r="CF25" i="4" s="1"/>
  <c r="CG25" i="4" s="1"/>
  <c r="EH25" i="4" s="1"/>
  <c r="CE24" i="4"/>
  <c r="CF24" i="4" s="1"/>
  <c r="CE23" i="4"/>
  <c r="CF23" i="4" s="1"/>
  <c r="CE22" i="4"/>
  <c r="CE21" i="4"/>
  <c r="CE20" i="4"/>
  <c r="CA25" i="4"/>
  <c r="CB25" i="4" s="1"/>
  <c r="CA24" i="4"/>
  <c r="CB24" i="4" s="1"/>
  <c r="CA23" i="4"/>
  <c r="CA22" i="4"/>
  <c r="CA21" i="4"/>
  <c r="CA20" i="4"/>
  <c r="CB20" i="4" s="1"/>
  <c r="CC20" i="4" s="1"/>
  <c r="BW25" i="4"/>
  <c r="BW24" i="4"/>
  <c r="BX24" i="4" s="1"/>
  <c r="BY24" i="4" s="1"/>
  <c r="BW23" i="4"/>
  <c r="BW22" i="4"/>
  <c r="BW21" i="4"/>
  <c r="BW20" i="4"/>
  <c r="BS25" i="4"/>
  <c r="BT25" i="4" s="1"/>
  <c r="BU25" i="4" s="1"/>
  <c r="BS24" i="4"/>
  <c r="BS23" i="4"/>
  <c r="BT23" i="4" s="1"/>
  <c r="BU23" i="4" s="1"/>
  <c r="BS22" i="4"/>
  <c r="BS21" i="4"/>
  <c r="BT21" i="4" s="1"/>
  <c r="BU21" i="4" s="1"/>
  <c r="BS20" i="4"/>
  <c r="BO25" i="4"/>
  <c r="BP25" i="4" s="1"/>
  <c r="BQ25" i="4" s="1"/>
  <c r="BO24" i="4"/>
  <c r="BO23" i="4"/>
  <c r="BO21" i="4"/>
  <c r="BO20" i="4"/>
  <c r="BK24" i="4"/>
  <c r="BK23" i="4"/>
  <c r="BK22" i="4"/>
  <c r="BK21" i="4"/>
  <c r="BK20" i="4"/>
  <c r="BG21" i="4"/>
  <c r="BG20" i="4"/>
  <c r="BC21" i="4"/>
  <c r="BC20" i="4"/>
  <c r="AY21" i="4"/>
  <c r="AY20" i="4"/>
  <c r="AU24" i="4"/>
  <c r="AU23" i="4"/>
  <c r="AU22" i="4"/>
  <c r="AU21" i="4"/>
  <c r="AU20" i="4"/>
  <c r="AI24" i="4"/>
  <c r="AJ24" i="4" s="1"/>
  <c r="AK24" i="4" s="1"/>
  <c r="AI23" i="4"/>
  <c r="AI22" i="4"/>
  <c r="AI21" i="4"/>
  <c r="AI20" i="4"/>
  <c r="AE24" i="4"/>
  <c r="AF24" i="4" s="1"/>
  <c r="AE23" i="4"/>
  <c r="AF23" i="4" s="1"/>
  <c r="AG23" i="4" s="1"/>
  <c r="AE22" i="4"/>
  <c r="AE21" i="4"/>
  <c r="AF21" i="4" s="1"/>
  <c r="AE20" i="4"/>
  <c r="ET17" i="4"/>
  <c r="ES17" i="4"/>
  <c r="ER17" i="4"/>
  <c r="EQ17" i="4"/>
  <c r="EP17" i="4"/>
  <c r="EO17" i="4"/>
  <c r="EN17" i="4"/>
  <c r="EJ17" i="4"/>
  <c r="EI17" i="4"/>
  <c r="EI29" i="4" s="1"/>
  <c r="EG17" i="4"/>
  <c r="EG29" i="4"/>
  <c r="ED17" i="4"/>
  <c r="DV17" i="4"/>
  <c r="DU17" i="4"/>
  <c r="AO17" i="4" s="1"/>
  <c r="DT17" i="4"/>
  <c r="DS17" i="4"/>
  <c r="DQ17" i="4"/>
  <c r="DP17" i="4"/>
  <c r="DO17" i="4"/>
  <c r="DN17" i="4"/>
  <c r="DM17" i="4"/>
  <c r="CQ17" i="4"/>
  <c r="CL17" i="4"/>
  <c r="CI17" i="4"/>
  <c r="CJ17" i="4" s="1"/>
  <c r="CD17" i="4"/>
  <c r="CA17" i="4"/>
  <c r="CB17" i="4" s="1"/>
  <c r="AU17" i="4"/>
  <c r="AV17" i="4" s="1"/>
  <c r="AQ17" i="4"/>
  <c r="AR17" i="4" s="1"/>
  <c r="AI17" i="4"/>
  <c r="AE17" i="4"/>
  <c r="AF17" i="4" s="1"/>
  <c r="AC17" i="4"/>
  <c r="EH12" i="4"/>
  <c r="EH11" i="4"/>
  <c r="CO16" i="4"/>
  <c r="CO12" i="4"/>
  <c r="CO11" i="4"/>
  <c r="CO10" i="4"/>
  <c r="DA12" i="2" s="1"/>
  <c r="CK16" i="4"/>
  <c r="CK12" i="4"/>
  <c r="CK10" i="4"/>
  <c r="CW12" i="2" s="1"/>
  <c r="AW16" i="4"/>
  <c r="AW14" i="4"/>
  <c r="AW13" i="4"/>
  <c r="AW11" i="4"/>
  <c r="AW10" i="4"/>
  <c r="CQ15" i="4"/>
  <c r="CQ14" i="4"/>
  <c r="CQ13" i="4"/>
  <c r="AU15" i="4"/>
  <c r="BW17" i="4"/>
  <c r="BX17" i="4" s="1"/>
  <c r="BY17" i="4" s="1"/>
  <c r="BW16" i="4"/>
  <c r="BX16" i="4" s="1"/>
  <c r="BY16" i="4" s="1"/>
  <c r="BW15" i="4"/>
  <c r="BW14" i="4"/>
  <c r="BX14" i="4" s="1"/>
  <c r="BK17" i="4"/>
  <c r="BK16" i="4"/>
  <c r="BL16" i="4" s="1"/>
  <c r="BK15" i="4"/>
  <c r="BL15" i="4" s="1"/>
  <c r="BM15" i="4" s="1"/>
  <c r="BK14" i="4"/>
  <c r="BL14" i="4" s="1"/>
  <c r="BG17" i="4"/>
  <c r="BH17" i="4" s="1"/>
  <c r="BI17" i="4" s="1"/>
  <c r="BG16" i="4"/>
  <c r="BG15" i="4"/>
  <c r="BG14" i="4"/>
  <c r="BH14" i="4" s="1"/>
  <c r="BC17" i="4"/>
  <c r="BD17" i="4" s="1"/>
  <c r="BE17" i="4" s="1"/>
  <c r="BC16" i="4"/>
  <c r="BC15" i="4"/>
  <c r="BC14" i="4"/>
  <c r="BD14" i="4" s="1"/>
  <c r="AY17" i="4"/>
  <c r="AZ17" i="4" s="1"/>
  <c r="BA17" i="4" s="1"/>
  <c r="AY16" i="4"/>
  <c r="AZ16" i="4" s="1"/>
  <c r="BA16" i="4" s="1"/>
  <c r="AY15" i="4"/>
  <c r="AY14" i="4"/>
  <c r="AZ14" i="4" s="1"/>
  <c r="ET16" i="4"/>
  <c r="ET48" i="4"/>
  <c r="ES16" i="4"/>
  <c r="ES48" i="4" s="1"/>
  <c r="ER16" i="4"/>
  <c r="ER48" i="4"/>
  <c r="EQ16" i="4"/>
  <c r="EQ48" i="4" s="1"/>
  <c r="EP16" i="4"/>
  <c r="EP48" i="4" s="1"/>
  <c r="EO16" i="4"/>
  <c r="EO48" i="4" s="1"/>
  <c r="EN16" i="4"/>
  <c r="EN48" i="4" s="1"/>
  <c r="ET15" i="4"/>
  <c r="ES15" i="4"/>
  <c r="ER15" i="4"/>
  <c r="EQ15" i="4"/>
  <c r="EP15" i="4"/>
  <c r="EO15" i="4"/>
  <c r="EN15" i="4"/>
  <c r="ET13" i="4"/>
  <c r="ES13" i="4"/>
  <c r="ER13" i="4"/>
  <c r="EQ13" i="4"/>
  <c r="EP13" i="4"/>
  <c r="EO13" i="4"/>
  <c r="EN13" i="4"/>
  <c r="CM15" i="4"/>
  <c r="CM14" i="4"/>
  <c r="CN14" i="4" s="1"/>
  <c r="CM13" i="4"/>
  <c r="CI15" i="4"/>
  <c r="CI14" i="4"/>
  <c r="CI13" i="4"/>
  <c r="CJ13" i="4" s="1"/>
  <c r="CK13" i="4" s="1"/>
  <c r="CE16" i="4"/>
  <c r="CE15" i="4"/>
  <c r="CE14" i="4"/>
  <c r="CE13" i="4"/>
  <c r="CA16" i="4"/>
  <c r="CB16" i="4" s="1"/>
  <c r="CA15" i="4"/>
  <c r="CB15" i="4" s="1"/>
  <c r="CC15" i="4" s="1"/>
  <c r="CA14" i="4"/>
  <c r="CA13" i="4"/>
  <c r="CB13" i="4" s="1"/>
  <c r="CC13" i="4" s="1"/>
  <c r="BY13" i="4"/>
  <c r="BY12" i="4"/>
  <c r="BY11" i="4"/>
  <c r="BM13" i="4"/>
  <c r="BM12" i="4"/>
  <c r="BM11" i="4"/>
  <c r="BI13" i="4"/>
  <c r="BI11" i="4"/>
  <c r="BI10" i="4"/>
  <c r="BI12" i="2" s="1"/>
  <c r="BE13" i="4"/>
  <c r="BE11" i="4"/>
  <c r="BE10" i="4"/>
  <c r="BA13" i="4"/>
  <c r="BA12" i="4"/>
  <c r="BA11" i="4"/>
  <c r="BA10" i="4"/>
  <c r="CC12" i="4"/>
  <c r="CC11" i="4"/>
  <c r="BG12" i="4"/>
  <c r="BC12" i="4"/>
  <c r="AV12" i="4"/>
  <c r="AW12" i="4" s="1"/>
  <c r="CJ11" i="4"/>
  <c r="CK11" i="4" s="1"/>
  <c r="EF10" i="4"/>
  <c r="EF9" i="4" s="1"/>
  <c r="EE10" i="4"/>
  <c r="EE9" i="4" s="1"/>
  <c r="EB9" i="4"/>
  <c r="EA9" i="4"/>
  <c r="DZ9" i="4"/>
  <c r="DT9" i="4"/>
  <c r="DS9" i="4"/>
  <c r="DQ9" i="4"/>
  <c r="DO9" i="4"/>
  <c r="DN9" i="4"/>
  <c r="DL9" i="4"/>
  <c r="CQ9" i="4"/>
  <c r="DC11" i="2" s="1"/>
  <c r="CQ8" i="4"/>
  <c r="BN9" i="4"/>
  <c r="AO9" i="4"/>
  <c r="S9" i="4"/>
  <c r="S8" i="4"/>
  <c r="G9" i="4"/>
  <c r="ET12" i="4"/>
  <c r="ES12" i="4"/>
  <c r="ER12" i="4"/>
  <c r="EQ12" i="4"/>
  <c r="EP12" i="4"/>
  <c r="EO12" i="4"/>
  <c r="EN12" i="4"/>
  <c r="ET11" i="4"/>
  <c r="ES11" i="4"/>
  <c r="ER11" i="4"/>
  <c r="EQ11" i="4"/>
  <c r="EP11" i="4"/>
  <c r="EO11" i="4"/>
  <c r="EN11" i="4"/>
  <c r="ET10" i="4"/>
  <c r="ES10" i="4"/>
  <c r="ER10" i="4"/>
  <c r="EQ10" i="4"/>
  <c r="EP10" i="4"/>
  <c r="EO10" i="4"/>
  <c r="EN10" i="4"/>
  <c r="DQ8" i="4"/>
  <c r="CM9" i="4"/>
  <c r="CY11" i="2" s="1"/>
  <c r="CM8" i="4"/>
  <c r="CN8" i="4" s="1"/>
  <c r="CO8" i="4" s="1"/>
  <c r="CI9" i="4"/>
  <c r="CI8" i="4"/>
  <c r="CJ8" i="4" s="1"/>
  <c r="CE10" i="4"/>
  <c r="CF10" i="4" s="1"/>
  <c r="CE9" i="4"/>
  <c r="CE8" i="4"/>
  <c r="CF8" i="4" s="1"/>
  <c r="CA10" i="4"/>
  <c r="CA9" i="4"/>
  <c r="CA8" i="4"/>
  <c r="BW10" i="4"/>
  <c r="BX10" i="4" s="1"/>
  <c r="BW9" i="4"/>
  <c r="BW8" i="4"/>
  <c r="BS17" i="4"/>
  <c r="BS16" i="4"/>
  <c r="BS15" i="4"/>
  <c r="BS14" i="4"/>
  <c r="BS13" i="4"/>
  <c r="BS12" i="4"/>
  <c r="BT12" i="4" s="1"/>
  <c r="BU12" i="4" s="1"/>
  <c r="BS11" i="4"/>
  <c r="BS10" i="4"/>
  <c r="BS9" i="4"/>
  <c r="BS8" i="4"/>
  <c r="BO17" i="4"/>
  <c r="BO16" i="4"/>
  <c r="BP16" i="4" s="1"/>
  <c r="BQ16" i="4" s="1"/>
  <c r="BO15" i="4"/>
  <c r="BO14" i="4"/>
  <c r="BP14" i="4" s="1"/>
  <c r="BO13" i="4"/>
  <c r="BO12" i="4"/>
  <c r="BP12" i="4" s="1"/>
  <c r="BQ12" i="4" s="1"/>
  <c r="BO11" i="4"/>
  <c r="BP11" i="4" s="1"/>
  <c r="BO10" i="4"/>
  <c r="BO9" i="4"/>
  <c r="BO8" i="4"/>
  <c r="BP8" i="4" s="1"/>
  <c r="BK10" i="4"/>
  <c r="BL10" i="4" s="1"/>
  <c r="BL12" i="2" s="1"/>
  <c r="BK9" i="4"/>
  <c r="BK8" i="4"/>
  <c r="BL8" i="4" s="1"/>
  <c r="BG9" i="4"/>
  <c r="BG8" i="4"/>
  <c r="BH8" i="4" s="1"/>
  <c r="BI8" i="4" s="1"/>
  <c r="BC9" i="4"/>
  <c r="BC8" i="4"/>
  <c r="BD8" i="4" s="1"/>
  <c r="AY9" i="4"/>
  <c r="AY8" i="4"/>
  <c r="AZ8" i="4" s="1"/>
  <c r="BA8" i="4" s="1"/>
  <c r="AU9" i="4"/>
  <c r="AU8" i="4"/>
  <c r="AV8" i="4" s="1"/>
  <c r="AQ9" i="4"/>
  <c r="AR9" i="4" s="1"/>
  <c r="AQ8" i="4"/>
  <c r="AI9" i="4"/>
  <c r="AI8" i="4"/>
  <c r="AE9" i="4"/>
  <c r="AE8" i="4"/>
  <c r="AF8" i="4" s="1"/>
  <c r="AG8" i="4" s="1"/>
  <c r="AA9" i="4"/>
  <c r="AA8" i="4"/>
  <c r="AB8" i="4" s="1"/>
  <c r="EJ5" i="4"/>
  <c r="EH5" i="4"/>
  <c r="EG5" i="4"/>
  <c r="EF5" i="4"/>
  <c r="EE5" i="4"/>
  <c r="ED5" i="4"/>
  <c r="EC5" i="4"/>
  <c r="EB5" i="4"/>
  <c r="EA5" i="4"/>
  <c r="DZ5" i="4"/>
  <c r="DL5" i="4"/>
  <c r="CQ5" i="4"/>
  <c r="CP5" i="4"/>
  <c r="CO5" i="4"/>
  <c r="CN5" i="4"/>
  <c r="CM5" i="4"/>
  <c r="CL5" i="4"/>
  <c r="CK5" i="4"/>
  <c r="CJ5" i="4"/>
  <c r="CI5" i="4"/>
  <c r="CH5" i="4"/>
  <c r="CG5" i="4"/>
  <c r="CF5" i="4"/>
  <c r="CE5" i="4"/>
  <c r="CD5" i="4"/>
  <c r="CC5" i="4"/>
  <c r="CB5" i="4"/>
  <c r="CA5" i="4"/>
  <c r="BZ5" i="4"/>
  <c r="BY5" i="4"/>
  <c r="BX5" i="4"/>
  <c r="BW5" i="4"/>
  <c r="BV5" i="4"/>
  <c r="BU5" i="4"/>
  <c r="BT5" i="4"/>
  <c r="BS5" i="4"/>
  <c r="BR5" i="4"/>
  <c r="BQ5" i="4"/>
  <c r="BP5" i="4"/>
  <c r="BO5" i="4"/>
  <c r="BN5" i="4"/>
  <c r="BM5" i="4"/>
  <c r="BL5" i="4"/>
  <c r="BK5" i="4"/>
  <c r="BJ5" i="4"/>
  <c r="BI5" i="4"/>
  <c r="BH5" i="4"/>
  <c r="BG5" i="4"/>
  <c r="BF5" i="4"/>
  <c r="BE5" i="4"/>
  <c r="BD5" i="4"/>
  <c r="BC5" i="4"/>
  <c r="BB5" i="4"/>
  <c r="BA5" i="4"/>
  <c r="AZ5" i="4"/>
  <c r="AY5" i="4"/>
  <c r="AX5" i="4"/>
  <c r="AW5" i="4"/>
  <c r="AV5" i="4"/>
  <c r="AU5" i="4"/>
  <c r="AT5" i="4"/>
  <c r="AS5" i="4"/>
  <c r="AR5" i="4"/>
  <c r="AQ5" i="4"/>
  <c r="AP5" i="4"/>
  <c r="AO5" i="4"/>
  <c r="AN5" i="4"/>
  <c r="AM5" i="4"/>
  <c r="AL5" i="4"/>
  <c r="AK5" i="4"/>
  <c r="AJ5" i="4"/>
  <c r="AI5" i="4"/>
  <c r="AH5" i="4"/>
  <c r="AG5" i="4"/>
  <c r="AF5" i="4"/>
  <c r="AE5" i="4"/>
  <c r="AD5" i="4"/>
  <c r="AC5" i="4"/>
  <c r="AB5" i="4"/>
  <c r="AA5" i="4"/>
  <c r="Z5" i="4"/>
  <c r="Y5" i="4"/>
  <c r="X5" i="4"/>
  <c r="W5" i="4"/>
  <c r="V5" i="4"/>
  <c r="U5" i="4"/>
  <c r="T5" i="4"/>
  <c r="S5" i="4"/>
  <c r="R5" i="4"/>
  <c r="Q5" i="4"/>
  <c r="P5" i="4"/>
  <c r="O5" i="4"/>
  <c r="N5" i="4"/>
  <c r="M5" i="4"/>
  <c r="L5" i="4"/>
  <c r="K5" i="4"/>
  <c r="J5" i="4"/>
  <c r="I5" i="4"/>
  <c r="H5" i="4"/>
  <c r="G5" i="4"/>
  <c r="F5" i="4"/>
  <c r="E5" i="4"/>
  <c r="D5" i="4"/>
  <c r="C5" i="4"/>
  <c r="B5" i="4"/>
  <c r="CL4" i="4"/>
  <c r="CH4" i="4"/>
  <c r="CD4" i="4"/>
  <c r="BZ4" i="4"/>
  <c r="BV4" i="4"/>
  <c r="BR4" i="4"/>
  <c r="BN4" i="4"/>
  <c r="BJ4" i="4"/>
  <c r="F4" i="4"/>
  <c r="EE129" i="3"/>
  <c r="DK129" i="3"/>
  <c r="DJ129" i="3"/>
  <c r="DI129" i="3"/>
  <c r="DH129" i="3"/>
  <c r="DG129" i="3"/>
  <c r="DF129" i="3"/>
  <c r="DE129" i="3"/>
  <c r="DD129" i="3"/>
  <c r="CQ129" i="3"/>
  <c r="CP129" i="3"/>
  <c r="CO129" i="3"/>
  <c r="CN129" i="3"/>
  <c r="CM129" i="3"/>
  <c r="CL129" i="3"/>
  <c r="CK129" i="3"/>
  <c r="CJ129" i="3"/>
  <c r="CI129" i="3"/>
  <c r="CH129" i="3"/>
  <c r="CG129" i="3"/>
  <c r="CF129" i="3"/>
  <c r="CE129" i="3"/>
  <c r="CD129" i="3"/>
  <c r="CC129" i="3"/>
  <c r="CB129" i="3"/>
  <c r="CA129" i="3"/>
  <c r="BZ129" i="3"/>
  <c r="EF129" i="3" s="1"/>
  <c r="BY129" i="3"/>
  <c r="BX129" i="3"/>
  <c r="BW129" i="3"/>
  <c r="BV129" i="3"/>
  <c r="BU129" i="3"/>
  <c r="BT129" i="3"/>
  <c r="BS129" i="3"/>
  <c r="BR129" i="3"/>
  <c r="BQ129" i="3"/>
  <c r="BP129" i="3"/>
  <c r="BO129" i="3"/>
  <c r="BN129" i="3"/>
  <c r="BM129" i="3"/>
  <c r="BL129" i="3"/>
  <c r="BK129" i="3"/>
  <c r="BJ129" i="3"/>
  <c r="BI129" i="3"/>
  <c r="BH129" i="3"/>
  <c r="BG129" i="3"/>
  <c r="BF129" i="3"/>
  <c r="BE129" i="3"/>
  <c r="BD129" i="3"/>
  <c r="BC129" i="3"/>
  <c r="BB129" i="3"/>
  <c r="BA129" i="3"/>
  <c r="AZ129" i="3"/>
  <c r="AY129" i="3"/>
  <c r="AX129" i="3"/>
  <c r="AW129" i="3"/>
  <c r="AV129" i="3"/>
  <c r="AU129" i="3"/>
  <c r="AT129" i="3"/>
  <c r="AS129" i="3"/>
  <c r="AR129" i="3"/>
  <c r="AQ129" i="3"/>
  <c r="AP129" i="3"/>
  <c r="AO129" i="3"/>
  <c r="AN129" i="3"/>
  <c r="AM129" i="3"/>
  <c r="AL129" i="3"/>
  <c r="AK129" i="3"/>
  <c r="AJ129" i="3"/>
  <c r="AI129" i="3"/>
  <c r="AH129" i="3"/>
  <c r="AG129" i="3"/>
  <c r="AF129" i="3"/>
  <c r="AE129" i="3"/>
  <c r="AD129" i="3"/>
  <c r="AC129" i="3"/>
  <c r="AB129" i="3"/>
  <c r="AA129" i="3"/>
  <c r="Z129" i="3"/>
  <c r="Y129" i="3"/>
  <c r="X129" i="3"/>
  <c r="W129" i="3"/>
  <c r="V129" i="3"/>
  <c r="U129" i="3"/>
  <c r="T129" i="3"/>
  <c r="S129" i="3"/>
  <c r="R129" i="3"/>
  <c r="Q129" i="3"/>
  <c r="P129" i="3"/>
  <c r="O129" i="3"/>
  <c r="N129" i="3"/>
  <c r="M129" i="3"/>
  <c r="L129" i="3"/>
  <c r="K129" i="3"/>
  <c r="J129" i="3"/>
  <c r="I129" i="3"/>
  <c r="H129" i="3"/>
  <c r="G129" i="3"/>
  <c r="F129" i="3"/>
  <c r="E129" i="3"/>
  <c r="D129" i="3"/>
  <c r="C129" i="3"/>
  <c r="B129" i="3"/>
  <c r="EJ113" i="3"/>
  <c r="EJ115" i="3" s="1"/>
  <c r="EI113" i="3"/>
  <c r="EI115" i="3" s="1"/>
  <c r="EH113" i="3"/>
  <c r="EH115" i="3" s="1"/>
  <c r="EG113" i="3"/>
  <c r="EG115" i="3" s="1"/>
  <c r="ED113" i="3"/>
  <c r="EC113" i="3"/>
  <c r="EC115" i="3" s="1"/>
  <c r="EE115" i="3" s="1"/>
  <c r="EB113" i="3"/>
  <c r="EB115" i="3" s="1"/>
  <c r="EA113" i="3"/>
  <c r="EA115" i="3" s="1"/>
  <c r="DZ113" i="3"/>
  <c r="DZ115" i="3" s="1"/>
  <c r="DY113" i="3"/>
  <c r="DY115" i="3" s="1"/>
  <c r="DX113" i="3"/>
  <c r="DX115" i="3" s="1"/>
  <c r="DW113" i="3"/>
  <c r="DW115" i="3" s="1"/>
  <c r="DV113" i="3"/>
  <c r="DV115" i="3" s="1"/>
  <c r="DU113" i="3"/>
  <c r="DU115" i="3" s="1"/>
  <c r="DT113" i="3"/>
  <c r="DT115" i="3" s="1"/>
  <c r="DS113" i="3"/>
  <c r="DS115" i="3" s="1"/>
  <c r="DR113" i="3"/>
  <c r="DR115" i="3" s="1"/>
  <c r="DQ113" i="3"/>
  <c r="DQ115" i="3" s="1"/>
  <c r="DP113" i="3"/>
  <c r="DP115" i="3" s="1"/>
  <c r="DO113" i="3"/>
  <c r="DO115" i="3" s="1"/>
  <c r="DN113" i="3"/>
  <c r="DN115" i="3" s="1"/>
  <c r="DM113" i="3"/>
  <c r="DM115" i="3" s="1"/>
  <c r="DL113" i="3"/>
  <c r="DL115" i="3" s="1"/>
  <c r="CC113" i="3"/>
  <c r="CC115" i="3" s="1"/>
  <c r="CB113" i="3"/>
  <c r="CB115" i="3" s="1"/>
  <c r="CA113" i="3"/>
  <c r="CA115" i="3" s="1"/>
  <c r="BZ113" i="3"/>
  <c r="BZ115" i="3" s="1"/>
  <c r="BY113" i="3"/>
  <c r="BY115" i="3" s="1"/>
  <c r="BX113" i="3"/>
  <c r="BX115" i="3" s="1"/>
  <c r="BW113" i="3"/>
  <c r="BW115" i="3" s="1"/>
  <c r="BV113" i="3"/>
  <c r="BV115" i="3" s="1"/>
  <c r="BU113" i="3"/>
  <c r="BU115" i="3" s="1"/>
  <c r="BT113" i="3"/>
  <c r="BT115" i="3" s="1"/>
  <c r="BS113" i="3"/>
  <c r="BS115" i="3" s="1"/>
  <c r="BR113" i="3"/>
  <c r="BR115" i="3" s="1"/>
  <c r="BQ113" i="3"/>
  <c r="BQ115" i="3" s="1"/>
  <c r="BP113" i="3"/>
  <c r="BP115" i="3" s="1"/>
  <c r="BO113" i="3"/>
  <c r="BO115" i="3" s="1"/>
  <c r="BN113" i="3"/>
  <c r="BN115" i="3" s="1"/>
  <c r="BM113" i="3"/>
  <c r="BM115" i="3" s="1"/>
  <c r="BL113" i="3"/>
  <c r="BL115" i="3" s="1"/>
  <c r="BK113" i="3"/>
  <c r="BK115" i="3" s="1"/>
  <c r="BJ113" i="3"/>
  <c r="BJ115" i="3" s="1"/>
  <c r="BI113" i="3"/>
  <c r="BI115" i="3" s="1"/>
  <c r="BH113" i="3"/>
  <c r="BH115" i="3" s="1"/>
  <c r="BG113" i="3"/>
  <c r="BG115" i="3" s="1"/>
  <c r="BF113" i="3"/>
  <c r="BF115" i="3" s="1"/>
  <c r="BE113" i="3"/>
  <c r="BE115" i="3" s="1"/>
  <c r="BD113" i="3"/>
  <c r="BD115" i="3" s="1"/>
  <c r="BC113" i="3"/>
  <c r="BC115" i="3" s="1"/>
  <c r="BB113" i="3"/>
  <c r="BB115" i="3" s="1"/>
  <c r="BA113" i="3"/>
  <c r="BA115" i="3" s="1"/>
  <c r="AZ113" i="3"/>
  <c r="AZ115" i="3" s="1"/>
  <c r="AY113" i="3"/>
  <c r="AY115" i="3" s="1"/>
  <c r="AX113" i="3"/>
  <c r="AX115" i="3" s="1"/>
  <c r="AW113" i="3"/>
  <c r="AW115" i="3" s="1"/>
  <c r="AV113" i="3"/>
  <c r="AV115" i="3" s="1"/>
  <c r="AU113" i="3"/>
  <c r="AU115" i="3" s="1"/>
  <c r="AT113" i="3"/>
  <c r="AT115" i="3" s="1"/>
  <c r="AS113" i="3"/>
  <c r="AS115" i="3" s="1"/>
  <c r="AR113" i="3"/>
  <c r="AR115" i="3" s="1"/>
  <c r="AQ113" i="3"/>
  <c r="AQ115" i="3" s="1"/>
  <c r="AP113" i="3"/>
  <c r="AP115" i="3" s="1"/>
  <c r="AO113" i="3"/>
  <c r="AO115" i="3" s="1"/>
  <c r="AN113" i="3"/>
  <c r="AN115" i="3" s="1"/>
  <c r="AM113" i="3"/>
  <c r="AM115" i="3" s="1"/>
  <c r="AL113" i="3"/>
  <c r="AL115" i="3" s="1"/>
  <c r="AK113" i="3"/>
  <c r="AK115" i="3" s="1"/>
  <c r="AJ113" i="3"/>
  <c r="AJ115" i="3" s="1"/>
  <c r="AI113" i="3"/>
  <c r="AI115" i="3" s="1"/>
  <c r="AH113" i="3"/>
  <c r="AH115" i="3" s="1"/>
  <c r="AG113" i="3"/>
  <c r="AG115" i="3" s="1"/>
  <c r="AF113" i="3"/>
  <c r="AF115" i="3" s="1"/>
  <c r="AE113" i="3"/>
  <c r="AE115" i="3" s="1"/>
  <c r="AD113" i="3"/>
  <c r="AD115" i="3" s="1"/>
  <c r="AC113" i="3"/>
  <c r="AC115" i="3" s="1"/>
  <c r="AB113" i="3"/>
  <c r="AB115" i="3" s="1"/>
  <c r="AA113" i="3"/>
  <c r="AA115" i="3" s="1"/>
  <c r="Z113" i="3"/>
  <c r="Z115" i="3" s="1"/>
  <c r="Y113" i="3"/>
  <c r="Y115" i="3" s="1"/>
  <c r="X113" i="3"/>
  <c r="X115" i="3" s="1"/>
  <c r="W113" i="3"/>
  <c r="W115" i="3" s="1"/>
  <c r="V113" i="3"/>
  <c r="V115" i="3" s="1"/>
  <c r="U113" i="3"/>
  <c r="U115" i="3" s="1"/>
  <c r="T113" i="3"/>
  <c r="T115" i="3" s="1"/>
  <c r="S113" i="3"/>
  <c r="S115" i="3" s="1"/>
  <c r="R113" i="3"/>
  <c r="R115" i="3" s="1"/>
  <c r="Q113" i="3"/>
  <c r="Q115" i="3" s="1"/>
  <c r="P113" i="3"/>
  <c r="P115" i="3" s="1"/>
  <c r="O113" i="3"/>
  <c r="O115" i="3" s="1"/>
  <c r="N113" i="3"/>
  <c r="N115" i="3" s="1"/>
  <c r="M113" i="3"/>
  <c r="M115" i="3" s="1"/>
  <c r="L113" i="3"/>
  <c r="L115" i="3" s="1"/>
  <c r="K113" i="3"/>
  <c r="K115" i="3" s="1"/>
  <c r="J113" i="3"/>
  <c r="J115" i="3" s="1"/>
  <c r="I113" i="3"/>
  <c r="I115" i="3" s="1"/>
  <c r="H113" i="3"/>
  <c r="H115" i="3" s="1"/>
  <c r="G113" i="3"/>
  <c r="G115" i="3" s="1"/>
  <c r="F113" i="3"/>
  <c r="F115" i="3" s="1"/>
  <c r="E113" i="3"/>
  <c r="E115" i="3" s="1"/>
  <c r="D113" i="3"/>
  <c r="D115" i="3" s="1"/>
  <c r="C113" i="3"/>
  <c r="C115" i="3" s="1"/>
  <c r="B113" i="3"/>
  <c r="B115" i="3" s="1"/>
  <c r="DZ107" i="3"/>
  <c r="CQ107" i="3"/>
  <c r="CP107" i="3"/>
  <c r="CK107" i="3"/>
  <c r="CJ107" i="3"/>
  <c r="CI107" i="3"/>
  <c r="CH107" i="3"/>
  <c r="CG107" i="3"/>
  <c r="CF107" i="3"/>
  <c r="CE107" i="3"/>
  <c r="CD107" i="3"/>
  <c r="CC107" i="3"/>
  <c r="CB107" i="3"/>
  <c r="CA107" i="3"/>
  <c r="BZ107" i="3"/>
  <c r="BX107" i="3"/>
  <c r="BW107" i="3"/>
  <c r="BV107" i="3"/>
  <c r="BU107" i="3"/>
  <c r="BT107" i="3"/>
  <c r="BS107" i="3"/>
  <c r="BR107" i="3"/>
  <c r="BQ107" i="3"/>
  <c r="BP107" i="3"/>
  <c r="BO107" i="3"/>
  <c r="BN107" i="3"/>
  <c r="BM107" i="3"/>
  <c r="BL107" i="3"/>
  <c r="BK107" i="3"/>
  <c r="BJ107" i="3"/>
  <c r="BH107" i="3"/>
  <c r="BH78" i="3" s="1"/>
  <c r="BG107" i="3"/>
  <c r="BF107" i="3"/>
  <c r="BE107" i="3"/>
  <c r="BE78" i="3" s="1"/>
  <c r="BD107" i="3"/>
  <c r="BD78" i="3" s="1"/>
  <c r="BC107" i="3"/>
  <c r="BC78" i="3" s="1"/>
  <c r="BB107" i="3"/>
  <c r="BB78" i="3" s="1"/>
  <c r="BA107" i="3"/>
  <c r="AZ107" i="3"/>
  <c r="AZ78" i="3" s="1"/>
  <c r="AY107" i="3"/>
  <c r="AX107" i="3"/>
  <c r="AW107" i="3"/>
  <c r="AV107" i="3"/>
  <c r="AU107" i="3"/>
  <c r="AT107" i="3"/>
  <c r="AT78" i="3" s="1"/>
  <c r="AS107" i="3"/>
  <c r="AS78" i="3" s="1"/>
  <c r="AR107" i="3"/>
  <c r="AQ107" i="3"/>
  <c r="AQ78" i="3" s="1"/>
  <c r="AP107" i="3"/>
  <c r="AP78" i="3" s="1"/>
  <c r="AO107" i="3"/>
  <c r="AN107" i="3"/>
  <c r="AM107" i="3"/>
  <c r="AL107" i="3"/>
  <c r="AK107" i="3"/>
  <c r="AJ107" i="3"/>
  <c r="AI107" i="3"/>
  <c r="AH107" i="3"/>
  <c r="AG107" i="3"/>
  <c r="AF107" i="3"/>
  <c r="AE107" i="3"/>
  <c r="AD107" i="3"/>
  <c r="AC107" i="3"/>
  <c r="AB107" i="3"/>
  <c r="AA107" i="3"/>
  <c r="Z107" i="3"/>
  <c r="Y107" i="3"/>
  <c r="X107" i="3"/>
  <c r="W107" i="3"/>
  <c r="V107" i="3"/>
  <c r="U107" i="3"/>
  <c r="T107" i="3"/>
  <c r="S107" i="3"/>
  <c r="R107" i="3"/>
  <c r="Q107" i="3"/>
  <c r="P107" i="3"/>
  <c r="O107" i="3"/>
  <c r="N107" i="3"/>
  <c r="M107" i="3"/>
  <c r="L107" i="3"/>
  <c r="K107" i="3"/>
  <c r="J107" i="3"/>
  <c r="I107" i="3"/>
  <c r="H107" i="3"/>
  <c r="G107" i="3"/>
  <c r="F107" i="3"/>
  <c r="E107" i="3"/>
  <c r="D107" i="3"/>
  <c r="C107" i="3"/>
  <c r="B107" i="3"/>
  <c r="EA104" i="3"/>
  <c r="DZ104" i="3"/>
  <c r="DK103" i="3"/>
  <c r="DJ103" i="3"/>
  <c r="DI103" i="3"/>
  <c r="DH103" i="3"/>
  <c r="DG103" i="3"/>
  <c r="DF103" i="3"/>
  <c r="DE103" i="3"/>
  <c r="DD103" i="3"/>
  <c r="DK102" i="3"/>
  <c r="DJ102" i="3"/>
  <c r="DI102" i="3"/>
  <c r="DH102" i="3"/>
  <c r="DF102" i="3"/>
  <c r="DE102" i="3"/>
  <c r="DD102" i="3"/>
  <c r="DK101" i="3"/>
  <c r="DK130" i="3" s="1"/>
  <c r="DJ101" i="3"/>
  <c r="DI101" i="3"/>
  <c r="DH101" i="3"/>
  <c r="DG101" i="3"/>
  <c r="DF101" i="3"/>
  <c r="DE101" i="3"/>
  <c r="DE51" i="3" s="1"/>
  <c r="DD101" i="3"/>
  <c r="DD51" i="3" s="1"/>
  <c r="DK100" i="3"/>
  <c r="DK50" i="3" s="1"/>
  <c r="DJ100" i="3"/>
  <c r="DJ50" i="3" s="1"/>
  <c r="DI100" i="3"/>
  <c r="DH100" i="3"/>
  <c r="DG100" i="3"/>
  <c r="DF100" i="3"/>
  <c r="DE100" i="3"/>
  <c r="DE97" i="3" s="1"/>
  <c r="DD100" i="3"/>
  <c r="CF104" i="3"/>
  <c r="CC104" i="3"/>
  <c r="CA104" i="3"/>
  <c r="BZ104" i="3"/>
  <c r="BW104" i="3"/>
  <c r="BV104" i="3"/>
  <c r="BU104" i="3"/>
  <c r="BT104" i="3"/>
  <c r="BS104" i="3"/>
  <c r="BR104" i="3"/>
  <c r="BQ104" i="3"/>
  <c r="BP104" i="3"/>
  <c r="BO104" i="3"/>
  <c r="BK104" i="3"/>
  <c r="BJ104" i="3"/>
  <c r="BI104" i="3"/>
  <c r="BH104" i="3"/>
  <c r="BG104" i="3"/>
  <c r="BF104" i="3"/>
  <c r="BE104" i="3"/>
  <c r="BD104" i="3"/>
  <c r="BC104" i="3"/>
  <c r="BB104" i="3"/>
  <c r="BA104" i="3"/>
  <c r="AZ104" i="3"/>
  <c r="AY104" i="3"/>
  <c r="AX104" i="3"/>
  <c r="AW104" i="3"/>
  <c r="AV104" i="3"/>
  <c r="AU104" i="3"/>
  <c r="AT104" i="3"/>
  <c r="AS104" i="3"/>
  <c r="AR104" i="3"/>
  <c r="AQ104" i="3"/>
  <c r="AP104" i="3"/>
  <c r="AO104" i="3"/>
  <c r="AN104" i="3"/>
  <c r="AM104" i="3"/>
  <c r="AL104" i="3"/>
  <c r="AK104" i="3"/>
  <c r="AJ104" i="3"/>
  <c r="AI104" i="3"/>
  <c r="AH104" i="3"/>
  <c r="AG104" i="3"/>
  <c r="AF104" i="3"/>
  <c r="AE104" i="3"/>
  <c r="AD104" i="3"/>
  <c r="AC104" i="3"/>
  <c r="AB104" i="3"/>
  <c r="AA104" i="3"/>
  <c r="Z104" i="3"/>
  <c r="Y104" i="3"/>
  <c r="X104" i="3"/>
  <c r="W104" i="3"/>
  <c r="V104" i="3"/>
  <c r="U104" i="3"/>
  <c r="T104" i="3"/>
  <c r="S104" i="3"/>
  <c r="R104" i="3"/>
  <c r="Q104" i="3"/>
  <c r="P104" i="3"/>
  <c r="O104" i="3"/>
  <c r="N104" i="3"/>
  <c r="M104" i="3"/>
  <c r="L104" i="3"/>
  <c r="K104" i="3"/>
  <c r="J104" i="3"/>
  <c r="I104" i="3"/>
  <c r="H104" i="3"/>
  <c r="G104" i="3"/>
  <c r="F104" i="3"/>
  <c r="E104" i="3"/>
  <c r="D104" i="3"/>
  <c r="C104" i="3"/>
  <c r="B104" i="3"/>
  <c r="BA103" i="3"/>
  <c r="AZ103" i="3"/>
  <c r="AY103" i="3"/>
  <c r="AX103" i="3"/>
  <c r="AW103" i="3"/>
  <c r="AV103" i="3"/>
  <c r="AU103" i="3"/>
  <c r="AT103" i="3"/>
  <c r="AS103" i="3"/>
  <c r="AR103" i="3"/>
  <c r="AQ103" i="3"/>
  <c r="AP103" i="3"/>
  <c r="AO103" i="3"/>
  <c r="AN103" i="3"/>
  <c r="AM103" i="3"/>
  <c r="AL103" i="3"/>
  <c r="AK103" i="3"/>
  <c r="AJ103" i="3"/>
  <c r="AI103" i="3"/>
  <c r="AH103" i="3"/>
  <c r="AG103" i="3"/>
  <c r="AF103" i="3"/>
  <c r="AE103" i="3"/>
  <c r="AD103" i="3"/>
  <c r="AC103" i="3"/>
  <c r="AB103" i="3"/>
  <c r="AA103" i="3"/>
  <c r="Z103" i="3"/>
  <c r="Y103" i="3"/>
  <c r="X103" i="3"/>
  <c r="W103" i="3"/>
  <c r="V103" i="3"/>
  <c r="U103" i="3"/>
  <c r="T103" i="3"/>
  <c r="S103" i="3"/>
  <c r="R103" i="3"/>
  <c r="Q103" i="3"/>
  <c r="P103" i="3"/>
  <c r="O103" i="3"/>
  <c r="N103" i="3"/>
  <c r="M103" i="3"/>
  <c r="L103" i="3"/>
  <c r="K103" i="3"/>
  <c r="J103" i="3"/>
  <c r="I103" i="3"/>
  <c r="H103" i="3"/>
  <c r="G103" i="3"/>
  <c r="F103" i="3"/>
  <c r="E103" i="3"/>
  <c r="D103" i="3"/>
  <c r="C103" i="3"/>
  <c r="B103" i="3"/>
  <c r="AW102" i="3"/>
  <c r="AV102" i="3"/>
  <c r="AT102" i="3"/>
  <c r="AS102" i="3"/>
  <c r="AR102" i="3"/>
  <c r="AQ102" i="3"/>
  <c r="AP102" i="3"/>
  <c r="AO102" i="3"/>
  <c r="AN102" i="3"/>
  <c r="AM102" i="3"/>
  <c r="AL102" i="3"/>
  <c r="AK102" i="3"/>
  <c r="AJ102" i="3"/>
  <c r="AI102" i="3"/>
  <c r="AH102" i="3"/>
  <c r="AG102" i="3"/>
  <c r="AF102" i="3"/>
  <c r="AE102" i="3"/>
  <c r="AD102" i="3"/>
  <c r="AC102" i="3"/>
  <c r="AB102" i="3"/>
  <c r="AA102" i="3"/>
  <c r="Z102" i="3"/>
  <c r="Y102" i="3"/>
  <c r="X102" i="3"/>
  <c r="W102" i="3"/>
  <c r="V102" i="3"/>
  <c r="U102" i="3"/>
  <c r="T102" i="3"/>
  <c r="S102" i="3"/>
  <c r="R102" i="3"/>
  <c r="Q102" i="3"/>
  <c r="P102" i="3"/>
  <c r="O102" i="3"/>
  <c r="N102" i="3"/>
  <c r="M102" i="3"/>
  <c r="L102" i="3"/>
  <c r="K102" i="3"/>
  <c r="J102" i="3"/>
  <c r="I102" i="3"/>
  <c r="H102" i="3"/>
  <c r="G102" i="3"/>
  <c r="F102" i="3"/>
  <c r="E102" i="3"/>
  <c r="D102" i="3"/>
  <c r="C102" i="3"/>
  <c r="B102" i="3"/>
  <c r="AW101" i="3"/>
  <c r="AV101" i="3"/>
  <c r="AU101" i="3"/>
  <c r="AT101" i="3"/>
  <c r="AS101" i="3"/>
  <c r="AR101" i="3"/>
  <c r="AQ101" i="3"/>
  <c r="AP101" i="3"/>
  <c r="AO101" i="3"/>
  <c r="AN101" i="3"/>
  <c r="AM101" i="3"/>
  <c r="AL101" i="3"/>
  <c r="AK101" i="3"/>
  <c r="AJ101" i="3"/>
  <c r="AI101" i="3"/>
  <c r="AH101" i="3"/>
  <c r="AG101" i="3"/>
  <c r="AF101" i="3"/>
  <c r="AE101" i="3"/>
  <c r="AD101" i="3"/>
  <c r="AC101" i="3"/>
  <c r="AB101" i="3"/>
  <c r="AA101" i="3"/>
  <c r="Z101" i="3"/>
  <c r="Y101" i="3"/>
  <c r="X101" i="3"/>
  <c r="W101" i="3"/>
  <c r="V101" i="3"/>
  <c r="U101" i="3"/>
  <c r="T101" i="3"/>
  <c r="S101" i="3"/>
  <c r="R101" i="3"/>
  <c r="Q101" i="3"/>
  <c r="P101" i="3"/>
  <c r="O101" i="3"/>
  <c r="N101" i="3"/>
  <c r="M101" i="3"/>
  <c r="L101" i="3"/>
  <c r="K101" i="3"/>
  <c r="J101" i="3"/>
  <c r="I101" i="3"/>
  <c r="H101" i="3"/>
  <c r="G101" i="3"/>
  <c r="F101" i="3"/>
  <c r="E101" i="3"/>
  <c r="D101" i="3"/>
  <c r="C101" i="3"/>
  <c r="B101" i="3"/>
  <c r="AV100" i="3"/>
  <c r="AT100" i="3"/>
  <c r="AK100" i="3"/>
  <c r="AJ100" i="3"/>
  <c r="AI100" i="3"/>
  <c r="AH100" i="3"/>
  <c r="AG100" i="3"/>
  <c r="AF100" i="3"/>
  <c r="AE100" i="3"/>
  <c r="AD100" i="3"/>
  <c r="AC100" i="3"/>
  <c r="AB100" i="3"/>
  <c r="AA100" i="3"/>
  <c r="Z100" i="3"/>
  <c r="Y100" i="3"/>
  <c r="X100" i="3"/>
  <c r="W100" i="3"/>
  <c r="V100" i="3"/>
  <c r="U100" i="3"/>
  <c r="T100" i="3"/>
  <c r="S100" i="3"/>
  <c r="R100" i="3"/>
  <c r="Q100" i="3"/>
  <c r="P100" i="3"/>
  <c r="O100" i="3"/>
  <c r="N100" i="3"/>
  <c r="M100" i="3"/>
  <c r="L100" i="3"/>
  <c r="K100" i="3"/>
  <c r="J100" i="3"/>
  <c r="I100" i="3"/>
  <c r="H100" i="3"/>
  <c r="G100" i="3"/>
  <c r="F100" i="3"/>
  <c r="E100" i="3"/>
  <c r="E60" i="3" s="1"/>
  <c r="D100" i="3"/>
  <c r="D60" i="3" s="1"/>
  <c r="C100" i="3"/>
  <c r="C60" i="3" s="1"/>
  <c r="B100" i="3"/>
  <c r="EE89" i="3"/>
  <c r="CQ89" i="3"/>
  <c r="CU90" i="3" s="1"/>
  <c r="CP89" i="3"/>
  <c r="CO89" i="3"/>
  <c r="CN89" i="3"/>
  <c r="CM89" i="3"/>
  <c r="CL89" i="3"/>
  <c r="CK89" i="3"/>
  <c r="CJ89" i="3"/>
  <c r="CI89" i="3"/>
  <c r="CH89" i="3"/>
  <c r="CG89" i="3"/>
  <c r="CF89" i="3"/>
  <c r="CE89" i="3"/>
  <c r="CD89" i="3"/>
  <c r="CC89" i="3"/>
  <c r="CB89" i="3"/>
  <c r="CA89" i="3"/>
  <c r="BZ89" i="3"/>
  <c r="BY89" i="3"/>
  <c r="BX89" i="3"/>
  <c r="BW89" i="3"/>
  <c r="BV89" i="3"/>
  <c r="BU89" i="3"/>
  <c r="BT89" i="3"/>
  <c r="BS89" i="3"/>
  <c r="BR89" i="3"/>
  <c r="BQ89" i="3"/>
  <c r="BP89" i="3"/>
  <c r="BO89" i="3"/>
  <c r="BN89" i="3"/>
  <c r="BM89" i="3"/>
  <c r="BL89" i="3"/>
  <c r="BK89" i="3"/>
  <c r="BJ89" i="3"/>
  <c r="BI89" i="3"/>
  <c r="BH89" i="3"/>
  <c r="BG89" i="3"/>
  <c r="BF89" i="3"/>
  <c r="BE89" i="3"/>
  <c r="BD89" i="3"/>
  <c r="BC89" i="3"/>
  <c r="BB89" i="3"/>
  <c r="BA89" i="3"/>
  <c r="AZ89" i="3"/>
  <c r="AY89" i="3"/>
  <c r="AX89" i="3"/>
  <c r="AW89" i="3"/>
  <c r="AV89" i="3"/>
  <c r="AU89" i="3"/>
  <c r="AT89" i="3"/>
  <c r="AS89" i="3"/>
  <c r="AR89" i="3"/>
  <c r="AQ89" i="3"/>
  <c r="AP89" i="3"/>
  <c r="AO89" i="3"/>
  <c r="AN89" i="3"/>
  <c r="AM89" i="3"/>
  <c r="AL89" i="3"/>
  <c r="AK89" i="3"/>
  <c r="AJ89" i="3"/>
  <c r="AI89" i="3"/>
  <c r="AH89" i="3"/>
  <c r="AG89" i="3"/>
  <c r="AF89" i="3"/>
  <c r="AE89" i="3"/>
  <c r="AD89" i="3"/>
  <c r="AC89" i="3"/>
  <c r="AB89" i="3"/>
  <c r="AA89" i="3"/>
  <c r="Z89" i="3"/>
  <c r="Y89" i="3"/>
  <c r="X89" i="3"/>
  <c r="W89" i="3"/>
  <c r="V89" i="3"/>
  <c r="U89" i="3"/>
  <c r="T89" i="3"/>
  <c r="S89" i="3"/>
  <c r="R89" i="3"/>
  <c r="Q89" i="3"/>
  <c r="P89" i="3"/>
  <c r="O89" i="3"/>
  <c r="N89" i="3"/>
  <c r="M89" i="3"/>
  <c r="L89" i="3"/>
  <c r="K89" i="3"/>
  <c r="J89" i="3"/>
  <c r="CQ87" i="3"/>
  <c r="CP87" i="3"/>
  <c r="CO87" i="3"/>
  <c r="CN87" i="3"/>
  <c r="CM87" i="3"/>
  <c r="CL87" i="3"/>
  <c r="CK87" i="3"/>
  <c r="CJ87" i="3"/>
  <c r="CI87" i="3"/>
  <c r="CH87" i="3"/>
  <c r="CG87" i="3"/>
  <c r="CF87" i="3"/>
  <c r="CE87" i="3"/>
  <c r="CD87" i="3"/>
  <c r="CC87" i="3"/>
  <c r="CB87" i="3"/>
  <c r="CA87" i="3"/>
  <c r="BZ87" i="3"/>
  <c r="BY87" i="3"/>
  <c r="BX87" i="3"/>
  <c r="BW87" i="3"/>
  <c r="BV87" i="3"/>
  <c r="BU87" i="3"/>
  <c r="BT87" i="3"/>
  <c r="BS87" i="3"/>
  <c r="BR87" i="3"/>
  <c r="BQ87" i="3"/>
  <c r="BP87" i="3"/>
  <c r="BO87" i="3"/>
  <c r="BN87" i="3"/>
  <c r="BM87" i="3"/>
  <c r="BL87" i="3"/>
  <c r="BK87" i="3"/>
  <c r="BJ87" i="3"/>
  <c r="BI87" i="3"/>
  <c r="BH87" i="3"/>
  <c r="BG87" i="3"/>
  <c r="BF87" i="3"/>
  <c r="BE87" i="3"/>
  <c r="BD87" i="3"/>
  <c r="BC87" i="3"/>
  <c r="BB87" i="3"/>
  <c r="BA87" i="3"/>
  <c r="AZ87" i="3"/>
  <c r="AY87" i="3"/>
  <c r="AX87" i="3"/>
  <c r="AW87" i="3"/>
  <c r="AV87" i="3"/>
  <c r="AU87" i="3"/>
  <c r="AT87" i="3"/>
  <c r="AS87" i="3"/>
  <c r="AR87" i="3"/>
  <c r="AQ87" i="3"/>
  <c r="AP87" i="3"/>
  <c r="AO87" i="3"/>
  <c r="AN87" i="3"/>
  <c r="AM87" i="3"/>
  <c r="AL87" i="3"/>
  <c r="AK87" i="3"/>
  <c r="AJ87" i="3"/>
  <c r="AI87" i="3"/>
  <c r="AH87" i="3"/>
  <c r="AG87" i="3"/>
  <c r="AF87" i="3"/>
  <c r="AE87" i="3"/>
  <c r="AD87" i="3"/>
  <c r="AC87" i="3"/>
  <c r="AB87" i="3"/>
  <c r="AA87" i="3"/>
  <c r="Z87" i="3"/>
  <c r="Y87" i="3"/>
  <c r="X87" i="3"/>
  <c r="W87" i="3"/>
  <c r="V87" i="3"/>
  <c r="U87" i="3"/>
  <c r="T87" i="3"/>
  <c r="S87" i="3"/>
  <c r="R87" i="3"/>
  <c r="Q87" i="3"/>
  <c r="P87" i="3"/>
  <c r="O87" i="3"/>
  <c r="N87" i="3"/>
  <c r="M87" i="3"/>
  <c r="L87" i="3"/>
  <c r="K87" i="3"/>
  <c r="J87" i="3"/>
  <c r="I89" i="3"/>
  <c r="M90" i="3" s="1"/>
  <c r="H89" i="3"/>
  <c r="G89" i="3"/>
  <c r="F89" i="3"/>
  <c r="J90" i="3" s="1"/>
  <c r="I87" i="3"/>
  <c r="H87" i="3"/>
  <c r="G87" i="3"/>
  <c r="F87" i="3"/>
  <c r="DH75" i="3"/>
  <c r="DG75" i="3"/>
  <c r="DF75" i="3"/>
  <c r="DE75" i="3"/>
  <c r="DD75" i="3"/>
  <c r="E64" i="3"/>
  <c r="EF64" i="3"/>
  <c r="EE64" i="3"/>
  <c r="DK64" i="3"/>
  <c r="DJ64" i="3"/>
  <c r="DI64" i="3"/>
  <c r="DH64" i="3"/>
  <c r="DG64" i="3"/>
  <c r="DF64" i="3"/>
  <c r="DE64" i="3"/>
  <c r="DD64" i="3"/>
  <c r="CQ64" i="3"/>
  <c r="CP64" i="3"/>
  <c r="CO64" i="3"/>
  <c r="CO65" i="3" s="1"/>
  <c r="CN64" i="3"/>
  <c r="CM64" i="3"/>
  <c r="CL64" i="3"/>
  <c r="CI64" i="3"/>
  <c r="CH64" i="3"/>
  <c r="CH65" i="3" s="1"/>
  <c r="CG64" i="3"/>
  <c r="CF64" i="3"/>
  <c r="CE64" i="3"/>
  <c r="CD64" i="3"/>
  <c r="CC64" i="3"/>
  <c r="CB64" i="3"/>
  <c r="CA64" i="3"/>
  <c r="BZ64" i="3"/>
  <c r="BY64" i="3"/>
  <c r="BX64" i="3"/>
  <c r="BW64" i="3"/>
  <c r="BV64" i="3"/>
  <c r="BU64" i="3"/>
  <c r="BP64" i="3"/>
  <c r="BO64" i="3"/>
  <c r="BN64" i="3"/>
  <c r="BM64" i="3"/>
  <c r="BL64" i="3"/>
  <c r="BK64" i="3"/>
  <c r="BJ64" i="3"/>
  <c r="BI64" i="3"/>
  <c r="BG64" i="3"/>
  <c r="BF64" i="3"/>
  <c r="BD64" i="3"/>
  <c r="BC64" i="3"/>
  <c r="BB64" i="3"/>
  <c r="BA64" i="3"/>
  <c r="AZ64" i="3"/>
  <c r="AY64" i="3"/>
  <c r="AX64" i="3"/>
  <c r="AW64" i="3"/>
  <c r="AW65" i="3" s="1"/>
  <c r="AV64" i="3"/>
  <c r="AU64" i="3"/>
  <c r="AT64" i="3"/>
  <c r="AS64" i="3"/>
  <c r="AR64" i="3"/>
  <c r="AQ64" i="3"/>
  <c r="AP64" i="3"/>
  <c r="AO64" i="3"/>
  <c r="AO65" i="3" s="1"/>
  <c r="AN64" i="3"/>
  <c r="AM64" i="3"/>
  <c r="AL64" i="3"/>
  <c r="AK64" i="3"/>
  <c r="AJ64" i="3"/>
  <c r="AI64" i="3"/>
  <c r="AH64" i="3"/>
  <c r="AG64" i="3"/>
  <c r="AG65" i="3" s="1"/>
  <c r="AF64" i="3"/>
  <c r="AE64" i="3"/>
  <c r="AD64" i="3"/>
  <c r="AC64" i="3"/>
  <c r="AB64" i="3"/>
  <c r="AA64" i="3"/>
  <c r="Z64" i="3"/>
  <c r="Y64" i="3"/>
  <c r="Y65" i="3" s="1"/>
  <c r="X64" i="3"/>
  <c r="W64" i="3"/>
  <c r="V64" i="3"/>
  <c r="U64" i="3"/>
  <c r="T64" i="3"/>
  <c r="S64" i="3"/>
  <c r="R64" i="3"/>
  <c r="Q64" i="3"/>
  <c r="Q65" i="3" s="1"/>
  <c r="P64" i="3"/>
  <c r="O64" i="3"/>
  <c r="N64" i="3"/>
  <c r="M64" i="3"/>
  <c r="L64" i="3"/>
  <c r="K64" i="3"/>
  <c r="J64" i="3"/>
  <c r="I64" i="3"/>
  <c r="I65" i="3" s="1"/>
  <c r="H64" i="3"/>
  <c r="G64" i="3"/>
  <c r="F64" i="3"/>
  <c r="D64" i="3"/>
  <c r="C64" i="3"/>
  <c r="B64" i="3"/>
  <c r="DK42" i="3"/>
  <c r="DJ42" i="3"/>
  <c r="DI42" i="3"/>
  <c r="CQ42" i="3"/>
  <c r="CP42" i="3"/>
  <c r="CP66" i="3" s="1"/>
  <c r="CO42" i="3"/>
  <c r="CN42" i="3"/>
  <c r="CM42" i="3"/>
  <c r="CG42" i="3"/>
  <c r="CG78" i="3" s="1"/>
  <c r="CF42" i="3"/>
  <c r="CE42" i="3"/>
  <c r="CD42" i="3"/>
  <c r="CC42" i="3"/>
  <c r="CC67" i="3" s="1"/>
  <c r="CB42" i="3"/>
  <c r="CA42" i="3"/>
  <c r="BY42" i="3"/>
  <c r="BV42" i="3"/>
  <c r="BU42" i="3"/>
  <c r="BT42" i="3"/>
  <c r="BS42" i="3"/>
  <c r="BR42" i="3"/>
  <c r="BQ42" i="3"/>
  <c r="BP42" i="3"/>
  <c r="BO42" i="3"/>
  <c r="BN42" i="3"/>
  <c r="BN66" i="3" s="1"/>
  <c r="BN68" i="3" s="1"/>
  <c r="BM42" i="3"/>
  <c r="BL42" i="3"/>
  <c r="BL66" i="3" s="1"/>
  <c r="BL68" i="3" s="1"/>
  <c r="BK42" i="3"/>
  <c r="BK66" i="3" s="1"/>
  <c r="BK68" i="3" s="1"/>
  <c r="BJ42" i="3"/>
  <c r="BJ71" i="3" s="1"/>
  <c r="BI42" i="3"/>
  <c r="BG42" i="3"/>
  <c r="BF42" i="3"/>
  <c r="BA42" i="3"/>
  <c r="BA67" i="3" s="1"/>
  <c r="AY42" i="3"/>
  <c r="AX42" i="3"/>
  <c r="AW42" i="3"/>
  <c r="AV42" i="3"/>
  <c r="AU42" i="3"/>
  <c r="AS42" i="3"/>
  <c r="AR42" i="3"/>
  <c r="AR67" i="3" s="1"/>
  <c r="AO42" i="3"/>
  <c r="DU42" i="3" s="1"/>
  <c r="AN42" i="3"/>
  <c r="AM42" i="3"/>
  <c r="AL42" i="3"/>
  <c r="AK42" i="3"/>
  <c r="AK67" i="3" s="1"/>
  <c r="AJ42" i="3"/>
  <c r="AI42" i="3"/>
  <c r="AH42" i="3"/>
  <c r="AG42" i="3"/>
  <c r="DS42" i="3" s="1"/>
  <c r="AF42" i="3"/>
  <c r="AE42" i="3"/>
  <c r="AD42" i="3"/>
  <c r="AC42" i="3"/>
  <c r="DR42" i="3" s="1"/>
  <c r="AB42" i="3"/>
  <c r="AA42" i="3"/>
  <c r="Z42" i="3"/>
  <c r="Y42" i="3"/>
  <c r="DQ42" i="3" s="1"/>
  <c r="X42" i="3"/>
  <c r="W42" i="3"/>
  <c r="V42" i="3"/>
  <c r="V66" i="3" s="1"/>
  <c r="V68" i="3" s="1"/>
  <c r="U42" i="3"/>
  <c r="U66" i="3" s="1"/>
  <c r="U68" i="3" s="1"/>
  <c r="T42" i="3"/>
  <c r="S42" i="3"/>
  <c r="R42" i="3"/>
  <c r="R67" i="3" s="1"/>
  <c r="Q42" i="3"/>
  <c r="DO42" i="3" s="1"/>
  <c r="P42" i="3"/>
  <c r="O42" i="3"/>
  <c r="M42" i="3"/>
  <c r="M66" i="3" s="1"/>
  <c r="M68" i="3" s="1"/>
  <c r="L42" i="3"/>
  <c r="L66" i="3" s="1"/>
  <c r="L68" i="3" s="1"/>
  <c r="K42" i="3"/>
  <c r="J42" i="3"/>
  <c r="I42" i="3"/>
  <c r="H42" i="3"/>
  <c r="H71" i="3" s="1"/>
  <c r="G42" i="3"/>
  <c r="F42" i="3"/>
  <c r="E42" i="3"/>
  <c r="D42" i="3"/>
  <c r="D67" i="3" s="1"/>
  <c r="C42" i="3"/>
  <c r="B42" i="3"/>
  <c r="DY41" i="3"/>
  <c r="BE41" i="3" s="1"/>
  <c r="DX41" i="3"/>
  <c r="DW41" i="3"/>
  <c r="DV41" i="3"/>
  <c r="DU41" i="3"/>
  <c r="DT41" i="3"/>
  <c r="DS41" i="3"/>
  <c r="DR41" i="3"/>
  <c r="DQ41" i="3"/>
  <c r="DP41" i="3"/>
  <c r="DO41" i="3"/>
  <c r="DN41" i="3"/>
  <c r="DM41" i="3"/>
  <c r="DL41" i="3"/>
  <c r="CI41" i="3"/>
  <c r="CJ41" i="3"/>
  <c r="CK41" i="3" s="1"/>
  <c r="EI41" i="3" s="1"/>
  <c r="BH41" i="3"/>
  <c r="BD41" i="3"/>
  <c r="BB41" i="3"/>
  <c r="N41" i="3"/>
  <c r="N42" i="3" s="1"/>
  <c r="CL40" i="3"/>
  <c r="CL42" i="3" s="1"/>
  <c r="CL67" i="3" s="1"/>
  <c r="CH40" i="3"/>
  <c r="CH39" i="3"/>
  <c r="CH38" i="3"/>
  <c r="CH37" i="3"/>
  <c r="BE40" i="3"/>
  <c r="BE39" i="3"/>
  <c r="BE38" i="3"/>
  <c r="EJ41" i="3"/>
  <c r="EH41" i="3"/>
  <c r="EG41" i="3"/>
  <c r="ED41" i="3"/>
  <c r="EF41" i="3" s="1"/>
  <c r="EC41" i="3"/>
  <c r="EE41" i="3" s="1"/>
  <c r="EB41" i="3"/>
  <c r="EA41" i="3"/>
  <c r="DZ41" i="3"/>
  <c r="EJ40" i="3"/>
  <c r="EH40" i="3"/>
  <c r="EG40" i="3"/>
  <c r="ED40" i="3"/>
  <c r="EC40" i="3"/>
  <c r="EB40" i="3"/>
  <c r="EA40" i="3"/>
  <c r="DZ40" i="3"/>
  <c r="EJ39" i="3"/>
  <c r="EH39" i="3"/>
  <c r="EG39" i="3"/>
  <c r="ED39" i="3"/>
  <c r="EC39" i="3"/>
  <c r="EE39" i="3" s="1"/>
  <c r="EB39" i="3"/>
  <c r="EA39" i="3"/>
  <c r="DZ39" i="3"/>
  <c r="EJ38" i="3"/>
  <c r="EH38" i="3"/>
  <c r="EH42" i="3" s="1"/>
  <c r="EG38" i="3"/>
  <c r="ED38" i="3"/>
  <c r="EF38" i="3" s="1"/>
  <c r="EC38" i="3"/>
  <c r="EB38" i="3"/>
  <c r="EB42" i="3" s="1"/>
  <c r="EA38" i="3"/>
  <c r="DZ38" i="3"/>
  <c r="DX40" i="3"/>
  <c r="DW40" i="3"/>
  <c r="DV40" i="3"/>
  <c r="DU40" i="3"/>
  <c r="DT40" i="3"/>
  <c r="DS40" i="3"/>
  <c r="DR40" i="3"/>
  <c r="DQ40" i="3"/>
  <c r="DP40" i="3"/>
  <c r="DO40" i="3"/>
  <c r="DN40" i="3"/>
  <c r="DM40" i="3"/>
  <c r="DL40" i="3"/>
  <c r="DX39" i="3"/>
  <c r="DW39" i="3"/>
  <c r="DV39" i="3"/>
  <c r="DU39" i="3"/>
  <c r="DT39" i="3"/>
  <c r="DS39" i="3"/>
  <c r="DR39" i="3"/>
  <c r="DQ39" i="3"/>
  <c r="DP39" i="3"/>
  <c r="DO39" i="3"/>
  <c r="DN39" i="3"/>
  <c r="DM39" i="3"/>
  <c r="DL39" i="3"/>
  <c r="DX38" i="3"/>
  <c r="DW38" i="3"/>
  <c r="DV38" i="3"/>
  <c r="DU38" i="3"/>
  <c r="DT38" i="3"/>
  <c r="DS38" i="3"/>
  <c r="DR38" i="3"/>
  <c r="DQ38" i="3"/>
  <c r="DP38" i="3"/>
  <c r="DO38" i="3"/>
  <c r="DN38" i="3"/>
  <c r="DM38" i="3"/>
  <c r="DL38" i="3"/>
  <c r="BZ38" i="3"/>
  <c r="BZ42" i="3" s="1"/>
  <c r="AZ38" i="3"/>
  <c r="AZ41" i="3" s="1"/>
  <c r="EJ37" i="3"/>
  <c r="EH37" i="3"/>
  <c r="EG37" i="3"/>
  <c r="EF37" i="3"/>
  <c r="ED37" i="3"/>
  <c r="ED42" i="3" s="1"/>
  <c r="ED66" i="3" s="1"/>
  <c r="ED68" i="3" s="1"/>
  <c r="EC37" i="3"/>
  <c r="EE37" i="3" s="1"/>
  <c r="EB37" i="3"/>
  <c r="EA37" i="3"/>
  <c r="DW37" i="3"/>
  <c r="DV37" i="3"/>
  <c r="DU37" i="3"/>
  <c r="DT37" i="3"/>
  <c r="DS37" i="3"/>
  <c r="DR37" i="3"/>
  <c r="DQ37" i="3"/>
  <c r="DP37" i="3"/>
  <c r="DO37" i="3"/>
  <c r="DN37" i="3"/>
  <c r="DM37" i="3"/>
  <c r="DL37" i="3"/>
  <c r="CJ38" i="3"/>
  <c r="CK38" i="3" s="1"/>
  <c r="EI38" i="3" s="1"/>
  <c r="CJ37" i="3"/>
  <c r="BV37" i="3"/>
  <c r="BW37" i="3" s="1"/>
  <c r="EJ34" i="3"/>
  <c r="EI34" i="3"/>
  <c r="EH34" i="3"/>
  <c r="EG34" i="3"/>
  <c r="ED34" i="3"/>
  <c r="EF34" i="3" s="1"/>
  <c r="EC34" i="3"/>
  <c r="EE34" i="3" s="1"/>
  <c r="EA34" i="3"/>
  <c r="DZ34" i="3"/>
  <c r="DY34" i="3"/>
  <c r="CI34" i="3"/>
  <c r="CJ34" i="3" s="1"/>
  <c r="BQ34" i="3"/>
  <c r="EB34" i="3" s="1"/>
  <c r="ED33" i="3"/>
  <c r="EC33" i="3"/>
  <c r="EB33" i="3"/>
  <c r="EA33" i="3"/>
  <c r="DZ33" i="3"/>
  <c r="DY33" i="3"/>
  <c r="DX33" i="3"/>
  <c r="DW33" i="3"/>
  <c r="DV33" i="3"/>
  <c r="DT33" i="3"/>
  <c r="DS33" i="3"/>
  <c r="DR33" i="3"/>
  <c r="DQ33" i="3"/>
  <c r="DK33" i="3"/>
  <c r="DJ33" i="3"/>
  <c r="DI33" i="3"/>
  <c r="CK33" i="3"/>
  <c r="EI33" i="3" s="1"/>
  <c r="CD33" i="3"/>
  <c r="AO33" i="3"/>
  <c r="AN33" i="3"/>
  <c r="AM33" i="3"/>
  <c r="V33" i="3"/>
  <c r="U33" i="3"/>
  <c r="T33" i="3"/>
  <c r="S33" i="3"/>
  <c r="R33" i="3"/>
  <c r="Q33" i="3"/>
  <c r="P33" i="3"/>
  <c r="O33" i="3"/>
  <c r="N33" i="3"/>
  <c r="M33" i="3"/>
  <c r="L33" i="3"/>
  <c r="K33" i="3"/>
  <c r="J33" i="3"/>
  <c r="I33" i="3"/>
  <c r="H33" i="3"/>
  <c r="G33" i="3"/>
  <c r="F33" i="3"/>
  <c r="E33" i="3"/>
  <c r="D33" i="3"/>
  <c r="C33" i="3"/>
  <c r="B33" i="3"/>
  <c r="EJ33" i="3"/>
  <c r="EH33" i="3"/>
  <c r="EG33" i="3"/>
  <c r="EJ32" i="3"/>
  <c r="EI32" i="3"/>
  <c r="EH32" i="3"/>
  <c r="EG32" i="3"/>
  <c r="ED32" i="3"/>
  <c r="EC32" i="3"/>
  <c r="EB32" i="3"/>
  <c r="EA32" i="3"/>
  <c r="DZ32" i="3"/>
  <c r="DY32" i="3"/>
  <c r="DX32" i="3"/>
  <c r="DW32" i="3"/>
  <c r="DV32" i="3"/>
  <c r="DU32" i="3"/>
  <c r="DT32" i="3"/>
  <c r="DS32" i="3"/>
  <c r="DR32" i="3"/>
  <c r="DQ32" i="3"/>
  <c r="DP32" i="3"/>
  <c r="DO32" i="3"/>
  <c r="DN32" i="3"/>
  <c r="DM32" i="3"/>
  <c r="DL32" i="3"/>
  <c r="EK34" i="3"/>
  <c r="DH30" i="3"/>
  <c r="DG30" i="3"/>
  <c r="DG35" i="3" s="1"/>
  <c r="DG44" i="3" s="1"/>
  <c r="DF30" i="3"/>
  <c r="DE30" i="3"/>
  <c r="DD30" i="3"/>
  <c r="BD30" i="3"/>
  <c r="BD35" i="3" s="1"/>
  <c r="BD44" i="3" s="1"/>
  <c r="BB30" i="3"/>
  <c r="AY30" i="3"/>
  <c r="AX30" i="3"/>
  <c r="AX35" i="3" s="1"/>
  <c r="AW30" i="3"/>
  <c r="AW35" i="3" s="1"/>
  <c r="AS30" i="3"/>
  <c r="AQ30" i="3"/>
  <c r="AP30" i="3"/>
  <c r="AK30" i="3"/>
  <c r="AJ30" i="3"/>
  <c r="AI30" i="3"/>
  <c r="AI35" i="3" s="1"/>
  <c r="AH30" i="3"/>
  <c r="AG30" i="3"/>
  <c r="AG35" i="3" s="1"/>
  <c r="AF30" i="3"/>
  <c r="AE30" i="3"/>
  <c r="AD30" i="3"/>
  <c r="V30" i="3"/>
  <c r="Q30" i="3"/>
  <c r="DO30" i="3" s="1"/>
  <c r="P30" i="3"/>
  <c r="P35" i="3" s="1"/>
  <c r="P44" i="3" s="1"/>
  <c r="O30" i="3"/>
  <c r="CK29" i="3"/>
  <c r="BQ29" i="3"/>
  <c r="BQ28" i="3"/>
  <c r="BQ27" i="3"/>
  <c r="BQ30" i="3" s="1"/>
  <c r="BE29" i="3"/>
  <c r="EK29" i="3"/>
  <c r="EJ29" i="3"/>
  <c r="EJ64" i="3" s="1"/>
  <c r="EH29" i="3"/>
  <c r="EG29" i="3"/>
  <c r="EJ28" i="3"/>
  <c r="EI28" i="3"/>
  <c r="EH28" i="3"/>
  <c r="EG28" i="3"/>
  <c r="ED29" i="3"/>
  <c r="EC29" i="3"/>
  <c r="EA29" i="3"/>
  <c r="DZ29" i="3"/>
  <c r="ED28" i="3"/>
  <c r="EC28" i="3"/>
  <c r="EA28" i="3"/>
  <c r="DZ28" i="3"/>
  <c r="DX29" i="3"/>
  <c r="DW29" i="3"/>
  <c r="DV29" i="3"/>
  <c r="DU29" i="3"/>
  <c r="DT29" i="3"/>
  <c r="DS29" i="3"/>
  <c r="DR29" i="3"/>
  <c r="DQ29" i="3"/>
  <c r="DP29" i="3"/>
  <c r="DO29" i="3"/>
  <c r="DO64" i="3" s="1"/>
  <c r="DN29" i="3"/>
  <c r="DM29" i="3"/>
  <c r="DL29" i="3"/>
  <c r="DX28" i="3"/>
  <c r="DW28" i="3"/>
  <c r="DV28" i="3"/>
  <c r="DU28" i="3"/>
  <c r="DT28" i="3"/>
  <c r="DT64" i="3" s="1"/>
  <c r="DS28" i="3"/>
  <c r="DR28" i="3"/>
  <c r="DQ28" i="3"/>
  <c r="DP28" i="3"/>
  <c r="DO28" i="3"/>
  <c r="DN28" i="3"/>
  <c r="DM28" i="3"/>
  <c r="DL28" i="3"/>
  <c r="DL64" i="3" s="1"/>
  <c r="CJ27" i="3"/>
  <c r="BT28" i="3"/>
  <c r="BS28" i="3"/>
  <c r="BR28" i="3"/>
  <c r="BH28" i="3"/>
  <c r="DW27" i="3"/>
  <c r="DV27" i="3"/>
  <c r="DT27" i="3"/>
  <c r="DS27" i="3"/>
  <c r="DR27" i="3"/>
  <c r="DQ27" i="3"/>
  <c r="DO27" i="3"/>
  <c r="DN27" i="3"/>
  <c r="DM27" i="3"/>
  <c r="DK27" i="3"/>
  <c r="DJ27" i="3"/>
  <c r="DI27" i="3"/>
  <c r="CQ27" i="3"/>
  <c r="CQ30" i="3"/>
  <c r="CQ35" i="3" s="1"/>
  <c r="CQ44" i="3" s="1"/>
  <c r="CP27" i="3"/>
  <c r="CP75" i="3" s="1"/>
  <c r="CO27" i="3"/>
  <c r="CO30" i="3" s="1"/>
  <c r="CN27" i="3"/>
  <c r="CN75" i="3" s="1"/>
  <c r="CM27" i="3"/>
  <c r="CM30" i="3"/>
  <c r="CM35" i="3" s="1"/>
  <c r="CL27" i="3"/>
  <c r="CK27" i="3"/>
  <c r="EI27" i="3" s="1"/>
  <c r="CI27" i="3"/>
  <c r="CI30" i="3" s="1"/>
  <c r="CH27" i="3"/>
  <c r="CH75" i="3"/>
  <c r="CG27" i="3"/>
  <c r="CF27" i="3"/>
  <c r="CF75" i="3" s="1"/>
  <c r="CE27" i="3"/>
  <c r="CE30" i="3" s="1"/>
  <c r="CD27" i="3"/>
  <c r="CD30" i="3" s="1"/>
  <c r="CC27" i="3"/>
  <c r="CB27" i="3"/>
  <c r="CB75" i="3" s="1"/>
  <c r="CA27" i="3"/>
  <c r="BZ27" i="3"/>
  <c r="BZ75" i="3"/>
  <c r="BY27" i="3"/>
  <c r="BY30" i="3"/>
  <c r="BY35" i="3" s="1"/>
  <c r="BX27" i="3"/>
  <c r="BX75" i="3" s="1"/>
  <c r="BW27" i="3"/>
  <c r="BV27" i="3"/>
  <c r="BV75" i="3"/>
  <c r="BU27" i="3"/>
  <c r="BT27" i="3"/>
  <c r="BS27" i="3"/>
  <c r="BS30" i="3"/>
  <c r="BR27" i="3"/>
  <c r="BP27" i="3"/>
  <c r="BP30" i="3" s="1"/>
  <c r="BO27" i="3"/>
  <c r="BO30" i="3" s="1"/>
  <c r="BN27" i="3"/>
  <c r="BM27" i="3"/>
  <c r="BM30" i="3" s="1"/>
  <c r="BM35" i="3" s="1"/>
  <c r="BM44" i="3" s="1"/>
  <c r="BL27" i="3"/>
  <c r="BL30" i="3" s="1"/>
  <c r="BK27" i="3"/>
  <c r="BK30" i="3" s="1"/>
  <c r="BJ27" i="3"/>
  <c r="BJ30" i="3" s="1"/>
  <c r="BI27" i="3"/>
  <c r="BI30" i="3" s="1"/>
  <c r="BG27" i="3"/>
  <c r="BF27" i="3"/>
  <c r="BF30" i="3"/>
  <c r="BF35" i="3" s="1"/>
  <c r="BE27" i="3"/>
  <c r="BC27" i="3"/>
  <c r="BC30" i="3" s="1"/>
  <c r="BA27" i="3"/>
  <c r="AZ27" i="3"/>
  <c r="AZ30" i="3"/>
  <c r="AZ35" i="3" s="1"/>
  <c r="AZ44" i="3" s="1"/>
  <c r="AV27" i="3"/>
  <c r="AV30" i="3"/>
  <c r="AV35" i="3" s="1"/>
  <c r="AU27" i="3"/>
  <c r="AU30" i="3"/>
  <c r="AU35" i="3" s="1"/>
  <c r="AT27" i="3"/>
  <c r="AR27" i="3"/>
  <c r="AR75" i="3" s="1"/>
  <c r="AO27" i="3"/>
  <c r="AN27" i="3"/>
  <c r="AN30" i="3"/>
  <c r="AM27" i="3"/>
  <c r="U27" i="3"/>
  <c r="U30" i="3" s="1"/>
  <c r="T27" i="3"/>
  <c r="T30" i="3" s="1"/>
  <c r="T35" i="3" s="1"/>
  <c r="T44" i="3" s="1"/>
  <c r="S27" i="3"/>
  <c r="R27" i="3"/>
  <c r="E27" i="3"/>
  <c r="D27" i="3"/>
  <c r="C27" i="3"/>
  <c r="B27" i="3"/>
  <c r="DX26" i="3"/>
  <c r="DW26" i="3"/>
  <c r="DV26" i="3"/>
  <c r="DU26" i="3"/>
  <c r="DT26" i="3"/>
  <c r="DS26" i="3"/>
  <c r="DP26" i="3"/>
  <c r="DO26" i="3"/>
  <c r="DK26" i="3"/>
  <c r="DJ26" i="3"/>
  <c r="DI26" i="3"/>
  <c r="CC26" i="3"/>
  <c r="EG26" i="3"/>
  <c r="AL26" i="3"/>
  <c r="AC26" i="3"/>
  <c r="AC30" i="3" s="1"/>
  <c r="AB26" i="3"/>
  <c r="AA26" i="3"/>
  <c r="AA30" i="3" s="1"/>
  <c r="AA35" i="3" s="1"/>
  <c r="Z26" i="3"/>
  <c r="Y26" i="3"/>
  <c r="X26" i="3"/>
  <c r="W26" i="3"/>
  <c r="W30" i="3" s="1"/>
  <c r="W35" i="3" s="1"/>
  <c r="S26" i="3"/>
  <c r="R26" i="3"/>
  <c r="N26" i="3"/>
  <c r="M26" i="3"/>
  <c r="M30" i="3" s="1"/>
  <c r="L26" i="3"/>
  <c r="K26" i="3"/>
  <c r="K30" i="3" s="1"/>
  <c r="J26" i="3"/>
  <c r="I26" i="3"/>
  <c r="I30" i="3" s="1"/>
  <c r="H26" i="3"/>
  <c r="G26" i="3"/>
  <c r="G30" i="3"/>
  <c r="F26" i="3"/>
  <c r="E26" i="3"/>
  <c r="D26" i="3"/>
  <c r="C26" i="3"/>
  <c r="B26" i="3"/>
  <c r="EJ26" i="3"/>
  <c r="EI26" i="3"/>
  <c r="EH26" i="3"/>
  <c r="ED26" i="3"/>
  <c r="EC26" i="3"/>
  <c r="EB26" i="3"/>
  <c r="EA26" i="3"/>
  <c r="DZ26" i="3"/>
  <c r="EJ25" i="3"/>
  <c r="EI25" i="3"/>
  <c r="EH25" i="3"/>
  <c r="EG25" i="3"/>
  <c r="ED25" i="3"/>
  <c r="EF25" i="3" s="1"/>
  <c r="EC25" i="3"/>
  <c r="EE25" i="3" s="1"/>
  <c r="EB25" i="3"/>
  <c r="EA25" i="3"/>
  <c r="DZ25" i="3"/>
  <c r="DX25" i="3"/>
  <c r="DW25" i="3"/>
  <c r="DV25" i="3"/>
  <c r="EJ24" i="3"/>
  <c r="EI24" i="3"/>
  <c r="EH24" i="3"/>
  <c r="EG24" i="3"/>
  <c r="ED24" i="3"/>
  <c r="EC24" i="3"/>
  <c r="EB24" i="3"/>
  <c r="EA24" i="3"/>
  <c r="DZ24" i="3"/>
  <c r="DY24" i="3"/>
  <c r="DX24" i="3"/>
  <c r="DW24" i="3"/>
  <c r="DV24" i="3"/>
  <c r="DU24" i="3"/>
  <c r="DT24" i="3"/>
  <c r="DS24" i="3"/>
  <c r="DR24" i="3"/>
  <c r="DQ24" i="3"/>
  <c r="DP24" i="3"/>
  <c r="DO24" i="3"/>
  <c r="DN24" i="3"/>
  <c r="DM24" i="3"/>
  <c r="DL24" i="3"/>
  <c r="ED20" i="3"/>
  <c r="DV20" i="3"/>
  <c r="DT20" i="3"/>
  <c r="DS20" i="3"/>
  <c r="DR20" i="3"/>
  <c r="DQ20" i="3"/>
  <c r="DP20" i="3"/>
  <c r="DO20" i="3"/>
  <c r="DM20" i="3"/>
  <c r="DL20" i="3"/>
  <c r="CQ20" i="3"/>
  <c r="CK20" i="3"/>
  <c r="EI20" i="3" s="1"/>
  <c r="CD20" i="3"/>
  <c r="BU20" i="3"/>
  <c r="BT20" i="3"/>
  <c r="BR20" i="3"/>
  <c r="BQ20" i="3"/>
  <c r="BP20" i="3"/>
  <c r="BO20" i="3"/>
  <c r="BN20" i="3"/>
  <c r="BM20" i="3"/>
  <c r="EA20" i="3" s="1"/>
  <c r="BL20" i="3"/>
  <c r="BK20" i="3"/>
  <c r="BJ20" i="3"/>
  <c r="BI20" i="3"/>
  <c r="BH20" i="3"/>
  <c r="BG20" i="3"/>
  <c r="BF20" i="3"/>
  <c r="BE20" i="3"/>
  <c r="DY20" i="3" s="1"/>
  <c r="BD20" i="3"/>
  <c r="BC20" i="3"/>
  <c r="BB20" i="3"/>
  <c r="BA20" i="3"/>
  <c r="BA75" i="3" s="1"/>
  <c r="AZ20" i="3"/>
  <c r="AY20" i="3"/>
  <c r="AY75" i="3" s="1"/>
  <c r="AX20" i="3"/>
  <c r="AX75" i="3" s="1"/>
  <c r="AW20" i="3"/>
  <c r="DW20" i="3" s="1"/>
  <c r="AV20" i="3"/>
  <c r="AU20" i="3"/>
  <c r="AQ20" i="3"/>
  <c r="AP20" i="3"/>
  <c r="AO20" i="3"/>
  <c r="AN20" i="3"/>
  <c r="AM20" i="3"/>
  <c r="M20" i="3"/>
  <c r="K20" i="3"/>
  <c r="F20" i="3"/>
  <c r="B20" i="3"/>
  <c r="CI19" i="3"/>
  <c r="CJ19" i="3" s="1"/>
  <c r="BS19" i="3"/>
  <c r="BR19" i="3"/>
  <c r="BQ19" i="3"/>
  <c r="BP19" i="3"/>
  <c r="BO19" i="3"/>
  <c r="BN19" i="3"/>
  <c r="BM19" i="3"/>
  <c r="EA19" i="3" s="1"/>
  <c r="BL19" i="3"/>
  <c r="BK19" i="3"/>
  <c r="BJ19" i="3"/>
  <c r="BI19" i="3"/>
  <c r="DZ19" i="3" s="1"/>
  <c r="CF18" i="3"/>
  <c r="CE18" i="3"/>
  <c r="CD18" i="3"/>
  <c r="CC18" i="3"/>
  <c r="CB18" i="3"/>
  <c r="CA18" i="3"/>
  <c r="BZ18" i="3"/>
  <c r="BX18" i="3"/>
  <c r="BW18" i="3"/>
  <c r="BV18" i="3"/>
  <c r="BU18" i="3"/>
  <c r="EC18" i="3" s="1"/>
  <c r="BT18" i="3"/>
  <c r="BS18" i="3"/>
  <c r="BR18" i="3"/>
  <c r="BQ18" i="3"/>
  <c r="EB18" i="3" s="1"/>
  <c r="BP18" i="3"/>
  <c r="BO18" i="3"/>
  <c r="BN18" i="3"/>
  <c r="BM18" i="3"/>
  <c r="EA18" i="3" s="1"/>
  <c r="BI18" i="3"/>
  <c r="DZ18" i="3" s="1"/>
  <c r="DK16" i="3"/>
  <c r="DJ16" i="3"/>
  <c r="DI16" i="3"/>
  <c r="CG16" i="3"/>
  <c r="BQ16" i="3"/>
  <c r="BM16" i="3"/>
  <c r="BL16" i="3"/>
  <c r="BK16" i="3"/>
  <c r="BJ16" i="3"/>
  <c r="BI16" i="3"/>
  <c r="BH16" i="3"/>
  <c r="BG16" i="3"/>
  <c r="BF16" i="3"/>
  <c r="AW16" i="3"/>
  <c r="AS16" i="3"/>
  <c r="AO16" i="3"/>
  <c r="AM16" i="3"/>
  <c r="AL16" i="3"/>
  <c r="AK16" i="3"/>
  <c r="AJ16" i="3"/>
  <c r="AJ75" i="3" s="1"/>
  <c r="AI16" i="3"/>
  <c r="AH16" i="3"/>
  <c r="AB16" i="3"/>
  <c r="AB75" i="3" s="1"/>
  <c r="AA16" i="3"/>
  <c r="AA75" i="3" s="1"/>
  <c r="Z16" i="3"/>
  <c r="Y16" i="3"/>
  <c r="X16" i="3"/>
  <c r="X75" i="3" s="1"/>
  <c r="W16" i="3"/>
  <c r="W75" i="3" s="1"/>
  <c r="V16" i="3"/>
  <c r="U16" i="3"/>
  <c r="DP16" i="3" s="1"/>
  <c r="T16" i="3"/>
  <c r="T75" i="3" s="1"/>
  <c r="S16" i="3"/>
  <c r="S75" i="3" s="1"/>
  <c r="R16" i="3"/>
  <c r="Q16" i="3"/>
  <c r="DO16" i="3" s="1"/>
  <c r="P16" i="3"/>
  <c r="P75" i="3" s="1"/>
  <c r="O16" i="3"/>
  <c r="O75" i="3" s="1"/>
  <c r="N16" i="3"/>
  <c r="M16" i="3"/>
  <c r="L16" i="3"/>
  <c r="L75" i="3" s="1"/>
  <c r="K16" i="3"/>
  <c r="K75" i="3" s="1"/>
  <c r="J16" i="3"/>
  <c r="I16" i="3"/>
  <c r="DM16" i="3" s="1"/>
  <c r="H16" i="3"/>
  <c r="H75" i="3" s="1"/>
  <c r="G16" i="3"/>
  <c r="G75" i="3" s="1"/>
  <c r="F16" i="3"/>
  <c r="E16" i="3"/>
  <c r="DL16" i="3" s="1"/>
  <c r="D16" i="3"/>
  <c r="D75" i="3" s="1"/>
  <c r="C16" i="3"/>
  <c r="B16" i="3"/>
  <c r="ED19" i="3"/>
  <c r="EC19" i="3"/>
  <c r="DY19" i="3"/>
  <c r="DX19" i="3"/>
  <c r="DW19" i="3"/>
  <c r="DV19" i="3"/>
  <c r="DU19" i="3"/>
  <c r="ED18" i="3"/>
  <c r="DY18" i="3"/>
  <c r="DX18" i="3"/>
  <c r="DW18" i="3"/>
  <c r="DV18" i="3"/>
  <c r="DU18" i="3"/>
  <c r="ED17" i="3"/>
  <c r="EC17" i="3"/>
  <c r="EB17" i="3"/>
  <c r="EA17" i="3"/>
  <c r="DZ17" i="3"/>
  <c r="DY17" i="3"/>
  <c r="DX17" i="3"/>
  <c r="DW17" i="3"/>
  <c r="DV17" i="3"/>
  <c r="DU17" i="3"/>
  <c r="ED16" i="3"/>
  <c r="EC16" i="3"/>
  <c r="DY16" i="3"/>
  <c r="DX16" i="3"/>
  <c r="EB15" i="3"/>
  <c r="EA15" i="3"/>
  <c r="DZ15" i="3"/>
  <c r="DY15" i="3"/>
  <c r="DX15" i="3"/>
  <c r="DW15" i="3"/>
  <c r="DV15" i="3"/>
  <c r="DU15" i="3"/>
  <c r="DT17" i="3"/>
  <c r="DS17" i="3"/>
  <c r="DR17" i="3"/>
  <c r="DQ17" i="3"/>
  <c r="DP17" i="3"/>
  <c r="DO17" i="3"/>
  <c r="DN17" i="3"/>
  <c r="DM17" i="3"/>
  <c r="DL17" i="3"/>
  <c r="DS16" i="3"/>
  <c r="DR16" i="3"/>
  <c r="DT15" i="3"/>
  <c r="DS15" i="3"/>
  <c r="DR15" i="3"/>
  <c r="DQ15" i="3"/>
  <c r="DP15" i="3"/>
  <c r="DO15" i="3"/>
  <c r="DN15" i="3"/>
  <c r="DM15" i="3"/>
  <c r="DL15" i="3"/>
  <c r="CF15" i="3"/>
  <c r="CE15" i="3"/>
  <c r="CD15" i="3"/>
  <c r="CC15" i="3"/>
  <c r="EG15" i="3" s="1"/>
  <c r="CB15" i="3"/>
  <c r="CA15" i="3"/>
  <c r="BZ15" i="3"/>
  <c r="BY15" i="3"/>
  <c r="ED15" i="3" s="1"/>
  <c r="BX15" i="3"/>
  <c r="BW15" i="3"/>
  <c r="BV15" i="3"/>
  <c r="BU15" i="3"/>
  <c r="EC15" i="3" s="1"/>
  <c r="BT15" i="3"/>
  <c r="BS15" i="3"/>
  <c r="BR15" i="3"/>
  <c r="EJ20" i="3"/>
  <c r="EH20" i="3"/>
  <c r="EG20" i="3"/>
  <c r="EJ19" i="3"/>
  <c r="EI19" i="3"/>
  <c r="EH19" i="3"/>
  <c r="EG19" i="3"/>
  <c r="EJ18" i="3"/>
  <c r="EI18" i="3"/>
  <c r="EH18" i="3"/>
  <c r="EJ17" i="3"/>
  <c r="EI17" i="3"/>
  <c r="EH17" i="3"/>
  <c r="EG17" i="3"/>
  <c r="EI16" i="3"/>
  <c r="EG16" i="3"/>
  <c r="EH15" i="3"/>
  <c r="EH14" i="3"/>
  <c r="EG14" i="3"/>
  <c r="DL14" i="3"/>
  <c r="CH14" i="3"/>
  <c r="CH15" i="3" s="1"/>
  <c r="EF12" i="3"/>
  <c r="EF21" i="3" s="1"/>
  <c r="EE12" i="3"/>
  <c r="EE21" i="3" s="1"/>
  <c r="DK12" i="3"/>
  <c r="DJ12" i="3"/>
  <c r="DH12" i="3"/>
  <c r="DG12" i="3"/>
  <c r="DF12" i="3"/>
  <c r="DE12" i="3"/>
  <c r="DD12" i="3"/>
  <c r="CQ12" i="3"/>
  <c r="CP12" i="3"/>
  <c r="CO12" i="3"/>
  <c r="CN12" i="3"/>
  <c r="CM12" i="3"/>
  <c r="CL12" i="3"/>
  <c r="CL21" i="3" s="1"/>
  <c r="CJ12" i="3"/>
  <c r="CI12" i="3"/>
  <c r="CH12" i="3"/>
  <c r="CH21" i="3" s="1"/>
  <c r="CG12" i="3"/>
  <c r="CF12" i="3"/>
  <c r="CE12" i="3"/>
  <c r="CE21" i="3" s="1"/>
  <c r="CC12" i="3"/>
  <c r="CB12" i="3"/>
  <c r="CA12" i="3"/>
  <c r="BZ12" i="3"/>
  <c r="BY12" i="3"/>
  <c r="BY76" i="3" s="1"/>
  <c r="BX12" i="3"/>
  <c r="BW12" i="3"/>
  <c r="BV12" i="3"/>
  <c r="BU12" i="3"/>
  <c r="BU21" i="3" s="1"/>
  <c r="BU71" i="3" s="1"/>
  <c r="BT12" i="3"/>
  <c r="BS12" i="3"/>
  <c r="BR12" i="3"/>
  <c r="BQ12" i="3"/>
  <c r="BP12" i="3"/>
  <c r="BO12" i="3"/>
  <c r="BN12" i="3"/>
  <c r="BM12" i="3"/>
  <c r="BL12" i="3"/>
  <c r="BK12" i="3"/>
  <c r="BJ12" i="3"/>
  <c r="BJ21" i="3" s="1"/>
  <c r="BI12" i="3"/>
  <c r="BI21" i="3" s="1"/>
  <c r="BI71" i="3" s="1"/>
  <c r="BH12" i="3"/>
  <c r="BG12" i="3"/>
  <c r="BF12" i="3"/>
  <c r="BE12" i="3"/>
  <c r="BD12" i="3"/>
  <c r="BC12" i="3"/>
  <c r="BB12" i="3"/>
  <c r="BB76" i="3" s="1"/>
  <c r="BA12" i="3"/>
  <c r="AZ12" i="3"/>
  <c r="AY12" i="3"/>
  <c r="AW12" i="3"/>
  <c r="AT12" i="3"/>
  <c r="AS12" i="3"/>
  <c r="AR12" i="3"/>
  <c r="AQ12" i="3"/>
  <c r="AP12" i="3"/>
  <c r="C12" i="3"/>
  <c r="B12" i="3"/>
  <c r="DI11" i="3"/>
  <c r="CK11" i="3"/>
  <c r="CD11" i="3"/>
  <c r="CD12" i="3" s="1"/>
  <c r="AO11" i="3"/>
  <c r="AN11" i="3"/>
  <c r="AN12" i="3" s="1"/>
  <c r="AM11" i="3"/>
  <c r="AL11" i="3"/>
  <c r="AL12" i="3" s="1"/>
  <c r="AK11" i="3"/>
  <c r="DT11" i="3" s="1"/>
  <c r="AJ11" i="3"/>
  <c r="AJ12" i="3" s="1"/>
  <c r="AI11" i="3"/>
  <c r="AH11" i="3"/>
  <c r="AH12" i="3" s="1"/>
  <c r="AG11" i="3"/>
  <c r="AF11" i="3"/>
  <c r="AF12" i="3" s="1"/>
  <c r="AE11" i="3"/>
  <c r="AD11" i="3"/>
  <c r="AD12" i="3"/>
  <c r="AC11" i="3"/>
  <c r="DR11" i="3" s="1"/>
  <c r="AB11" i="3"/>
  <c r="AB12" i="3"/>
  <c r="AA11" i="3"/>
  <c r="Z11" i="3"/>
  <c r="Z12" i="3" s="1"/>
  <c r="Y11" i="3"/>
  <c r="X11" i="3"/>
  <c r="X12" i="3" s="1"/>
  <c r="W11" i="3"/>
  <c r="V11" i="3"/>
  <c r="V12" i="3" s="1"/>
  <c r="U11" i="3"/>
  <c r="DP11" i="3"/>
  <c r="T11" i="3"/>
  <c r="T12" i="3" s="1"/>
  <c r="S11" i="3"/>
  <c r="R11" i="3"/>
  <c r="R12" i="3" s="1"/>
  <c r="R21" i="3" s="1"/>
  <c r="R71" i="3" s="1"/>
  <c r="Q11" i="3"/>
  <c r="P11" i="3"/>
  <c r="P12" i="3" s="1"/>
  <c r="O11" i="3"/>
  <c r="N11" i="3"/>
  <c r="N12" i="3" s="1"/>
  <c r="M11" i="3"/>
  <c r="DN11" i="3" s="1"/>
  <c r="L11" i="3"/>
  <c r="L12" i="3" s="1"/>
  <c r="L21" i="3" s="1"/>
  <c r="K11" i="3"/>
  <c r="J11" i="3"/>
  <c r="J12" i="3" s="1"/>
  <c r="I11" i="3"/>
  <c r="H11" i="3"/>
  <c r="H12" i="3" s="1"/>
  <c r="H21" i="3" s="1"/>
  <c r="G11" i="3"/>
  <c r="F11" i="3"/>
  <c r="F12" i="3" s="1"/>
  <c r="E11" i="3"/>
  <c r="DL11" i="3"/>
  <c r="D11" i="3"/>
  <c r="D12" i="3" s="1"/>
  <c r="ED11" i="3"/>
  <c r="EC11" i="3"/>
  <c r="EB11" i="3"/>
  <c r="EA11" i="3"/>
  <c r="DZ11" i="3"/>
  <c r="DY11" i="3"/>
  <c r="DX11" i="3"/>
  <c r="DW11" i="3"/>
  <c r="DV11" i="3"/>
  <c r="ED10" i="3"/>
  <c r="EC10" i="3"/>
  <c r="EB10" i="3"/>
  <c r="EA10" i="3"/>
  <c r="EA87" i="3" s="1"/>
  <c r="DZ10" i="3"/>
  <c r="DY10" i="3"/>
  <c r="DX10" i="3"/>
  <c r="DW10" i="3"/>
  <c r="DV10" i="3"/>
  <c r="DU10" i="3"/>
  <c r="DT10" i="3"/>
  <c r="DS10" i="3"/>
  <c r="DR10" i="3"/>
  <c r="DQ10" i="3"/>
  <c r="DP10" i="3"/>
  <c r="DO10" i="3"/>
  <c r="DN10" i="3"/>
  <c r="DM10" i="3"/>
  <c r="DL10" i="3"/>
  <c r="ED9" i="3"/>
  <c r="EC9" i="3"/>
  <c r="EB9" i="3"/>
  <c r="EA9" i="3"/>
  <c r="DZ9" i="3"/>
  <c r="DY9" i="3"/>
  <c r="DX9" i="3"/>
  <c r="DW9" i="3"/>
  <c r="DV9" i="3"/>
  <c r="DU9" i="3"/>
  <c r="DT9" i="3"/>
  <c r="DS9" i="3"/>
  <c r="DR9" i="3"/>
  <c r="DQ9" i="3"/>
  <c r="DP9" i="3"/>
  <c r="DO9" i="3"/>
  <c r="DN9" i="3"/>
  <c r="DL9" i="3"/>
  <c r="I9" i="3"/>
  <c r="EJ11" i="3"/>
  <c r="EH11" i="3"/>
  <c r="EG11" i="3"/>
  <c r="EJ10" i="3"/>
  <c r="EI10" i="3"/>
  <c r="EH10" i="3"/>
  <c r="EG10" i="3"/>
  <c r="EJ9" i="3"/>
  <c r="EI9" i="3"/>
  <c r="EH9" i="3"/>
  <c r="EG9" i="3"/>
  <c r="EJ8" i="3"/>
  <c r="EI8" i="3"/>
  <c r="EH8" i="3"/>
  <c r="EG8" i="3"/>
  <c r="EJ7" i="3"/>
  <c r="EI7" i="3"/>
  <c r="EH7" i="3"/>
  <c r="EG7" i="3"/>
  <c r="ED8" i="3"/>
  <c r="EC8" i="3"/>
  <c r="EB8" i="3"/>
  <c r="EB12" i="3" s="1"/>
  <c r="EA8" i="3"/>
  <c r="DZ8" i="3"/>
  <c r="DY8" i="3"/>
  <c r="DX8" i="3"/>
  <c r="DW8" i="3"/>
  <c r="DV8" i="3"/>
  <c r="ED7" i="3"/>
  <c r="EC7" i="3"/>
  <c r="EB7" i="3"/>
  <c r="EA7" i="3"/>
  <c r="DZ7" i="3"/>
  <c r="DY7" i="3"/>
  <c r="DX7" i="3"/>
  <c r="DW7" i="3"/>
  <c r="DV7" i="3"/>
  <c r="DU7" i="3"/>
  <c r="DT7" i="3"/>
  <c r="DS7" i="3"/>
  <c r="DR7" i="3"/>
  <c r="DQ7" i="3"/>
  <c r="DP7" i="3"/>
  <c r="DO7" i="3"/>
  <c r="DN7" i="3"/>
  <c r="DM7" i="3"/>
  <c r="DL7" i="3"/>
  <c r="AX7" i="3"/>
  <c r="AV7" i="3"/>
  <c r="AU7" i="3"/>
  <c r="EJ5" i="3"/>
  <c r="EH5" i="3"/>
  <c r="EG5" i="3"/>
  <c r="ED5" i="3"/>
  <c r="EC5" i="3"/>
  <c r="EB5" i="3"/>
  <c r="EA5" i="3"/>
  <c r="DZ5" i="3"/>
  <c r="DY5" i="3"/>
  <c r="DX5" i="3"/>
  <c r="DW5" i="3"/>
  <c r="DV5" i="3"/>
  <c r="DU5" i="3"/>
  <c r="DT5" i="3"/>
  <c r="DS5" i="3"/>
  <c r="DR5" i="3"/>
  <c r="DQ5" i="3"/>
  <c r="DP5" i="3"/>
  <c r="DO5" i="3"/>
  <c r="DN5" i="3"/>
  <c r="DM5" i="3"/>
  <c r="CS5" i="3"/>
  <c r="CQ5" i="3"/>
  <c r="CP5" i="3"/>
  <c r="CO5" i="3"/>
  <c r="CN5" i="3"/>
  <c r="CM5" i="3"/>
  <c r="CL5" i="3"/>
  <c r="CK5" i="3"/>
  <c r="CJ5" i="3"/>
  <c r="CI5" i="3"/>
  <c r="CH5" i="3"/>
  <c r="CG5" i="3"/>
  <c r="CF5" i="3"/>
  <c r="CE5" i="3"/>
  <c r="CD5" i="3"/>
  <c r="CC5" i="3"/>
  <c r="CB5" i="3"/>
  <c r="CA5" i="3"/>
  <c r="BZ5" i="3"/>
  <c r="BY5" i="3"/>
  <c r="BX5" i="3"/>
  <c r="BW5" i="3"/>
  <c r="BV5" i="3"/>
  <c r="BU5" i="3"/>
  <c r="BT5" i="3"/>
  <c r="BS5" i="3"/>
  <c r="BR5" i="3"/>
  <c r="BQ5" i="3"/>
  <c r="BP5" i="3"/>
  <c r="BO5" i="3"/>
  <c r="BN5" i="3"/>
  <c r="BM5" i="3"/>
  <c r="BL5" i="3"/>
  <c r="BK5" i="3"/>
  <c r="BJ5" i="3"/>
  <c r="BI5" i="3"/>
  <c r="BH5" i="3"/>
  <c r="BG5" i="3"/>
  <c r="BF5" i="3"/>
  <c r="BE5" i="3"/>
  <c r="BD5" i="3"/>
  <c r="BC5" i="3"/>
  <c r="BB5" i="3"/>
  <c r="BA5" i="3"/>
  <c r="AZ5" i="3"/>
  <c r="AY5" i="3"/>
  <c r="AX5" i="3"/>
  <c r="AW5" i="3"/>
  <c r="AV5" i="3"/>
  <c r="AU5" i="3"/>
  <c r="AT5" i="3"/>
  <c r="AS5" i="3"/>
  <c r="AR5" i="3"/>
  <c r="AQ5" i="3"/>
  <c r="AP5" i="3"/>
  <c r="AO5" i="3"/>
  <c r="AN5" i="3"/>
  <c r="AM5" i="3"/>
  <c r="AL5" i="3"/>
  <c r="AK5" i="3"/>
  <c r="AJ5" i="3"/>
  <c r="AI5" i="3"/>
  <c r="AH5" i="3"/>
  <c r="AG5" i="3"/>
  <c r="AF5" i="3"/>
  <c r="AE5" i="3"/>
  <c r="AD5" i="3"/>
  <c r="AC5" i="3"/>
  <c r="AB5" i="3"/>
  <c r="AA5" i="3"/>
  <c r="Z5" i="3"/>
  <c r="Y5" i="3"/>
  <c r="X5" i="3"/>
  <c r="W5" i="3"/>
  <c r="V5" i="3"/>
  <c r="U5" i="3"/>
  <c r="T5" i="3"/>
  <c r="S5" i="3"/>
  <c r="R5" i="3"/>
  <c r="Q5" i="3"/>
  <c r="P5" i="3"/>
  <c r="O5" i="3"/>
  <c r="N5" i="3"/>
  <c r="M5" i="3"/>
  <c r="L5" i="3"/>
  <c r="K5" i="3"/>
  <c r="J5" i="3"/>
  <c r="I5" i="3"/>
  <c r="H5" i="3"/>
  <c r="G5" i="3"/>
  <c r="F5" i="3"/>
  <c r="E5" i="3"/>
  <c r="D5" i="3"/>
  <c r="C5" i="3"/>
  <c r="B5" i="3"/>
  <c r="CL4" i="3"/>
  <c r="CH4" i="3"/>
  <c r="CD4" i="3"/>
  <c r="BZ4" i="3"/>
  <c r="BV4" i="3"/>
  <c r="BR4" i="3"/>
  <c r="BN4" i="3"/>
  <c r="BJ4" i="3"/>
  <c r="BF4" i="3"/>
  <c r="BB4" i="3"/>
  <c r="AX4" i="3"/>
  <c r="B4" i="3"/>
  <c r="ER408" i="329"/>
  <c r="EM408" i="329"/>
  <c r="EL408" i="329"/>
  <c r="EK408" i="329"/>
  <c r="CY408" i="329"/>
  <c r="CW408" i="329"/>
  <c r="CV408" i="329"/>
  <c r="CU408" i="329"/>
  <c r="CT408" i="329"/>
  <c r="CS408" i="329"/>
  <c r="CR408" i="329"/>
  <c r="CQ408" i="329"/>
  <c r="CP408" i="329"/>
  <c r="CO408" i="329"/>
  <c r="CN408" i="329"/>
  <c r="CM408" i="329"/>
  <c r="CL408" i="329"/>
  <c r="CK408" i="329"/>
  <c r="CJ408" i="329"/>
  <c r="CI408" i="329"/>
  <c r="CH408" i="329"/>
  <c r="CG408" i="329"/>
  <c r="CF408" i="329"/>
  <c r="CE408" i="329"/>
  <c r="CD408" i="329"/>
  <c r="CC408" i="329"/>
  <c r="CB408" i="329"/>
  <c r="CA408" i="329"/>
  <c r="BZ408" i="329"/>
  <c r="BU408" i="329"/>
  <c r="BT408" i="329"/>
  <c r="BS408" i="329"/>
  <c r="BR408" i="329"/>
  <c r="BQ408" i="329"/>
  <c r="BP408" i="329"/>
  <c r="BO408" i="329"/>
  <c r="BN408" i="329"/>
  <c r="BM408" i="329"/>
  <c r="BL408" i="329"/>
  <c r="BK408" i="329"/>
  <c r="BJ408" i="329"/>
  <c r="BI408" i="329"/>
  <c r="BH408" i="329"/>
  <c r="BG408" i="329"/>
  <c r="BF408" i="329"/>
  <c r="BE408" i="329"/>
  <c r="BD408" i="329"/>
  <c r="BC408" i="329"/>
  <c r="BB408" i="329"/>
  <c r="CX404" i="329"/>
  <c r="CX149" i="2" s="1"/>
  <c r="DC404" i="329"/>
  <c r="DB404" i="329"/>
  <c r="DB149" i="2" s="1"/>
  <c r="DA404" i="329"/>
  <c r="CZ404" i="329"/>
  <c r="CZ149" i="2" s="1"/>
  <c r="CY404" i="329"/>
  <c r="CY149" i="2" s="1"/>
  <c r="CW404" i="329"/>
  <c r="CW149" i="2" s="1"/>
  <c r="CO404" i="329"/>
  <c r="CO7" i="2" s="1"/>
  <c r="CN404" i="329"/>
  <c r="CN149" i="2" s="1"/>
  <c r="CM404" i="329"/>
  <c r="CL404" i="329"/>
  <c r="CL149" i="2" s="1"/>
  <c r="CK404" i="329"/>
  <c r="CJ404" i="329"/>
  <c r="CJ149" i="2" s="1"/>
  <c r="CI404" i="329"/>
  <c r="CH404" i="329"/>
  <c r="CH149" i="2" s="1"/>
  <c r="CG404" i="329"/>
  <c r="CF404" i="329"/>
  <c r="CF149" i="2" s="1"/>
  <c r="CE404" i="329"/>
  <c r="CD404" i="329"/>
  <c r="CD149" i="2" s="1"/>
  <c r="CC404" i="329"/>
  <c r="CB404" i="329"/>
  <c r="CB149" i="2" s="1"/>
  <c r="CA404" i="329"/>
  <c r="BZ404" i="329"/>
  <c r="BZ149" i="2" s="1"/>
  <c r="BY404" i="329"/>
  <c r="BX404" i="329"/>
  <c r="BX149" i="2" s="1"/>
  <c r="BW404" i="329"/>
  <c r="BV404" i="329"/>
  <c r="BV177" i="2" s="1"/>
  <c r="BU404" i="329"/>
  <c r="BT404" i="329"/>
  <c r="BT177" i="2" s="1"/>
  <c r="BS404" i="329"/>
  <c r="BR404" i="329"/>
  <c r="BR177" i="2" s="1"/>
  <c r="BQ404" i="329"/>
  <c r="BP404" i="329"/>
  <c r="BO404" i="329"/>
  <c r="BO197" i="2" s="1"/>
  <c r="BN404" i="329"/>
  <c r="BM404" i="329"/>
  <c r="BL404" i="329"/>
  <c r="BK404" i="329"/>
  <c r="BJ404" i="329"/>
  <c r="BI404" i="329"/>
  <c r="BH404" i="329"/>
  <c r="BG404" i="329"/>
  <c r="BG177" i="2" s="1"/>
  <c r="BF404" i="329"/>
  <c r="BF177" i="2" s="1"/>
  <c r="BE404" i="329"/>
  <c r="BD404" i="329"/>
  <c r="BD177" i="2" s="1"/>
  <c r="BC404" i="329"/>
  <c r="BC177" i="2" s="1"/>
  <c r="BB404" i="329"/>
  <c r="BB177" i="2" s="1"/>
  <c r="BA404" i="329"/>
  <c r="AZ404" i="329"/>
  <c r="AZ177" i="2" s="1"/>
  <c r="AY404" i="329"/>
  <c r="AX404" i="329"/>
  <c r="AX177" i="2" s="1"/>
  <c r="AW404" i="329"/>
  <c r="AV404" i="329"/>
  <c r="AU404" i="329"/>
  <c r="AT404" i="329"/>
  <c r="AS404" i="329"/>
  <c r="AR404" i="329"/>
  <c r="AQ404" i="329"/>
  <c r="AQ149" i="2" s="1"/>
  <c r="AP404" i="329"/>
  <c r="AO404" i="329"/>
  <c r="AN404" i="329"/>
  <c r="AM404" i="329"/>
  <c r="AL404" i="329"/>
  <c r="AK404" i="329"/>
  <c r="AK410" i="329" s="1"/>
  <c r="AJ404" i="329"/>
  <c r="AI404" i="329"/>
  <c r="AH404" i="329"/>
  <c r="AG404" i="329"/>
  <c r="AG410" i="329" s="1"/>
  <c r="AF404" i="329"/>
  <c r="AE404" i="329"/>
  <c r="AD404" i="329"/>
  <c r="AC404" i="329"/>
  <c r="AC410" i="329" s="1"/>
  <c r="AB404" i="329"/>
  <c r="AA404" i="329"/>
  <c r="AA149" i="2" s="1"/>
  <c r="Z404" i="329"/>
  <c r="Y404" i="329"/>
  <c r="Y410" i="329" s="1"/>
  <c r="X404" i="329"/>
  <c r="W404" i="329"/>
  <c r="V404" i="329"/>
  <c r="U404" i="329"/>
  <c r="U410" i="329" s="1"/>
  <c r="T404" i="329"/>
  <c r="S404" i="329"/>
  <c r="R404" i="329"/>
  <c r="Q404" i="329"/>
  <c r="P404" i="329"/>
  <c r="O404" i="329"/>
  <c r="N404" i="329"/>
  <c r="M404" i="329"/>
  <c r="M410" i="329" s="1"/>
  <c r="L404" i="329"/>
  <c r="L410" i="329" s="1"/>
  <c r="K404" i="329"/>
  <c r="J404" i="329"/>
  <c r="I404" i="329"/>
  <c r="H404" i="329"/>
  <c r="H410" i="329" s="1"/>
  <c r="G404" i="329"/>
  <c r="F404" i="329"/>
  <c r="F410" i="329" s="1"/>
  <c r="DC400" i="329"/>
  <c r="DB400" i="329"/>
  <c r="DA400" i="329"/>
  <c r="CO400" i="329"/>
  <c r="CN400" i="329"/>
  <c r="CM400" i="329"/>
  <c r="CL400" i="329"/>
  <c r="CK400" i="329"/>
  <c r="CJ400" i="329"/>
  <c r="CI400" i="329"/>
  <c r="CH400" i="329"/>
  <c r="CG400" i="329"/>
  <c r="CF400" i="329"/>
  <c r="CE400" i="329"/>
  <c r="CD400" i="329"/>
  <c r="CC400" i="329"/>
  <c r="CB400" i="329"/>
  <c r="CA400" i="329"/>
  <c r="BZ400" i="329"/>
  <c r="BY400" i="329"/>
  <c r="BX400" i="329"/>
  <c r="BW400" i="329"/>
  <c r="BV400" i="329"/>
  <c r="BU400" i="329"/>
  <c r="BT400" i="329"/>
  <c r="BS400" i="329"/>
  <c r="BR400" i="329"/>
  <c r="BQ400" i="329"/>
  <c r="BP400" i="329"/>
  <c r="BO400" i="329"/>
  <c r="BN400" i="329"/>
  <c r="BM400" i="329"/>
  <c r="BL400" i="329"/>
  <c r="BK400" i="329"/>
  <c r="BJ400" i="329"/>
  <c r="BI400" i="329"/>
  <c r="BH400" i="329"/>
  <c r="BG400" i="329"/>
  <c r="BF400" i="329"/>
  <c r="BE400" i="329"/>
  <c r="BD400" i="329"/>
  <c r="BC400" i="329"/>
  <c r="BB400" i="329"/>
  <c r="BA400" i="329"/>
  <c r="AZ400" i="329"/>
  <c r="AY400" i="329"/>
  <c r="AX400" i="329"/>
  <c r="AW400" i="329"/>
  <c r="AV400" i="329"/>
  <c r="AU400" i="329"/>
  <c r="AT400" i="329"/>
  <c r="AS400" i="329"/>
  <c r="AR400" i="329"/>
  <c r="AQ400" i="329"/>
  <c r="AP400" i="329"/>
  <c r="AO400" i="329"/>
  <c r="AN400" i="329"/>
  <c r="AM400" i="329"/>
  <c r="AL400" i="329"/>
  <c r="EP398" i="329"/>
  <c r="EP393" i="329"/>
  <c r="DC399" i="329"/>
  <c r="DB399" i="329"/>
  <c r="DA399" i="329"/>
  <c r="CZ399" i="329"/>
  <c r="CY399" i="329"/>
  <c r="CX399" i="329"/>
  <c r="EO398" i="329"/>
  <c r="EO396" i="329" s="1"/>
  <c r="EN398" i="329"/>
  <c r="EN148" i="2" s="1"/>
  <c r="EM398" i="329"/>
  <c r="EM396" i="329" s="1"/>
  <c r="EL398" i="329"/>
  <c r="EK398" i="329"/>
  <c r="EJ398" i="329"/>
  <c r="EJ148" i="2" s="1"/>
  <c r="EI398" i="329"/>
  <c r="EH398" i="329"/>
  <c r="EG398" i="329"/>
  <c r="EG399" i="329" s="1"/>
  <c r="EG105" i="2" s="1"/>
  <c r="EF398" i="329"/>
  <c r="CV398" i="329"/>
  <c r="CV193" i="2" s="1"/>
  <c r="CU398" i="329"/>
  <c r="CT398" i="329"/>
  <c r="CS398" i="329"/>
  <c r="CR398" i="329"/>
  <c r="CR183" i="2" s="1"/>
  <c r="CQ398" i="329"/>
  <c r="CP398" i="329"/>
  <c r="ET398" i="329"/>
  <c r="ES398" i="329"/>
  <c r="ER398" i="329"/>
  <c r="EQ398" i="329"/>
  <c r="ET396" i="329"/>
  <c r="ES396" i="329"/>
  <c r="ER396" i="329"/>
  <c r="EQ396" i="329"/>
  <c r="EN396" i="329"/>
  <c r="CR396" i="329"/>
  <c r="CN396" i="329"/>
  <c r="CM396" i="329"/>
  <c r="CL396" i="329"/>
  <c r="CJ396" i="329"/>
  <c r="CI396" i="329"/>
  <c r="CH396" i="329"/>
  <c r="CF396" i="329"/>
  <c r="CE396" i="329"/>
  <c r="CD396" i="329"/>
  <c r="CB396" i="329"/>
  <c r="CA396" i="329"/>
  <c r="BZ396" i="329"/>
  <c r="BX396" i="329"/>
  <c r="BW396" i="329"/>
  <c r="BV396" i="329"/>
  <c r="BT396" i="329"/>
  <c r="BS396" i="329"/>
  <c r="BR396" i="329"/>
  <c r="BP396" i="329"/>
  <c r="BO396" i="329"/>
  <c r="BN396" i="329"/>
  <c r="CX395" i="329"/>
  <c r="CX396" i="329" s="1"/>
  <c r="CW395" i="329"/>
  <c r="CW396" i="329" s="1"/>
  <c r="CV395" i="329"/>
  <c r="CU395" i="329"/>
  <c r="CT395" i="329"/>
  <c r="CS395" i="329"/>
  <c r="EU395" i="329" s="1"/>
  <c r="CO395" i="329"/>
  <c r="CO396" i="329" s="1"/>
  <c r="CK395" i="329"/>
  <c r="CK396" i="329" s="1"/>
  <c r="CG395" i="329"/>
  <c r="CG396" i="329" s="1"/>
  <c r="CC395" i="329"/>
  <c r="CC396" i="329" s="1"/>
  <c r="BY395" i="329"/>
  <c r="BU395" i="329"/>
  <c r="BU396" i="329" s="1"/>
  <c r="BQ395" i="329"/>
  <c r="BQ396" i="329" s="1"/>
  <c r="EC393" i="329"/>
  <c r="EC147" i="2" s="1"/>
  <c r="EW398" i="329"/>
  <c r="FA395" i="329"/>
  <c r="FB395" i="329" s="1"/>
  <c r="FC395" i="329" s="1"/>
  <c r="FD395" i="329" s="1"/>
  <c r="FE395" i="329" s="1"/>
  <c r="FF395" i="329" s="1"/>
  <c r="FG395" i="329" s="1"/>
  <c r="FH395" i="329" s="1"/>
  <c r="EW393" i="329"/>
  <c r="EV393" i="329"/>
  <c r="EV147" i="2" s="1"/>
  <c r="EU393" i="329"/>
  <c r="EU147" i="2" s="1"/>
  <c r="ET393" i="329"/>
  <c r="ES393" i="329"/>
  <c r="ES147" i="2" s="1"/>
  <c r="ER393" i="329"/>
  <c r="ER147" i="2" s="1"/>
  <c r="EQ393" i="329"/>
  <c r="EO393" i="329"/>
  <c r="EO147" i="2" s="1"/>
  <c r="EN393" i="329"/>
  <c r="EM393" i="329"/>
  <c r="EM147" i="2" s="1"/>
  <c r="EL393" i="329"/>
  <c r="EK393" i="329"/>
  <c r="EJ393" i="329"/>
  <c r="EI393" i="329"/>
  <c r="EI147" i="2" s="1"/>
  <c r="EH393" i="329"/>
  <c r="EG393" i="329"/>
  <c r="EG404" i="329" s="1"/>
  <c r="EG149" i="2" s="1"/>
  <c r="EF393" i="329"/>
  <c r="EE393" i="329"/>
  <c r="ED393" i="329"/>
  <c r="ED404" i="329" s="1"/>
  <c r="EB393" i="329"/>
  <c r="EA393" i="329"/>
  <c r="DZ393" i="329"/>
  <c r="DY393" i="329"/>
  <c r="DE395" i="329"/>
  <c r="DY384" i="329"/>
  <c r="F384" i="329"/>
  <c r="DZ382" i="329"/>
  <c r="DN112" i="4" s="1"/>
  <c r="AO382" i="329"/>
  <c r="AO112" i="4" s="1"/>
  <c r="DW378" i="329"/>
  <c r="DW388" i="329" s="1"/>
  <c r="DV378" i="329"/>
  <c r="DU378" i="329"/>
  <c r="DU388" i="329" s="1"/>
  <c r="DT378" i="329"/>
  <c r="DS378" i="329"/>
  <c r="DR378" i="329"/>
  <c r="M378" i="329"/>
  <c r="L378" i="329"/>
  <c r="K378" i="329"/>
  <c r="J378" i="329"/>
  <c r="I378" i="329"/>
  <c r="H378" i="329"/>
  <c r="G378" i="329"/>
  <c r="F378" i="329"/>
  <c r="M374" i="329"/>
  <c r="L374" i="329"/>
  <c r="K374" i="329"/>
  <c r="J374" i="329"/>
  <c r="N371" i="329"/>
  <c r="M371" i="329"/>
  <c r="L371" i="329"/>
  <c r="K371" i="329"/>
  <c r="J371" i="329"/>
  <c r="I371" i="329"/>
  <c r="H371" i="329"/>
  <c r="G371" i="329"/>
  <c r="F371" i="329"/>
  <c r="E371" i="329"/>
  <c r="D371" i="329"/>
  <c r="C371" i="329"/>
  <c r="B371" i="329"/>
  <c r="EM365" i="329"/>
  <c r="EL365" i="329"/>
  <c r="EK365" i="329"/>
  <c r="EJ365" i="329"/>
  <c r="DC365" i="329"/>
  <c r="DB365" i="329"/>
  <c r="DA365" i="329"/>
  <c r="CZ365" i="329"/>
  <c r="CY365" i="329"/>
  <c r="CX365" i="329"/>
  <c r="CW365" i="329"/>
  <c r="CV365" i="329"/>
  <c r="CU365" i="329"/>
  <c r="CT365" i="329"/>
  <c r="CR365" i="329"/>
  <c r="CP365" i="329"/>
  <c r="CN365" i="329"/>
  <c r="CM365" i="329"/>
  <c r="CL365" i="329"/>
  <c r="CJ365" i="329"/>
  <c r="CI365" i="329"/>
  <c r="CH365" i="329"/>
  <c r="CG365" i="329"/>
  <c r="CF365" i="329"/>
  <c r="CE365" i="329"/>
  <c r="CD365" i="329"/>
  <c r="CC365" i="329"/>
  <c r="CB365" i="329"/>
  <c r="CA365" i="329"/>
  <c r="BZ365" i="329"/>
  <c r="BU365" i="329"/>
  <c r="BT365" i="329"/>
  <c r="BS365" i="329"/>
  <c r="BR365" i="329"/>
  <c r="BQ365" i="329"/>
  <c r="BP365" i="329"/>
  <c r="BO365" i="329"/>
  <c r="BN365" i="329"/>
  <c r="BL365" i="329"/>
  <c r="BK365" i="329"/>
  <c r="BJ365" i="329"/>
  <c r="FG348" i="329"/>
  <c r="FF348" i="329"/>
  <c r="FE348" i="329"/>
  <c r="FD348" i="329"/>
  <c r="FC348" i="329"/>
  <c r="FB348" i="329"/>
  <c r="FG344" i="329"/>
  <c r="FF344" i="329"/>
  <c r="FE344" i="329"/>
  <c r="FD344" i="329"/>
  <c r="FC344" i="329"/>
  <c r="FB344" i="329"/>
  <c r="FG336" i="329"/>
  <c r="FF336" i="329"/>
  <c r="FE336" i="329"/>
  <c r="FD336" i="329"/>
  <c r="FC336" i="329"/>
  <c r="FB336" i="329"/>
  <c r="FG332" i="329"/>
  <c r="FF332" i="329"/>
  <c r="FE332" i="329"/>
  <c r="FD332" i="329"/>
  <c r="FC332" i="329"/>
  <c r="FB332" i="329"/>
  <c r="AW326" i="329"/>
  <c r="AV326" i="329"/>
  <c r="AU326" i="329"/>
  <c r="AT326" i="329"/>
  <c r="AS326" i="329"/>
  <c r="AR326" i="329"/>
  <c r="AQ326" i="329"/>
  <c r="AP326" i="329"/>
  <c r="AO326" i="329"/>
  <c r="AN326" i="329"/>
  <c r="AM326" i="329"/>
  <c r="AL326" i="329"/>
  <c r="EI325" i="329"/>
  <c r="EI314" i="329" s="1"/>
  <c r="EH325" i="329"/>
  <c r="EG325" i="329"/>
  <c r="EF325" i="329"/>
  <c r="DC325" i="329"/>
  <c r="DB325" i="329"/>
  <c r="DB338" i="329" s="1"/>
  <c r="DA325" i="329"/>
  <c r="CZ325" i="329"/>
  <c r="CY325" i="329"/>
  <c r="CX325" i="329"/>
  <c r="CW325" i="329"/>
  <c r="CW354" i="329" s="1"/>
  <c r="CT325" i="329"/>
  <c r="CP325" i="329"/>
  <c r="CO325" i="329"/>
  <c r="CN325" i="329"/>
  <c r="CN324" i="329" s="1"/>
  <c r="CM325" i="329"/>
  <c r="CL325" i="329"/>
  <c r="CK325" i="329"/>
  <c r="CJ325" i="329"/>
  <c r="CI325" i="329"/>
  <c r="CI354" i="329" s="1"/>
  <c r="CH325" i="329"/>
  <c r="CG325" i="329"/>
  <c r="CF325" i="329"/>
  <c r="CF324" i="329" s="1"/>
  <c r="CE325" i="329"/>
  <c r="CD325" i="329"/>
  <c r="CC325" i="329"/>
  <c r="CB325" i="329"/>
  <c r="CA325" i="329"/>
  <c r="CA354" i="329" s="1"/>
  <c r="CA342" i="329" s="1"/>
  <c r="BZ325" i="329"/>
  <c r="BY325" i="329"/>
  <c r="BX325" i="329"/>
  <c r="BX324" i="329" s="1"/>
  <c r="BW325" i="329"/>
  <c r="BV325" i="329"/>
  <c r="BU325" i="329"/>
  <c r="BT325" i="329"/>
  <c r="BS325" i="329"/>
  <c r="BS354" i="329" s="1"/>
  <c r="BR325" i="329"/>
  <c r="BQ325" i="329"/>
  <c r="BP325" i="329"/>
  <c r="BO325" i="329"/>
  <c r="BN325" i="329"/>
  <c r="BM325" i="329"/>
  <c r="BL325" i="329"/>
  <c r="BK325" i="329"/>
  <c r="BJ325" i="329"/>
  <c r="BI325" i="329"/>
  <c r="BH325" i="329"/>
  <c r="BG325" i="329"/>
  <c r="BF325" i="329"/>
  <c r="BE325" i="329"/>
  <c r="BD325" i="329"/>
  <c r="BC325" i="329"/>
  <c r="BB325" i="329"/>
  <c r="BA325" i="329"/>
  <c r="AZ325" i="329"/>
  <c r="AZ326" i="329" s="1"/>
  <c r="AY325" i="329"/>
  <c r="AY326" i="329" s="1"/>
  <c r="AX325" i="329"/>
  <c r="AX326" i="329" s="1"/>
  <c r="EV323" i="329"/>
  <c r="DC318" i="329"/>
  <c r="DB318" i="329"/>
  <c r="AW318" i="329"/>
  <c r="AV318" i="329"/>
  <c r="AU318" i="329"/>
  <c r="AT318" i="329"/>
  <c r="FG317" i="329"/>
  <c r="FF317" i="329"/>
  <c r="FE317" i="329"/>
  <c r="FD317" i="329"/>
  <c r="FC317" i="329"/>
  <c r="FB317" i="329"/>
  <c r="FA317" i="329"/>
  <c r="ET314" i="329"/>
  <c r="ES314" i="329"/>
  <c r="ER314" i="329"/>
  <c r="EQ314" i="329"/>
  <c r="EO314" i="329"/>
  <c r="EN314" i="329"/>
  <c r="EM314" i="329"/>
  <c r="EL314" i="329"/>
  <c r="EK314" i="329"/>
  <c r="EJ314" i="329"/>
  <c r="CW314" i="329"/>
  <c r="CV314" i="329"/>
  <c r="CU314" i="329"/>
  <c r="CT314" i="329"/>
  <c r="CS314" i="329"/>
  <c r="CR314" i="329"/>
  <c r="CQ314" i="329"/>
  <c r="CP314" i="329"/>
  <c r="CO314" i="329"/>
  <c r="CN314" i="329"/>
  <c r="CM314" i="329"/>
  <c r="CL314" i="329"/>
  <c r="CK314" i="329"/>
  <c r="CJ314" i="329"/>
  <c r="CI314" i="329"/>
  <c r="CH314" i="329"/>
  <c r="CG314" i="329"/>
  <c r="CF314" i="329"/>
  <c r="CE314" i="329"/>
  <c r="CD314" i="329"/>
  <c r="CC314" i="329"/>
  <c r="CB314" i="329"/>
  <c r="CA314" i="329"/>
  <c r="BZ314" i="329"/>
  <c r="BY314" i="329"/>
  <c r="BX314" i="329"/>
  <c r="BW314" i="329"/>
  <c r="BV314" i="329"/>
  <c r="BU314" i="329"/>
  <c r="BT314" i="329"/>
  <c r="BS314" i="329"/>
  <c r="BR314" i="329"/>
  <c r="BQ314" i="329"/>
  <c r="BP314" i="329"/>
  <c r="BO314" i="329"/>
  <c r="BN314" i="329"/>
  <c r="BM314" i="329"/>
  <c r="BL314" i="329"/>
  <c r="BK314" i="329"/>
  <c r="BJ314" i="329"/>
  <c r="BI314" i="329"/>
  <c r="BH314" i="329"/>
  <c r="BG314" i="329"/>
  <c r="BF314" i="329"/>
  <c r="BE314" i="329"/>
  <c r="BD314" i="329"/>
  <c r="BC314" i="329"/>
  <c r="BB314" i="329"/>
  <c r="BA314" i="329"/>
  <c r="AZ314" i="329"/>
  <c r="AY314" i="329"/>
  <c r="AX314" i="329"/>
  <c r="FG315" i="329"/>
  <c r="FF315" i="329"/>
  <c r="FE315" i="329"/>
  <c r="FD315" i="329"/>
  <c r="FC315" i="329"/>
  <c r="FB315" i="329"/>
  <c r="FA315" i="329"/>
  <c r="FG314" i="329"/>
  <c r="FF314" i="329"/>
  <c r="FE314" i="329"/>
  <c r="FD314" i="329"/>
  <c r="FC314" i="329"/>
  <c r="FC399" i="329" s="1"/>
  <c r="FC105" i="2" s="1"/>
  <c r="FB314" i="329"/>
  <c r="FA314" i="329"/>
  <c r="AH304" i="329"/>
  <c r="AH292" i="329"/>
  <c r="AH306" i="329" s="1"/>
  <c r="ES286" i="329"/>
  <c r="ES285" i="329"/>
  <c r="ES284" i="329"/>
  <c r="ES283" i="329"/>
  <c r="ES282" i="329"/>
  <c r="ES281" i="329"/>
  <c r="ES279" i="329"/>
  <c r="ES278" i="329"/>
  <c r="ES277" i="329"/>
  <c r="DC287" i="329"/>
  <c r="DC295" i="329" s="1"/>
  <c r="DG296" i="329" s="1"/>
  <c r="DB287" i="329"/>
  <c r="DB295" i="329" s="1"/>
  <c r="DB244" i="329" s="1"/>
  <c r="DA287" i="329"/>
  <c r="CZ287" i="329"/>
  <c r="CZ295" i="329" s="1"/>
  <c r="CX287" i="329"/>
  <c r="CX295" i="329" s="1"/>
  <c r="CW287" i="329"/>
  <c r="CV287" i="329"/>
  <c r="CV295" i="329" s="1"/>
  <c r="CV308" i="329" s="1"/>
  <c r="CU287" i="329"/>
  <c r="CU295" i="329" s="1"/>
  <c r="CT287" i="329"/>
  <c r="CT295" i="329" s="1"/>
  <c r="CS287" i="329"/>
  <c r="CR287" i="329"/>
  <c r="CQ287" i="329"/>
  <c r="CP287" i="329"/>
  <c r="CK287" i="329"/>
  <c r="CJ287" i="329"/>
  <c r="CJ295" i="329" s="1"/>
  <c r="CI287" i="329"/>
  <c r="CI295" i="329" s="1"/>
  <c r="CH287" i="329"/>
  <c r="BY287" i="329"/>
  <c r="BX287" i="329"/>
  <c r="CF295" i="329" s="1"/>
  <c r="BW287" i="329"/>
  <c r="BV287" i="329"/>
  <c r="BM287" i="329"/>
  <c r="BL287" i="329"/>
  <c r="BK287" i="329"/>
  <c r="BK244" i="329" s="1"/>
  <c r="BJ287" i="329"/>
  <c r="BI287" i="329"/>
  <c r="BH287" i="329"/>
  <c r="BG287" i="329"/>
  <c r="BF287" i="329"/>
  <c r="BE287" i="329"/>
  <c r="BE244" i="329" s="1"/>
  <c r="BD287" i="329"/>
  <c r="BD295" i="329" s="1"/>
  <c r="BC287" i="329"/>
  <c r="BA287" i="329"/>
  <c r="AZ287" i="329"/>
  <c r="AY287" i="329"/>
  <c r="AY295" i="329" s="1"/>
  <c r="AY308" i="329" s="1"/>
  <c r="AX287" i="329"/>
  <c r="AX244" i="329" s="1"/>
  <c r="AW287" i="329"/>
  <c r="AV287" i="329"/>
  <c r="AU287" i="329"/>
  <c r="AU295" i="329" s="1"/>
  <c r="AT287" i="329"/>
  <c r="AT244" i="329" s="1"/>
  <c r="AS287" i="329"/>
  <c r="AR287" i="329"/>
  <c r="AQ287" i="329"/>
  <c r="AQ244" i="329" s="1"/>
  <c r="AP287" i="329"/>
  <c r="AP244" i="329" s="1"/>
  <c r="AO287" i="329"/>
  <c r="AO244" i="329" s="1"/>
  <c r="AN287" i="329"/>
  <c r="AM287" i="329"/>
  <c r="AM295" i="329" s="1"/>
  <c r="AK287" i="329"/>
  <c r="AJ287" i="329"/>
  <c r="AJ295" i="329" s="1"/>
  <c r="AI287" i="329"/>
  <c r="AH287" i="329"/>
  <c r="AH244" i="329" s="1"/>
  <c r="EP286" i="329"/>
  <c r="EO286" i="329"/>
  <c r="EN286" i="329"/>
  <c r="CY286" i="329"/>
  <c r="CY282" i="329"/>
  <c r="CY281" i="329"/>
  <c r="CY280" i="329"/>
  <c r="CY279" i="329"/>
  <c r="EP284" i="329"/>
  <c r="EO284" i="329"/>
  <c r="EN284" i="329"/>
  <c r="EM284" i="329"/>
  <c r="EP283" i="329"/>
  <c r="EO283" i="329"/>
  <c r="EN283" i="329"/>
  <c r="EM283" i="329"/>
  <c r="EP282" i="329"/>
  <c r="EO282" i="329"/>
  <c r="EN282" i="329"/>
  <c r="EM282" i="329"/>
  <c r="EP281" i="329"/>
  <c r="EO281" i="329"/>
  <c r="EN281" i="329"/>
  <c r="EM281" i="329"/>
  <c r="EL282" i="329"/>
  <c r="EK282" i="329"/>
  <c r="EL281" i="329"/>
  <c r="EK281" i="329"/>
  <c r="EW286" i="329"/>
  <c r="EV286" i="329"/>
  <c r="EU286" i="329"/>
  <c r="EW285" i="329"/>
  <c r="EV285" i="329"/>
  <c r="EU285" i="329"/>
  <c r="EW284" i="329"/>
  <c r="EV284" i="329"/>
  <c r="EU284" i="329"/>
  <c r="EW283" i="329"/>
  <c r="EV283" i="329"/>
  <c r="EU283" i="329"/>
  <c r="EW282" i="329"/>
  <c r="EV282" i="329"/>
  <c r="EU282" i="329"/>
  <c r="EW281" i="329"/>
  <c r="EV281" i="329"/>
  <c r="EU281" i="329"/>
  <c r="EW280" i="329"/>
  <c r="EW279" i="329"/>
  <c r="EV279" i="329"/>
  <c r="EU279" i="329"/>
  <c r="EW278" i="329"/>
  <c r="EV278" i="329"/>
  <c r="EU278" i="329"/>
  <c r="EL278" i="329"/>
  <c r="EK278" i="329"/>
  <c r="EJ278" i="329"/>
  <c r="EI278" i="329"/>
  <c r="EH278" i="329"/>
  <c r="EG278" i="329"/>
  <c r="EL277" i="329"/>
  <c r="EK277" i="329"/>
  <c r="EJ277" i="329"/>
  <c r="EI277" i="329"/>
  <c r="EH277" i="329"/>
  <c r="EG277" i="329"/>
  <c r="EF277" i="329"/>
  <c r="EF276" i="329"/>
  <c r="CY277" i="329"/>
  <c r="CY276" i="329"/>
  <c r="EV277" i="329"/>
  <c r="EU277" i="329"/>
  <c r="EP279" i="329"/>
  <c r="EO279" i="329"/>
  <c r="EP278" i="329"/>
  <c r="EO278" i="329"/>
  <c r="EP277" i="329"/>
  <c r="EO277" i="329"/>
  <c r="EN279" i="329"/>
  <c r="EM279" i="329"/>
  <c r="EN278" i="329"/>
  <c r="EM278" i="329"/>
  <c r="EN277" i="329"/>
  <c r="EM277" i="329"/>
  <c r="EM276" i="329"/>
  <c r="EL276" i="329"/>
  <c r="EJ276" i="329"/>
  <c r="BU276" i="329"/>
  <c r="BU287" i="329" s="1"/>
  <c r="BU295" i="329" s="1"/>
  <c r="BT276" i="329"/>
  <c r="BT287" i="329" s="1"/>
  <c r="BT244" i="329" s="1"/>
  <c r="BS276" i="329"/>
  <c r="BS287" i="329" s="1"/>
  <c r="CA295" i="329" s="1"/>
  <c r="BR276" i="329"/>
  <c r="BR287" i="329" s="1"/>
  <c r="BQ276" i="329"/>
  <c r="BQ287" i="329" s="1"/>
  <c r="BP273" i="329"/>
  <c r="BP243" i="329" s="1"/>
  <c r="BO273" i="329"/>
  <c r="BO243" i="329" s="1"/>
  <c r="BM273" i="329"/>
  <c r="BM243" i="329" s="1"/>
  <c r="BM293" i="329" s="1"/>
  <c r="BL273" i="329"/>
  <c r="BL243" i="329" s="1"/>
  <c r="BL293" i="329" s="1"/>
  <c r="BK273" i="329"/>
  <c r="BK243" i="329" s="1"/>
  <c r="BK293" i="329" s="1"/>
  <c r="BJ273" i="329"/>
  <c r="BJ243" i="329" s="1"/>
  <c r="BJ293" i="329" s="1"/>
  <c r="BI273" i="329"/>
  <c r="BI243" i="329" s="1"/>
  <c r="BI293" i="329" s="1"/>
  <c r="BH273" i="329"/>
  <c r="BH243" i="329" s="1"/>
  <c r="BH293" i="329" s="1"/>
  <c r="BG273" i="329"/>
  <c r="BG243" i="329" s="1"/>
  <c r="BG293" i="329" s="1"/>
  <c r="BF273" i="329"/>
  <c r="BF243" i="329" s="1"/>
  <c r="BF293" i="329" s="1"/>
  <c r="BE273" i="329"/>
  <c r="BE243" i="329" s="1"/>
  <c r="BE293" i="329" s="1"/>
  <c r="BD273" i="329"/>
  <c r="BD243" i="329" s="1"/>
  <c r="BD293" i="329" s="1"/>
  <c r="BC273" i="329"/>
  <c r="BC243" i="329" s="1"/>
  <c r="BC293" i="329" s="1"/>
  <c r="BB273" i="329"/>
  <c r="BB243" i="329" s="1"/>
  <c r="BB293" i="329" s="1"/>
  <c r="BA273" i="329"/>
  <c r="BA243" i="329" s="1"/>
  <c r="BA293" i="329" s="1"/>
  <c r="AZ273" i="329"/>
  <c r="AZ243" i="329" s="1"/>
  <c r="AZ293" i="329" s="1"/>
  <c r="AY273" i="329"/>
  <c r="AY243" i="329" s="1"/>
  <c r="AY293" i="329" s="1"/>
  <c r="AX273" i="329"/>
  <c r="AX243" i="329" s="1"/>
  <c r="AX293" i="329" s="1"/>
  <c r="AW273" i="329"/>
  <c r="AV273" i="329"/>
  <c r="AU273" i="329"/>
  <c r="AU243" i="329" s="1"/>
  <c r="AT273" i="329"/>
  <c r="AT243" i="329" s="1"/>
  <c r="AS273" i="329"/>
  <c r="AS293" i="329" s="1"/>
  <c r="AR273" i="329"/>
  <c r="AQ273" i="329"/>
  <c r="AP273" i="329"/>
  <c r="AO273" i="329"/>
  <c r="AN273" i="329"/>
  <c r="AN293" i="329" s="1"/>
  <c r="AM273" i="329"/>
  <c r="AL273" i="329"/>
  <c r="AL293" i="329" s="1"/>
  <c r="AK273" i="329"/>
  <c r="AJ273" i="329"/>
  <c r="AI273" i="329"/>
  <c r="AH273" i="329"/>
  <c r="CK272" i="329"/>
  <c r="CJ272" i="329"/>
  <c r="CI272" i="329"/>
  <c r="CH272" i="329"/>
  <c r="BY272" i="329"/>
  <c r="BX272" i="329"/>
  <c r="BW272" i="329"/>
  <c r="BV272" i="329"/>
  <c r="BU272" i="329"/>
  <c r="BT272" i="329"/>
  <c r="BS272" i="329"/>
  <c r="BS273" i="329" s="1"/>
  <c r="BS243" i="329" s="1"/>
  <c r="BR272" i="329"/>
  <c r="EM270" i="329"/>
  <c r="EL270" i="329"/>
  <c r="EL256" i="329" s="1"/>
  <c r="BJ256" i="329" s="1"/>
  <c r="BK256" i="329" s="1"/>
  <c r="BL256" i="329" s="1"/>
  <c r="BM256" i="329" s="1"/>
  <c r="EL268" i="329"/>
  <c r="EL267" i="329"/>
  <c r="EM269" i="329"/>
  <c r="EM255" i="329" s="1"/>
  <c r="BN255" i="329" s="1"/>
  <c r="BO255" i="329" s="1"/>
  <c r="BP255" i="329" s="1"/>
  <c r="BQ269" i="329" s="1"/>
  <c r="EN269" i="329" s="1"/>
  <c r="EM268" i="329"/>
  <c r="EM267" i="329"/>
  <c r="EK267" i="329"/>
  <c r="BN267" i="329"/>
  <c r="EM265" i="329"/>
  <c r="EM251" i="329" s="1"/>
  <c r="EM264" i="329"/>
  <c r="EM263" i="329"/>
  <c r="EM262" i="329"/>
  <c r="BN265" i="329"/>
  <c r="EL264" i="329"/>
  <c r="EK264" i="329"/>
  <c r="EJ264" i="329"/>
  <c r="EI264" i="329"/>
  <c r="EH264" i="329"/>
  <c r="EL263" i="329"/>
  <c r="EK263" i="329"/>
  <c r="EJ263" i="329"/>
  <c r="EI263" i="329"/>
  <c r="EH263" i="329"/>
  <c r="EG263" i="329"/>
  <c r="EG273" i="329" s="1"/>
  <c r="EG293" i="329" s="1"/>
  <c r="EF263" i="329"/>
  <c r="EF273" i="329" s="1"/>
  <c r="EF293" i="329" s="1"/>
  <c r="EK262" i="329"/>
  <c r="EJ262" i="329"/>
  <c r="DC272" i="329"/>
  <c r="DB272" i="329"/>
  <c r="DA272" i="329"/>
  <c r="EW272" i="329" s="1"/>
  <c r="CX272" i="329"/>
  <c r="CW272" i="329"/>
  <c r="CV272" i="329"/>
  <c r="CU272" i="329"/>
  <c r="CT272" i="329"/>
  <c r="CS272" i="329"/>
  <c r="CR272" i="329"/>
  <c r="CQ272" i="329"/>
  <c r="CP272" i="329"/>
  <c r="DC271" i="329"/>
  <c r="DB271" i="329"/>
  <c r="DA271" i="329"/>
  <c r="EW271" i="329" s="1"/>
  <c r="CX271" i="329"/>
  <c r="CW271" i="329"/>
  <c r="CV271" i="329"/>
  <c r="CU271" i="329"/>
  <c r="CT271" i="329"/>
  <c r="CS271" i="329"/>
  <c r="CR271" i="329"/>
  <c r="CQ271" i="329"/>
  <c r="CP271" i="329"/>
  <c r="DC270" i="329"/>
  <c r="DB270" i="329"/>
  <c r="DA270" i="329"/>
  <c r="EW270" i="329" s="1"/>
  <c r="CX270" i="329"/>
  <c r="CW270" i="329"/>
  <c r="CV270" i="329"/>
  <c r="CU270" i="329"/>
  <c r="CT270" i="329"/>
  <c r="CS270" i="329"/>
  <c r="CR270" i="329"/>
  <c r="CQ270" i="329"/>
  <c r="CP270" i="329"/>
  <c r="DC269" i="329"/>
  <c r="DB269" i="329"/>
  <c r="DA269" i="329"/>
  <c r="EW269" i="329" s="1"/>
  <c r="CX269" i="329"/>
  <c r="CW269" i="329"/>
  <c r="CV269" i="329"/>
  <c r="CU269" i="329"/>
  <c r="CT269" i="329"/>
  <c r="CS269" i="329"/>
  <c r="CR269" i="329"/>
  <c r="CQ269" i="329"/>
  <c r="CP269" i="329"/>
  <c r="DC268" i="329"/>
  <c r="DB268" i="329"/>
  <c r="DA268" i="329"/>
  <c r="EW268" i="329" s="1"/>
  <c r="CX268" i="329"/>
  <c r="CW268" i="329"/>
  <c r="CV268" i="329"/>
  <c r="CU268" i="329"/>
  <c r="CT268" i="329"/>
  <c r="CS268" i="329"/>
  <c r="CR268" i="329"/>
  <c r="CQ268" i="329"/>
  <c r="CP268" i="329"/>
  <c r="DC267" i="329"/>
  <c r="DB267" i="329"/>
  <c r="DA267" i="329"/>
  <c r="EW267" i="329" s="1"/>
  <c r="CX267" i="329"/>
  <c r="CW267" i="329"/>
  <c r="CV267" i="329"/>
  <c r="CU267" i="329"/>
  <c r="CT267" i="329"/>
  <c r="CS267" i="329"/>
  <c r="CR267" i="329"/>
  <c r="CQ267" i="329"/>
  <c r="CP267" i="329"/>
  <c r="DC266" i="329"/>
  <c r="DB266" i="329"/>
  <c r="DA266" i="329"/>
  <c r="EW266" i="329" s="1"/>
  <c r="CX266" i="329"/>
  <c r="CW266" i="329"/>
  <c r="CV266" i="329"/>
  <c r="CU266" i="329"/>
  <c r="CT266" i="329"/>
  <c r="CS266" i="329"/>
  <c r="CR266" i="329"/>
  <c r="CQ266" i="329"/>
  <c r="CP266" i="329"/>
  <c r="DC265" i="329"/>
  <c r="DB265" i="329"/>
  <c r="DA265" i="329"/>
  <c r="EW265" i="329" s="1"/>
  <c r="CX265" i="329"/>
  <c r="CW265" i="329"/>
  <c r="CV265" i="329"/>
  <c r="CU265" i="329"/>
  <c r="CT265" i="329"/>
  <c r="CS265" i="329"/>
  <c r="CR265" i="329"/>
  <c r="CQ265" i="329"/>
  <c r="CP265" i="329"/>
  <c r="DC264" i="329"/>
  <c r="DB264" i="329"/>
  <c r="DA264" i="329"/>
  <c r="EW264" i="329" s="1"/>
  <c r="CX264" i="329"/>
  <c r="CW264" i="329"/>
  <c r="CV264" i="329"/>
  <c r="CU264" i="329"/>
  <c r="CU273" i="329" s="1"/>
  <c r="CT264" i="329"/>
  <c r="CS264" i="329"/>
  <c r="CR264" i="329"/>
  <c r="CQ264" i="329"/>
  <c r="CP264" i="329"/>
  <c r="DC263" i="329"/>
  <c r="DB263" i="329"/>
  <c r="DA263" i="329"/>
  <c r="DA273" i="329" s="1"/>
  <c r="EW273" i="329" s="1"/>
  <c r="CZ263" i="329"/>
  <c r="CY263" i="329"/>
  <c r="CX263" i="329"/>
  <c r="CW263" i="329"/>
  <c r="CV263" i="329"/>
  <c r="CU263" i="329"/>
  <c r="CT263" i="329"/>
  <c r="CS263" i="329"/>
  <c r="CR263" i="329"/>
  <c r="CQ263" i="329"/>
  <c r="CP263" i="329"/>
  <c r="DC262" i="329"/>
  <c r="DC273" i="329" s="1"/>
  <c r="DB262" i="329"/>
  <c r="DA262" i="329"/>
  <c r="CX262" i="329"/>
  <c r="CX273" i="329" s="1"/>
  <c r="CW262" i="329"/>
  <c r="CW273" i="329" s="1"/>
  <c r="CV262" i="329"/>
  <c r="CU262" i="329"/>
  <c r="CT262" i="329"/>
  <c r="CT273" i="329" s="1"/>
  <c r="CS262" i="329"/>
  <c r="CS273" i="329" s="1"/>
  <c r="CS243" i="329" s="1"/>
  <c r="CR262" i="329"/>
  <c r="CQ262" i="329"/>
  <c r="CP262" i="329"/>
  <c r="CK270" i="329"/>
  <c r="CJ270" i="329"/>
  <c r="CI270" i="329"/>
  <c r="CH270" i="329"/>
  <c r="CK269" i="329"/>
  <c r="CJ269" i="329"/>
  <c r="CI269" i="329"/>
  <c r="CH269" i="329"/>
  <c r="CK268" i="329"/>
  <c r="CJ268" i="329"/>
  <c r="CI268" i="329"/>
  <c r="CH268" i="329"/>
  <c r="CK267" i="329"/>
  <c r="CJ267" i="329"/>
  <c r="CI267" i="329"/>
  <c r="CH267" i="329"/>
  <c r="CK266" i="329"/>
  <c r="CJ266" i="329"/>
  <c r="CI266" i="329"/>
  <c r="CH266" i="329"/>
  <c r="CK265" i="329"/>
  <c r="CJ265" i="329"/>
  <c r="CI265" i="329"/>
  <c r="CH265" i="329"/>
  <c r="CK264" i="329"/>
  <c r="CJ264" i="329"/>
  <c r="CI264" i="329"/>
  <c r="CH264" i="329"/>
  <c r="CK263" i="329"/>
  <c r="CJ263" i="329"/>
  <c r="CI263" i="329"/>
  <c r="CH263" i="329"/>
  <c r="CK262" i="329"/>
  <c r="CJ262" i="329"/>
  <c r="CI262" i="329"/>
  <c r="CH262" i="329"/>
  <c r="BY270" i="329"/>
  <c r="BX270" i="329"/>
  <c r="BW270" i="329"/>
  <c r="BV270" i="329"/>
  <c r="BU270" i="329"/>
  <c r="BT270" i="329"/>
  <c r="BS270" i="329"/>
  <c r="BR270" i="329"/>
  <c r="BY269" i="329"/>
  <c r="BX269" i="329"/>
  <c r="BW269" i="329"/>
  <c r="BV269" i="329"/>
  <c r="BU269" i="329"/>
  <c r="BT269" i="329"/>
  <c r="BS269" i="329"/>
  <c r="BR269" i="329"/>
  <c r="BY268" i="329"/>
  <c r="BX268" i="329"/>
  <c r="BW268" i="329"/>
  <c r="BV268" i="329"/>
  <c r="BU268" i="329"/>
  <c r="BT268" i="329"/>
  <c r="BS268" i="329"/>
  <c r="BR268" i="329"/>
  <c r="BY267" i="329"/>
  <c r="BX267" i="329"/>
  <c r="BW267" i="329"/>
  <c r="BV267" i="329"/>
  <c r="BU267" i="329"/>
  <c r="BT267" i="329"/>
  <c r="BS267" i="329"/>
  <c r="BR267" i="329"/>
  <c r="BY266" i="329"/>
  <c r="BX266" i="329"/>
  <c r="BW266" i="329"/>
  <c r="BV266" i="329"/>
  <c r="BU266" i="329"/>
  <c r="BT266" i="329"/>
  <c r="BS266" i="329"/>
  <c r="BR266" i="329"/>
  <c r="BY265" i="329"/>
  <c r="BX265" i="329"/>
  <c r="BW265" i="329"/>
  <c r="BV265" i="329"/>
  <c r="BU265" i="329"/>
  <c r="BT265" i="329"/>
  <c r="BS265" i="329"/>
  <c r="BR265" i="329"/>
  <c r="BY264" i="329"/>
  <c r="BX264" i="329"/>
  <c r="BW264" i="329"/>
  <c r="BV264" i="329"/>
  <c r="BU264" i="329"/>
  <c r="BT264" i="329"/>
  <c r="BS264" i="329"/>
  <c r="BR264" i="329"/>
  <c r="BY263" i="329"/>
  <c r="BX263" i="329"/>
  <c r="BW263" i="329"/>
  <c r="BV263" i="329"/>
  <c r="BU263" i="329"/>
  <c r="BT263" i="329"/>
  <c r="BS263" i="329"/>
  <c r="BR263" i="329"/>
  <c r="BY262" i="329"/>
  <c r="BX262" i="329"/>
  <c r="BW262" i="329"/>
  <c r="BV262" i="329"/>
  <c r="BU262" i="329"/>
  <c r="BT262" i="329"/>
  <c r="BT273" i="329" s="1"/>
  <c r="BT243" i="329" s="1"/>
  <c r="BS262" i="329"/>
  <c r="BR262" i="329"/>
  <c r="DC259" i="329"/>
  <c r="DC290" i="329" s="1"/>
  <c r="DG291" i="329" s="1"/>
  <c r="DB259" i="329"/>
  <c r="DB290" i="329" s="1"/>
  <c r="DA259" i="329"/>
  <c r="EW259" i="329" s="1"/>
  <c r="CZ259" i="329"/>
  <c r="CZ290" i="329" s="1"/>
  <c r="CX259" i="329"/>
  <c r="CX290" i="329" s="1"/>
  <c r="DB291" i="329" s="1"/>
  <c r="CW259" i="329"/>
  <c r="CW290" i="329" s="1"/>
  <c r="CV259" i="329"/>
  <c r="CV290" i="329" s="1"/>
  <c r="CV242" i="329" s="1"/>
  <c r="CU259" i="329"/>
  <c r="CU290" i="329" s="1"/>
  <c r="CT259" i="329"/>
  <c r="CT290" i="329" s="1"/>
  <c r="CT304" i="329" s="1"/>
  <c r="CS259" i="329"/>
  <c r="CO290" i="329" s="1"/>
  <c r="CR259" i="329"/>
  <c r="CQ259" i="329"/>
  <c r="CP259" i="329"/>
  <c r="CK259" i="329"/>
  <c r="CJ259" i="329"/>
  <c r="CI259" i="329"/>
  <c r="CI290" i="329" s="1"/>
  <c r="CH259" i="329"/>
  <c r="BY259" i="329"/>
  <c r="BY290" i="329" s="1"/>
  <c r="BX259" i="329"/>
  <c r="BW259" i="329"/>
  <c r="CE290" i="329" s="1"/>
  <c r="BV259" i="329"/>
  <c r="CD290" i="329" s="1"/>
  <c r="BU259" i="329"/>
  <c r="BU290" i="329" s="1"/>
  <c r="BT259" i="329"/>
  <c r="BS259" i="329"/>
  <c r="BR259" i="329"/>
  <c r="BR290" i="329" s="1"/>
  <c r="BQ259" i="329"/>
  <c r="BQ242" i="329" s="1"/>
  <c r="AJ259" i="329"/>
  <c r="AJ242" i="329" s="1"/>
  <c r="AI259" i="329"/>
  <c r="AI242" i="329" s="1"/>
  <c r="AH259" i="329"/>
  <c r="AH242" i="329" s="1"/>
  <c r="EN258" i="329"/>
  <c r="EM258" i="329"/>
  <c r="BN258" i="329" s="1"/>
  <c r="CY258" i="329"/>
  <c r="CY257" i="329"/>
  <c r="CY271" i="329" s="1"/>
  <c r="CY256" i="329"/>
  <c r="CY255" i="329"/>
  <c r="CY254" i="329"/>
  <c r="CZ268" i="329" s="1"/>
  <c r="CY253" i="329"/>
  <c r="CY252" i="329"/>
  <c r="CY266" i="329" s="1"/>
  <c r="CY251" i="329"/>
  <c r="CY250" i="329"/>
  <c r="BL258" i="329"/>
  <c r="BM258" i="329" s="1"/>
  <c r="EN256" i="329"/>
  <c r="BI256" i="329"/>
  <c r="BE254" i="329"/>
  <c r="EK254" i="329" s="1"/>
  <c r="BD253" i="329"/>
  <c r="BE253" i="329" s="1"/>
  <c r="EK253" i="329" s="1"/>
  <c r="BF253" i="329" s="1"/>
  <c r="BG253" i="329" s="1"/>
  <c r="BH253" i="329" s="1"/>
  <c r="BI253" i="329" s="1"/>
  <c r="EW258" i="329"/>
  <c r="EW257" i="329"/>
  <c r="EW256" i="329"/>
  <c r="EW255" i="329"/>
  <c r="EW254" i="329"/>
  <c r="EW253" i="329"/>
  <c r="EW252" i="329"/>
  <c r="EW251" i="329"/>
  <c r="EW250" i="329"/>
  <c r="AL250" i="329"/>
  <c r="AM250" i="329" s="1"/>
  <c r="AN250" i="329" s="1"/>
  <c r="AO250" i="329" s="1"/>
  <c r="EG250" i="329" s="1"/>
  <c r="AP250" i="329" s="1"/>
  <c r="AQ250" i="329" s="1"/>
  <c r="AR250" i="329" s="1"/>
  <c r="AS250" i="329" s="1"/>
  <c r="EH250" i="329" s="1"/>
  <c r="AT250" i="329" s="1"/>
  <c r="AU250" i="329" s="1"/>
  <c r="AV250" i="329" s="1"/>
  <c r="AW250" i="329" s="1"/>
  <c r="EI250" i="329" s="1"/>
  <c r="AX250" i="329" s="1"/>
  <c r="AY250" i="329" s="1"/>
  <c r="AZ250" i="329" s="1"/>
  <c r="BA250" i="329" s="1"/>
  <c r="EJ250" i="329" s="1"/>
  <c r="BB250" i="329" s="1"/>
  <c r="BC250" i="329" s="1"/>
  <c r="BD250" i="329" s="1"/>
  <c r="BE250" i="329" s="1"/>
  <c r="AK249" i="329"/>
  <c r="EN255" i="329"/>
  <c r="EN254" i="329"/>
  <c r="EN253" i="329"/>
  <c r="EN252" i="329"/>
  <c r="EM252" i="329"/>
  <c r="BN252" i="329" s="1"/>
  <c r="BO252" i="329" s="1"/>
  <c r="EN251" i="329"/>
  <c r="EN250" i="329"/>
  <c r="EN249" i="329"/>
  <c r="CY248" i="329"/>
  <c r="BL255" i="329"/>
  <c r="BM255" i="329" s="1"/>
  <c r="BL252" i="329"/>
  <c r="BM252" i="329" s="1"/>
  <c r="BL251" i="329"/>
  <c r="BM251" i="329" s="1"/>
  <c r="AX248" i="329"/>
  <c r="AY248" i="329" s="1"/>
  <c r="AZ248" i="329" s="1"/>
  <c r="BA248" i="329" s="1"/>
  <c r="EJ248" i="329" s="1"/>
  <c r="FG243" i="329"/>
  <c r="FF243" i="329"/>
  <c r="FE243" i="329"/>
  <c r="FD243" i="329"/>
  <c r="FC243" i="329"/>
  <c r="FB243" i="329"/>
  <c r="FA243" i="329"/>
  <c r="CI244" i="329"/>
  <c r="EE222" i="329"/>
  <c r="DE213" i="329"/>
  <c r="DD213" i="329"/>
  <c r="DC213" i="329"/>
  <c r="DB213" i="329"/>
  <c r="DA213" i="329"/>
  <c r="CZ213" i="329"/>
  <c r="CY213" i="329"/>
  <c r="CX213" i="329"/>
  <c r="CW213" i="329"/>
  <c r="CV213" i="329"/>
  <c r="CU213" i="329"/>
  <c r="CT213" i="329"/>
  <c r="CS213" i="329"/>
  <c r="CR213" i="329"/>
  <c r="CQ213" i="329"/>
  <c r="CP213" i="329"/>
  <c r="CO213" i="329"/>
  <c r="CN213" i="329"/>
  <c r="CM213" i="329"/>
  <c r="CL213" i="329"/>
  <c r="CK213" i="329"/>
  <c r="CJ213" i="329"/>
  <c r="CI213" i="329"/>
  <c r="CH213" i="329"/>
  <c r="CG213" i="329"/>
  <c r="CF213" i="329"/>
  <c r="CE213" i="329"/>
  <c r="CD213" i="329"/>
  <c r="CC213" i="329"/>
  <c r="CB213" i="329"/>
  <c r="CA213" i="329"/>
  <c r="BZ213" i="329"/>
  <c r="BY213" i="329"/>
  <c r="BX213" i="329"/>
  <c r="BW213" i="329"/>
  <c r="BV213" i="329"/>
  <c r="BU213" i="329"/>
  <c r="BT213" i="329"/>
  <c r="BS213" i="329"/>
  <c r="BR213" i="329"/>
  <c r="DE212" i="329"/>
  <c r="DD212" i="329"/>
  <c r="DC212" i="329"/>
  <c r="DB212" i="329"/>
  <c r="DA212" i="329"/>
  <c r="CZ212" i="329"/>
  <c r="CY212" i="329"/>
  <c r="CX212" i="329"/>
  <c r="CW212" i="329"/>
  <c r="CV212" i="329"/>
  <c r="CU212" i="329"/>
  <c r="CT212" i="329"/>
  <c r="CS212" i="329"/>
  <c r="CR212" i="329"/>
  <c r="CQ212" i="329"/>
  <c r="CP212" i="329"/>
  <c r="CO212" i="329"/>
  <c r="CN212" i="329"/>
  <c r="CM212" i="329"/>
  <c r="CL212" i="329"/>
  <c r="CK212" i="329"/>
  <c r="CJ212" i="329"/>
  <c r="CI212" i="329"/>
  <c r="CH212" i="329"/>
  <c r="CG212" i="329"/>
  <c r="CF212" i="329"/>
  <c r="CE212" i="329"/>
  <c r="CD212" i="329"/>
  <c r="CC212" i="329"/>
  <c r="CB212" i="329"/>
  <c r="CA212" i="329"/>
  <c r="BZ212" i="329"/>
  <c r="BY212" i="329"/>
  <c r="BX212" i="329"/>
  <c r="BW212" i="329"/>
  <c r="BV212" i="329"/>
  <c r="BU212" i="329"/>
  <c r="BT212" i="329"/>
  <c r="BS212" i="329"/>
  <c r="BR212" i="329"/>
  <c r="DE211" i="329"/>
  <c r="DD211" i="329"/>
  <c r="DC211" i="329"/>
  <c r="DB211" i="329"/>
  <c r="DA211" i="329"/>
  <c r="CZ211" i="329"/>
  <c r="CY211" i="329"/>
  <c r="CX211" i="329"/>
  <c r="CW211" i="329"/>
  <c r="CV211" i="329"/>
  <c r="CU211" i="329"/>
  <c r="CT211" i="329"/>
  <c r="CS211" i="329"/>
  <c r="CR211" i="329"/>
  <c r="CQ211" i="329"/>
  <c r="CP211" i="329"/>
  <c r="CO211" i="329"/>
  <c r="CN211" i="329"/>
  <c r="CM211" i="329"/>
  <c r="CL211" i="329"/>
  <c r="CK211" i="329"/>
  <c r="CJ211" i="329"/>
  <c r="CI211" i="329"/>
  <c r="CH211" i="329"/>
  <c r="CG211" i="329"/>
  <c r="CF211" i="329"/>
  <c r="CE211" i="329"/>
  <c r="CD211" i="329"/>
  <c r="CC211" i="329"/>
  <c r="CB211" i="329"/>
  <c r="CA211" i="329"/>
  <c r="BZ211" i="329"/>
  <c r="BY211" i="329"/>
  <c r="BX211" i="329"/>
  <c r="BW211" i="329"/>
  <c r="BV211" i="329"/>
  <c r="BU211" i="329"/>
  <c r="BT211" i="329"/>
  <c r="BS211" i="329"/>
  <c r="BR211" i="329"/>
  <c r="BQ212" i="329"/>
  <c r="BP212" i="329"/>
  <c r="BO212" i="329"/>
  <c r="BN212" i="329"/>
  <c r="BQ211" i="329"/>
  <c r="BP211" i="329"/>
  <c r="BO211" i="329"/>
  <c r="BN211" i="329"/>
  <c r="BM211" i="329"/>
  <c r="BL211" i="329"/>
  <c r="BK211" i="329"/>
  <c r="BJ211" i="329"/>
  <c r="DE208" i="329"/>
  <c r="DD208" i="329"/>
  <c r="DC208" i="329"/>
  <c r="DB208" i="329"/>
  <c r="DA208" i="329"/>
  <c r="CZ208" i="329"/>
  <c r="CY208" i="329"/>
  <c r="CX208" i="329"/>
  <c r="CW208" i="329"/>
  <c r="CV208" i="329"/>
  <c r="CU208" i="329"/>
  <c r="CT208" i="329"/>
  <c r="CS208" i="329"/>
  <c r="CR208" i="329"/>
  <c r="CQ208" i="329"/>
  <c r="CP208" i="329"/>
  <c r="CO208" i="329"/>
  <c r="CN208" i="329"/>
  <c r="CM208" i="329"/>
  <c r="CL208" i="329"/>
  <c r="CK208" i="329"/>
  <c r="CJ208" i="329"/>
  <c r="CI208" i="329"/>
  <c r="CH208" i="329"/>
  <c r="CG208" i="329"/>
  <c r="CF208" i="329"/>
  <c r="CE208" i="329"/>
  <c r="CD208" i="329"/>
  <c r="CC208" i="329"/>
  <c r="CB208" i="329"/>
  <c r="CA208" i="329"/>
  <c r="BZ208" i="329"/>
  <c r="BY208" i="329"/>
  <c r="BX208" i="329"/>
  <c r="BW208" i="329"/>
  <c r="BV208" i="329"/>
  <c r="BU208" i="329"/>
  <c r="BT208" i="329"/>
  <c r="BS208" i="329"/>
  <c r="BR208" i="329"/>
  <c r="DE207" i="329"/>
  <c r="DD207" i="329"/>
  <c r="DC207" i="329"/>
  <c r="DB207" i="329"/>
  <c r="DA207" i="329"/>
  <c r="CZ207" i="329"/>
  <c r="CY207" i="329"/>
  <c r="CX207" i="329"/>
  <c r="CW207" i="329"/>
  <c r="CV207" i="329"/>
  <c r="CU207" i="329"/>
  <c r="CT207" i="329"/>
  <c r="CS207" i="329"/>
  <c r="CR207" i="329"/>
  <c r="CQ207" i="329"/>
  <c r="CP207" i="329"/>
  <c r="CO207" i="329"/>
  <c r="CN207" i="329"/>
  <c r="CM207" i="329"/>
  <c r="CL207" i="329"/>
  <c r="CK207" i="329"/>
  <c r="CJ207" i="329"/>
  <c r="CI207" i="329"/>
  <c r="CH207" i="329"/>
  <c r="CG207" i="329"/>
  <c r="CF207" i="329"/>
  <c r="CE207" i="329"/>
  <c r="CD207" i="329"/>
  <c r="CC207" i="329"/>
  <c r="CB207" i="329"/>
  <c r="CA207" i="329"/>
  <c r="BZ207" i="329"/>
  <c r="BY207" i="329"/>
  <c r="BX207" i="329"/>
  <c r="BW207" i="329"/>
  <c r="BV207" i="329"/>
  <c r="BU207" i="329"/>
  <c r="BT207" i="329"/>
  <c r="BS207" i="329"/>
  <c r="BR207" i="329"/>
  <c r="DE206" i="329"/>
  <c r="DD206" i="329"/>
  <c r="DC206" i="329"/>
  <c r="DB206" i="329"/>
  <c r="DA206" i="329"/>
  <c r="CZ206" i="329"/>
  <c r="CY206" i="329"/>
  <c r="CX206" i="329"/>
  <c r="CW206" i="329"/>
  <c r="CV206" i="329"/>
  <c r="CU206" i="329"/>
  <c r="CT206" i="329"/>
  <c r="CS206" i="329"/>
  <c r="CR206" i="329"/>
  <c r="CQ206" i="329"/>
  <c r="CP206" i="329"/>
  <c r="CO206" i="329"/>
  <c r="CN206" i="329"/>
  <c r="CM206" i="329"/>
  <c r="CL206" i="329"/>
  <c r="CK206" i="329"/>
  <c r="CJ206" i="329"/>
  <c r="CI206" i="329"/>
  <c r="CH206" i="329"/>
  <c r="CG206" i="329"/>
  <c r="CF206" i="329"/>
  <c r="CE206" i="329"/>
  <c r="CD206" i="329"/>
  <c r="CC206" i="329"/>
  <c r="CB206" i="329"/>
  <c r="CA206" i="329"/>
  <c r="BZ206" i="329"/>
  <c r="BY206" i="329"/>
  <c r="BX206" i="329"/>
  <c r="BW206" i="329"/>
  <c r="BV206" i="329"/>
  <c r="BU206" i="329"/>
  <c r="BT206" i="329"/>
  <c r="BS206" i="329"/>
  <c r="BR206" i="329"/>
  <c r="BQ207" i="329"/>
  <c r="BP207" i="329"/>
  <c r="BO207" i="329"/>
  <c r="BN207" i="329"/>
  <c r="BQ206" i="329"/>
  <c r="BP206" i="329"/>
  <c r="BO206" i="329"/>
  <c r="BN206" i="329"/>
  <c r="BM206" i="329"/>
  <c r="BL206" i="329"/>
  <c r="BK206" i="329"/>
  <c r="BJ206" i="329"/>
  <c r="DE203" i="329"/>
  <c r="DD203" i="329"/>
  <c r="DC203" i="329"/>
  <c r="DB203" i="329"/>
  <c r="DA203" i="329"/>
  <c r="CZ203" i="329"/>
  <c r="CY203" i="329"/>
  <c r="CX203" i="329"/>
  <c r="CW203" i="329"/>
  <c r="CV203" i="329"/>
  <c r="CU203" i="329"/>
  <c r="CT203" i="329"/>
  <c r="CS203" i="329"/>
  <c r="CR203" i="329"/>
  <c r="CQ203" i="329"/>
  <c r="CP203" i="329"/>
  <c r="CO203" i="329"/>
  <c r="CN203" i="329"/>
  <c r="CM203" i="329"/>
  <c r="CL203" i="329"/>
  <c r="CK203" i="329"/>
  <c r="CJ203" i="329"/>
  <c r="CI203" i="329"/>
  <c r="CH203" i="329"/>
  <c r="CG203" i="329"/>
  <c r="CF203" i="329"/>
  <c r="CE203" i="329"/>
  <c r="CD203" i="329"/>
  <c r="CC203" i="329"/>
  <c r="CB203" i="329"/>
  <c r="CA203" i="329"/>
  <c r="BZ203" i="329"/>
  <c r="BY203" i="329"/>
  <c r="BX203" i="329"/>
  <c r="BW203" i="329"/>
  <c r="BV203" i="329"/>
  <c r="BU203" i="329"/>
  <c r="BT203" i="329"/>
  <c r="BS203" i="329"/>
  <c r="BR203" i="329"/>
  <c r="DE202" i="329"/>
  <c r="DD202" i="329"/>
  <c r="DC202" i="329"/>
  <c r="DB202" i="329"/>
  <c r="DA202" i="329"/>
  <c r="CZ202" i="329"/>
  <c r="CY202" i="329"/>
  <c r="CX202" i="329"/>
  <c r="CW202" i="329"/>
  <c r="CV202" i="329"/>
  <c r="CU202" i="329"/>
  <c r="CT202" i="329"/>
  <c r="CS202" i="329"/>
  <c r="CR202" i="329"/>
  <c r="CQ202" i="329"/>
  <c r="CP202" i="329"/>
  <c r="CO202" i="329"/>
  <c r="CN202" i="329"/>
  <c r="CM202" i="329"/>
  <c r="CL202" i="329"/>
  <c r="CK202" i="329"/>
  <c r="CJ202" i="329"/>
  <c r="CI202" i="329"/>
  <c r="CH202" i="329"/>
  <c r="CG202" i="329"/>
  <c r="CF202" i="329"/>
  <c r="CE202" i="329"/>
  <c r="CD202" i="329"/>
  <c r="CC202" i="329"/>
  <c r="CB202" i="329"/>
  <c r="CA202" i="329"/>
  <c r="BZ202" i="329"/>
  <c r="BY202" i="329"/>
  <c r="BX202" i="329"/>
  <c r="BW202" i="329"/>
  <c r="BV202" i="329"/>
  <c r="BU202" i="329"/>
  <c r="BT202" i="329"/>
  <c r="BS202" i="329"/>
  <c r="BR202" i="329"/>
  <c r="DE201" i="329"/>
  <c r="DD201" i="329"/>
  <c r="DC201" i="329"/>
  <c r="DB201" i="329"/>
  <c r="DA201" i="329"/>
  <c r="CZ201" i="329"/>
  <c r="CY201" i="329"/>
  <c r="CX201" i="329"/>
  <c r="CW201" i="329"/>
  <c r="CV201" i="329"/>
  <c r="CU201" i="329"/>
  <c r="CT201" i="329"/>
  <c r="CS201" i="329"/>
  <c r="CR201" i="329"/>
  <c r="CQ201" i="329"/>
  <c r="CP201" i="329"/>
  <c r="CO201" i="329"/>
  <c r="CN201" i="329"/>
  <c r="CM201" i="329"/>
  <c r="CL201" i="329"/>
  <c r="CK201" i="329"/>
  <c r="CJ201" i="329"/>
  <c r="CI201" i="329"/>
  <c r="CH201" i="329"/>
  <c r="CG201" i="329"/>
  <c r="CF201" i="329"/>
  <c r="CE201" i="329"/>
  <c r="CD201" i="329"/>
  <c r="CC201" i="329"/>
  <c r="CB201" i="329"/>
  <c r="CA201" i="329"/>
  <c r="BZ201" i="329"/>
  <c r="BY201" i="329"/>
  <c r="BX201" i="329"/>
  <c r="BW201" i="329"/>
  <c r="BV201" i="329"/>
  <c r="BU201" i="329"/>
  <c r="BT201" i="329"/>
  <c r="BS201" i="329"/>
  <c r="BR201" i="329"/>
  <c r="BQ202" i="329"/>
  <c r="BP202" i="329"/>
  <c r="BO202" i="329"/>
  <c r="BN202" i="329"/>
  <c r="BQ201" i="329"/>
  <c r="BP201" i="329"/>
  <c r="BO201" i="329"/>
  <c r="BN201" i="329"/>
  <c r="BM201" i="329"/>
  <c r="BL201" i="329"/>
  <c r="BK201" i="329"/>
  <c r="BJ201" i="329"/>
  <c r="ER197" i="329"/>
  <c r="ER196" i="329"/>
  <c r="EV196" i="329"/>
  <c r="EU196" i="329"/>
  <c r="DE198" i="329"/>
  <c r="DD198" i="329"/>
  <c r="DC198" i="329"/>
  <c r="DB198" i="329"/>
  <c r="DA198" i="329"/>
  <c r="CZ198" i="329"/>
  <c r="CY198" i="329"/>
  <c r="CX198" i="329"/>
  <c r="CW198" i="329"/>
  <c r="CV198" i="329"/>
  <c r="CU198" i="329"/>
  <c r="CT198" i="329"/>
  <c r="CS198" i="329"/>
  <c r="CR198" i="329"/>
  <c r="CQ198" i="329"/>
  <c r="CP198" i="329"/>
  <c r="CO198" i="329"/>
  <c r="CN198" i="329"/>
  <c r="CM198" i="329"/>
  <c r="CL198" i="329"/>
  <c r="CK198" i="329"/>
  <c r="CJ198" i="329"/>
  <c r="CI198" i="329"/>
  <c r="CH198" i="329"/>
  <c r="CG198" i="329"/>
  <c r="CF198" i="329"/>
  <c r="CE198" i="329"/>
  <c r="CD198" i="329"/>
  <c r="CC198" i="329"/>
  <c r="CB198" i="329"/>
  <c r="CA198" i="329"/>
  <c r="BZ198" i="329"/>
  <c r="BY198" i="329"/>
  <c r="BX198" i="329"/>
  <c r="BW198" i="329"/>
  <c r="BV198" i="329"/>
  <c r="BU198" i="329"/>
  <c r="BT198" i="329"/>
  <c r="BS198" i="329"/>
  <c r="BR198" i="329"/>
  <c r="DE197" i="329"/>
  <c r="DD197" i="329"/>
  <c r="DC197" i="329"/>
  <c r="DB197" i="329"/>
  <c r="DA197" i="329"/>
  <c r="CZ197" i="329"/>
  <c r="CY197" i="329"/>
  <c r="CX197" i="329"/>
  <c r="CW197" i="329"/>
  <c r="CV197" i="329"/>
  <c r="CU197" i="329"/>
  <c r="CT197" i="329"/>
  <c r="CS197" i="329"/>
  <c r="CR197" i="329"/>
  <c r="CQ197" i="329"/>
  <c r="CP197" i="329"/>
  <c r="CO197" i="329"/>
  <c r="CN197" i="329"/>
  <c r="CM197" i="329"/>
  <c r="CL197" i="329"/>
  <c r="CK197" i="329"/>
  <c r="CJ197" i="329"/>
  <c r="CI197" i="329"/>
  <c r="CH197" i="329"/>
  <c r="CG197" i="329"/>
  <c r="CF197" i="329"/>
  <c r="CE197" i="329"/>
  <c r="CD197" i="329"/>
  <c r="CC197" i="329"/>
  <c r="CB197" i="329"/>
  <c r="CA197" i="329"/>
  <c r="BZ197" i="329"/>
  <c r="BY197" i="329"/>
  <c r="BX197" i="329"/>
  <c r="BW197" i="329"/>
  <c r="BV197" i="329"/>
  <c r="BU197" i="329"/>
  <c r="BT197" i="329"/>
  <c r="BS197" i="329"/>
  <c r="BR197" i="329"/>
  <c r="DE196" i="329"/>
  <c r="DD196" i="329"/>
  <c r="DC196" i="329"/>
  <c r="DB196" i="329"/>
  <c r="DA196" i="329"/>
  <c r="CZ196" i="329"/>
  <c r="CY196" i="329"/>
  <c r="CX196" i="329"/>
  <c r="CW196" i="329"/>
  <c r="CV196" i="329"/>
  <c r="CU196" i="329"/>
  <c r="CT196" i="329"/>
  <c r="CS196" i="329"/>
  <c r="CR196" i="329"/>
  <c r="CQ196" i="329"/>
  <c r="CP196" i="329"/>
  <c r="CO196" i="329"/>
  <c r="CN196" i="329"/>
  <c r="CM196" i="329"/>
  <c r="CL196" i="329"/>
  <c r="CK196" i="329"/>
  <c r="CJ196" i="329"/>
  <c r="CI196" i="329"/>
  <c r="CH196" i="329"/>
  <c r="CG196" i="329"/>
  <c r="CF196" i="329"/>
  <c r="CE196" i="329"/>
  <c r="CD196" i="329"/>
  <c r="CC196" i="329"/>
  <c r="CB196" i="329"/>
  <c r="CA196" i="329"/>
  <c r="BZ196" i="329"/>
  <c r="BY196" i="329"/>
  <c r="BX196" i="329"/>
  <c r="BW196" i="329"/>
  <c r="BV196" i="329"/>
  <c r="BU196" i="329"/>
  <c r="BT196" i="329"/>
  <c r="BS196" i="329"/>
  <c r="BR196" i="329"/>
  <c r="BQ197" i="329"/>
  <c r="BP197" i="329"/>
  <c r="BO197" i="329"/>
  <c r="BN197" i="329"/>
  <c r="BQ196" i="329"/>
  <c r="BP196" i="329"/>
  <c r="BO196" i="329"/>
  <c r="BN196" i="329"/>
  <c r="BM196" i="329"/>
  <c r="BL196" i="329"/>
  <c r="BK196" i="329"/>
  <c r="BJ196" i="329"/>
  <c r="DE193" i="329"/>
  <c r="DD193" i="329"/>
  <c r="DC193" i="329"/>
  <c r="DB193" i="329"/>
  <c r="DA193" i="329"/>
  <c r="CZ193" i="329"/>
  <c r="CY193" i="329"/>
  <c r="CX193" i="329"/>
  <c r="CW193" i="329"/>
  <c r="CV193" i="329"/>
  <c r="CU193" i="329"/>
  <c r="CT193" i="329"/>
  <c r="CS193" i="329"/>
  <c r="CR193" i="329"/>
  <c r="CQ193" i="329"/>
  <c r="CP193" i="329"/>
  <c r="CO193" i="329"/>
  <c r="CN193" i="329"/>
  <c r="CM193" i="329"/>
  <c r="CL193" i="329"/>
  <c r="CK193" i="329"/>
  <c r="CJ193" i="329"/>
  <c r="CI193" i="329"/>
  <c r="CH193" i="329"/>
  <c r="CG193" i="329"/>
  <c r="CF193" i="329"/>
  <c r="CE193" i="329"/>
  <c r="CD193" i="329"/>
  <c r="CC193" i="329"/>
  <c r="CB193" i="329"/>
  <c r="CA193" i="329"/>
  <c r="BZ193" i="329"/>
  <c r="BY193" i="329"/>
  <c r="BX193" i="329"/>
  <c r="BW193" i="329"/>
  <c r="BV193" i="329"/>
  <c r="BU193" i="329"/>
  <c r="BT193" i="329"/>
  <c r="BS193" i="329"/>
  <c r="BR193" i="329"/>
  <c r="DE192" i="329"/>
  <c r="DD192" i="329"/>
  <c r="DC192" i="329"/>
  <c r="DB192" i="329"/>
  <c r="DA192" i="329"/>
  <c r="CZ192" i="329"/>
  <c r="CY192" i="329"/>
  <c r="CX192" i="329"/>
  <c r="CW192" i="329"/>
  <c r="CV192" i="329"/>
  <c r="CU192" i="329"/>
  <c r="CT192" i="329"/>
  <c r="CS192" i="329"/>
  <c r="CR192" i="329"/>
  <c r="CQ192" i="329"/>
  <c r="CP192" i="329"/>
  <c r="CO192" i="329"/>
  <c r="CN192" i="329"/>
  <c r="CM192" i="329"/>
  <c r="CL192" i="329"/>
  <c r="CK192" i="329"/>
  <c r="CJ192" i="329"/>
  <c r="CI192" i="329"/>
  <c r="CH192" i="329"/>
  <c r="CG192" i="329"/>
  <c r="CF192" i="329"/>
  <c r="CE192" i="329"/>
  <c r="CD192" i="329"/>
  <c r="CC192" i="329"/>
  <c r="CB192" i="329"/>
  <c r="CA192" i="329"/>
  <c r="BZ192" i="329"/>
  <c r="BY192" i="329"/>
  <c r="BX192" i="329"/>
  <c r="BW192" i="329"/>
  <c r="BV192" i="329"/>
  <c r="BU192" i="329"/>
  <c r="BT192" i="329"/>
  <c r="BS192" i="329"/>
  <c r="BR192" i="329"/>
  <c r="DE191" i="329"/>
  <c r="DD191" i="329"/>
  <c r="DC191" i="329"/>
  <c r="DB191" i="329"/>
  <c r="DA191" i="329"/>
  <c r="CZ191" i="329"/>
  <c r="CY191" i="329"/>
  <c r="CX191" i="329"/>
  <c r="CW191" i="329"/>
  <c r="CV191" i="329"/>
  <c r="CU191" i="329"/>
  <c r="CT191" i="329"/>
  <c r="CS191" i="329"/>
  <c r="CR191" i="329"/>
  <c r="CQ191" i="329"/>
  <c r="CP191" i="329"/>
  <c r="CO191" i="329"/>
  <c r="CN191" i="329"/>
  <c r="CM191" i="329"/>
  <c r="CL191" i="329"/>
  <c r="CK191" i="329"/>
  <c r="CJ191" i="329"/>
  <c r="CI191" i="329"/>
  <c r="CH191" i="329"/>
  <c r="CG191" i="329"/>
  <c r="CF191" i="329"/>
  <c r="CE191" i="329"/>
  <c r="CD191" i="329"/>
  <c r="CC191" i="329"/>
  <c r="CB191" i="329"/>
  <c r="CA191" i="329"/>
  <c r="BZ191" i="329"/>
  <c r="BY191" i="329"/>
  <c r="BX191" i="329"/>
  <c r="BW191" i="329"/>
  <c r="BV191" i="329"/>
  <c r="BU191" i="329"/>
  <c r="BT191" i="329"/>
  <c r="BS191" i="329"/>
  <c r="BR191" i="329"/>
  <c r="BQ192" i="329"/>
  <c r="BP192" i="329"/>
  <c r="BO192" i="329"/>
  <c r="BN192" i="329"/>
  <c r="BQ191" i="329"/>
  <c r="BP191" i="329"/>
  <c r="BO191" i="329"/>
  <c r="BN191" i="329"/>
  <c r="BM191" i="329"/>
  <c r="BL191" i="329"/>
  <c r="BK191" i="329"/>
  <c r="BJ191" i="329"/>
  <c r="EM187" i="329"/>
  <c r="EL187" i="329"/>
  <c r="EK187" i="329"/>
  <c r="EJ187" i="329"/>
  <c r="DC187" i="329"/>
  <c r="DB187" i="329"/>
  <c r="DA187" i="329"/>
  <c r="CZ187" i="329"/>
  <c r="CC187" i="329"/>
  <c r="CB187" i="329"/>
  <c r="CA187" i="329"/>
  <c r="BZ187" i="329"/>
  <c r="BM187" i="329"/>
  <c r="BL187" i="329"/>
  <c r="BK187" i="329"/>
  <c r="BJ187" i="329"/>
  <c r="BF187" i="329"/>
  <c r="BC187" i="329"/>
  <c r="DM187" i="329"/>
  <c r="DI217" i="329"/>
  <c r="DD187" i="329"/>
  <c r="FB161" i="329"/>
  <c r="FB162" i="329" s="1"/>
  <c r="FG154" i="329"/>
  <c r="FF154" i="329"/>
  <c r="FE154" i="329"/>
  <c r="FD154" i="329"/>
  <c r="FC154" i="329"/>
  <c r="AW148" i="329"/>
  <c r="AV148" i="329"/>
  <c r="AU148" i="329"/>
  <c r="AT148" i="329"/>
  <c r="AS148" i="329"/>
  <c r="AR148" i="329"/>
  <c r="AQ148" i="329"/>
  <c r="AP148" i="329"/>
  <c r="AO148" i="329"/>
  <c r="AN148" i="329"/>
  <c r="AM148" i="329"/>
  <c r="AL148" i="329"/>
  <c r="AJ148" i="329"/>
  <c r="AI148" i="329"/>
  <c r="AH148" i="329"/>
  <c r="AF148" i="329"/>
  <c r="AE148" i="329"/>
  <c r="AD148" i="329"/>
  <c r="AC148" i="329"/>
  <c r="AB148" i="329"/>
  <c r="AA148" i="329"/>
  <c r="Z148" i="329"/>
  <c r="Y148" i="329"/>
  <c r="X148" i="329"/>
  <c r="W148" i="329"/>
  <c r="V148" i="329"/>
  <c r="U148" i="329"/>
  <c r="T148" i="329"/>
  <c r="S148" i="329"/>
  <c r="R148" i="329"/>
  <c r="Q148" i="329"/>
  <c r="P148" i="329"/>
  <c r="O148" i="329"/>
  <c r="N148" i="329"/>
  <c r="M148" i="329"/>
  <c r="L148" i="329"/>
  <c r="K148" i="329"/>
  <c r="J148" i="329"/>
  <c r="I148" i="329"/>
  <c r="H148" i="329"/>
  <c r="G148" i="329"/>
  <c r="F148" i="329"/>
  <c r="EI147" i="329"/>
  <c r="EI139" i="329" s="1"/>
  <c r="EJ138" i="329" s="1"/>
  <c r="EH147" i="329"/>
  <c r="EG147" i="329"/>
  <c r="EF147" i="329"/>
  <c r="EF139" i="329" s="1"/>
  <c r="EG138" i="329" s="1"/>
  <c r="ED147" i="329"/>
  <c r="ED139" i="329" s="1"/>
  <c r="EE138" i="329" s="1"/>
  <c r="EE140" i="329" s="1"/>
  <c r="EC147" i="329"/>
  <c r="EB147" i="329"/>
  <c r="EA147" i="329"/>
  <c r="DZ147" i="329"/>
  <c r="DZ139" i="329" s="1"/>
  <c r="EA138" i="329" s="1"/>
  <c r="EA140" i="329" s="1"/>
  <c r="DY147" i="329"/>
  <c r="DX147" i="329"/>
  <c r="DW147" i="329"/>
  <c r="DW101" i="329" s="1"/>
  <c r="DV147" i="329"/>
  <c r="DV139" i="329" s="1"/>
  <c r="DW138" i="329" s="1"/>
  <c r="DW140" i="329" s="1"/>
  <c r="DU147" i="329"/>
  <c r="DU393" i="329" s="1"/>
  <c r="DU147" i="2" s="1"/>
  <c r="DT147" i="329"/>
  <c r="DT101" i="329" s="1"/>
  <c r="DS147" i="329"/>
  <c r="DR147" i="329"/>
  <c r="DR139" i="329" s="1"/>
  <c r="DS138" i="329" s="1"/>
  <c r="DS140" i="329" s="1"/>
  <c r="DS142" i="329" s="1"/>
  <c r="DQ147" i="329"/>
  <c r="DP147" i="329"/>
  <c r="CW147" i="329"/>
  <c r="CV147" i="329"/>
  <c r="CV139" i="329" s="1"/>
  <c r="CZ138" i="329" s="1"/>
  <c r="CZ137" i="329" s="1"/>
  <c r="CZ111" i="329" s="1"/>
  <c r="CU147" i="329"/>
  <c r="CT147" i="329"/>
  <c r="CS147" i="329"/>
  <c r="CS125" i="329" s="1"/>
  <c r="CR147" i="329"/>
  <c r="CR125" i="329" s="1"/>
  <c r="CQ147" i="329"/>
  <c r="CP147" i="329"/>
  <c r="CO147" i="329"/>
  <c r="CN147" i="329"/>
  <c r="CM147" i="329"/>
  <c r="CL147" i="329"/>
  <c r="CK147" i="329"/>
  <c r="CJ147" i="329"/>
  <c r="CI147" i="329"/>
  <c r="CH147" i="329"/>
  <c r="CG147" i="329"/>
  <c r="CF147" i="329"/>
  <c r="CE147" i="329"/>
  <c r="CD147" i="329"/>
  <c r="CC147" i="329"/>
  <c r="CC176" i="329" s="1"/>
  <c r="CB147" i="329"/>
  <c r="CA147" i="329"/>
  <c r="BZ147" i="329"/>
  <c r="BY147" i="329"/>
  <c r="BX147" i="329"/>
  <c r="BW147" i="329"/>
  <c r="BV147" i="329"/>
  <c r="BU147" i="329"/>
  <c r="BT147" i="329"/>
  <c r="BS147" i="329"/>
  <c r="BR147" i="329"/>
  <c r="BQ147" i="329"/>
  <c r="BP147" i="329"/>
  <c r="BO147" i="329"/>
  <c r="BN147" i="329"/>
  <c r="BN176" i="329" s="1"/>
  <c r="BM147" i="329"/>
  <c r="BL147" i="329"/>
  <c r="BK147" i="329"/>
  <c r="BJ147" i="329"/>
  <c r="BI147" i="329"/>
  <c r="BI125" i="329" s="1"/>
  <c r="BH147" i="329"/>
  <c r="BG147" i="329"/>
  <c r="BG125" i="329" s="1"/>
  <c r="BF147" i="329"/>
  <c r="BE147" i="329"/>
  <c r="BD147" i="329"/>
  <c r="BC147" i="329"/>
  <c r="BB147" i="329"/>
  <c r="BA147" i="329"/>
  <c r="BA125" i="329" s="1"/>
  <c r="AZ147" i="329"/>
  <c r="AZ148" i="329" s="1"/>
  <c r="AY147" i="329"/>
  <c r="AX147" i="329"/>
  <c r="AG147" i="329"/>
  <c r="AG139" i="329" s="1"/>
  <c r="AK138" i="329" s="1"/>
  <c r="AK137" i="329" s="1"/>
  <c r="AK111" i="329" s="1"/>
  <c r="DC135" i="329"/>
  <c r="DB135" i="329"/>
  <c r="DA135" i="329"/>
  <c r="CZ135" i="329"/>
  <c r="CY135" i="329"/>
  <c r="CX135" i="329"/>
  <c r="CW135" i="329"/>
  <c r="CV135" i="329"/>
  <c r="CU135" i="329"/>
  <c r="CT135" i="329"/>
  <c r="DC134" i="329"/>
  <c r="DB134" i="329"/>
  <c r="DA134" i="329"/>
  <c r="CZ134" i="329"/>
  <c r="CY134" i="329"/>
  <c r="CX134" i="329"/>
  <c r="CW134" i="329"/>
  <c r="CV134" i="329"/>
  <c r="CU134" i="329"/>
  <c r="CT134" i="329"/>
  <c r="CS134" i="329"/>
  <c r="CR134" i="329"/>
  <c r="CQ134" i="329"/>
  <c r="CP134" i="329"/>
  <c r="FG132" i="329"/>
  <c r="FF132" i="329"/>
  <c r="FE132" i="329"/>
  <c r="FD132" i="329"/>
  <c r="FC132" i="329"/>
  <c r="FB132" i="329"/>
  <c r="FA132" i="329"/>
  <c r="BY129" i="329"/>
  <c r="BX129" i="329"/>
  <c r="BW129" i="329"/>
  <c r="BV129" i="329"/>
  <c r="FG130" i="329"/>
  <c r="FF130" i="329"/>
  <c r="FE130" i="329"/>
  <c r="FD130" i="329"/>
  <c r="FC130" i="329"/>
  <c r="FB130" i="329"/>
  <c r="FA130" i="329"/>
  <c r="FG129" i="329"/>
  <c r="FF129" i="329"/>
  <c r="FE129" i="329"/>
  <c r="FD129" i="329"/>
  <c r="FC129" i="329"/>
  <c r="FB129" i="329"/>
  <c r="EV128" i="329"/>
  <c r="EU128" i="329"/>
  <c r="DC128" i="329"/>
  <c r="DG128" i="329" s="1"/>
  <c r="DK128" i="329" s="1"/>
  <c r="DB128" i="329"/>
  <c r="DA128" i="329"/>
  <c r="CZ128" i="329"/>
  <c r="CO128" i="329"/>
  <c r="CN128" i="329"/>
  <c r="CM128" i="329"/>
  <c r="CI128" i="329" s="1"/>
  <c r="CL128" i="329"/>
  <c r="CH128" i="329" s="1"/>
  <c r="DW126" i="329"/>
  <c r="DV126" i="329"/>
  <c r="DU126" i="329"/>
  <c r="DT126" i="329"/>
  <c r="DS126" i="329"/>
  <c r="DR126" i="329"/>
  <c r="DQ126" i="329"/>
  <c r="AW125" i="329"/>
  <c r="AV125" i="329"/>
  <c r="AU125" i="329"/>
  <c r="AT125" i="329"/>
  <c r="AS125" i="329"/>
  <c r="AR125" i="329"/>
  <c r="AQ125" i="329"/>
  <c r="AP125" i="329"/>
  <c r="AO125" i="329"/>
  <c r="AN125" i="329"/>
  <c r="AM125" i="329"/>
  <c r="AL125" i="329"/>
  <c r="AK125" i="329"/>
  <c r="AJ125" i="329"/>
  <c r="AI125" i="329"/>
  <c r="AH125" i="329"/>
  <c r="AF125" i="329"/>
  <c r="AE125" i="329"/>
  <c r="AD125" i="329"/>
  <c r="AC125" i="329"/>
  <c r="AB125" i="329"/>
  <c r="AA125" i="329"/>
  <c r="Z125" i="329"/>
  <c r="Y125" i="329"/>
  <c r="X125" i="329"/>
  <c r="W125" i="329"/>
  <c r="V125" i="329"/>
  <c r="U125" i="329"/>
  <c r="T125" i="329"/>
  <c r="S125" i="329"/>
  <c r="R125" i="329"/>
  <c r="Q125" i="329"/>
  <c r="P125" i="329"/>
  <c r="O125" i="329"/>
  <c r="N125" i="329"/>
  <c r="M125" i="329"/>
  <c r="L125" i="329"/>
  <c r="K125" i="329"/>
  <c r="J125" i="329"/>
  <c r="I125" i="329"/>
  <c r="H125" i="329"/>
  <c r="H101" i="329" s="1"/>
  <c r="G125" i="329"/>
  <c r="F125" i="329"/>
  <c r="E125" i="329"/>
  <c r="E101" i="329" s="1"/>
  <c r="D125" i="329"/>
  <c r="D101" i="329" s="1"/>
  <c r="C125" i="329"/>
  <c r="C101" i="329" s="1"/>
  <c r="B125" i="329"/>
  <c r="B101" i="329" s="1"/>
  <c r="FB123" i="329"/>
  <c r="FC123" i="329" s="1"/>
  <c r="FD123" i="329" s="1"/>
  <c r="FE123" i="329" s="1"/>
  <c r="FF123" i="329" s="1"/>
  <c r="FG123" i="329" s="1"/>
  <c r="FH123" i="329" s="1"/>
  <c r="EE116" i="329"/>
  <c r="EB116" i="329"/>
  <c r="EA116" i="329"/>
  <c r="DZ116" i="329"/>
  <c r="FG114" i="329"/>
  <c r="FF114" i="329"/>
  <c r="FE114" i="329"/>
  <c r="FD114" i="329"/>
  <c r="FC114" i="329"/>
  <c r="FB114" i="329"/>
  <c r="FA114" i="329"/>
  <c r="FG112" i="329"/>
  <c r="FF112" i="329"/>
  <c r="FE112" i="329"/>
  <c r="FD112" i="329"/>
  <c r="FC112" i="329"/>
  <c r="FB112" i="329"/>
  <c r="FA112" i="329"/>
  <c r="FG111" i="329"/>
  <c r="FF111" i="329"/>
  <c r="FF137" i="329" s="1"/>
  <c r="FE111" i="329"/>
  <c r="FE137" i="329" s="1"/>
  <c r="FD111" i="329"/>
  <c r="FD137" i="329" s="1"/>
  <c r="FC111" i="329"/>
  <c r="FB111" i="329"/>
  <c r="FA111" i="329"/>
  <c r="FA137" i="329" s="1"/>
  <c r="ET111" i="329"/>
  <c r="ES111" i="329"/>
  <c r="EQ111" i="329"/>
  <c r="EO111" i="329"/>
  <c r="EN111" i="329"/>
  <c r="EM111" i="329"/>
  <c r="EL111" i="329"/>
  <c r="EL222" i="329" s="1"/>
  <c r="EK111" i="329"/>
  <c r="EJ111" i="329"/>
  <c r="EJ222" i="329" s="1"/>
  <c r="M92" i="329"/>
  <c r="M90" i="329"/>
  <c r="L90" i="329"/>
  <c r="K90" i="329"/>
  <c r="I90" i="329"/>
  <c r="H90" i="329"/>
  <c r="G90" i="329"/>
  <c r="E90" i="329"/>
  <c r="D90" i="329"/>
  <c r="C90" i="329"/>
  <c r="B90" i="329"/>
  <c r="DR89" i="329"/>
  <c r="M89" i="329"/>
  <c r="L89" i="329"/>
  <c r="K89" i="329"/>
  <c r="J89" i="329"/>
  <c r="I89" i="329"/>
  <c r="H89" i="329"/>
  <c r="G89" i="329"/>
  <c r="F89" i="329"/>
  <c r="E89" i="329"/>
  <c r="D89" i="329"/>
  <c r="C89" i="329"/>
  <c r="B89" i="329"/>
  <c r="FG90" i="329"/>
  <c r="FF90" i="329"/>
  <c r="FE90" i="329"/>
  <c r="FD90" i="329"/>
  <c r="FC90" i="329"/>
  <c r="FB90" i="329"/>
  <c r="FA90" i="329"/>
  <c r="EC90" i="329"/>
  <c r="EB90" i="329"/>
  <c r="EA90" i="329"/>
  <c r="DW90" i="329"/>
  <c r="DV90" i="329"/>
  <c r="DU90" i="329"/>
  <c r="DT90" i="329"/>
  <c r="DS90" i="329"/>
  <c r="DW89" i="329"/>
  <c r="DV89" i="329"/>
  <c r="DU89" i="329"/>
  <c r="DT89" i="329"/>
  <c r="DS89" i="329"/>
  <c r="DW88" i="329"/>
  <c r="DV88" i="329"/>
  <c r="DU88" i="329"/>
  <c r="DT88" i="329"/>
  <c r="DS88" i="329"/>
  <c r="M88" i="329"/>
  <c r="L88" i="329"/>
  <c r="K88" i="329"/>
  <c r="J88" i="329"/>
  <c r="I88" i="329"/>
  <c r="H88" i="329"/>
  <c r="G88" i="329"/>
  <c r="F88" i="329"/>
  <c r="DZ87" i="329"/>
  <c r="DZ96" i="329" s="1"/>
  <c r="DY87" i="329"/>
  <c r="DX87" i="329"/>
  <c r="N87" i="329"/>
  <c r="DC85" i="329"/>
  <c r="BV85" i="329"/>
  <c r="BT85" i="329"/>
  <c r="BS85" i="329"/>
  <c r="BR85" i="329"/>
  <c r="BQ85" i="329"/>
  <c r="BP85" i="329"/>
  <c r="BP92" i="329" s="1"/>
  <c r="BO85" i="329"/>
  <c r="BO92" i="329" s="1"/>
  <c r="BN85" i="329"/>
  <c r="BN92" i="329" s="1"/>
  <c r="BM85" i="329"/>
  <c r="BM92" i="329" s="1"/>
  <c r="BL85" i="329"/>
  <c r="BL92" i="329" s="1"/>
  <c r="BK85" i="329"/>
  <c r="BJ85" i="329"/>
  <c r="BJ92" i="329" s="1"/>
  <c r="BI85" i="329"/>
  <c r="BH85" i="329"/>
  <c r="BH92" i="329" s="1"/>
  <c r="BG85" i="329"/>
  <c r="BG92" i="329" s="1"/>
  <c r="BF85" i="329"/>
  <c r="BF92" i="329" s="1"/>
  <c r="BE85" i="329"/>
  <c r="BD85" i="329"/>
  <c r="BD92" i="329" s="1"/>
  <c r="BC85" i="329"/>
  <c r="BC92" i="329" s="1"/>
  <c r="BB85" i="329"/>
  <c r="BB92" i="329" s="1"/>
  <c r="BA85" i="329"/>
  <c r="AZ85" i="329"/>
  <c r="AZ92" i="329" s="1"/>
  <c r="AY85" i="329"/>
  <c r="AX85" i="329"/>
  <c r="AX92" i="329" s="1"/>
  <c r="AW85" i="329"/>
  <c r="AV85" i="329"/>
  <c r="AV92" i="329" s="1"/>
  <c r="AU85" i="329"/>
  <c r="AU92" i="329" s="1"/>
  <c r="AT85" i="329"/>
  <c r="AT92" i="329" s="1"/>
  <c r="AT105" i="329" s="1"/>
  <c r="AS85" i="329"/>
  <c r="EH85" i="329" s="1"/>
  <c r="EH92" i="329" s="1"/>
  <c r="AO85" i="329"/>
  <c r="EG85" i="329" s="1"/>
  <c r="EG92" i="329" s="1"/>
  <c r="AN85" i="329"/>
  <c r="AN92" i="329" s="1"/>
  <c r="AM85" i="329"/>
  <c r="AM92" i="329" s="1"/>
  <c r="AL85" i="329"/>
  <c r="AL92" i="329" s="1"/>
  <c r="AK85" i="329"/>
  <c r="AJ85" i="329"/>
  <c r="AI85" i="329"/>
  <c r="AI92" i="329" s="1"/>
  <c r="AH85" i="329"/>
  <c r="AH92" i="329" s="1"/>
  <c r="DU83" i="329"/>
  <c r="DT83" i="329"/>
  <c r="DS83" i="329"/>
  <c r="DR83" i="329"/>
  <c r="DQ83" i="329"/>
  <c r="DP83" i="329"/>
  <c r="DZ82" i="329"/>
  <c r="DZ371" i="329" s="1"/>
  <c r="DY82" i="329"/>
  <c r="DY371" i="329" s="1"/>
  <c r="DX82" i="329"/>
  <c r="DX371" i="329" s="1"/>
  <c r="DW82" i="329"/>
  <c r="DW371" i="329" s="1"/>
  <c r="DV82" i="329"/>
  <c r="DV371" i="329" s="1"/>
  <c r="DU82" i="329"/>
  <c r="DU371" i="329" s="1"/>
  <c r="DT82" i="329"/>
  <c r="DS82" i="329"/>
  <c r="DR82" i="329"/>
  <c r="DQ82" i="329"/>
  <c r="DP82" i="329"/>
  <c r="ET81" i="329"/>
  <c r="ET79" i="329"/>
  <c r="ET75" i="329"/>
  <c r="ET74" i="329"/>
  <c r="ER81" i="329"/>
  <c r="EQ81" i="329"/>
  <c r="EN80" i="329"/>
  <c r="EL80" i="329"/>
  <c r="BU77" i="329"/>
  <c r="AQ79" i="329"/>
  <c r="AR79" i="329" s="1"/>
  <c r="BS79" i="329"/>
  <c r="BT79" i="329" s="1"/>
  <c r="BU79" i="329" s="1"/>
  <c r="BR79" i="329"/>
  <c r="BQ79" i="329"/>
  <c r="BT78" i="329"/>
  <c r="BS78" i="329"/>
  <c r="BR78" i="329"/>
  <c r="CT79" i="329"/>
  <c r="CU79" i="329" s="1"/>
  <c r="CV79" i="329" s="1"/>
  <c r="CW79" i="329" s="1"/>
  <c r="CX79" i="329" s="1"/>
  <c r="CY79" i="329" s="1"/>
  <c r="CZ79" i="329" s="1"/>
  <c r="DA79" i="329" s="1"/>
  <c r="DB79" i="329" s="1"/>
  <c r="DC79" i="329" s="1"/>
  <c r="DD79" i="329" s="1"/>
  <c r="CT77" i="329"/>
  <c r="CT78" i="329" s="1"/>
  <c r="BW80" i="329"/>
  <c r="BW79" i="329"/>
  <c r="BX79" i="329" s="1"/>
  <c r="BY79" i="329" s="1"/>
  <c r="AP77" i="329"/>
  <c r="EN77" i="329"/>
  <c r="BR76" i="329" s="1"/>
  <c r="ES76" i="329"/>
  <c r="ET76" i="329" s="1"/>
  <c r="EP76" i="329"/>
  <c r="ER76" i="329" s="1"/>
  <c r="EM76" i="329"/>
  <c r="EL76" i="329"/>
  <c r="EK76" i="329"/>
  <c r="EJ76" i="329"/>
  <c r="EI76" i="329"/>
  <c r="EH76" i="329"/>
  <c r="CY76" i="329"/>
  <c r="CZ76" i="329" s="1"/>
  <c r="DA76" i="329" s="1"/>
  <c r="BT76" i="329"/>
  <c r="BS76" i="329"/>
  <c r="ER75" i="329"/>
  <c r="EQ75" i="329"/>
  <c r="ER74" i="329"/>
  <c r="EQ74" i="329"/>
  <c r="ES73" i="329"/>
  <c r="ET73" i="329" s="1"/>
  <c r="EP73" i="329"/>
  <c r="ER73" i="329" s="1"/>
  <c r="EO73" i="329"/>
  <c r="EQ73" i="329" s="1"/>
  <c r="EN73" i="329"/>
  <c r="EL73" i="329"/>
  <c r="EJ73" i="329"/>
  <c r="EI73" i="329"/>
  <c r="EH73" i="329"/>
  <c r="EG73" i="329"/>
  <c r="EF73" i="329"/>
  <c r="EE73" i="329"/>
  <c r="AG73" i="329"/>
  <c r="CS72" i="329"/>
  <c r="CR72" i="329"/>
  <c r="CQ72" i="329"/>
  <c r="CP72" i="329"/>
  <c r="BY72" i="329"/>
  <c r="BX72" i="329"/>
  <c r="BW72" i="329"/>
  <c r="BV72" i="329"/>
  <c r="BU72" i="329"/>
  <c r="BT72" i="329"/>
  <c r="BS72" i="329"/>
  <c r="BR72" i="329"/>
  <c r="BQ72" i="329"/>
  <c r="AH72" i="329"/>
  <c r="AI72" i="329" s="1"/>
  <c r="AJ72" i="329" s="1"/>
  <c r="AK72" i="329" s="1"/>
  <c r="EF72" i="329" s="1"/>
  <c r="CS71" i="329"/>
  <c r="CR71" i="329"/>
  <c r="CQ71" i="329"/>
  <c r="CP71" i="329"/>
  <c r="CK72" i="329"/>
  <c r="CJ72" i="329"/>
  <c r="CI72" i="329"/>
  <c r="CH72" i="329"/>
  <c r="CK71" i="329"/>
  <c r="CJ71" i="329"/>
  <c r="CI71" i="329"/>
  <c r="CH71" i="329"/>
  <c r="BY71" i="329"/>
  <c r="BX71" i="329"/>
  <c r="BW71" i="329"/>
  <c r="BV71" i="329"/>
  <c r="BU71" i="329"/>
  <c r="BT71" i="329"/>
  <c r="BS71" i="329"/>
  <c r="BR71" i="329"/>
  <c r="EF69" i="329"/>
  <c r="CT70" i="329"/>
  <c r="CT71" i="329" s="1"/>
  <c r="AH70" i="329"/>
  <c r="AI70" i="329" s="1"/>
  <c r="AJ70" i="329" s="1"/>
  <c r="AK70" i="329" s="1"/>
  <c r="EF70" i="329" s="1"/>
  <c r="AL70" i="329" s="1"/>
  <c r="AM70" i="329" s="1"/>
  <c r="AM71" i="329" s="1"/>
  <c r="EW73" i="329"/>
  <c r="EV73" i="329"/>
  <c r="EU73" i="329"/>
  <c r="EU70" i="329"/>
  <c r="EW69" i="329"/>
  <c r="EV69" i="329"/>
  <c r="ES70" i="329"/>
  <c r="EP70" i="329"/>
  <c r="CH69" i="329" s="1"/>
  <c r="EO70" i="329"/>
  <c r="EQ70" i="329" s="1"/>
  <c r="EN70" i="329"/>
  <c r="EM69" i="329"/>
  <c r="EL69" i="329"/>
  <c r="EK69" i="329"/>
  <c r="EJ69" i="329"/>
  <c r="EI69" i="329"/>
  <c r="EH69" i="329"/>
  <c r="EG69" i="329"/>
  <c r="CS69" i="329"/>
  <c r="CR69" i="329"/>
  <c r="CQ69" i="329"/>
  <c r="CK69" i="329"/>
  <c r="CJ69" i="329"/>
  <c r="CI69" i="329"/>
  <c r="BY69" i="329"/>
  <c r="BX69" i="329"/>
  <c r="BW69" i="329"/>
  <c r="BT69" i="329"/>
  <c r="BS69" i="329"/>
  <c r="CS65" i="329"/>
  <c r="CR65" i="329"/>
  <c r="CQ65" i="329"/>
  <c r="CP65" i="329"/>
  <c r="CS64" i="329"/>
  <c r="CR64" i="329"/>
  <c r="CQ64" i="329"/>
  <c r="CP64" i="329"/>
  <c r="CK65" i="329"/>
  <c r="CJ65" i="329"/>
  <c r="CI65" i="329"/>
  <c r="CH65" i="329"/>
  <c r="CK64" i="329"/>
  <c r="CJ64" i="329"/>
  <c r="CI64" i="329"/>
  <c r="CH64" i="329"/>
  <c r="BY65" i="329"/>
  <c r="BX65" i="329"/>
  <c r="BW65" i="329"/>
  <c r="BV65" i="329"/>
  <c r="BU65" i="329"/>
  <c r="BT65" i="329"/>
  <c r="BS65" i="329"/>
  <c r="BR65" i="329"/>
  <c r="BQ65" i="329"/>
  <c r="BY64" i="329"/>
  <c r="BX64" i="329"/>
  <c r="BW64" i="329"/>
  <c r="BV64" i="329"/>
  <c r="BU64" i="329"/>
  <c r="BT64" i="329"/>
  <c r="BS64" i="329"/>
  <c r="BR64" i="329"/>
  <c r="CT63" i="329"/>
  <c r="BB63" i="329"/>
  <c r="EW66" i="329"/>
  <c r="EV66" i="329"/>
  <c r="EU66" i="329"/>
  <c r="ES66" i="329"/>
  <c r="ET66" i="329" s="1"/>
  <c r="EP66" i="329"/>
  <c r="EO66" i="329"/>
  <c r="EN66" i="329"/>
  <c r="EM66" i="329"/>
  <c r="EL66" i="329"/>
  <c r="EU63" i="329"/>
  <c r="ES63" i="329"/>
  <c r="CP62" i="329" s="1"/>
  <c r="EP63" i="329"/>
  <c r="EO63" i="329"/>
  <c r="BV62" i="329" s="1"/>
  <c r="EN63" i="329"/>
  <c r="BR62" i="329" s="1"/>
  <c r="EW62" i="329"/>
  <c r="EV62" i="329"/>
  <c r="EM62" i="329"/>
  <c r="EL62" i="329"/>
  <c r="EK62" i="329"/>
  <c r="CS62" i="329"/>
  <c r="CR62" i="329"/>
  <c r="CQ62" i="329"/>
  <c r="CK62" i="329"/>
  <c r="CJ62" i="329"/>
  <c r="CI62" i="329"/>
  <c r="BY62" i="329"/>
  <c r="BX62" i="329"/>
  <c r="BW62" i="329"/>
  <c r="BT62" i="329"/>
  <c r="BS62" i="329"/>
  <c r="DC58" i="329"/>
  <c r="CW58" i="329"/>
  <c r="CV58" i="329"/>
  <c r="CU58" i="329"/>
  <c r="CT58" i="329"/>
  <c r="CS58" i="329"/>
  <c r="CR58" i="329"/>
  <c r="CQ58" i="329"/>
  <c r="CP58" i="329"/>
  <c r="CW57" i="329"/>
  <c r="CV57" i="329"/>
  <c r="CU57" i="329"/>
  <c r="CT57" i="329"/>
  <c r="CS57" i="329"/>
  <c r="CR57" i="329"/>
  <c r="CQ57" i="329"/>
  <c r="CP57" i="329"/>
  <c r="CK58" i="329"/>
  <c r="CJ58" i="329"/>
  <c r="CI58" i="329"/>
  <c r="CH58" i="329"/>
  <c r="CK57" i="329"/>
  <c r="CJ57" i="329"/>
  <c r="CI57" i="329"/>
  <c r="CH57" i="329"/>
  <c r="BY58" i="329"/>
  <c r="BX58" i="329"/>
  <c r="BW58" i="329"/>
  <c r="BV58" i="329"/>
  <c r="BU58" i="329"/>
  <c r="BT58" i="329"/>
  <c r="BS58" i="329"/>
  <c r="BR58" i="329"/>
  <c r="BQ58" i="329"/>
  <c r="BY57" i="329"/>
  <c r="BX57" i="329"/>
  <c r="BW57" i="329"/>
  <c r="BV57" i="329"/>
  <c r="BU57" i="329"/>
  <c r="BT57" i="329"/>
  <c r="BS57" i="329"/>
  <c r="BR57" i="329"/>
  <c r="BE56" i="329"/>
  <c r="BF56" i="329" s="1"/>
  <c r="BF57" i="329" s="1"/>
  <c r="EW59" i="329"/>
  <c r="EV59" i="329"/>
  <c r="EU59" i="329"/>
  <c r="ES59" i="329"/>
  <c r="ET59" i="329" s="1"/>
  <c r="EP59" i="329"/>
  <c r="ER59" i="329" s="1"/>
  <c r="EO59" i="329"/>
  <c r="EQ59" i="329" s="1"/>
  <c r="EN59" i="329"/>
  <c r="EM59" i="329"/>
  <c r="EL59" i="329"/>
  <c r="EW56" i="329"/>
  <c r="EV56" i="329"/>
  <c r="EU56" i="329"/>
  <c r="ES56" i="329"/>
  <c r="EP56" i="329"/>
  <c r="EO56" i="329"/>
  <c r="EN56" i="329"/>
  <c r="BR55" i="329" s="1"/>
  <c r="EM55" i="329"/>
  <c r="EL55" i="329"/>
  <c r="DC55" i="329"/>
  <c r="DB55" i="329"/>
  <c r="DA55" i="329"/>
  <c r="EW55" i="329" s="1"/>
  <c r="CZ55" i="329"/>
  <c r="CY55" i="329"/>
  <c r="CX55" i="329"/>
  <c r="CW55" i="329"/>
  <c r="CV55" i="329"/>
  <c r="CT55" i="329"/>
  <c r="CS55" i="329"/>
  <c r="CR55" i="329"/>
  <c r="CQ55" i="329"/>
  <c r="CK55" i="329"/>
  <c r="CJ55" i="329"/>
  <c r="CI55" i="329"/>
  <c r="CH55" i="329"/>
  <c r="BY55" i="329"/>
  <c r="BX55" i="329"/>
  <c r="BW55" i="329"/>
  <c r="BU55" i="329"/>
  <c r="BT55" i="329"/>
  <c r="BS55" i="329"/>
  <c r="DZ49" i="329"/>
  <c r="DZ83" i="329" s="1"/>
  <c r="DY49" i="329"/>
  <c r="DY83" i="329" s="1"/>
  <c r="DX49" i="329"/>
  <c r="DX83" i="329" s="1"/>
  <c r="DW49" i="329"/>
  <c r="DW83" i="329" s="1"/>
  <c r="DV49" i="329"/>
  <c r="DV83" i="329" s="1"/>
  <c r="N49" i="329"/>
  <c r="M49" i="329"/>
  <c r="L49" i="329"/>
  <c r="K49" i="329"/>
  <c r="J49" i="329"/>
  <c r="I49" i="329"/>
  <c r="H49" i="329"/>
  <c r="G49" i="329"/>
  <c r="F49" i="329"/>
  <c r="E49" i="329"/>
  <c r="D49" i="329"/>
  <c r="C49" i="329"/>
  <c r="DC50" i="329"/>
  <c r="DG51" i="329" s="1"/>
  <c r="DB50" i="329"/>
  <c r="DA50" i="329"/>
  <c r="DE51" i="329" s="1"/>
  <c r="CZ50" i="329"/>
  <c r="CY50" i="329"/>
  <c r="CX50" i="329"/>
  <c r="DC48" i="329"/>
  <c r="DB48" i="329"/>
  <c r="DA48" i="329"/>
  <c r="CZ48" i="329"/>
  <c r="CY48" i="329"/>
  <c r="CX48" i="329"/>
  <c r="CW48" i="329"/>
  <c r="BU50" i="329"/>
  <c r="BT50" i="329"/>
  <c r="BS50" i="329"/>
  <c r="BR50" i="329"/>
  <c r="BQ50" i="329"/>
  <c r="BP50" i="329"/>
  <c r="BO50" i="329"/>
  <c r="BN50" i="329"/>
  <c r="BM50" i="329"/>
  <c r="BL50" i="329"/>
  <c r="BK50" i="329"/>
  <c r="BJ50" i="329"/>
  <c r="BI50" i="329"/>
  <c r="BH50" i="329"/>
  <c r="BG50" i="329"/>
  <c r="BF50" i="329"/>
  <c r="ES45" i="329"/>
  <c r="DC46" i="329"/>
  <c r="DB46" i="329"/>
  <c r="DA46" i="329"/>
  <c r="CZ46" i="329"/>
  <c r="CY46" i="329"/>
  <c r="CX46" i="329"/>
  <c r="CW46" i="329"/>
  <c r="CV46" i="329"/>
  <c r="CU46" i="329"/>
  <c r="CT46" i="329"/>
  <c r="CS46" i="329"/>
  <c r="CR46" i="329"/>
  <c r="CQ46" i="329"/>
  <c r="CP46" i="329"/>
  <c r="CK46" i="329"/>
  <c r="CJ46" i="329"/>
  <c r="CI46" i="329"/>
  <c r="CH46" i="329"/>
  <c r="BY46" i="329"/>
  <c r="BX46" i="329"/>
  <c r="BW46" i="329"/>
  <c r="BV46" i="329"/>
  <c r="BU46" i="329"/>
  <c r="BT46" i="329"/>
  <c r="BS46" i="329"/>
  <c r="BR46" i="329"/>
  <c r="BQ46" i="329"/>
  <c r="BP46" i="329"/>
  <c r="BO46" i="329"/>
  <c r="BN46" i="329"/>
  <c r="BM46" i="329"/>
  <c r="BL46" i="329"/>
  <c r="BK46" i="329"/>
  <c r="BJ46" i="329"/>
  <c r="BI46" i="329"/>
  <c r="BH46" i="329"/>
  <c r="BG46" i="329"/>
  <c r="BF46" i="329"/>
  <c r="BE46" i="329"/>
  <c r="BD46" i="329"/>
  <c r="BC46" i="329"/>
  <c r="BB46" i="329"/>
  <c r="BA46" i="329"/>
  <c r="AZ46" i="329"/>
  <c r="AY46" i="329"/>
  <c r="AX46" i="329"/>
  <c r="AW46" i="329"/>
  <c r="AV46" i="329"/>
  <c r="AU46" i="329"/>
  <c r="AT46" i="329"/>
  <c r="AS46" i="329"/>
  <c r="AR46" i="329"/>
  <c r="AQ46" i="329"/>
  <c r="AP46" i="329"/>
  <c r="AO46" i="329"/>
  <c r="AN46" i="329"/>
  <c r="AM46" i="329"/>
  <c r="AL46" i="329"/>
  <c r="EJ45" i="329"/>
  <c r="EI45" i="329"/>
  <c r="EH45" i="329"/>
  <c r="EG45" i="329"/>
  <c r="EF45" i="329"/>
  <c r="DZ43" i="329"/>
  <c r="DY43" i="329"/>
  <c r="DX43" i="329"/>
  <c r="DW43" i="329"/>
  <c r="DV43" i="329"/>
  <c r="DU43" i="329"/>
  <c r="DT43" i="329"/>
  <c r="DS43" i="329"/>
  <c r="DR43" i="329"/>
  <c r="DZ42" i="329"/>
  <c r="DY42" i="329"/>
  <c r="DX42" i="329"/>
  <c r="DW42" i="329"/>
  <c r="DV42" i="329"/>
  <c r="DU42" i="329"/>
  <c r="DT42" i="329"/>
  <c r="DS42" i="329"/>
  <c r="DR42" i="329"/>
  <c r="DZ41" i="329"/>
  <c r="DY41" i="329"/>
  <c r="DX41" i="329"/>
  <c r="DW41" i="329"/>
  <c r="DV41" i="329"/>
  <c r="DU41" i="329"/>
  <c r="DT41" i="329"/>
  <c r="DS41" i="329"/>
  <c r="DR41" i="329"/>
  <c r="DZ40" i="329"/>
  <c r="DY40" i="329"/>
  <c r="DX40" i="329"/>
  <c r="DW40" i="329"/>
  <c r="DV40" i="329"/>
  <c r="DU40" i="329"/>
  <c r="DT40" i="329"/>
  <c r="DS40" i="329"/>
  <c r="DR40" i="329"/>
  <c r="DZ39" i="329"/>
  <c r="DY39" i="329"/>
  <c r="DX39" i="329"/>
  <c r="DW39" i="329"/>
  <c r="DV39" i="329"/>
  <c r="DU39" i="329"/>
  <c r="DT39" i="329"/>
  <c r="DS39" i="329"/>
  <c r="DR39" i="329"/>
  <c r="EW45" i="329"/>
  <c r="EV45" i="329"/>
  <c r="EU45" i="329"/>
  <c r="EP45" i="329"/>
  <c r="EO45" i="329"/>
  <c r="EN45" i="329"/>
  <c r="EM45" i="329"/>
  <c r="EL45" i="329"/>
  <c r="EL50" i="329" s="1"/>
  <c r="EN43" i="329"/>
  <c r="EN42" i="329"/>
  <c r="EN41" i="329"/>
  <c r="EN40" i="329"/>
  <c r="EN39" i="329"/>
  <c r="EN38" i="329"/>
  <c r="EF38" i="329"/>
  <c r="CT44" i="329"/>
  <c r="DC43" i="329"/>
  <c r="DB43" i="329"/>
  <c r="DA43" i="329"/>
  <c r="CZ43" i="329"/>
  <c r="CY43" i="329"/>
  <c r="CX43" i="329"/>
  <c r="CW43" i="329"/>
  <c r="CV43" i="329"/>
  <c r="CU43" i="329"/>
  <c r="CT43" i="329"/>
  <c r="CS43" i="329"/>
  <c r="CR43" i="329"/>
  <c r="CQ43" i="329"/>
  <c r="CP43" i="329"/>
  <c r="DC42" i="329"/>
  <c r="DB42" i="329"/>
  <c r="DA42" i="329"/>
  <c r="CZ42" i="329"/>
  <c r="CY42" i="329"/>
  <c r="CX42" i="329"/>
  <c r="CW42" i="329"/>
  <c r="CV42" i="329"/>
  <c r="CU42" i="329"/>
  <c r="CT42" i="329"/>
  <c r="CT33" i="329" s="1"/>
  <c r="CS42" i="329"/>
  <c r="CR42" i="329"/>
  <c r="CQ42" i="329"/>
  <c r="CP42" i="329"/>
  <c r="DC41" i="329"/>
  <c r="DB41" i="329"/>
  <c r="DA41" i="329"/>
  <c r="CZ41" i="329"/>
  <c r="CY41" i="329"/>
  <c r="CX41" i="329"/>
  <c r="CW41" i="329"/>
  <c r="CV41" i="329"/>
  <c r="CU41" i="329"/>
  <c r="CT41" i="329"/>
  <c r="CS41" i="329"/>
  <c r="CR41" i="329"/>
  <c r="CQ41" i="329"/>
  <c r="CP41" i="329"/>
  <c r="DC40" i="329"/>
  <c r="DB40" i="329"/>
  <c r="DA40" i="329"/>
  <c r="CZ40" i="329"/>
  <c r="CY40" i="329"/>
  <c r="CX40" i="329"/>
  <c r="CW40" i="329"/>
  <c r="CV40" i="329"/>
  <c r="CU40" i="329"/>
  <c r="CT40" i="329"/>
  <c r="CT31" i="329" s="1"/>
  <c r="CS40" i="329"/>
  <c r="CR40" i="329"/>
  <c r="CQ40" i="329"/>
  <c r="CP40" i="329"/>
  <c r="DC39" i="329"/>
  <c r="DB39" i="329"/>
  <c r="DA39" i="329"/>
  <c r="CZ39" i="329"/>
  <c r="CY39" i="329"/>
  <c r="CX39" i="329"/>
  <c r="CW39" i="329"/>
  <c r="CV39" i="329"/>
  <c r="CU39" i="329"/>
  <c r="CT39" i="329"/>
  <c r="CS39" i="329"/>
  <c r="CR39" i="329"/>
  <c r="CQ39" i="329"/>
  <c r="CP39" i="329"/>
  <c r="DC38" i="329"/>
  <c r="DB38" i="329"/>
  <c r="DA38" i="329"/>
  <c r="CZ38" i="329"/>
  <c r="CY38" i="329"/>
  <c r="CX38" i="329"/>
  <c r="CW38" i="329"/>
  <c r="CV38" i="329"/>
  <c r="CU38" i="329"/>
  <c r="CT38" i="329"/>
  <c r="CT29" i="329" s="1"/>
  <c r="CS38" i="329"/>
  <c r="CR38" i="329"/>
  <c r="CQ38" i="329"/>
  <c r="CP38" i="329"/>
  <c r="CK43" i="329"/>
  <c r="CJ43" i="329"/>
  <c r="CI43" i="329"/>
  <c r="CH43" i="329"/>
  <c r="CK42" i="329"/>
  <c r="CJ42" i="329"/>
  <c r="CI42" i="329"/>
  <c r="CH42" i="329"/>
  <c r="CK41" i="329"/>
  <c r="CJ41" i="329"/>
  <c r="CI41" i="329"/>
  <c r="CH41" i="329"/>
  <c r="CK40" i="329"/>
  <c r="CJ40" i="329"/>
  <c r="CI40" i="329"/>
  <c r="CH40" i="329"/>
  <c r="CK39" i="329"/>
  <c r="CJ39" i="329"/>
  <c r="CI39" i="329"/>
  <c r="CH39" i="329"/>
  <c r="CK38" i="329"/>
  <c r="CJ38" i="329"/>
  <c r="CI38" i="329"/>
  <c r="CH38" i="329"/>
  <c r="BO44" i="329"/>
  <c r="BO35" i="329" s="1"/>
  <c r="BM44" i="329"/>
  <c r="BM35" i="329" s="1"/>
  <c r="EM35" i="329" s="1"/>
  <c r="BL44" i="329"/>
  <c r="BL35" i="329" s="1"/>
  <c r="BK44" i="329"/>
  <c r="BK35" i="329" s="1"/>
  <c r="BY43" i="329"/>
  <c r="BX43" i="329"/>
  <c r="BW43" i="329"/>
  <c r="BV43" i="329"/>
  <c r="BU43" i="329"/>
  <c r="BT43" i="329"/>
  <c r="BS43" i="329"/>
  <c r="BR43" i="329"/>
  <c r="BQ43" i="329"/>
  <c r="AO43" i="329"/>
  <c r="EG43" i="329" s="1"/>
  <c r="AN43" i="329"/>
  <c r="AM43" i="329"/>
  <c r="AL43" i="329"/>
  <c r="AK43" i="329"/>
  <c r="EF43" i="329" s="1"/>
  <c r="AJ43" i="329"/>
  <c r="AI43" i="329"/>
  <c r="AH43" i="329"/>
  <c r="AG43" i="329"/>
  <c r="EE43" i="329" s="1"/>
  <c r="AF43" i="329"/>
  <c r="AE43" i="329"/>
  <c r="AD43" i="329"/>
  <c r="AC43" i="329"/>
  <c r="ED43" i="329" s="1"/>
  <c r="AB43" i="329"/>
  <c r="AA43" i="329"/>
  <c r="Z43" i="329"/>
  <c r="Y43" i="329"/>
  <c r="EC43" i="329" s="1"/>
  <c r="X43" i="329"/>
  <c r="W43" i="329"/>
  <c r="V43" i="329"/>
  <c r="U43" i="329"/>
  <c r="EB43" i="329" s="1"/>
  <c r="T43" i="329"/>
  <c r="S43" i="329"/>
  <c r="R43" i="329"/>
  <c r="Q43" i="329"/>
  <c r="EA43" i="329" s="1"/>
  <c r="P43" i="329"/>
  <c r="O43" i="329"/>
  <c r="N43" i="329"/>
  <c r="BY42" i="329"/>
  <c r="BX42" i="329"/>
  <c r="BW42" i="329"/>
  <c r="BV42" i="329"/>
  <c r="BU42" i="329"/>
  <c r="BT42" i="329"/>
  <c r="BS42" i="329"/>
  <c r="BR42" i="329"/>
  <c r="BQ42" i="329"/>
  <c r="AO42" i="329"/>
  <c r="EG42" i="329" s="1"/>
  <c r="AN42" i="329"/>
  <c r="AM42" i="329"/>
  <c r="AL42" i="329"/>
  <c r="AK42" i="329"/>
  <c r="EF42" i="329" s="1"/>
  <c r="AJ42" i="329"/>
  <c r="AI42" i="329"/>
  <c r="AH42" i="329"/>
  <c r="AG42" i="329"/>
  <c r="EE42" i="329" s="1"/>
  <c r="AF42" i="329"/>
  <c r="AE42" i="329"/>
  <c r="AD42" i="329"/>
  <c r="AC42" i="329"/>
  <c r="ED42" i="329" s="1"/>
  <c r="AB42" i="329"/>
  <c r="AA42" i="329"/>
  <c r="Z42" i="329"/>
  <c r="Y42" i="329"/>
  <c r="EC42" i="329" s="1"/>
  <c r="X42" i="329"/>
  <c r="W42" i="329"/>
  <c r="V42" i="329"/>
  <c r="U42" i="329"/>
  <c r="EB42" i="329" s="1"/>
  <c r="T42" i="329"/>
  <c r="S42" i="329"/>
  <c r="R42" i="329"/>
  <c r="Q42" i="329"/>
  <c r="EA42" i="329" s="1"/>
  <c r="P42" i="329"/>
  <c r="O42" i="329"/>
  <c r="N42" i="329"/>
  <c r="BY41" i="329"/>
  <c r="BX41" i="329"/>
  <c r="BW41" i="329"/>
  <c r="BV41" i="329"/>
  <c r="BU41" i="329"/>
  <c r="BT41" i="329"/>
  <c r="BS41" i="329"/>
  <c r="BR41" i="329"/>
  <c r="BQ41" i="329"/>
  <c r="AO41" i="329"/>
  <c r="EG41" i="329" s="1"/>
  <c r="AN41" i="329"/>
  <c r="AM41" i="329"/>
  <c r="AL41" i="329"/>
  <c r="AK41" i="329"/>
  <c r="EF41" i="329" s="1"/>
  <c r="AJ41" i="329"/>
  <c r="AI41" i="329"/>
  <c r="AH41" i="329"/>
  <c r="AG41" i="329"/>
  <c r="EE41" i="329" s="1"/>
  <c r="AF41" i="329"/>
  <c r="AE41" i="329"/>
  <c r="AD41" i="329"/>
  <c r="AC41" i="329"/>
  <c r="ED41" i="329" s="1"/>
  <c r="AB41" i="329"/>
  <c r="AA41" i="329"/>
  <c r="Z41" i="329"/>
  <c r="Y41" i="329"/>
  <c r="EC41" i="329" s="1"/>
  <c r="X41" i="329"/>
  <c r="W41" i="329"/>
  <c r="V41" i="329"/>
  <c r="U41" i="329"/>
  <c r="T41" i="329"/>
  <c r="S41" i="329"/>
  <c r="R41" i="329"/>
  <c r="Q41" i="329"/>
  <c r="P41" i="329"/>
  <c r="O41" i="329"/>
  <c r="N41" i="329"/>
  <c r="BY40" i="329"/>
  <c r="BX40" i="329"/>
  <c r="BW40" i="329"/>
  <c r="BV40" i="329"/>
  <c r="BU40" i="329"/>
  <c r="BT40" i="329"/>
  <c r="BS40" i="329"/>
  <c r="BR40" i="329"/>
  <c r="BQ40" i="329"/>
  <c r="AO40" i="329"/>
  <c r="EG40" i="329" s="1"/>
  <c r="AN40" i="329"/>
  <c r="AM40" i="329"/>
  <c r="AL40" i="329"/>
  <c r="AK40" i="329"/>
  <c r="EF40" i="329" s="1"/>
  <c r="AJ40" i="329"/>
  <c r="AI40" i="329"/>
  <c r="AH40" i="329"/>
  <c r="AG40" i="329"/>
  <c r="EE40" i="329" s="1"/>
  <c r="AF40" i="329"/>
  <c r="AE40" i="329"/>
  <c r="AD40" i="329"/>
  <c r="AC40" i="329"/>
  <c r="ED40" i="329" s="1"/>
  <c r="AB40" i="329"/>
  <c r="AA40" i="329"/>
  <c r="Z40" i="329"/>
  <c r="Y40" i="329"/>
  <c r="EC40" i="329" s="1"/>
  <c r="X40" i="329"/>
  <c r="W40" i="329"/>
  <c r="V40" i="329"/>
  <c r="U40" i="329"/>
  <c r="EB40" i="329" s="1"/>
  <c r="T40" i="329"/>
  <c r="S40" i="329"/>
  <c r="R40" i="329"/>
  <c r="Q40" i="329"/>
  <c r="EA40" i="329" s="1"/>
  <c r="P40" i="329"/>
  <c r="O40" i="329"/>
  <c r="N40" i="329"/>
  <c r="BY39" i="329"/>
  <c r="BX39" i="329"/>
  <c r="BW39" i="329"/>
  <c r="BV39" i="329"/>
  <c r="BU39" i="329"/>
  <c r="BT39" i="329"/>
  <c r="BS39" i="329"/>
  <c r="BR39" i="329"/>
  <c r="BQ39" i="329"/>
  <c r="AO39" i="329"/>
  <c r="EG39" i="329" s="1"/>
  <c r="AN39" i="329"/>
  <c r="AM39" i="329"/>
  <c r="AL39" i="329"/>
  <c r="AK39" i="329"/>
  <c r="EF39" i="329" s="1"/>
  <c r="AJ39" i="329"/>
  <c r="AI39" i="329"/>
  <c r="AH39" i="329"/>
  <c r="AG39" i="329"/>
  <c r="EE39" i="329" s="1"/>
  <c r="AF39" i="329"/>
  <c r="AE39" i="329"/>
  <c r="AD39" i="329"/>
  <c r="AC39" i="329"/>
  <c r="ED39" i="329" s="1"/>
  <c r="AB39" i="329"/>
  <c r="AA39" i="329"/>
  <c r="Z39" i="329"/>
  <c r="Y39" i="329"/>
  <c r="EC39" i="329" s="1"/>
  <c r="X39" i="329"/>
  <c r="W39" i="329"/>
  <c r="V39" i="329"/>
  <c r="U39" i="329"/>
  <c r="EB39" i="329" s="1"/>
  <c r="T39" i="329"/>
  <c r="S39" i="329"/>
  <c r="R39" i="329"/>
  <c r="Q39" i="329"/>
  <c r="P39" i="329"/>
  <c r="O39" i="329"/>
  <c r="N39" i="329"/>
  <c r="BY38" i="329"/>
  <c r="BX38" i="329"/>
  <c r="BW38" i="329"/>
  <c r="BV38" i="329"/>
  <c r="BU38" i="329"/>
  <c r="BT38" i="329"/>
  <c r="BS38" i="329"/>
  <c r="BR38" i="329"/>
  <c r="BQ38" i="329"/>
  <c r="AO38" i="329"/>
  <c r="AN38" i="329"/>
  <c r="AM38" i="329"/>
  <c r="AL38" i="329"/>
  <c r="AK38" i="329"/>
  <c r="AJ38" i="329"/>
  <c r="AI38" i="329"/>
  <c r="AH38" i="329"/>
  <c r="AG38" i="329"/>
  <c r="AF38" i="329"/>
  <c r="AE38" i="329"/>
  <c r="AD38" i="329"/>
  <c r="AC38" i="329"/>
  <c r="AB38" i="329"/>
  <c r="AA38" i="329"/>
  <c r="Z38" i="329"/>
  <c r="Y38" i="329"/>
  <c r="X38" i="329"/>
  <c r="W38" i="329"/>
  <c r="V38" i="329"/>
  <c r="U38" i="329"/>
  <c r="T38" i="329"/>
  <c r="S38" i="329"/>
  <c r="R38" i="329"/>
  <c r="Q38" i="329"/>
  <c r="P38" i="329"/>
  <c r="O38" i="329"/>
  <c r="N38" i="329"/>
  <c r="CX26" i="329"/>
  <c r="CW26" i="329"/>
  <c r="CV26" i="329"/>
  <c r="CU26" i="329"/>
  <c r="CT26" i="329"/>
  <c r="BO26" i="329"/>
  <c r="BN26" i="329"/>
  <c r="BM26" i="329"/>
  <c r="BL26" i="329"/>
  <c r="BK26" i="329"/>
  <c r="BJ26" i="329"/>
  <c r="BI26" i="329"/>
  <c r="BH26" i="329"/>
  <c r="BG26" i="329"/>
  <c r="BF26" i="329"/>
  <c r="BE26" i="329"/>
  <c r="BD26" i="329"/>
  <c r="BC26" i="329"/>
  <c r="BB26" i="329"/>
  <c r="BA26" i="329"/>
  <c r="AZ26" i="329"/>
  <c r="AY26" i="329"/>
  <c r="AX26" i="329"/>
  <c r="AW26" i="329"/>
  <c r="AV26" i="329"/>
  <c r="AU26" i="329"/>
  <c r="AT26" i="329"/>
  <c r="AS26" i="329"/>
  <c r="AR26" i="329"/>
  <c r="AQ26" i="329"/>
  <c r="AP26" i="329"/>
  <c r="EV25" i="329"/>
  <c r="EK25" i="329"/>
  <c r="EJ25" i="329"/>
  <c r="EI25" i="329"/>
  <c r="EH25" i="329"/>
  <c r="DZ25" i="329"/>
  <c r="DY25" i="329"/>
  <c r="DX25" i="329"/>
  <c r="DW25" i="329"/>
  <c r="DV25" i="329"/>
  <c r="DU25" i="329"/>
  <c r="DT25" i="329"/>
  <c r="DS25" i="329"/>
  <c r="DR25" i="329"/>
  <c r="CR25" i="329"/>
  <c r="CQ25" i="329"/>
  <c r="EL24" i="329"/>
  <c r="EK24" i="329"/>
  <c r="EJ24" i="329"/>
  <c r="EI24" i="329"/>
  <c r="EH24" i="329"/>
  <c r="DZ24" i="329"/>
  <c r="DY24" i="329"/>
  <c r="DX24" i="329"/>
  <c r="DW24" i="329"/>
  <c r="DV24" i="329"/>
  <c r="DU24" i="329"/>
  <c r="DT24" i="329"/>
  <c r="DS24" i="329"/>
  <c r="DR24" i="329"/>
  <c r="CS24" i="329"/>
  <c r="CS26" i="329" s="1"/>
  <c r="CR24" i="329"/>
  <c r="CQ24" i="329"/>
  <c r="EV23" i="329"/>
  <c r="EV22" i="329"/>
  <c r="EV21" i="329"/>
  <c r="EV20" i="329"/>
  <c r="EK23" i="329"/>
  <c r="EJ23" i="329"/>
  <c r="EI23" i="329"/>
  <c r="EH23" i="329"/>
  <c r="DZ23" i="329"/>
  <c r="DY23" i="329"/>
  <c r="DX23" i="329"/>
  <c r="DW23" i="329"/>
  <c r="DV23" i="329"/>
  <c r="DU23" i="329"/>
  <c r="DT23" i="329"/>
  <c r="DS23" i="329"/>
  <c r="DR23" i="329"/>
  <c r="EL22" i="329"/>
  <c r="EK22" i="329"/>
  <c r="EJ22" i="329"/>
  <c r="EI22" i="329"/>
  <c r="EH22" i="329"/>
  <c r="DZ22" i="329"/>
  <c r="DY22" i="329"/>
  <c r="DX22" i="329"/>
  <c r="DW22" i="329"/>
  <c r="DV22" i="329"/>
  <c r="DU22" i="329"/>
  <c r="DT22" i="329"/>
  <c r="DS22" i="329"/>
  <c r="DR22" i="329"/>
  <c r="BP22" i="329"/>
  <c r="BP26" i="329" s="1"/>
  <c r="EK21" i="329"/>
  <c r="EJ21" i="329"/>
  <c r="EI21" i="329"/>
  <c r="EH21" i="329"/>
  <c r="DZ21" i="329"/>
  <c r="DY21" i="329"/>
  <c r="DX21" i="329"/>
  <c r="DW21" i="329"/>
  <c r="DV21" i="329"/>
  <c r="DU21" i="329"/>
  <c r="DT21" i="329"/>
  <c r="DS21" i="329"/>
  <c r="DR21" i="329"/>
  <c r="EM25" i="329"/>
  <c r="EM24" i="329"/>
  <c r="EM23" i="329"/>
  <c r="EM22" i="329"/>
  <c r="EM21" i="329"/>
  <c r="EM20" i="329"/>
  <c r="EL20" i="329"/>
  <c r="EK20" i="329"/>
  <c r="EK26" i="329" s="1"/>
  <c r="EJ20" i="329"/>
  <c r="EI20" i="329"/>
  <c r="EH20" i="329"/>
  <c r="CY25" i="329"/>
  <c r="CZ25" i="329" s="1"/>
  <c r="DA25" i="329" s="1"/>
  <c r="DB25" i="329" s="1"/>
  <c r="DC25" i="329" s="1"/>
  <c r="DD25" i="329" s="1"/>
  <c r="DE25" i="329" s="1"/>
  <c r="CY24" i="329"/>
  <c r="CZ24" i="329" s="1"/>
  <c r="DA24" i="329" s="1"/>
  <c r="CY23" i="329"/>
  <c r="CZ23" i="329" s="1"/>
  <c r="CY22" i="329"/>
  <c r="CZ22" i="329" s="1"/>
  <c r="DA22" i="329" s="1"/>
  <c r="DB22" i="329" s="1"/>
  <c r="DC22" i="329" s="1"/>
  <c r="DD22" i="329" s="1"/>
  <c r="DE22" i="329" s="1"/>
  <c r="CY21" i="329"/>
  <c r="CY20" i="329"/>
  <c r="CZ20" i="329" s="1"/>
  <c r="DA20" i="329" s="1"/>
  <c r="DB20" i="329" s="1"/>
  <c r="DC20" i="329" s="1"/>
  <c r="DD20" i="329" s="1"/>
  <c r="DE20" i="329" s="1"/>
  <c r="CR23" i="329"/>
  <c r="CQ23" i="329"/>
  <c r="CR22" i="329"/>
  <c r="CQ22" i="329"/>
  <c r="CR21" i="329"/>
  <c r="CQ21" i="329"/>
  <c r="CR20" i="329"/>
  <c r="CQ20" i="329"/>
  <c r="CK25" i="329"/>
  <c r="CJ25" i="329"/>
  <c r="CI25" i="329"/>
  <c r="CK24" i="329"/>
  <c r="CJ24" i="329"/>
  <c r="CI24" i="329"/>
  <c r="CK23" i="329"/>
  <c r="CJ23" i="329"/>
  <c r="CI23" i="329"/>
  <c r="CK22" i="329"/>
  <c r="CJ22" i="329"/>
  <c r="CI22" i="329"/>
  <c r="CK21" i="329"/>
  <c r="CJ21" i="329"/>
  <c r="CI21" i="329"/>
  <c r="CK20" i="329"/>
  <c r="CJ20" i="329"/>
  <c r="CI20" i="329"/>
  <c r="BY25" i="329"/>
  <c r="BX25" i="329"/>
  <c r="BW25" i="329"/>
  <c r="BU25" i="329"/>
  <c r="BT25" i="329"/>
  <c r="BS25" i="329"/>
  <c r="BR25" i="329"/>
  <c r="BY24" i="329"/>
  <c r="BX24" i="329"/>
  <c r="BW24" i="329"/>
  <c r="BU24" i="329"/>
  <c r="BT24" i="329"/>
  <c r="BS24" i="329"/>
  <c r="BR24" i="329"/>
  <c r="BY23" i="329"/>
  <c r="BX23" i="329"/>
  <c r="BW23" i="329"/>
  <c r="BU23" i="329"/>
  <c r="BT23" i="329"/>
  <c r="BS23" i="329"/>
  <c r="BR23" i="329"/>
  <c r="BY22" i="329"/>
  <c r="BX22" i="329"/>
  <c r="BW22" i="329"/>
  <c r="BU22" i="329"/>
  <c r="BT22" i="329"/>
  <c r="BS22" i="329"/>
  <c r="BR22" i="329"/>
  <c r="BY21" i="329"/>
  <c r="BX21" i="329"/>
  <c r="BW21" i="329"/>
  <c r="BU21" i="329"/>
  <c r="BT21" i="329"/>
  <c r="BS21" i="329"/>
  <c r="BR21" i="329"/>
  <c r="BY20" i="329"/>
  <c r="BX20" i="329"/>
  <c r="BW20" i="329"/>
  <c r="BU20" i="329"/>
  <c r="BT20" i="329"/>
  <c r="BS20" i="329"/>
  <c r="BR20" i="329"/>
  <c r="AO25" i="329"/>
  <c r="AN25" i="329"/>
  <c r="AM25" i="329"/>
  <c r="AL25" i="329"/>
  <c r="AK25" i="329"/>
  <c r="AJ25" i="329"/>
  <c r="AI25" i="329"/>
  <c r="AH25" i="329"/>
  <c r="AG25" i="329"/>
  <c r="AF25" i="329"/>
  <c r="AE25" i="329"/>
  <c r="AD25" i="329"/>
  <c r="AC25" i="329"/>
  <c r="AB25" i="329"/>
  <c r="AA25" i="329"/>
  <c r="Z25" i="329"/>
  <c r="Y25" i="329"/>
  <c r="X25" i="329"/>
  <c r="W25" i="329"/>
  <c r="V25" i="329"/>
  <c r="U25" i="329"/>
  <c r="T25" i="329"/>
  <c r="S25" i="329"/>
  <c r="R25" i="329"/>
  <c r="Q25" i="329"/>
  <c r="P25" i="329"/>
  <c r="O25" i="329"/>
  <c r="AO24" i="329"/>
  <c r="AN24" i="329"/>
  <c r="AM24" i="329"/>
  <c r="AL24" i="329"/>
  <c r="AK24" i="329"/>
  <c r="AJ24" i="329"/>
  <c r="AI24" i="329"/>
  <c r="AH24" i="329"/>
  <c r="AG24" i="329"/>
  <c r="AF24" i="329"/>
  <c r="AE24" i="329"/>
  <c r="AD24" i="329"/>
  <c r="AC24" i="329"/>
  <c r="AB24" i="329"/>
  <c r="AA24" i="329"/>
  <c r="Z24" i="329"/>
  <c r="Y24" i="329"/>
  <c r="X24" i="329"/>
  <c r="W24" i="329"/>
  <c r="V24" i="329"/>
  <c r="U24" i="329"/>
  <c r="T24" i="329"/>
  <c r="S24" i="329"/>
  <c r="R24" i="329"/>
  <c r="Q24" i="329"/>
  <c r="P24" i="329"/>
  <c r="O24" i="329"/>
  <c r="AO23" i="329"/>
  <c r="AN23" i="329"/>
  <c r="AM23" i="329"/>
  <c r="AL23" i="329"/>
  <c r="AK23" i="329"/>
  <c r="AJ23" i="329"/>
  <c r="AI23" i="329"/>
  <c r="AH23" i="329"/>
  <c r="AG23" i="329"/>
  <c r="AF23" i="329"/>
  <c r="AE23" i="329"/>
  <c r="AD23" i="329"/>
  <c r="AC23" i="329"/>
  <c r="AB23" i="329"/>
  <c r="AA23" i="329"/>
  <c r="Z23" i="329"/>
  <c r="Y23" i="329"/>
  <c r="X23" i="329"/>
  <c r="W23" i="329"/>
  <c r="V23" i="329"/>
  <c r="U23" i="329"/>
  <c r="T23" i="329"/>
  <c r="S23" i="329"/>
  <c r="R23" i="329"/>
  <c r="Q23" i="329"/>
  <c r="P23" i="329"/>
  <c r="O23" i="329"/>
  <c r="AO22" i="329"/>
  <c r="AN22" i="329"/>
  <c r="AM22" i="329"/>
  <c r="AL22" i="329"/>
  <c r="AK22" i="329"/>
  <c r="AJ22" i="329"/>
  <c r="AI22" i="329"/>
  <c r="AH22" i="329"/>
  <c r="AG22" i="329"/>
  <c r="AF22" i="329"/>
  <c r="AE22" i="329"/>
  <c r="AD22" i="329"/>
  <c r="AC22" i="329"/>
  <c r="AB22" i="329"/>
  <c r="AA22" i="329"/>
  <c r="Z22" i="329"/>
  <c r="Y22" i="329"/>
  <c r="X22" i="329"/>
  <c r="W22" i="329"/>
  <c r="V22" i="329"/>
  <c r="U22" i="329"/>
  <c r="T22" i="329"/>
  <c r="S22" i="329"/>
  <c r="R22" i="329"/>
  <c r="Q22" i="329"/>
  <c r="P22" i="329"/>
  <c r="O22" i="329"/>
  <c r="AO21" i="329"/>
  <c r="AN21" i="329"/>
  <c r="AM21" i="329"/>
  <c r="AL21" i="329"/>
  <c r="AK21" i="329"/>
  <c r="AJ21" i="329"/>
  <c r="AI21" i="329"/>
  <c r="AH21" i="329"/>
  <c r="AG21" i="329"/>
  <c r="AF21" i="329"/>
  <c r="AE21" i="329"/>
  <c r="AD21" i="329"/>
  <c r="AC21" i="329"/>
  <c r="AB21" i="329"/>
  <c r="AA21" i="329"/>
  <c r="Z21" i="329"/>
  <c r="Y21" i="329"/>
  <c r="X21" i="329"/>
  <c r="W21" i="329"/>
  <c r="V21" i="329"/>
  <c r="U21" i="329"/>
  <c r="T21" i="329"/>
  <c r="S21" i="329"/>
  <c r="R21" i="329"/>
  <c r="Q21" i="329"/>
  <c r="P21" i="329"/>
  <c r="O21" i="329"/>
  <c r="AO20" i="329"/>
  <c r="AN20" i="329"/>
  <c r="AM20" i="329"/>
  <c r="AL20" i="329"/>
  <c r="AK20" i="329"/>
  <c r="AJ20" i="329"/>
  <c r="AI20" i="329"/>
  <c r="AH20" i="329"/>
  <c r="AG20" i="329"/>
  <c r="AF20" i="329"/>
  <c r="AE20" i="329"/>
  <c r="AD20" i="329"/>
  <c r="AC20" i="329"/>
  <c r="AB20" i="329"/>
  <c r="AA20" i="329"/>
  <c r="Z20" i="329"/>
  <c r="Y20" i="329"/>
  <c r="X20" i="329"/>
  <c r="W20" i="329"/>
  <c r="V20" i="329"/>
  <c r="U20" i="329"/>
  <c r="T20" i="329"/>
  <c r="S20" i="329"/>
  <c r="R20" i="329"/>
  <c r="Q20" i="329"/>
  <c r="P20" i="329"/>
  <c r="O20" i="329"/>
  <c r="EB17" i="329"/>
  <c r="EB48" i="329" s="1"/>
  <c r="EB82" i="329" s="1"/>
  <c r="EB371" i="329" s="1"/>
  <c r="DZ17" i="329"/>
  <c r="DY17" i="329"/>
  <c r="DX17" i="329"/>
  <c r="DW17" i="329"/>
  <c r="DV17" i="329"/>
  <c r="DU17" i="329"/>
  <c r="CV17" i="329"/>
  <c r="CV48" i="329" s="1"/>
  <c r="CU17" i="329"/>
  <c r="CU48" i="329" s="1"/>
  <c r="CT17" i="329"/>
  <c r="CT48" i="329" s="1"/>
  <c r="CS17" i="329"/>
  <c r="CS48" i="329" s="1"/>
  <c r="CR17" i="329"/>
  <c r="CR48" i="329" s="1"/>
  <c r="CQ17" i="329"/>
  <c r="CQ48" i="329" s="1"/>
  <c r="CP17" i="329"/>
  <c r="CP48" i="329" s="1"/>
  <c r="CK17" i="329"/>
  <c r="CK48" i="329" s="1"/>
  <c r="CJ17" i="329"/>
  <c r="CJ48" i="329" s="1"/>
  <c r="CI17" i="329"/>
  <c r="CI48" i="329" s="1"/>
  <c r="CH17" i="329"/>
  <c r="CH48" i="329" s="1"/>
  <c r="BY17" i="329"/>
  <c r="BY48" i="329" s="1"/>
  <c r="BX17" i="329"/>
  <c r="BX48" i="329" s="1"/>
  <c r="BW17" i="329"/>
  <c r="BW48" i="329" s="1"/>
  <c r="BV17" i="329"/>
  <c r="BV48" i="329" s="1"/>
  <c r="BU17" i="329"/>
  <c r="BU48" i="329" s="1"/>
  <c r="BT17" i="329"/>
  <c r="BT48" i="329" s="1"/>
  <c r="BT82" i="329" s="1"/>
  <c r="BT87" i="329" s="1"/>
  <c r="CB87" i="329" s="1"/>
  <c r="BS17" i="329"/>
  <c r="BS48" i="329" s="1"/>
  <c r="BR17" i="329"/>
  <c r="BR48" i="329" s="1"/>
  <c r="BQ17" i="329"/>
  <c r="EN17" i="329" s="1"/>
  <c r="EN48" i="329" s="1"/>
  <c r="AO17" i="329"/>
  <c r="AO48" i="329" s="1"/>
  <c r="AN17" i="329"/>
  <c r="AM17" i="329"/>
  <c r="AL17" i="329"/>
  <c r="AL48" i="329" s="1"/>
  <c r="AK17" i="329"/>
  <c r="AK48" i="329" s="1"/>
  <c r="AJ17" i="329"/>
  <c r="AI17" i="329"/>
  <c r="AH17" i="329"/>
  <c r="AG17" i="329"/>
  <c r="AF17" i="329"/>
  <c r="AF48" i="329" s="1"/>
  <c r="AE17" i="329"/>
  <c r="AD17" i="329"/>
  <c r="AD48" i="329" s="1"/>
  <c r="AC17" i="329"/>
  <c r="AB17" i="329"/>
  <c r="AB48" i="329" s="1"/>
  <c r="AB371" i="329" s="1"/>
  <c r="AA17" i="329"/>
  <c r="Z17" i="329"/>
  <c r="Z48" i="329" s="1"/>
  <c r="Y17" i="329"/>
  <c r="X17" i="329"/>
  <c r="W17" i="329"/>
  <c r="V17" i="329"/>
  <c r="V48" i="329" s="1"/>
  <c r="U17" i="329"/>
  <c r="U48" i="329" s="1"/>
  <c r="U371" i="329" s="1"/>
  <c r="T17" i="329"/>
  <c r="T48" i="329" s="1"/>
  <c r="S17" i="329"/>
  <c r="S48" i="329" s="1"/>
  <c r="S371" i="329" s="1"/>
  <c r="R17" i="329"/>
  <c r="Q17" i="329"/>
  <c r="P17" i="329"/>
  <c r="P48" i="329" s="1"/>
  <c r="O17" i="329"/>
  <c r="N17" i="329"/>
  <c r="EA16" i="329"/>
  <c r="EB25" i="329" s="1"/>
  <c r="EA15" i="329"/>
  <c r="EA14" i="329"/>
  <c r="EA13" i="329"/>
  <c r="EB22" i="329" s="1"/>
  <c r="EA12" i="329"/>
  <c r="EA21" i="329" s="1"/>
  <c r="EA11" i="329"/>
  <c r="EA38" i="329" s="1"/>
  <c r="EG16" i="329"/>
  <c r="AP16" i="329" s="1"/>
  <c r="EF16" i="329"/>
  <c r="EE16" i="329"/>
  <c r="ED16" i="329"/>
  <c r="EC16" i="329"/>
  <c r="EC25" i="329" s="1"/>
  <c r="EG15" i="329"/>
  <c r="EF15" i="329"/>
  <c r="EE15" i="329"/>
  <c r="ED15" i="329"/>
  <c r="EC15" i="329"/>
  <c r="EG14" i="329"/>
  <c r="AP14" i="329" s="1"/>
  <c r="EF14" i="329"/>
  <c r="EE14" i="329"/>
  <c r="ED14" i="329"/>
  <c r="EC14" i="329"/>
  <c r="EC23" i="329" s="1"/>
  <c r="EG13" i="329"/>
  <c r="EF13" i="329"/>
  <c r="EE13" i="329"/>
  <c r="ED13" i="329"/>
  <c r="EC13" i="329"/>
  <c r="EG12" i="329"/>
  <c r="EF12" i="329"/>
  <c r="EE12" i="329"/>
  <c r="ED12" i="329"/>
  <c r="EC12" i="329"/>
  <c r="EC21" i="329" s="1"/>
  <c r="EG11" i="329"/>
  <c r="EG38" i="329" s="1"/>
  <c r="EE11" i="329"/>
  <c r="ED11" i="329"/>
  <c r="EC11" i="329"/>
  <c r="EB11" i="329"/>
  <c r="EW5" i="329"/>
  <c r="EU5" i="329"/>
  <c r="ET5" i="329"/>
  <c r="ES5" i="329"/>
  <c r="EP5" i="329"/>
  <c r="EO5" i="329"/>
  <c r="EN5" i="329"/>
  <c r="EM5" i="329"/>
  <c r="EL5" i="329"/>
  <c r="EK5" i="329"/>
  <c r="EJ5" i="329"/>
  <c r="EI5" i="329"/>
  <c r="EH5" i="329"/>
  <c r="EG5" i="329"/>
  <c r="EF5" i="329"/>
  <c r="EE5" i="329"/>
  <c r="ED5" i="329"/>
  <c r="DX5" i="329"/>
  <c r="DW5" i="329"/>
  <c r="DV5" i="329"/>
  <c r="DU5" i="329"/>
  <c r="DT5" i="329"/>
  <c r="DS5" i="329"/>
  <c r="DR5" i="329"/>
  <c r="DQ5" i="329"/>
  <c r="DP5" i="329"/>
  <c r="DC5" i="329"/>
  <c r="DB5" i="329"/>
  <c r="DA5" i="329"/>
  <c r="CZ5" i="329"/>
  <c r="CY5" i="329"/>
  <c r="CX5" i="329"/>
  <c r="CW5" i="329"/>
  <c r="CV5" i="329"/>
  <c r="CU5" i="329"/>
  <c r="CT5" i="329"/>
  <c r="CS5" i="329"/>
  <c r="CR5" i="329"/>
  <c r="CQ5" i="329"/>
  <c r="CP5" i="329"/>
  <c r="CO5" i="329"/>
  <c r="CN5" i="329"/>
  <c r="CM5" i="329"/>
  <c r="CL5" i="329"/>
  <c r="CK5" i="329"/>
  <c r="CJ5" i="329"/>
  <c r="CI5" i="329"/>
  <c r="CH5" i="329"/>
  <c r="BY5" i="329"/>
  <c r="BX5" i="329"/>
  <c r="BW5" i="329"/>
  <c r="BV5" i="329"/>
  <c r="BU5" i="329"/>
  <c r="BT5" i="329"/>
  <c r="BS5" i="329"/>
  <c r="BR5" i="329"/>
  <c r="BQ5" i="329"/>
  <c r="BP5" i="329"/>
  <c r="BO5" i="329"/>
  <c r="BN5" i="329"/>
  <c r="BM5" i="329"/>
  <c r="BL5" i="329"/>
  <c r="BK5" i="329"/>
  <c r="BJ5" i="329"/>
  <c r="BI5" i="329"/>
  <c r="BH5" i="329"/>
  <c r="BG5" i="329"/>
  <c r="BF5" i="329"/>
  <c r="BE5" i="329"/>
  <c r="BD5" i="329"/>
  <c r="BC5" i="329"/>
  <c r="BB5" i="329"/>
  <c r="BA5" i="329"/>
  <c r="AZ5" i="329"/>
  <c r="AY5" i="329"/>
  <c r="AX5" i="329"/>
  <c r="AW5" i="329"/>
  <c r="AV5" i="329"/>
  <c r="AU5" i="329"/>
  <c r="AT5" i="329"/>
  <c r="AS5" i="329"/>
  <c r="AR5" i="329"/>
  <c r="AQ5" i="329"/>
  <c r="AP5" i="329"/>
  <c r="AO5" i="329"/>
  <c r="AN5" i="329"/>
  <c r="AM5" i="329"/>
  <c r="AL5" i="329"/>
  <c r="AK5" i="329"/>
  <c r="AJ5" i="329"/>
  <c r="AI5" i="329"/>
  <c r="AH5" i="329"/>
  <c r="AG5" i="329"/>
  <c r="AF5" i="329"/>
  <c r="AE5" i="329"/>
  <c r="AD5" i="329"/>
  <c r="AC5" i="329"/>
  <c r="AB5" i="329"/>
  <c r="AA5" i="329"/>
  <c r="Z5" i="329"/>
  <c r="Y5" i="329"/>
  <c r="X5" i="329"/>
  <c r="W5" i="329"/>
  <c r="V5" i="329"/>
  <c r="U5" i="329"/>
  <c r="T5" i="329"/>
  <c r="S5" i="329"/>
  <c r="R5" i="329"/>
  <c r="Q5" i="329"/>
  <c r="P5" i="329"/>
  <c r="O5" i="329"/>
  <c r="N5" i="329"/>
  <c r="M5" i="329"/>
  <c r="L5" i="329"/>
  <c r="K5" i="329"/>
  <c r="J5" i="329"/>
  <c r="I5" i="329"/>
  <c r="H5" i="329"/>
  <c r="G5" i="329"/>
  <c r="F5" i="329"/>
  <c r="E5" i="329"/>
  <c r="D5" i="329"/>
  <c r="C5" i="329"/>
  <c r="B5" i="329"/>
  <c r="CX4" i="329"/>
  <c r="CT4" i="329"/>
  <c r="CP4" i="329"/>
  <c r="CL4" i="329"/>
  <c r="CH4" i="329"/>
  <c r="BV4" i="329"/>
  <c r="BR4" i="329"/>
  <c r="BN4" i="329"/>
  <c r="BJ4" i="329"/>
  <c r="BF4" i="329"/>
  <c r="BB4" i="329"/>
  <c r="AX4" i="329"/>
  <c r="B4" i="329"/>
  <c r="BF238" i="2"/>
  <c r="BE238" i="2"/>
  <c r="BD238" i="2"/>
  <c r="BC238" i="2"/>
  <c r="BB238" i="2"/>
  <c r="BY238" i="2"/>
  <c r="BX238" i="2"/>
  <c r="BW238" i="2"/>
  <c r="BV238" i="2"/>
  <c r="BU238" i="2"/>
  <c r="BT238" i="2"/>
  <c r="BS238" i="2"/>
  <c r="BR238" i="2"/>
  <c r="BQ238" i="2"/>
  <c r="BP238" i="2"/>
  <c r="BO238" i="2"/>
  <c r="BN238" i="2"/>
  <c r="BM238" i="2"/>
  <c r="BL238" i="2"/>
  <c r="BK238" i="2"/>
  <c r="BJ238" i="2"/>
  <c r="BI238" i="2"/>
  <c r="BH238" i="2"/>
  <c r="CO237" i="2"/>
  <c r="CM237" i="2"/>
  <c r="CL237" i="2"/>
  <c r="CK237" i="2"/>
  <c r="CI237" i="2"/>
  <c r="CH237" i="2"/>
  <c r="CG237" i="2"/>
  <c r="CF237" i="2"/>
  <c r="CE237" i="2"/>
  <c r="CD237" i="2"/>
  <c r="BY231" i="2"/>
  <c r="BX231" i="2"/>
  <c r="BW231" i="2"/>
  <c r="BV231" i="2"/>
  <c r="BU231" i="2"/>
  <c r="BT231" i="2"/>
  <c r="BS231" i="2"/>
  <c r="BR231" i="2"/>
  <c r="BQ231" i="2"/>
  <c r="BP231" i="2"/>
  <c r="BO231" i="2"/>
  <c r="BN231" i="2"/>
  <c r="BM231" i="2"/>
  <c r="BL231" i="2"/>
  <c r="BK231" i="2"/>
  <c r="BJ231" i="2"/>
  <c r="BI231" i="2"/>
  <c r="BH231" i="2"/>
  <c r="BG231" i="2"/>
  <c r="BF231" i="2"/>
  <c r="BE231" i="2"/>
  <c r="BD231" i="2"/>
  <c r="BC231" i="2"/>
  <c r="BB231" i="2"/>
  <c r="CZ230" i="2"/>
  <c r="CV230" i="2"/>
  <c r="CR230" i="2"/>
  <c r="CO230" i="2"/>
  <c r="CN230" i="2"/>
  <c r="CM230" i="2"/>
  <c r="CL230" i="2"/>
  <c r="CK230" i="2"/>
  <c r="CJ230" i="2"/>
  <c r="CI230" i="2"/>
  <c r="CH230" i="2"/>
  <c r="CG230" i="2"/>
  <c r="CF230" i="2"/>
  <c r="CE230" i="2"/>
  <c r="CD230" i="2"/>
  <c r="CO229" i="2"/>
  <c r="CN229" i="2"/>
  <c r="CM229" i="2"/>
  <c r="CL229" i="2"/>
  <c r="CK229" i="2"/>
  <c r="CJ229" i="2"/>
  <c r="CI229" i="2"/>
  <c r="CH229" i="2"/>
  <c r="CG229" i="2"/>
  <c r="CF229" i="2"/>
  <c r="CE229" i="2"/>
  <c r="CD229" i="2"/>
  <c r="CW226" i="2"/>
  <c r="CV226" i="2"/>
  <c r="CU226" i="2"/>
  <c r="CT226" i="2"/>
  <c r="CR226" i="2"/>
  <c r="CQ226" i="2"/>
  <c r="CP226" i="2"/>
  <c r="CN226" i="2"/>
  <c r="CM226" i="2"/>
  <c r="CL226" i="2"/>
  <c r="CJ226" i="2"/>
  <c r="CI226" i="2"/>
  <c r="CH226" i="2"/>
  <c r="CF226" i="2"/>
  <c r="CE226" i="2"/>
  <c r="CD226" i="2"/>
  <c r="DA225" i="2"/>
  <c r="CW225" i="2"/>
  <c r="CV225" i="2"/>
  <c r="CT225" i="2"/>
  <c r="CS225" i="2"/>
  <c r="CR225" i="2"/>
  <c r="CP225" i="2"/>
  <c r="CO225" i="2"/>
  <c r="CN225" i="2"/>
  <c r="CM225" i="2"/>
  <c r="CL225" i="2"/>
  <c r="CK225" i="2"/>
  <c r="CJ225" i="2"/>
  <c r="CI225" i="2"/>
  <c r="CH225" i="2"/>
  <c r="CG225" i="2"/>
  <c r="CF225" i="2"/>
  <c r="CE225" i="2"/>
  <c r="CD225" i="2"/>
  <c r="BY223" i="2"/>
  <c r="BW223" i="2"/>
  <c r="BV223" i="2"/>
  <c r="BU223" i="2"/>
  <c r="BT223" i="2"/>
  <c r="BS223" i="2"/>
  <c r="BR223" i="2"/>
  <c r="BQ223" i="2"/>
  <c r="BP223" i="2"/>
  <c r="BO223" i="2"/>
  <c r="BN223" i="2"/>
  <c r="BM223" i="2"/>
  <c r="BL223" i="2"/>
  <c r="BK223" i="2"/>
  <c r="BJ223" i="2"/>
  <c r="BI223" i="2"/>
  <c r="BH223" i="2"/>
  <c r="BG223" i="2"/>
  <c r="BF223" i="2"/>
  <c r="BE223" i="2"/>
  <c r="BD223" i="2"/>
  <c r="BC223" i="2"/>
  <c r="BB223" i="2"/>
  <c r="BQ209" i="2"/>
  <c r="BP209" i="2"/>
  <c r="BO209" i="2"/>
  <c r="BN209" i="2"/>
  <c r="BM209" i="2"/>
  <c r="BL209" i="2"/>
  <c r="BK209" i="2"/>
  <c r="BJ209" i="2"/>
  <c r="BI209" i="2"/>
  <c r="BH209" i="2"/>
  <c r="BG209" i="2"/>
  <c r="BF209" i="2"/>
  <c r="BE209" i="2"/>
  <c r="BD209" i="2"/>
  <c r="BC209" i="2"/>
  <c r="BB209" i="2"/>
  <c r="CG200" i="2"/>
  <c r="BY200" i="2"/>
  <c r="BX200" i="2"/>
  <c r="BW200" i="2"/>
  <c r="BV200" i="2"/>
  <c r="BU200" i="2"/>
  <c r="BT200" i="2"/>
  <c r="BS200" i="2"/>
  <c r="BR200" i="2"/>
  <c r="BQ200" i="2"/>
  <c r="BP200" i="2"/>
  <c r="BO200" i="2"/>
  <c r="BN200" i="2"/>
  <c r="BM200" i="2"/>
  <c r="BL200" i="2"/>
  <c r="BK200" i="2"/>
  <c r="BJ200" i="2"/>
  <c r="BI200" i="2"/>
  <c r="BH200" i="2"/>
  <c r="BG200" i="2"/>
  <c r="BF200" i="2"/>
  <c r="BE200" i="2"/>
  <c r="BD200" i="2"/>
  <c r="BC200" i="2"/>
  <c r="BB200" i="2"/>
  <c r="BA200" i="2"/>
  <c r="AZ200" i="2"/>
  <c r="AY200" i="2"/>
  <c r="AX200" i="2"/>
  <c r="CO199" i="2"/>
  <c r="CM199" i="2"/>
  <c r="CL199" i="2"/>
  <c r="CK199" i="2"/>
  <c r="CI199" i="2"/>
  <c r="CH199" i="2"/>
  <c r="CG199" i="2"/>
  <c r="CF199" i="2"/>
  <c r="CE199" i="2"/>
  <c r="CD199" i="2"/>
  <c r="CC199" i="2"/>
  <c r="CB199" i="2"/>
  <c r="CA199" i="2"/>
  <c r="BZ199" i="2"/>
  <c r="BX197" i="2"/>
  <c r="BV197" i="2"/>
  <c r="BT197" i="2"/>
  <c r="BR197" i="2"/>
  <c r="BP197" i="2"/>
  <c r="BN197" i="2"/>
  <c r="BF197" i="2"/>
  <c r="BD197" i="2"/>
  <c r="AZ197" i="2"/>
  <c r="AX197" i="2"/>
  <c r="DA193" i="2"/>
  <c r="CZ193" i="2"/>
  <c r="CO193" i="2"/>
  <c r="CN193" i="2"/>
  <c r="CM193" i="2"/>
  <c r="CL193" i="2"/>
  <c r="CK193" i="2"/>
  <c r="CJ193" i="2"/>
  <c r="CI193" i="2"/>
  <c r="CH193" i="2"/>
  <c r="CG193" i="2"/>
  <c r="CF193" i="2"/>
  <c r="CE193" i="2"/>
  <c r="CD193" i="2"/>
  <c r="CC193" i="2"/>
  <c r="CB193" i="2"/>
  <c r="CA193" i="2"/>
  <c r="BZ193" i="2"/>
  <c r="CZ189" i="2"/>
  <c r="CO189" i="2"/>
  <c r="CN189" i="2"/>
  <c r="CM189" i="2"/>
  <c r="CL189" i="2"/>
  <c r="CK189" i="2"/>
  <c r="CJ189" i="2"/>
  <c r="CI189" i="2"/>
  <c r="CH189" i="2"/>
  <c r="CG189" i="2"/>
  <c r="CF189" i="2"/>
  <c r="CE189" i="2"/>
  <c r="CD189" i="2"/>
  <c r="CC189" i="2"/>
  <c r="CB189" i="2"/>
  <c r="CA189" i="2"/>
  <c r="BZ189" i="2"/>
  <c r="DC183" i="2"/>
  <c r="DG209" i="2" s="1"/>
  <c r="DG245" i="2" s="1"/>
  <c r="DB183" i="2"/>
  <c r="DF209" i="2" s="1"/>
  <c r="CW183" i="2"/>
  <c r="CV183" i="2"/>
  <c r="CN183" i="2"/>
  <c r="CM183" i="2"/>
  <c r="CL183" i="2"/>
  <c r="CJ183" i="2"/>
  <c r="CI183" i="2"/>
  <c r="CH183" i="2"/>
  <c r="CF183" i="2"/>
  <c r="CE183" i="2"/>
  <c r="CD183" i="2"/>
  <c r="CB183" i="2"/>
  <c r="CB209" i="2" s="1"/>
  <c r="CA183" i="2"/>
  <c r="BZ183" i="2"/>
  <c r="FA179" i="2"/>
  <c r="DC179" i="2"/>
  <c r="DA179" i="2"/>
  <c r="CW179" i="2"/>
  <c r="CV179" i="2"/>
  <c r="CU179" i="2"/>
  <c r="CT179" i="2"/>
  <c r="CS179" i="2"/>
  <c r="CR179" i="2"/>
  <c r="CP179" i="2"/>
  <c r="CO179" i="2"/>
  <c r="CN179" i="2"/>
  <c r="CM179" i="2"/>
  <c r="CL179" i="2"/>
  <c r="CK179" i="2"/>
  <c r="CJ179" i="2"/>
  <c r="CI179" i="2"/>
  <c r="CH179" i="2"/>
  <c r="CG179" i="2"/>
  <c r="CF179" i="2"/>
  <c r="CE179" i="2"/>
  <c r="CD179" i="2"/>
  <c r="CC179" i="2"/>
  <c r="CB179" i="2"/>
  <c r="CA179" i="2"/>
  <c r="BZ179" i="2"/>
  <c r="BQ177" i="2"/>
  <c r="CG170" i="2"/>
  <c r="EP169" i="2"/>
  <c r="EP200" i="2" s="1"/>
  <c r="EO169" i="2"/>
  <c r="EO200" i="2" s="1"/>
  <c r="ER168" i="2"/>
  <c r="EQ168" i="2"/>
  <c r="EQ199" i="2" s="1"/>
  <c r="EN169" i="2"/>
  <c r="EM169" i="2"/>
  <c r="EL169" i="2"/>
  <c r="EK169" i="2"/>
  <c r="EK200" i="2" s="1"/>
  <c r="EK217" i="2" s="1"/>
  <c r="EJ169" i="2"/>
  <c r="EJ238" i="2" s="1"/>
  <c r="CN168" i="2"/>
  <c r="CJ168" i="2"/>
  <c r="ES168" i="2" s="1"/>
  <c r="CZ162" i="2"/>
  <c r="CO162" i="2"/>
  <c r="CO231" i="2" s="1"/>
  <c r="CN162" i="2"/>
  <c r="CM162" i="2"/>
  <c r="CM16" i="2" s="1"/>
  <c r="CL162" i="2"/>
  <c r="CL197" i="2" s="1"/>
  <c r="CK162" i="2"/>
  <c r="CJ162" i="2"/>
  <c r="CJ197" i="2" s="1"/>
  <c r="CI162" i="2"/>
  <c r="CH162" i="2"/>
  <c r="CG162" i="2"/>
  <c r="CF162" i="2"/>
  <c r="CE162" i="2"/>
  <c r="CD162" i="2"/>
  <c r="CC162" i="2"/>
  <c r="CC231" i="2" s="1"/>
  <c r="CB162" i="2"/>
  <c r="CB231" i="2" s="1"/>
  <c r="CA162" i="2"/>
  <c r="CA16" i="2" s="1"/>
  <c r="BZ162" i="2"/>
  <c r="CT161" i="2"/>
  <c r="CT193" i="2" s="1"/>
  <c r="CS161" i="2"/>
  <c r="CQ161" i="2"/>
  <c r="CP161" i="2"/>
  <c r="CP193" i="2" s="1"/>
  <c r="EP162" i="2"/>
  <c r="EO162" i="2"/>
  <c r="EN162" i="2"/>
  <c r="EM162" i="2"/>
  <c r="EL162" i="2"/>
  <c r="EK162" i="2"/>
  <c r="EJ162" i="2"/>
  <c r="ET161" i="2"/>
  <c r="ET230" i="2" s="1"/>
  <c r="ES161" i="2"/>
  <c r="ER161" i="2"/>
  <c r="ER193" i="2" s="1"/>
  <c r="EQ161" i="2"/>
  <c r="EQ193" i="2" s="1"/>
  <c r="ET160" i="2"/>
  <c r="ES160" i="2"/>
  <c r="ER160" i="2"/>
  <c r="ER189" i="2" s="1"/>
  <c r="EQ160" i="2"/>
  <c r="DC161" i="2"/>
  <c r="DB169" i="2"/>
  <c r="DC168" i="2"/>
  <c r="CX161" i="2"/>
  <c r="CX193" i="2" s="1"/>
  <c r="CW161" i="2"/>
  <c r="CW160" i="2"/>
  <c r="CW189" i="2" s="1"/>
  <c r="CV160" i="2"/>
  <c r="CZ229" i="2" s="1"/>
  <c r="CU160" i="2"/>
  <c r="CT160" i="2"/>
  <c r="CT162" i="2" s="1"/>
  <c r="CS160" i="2"/>
  <c r="CS229" i="2" s="1"/>
  <c r="CR160" i="2"/>
  <c r="CR229" i="2" s="1"/>
  <c r="CQ160" i="2"/>
  <c r="CQ229" i="2" s="1"/>
  <c r="CP160" i="2"/>
  <c r="CP162" i="2" s="1"/>
  <c r="CP231" i="2" s="1"/>
  <c r="DC157" i="2"/>
  <c r="DG227" i="2" s="1"/>
  <c r="CW157" i="2"/>
  <c r="CW187" i="2" s="1"/>
  <c r="CV157" i="2"/>
  <c r="CU157" i="2"/>
  <c r="CT157" i="2"/>
  <c r="CS157" i="2"/>
  <c r="BT157" i="2"/>
  <c r="BT187" i="2" s="1"/>
  <c r="BR157" i="2"/>
  <c r="BR187" i="2" s="1"/>
  <c r="BI157" i="2"/>
  <c r="BD157" i="2"/>
  <c r="BB157" i="2"/>
  <c r="AX157" i="2"/>
  <c r="AX187" i="2" s="1"/>
  <c r="DA156" i="2"/>
  <c r="CZ156" i="2"/>
  <c r="CZ183" i="2" s="1"/>
  <c r="CY156" i="2"/>
  <c r="DC226" i="2" s="1"/>
  <c r="CX156" i="2"/>
  <c r="CO156" i="2"/>
  <c r="CO183" i="2" s="1"/>
  <c r="CK156" i="2"/>
  <c r="CG156" i="2"/>
  <c r="ER156" i="2" s="1"/>
  <c r="CC156" i="2"/>
  <c r="CC183" i="2" s="1"/>
  <c r="CC209" i="2" s="1"/>
  <c r="EV156" i="2"/>
  <c r="EU156" i="2"/>
  <c r="EV155" i="2"/>
  <c r="ET155" i="2"/>
  <c r="ET225" i="2" s="1"/>
  <c r="ES155" i="2"/>
  <c r="ER155" i="2"/>
  <c r="EQ155" i="2"/>
  <c r="EQ179" i="2" s="1"/>
  <c r="EI156" i="2"/>
  <c r="DB179" i="2"/>
  <c r="CY155" i="2"/>
  <c r="CX155" i="2"/>
  <c r="CQ155" i="2"/>
  <c r="BY156" i="2"/>
  <c r="BX156" i="2"/>
  <c r="BX161" i="2" s="1"/>
  <c r="BX193" i="2" s="1"/>
  <c r="BW156" i="2"/>
  <c r="BW161" i="2" s="1"/>
  <c r="BV156" i="2"/>
  <c r="BV161" i="2" s="1"/>
  <c r="BV193" i="2" s="1"/>
  <c r="BU156" i="2"/>
  <c r="BT156" i="2"/>
  <c r="BT161" i="2" s="1"/>
  <c r="BS156" i="2"/>
  <c r="BR156" i="2"/>
  <c r="BQ156" i="2"/>
  <c r="BP156" i="2"/>
  <c r="CB226" i="2" s="1"/>
  <c r="BO156" i="2"/>
  <c r="BN156" i="2"/>
  <c r="BM156" i="2"/>
  <c r="BL156" i="2"/>
  <c r="BK156" i="2"/>
  <c r="BK161" i="2" s="1"/>
  <c r="BK193" i="2" s="1"/>
  <c r="BJ156" i="2"/>
  <c r="BI156" i="2"/>
  <c r="BH156" i="2"/>
  <c r="BH161" i="2" s="1"/>
  <c r="BG156" i="2"/>
  <c r="BG161" i="2" s="1"/>
  <c r="BG193" i="2" s="1"/>
  <c r="BF156" i="2"/>
  <c r="BE156" i="2"/>
  <c r="BE161" i="2" s="1"/>
  <c r="BE160" i="2" s="1"/>
  <c r="BD156" i="2"/>
  <c r="BD161" i="2" s="1"/>
  <c r="BC156" i="2"/>
  <c r="BC161" i="2" s="1"/>
  <c r="BB156" i="2"/>
  <c r="BA156" i="2"/>
  <c r="BA161" i="2" s="1"/>
  <c r="BA193" i="2" s="1"/>
  <c r="AZ156" i="2"/>
  <c r="AZ161" i="2" s="1"/>
  <c r="AY156" i="2"/>
  <c r="AX156" i="2"/>
  <c r="AX161" i="2" s="1"/>
  <c r="BX153" i="2"/>
  <c r="EO153" i="2"/>
  <c r="EN153" i="2"/>
  <c r="EM153" i="2"/>
  <c r="EL153" i="2"/>
  <c r="EK153" i="2"/>
  <c r="EJ153" i="2"/>
  <c r="BZ151" i="2"/>
  <c r="DX149" i="2"/>
  <c r="DW149" i="2"/>
  <c r="DV149" i="2"/>
  <c r="DU149" i="2"/>
  <c r="DT149" i="2"/>
  <c r="DS149" i="2"/>
  <c r="DR149" i="2"/>
  <c r="DQ149" i="2"/>
  <c r="DP149" i="2"/>
  <c r="EW148" i="2"/>
  <c r="ES148" i="2"/>
  <c r="EQ148" i="2"/>
  <c r="EP148" i="2"/>
  <c r="EK148" i="2"/>
  <c r="EI148" i="2"/>
  <c r="EG148" i="2"/>
  <c r="EE148" i="2"/>
  <c r="ED148" i="2"/>
  <c r="EC148" i="2"/>
  <c r="EB148" i="2"/>
  <c r="EA148" i="2"/>
  <c r="DZ148" i="2"/>
  <c r="DY148" i="2"/>
  <c r="DX148" i="2"/>
  <c r="DW148" i="2"/>
  <c r="DV148" i="2"/>
  <c r="DU148" i="2"/>
  <c r="DT148" i="2"/>
  <c r="DS148" i="2"/>
  <c r="DR148" i="2"/>
  <c r="DQ148" i="2"/>
  <c r="DP148" i="2"/>
  <c r="EW147" i="2"/>
  <c r="ET147" i="2"/>
  <c r="EQ147" i="2"/>
  <c r="EP147" i="2"/>
  <c r="EN147" i="2"/>
  <c r="EL147" i="2"/>
  <c r="EJ147" i="2"/>
  <c r="EH147" i="2"/>
  <c r="EG147" i="2"/>
  <c r="EF147" i="2"/>
  <c r="ED147" i="2"/>
  <c r="DX147" i="2"/>
  <c r="DT147" i="2"/>
  <c r="DS147" i="2"/>
  <c r="DR147" i="2"/>
  <c r="DQ147" i="2"/>
  <c r="DP147" i="2"/>
  <c r="BT149" i="2"/>
  <c r="BR149" i="2"/>
  <c r="BD149" i="2"/>
  <c r="BB149" i="2"/>
  <c r="AV149" i="2"/>
  <c r="AT149" i="2"/>
  <c r="AR149" i="2"/>
  <c r="AP149" i="2"/>
  <c r="AN149" i="2"/>
  <c r="AL149" i="2"/>
  <c r="AJ149" i="2"/>
  <c r="AH149" i="2"/>
  <c r="AF149" i="2"/>
  <c r="AD149" i="2"/>
  <c r="AB149" i="2"/>
  <c r="Z149" i="2"/>
  <c r="X149" i="2"/>
  <c r="V149" i="2"/>
  <c r="T149" i="2"/>
  <c r="R149" i="2"/>
  <c r="P149" i="2"/>
  <c r="N149" i="2"/>
  <c r="L149" i="2"/>
  <c r="J149" i="2"/>
  <c r="H149" i="2"/>
  <c r="F149" i="2"/>
  <c r="E149" i="2"/>
  <c r="D149" i="2"/>
  <c r="C149" i="2"/>
  <c r="B149" i="2"/>
  <c r="DC148" i="2"/>
  <c r="DC152" i="2" s="1"/>
  <c r="DB148" i="2"/>
  <c r="DB152" i="2" s="1"/>
  <c r="DA148" i="2"/>
  <c r="CZ148" i="2"/>
  <c r="CY148" i="2"/>
  <c r="CX148" i="2"/>
  <c r="CW148" i="2"/>
  <c r="CW152" i="2" s="1"/>
  <c r="CV148" i="2"/>
  <c r="CV152" i="2" s="1"/>
  <c r="CT148" i="2"/>
  <c r="CT152" i="2" s="1"/>
  <c r="CT176" i="2" s="1"/>
  <c r="CR148" i="2"/>
  <c r="CR152" i="2" s="1"/>
  <c r="CR176" i="2" s="1"/>
  <c r="CP148" i="2"/>
  <c r="CP152" i="2" s="1"/>
  <c r="CO148" i="2"/>
  <c r="CN148" i="2"/>
  <c r="CN152" i="2" s="1"/>
  <c r="CN222" i="2" s="1"/>
  <c r="CM148" i="2"/>
  <c r="CM152" i="2" s="1"/>
  <c r="CM176" i="2" s="1"/>
  <c r="CL148" i="2"/>
  <c r="CL152" i="2" s="1"/>
  <c r="CK148" i="2"/>
  <c r="CJ148" i="2"/>
  <c r="CJ152" i="2" s="1"/>
  <c r="CJ176" i="2" s="1"/>
  <c r="CI148" i="2"/>
  <c r="CI152" i="2" s="1"/>
  <c r="CI176" i="2" s="1"/>
  <c r="CH148" i="2"/>
  <c r="CH152" i="2" s="1"/>
  <c r="CG148" i="2"/>
  <c r="CG152" i="2" s="1"/>
  <c r="CG176" i="2" s="1"/>
  <c r="CF148" i="2"/>
  <c r="CF152" i="2" s="1"/>
  <c r="CF176" i="2" s="1"/>
  <c r="CE148" i="2"/>
  <c r="CE152" i="2" s="1"/>
  <c r="CD148" i="2"/>
  <c r="CD152" i="2" s="1"/>
  <c r="CC148" i="2"/>
  <c r="CB148" i="2"/>
  <c r="CB152" i="2" s="1"/>
  <c r="CA148" i="2"/>
  <c r="CA152" i="2" s="1"/>
  <c r="CA176" i="2" s="1"/>
  <c r="BZ148" i="2"/>
  <c r="BZ152" i="2" s="1"/>
  <c r="BZ176" i="2" s="1"/>
  <c r="BY148" i="2"/>
  <c r="BX148" i="2"/>
  <c r="BW148" i="2"/>
  <c r="BV148" i="2"/>
  <c r="BU148" i="2"/>
  <c r="BT148" i="2"/>
  <c r="BS148" i="2"/>
  <c r="BR148" i="2"/>
  <c r="BQ148" i="2"/>
  <c r="BP148" i="2"/>
  <c r="BO148" i="2"/>
  <c r="BN148" i="2"/>
  <c r="BM148" i="2"/>
  <c r="BL148" i="2"/>
  <c r="BK148" i="2"/>
  <c r="BJ148" i="2"/>
  <c r="BI148" i="2"/>
  <c r="BH148" i="2"/>
  <c r="BG148" i="2"/>
  <c r="BF148" i="2"/>
  <c r="BE148" i="2"/>
  <c r="BD148" i="2"/>
  <c r="BC148" i="2"/>
  <c r="BB148" i="2"/>
  <c r="BA148" i="2"/>
  <c r="AZ148" i="2"/>
  <c r="AY148" i="2"/>
  <c r="AX148" i="2"/>
  <c r="AW148" i="2"/>
  <c r="AV148" i="2"/>
  <c r="AU148" i="2"/>
  <c r="AT148" i="2"/>
  <c r="AS148" i="2"/>
  <c r="AR148" i="2"/>
  <c r="AQ148" i="2"/>
  <c r="AP148" i="2"/>
  <c r="AO148" i="2"/>
  <c r="AN148" i="2"/>
  <c r="AM148" i="2"/>
  <c r="AL148" i="2"/>
  <c r="AK148" i="2"/>
  <c r="AJ148" i="2"/>
  <c r="AI148" i="2"/>
  <c r="AH148" i="2"/>
  <c r="AG148" i="2"/>
  <c r="AF148" i="2"/>
  <c r="AE148" i="2"/>
  <c r="AD148" i="2"/>
  <c r="AC148" i="2"/>
  <c r="AB148" i="2"/>
  <c r="AA148" i="2"/>
  <c r="Z148" i="2"/>
  <c r="Y148" i="2"/>
  <c r="X148" i="2"/>
  <c r="W148" i="2"/>
  <c r="V148" i="2"/>
  <c r="U148" i="2"/>
  <c r="T148" i="2"/>
  <c r="S148" i="2"/>
  <c r="R148" i="2"/>
  <c r="Q148" i="2"/>
  <c r="P148" i="2"/>
  <c r="O148" i="2"/>
  <c r="N148" i="2"/>
  <c r="M148" i="2"/>
  <c r="L148" i="2"/>
  <c r="K148" i="2"/>
  <c r="J148" i="2"/>
  <c r="I148" i="2"/>
  <c r="H148" i="2"/>
  <c r="G148" i="2"/>
  <c r="F148" i="2"/>
  <c r="E148" i="2"/>
  <c r="D148" i="2"/>
  <c r="C148" i="2"/>
  <c r="B148" i="2"/>
  <c r="DC147" i="2"/>
  <c r="DB147" i="2"/>
  <c r="DA147" i="2"/>
  <c r="CZ147" i="2"/>
  <c r="CY147" i="2"/>
  <c r="CX147" i="2"/>
  <c r="CW147" i="2"/>
  <c r="CW151" i="2" s="1"/>
  <c r="CV147" i="2"/>
  <c r="CU147" i="2"/>
  <c r="CU151" i="2" s="1"/>
  <c r="CU168" i="2" s="1"/>
  <c r="CT147" i="2"/>
  <c r="CS147" i="2"/>
  <c r="CS151" i="2" s="1"/>
  <c r="CS175" i="2" s="1"/>
  <c r="CR147" i="2"/>
  <c r="CQ147" i="2"/>
  <c r="CP147" i="2"/>
  <c r="CO147" i="2"/>
  <c r="CN147" i="2"/>
  <c r="CM147" i="2"/>
  <c r="CM151" i="2" s="1"/>
  <c r="CL147" i="2"/>
  <c r="CL151" i="2" s="1"/>
  <c r="CK147" i="2"/>
  <c r="CK151" i="2" s="1"/>
  <c r="CJ147" i="2"/>
  <c r="CJ151" i="2" s="1"/>
  <c r="CJ175" i="2" s="1"/>
  <c r="CI147" i="2"/>
  <c r="CI151" i="2" s="1"/>
  <c r="CI175" i="2" s="1"/>
  <c r="CH147" i="2"/>
  <c r="CH151" i="2" s="1"/>
  <c r="CH175" i="2" s="1"/>
  <c r="CG147" i="2"/>
  <c r="CG151" i="2" s="1"/>
  <c r="CF147" i="2"/>
  <c r="CF151" i="2" s="1"/>
  <c r="CF175" i="2" s="1"/>
  <c r="CE147" i="2"/>
  <c r="CE151" i="2" s="1"/>
  <c r="CE175" i="2" s="1"/>
  <c r="CD147" i="2"/>
  <c r="CD151" i="2" s="1"/>
  <c r="CD175" i="2" s="1"/>
  <c r="CC147" i="2"/>
  <c r="CC151" i="2" s="1"/>
  <c r="CB147" i="2"/>
  <c r="CB151" i="2" s="1"/>
  <c r="CB175" i="2" s="1"/>
  <c r="CA147" i="2"/>
  <c r="CA151" i="2" s="1"/>
  <c r="BZ147" i="2"/>
  <c r="BY147" i="2"/>
  <c r="BX147" i="2"/>
  <c r="BW147" i="2"/>
  <c r="BV147" i="2"/>
  <c r="BU147" i="2"/>
  <c r="BT147" i="2"/>
  <c r="BS147" i="2"/>
  <c r="BR147" i="2"/>
  <c r="BQ147" i="2"/>
  <c r="BP147" i="2"/>
  <c r="BO147" i="2"/>
  <c r="BN147" i="2"/>
  <c r="BM147" i="2"/>
  <c r="BL147" i="2"/>
  <c r="BK147" i="2"/>
  <c r="BJ147" i="2"/>
  <c r="BI147" i="2"/>
  <c r="BH147" i="2"/>
  <c r="BG147" i="2"/>
  <c r="BF147" i="2"/>
  <c r="BE147" i="2"/>
  <c r="BD147" i="2"/>
  <c r="BC147" i="2"/>
  <c r="BB147" i="2"/>
  <c r="BA147" i="2"/>
  <c r="AZ147" i="2"/>
  <c r="AY147" i="2"/>
  <c r="AX147" i="2"/>
  <c r="AW147" i="2"/>
  <c r="AV147" i="2"/>
  <c r="AU147" i="2"/>
  <c r="AT147" i="2"/>
  <c r="AS147" i="2"/>
  <c r="AR147" i="2"/>
  <c r="AQ147" i="2"/>
  <c r="AP147" i="2"/>
  <c r="AO147" i="2"/>
  <c r="AN147" i="2"/>
  <c r="AM147" i="2"/>
  <c r="AL147" i="2"/>
  <c r="AK147" i="2"/>
  <c r="AJ147" i="2"/>
  <c r="AI147" i="2"/>
  <c r="AH147" i="2"/>
  <c r="AG147" i="2"/>
  <c r="AF147" i="2"/>
  <c r="AE147" i="2"/>
  <c r="AD147" i="2"/>
  <c r="AC147" i="2"/>
  <c r="AB147" i="2"/>
  <c r="AA147" i="2"/>
  <c r="Z147" i="2"/>
  <c r="Y147" i="2"/>
  <c r="X147" i="2"/>
  <c r="W147" i="2"/>
  <c r="V147" i="2"/>
  <c r="U147" i="2"/>
  <c r="T147" i="2"/>
  <c r="S147" i="2"/>
  <c r="R147" i="2"/>
  <c r="Q147" i="2"/>
  <c r="P147" i="2"/>
  <c r="O147" i="2"/>
  <c r="N147" i="2"/>
  <c r="M147" i="2"/>
  <c r="L147" i="2"/>
  <c r="K147" i="2"/>
  <c r="J147" i="2"/>
  <c r="I147" i="2"/>
  <c r="H147" i="2"/>
  <c r="G147" i="2"/>
  <c r="F147" i="2"/>
  <c r="E147" i="2"/>
  <c r="D147" i="2"/>
  <c r="C147" i="2"/>
  <c r="B147" i="2"/>
  <c r="EU139" i="2"/>
  <c r="EV139" i="2" s="1"/>
  <c r="EW139" i="2" s="1"/>
  <c r="EX139" i="2" s="1"/>
  <c r="EY139" i="2" s="1"/>
  <c r="EW131" i="2"/>
  <c r="EM133" i="2"/>
  <c r="EL133" i="2"/>
  <c r="EV131" i="2"/>
  <c r="EU131" i="2"/>
  <c r="ES131" i="2"/>
  <c r="ER131" i="2"/>
  <c r="EQ131" i="2"/>
  <c r="EP131" i="2"/>
  <c r="EO131" i="2"/>
  <c r="EN131" i="2"/>
  <c r="EM131" i="2"/>
  <c r="EL131" i="2"/>
  <c r="EK131" i="2"/>
  <c r="EJ131" i="2"/>
  <c r="EI131" i="2"/>
  <c r="EH131" i="2"/>
  <c r="EG131" i="2"/>
  <c r="EF131" i="2"/>
  <c r="EE131" i="2"/>
  <c r="ED131" i="2"/>
  <c r="EC131" i="2"/>
  <c r="EB131" i="2"/>
  <c r="DW133" i="2"/>
  <c r="DV133" i="2"/>
  <c r="DU133" i="2"/>
  <c r="DT133" i="2"/>
  <c r="DS133" i="2"/>
  <c r="DR133" i="2"/>
  <c r="EA131" i="2"/>
  <c r="DZ131" i="2"/>
  <c r="DY131" i="2"/>
  <c r="DX131" i="2"/>
  <c r="DW131" i="2"/>
  <c r="DV131" i="2"/>
  <c r="DU131" i="2"/>
  <c r="DT131" i="2"/>
  <c r="DS131" i="2"/>
  <c r="DR131" i="2"/>
  <c r="CI133" i="2"/>
  <c r="CH133" i="2"/>
  <c r="CG133" i="2"/>
  <c r="CF133" i="2"/>
  <c r="CE133" i="2"/>
  <c r="CD133" i="2"/>
  <c r="CC133" i="2"/>
  <c r="CB133" i="2"/>
  <c r="CA133" i="2"/>
  <c r="BZ133" i="2"/>
  <c r="BW133" i="2"/>
  <c r="BV133" i="2"/>
  <c r="BU133" i="2"/>
  <c r="BT133" i="2"/>
  <c r="BS133" i="2"/>
  <c r="BR133" i="2"/>
  <c r="BK133" i="2"/>
  <c r="BJ133" i="2"/>
  <c r="BI133" i="2"/>
  <c r="BH133" i="2"/>
  <c r="BG133" i="2"/>
  <c r="BF133" i="2"/>
  <c r="BE133" i="2"/>
  <c r="BD133" i="2"/>
  <c r="BC133" i="2"/>
  <c r="BB133" i="2"/>
  <c r="BA133" i="2"/>
  <c r="AZ133" i="2"/>
  <c r="AY133" i="2"/>
  <c r="AX133" i="2"/>
  <c r="AW133" i="2"/>
  <c r="AV133" i="2"/>
  <c r="AU133" i="2"/>
  <c r="AT133" i="2"/>
  <c r="AS133" i="2"/>
  <c r="AR133" i="2"/>
  <c r="AQ133" i="2"/>
  <c r="AP133" i="2"/>
  <c r="AO133" i="2"/>
  <c r="AN133" i="2"/>
  <c r="AM133" i="2"/>
  <c r="AL133" i="2"/>
  <c r="AK133" i="2"/>
  <c r="AJ133" i="2"/>
  <c r="AI133" i="2"/>
  <c r="AH133" i="2"/>
  <c r="AG133" i="2"/>
  <c r="AF133" i="2"/>
  <c r="AE133" i="2"/>
  <c r="AD133" i="2"/>
  <c r="AC133" i="2"/>
  <c r="AB133" i="2"/>
  <c r="AA133" i="2"/>
  <c r="Z133" i="2"/>
  <c r="Y133" i="2"/>
  <c r="X133" i="2"/>
  <c r="W133" i="2"/>
  <c r="V133" i="2"/>
  <c r="U133" i="2"/>
  <c r="T133" i="2"/>
  <c r="S133" i="2"/>
  <c r="R133" i="2"/>
  <c r="Q133" i="2"/>
  <c r="P133" i="2"/>
  <c r="O133" i="2"/>
  <c r="N133" i="2"/>
  <c r="M133" i="2"/>
  <c r="L133" i="2"/>
  <c r="K133" i="2"/>
  <c r="J133" i="2"/>
  <c r="I133" i="2"/>
  <c r="H133" i="2"/>
  <c r="G133" i="2"/>
  <c r="F133" i="2"/>
  <c r="CO131" i="2"/>
  <c r="CN131" i="2"/>
  <c r="CM131" i="2"/>
  <c r="CL131" i="2"/>
  <c r="CK131" i="2"/>
  <c r="CJ131" i="2"/>
  <c r="CI131" i="2"/>
  <c r="CH131" i="2"/>
  <c r="CG131" i="2"/>
  <c r="CF131" i="2"/>
  <c r="CE131" i="2"/>
  <c r="CD131" i="2"/>
  <c r="CC131" i="2"/>
  <c r="CB131" i="2"/>
  <c r="CA131" i="2"/>
  <c r="BZ131" i="2"/>
  <c r="BY131" i="2"/>
  <c r="BX131" i="2"/>
  <c r="BW131" i="2"/>
  <c r="BV131" i="2"/>
  <c r="BU131" i="2"/>
  <c r="BT131" i="2"/>
  <c r="BS131" i="2"/>
  <c r="BR131" i="2"/>
  <c r="BQ131" i="2"/>
  <c r="BP131" i="2"/>
  <c r="BO131" i="2"/>
  <c r="BN131" i="2"/>
  <c r="BM131" i="2"/>
  <c r="BL131" i="2"/>
  <c r="BK131" i="2"/>
  <c r="BJ131" i="2"/>
  <c r="BI131" i="2"/>
  <c r="BH131" i="2"/>
  <c r="BG131" i="2"/>
  <c r="BF131" i="2"/>
  <c r="BE131" i="2"/>
  <c r="BD131" i="2"/>
  <c r="BC131" i="2"/>
  <c r="BB131" i="2"/>
  <c r="BA131" i="2"/>
  <c r="AZ131" i="2"/>
  <c r="AY131" i="2"/>
  <c r="AX131" i="2"/>
  <c r="AW131" i="2"/>
  <c r="AV131" i="2"/>
  <c r="AU131" i="2"/>
  <c r="AT131" i="2"/>
  <c r="AS131" i="2"/>
  <c r="AR131" i="2"/>
  <c r="AQ131" i="2"/>
  <c r="AP131" i="2"/>
  <c r="AO131" i="2"/>
  <c r="AN131" i="2"/>
  <c r="AM131" i="2"/>
  <c r="AL131" i="2"/>
  <c r="AK131" i="2"/>
  <c r="AJ131" i="2"/>
  <c r="AI131" i="2"/>
  <c r="AH131" i="2"/>
  <c r="AG131" i="2"/>
  <c r="AF131" i="2"/>
  <c r="AE131" i="2"/>
  <c r="AD131" i="2"/>
  <c r="AC131" i="2"/>
  <c r="AB131" i="2"/>
  <c r="AA131" i="2"/>
  <c r="Z131" i="2"/>
  <c r="Y131" i="2"/>
  <c r="X131" i="2"/>
  <c r="W131" i="2"/>
  <c r="V131" i="2"/>
  <c r="U131" i="2"/>
  <c r="T131" i="2"/>
  <c r="S131" i="2"/>
  <c r="R131" i="2"/>
  <c r="Q131" i="2"/>
  <c r="P131" i="2"/>
  <c r="O131" i="2"/>
  <c r="N131" i="2"/>
  <c r="M131" i="2"/>
  <c r="L131" i="2"/>
  <c r="K131" i="2"/>
  <c r="J131" i="2"/>
  <c r="I131" i="2"/>
  <c r="H131" i="2"/>
  <c r="G131" i="2"/>
  <c r="F131" i="2"/>
  <c r="E128" i="2"/>
  <c r="D128" i="2"/>
  <c r="C128" i="2"/>
  <c r="B128" i="2"/>
  <c r="E127" i="2"/>
  <c r="D127" i="2"/>
  <c r="C127" i="2"/>
  <c r="B127" i="2"/>
  <c r="DW109" i="2"/>
  <c r="DV109" i="2"/>
  <c r="DU109" i="2"/>
  <c r="DR109" i="2"/>
  <c r="DQ109" i="2"/>
  <c r="DW107" i="2"/>
  <c r="DV107" i="2"/>
  <c r="DU107" i="2"/>
  <c r="DT107" i="2"/>
  <c r="DS107" i="2"/>
  <c r="DR107" i="2"/>
  <c r="DQ107" i="2"/>
  <c r="ET106" i="2"/>
  <c r="ER106" i="2"/>
  <c r="EQ106" i="2"/>
  <c r="EM106" i="2"/>
  <c r="EL106" i="2"/>
  <c r="EK106" i="2"/>
  <c r="EJ106" i="2"/>
  <c r="EE106" i="2"/>
  <c r="ED106" i="2"/>
  <c r="EC106" i="2"/>
  <c r="EB106" i="2"/>
  <c r="EA106" i="2"/>
  <c r="DZ106" i="2"/>
  <c r="DY106" i="2"/>
  <c r="DX106" i="2"/>
  <c r="DW106" i="2"/>
  <c r="DV106" i="2"/>
  <c r="DU106" i="2"/>
  <c r="DT106" i="2"/>
  <c r="DS106" i="2"/>
  <c r="DR106" i="2"/>
  <c r="DQ106" i="2"/>
  <c r="ET105" i="2"/>
  <c r="ES105" i="2"/>
  <c r="ER105" i="2"/>
  <c r="EQ105" i="2"/>
  <c r="EO105" i="2"/>
  <c r="EN105" i="2"/>
  <c r="EM105" i="2"/>
  <c r="EL105" i="2"/>
  <c r="EK105" i="2"/>
  <c r="EJ105" i="2"/>
  <c r="EE105" i="2"/>
  <c r="ED105" i="2"/>
  <c r="EC105" i="2"/>
  <c r="EB105" i="2"/>
  <c r="EA105" i="2"/>
  <c r="DZ105" i="2"/>
  <c r="DY105" i="2"/>
  <c r="DX105" i="2"/>
  <c r="DW105" i="2"/>
  <c r="DV105" i="2"/>
  <c r="DU105" i="2"/>
  <c r="DT105" i="2"/>
  <c r="DS105" i="2"/>
  <c r="DR105" i="2"/>
  <c r="DQ105" i="2"/>
  <c r="ET104" i="2"/>
  <c r="ES104" i="2"/>
  <c r="ES243" i="2" s="1"/>
  <c r="ER104" i="2"/>
  <c r="EQ104" i="2"/>
  <c r="EQ243" i="2" s="1"/>
  <c r="EO104" i="2"/>
  <c r="EN104" i="2"/>
  <c r="EM104" i="2"/>
  <c r="EL104" i="2"/>
  <c r="EK104" i="2"/>
  <c r="EJ104" i="2"/>
  <c r="EE104" i="2"/>
  <c r="ED104" i="2"/>
  <c r="EB104" i="2"/>
  <c r="EA104" i="2"/>
  <c r="DZ104" i="2"/>
  <c r="DY104" i="2"/>
  <c r="DX104" i="2"/>
  <c r="DW104" i="2"/>
  <c r="DV104" i="2"/>
  <c r="DU104" i="2"/>
  <c r="DT104" i="2"/>
  <c r="DS104" i="2"/>
  <c r="DR104" i="2"/>
  <c r="DQ104" i="2"/>
  <c r="AW109" i="2"/>
  <c r="AV109" i="2"/>
  <c r="AT109" i="2"/>
  <c r="AS109" i="2"/>
  <c r="AR109" i="2"/>
  <c r="AQ109" i="2"/>
  <c r="AP109" i="2"/>
  <c r="AO109" i="2"/>
  <c r="AN109" i="2"/>
  <c r="AM109" i="2"/>
  <c r="AL109" i="2"/>
  <c r="AK109" i="2"/>
  <c r="AJ109" i="2"/>
  <c r="AI109" i="2"/>
  <c r="AH109" i="2"/>
  <c r="AG109" i="2"/>
  <c r="AF109" i="2"/>
  <c r="AE109" i="2"/>
  <c r="AD109" i="2"/>
  <c r="AC109" i="2"/>
  <c r="AB109" i="2"/>
  <c r="AA109" i="2"/>
  <c r="Z109" i="2"/>
  <c r="Y109" i="2"/>
  <c r="X109" i="2"/>
  <c r="W109" i="2"/>
  <c r="V109" i="2"/>
  <c r="U109" i="2"/>
  <c r="T109" i="2"/>
  <c r="S109" i="2"/>
  <c r="R109" i="2"/>
  <c r="Q109" i="2"/>
  <c r="P109" i="2"/>
  <c r="O109" i="2"/>
  <c r="N109" i="2"/>
  <c r="M109" i="2"/>
  <c r="L109" i="2"/>
  <c r="K109" i="2"/>
  <c r="J109" i="2"/>
  <c r="I109" i="2"/>
  <c r="H109" i="2"/>
  <c r="G109" i="2"/>
  <c r="F109" i="2"/>
  <c r="AK107" i="2"/>
  <c r="AJ107" i="2"/>
  <c r="AI107" i="2"/>
  <c r="AH107" i="2"/>
  <c r="AG107" i="2"/>
  <c r="AF107" i="2"/>
  <c r="AE107" i="2"/>
  <c r="AD107" i="2"/>
  <c r="AC107" i="2"/>
  <c r="AB107" i="2"/>
  <c r="AA107" i="2"/>
  <c r="Z107" i="2"/>
  <c r="Y107" i="2"/>
  <c r="X107" i="2"/>
  <c r="W107" i="2"/>
  <c r="V107" i="2"/>
  <c r="U107" i="2"/>
  <c r="T107" i="2"/>
  <c r="S107" i="2"/>
  <c r="R107" i="2"/>
  <c r="Q107" i="2"/>
  <c r="P107" i="2"/>
  <c r="O107" i="2"/>
  <c r="N107" i="2"/>
  <c r="M107" i="2"/>
  <c r="L107" i="2"/>
  <c r="K107" i="2"/>
  <c r="J107" i="2"/>
  <c r="I107" i="2"/>
  <c r="H107" i="2"/>
  <c r="G107" i="2"/>
  <c r="F107" i="2"/>
  <c r="CY106" i="2"/>
  <c r="CW106" i="2"/>
  <c r="CV106" i="2"/>
  <c r="CU106" i="2"/>
  <c r="CT106" i="2"/>
  <c r="CS106" i="2"/>
  <c r="CR106" i="2"/>
  <c r="CQ106" i="2"/>
  <c r="CP106" i="2"/>
  <c r="CO106" i="2"/>
  <c r="CN106" i="2"/>
  <c r="CM106" i="2"/>
  <c r="CL106" i="2"/>
  <c r="CK106" i="2"/>
  <c r="CJ106" i="2"/>
  <c r="CI106" i="2"/>
  <c r="CH106" i="2"/>
  <c r="CG106" i="2"/>
  <c r="CF106" i="2"/>
  <c r="CE106" i="2"/>
  <c r="CD106" i="2"/>
  <c r="CC106" i="2"/>
  <c r="CB106" i="2"/>
  <c r="CA106" i="2"/>
  <c r="BZ106" i="2"/>
  <c r="BY106" i="2"/>
  <c r="BX106" i="2"/>
  <c r="BW106" i="2"/>
  <c r="BV106" i="2"/>
  <c r="BU106" i="2"/>
  <c r="BT106" i="2"/>
  <c r="BS106" i="2"/>
  <c r="BR106" i="2"/>
  <c r="BQ106" i="2"/>
  <c r="BP106" i="2"/>
  <c r="BO106" i="2"/>
  <c r="BN106" i="2"/>
  <c r="BM106" i="2"/>
  <c r="BL106" i="2"/>
  <c r="BK106" i="2"/>
  <c r="BJ106" i="2"/>
  <c r="BI106" i="2"/>
  <c r="BH106" i="2"/>
  <c r="BG106" i="2"/>
  <c r="BF106" i="2"/>
  <c r="BE106" i="2"/>
  <c r="BD106" i="2"/>
  <c r="BC106" i="2"/>
  <c r="BB106" i="2"/>
  <c r="BA106" i="2"/>
  <c r="AZ106" i="2"/>
  <c r="AY106" i="2"/>
  <c r="AX106" i="2"/>
  <c r="AW106" i="2"/>
  <c r="AV106" i="2"/>
  <c r="AU106" i="2"/>
  <c r="AT106" i="2"/>
  <c r="AS106" i="2"/>
  <c r="AR106" i="2"/>
  <c r="AQ106" i="2"/>
  <c r="AP106" i="2"/>
  <c r="AO106" i="2"/>
  <c r="AN106" i="2"/>
  <c r="AM106" i="2"/>
  <c r="AL106" i="2"/>
  <c r="AK106" i="2"/>
  <c r="AJ106" i="2"/>
  <c r="AI106" i="2"/>
  <c r="AH106" i="2"/>
  <c r="AG106" i="2"/>
  <c r="AF106" i="2"/>
  <c r="AE106" i="2"/>
  <c r="AD106" i="2"/>
  <c r="AC106" i="2"/>
  <c r="AB106" i="2"/>
  <c r="AA106" i="2"/>
  <c r="Z106" i="2"/>
  <c r="Y106" i="2"/>
  <c r="X106" i="2"/>
  <c r="W106" i="2"/>
  <c r="V106" i="2"/>
  <c r="U106" i="2"/>
  <c r="T106" i="2"/>
  <c r="S106" i="2"/>
  <c r="R106" i="2"/>
  <c r="Q106" i="2"/>
  <c r="P106" i="2"/>
  <c r="O106" i="2"/>
  <c r="N106" i="2"/>
  <c r="M106" i="2"/>
  <c r="L106" i="2"/>
  <c r="K106" i="2"/>
  <c r="J106" i="2"/>
  <c r="I106" i="2"/>
  <c r="H106" i="2"/>
  <c r="G106" i="2"/>
  <c r="F106" i="2"/>
  <c r="DC105" i="2"/>
  <c r="DA105" i="2"/>
  <c r="CY105" i="2"/>
  <c r="CW105" i="2"/>
  <c r="CV105" i="2"/>
  <c r="CU105" i="2"/>
  <c r="CT105" i="2"/>
  <c r="CS105" i="2"/>
  <c r="CR105" i="2"/>
  <c r="CQ105" i="2"/>
  <c r="CP105" i="2"/>
  <c r="CO105" i="2"/>
  <c r="CN105" i="2"/>
  <c r="CM105" i="2"/>
  <c r="CL105" i="2"/>
  <c r="CK105" i="2"/>
  <c r="CJ105" i="2"/>
  <c r="CI105" i="2"/>
  <c r="CH105" i="2"/>
  <c r="CG105" i="2"/>
  <c r="CF105" i="2"/>
  <c r="CE105" i="2"/>
  <c r="CD105" i="2"/>
  <c r="CC105" i="2"/>
  <c r="CB105" i="2"/>
  <c r="CA105" i="2"/>
  <c r="BZ105" i="2"/>
  <c r="BY105" i="2"/>
  <c r="BX105" i="2"/>
  <c r="BW105" i="2"/>
  <c r="BV105" i="2"/>
  <c r="BU105" i="2"/>
  <c r="BT105" i="2"/>
  <c r="BS105" i="2"/>
  <c r="BR105" i="2"/>
  <c r="BQ105" i="2"/>
  <c r="BP105" i="2"/>
  <c r="BO105" i="2"/>
  <c r="BN105" i="2"/>
  <c r="BM105" i="2"/>
  <c r="BL105" i="2"/>
  <c r="BK105" i="2"/>
  <c r="BJ105" i="2"/>
  <c r="BI105" i="2"/>
  <c r="BH105" i="2"/>
  <c r="BG105" i="2"/>
  <c r="BF105" i="2"/>
  <c r="BE105" i="2"/>
  <c r="BD105" i="2"/>
  <c r="BC105" i="2"/>
  <c r="BB105" i="2"/>
  <c r="BA105" i="2"/>
  <c r="AZ105" i="2"/>
  <c r="AY105" i="2"/>
  <c r="AX105" i="2"/>
  <c r="AW105" i="2"/>
  <c r="AV105" i="2"/>
  <c r="AU105" i="2"/>
  <c r="AT105" i="2"/>
  <c r="AS105" i="2"/>
  <c r="AR105" i="2"/>
  <c r="AQ105" i="2"/>
  <c r="AP105" i="2"/>
  <c r="AO105" i="2"/>
  <c r="AN105" i="2"/>
  <c r="AM105" i="2"/>
  <c r="AL105" i="2"/>
  <c r="AK105" i="2"/>
  <c r="AJ105" i="2"/>
  <c r="AI105" i="2"/>
  <c r="AH105" i="2"/>
  <c r="AG105" i="2"/>
  <c r="AF105" i="2"/>
  <c r="AE105" i="2"/>
  <c r="AD105" i="2"/>
  <c r="AC105" i="2"/>
  <c r="AB105" i="2"/>
  <c r="AA105" i="2"/>
  <c r="Z105" i="2"/>
  <c r="Y105" i="2"/>
  <c r="X105" i="2"/>
  <c r="W105" i="2"/>
  <c r="V105" i="2"/>
  <c r="U105" i="2"/>
  <c r="T105" i="2"/>
  <c r="S105" i="2"/>
  <c r="R105" i="2"/>
  <c r="Q105" i="2"/>
  <c r="P105" i="2"/>
  <c r="O105" i="2"/>
  <c r="N105" i="2"/>
  <c r="M105" i="2"/>
  <c r="L105" i="2"/>
  <c r="K105" i="2"/>
  <c r="J105" i="2"/>
  <c r="I105" i="2"/>
  <c r="H105" i="2"/>
  <c r="G105" i="2"/>
  <c r="F105" i="2"/>
  <c r="DB104" i="2"/>
  <c r="DA104" i="2"/>
  <c r="CZ104" i="2"/>
  <c r="CW104" i="2"/>
  <c r="CT104" i="2"/>
  <c r="CS104" i="2"/>
  <c r="CR104" i="2"/>
  <c r="CO104" i="2"/>
  <c r="CL104" i="2"/>
  <c r="CK104" i="2"/>
  <c r="CJ104" i="2"/>
  <c r="CG104" i="2"/>
  <c r="CD104" i="2"/>
  <c r="CC104" i="2"/>
  <c r="CB104" i="2"/>
  <c r="BY104" i="2"/>
  <c r="BV104" i="2"/>
  <c r="BU104" i="2"/>
  <c r="BT104" i="2"/>
  <c r="BQ104" i="2"/>
  <c r="BN104" i="2"/>
  <c r="BM104" i="2"/>
  <c r="BL104" i="2"/>
  <c r="BI104" i="2"/>
  <c r="BF104" i="2"/>
  <c r="BE104" i="2"/>
  <c r="BD104" i="2"/>
  <c r="BA104" i="2"/>
  <c r="AX104" i="2"/>
  <c r="AW104" i="2"/>
  <c r="AV104" i="2"/>
  <c r="AS104" i="2"/>
  <c r="AP104" i="2"/>
  <c r="AO104" i="2"/>
  <c r="AN104" i="2"/>
  <c r="AK104" i="2"/>
  <c r="AH104" i="2"/>
  <c r="AG104" i="2"/>
  <c r="AF104" i="2"/>
  <c r="AC104" i="2"/>
  <c r="Z104" i="2"/>
  <c r="Y104" i="2"/>
  <c r="X104" i="2"/>
  <c r="U104" i="2"/>
  <c r="R104" i="2"/>
  <c r="Q104" i="2"/>
  <c r="P104" i="2"/>
  <c r="M104" i="2"/>
  <c r="J104" i="2"/>
  <c r="I104" i="2"/>
  <c r="H104" i="2"/>
  <c r="DW87" i="2"/>
  <c r="DV87" i="2"/>
  <c r="DU87" i="2"/>
  <c r="DT87" i="2"/>
  <c r="DS87" i="2"/>
  <c r="DR87" i="2"/>
  <c r="DQ87" i="2"/>
  <c r="DW85" i="2"/>
  <c r="DV85" i="2"/>
  <c r="DU85" i="2"/>
  <c r="DT85" i="2"/>
  <c r="DS85" i="2"/>
  <c r="DR85" i="2"/>
  <c r="DQ85" i="2"/>
  <c r="DQ99" i="2" s="1"/>
  <c r="AV85" i="2"/>
  <c r="AT85" i="2"/>
  <c r="AK85" i="2"/>
  <c r="AJ85" i="2"/>
  <c r="AI85" i="2"/>
  <c r="AH85" i="2"/>
  <c r="AG85" i="2"/>
  <c r="AF85" i="2"/>
  <c r="AE85" i="2"/>
  <c r="AD85" i="2"/>
  <c r="AC85" i="2"/>
  <c r="AB85" i="2"/>
  <c r="AA85" i="2"/>
  <c r="Z85" i="2"/>
  <c r="Y85" i="2"/>
  <c r="X85" i="2"/>
  <c r="W85" i="2"/>
  <c r="V85" i="2"/>
  <c r="U85" i="2"/>
  <c r="T85" i="2"/>
  <c r="S85" i="2"/>
  <c r="R85" i="2"/>
  <c r="Q85" i="2"/>
  <c r="P85" i="2"/>
  <c r="O85" i="2"/>
  <c r="N85" i="2"/>
  <c r="M85" i="2"/>
  <c r="L85" i="2"/>
  <c r="K85" i="2"/>
  <c r="J85" i="2"/>
  <c r="I85" i="2"/>
  <c r="I99" i="2" s="1"/>
  <c r="H85" i="2"/>
  <c r="H99" i="2" s="1"/>
  <c r="G85" i="2"/>
  <c r="G99" i="2" s="1"/>
  <c r="F85" i="2"/>
  <c r="F99" i="2" s="1"/>
  <c r="DW80" i="2"/>
  <c r="DV80" i="2"/>
  <c r="DU80" i="2"/>
  <c r="DT80" i="2"/>
  <c r="DR80" i="2"/>
  <c r="DQ80" i="2"/>
  <c r="DQ95" i="2" s="1"/>
  <c r="DW79" i="2"/>
  <c r="DV79" i="2"/>
  <c r="DU79" i="2"/>
  <c r="DT79" i="2"/>
  <c r="DR79" i="2"/>
  <c r="DQ79" i="2"/>
  <c r="DQ94" i="2" s="1"/>
  <c r="DW78" i="2"/>
  <c r="DV78" i="2"/>
  <c r="DU78" i="2"/>
  <c r="DT78" i="2"/>
  <c r="DS78" i="2"/>
  <c r="DR78" i="2"/>
  <c r="DQ78" i="2"/>
  <c r="DW77" i="2"/>
  <c r="DV77" i="2"/>
  <c r="DU77" i="2"/>
  <c r="DT77" i="2"/>
  <c r="DS77" i="2"/>
  <c r="DR77" i="2"/>
  <c r="DQ77" i="2"/>
  <c r="AK80" i="2"/>
  <c r="AJ80" i="2"/>
  <c r="AI80" i="2"/>
  <c r="AH80" i="2"/>
  <c r="AV79" i="2"/>
  <c r="AT79" i="2"/>
  <c r="AK79" i="2"/>
  <c r="AJ79" i="2"/>
  <c r="AI79" i="2"/>
  <c r="AH79" i="2"/>
  <c r="AG79" i="2"/>
  <c r="AF79" i="2"/>
  <c r="AE79" i="2"/>
  <c r="AD79" i="2"/>
  <c r="AC79" i="2"/>
  <c r="AB79" i="2"/>
  <c r="AA79" i="2"/>
  <c r="Z79" i="2"/>
  <c r="Y79" i="2"/>
  <c r="X79" i="2"/>
  <c r="W79" i="2"/>
  <c r="V79" i="2"/>
  <c r="U79" i="2"/>
  <c r="T79" i="2"/>
  <c r="S79" i="2"/>
  <c r="R79" i="2"/>
  <c r="Q79" i="2"/>
  <c r="P79" i="2"/>
  <c r="O79" i="2"/>
  <c r="N79" i="2"/>
  <c r="M79" i="2"/>
  <c r="L79" i="2"/>
  <c r="K79" i="2"/>
  <c r="J79" i="2"/>
  <c r="I79" i="2"/>
  <c r="I94" i="2" s="1"/>
  <c r="H79" i="2"/>
  <c r="H94" i="2" s="1"/>
  <c r="G79" i="2"/>
  <c r="G94" i="2" s="1"/>
  <c r="F79" i="2"/>
  <c r="F94" i="2" s="1"/>
  <c r="AV78" i="2"/>
  <c r="AT78" i="2"/>
  <c r="AK78" i="2"/>
  <c r="AJ78" i="2"/>
  <c r="AI78" i="2"/>
  <c r="AH78" i="2"/>
  <c r="AG78" i="2"/>
  <c r="AF78" i="2"/>
  <c r="AE78" i="2"/>
  <c r="AD78" i="2"/>
  <c r="AC78" i="2"/>
  <c r="AB78" i="2"/>
  <c r="AA78" i="2"/>
  <c r="Z78" i="2"/>
  <c r="Y78" i="2"/>
  <c r="X78" i="2"/>
  <c r="W78" i="2"/>
  <c r="V78" i="2"/>
  <c r="U78" i="2"/>
  <c r="T78" i="2"/>
  <c r="S78" i="2"/>
  <c r="R78" i="2"/>
  <c r="Q78" i="2"/>
  <c r="P78" i="2"/>
  <c r="O78" i="2"/>
  <c r="N78" i="2"/>
  <c r="M78" i="2"/>
  <c r="L78" i="2"/>
  <c r="K78" i="2"/>
  <c r="J78" i="2"/>
  <c r="I78" i="2"/>
  <c r="I93" i="2" s="1"/>
  <c r="H78" i="2"/>
  <c r="H93" i="2" s="1"/>
  <c r="G78" i="2"/>
  <c r="G93" i="2" s="1"/>
  <c r="F78" i="2"/>
  <c r="F93" i="2" s="1"/>
  <c r="AV77" i="2"/>
  <c r="AT77" i="2"/>
  <c r="AK77" i="2"/>
  <c r="AJ77" i="2"/>
  <c r="AI77" i="2"/>
  <c r="AH77" i="2"/>
  <c r="AG77" i="2"/>
  <c r="AF77" i="2"/>
  <c r="AE77" i="2"/>
  <c r="AD77" i="2"/>
  <c r="AC77" i="2"/>
  <c r="AB77" i="2"/>
  <c r="AA77" i="2"/>
  <c r="Z77" i="2"/>
  <c r="Y77" i="2"/>
  <c r="X77" i="2"/>
  <c r="W77" i="2"/>
  <c r="V77" i="2"/>
  <c r="U77" i="2"/>
  <c r="T77" i="2"/>
  <c r="S77" i="2"/>
  <c r="R77" i="2"/>
  <c r="Q77" i="2"/>
  <c r="P77" i="2"/>
  <c r="O77" i="2"/>
  <c r="N77" i="2"/>
  <c r="M77" i="2"/>
  <c r="L77" i="2"/>
  <c r="K77" i="2"/>
  <c r="J77" i="2"/>
  <c r="I77" i="2"/>
  <c r="I92" i="2" s="1"/>
  <c r="H77" i="2"/>
  <c r="H92" i="2" s="1"/>
  <c r="G77" i="2"/>
  <c r="G92" i="2" s="1"/>
  <c r="F77" i="2"/>
  <c r="F92" i="2" s="1"/>
  <c r="EQ70" i="2"/>
  <c r="EO70" i="2"/>
  <c r="EL68" i="2"/>
  <c r="EL67" i="2"/>
  <c r="EL59" i="2" s="1"/>
  <c r="DB70" i="2"/>
  <c r="CS70" i="2"/>
  <c r="CS67" i="2" s="1"/>
  <c r="CS68" i="2" s="1"/>
  <c r="CG70" i="2"/>
  <c r="CF70" i="2"/>
  <c r="CE70" i="2"/>
  <c r="CD70" i="2"/>
  <c r="CB70" i="2"/>
  <c r="CA70" i="2"/>
  <c r="BZ70" i="2"/>
  <c r="BY70" i="2"/>
  <c r="BX70" i="2"/>
  <c r="BW70" i="2"/>
  <c r="BV70" i="2"/>
  <c r="BT70" i="2"/>
  <c r="BS70" i="2"/>
  <c r="BR70" i="2"/>
  <c r="BG70" i="2"/>
  <c r="ER69" i="2"/>
  <c r="EP69" i="2"/>
  <c r="EP67" i="2"/>
  <c r="EP68" i="2" s="1"/>
  <c r="CX69" i="2"/>
  <c r="CW69" i="2"/>
  <c r="CW67" i="2" s="1"/>
  <c r="CV69" i="2"/>
  <c r="CU69" i="2"/>
  <c r="CT69" i="2"/>
  <c r="CP69" i="2"/>
  <c r="CP67" i="2" s="1"/>
  <c r="CM69" i="2"/>
  <c r="CM67" i="2" s="1"/>
  <c r="CM59" i="2" s="1"/>
  <c r="CL69" i="2"/>
  <c r="CL67" i="2" s="1"/>
  <c r="CL59" i="2" s="1"/>
  <c r="CH69" i="2"/>
  <c r="CH67" i="2" s="1"/>
  <c r="CH68" i="2" s="1"/>
  <c r="CC69" i="2"/>
  <c r="CC67" i="2"/>
  <c r="CC59" i="2" s="1"/>
  <c r="BU69" i="2"/>
  <c r="BU67" i="2"/>
  <c r="BU68" i="2" s="1"/>
  <c r="BQ69" i="2"/>
  <c r="BQ68" i="2"/>
  <c r="BQ67" i="2"/>
  <c r="BQ59" i="2" s="1"/>
  <c r="BM69" i="2"/>
  <c r="BM68" i="2"/>
  <c r="BM67" i="2"/>
  <c r="BM59" i="2" s="1"/>
  <c r="BI69" i="2"/>
  <c r="EL69" i="2" s="1"/>
  <c r="EO68" i="2"/>
  <c r="DC68" i="2"/>
  <c r="DB68" i="2"/>
  <c r="DA68" i="2"/>
  <c r="CZ68" i="2"/>
  <c r="CG68" i="2"/>
  <c r="CF68" i="2"/>
  <c r="CE68" i="2"/>
  <c r="CD68" i="2"/>
  <c r="CB68" i="2"/>
  <c r="CA68" i="2"/>
  <c r="BZ68" i="2"/>
  <c r="BY68" i="2"/>
  <c r="BX68" i="2"/>
  <c r="BW68" i="2"/>
  <c r="BV68" i="2"/>
  <c r="BT68" i="2"/>
  <c r="BS68" i="2"/>
  <c r="BR68" i="2"/>
  <c r="EP46" i="4"/>
  <c r="ER67" i="2"/>
  <c r="ER59" i="2" s="1"/>
  <c r="EP65" i="2"/>
  <c r="DC64" i="2"/>
  <c r="DD64" i="2" s="1"/>
  <c r="DE64" i="2" s="1"/>
  <c r="DC63" i="2"/>
  <c r="AK64" i="2"/>
  <c r="AJ64" i="2"/>
  <c r="AI64" i="2"/>
  <c r="AH64" i="2"/>
  <c r="AG64" i="2"/>
  <c r="AF64" i="2"/>
  <c r="AE64" i="2"/>
  <c r="AD64" i="2"/>
  <c r="AC64" i="2"/>
  <c r="AB64" i="2"/>
  <c r="AA64" i="2"/>
  <c r="Z64" i="2"/>
  <c r="Y64" i="2"/>
  <c r="X64" i="2"/>
  <c r="W64" i="2"/>
  <c r="V64" i="2"/>
  <c r="U64" i="2"/>
  <c r="T64" i="2"/>
  <c r="S64" i="2"/>
  <c r="R64" i="2"/>
  <c r="Q64" i="2"/>
  <c r="P64" i="2"/>
  <c r="O64" i="2"/>
  <c r="N64" i="2"/>
  <c r="M64" i="2"/>
  <c r="L64" i="2"/>
  <c r="K64" i="2"/>
  <c r="J64" i="2"/>
  <c r="I64" i="2"/>
  <c r="H64" i="2"/>
  <c r="G64" i="2"/>
  <c r="F64" i="2"/>
  <c r="E64" i="2"/>
  <c r="D64" i="2"/>
  <c r="C64" i="2"/>
  <c r="B64" i="2"/>
  <c r="ER63" i="2"/>
  <c r="EQ63" i="2"/>
  <c r="EO63" i="2"/>
  <c r="EN63" i="2"/>
  <c r="EM63" i="2"/>
  <c r="EL63" i="2"/>
  <c r="EL64" i="2" s="1"/>
  <c r="DB63" i="2"/>
  <c r="DA63" i="2"/>
  <c r="EW63" i="2" s="1"/>
  <c r="CZ63" i="2"/>
  <c r="CY63" i="2"/>
  <c r="CX63" i="2"/>
  <c r="CW63" i="2"/>
  <c r="EV63" i="2" s="1"/>
  <c r="CT63" i="2"/>
  <c r="CR63" i="2"/>
  <c r="CS63" i="2" s="1"/>
  <c r="CQ63" i="2"/>
  <c r="CQ64" i="2" s="1"/>
  <c r="CP63" i="2"/>
  <c r="CP64" i="2" s="1"/>
  <c r="CO63" i="2"/>
  <c r="CO64" i="2" s="1"/>
  <c r="CN63" i="2"/>
  <c r="CN64" i="2" s="1"/>
  <c r="CM63" i="2"/>
  <c r="CM64" i="2" s="1"/>
  <c r="CL63" i="2"/>
  <c r="CL64" i="2" s="1"/>
  <c r="CK63" i="2"/>
  <c r="CK64" i="2" s="1"/>
  <c r="CJ63" i="2"/>
  <c r="CJ64" i="2" s="1"/>
  <c r="CI63" i="2"/>
  <c r="CI64" i="2" s="1"/>
  <c r="CH63" i="2"/>
  <c r="CH64" i="2" s="1"/>
  <c r="CG63" i="2"/>
  <c r="CG64" i="2" s="1"/>
  <c r="CF63" i="2"/>
  <c r="CF64" i="2" s="1"/>
  <c r="CE63" i="2"/>
  <c r="CE64" i="2" s="1"/>
  <c r="CD63" i="2"/>
  <c r="CD64" i="2" s="1"/>
  <c r="CC63" i="2"/>
  <c r="CC64" i="2" s="1"/>
  <c r="CB63" i="2"/>
  <c r="CB64" i="2" s="1"/>
  <c r="CA63" i="2"/>
  <c r="CA64" i="2" s="1"/>
  <c r="BZ63" i="2"/>
  <c r="BZ64" i="2" s="1"/>
  <c r="BY63" i="2"/>
  <c r="BX63" i="2"/>
  <c r="BX64" i="2" s="1"/>
  <c r="BW63" i="2"/>
  <c r="BW64" i="2" s="1"/>
  <c r="BV63" i="2"/>
  <c r="BV64" i="2" s="1"/>
  <c r="BU63" i="2"/>
  <c r="BU64" i="2" s="1"/>
  <c r="BT63" i="2"/>
  <c r="BT64" i="2" s="1"/>
  <c r="BS63" i="2"/>
  <c r="BS64" i="2" s="1"/>
  <c r="BR63" i="2"/>
  <c r="BR64" i="2" s="1"/>
  <c r="BQ63" i="2"/>
  <c r="BQ64" i="2" s="1"/>
  <c r="BP63" i="2"/>
  <c r="BP64" i="2" s="1"/>
  <c r="BO63" i="2"/>
  <c r="BO64" i="2" s="1"/>
  <c r="BN63" i="2"/>
  <c r="BN64" i="2" s="1"/>
  <c r="BM63" i="2"/>
  <c r="BM64" i="2" s="1"/>
  <c r="BL63" i="2"/>
  <c r="BL64" i="2" s="1"/>
  <c r="BK63" i="2"/>
  <c r="BK64" i="2" s="1"/>
  <c r="BJ63" i="2"/>
  <c r="BJ64" i="2" s="1"/>
  <c r="BI63" i="2"/>
  <c r="BH63" i="2"/>
  <c r="BH64" i="2" s="1"/>
  <c r="BG63" i="2"/>
  <c r="BG64" i="2" s="1"/>
  <c r="BF63" i="2"/>
  <c r="BF64" i="2" s="1"/>
  <c r="BE62" i="2"/>
  <c r="BE110" i="4" s="1"/>
  <c r="BD62" i="2"/>
  <c r="BD110" i="4" s="1"/>
  <c r="BC62" i="2"/>
  <c r="BC110" i="4" s="1"/>
  <c r="BB62" i="2"/>
  <c r="BB63" i="2" s="1"/>
  <c r="BB64" i="2" s="1"/>
  <c r="BA62" i="2"/>
  <c r="BA110" i="4" s="1"/>
  <c r="AZ62" i="2"/>
  <c r="AZ110" i="4" s="1"/>
  <c r="AY62" i="2"/>
  <c r="AY110" i="4" s="1"/>
  <c r="AX62" i="2"/>
  <c r="AW62" i="2"/>
  <c r="AW110" i="4" s="1"/>
  <c r="AV62" i="2"/>
  <c r="AV110" i="4" s="1"/>
  <c r="AU62" i="2"/>
  <c r="AT62" i="2"/>
  <c r="AT110" i="4" s="1"/>
  <c r="AS62" i="2"/>
  <c r="AS110" i="4" s="1"/>
  <c r="AR62" i="2"/>
  <c r="AQ62" i="2"/>
  <c r="AQ63" i="2" s="1"/>
  <c r="AQ64" i="2" s="1"/>
  <c r="AP62" i="2"/>
  <c r="AP110" i="4" s="1"/>
  <c r="AO62" i="2"/>
  <c r="AO110" i="4" s="1"/>
  <c r="AN62" i="2"/>
  <c r="AN110" i="4" s="1"/>
  <c r="AM62" i="2"/>
  <c r="AL62" i="2"/>
  <c r="AL63" i="2" s="1"/>
  <c r="AL64" i="2" s="1"/>
  <c r="AK62" i="2"/>
  <c r="AK110" i="4" s="1"/>
  <c r="AJ62" i="2"/>
  <c r="AJ110" i="4" s="1"/>
  <c r="AI62" i="2"/>
  <c r="AI110" i="4" s="1"/>
  <c r="AH62" i="2"/>
  <c r="AH110" i="4" s="1"/>
  <c r="AG62" i="2"/>
  <c r="AG110" i="4" s="1"/>
  <c r="AF62" i="2"/>
  <c r="AF110" i="4" s="1"/>
  <c r="AE62" i="2"/>
  <c r="AE110" i="4" s="1"/>
  <c r="AD62" i="2"/>
  <c r="AD110" i="4" s="1"/>
  <c r="AC62" i="2"/>
  <c r="AC110" i="4" s="1"/>
  <c r="AB62" i="2"/>
  <c r="AB110" i="4" s="1"/>
  <c r="AA62" i="2"/>
  <c r="AA110" i="4" s="1"/>
  <c r="Z62" i="2"/>
  <c r="Z110" i="4" s="1"/>
  <c r="Y62" i="2"/>
  <c r="Y110" i="4" s="1"/>
  <c r="X62" i="2"/>
  <c r="X110" i="4" s="1"/>
  <c r="W62" i="2"/>
  <c r="W110" i="4" s="1"/>
  <c r="V62" i="2"/>
  <c r="V110" i="4" s="1"/>
  <c r="U62" i="2"/>
  <c r="U110" i="4" s="1"/>
  <c r="T62" i="2"/>
  <c r="T110" i="4" s="1"/>
  <c r="S62" i="2"/>
  <c r="R62" i="2"/>
  <c r="R110" i="4" s="1"/>
  <c r="Q62" i="2"/>
  <c r="Q110" i="4" s="1"/>
  <c r="P62" i="2"/>
  <c r="P110" i="4" s="1"/>
  <c r="O62" i="2"/>
  <c r="O110" i="4" s="1"/>
  <c r="N62" i="2"/>
  <c r="N110" i="4" s="1"/>
  <c r="M62" i="2"/>
  <c r="M110" i="4" s="1"/>
  <c r="L62" i="2"/>
  <c r="L110" i="4" s="1"/>
  <c r="K62" i="2"/>
  <c r="K110" i="4" s="1"/>
  <c r="J62" i="2"/>
  <c r="J110" i="4" s="1"/>
  <c r="I62" i="2"/>
  <c r="I110" i="4" s="1"/>
  <c r="H62" i="2"/>
  <c r="H110" i="4" s="1"/>
  <c r="G62" i="2"/>
  <c r="G110" i="4" s="1"/>
  <c r="F62" i="2"/>
  <c r="F110" i="4" s="1"/>
  <c r="E62" i="2"/>
  <c r="E110" i="4" s="1"/>
  <c r="D62" i="2"/>
  <c r="D110" i="4" s="1"/>
  <c r="C62" i="2"/>
  <c r="EU65" i="2"/>
  <c r="ET65" i="2"/>
  <c r="ES65" i="2"/>
  <c r="EW62" i="2"/>
  <c r="EJ110" i="4" s="1"/>
  <c r="ET62" i="2"/>
  <c r="ES62" i="2"/>
  <c r="EK61" i="2"/>
  <c r="DY107" i="3" s="1"/>
  <c r="DY78" i="3" s="1"/>
  <c r="EJ61" i="2"/>
  <c r="DX107" i="3" s="1"/>
  <c r="EI61" i="2"/>
  <c r="DW107" i="3" s="1"/>
  <c r="EH61" i="2"/>
  <c r="EG61" i="2"/>
  <c r="DU107" i="3" s="1"/>
  <c r="EF61" i="2"/>
  <c r="EG58" i="2" s="1"/>
  <c r="EE61" i="2"/>
  <c r="DS107" i="3" s="1"/>
  <c r="ED61" i="2"/>
  <c r="EC61" i="2"/>
  <c r="DQ107" i="3" s="1"/>
  <c r="EB61" i="2"/>
  <c r="DP107" i="3" s="1"/>
  <c r="EA61" i="2"/>
  <c r="DZ61" i="2"/>
  <c r="DY61" i="2"/>
  <c r="DX61" i="2"/>
  <c r="DX64" i="2" s="1"/>
  <c r="CL107" i="3"/>
  <c r="CL78" i="3" s="1"/>
  <c r="BI61" i="2"/>
  <c r="BI59" i="2"/>
  <c r="BI58" i="2"/>
  <c r="EQ59" i="2"/>
  <c r="ER58" i="2"/>
  <c r="EQ58" i="2"/>
  <c r="EN61" i="2"/>
  <c r="EO58" i="2" s="1"/>
  <c r="EM61" i="2"/>
  <c r="EO59" i="2"/>
  <c r="EN59" i="2"/>
  <c r="EM59" i="2"/>
  <c r="EN58" i="2"/>
  <c r="EM58" i="2"/>
  <c r="EK59" i="2"/>
  <c r="EJ59" i="2"/>
  <c r="EI59" i="2"/>
  <c r="EH59" i="2"/>
  <c r="EG59" i="2"/>
  <c r="EF59" i="2"/>
  <c r="EE59" i="2"/>
  <c r="ED59" i="2"/>
  <c r="EC59" i="2"/>
  <c r="EB59" i="2"/>
  <c r="EA59" i="2"/>
  <c r="DZ59" i="2"/>
  <c r="DY59" i="2"/>
  <c r="DC59" i="2"/>
  <c r="DB59" i="2"/>
  <c r="DA59" i="2"/>
  <c r="CZ59" i="2"/>
  <c r="CG59" i="2"/>
  <c r="CF59" i="2"/>
  <c r="CE59" i="2"/>
  <c r="CD59" i="2"/>
  <c r="CB59" i="2"/>
  <c r="CA59" i="2"/>
  <c r="BZ59" i="2"/>
  <c r="BY59" i="2"/>
  <c r="BX59" i="2"/>
  <c r="BW59" i="2"/>
  <c r="BV59" i="2"/>
  <c r="BT59" i="2"/>
  <c r="BS59" i="2"/>
  <c r="BR59" i="2"/>
  <c r="BP59" i="2"/>
  <c r="BO59" i="2"/>
  <c r="BN59" i="2"/>
  <c r="BL59" i="2"/>
  <c r="BK59" i="2"/>
  <c r="BJ59" i="2"/>
  <c r="DC58" i="2"/>
  <c r="DC60" i="2" s="1"/>
  <c r="CX58" i="2"/>
  <c r="CW58" i="2"/>
  <c r="CV58" i="2"/>
  <c r="CV62" i="2" s="1"/>
  <c r="CJ110" i="4" s="1"/>
  <c r="CU58" i="2"/>
  <c r="CU62" i="2" s="1"/>
  <c r="CT58" i="2"/>
  <c r="CS58" i="2"/>
  <c r="CS62" i="2" s="1"/>
  <c r="CR58" i="2"/>
  <c r="CQ58" i="2"/>
  <c r="CO58" i="2"/>
  <c r="CN58" i="2"/>
  <c r="CM58" i="2"/>
  <c r="CL58" i="2"/>
  <c r="CK58" i="2"/>
  <c r="CJ58" i="2"/>
  <c r="CI58" i="2"/>
  <c r="CH58" i="2"/>
  <c r="CG58" i="2"/>
  <c r="CF58" i="2"/>
  <c r="CE58" i="2"/>
  <c r="CD58" i="2"/>
  <c r="CC58" i="2"/>
  <c r="CB58" i="2"/>
  <c r="CA58" i="2"/>
  <c r="BZ58" i="2"/>
  <c r="BY58" i="2"/>
  <c r="BX58" i="2"/>
  <c r="BW58" i="2"/>
  <c r="BV58" i="2"/>
  <c r="BU58" i="2"/>
  <c r="BT58" i="2"/>
  <c r="BS58" i="2"/>
  <c r="BR58" i="2"/>
  <c r="BQ58" i="2"/>
  <c r="BQ60" i="2" s="1"/>
  <c r="BP58" i="2"/>
  <c r="BP60" i="2" s="1"/>
  <c r="BO58" i="2"/>
  <c r="BN58" i="2"/>
  <c r="BM58" i="2"/>
  <c r="BL58" i="2"/>
  <c r="BK58" i="2"/>
  <c r="BH59" i="2"/>
  <c r="BG59" i="2"/>
  <c r="BF59" i="2"/>
  <c r="BE59" i="2"/>
  <c r="BD59" i="2"/>
  <c r="BC59" i="2"/>
  <c r="BB59" i="2"/>
  <c r="BA59" i="2"/>
  <c r="AZ59" i="2"/>
  <c r="AY59" i="2"/>
  <c r="AX59" i="2"/>
  <c r="AW59" i="2"/>
  <c r="AV59" i="2"/>
  <c r="AU59" i="2"/>
  <c r="AT59" i="2"/>
  <c r="AS59" i="2"/>
  <c r="AR59" i="2"/>
  <c r="AQ59" i="2"/>
  <c r="AP59" i="2"/>
  <c r="AO59" i="2"/>
  <c r="AN59" i="2"/>
  <c r="AM59" i="2"/>
  <c r="AL59" i="2"/>
  <c r="AK59" i="2"/>
  <c r="AJ59" i="2"/>
  <c r="AI59" i="2"/>
  <c r="AH59" i="2"/>
  <c r="AG59" i="2"/>
  <c r="AF59" i="2"/>
  <c r="AE59" i="2"/>
  <c r="AD59" i="2"/>
  <c r="AC59" i="2"/>
  <c r="AB59" i="2"/>
  <c r="AA59" i="2"/>
  <c r="Z59" i="2"/>
  <c r="Y59" i="2"/>
  <c r="X59" i="2"/>
  <c r="W59" i="2"/>
  <c r="V59" i="2"/>
  <c r="U59" i="2"/>
  <c r="T59" i="2"/>
  <c r="S59" i="2"/>
  <c r="R59" i="2"/>
  <c r="Q59" i="2"/>
  <c r="P59" i="2"/>
  <c r="O59" i="2"/>
  <c r="N59" i="2"/>
  <c r="M59" i="2"/>
  <c r="L59" i="2"/>
  <c r="K59" i="2"/>
  <c r="J59" i="2"/>
  <c r="I59" i="2"/>
  <c r="H59" i="2"/>
  <c r="G59" i="2"/>
  <c r="F59" i="2"/>
  <c r="E59" i="2"/>
  <c r="D59" i="2"/>
  <c r="C59" i="2"/>
  <c r="BH58" i="2"/>
  <c r="BG58" i="2"/>
  <c r="BF58" i="2"/>
  <c r="BE58" i="2"/>
  <c r="BD58" i="2"/>
  <c r="BC58" i="2"/>
  <c r="BB58" i="2"/>
  <c r="BA58" i="2"/>
  <c r="AZ58" i="2"/>
  <c r="AY58" i="2"/>
  <c r="AX58" i="2"/>
  <c r="AW58" i="2"/>
  <c r="AV58" i="2"/>
  <c r="AU58" i="2"/>
  <c r="AT58" i="2"/>
  <c r="AS58" i="2"/>
  <c r="AR58" i="2"/>
  <c r="AQ58" i="2"/>
  <c r="AP58" i="2"/>
  <c r="AO58" i="2"/>
  <c r="AN58" i="2"/>
  <c r="AM58" i="2"/>
  <c r="AL58" i="2"/>
  <c r="AK58" i="2"/>
  <c r="AJ58" i="2"/>
  <c r="AI58" i="2"/>
  <c r="AH58" i="2"/>
  <c r="AG58" i="2"/>
  <c r="AF58" i="2"/>
  <c r="AE58" i="2"/>
  <c r="AD58" i="2"/>
  <c r="AC58" i="2"/>
  <c r="AB58" i="2"/>
  <c r="AA58" i="2"/>
  <c r="Z58" i="2"/>
  <c r="Y58" i="2"/>
  <c r="X58" i="2"/>
  <c r="W58" i="2"/>
  <c r="V58" i="2"/>
  <c r="U58" i="2"/>
  <c r="T58" i="2"/>
  <c r="S58" i="2"/>
  <c r="R58" i="2"/>
  <c r="Q58" i="2"/>
  <c r="P58" i="2"/>
  <c r="O58" i="2"/>
  <c r="N58" i="2"/>
  <c r="M58" i="2"/>
  <c r="L58" i="2"/>
  <c r="K58" i="2"/>
  <c r="J58" i="2"/>
  <c r="I58" i="2"/>
  <c r="H58" i="2"/>
  <c r="G58" i="2"/>
  <c r="F58" i="2"/>
  <c r="E58" i="2"/>
  <c r="D58" i="2"/>
  <c r="C58" i="2"/>
  <c r="ET53" i="2"/>
  <c r="DB53" i="2"/>
  <c r="DA53" i="2"/>
  <c r="CZ53" i="2"/>
  <c r="CY53" i="2"/>
  <c r="CX53" i="2"/>
  <c r="CW53" i="2"/>
  <c r="CV53" i="2"/>
  <c r="CU53" i="2"/>
  <c r="CT53" i="2"/>
  <c r="CS53" i="2"/>
  <c r="CR53" i="2"/>
  <c r="CQ53" i="2"/>
  <c r="CK53" i="2"/>
  <c r="CJ53" i="2"/>
  <c r="CI53" i="2"/>
  <c r="BX53" i="2"/>
  <c r="BW53" i="2"/>
  <c r="BV53" i="2"/>
  <c r="BU53" i="2"/>
  <c r="BT53" i="2"/>
  <c r="BS53" i="2"/>
  <c r="BR53" i="2"/>
  <c r="BQ53" i="2"/>
  <c r="BP53" i="2"/>
  <c r="BO53" i="2"/>
  <c r="BN53" i="2"/>
  <c r="BM53" i="2"/>
  <c r="BL53" i="2"/>
  <c r="BK53" i="2"/>
  <c r="BJ53" i="2"/>
  <c r="BI53" i="2"/>
  <c r="BH53" i="2"/>
  <c r="BG53" i="2"/>
  <c r="BF53" i="2"/>
  <c r="BE53" i="2"/>
  <c r="BD53" i="2"/>
  <c r="BC53" i="2"/>
  <c r="BB53" i="2"/>
  <c r="BA53" i="2"/>
  <c r="AZ53" i="2"/>
  <c r="AY53" i="2"/>
  <c r="AX53" i="2"/>
  <c r="AW53" i="2"/>
  <c r="AV53" i="2"/>
  <c r="AU53" i="2"/>
  <c r="AT53" i="2"/>
  <c r="AR53" i="2"/>
  <c r="AQ53" i="2"/>
  <c r="AP53" i="2"/>
  <c r="AN53" i="2"/>
  <c r="AM53" i="2"/>
  <c r="AL53" i="2"/>
  <c r="EV50" i="2"/>
  <c r="EU50" i="2"/>
  <c r="ET50" i="2"/>
  <c r="EO50" i="2"/>
  <c r="EN50" i="2"/>
  <c r="EM50" i="2"/>
  <c r="EL50" i="2"/>
  <c r="EK50" i="2"/>
  <c r="EJ50" i="2"/>
  <c r="EI50" i="2"/>
  <c r="EH50" i="2"/>
  <c r="EG50" i="2"/>
  <c r="EF50" i="2"/>
  <c r="EE50" i="2"/>
  <c r="ED50" i="2"/>
  <c r="EC50" i="2"/>
  <c r="EB50" i="2"/>
  <c r="EA50" i="2"/>
  <c r="DZ50" i="2"/>
  <c r="DY50" i="2"/>
  <c r="DX50" i="2"/>
  <c r="CJ50" i="2"/>
  <c r="CI50" i="2"/>
  <c r="CH50" i="2"/>
  <c r="CF50" i="2"/>
  <c r="CE50" i="2"/>
  <c r="CD50" i="2"/>
  <c r="CB50" i="2"/>
  <c r="CA50" i="2"/>
  <c r="BZ50" i="2"/>
  <c r="BX50" i="2"/>
  <c r="BW50" i="2"/>
  <c r="BV50" i="2"/>
  <c r="BU50" i="2"/>
  <c r="BT50" i="2"/>
  <c r="BS50" i="2"/>
  <c r="BR50" i="2"/>
  <c r="BQ50" i="2"/>
  <c r="BP50" i="2"/>
  <c r="BO50" i="2"/>
  <c r="BN50" i="2"/>
  <c r="BM50" i="2"/>
  <c r="BL50" i="2"/>
  <c r="BK50" i="2"/>
  <c r="BJ50" i="2"/>
  <c r="BI50" i="2"/>
  <c r="BH50" i="2"/>
  <c r="BG50" i="2"/>
  <c r="BF50" i="2"/>
  <c r="BE50" i="2"/>
  <c r="BD50" i="2"/>
  <c r="BC50" i="2"/>
  <c r="BB50" i="2"/>
  <c r="BA50" i="2"/>
  <c r="AZ50" i="2"/>
  <c r="AY50" i="2"/>
  <c r="AX50" i="2"/>
  <c r="AW50" i="2"/>
  <c r="AV50" i="2"/>
  <c r="AU50" i="2"/>
  <c r="AT50" i="2"/>
  <c r="AS50" i="2"/>
  <c r="AR50" i="2"/>
  <c r="AQ50" i="2"/>
  <c r="AP50" i="2"/>
  <c r="AO50" i="2"/>
  <c r="AN50" i="2"/>
  <c r="AM50" i="2"/>
  <c r="AL50" i="2"/>
  <c r="AK50" i="2"/>
  <c r="AJ50" i="2"/>
  <c r="AI50" i="2"/>
  <c r="AH50" i="2"/>
  <c r="AG50" i="2"/>
  <c r="AF50" i="2"/>
  <c r="AE50" i="2"/>
  <c r="AD50" i="2"/>
  <c r="AC50" i="2"/>
  <c r="AB50" i="2"/>
  <c r="AA50" i="2"/>
  <c r="Z50" i="2"/>
  <c r="Y50" i="2"/>
  <c r="X50" i="2"/>
  <c r="W50" i="2"/>
  <c r="V50" i="2"/>
  <c r="U50" i="2"/>
  <c r="T50" i="2"/>
  <c r="S50" i="2"/>
  <c r="R50" i="2"/>
  <c r="Q50" i="2"/>
  <c r="P50" i="2"/>
  <c r="O50" i="2"/>
  <c r="N50" i="2"/>
  <c r="M50" i="2"/>
  <c r="L50" i="2"/>
  <c r="K50" i="2"/>
  <c r="J50" i="2"/>
  <c r="I50" i="2"/>
  <c r="H50" i="2"/>
  <c r="G50" i="2"/>
  <c r="F50" i="2"/>
  <c r="E50" i="2"/>
  <c r="D50" i="2"/>
  <c r="C50" i="2"/>
  <c r="B50" i="2"/>
  <c r="DC49" i="2"/>
  <c r="CW49" i="2"/>
  <c r="CV49" i="2"/>
  <c r="CU49" i="2"/>
  <c r="CO49" i="2"/>
  <c r="CN49" i="2"/>
  <c r="CM49" i="2"/>
  <c r="CL49" i="2"/>
  <c r="CK49" i="2"/>
  <c r="CI49" i="2"/>
  <c r="CH49" i="2"/>
  <c r="CG49" i="2"/>
  <c r="CF49" i="2"/>
  <c r="CE49" i="2"/>
  <c r="CD49" i="2"/>
  <c r="CC49" i="2"/>
  <c r="CB49" i="2"/>
  <c r="CA49" i="2"/>
  <c r="BZ49" i="2"/>
  <c r="BW49" i="2"/>
  <c r="BT49" i="2"/>
  <c r="BS49" i="2"/>
  <c r="BR49" i="2"/>
  <c r="BQ49" i="2"/>
  <c r="BP49" i="2"/>
  <c r="BO49" i="2"/>
  <c r="BN49" i="2"/>
  <c r="BK49" i="2"/>
  <c r="BJ49" i="2"/>
  <c r="BI49" i="2"/>
  <c r="BH49" i="2"/>
  <c r="BG49" i="2"/>
  <c r="BF49" i="2"/>
  <c r="BE49" i="2"/>
  <c r="BD49" i="2"/>
  <c r="BC49" i="2"/>
  <c r="BB49" i="2"/>
  <c r="BA49" i="2"/>
  <c r="AZ49" i="2"/>
  <c r="AY49" i="2"/>
  <c r="AX49" i="2"/>
  <c r="AW49" i="2"/>
  <c r="AV49" i="2"/>
  <c r="AU49" i="2"/>
  <c r="AT49" i="2"/>
  <c r="AS49" i="2"/>
  <c r="AR49" i="2"/>
  <c r="AQ49" i="2"/>
  <c r="AP49" i="2"/>
  <c r="AO49" i="2"/>
  <c r="AN49" i="2"/>
  <c r="AM49" i="2"/>
  <c r="AL49" i="2"/>
  <c r="AK49" i="2"/>
  <c r="AJ49" i="2"/>
  <c r="AI49" i="2"/>
  <c r="AH49" i="2"/>
  <c r="AG49" i="2"/>
  <c r="AF49" i="2"/>
  <c r="AE49" i="2"/>
  <c r="AD49" i="2"/>
  <c r="AC49" i="2"/>
  <c r="AB49" i="2"/>
  <c r="AA49" i="2"/>
  <c r="Z49" i="2"/>
  <c r="Y49" i="2"/>
  <c r="X49" i="2"/>
  <c r="W49" i="2"/>
  <c r="V49" i="2"/>
  <c r="U49" i="2"/>
  <c r="T49" i="2"/>
  <c r="S49" i="2"/>
  <c r="R49" i="2"/>
  <c r="Q49" i="2"/>
  <c r="P49" i="2"/>
  <c r="O49" i="2"/>
  <c r="N49" i="2"/>
  <c r="M49" i="2"/>
  <c r="L49" i="2"/>
  <c r="K49" i="2"/>
  <c r="J49" i="2"/>
  <c r="I49" i="2"/>
  <c r="H49" i="2"/>
  <c r="G49" i="2"/>
  <c r="F49" i="2"/>
  <c r="E49" i="2"/>
  <c r="D49" i="2"/>
  <c r="C49" i="2"/>
  <c r="B49" i="2"/>
  <c r="DC33" i="2"/>
  <c r="EX33" i="2" s="1"/>
  <c r="CF33" i="2"/>
  <c r="CE33" i="2"/>
  <c r="CE53" i="2" s="1"/>
  <c r="CD33" i="2"/>
  <c r="CD53" i="2" s="1"/>
  <c r="CC33" i="2"/>
  <c r="CB33" i="2"/>
  <c r="CB53" i="2" s="1"/>
  <c r="CA33" i="2"/>
  <c r="CA53" i="2" s="1"/>
  <c r="BZ33" i="2"/>
  <c r="BZ53" i="2" s="1"/>
  <c r="BY33" i="2"/>
  <c r="AS33" i="2"/>
  <c r="EH33" i="2" s="1"/>
  <c r="EH53" i="2" s="1"/>
  <c r="AO33" i="2"/>
  <c r="AO53" i="2" s="1"/>
  <c r="EW33" i="2"/>
  <c r="EV33" i="2"/>
  <c r="EU33" i="2"/>
  <c r="ET33" i="2"/>
  <c r="ES33" i="2"/>
  <c r="EO33" i="2"/>
  <c r="EO53" i="2" s="1"/>
  <c r="EN33" i="2"/>
  <c r="EN53" i="2" s="1"/>
  <c r="EM33" i="2"/>
  <c r="EM53" i="2" s="1"/>
  <c r="EL33" i="2"/>
  <c r="EL53" i="2" s="1"/>
  <c r="EK33" i="2"/>
  <c r="EK53" i="2" s="1"/>
  <c r="EJ33" i="2"/>
  <c r="EJ53" i="2" s="1"/>
  <c r="EI33" i="2"/>
  <c r="EI53" i="2" s="1"/>
  <c r="EF33" i="2"/>
  <c r="EE33" i="2"/>
  <c r="ED33" i="2"/>
  <c r="EC33" i="2"/>
  <c r="EB33" i="2"/>
  <c r="EA33" i="2"/>
  <c r="DZ33" i="2"/>
  <c r="DY33" i="2"/>
  <c r="DX33" i="2"/>
  <c r="ET32" i="2"/>
  <c r="ER32" i="2"/>
  <c r="ER49" i="2" s="1"/>
  <c r="EQ32" i="2"/>
  <c r="EQ49" i="2" s="1"/>
  <c r="EN32" i="2"/>
  <c r="EN49" i="2" s="1"/>
  <c r="EL32" i="2"/>
  <c r="EL49" i="2" s="1"/>
  <c r="EK32" i="2"/>
  <c r="EK49" i="2" s="1"/>
  <c r="EJ32" i="2"/>
  <c r="EJ49" i="2" s="1"/>
  <c r="EI32" i="2"/>
  <c r="EI49" i="2" s="1"/>
  <c r="EH32" i="2"/>
  <c r="EH49" i="2" s="1"/>
  <c r="EG32" i="2"/>
  <c r="EG49" i="2" s="1"/>
  <c r="EF32" i="2"/>
  <c r="EF49" i="2" s="1"/>
  <c r="EE32" i="2"/>
  <c r="EE49" i="2" s="1"/>
  <c r="ED32" i="2"/>
  <c r="ED49" i="2" s="1"/>
  <c r="EC32" i="2"/>
  <c r="EC49" i="2" s="1"/>
  <c r="EB32" i="2"/>
  <c r="EB49" i="2" s="1"/>
  <c r="EA32" i="2"/>
  <c r="EA49" i="2" s="1"/>
  <c r="DZ32" i="2"/>
  <c r="DZ49" i="2" s="1"/>
  <c r="DY32" i="2"/>
  <c r="DY49" i="2" s="1"/>
  <c r="DX32" i="2"/>
  <c r="DX49" i="2" s="1"/>
  <c r="DB32" i="2"/>
  <c r="EX32" i="2" s="1"/>
  <c r="DA32" i="2"/>
  <c r="CZ32" i="2"/>
  <c r="CZ49" i="2" s="1"/>
  <c r="CY32" i="2"/>
  <c r="CY49" i="2" s="1"/>
  <c r="CX32" i="2"/>
  <c r="CX49" i="2" s="1"/>
  <c r="CT32" i="2"/>
  <c r="EV32" i="2" s="1"/>
  <c r="CS32" i="2"/>
  <c r="CS49" i="2" s="1"/>
  <c r="EU49" i="2" s="1"/>
  <c r="CJ32" i="2"/>
  <c r="BV32" i="2"/>
  <c r="BV49" i="2" s="1"/>
  <c r="BU32" i="2"/>
  <c r="BM32" i="2"/>
  <c r="BM49" i="2" s="1"/>
  <c r="BL32" i="2"/>
  <c r="CG29" i="2"/>
  <c r="ER29" i="2" s="1"/>
  <c r="BX29" i="2"/>
  <c r="BU29" i="2"/>
  <c r="EO29" i="2" s="1"/>
  <c r="BQ29" i="2"/>
  <c r="EN29" i="2" s="1"/>
  <c r="BQ28" i="2"/>
  <c r="EN28" i="2" s="1"/>
  <c r="BM29" i="2"/>
  <c r="BL29" i="2"/>
  <c r="BJ29" i="2"/>
  <c r="BH29" i="2"/>
  <c r="BG29" i="2"/>
  <c r="EW29" i="2"/>
  <c r="EV29" i="2"/>
  <c r="EU29" i="2"/>
  <c r="ET29" i="2"/>
  <c r="ES29" i="2"/>
  <c r="EQ29" i="2"/>
  <c r="EW28" i="2"/>
  <c r="EV28" i="2"/>
  <c r="EU28" i="2"/>
  <c r="ET28" i="2"/>
  <c r="ES28" i="2"/>
  <c r="ER28" i="2"/>
  <c r="EQ28" i="2"/>
  <c r="EP28" i="2"/>
  <c r="EO28" i="2"/>
  <c r="EM28" i="2"/>
  <c r="EL28" i="2"/>
  <c r="ER27" i="2"/>
  <c r="EQ27" i="2"/>
  <c r="EO27" i="2"/>
  <c r="EC104" i="3" s="1"/>
  <c r="EE104" i="3" s="1"/>
  <c r="EK27" i="2"/>
  <c r="DY104" i="3" s="1"/>
  <c r="EJ27" i="2"/>
  <c r="EI27" i="2"/>
  <c r="EH27" i="2"/>
  <c r="EG27" i="2"/>
  <c r="EF27" i="2"/>
  <c r="DT104" i="3" s="1"/>
  <c r="EE27" i="2"/>
  <c r="DS104" i="3" s="1"/>
  <c r="ED27" i="2"/>
  <c r="EC27" i="2"/>
  <c r="DQ104" i="3" s="1"/>
  <c r="EB27" i="2"/>
  <c r="EA27" i="2"/>
  <c r="EA133" i="2" s="1"/>
  <c r="DZ27" i="2"/>
  <c r="DY27" i="2"/>
  <c r="DX27" i="2"/>
  <c r="CM104" i="3"/>
  <c r="CW27" i="2"/>
  <c r="CK104" i="3" s="1"/>
  <c r="CV27" i="2"/>
  <c r="CU27" i="2"/>
  <c r="CI104" i="3" s="1"/>
  <c r="CT27" i="2"/>
  <c r="CS27" i="2"/>
  <c r="CG104" i="3" s="1"/>
  <c r="CQ27" i="2"/>
  <c r="CP27" i="2"/>
  <c r="CD104" i="3" s="1"/>
  <c r="CM27" i="2"/>
  <c r="CL27" i="2"/>
  <c r="CJ27" i="2"/>
  <c r="BY27" i="2"/>
  <c r="BY104" i="3" s="1"/>
  <c r="BX27" i="2"/>
  <c r="EP27" i="2" s="1"/>
  <c r="BN27" i="2"/>
  <c r="BN104" i="3" s="1"/>
  <c r="BL27" i="2"/>
  <c r="BL104" i="3" s="1"/>
  <c r="EL24" i="2"/>
  <c r="DZ103" i="3" s="1"/>
  <c r="EJ24" i="2"/>
  <c r="DX103" i="3" s="1"/>
  <c r="EI24" i="2"/>
  <c r="EH24" i="2"/>
  <c r="EG24" i="2"/>
  <c r="EF24" i="2"/>
  <c r="EE24" i="2"/>
  <c r="ED24" i="2"/>
  <c r="EC24" i="2"/>
  <c r="EB24" i="2"/>
  <c r="EA24" i="2"/>
  <c r="DZ24" i="2"/>
  <c r="DY24" i="2"/>
  <c r="DX24" i="2"/>
  <c r="DC24" i="2"/>
  <c r="DB24" i="2"/>
  <c r="CZ24" i="2"/>
  <c r="CY24" i="2"/>
  <c r="CM103" i="3" s="1"/>
  <c r="CX24" i="2"/>
  <c r="CL103" i="3" s="1"/>
  <c r="CV24" i="2"/>
  <c r="CJ103" i="3" s="1"/>
  <c r="CT24" i="2"/>
  <c r="CH103" i="3" s="1"/>
  <c r="CR24" i="2"/>
  <c r="CF103" i="3" s="1"/>
  <c r="CP24" i="2"/>
  <c r="CD103" i="3" s="1"/>
  <c r="CJ24" i="2"/>
  <c r="CB103" i="3" s="1"/>
  <c r="CI24" i="2"/>
  <c r="CA103" i="3" s="1"/>
  <c r="CH24" i="2"/>
  <c r="BZ103" i="3" s="1"/>
  <c r="CF24" i="2"/>
  <c r="CE24" i="2"/>
  <c r="CD24" i="2"/>
  <c r="CC24" i="2"/>
  <c r="CB24" i="2"/>
  <c r="CA24" i="2"/>
  <c r="BZ24" i="2"/>
  <c r="BY24" i="2"/>
  <c r="BY103" i="3" s="1"/>
  <c r="BX24" i="2"/>
  <c r="BX103" i="3" s="1"/>
  <c r="BW24" i="2"/>
  <c r="BW103" i="3" s="1"/>
  <c r="BV24" i="2"/>
  <c r="BV103" i="3" s="1"/>
  <c r="BU24" i="2"/>
  <c r="BU103" i="3" s="1"/>
  <c r="BT24" i="2"/>
  <c r="BT103" i="3" s="1"/>
  <c r="BS24" i="2"/>
  <c r="BS103" i="3" s="1"/>
  <c r="BR24" i="2"/>
  <c r="BR103" i="3" s="1"/>
  <c r="BQ24" i="2"/>
  <c r="BP24" i="2"/>
  <c r="BP103" i="3" s="1"/>
  <c r="BO24" i="2"/>
  <c r="BN24" i="2"/>
  <c r="BM24" i="2"/>
  <c r="BM103" i="3" s="1"/>
  <c r="BL24" i="2"/>
  <c r="BL103" i="3" s="1"/>
  <c r="BK24" i="2"/>
  <c r="BK103" i="3" s="1"/>
  <c r="BJ24" i="2"/>
  <c r="BJ103" i="3" s="1"/>
  <c r="BI24" i="2"/>
  <c r="BH24" i="2"/>
  <c r="BH103" i="3" s="1"/>
  <c r="BG24" i="2"/>
  <c r="BF24" i="2"/>
  <c r="BF103" i="3" s="1"/>
  <c r="BE24" i="2"/>
  <c r="BE103" i="3" s="1"/>
  <c r="BD24" i="2"/>
  <c r="BD103" i="3" s="1"/>
  <c r="BC24" i="2"/>
  <c r="BC103" i="3" s="1"/>
  <c r="BB24" i="2"/>
  <c r="BB103" i="3" s="1"/>
  <c r="DA23" i="2"/>
  <c r="EW23" i="2" s="1"/>
  <c r="CW23" i="2"/>
  <c r="CU23" i="2"/>
  <c r="CS23" i="2"/>
  <c r="CS24" i="2" s="1"/>
  <c r="CQ23" i="2"/>
  <c r="CO23" i="2"/>
  <c r="CO24" i="2" s="1"/>
  <c r="CN23" i="2"/>
  <c r="CN24" i="2" s="1"/>
  <c r="CM23" i="2"/>
  <c r="CM24" i="2" s="1"/>
  <c r="CL23" i="2"/>
  <c r="CK23" i="2"/>
  <c r="CK24" i="2" s="1"/>
  <c r="CC103" i="3" s="1"/>
  <c r="CG23" i="2"/>
  <c r="BA23" i="2"/>
  <c r="AZ23" i="2"/>
  <c r="AY23" i="2"/>
  <c r="EQ23" i="2"/>
  <c r="EP23" i="2"/>
  <c r="EO23" i="2"/>
  <c r="EN23" i="2"/>
  <c r="EM23" i="2"/>
  <c r="EW22" i="2"/>
  <c r="EV22" i="2"/>
  <c r="EU22" i="2"/>
  <c r="ET22" i="2"/>
  <c r="ES22" i="2"/>
  <c r="ER22" i="2"/>
  <c r="EQ22" i="2"/>
  <c r="EP22" i="2"/>
  <c r="EO22" i="2"/>
  <c r="EN22" i="2"/>
  <c r="EM22" i="2"/>
  <c r="EK23" i="2"/>
  <c r="EI23" i="2"/>
  <c r="EK22" i="2"/>
  <c r="EJ22" i="2"/>
  <c r="EI22" i="2"/>
  <c r="EF22" i="2"/>
  <c r="DW19" i="2"/>
  <c r="DW81" i="2" s="1"/>
  <c r="DV19" i="2"/>
  <c r="DV81" i="2" s="1"/>
  <c r="DU19" i="2"/>
  <c r="DU81" i="2" s="1"/>
  <c r="DT19" i="2"/>
  <c r="DS19" i="2"/>
  <c r="DR19" i="2"/>
  <c r="DR81" i="2" s="1"/>
  <c r="DQ19" i="2"/>
  <c r="DQ81" i="2" s="1"/>
  <c r="DQ96" i="2" s="1"/>
  <c r="DP19" i="2"/>
  <c r="AO19" i="2"/>
  <c r="AN19" i="2"/>
  <c r="AM19" i="2"/>
  <c r="AL19" i="2"/>
  <c r="AK19" i="2"/>
  <c r="AK81" i="2" s="1"/>
  <c r="AJ19" i="2"/>
  <c r="AJ81" i="2" s="1"/>
  <c r="AI19" i="2"/>
  <c r="AI81" i="2" s="1"/>
  <c r="AH19" i="2"/>
  <c r="AH81" i="2" s="1"/>
  <c r="DS16" i="2"/>
  <c r="AU16" i="2"/>
  <c r="EH16" i="2"/>
  <c r="DV102" i="3" s="1"/>
  <c r="EG16" i="2"/>
  <c r="DU102" i="3" s="1"/>
  <c r="EF16" i="2"/>
  <c r="DT102" i="3" s="1"/>
  <c r="EE16" i="2"/>
  <c r="DS102" i="3" s="1"/>
  <c r="ED16" i="2"/>
  <c r="DR102" i="3" s="1"/>
  <c r="EC16" i="2"/>
  <c r="EB16" i="2"/>
  <c r="EA16" i="2"/>
  <c r="DO102" i="3" s="1"/>
  <c r="DZ16" i="2"/>
  <c r="DN102" i="3" s="1"/>
  <c r="DY16" i="2"/>
  <c r="DX16" i="2"/>
  <c r="DX109" i="2" s="1"/>
  <c r="DW15" i="2"/>
  <c r="DV15" i="2"/>
  <c r="DU15" i="2"/>
  <c r="DT15" i="2"/>
  <c r="DR15" i="2"/>
  <c r="DQ15" i="2"/>
  <c r="DP15" i="2"/>
  <c r="BY16" i="2"/>
  <c r="BY102" i="3" s="1"/>
  <c r="BX16" i="2"/>
  <c r="BX102" i="3" s="1"/>
  <c r="BW16" i="2"/>
  <c r="BW102" i="3" s="1"/>
  <c r="BV16" i="2"/>
  <c r="BV102" i="3" s="1"/>
  <c r="BU16" i="2"/>
  <c r="BU102" i="3" s="1"/>
  <c r="BT16" i="2"/>
  <c r="BT102" i="3" s="1"/>
  <c r="BS16" i="2"/>
  <c r="BR16" i="2"/>
  <c r="BQ16" i="2"/>
  <c r="BQ102" i="3" s="1"/>
  <c r="BP16" i="2"/>
  <c r="BP102" i="3" s="1"/>
  <c r="BO16" i="2"/>
  <c r="BO102" i="3" s="1"/>
  <c r="BN16" i="2"/>
  <c r="BN102" i="3" s="1"/>
  <c r="BM16" i="2"/>
  <c r="BM102" i="3" s="1"/>
  <c r="BL16" i="2"/>
  <c r="BL102" i="3" s="1"/>
  <c r="BK16" i="2"/>
  <c r="BK102" i="3" s="1"/>
  <c r="BJ16" i="2"/>
  <c r="BJ102" i="3" s="1"/>
  <c r="BI16" i="2"/>
  <c r="BI102" i="3" s="1"/>
  <c r="BH16" i="2"/>
  <c r="BH102" i="3" s="1"/>
  <c r="BG16" i="2"/>
  <c r="BF16" i="2"/>
  <c r="BE16" i="2"/>
  <c r="BE102" i="3" s="1"/>
  <c r="BD16" i="2"/>
  <c r="BC16" i="2"/>
  <c r="BC102" i="3" s="1"/>
  <c r="BB16" i="2"/>
  <c r="BA16" i="2"/>
  <c r="BA102" i="3" s="1"/>
  <c r="AZ16" i="2"/>
  <c r="AZ102" i="3" s="1"/>
  <c r="AY16" i="2"/>
  <c r="AX16" i="2"/>
  <c r="AX109" i="2" s="1"/>
  <c r="AO15" i="2"/>
  <c r="AN15" i="2"/>
  <c r="AM15" i="2"/>
  <c r="AL15" i="2"/>
  <c r="AK15" i="2"/>
  <c r="AJ15" i="2"/>
  <c r="AI15" i="2"/>
  <c r="AH15" i="2"/>
  <c r="ET14" i="2"/>
  <c r="ET13" i="2"/>
  <c r="EG11" i="2"/>
  <c r="EG19" i="2" s="1"/>
  <c r="EF11" i="2"/>
  <c r="EF19" i="2" s="1"/>
  <c r="DA14" i="2"/>
  <c r="CZ14" i="2"/>
  <c r="CY14" i="2"/>
  <c r="CX14" i="2"/>
  <c r="CW14" i="2"/>
  <c r="CV14" i="2"/>
  <c r="CU14" i="2"/>
  <c r="CT14" i="2"/>
  <c r="DA13" i="2"/>
  <c r="CZ13" i="2"/>
  <c r="CY13" i="2"/>
  <c r="CX13" i="2"/>
  <c r="CL113" i="3" s="1"/>
  <c r="CL115" i="3" s="1"/>
  <c r="CW13" i="2"/>
  <c r="CV13" i="2"/>
  <c r="CU13" i="2"/>
  <c r="CT13" i="2"/>
  <c r="DC12" i="2"/>
  <c r="DB12" i="2"/>
  <c r="CZ12" i="2"/>
  <c r="CY12" i="2"/>
  <c r="CX12" i="2"/>
  <c r="CV12" i="2"/>
  <c r="CU12" i="2"/>
  <c r="CT12" i="2"/>
  <c r="DB11" i="2"/>
  <c r="CX11" i="2"/>
  <c r="CU11" i="2"/>
  <c r="CT11" i="2"/>
  <c r="CH105" i="4" s="1"/>
  <c r="CS13" i="2"/>
  <c r="CR13" i="2"/>
  <c r="CF113" i="3" s="1"/>
  <c r="CF115" i="3" s="1"/>
  <c r="CQ13" i="2"/>
  <c r="CP13" i="2"/>
  <c r="CP12" i="2"/>
  <c r="CP11" i="2"/>
  <c r="CH12" i="2"/>
  <c r="BW12" i="2"/>
  <c r="CE12" i="2" s="1"/>
  <c r="BV12" i="2"/>
  <c r="CD12" i="2" s="1"/>
  <c r="BR12" i="2"/>
  <c r="BR19" i="2" s="1"/>
  <c r="BN12" i="2"/>
  <c r="BK12" i="2"/>
  <c r="BJ12" i="2"/>
  <c r="BH12" i="2"/>
  <c r="BG12" i="2"/>
  <c r="BF12" i="2"/>
  <c r="BF15" i="2" s="1"/>
  <c r="BE12" i="2"/>
  <c r="BD12" i="2"/>
  <c r="BC12" i="2"/>
  <c r="BB12" i="2"/>
  <c r="BA12" i="2"/>
  <c r="AZ12" i="2"/>
  <c r="AY12" i="2"/>
  <c r="AX12" i="2"/>
  <c r="CH11" i="2"/>
  <c r="CL11" i="2" s="1"/>
  <c r="BV11" i="2"/>
  <c r="BR11" i="2"/>
  <c r="BO11" i="2"/>
  <c r="BN11" i="2"/>
  <c r="BJ11" i="2"/>
  <c r="BF11" i="2"/>
  <c r="BB11" i="2"/>
  <c r="BB19" i="2" s="1"/>
  <c r="AX11" i="2"/>
  <c r="AT11" i="2"/>
  <c r="AT15" i="2" s="1"/>
  <c r="AP11" i="2"/>
  <c r="AP105" i="4" s="1"/>
  <c r="AD11" i="2"/>
  <c r="AD105" i="4" s="1"/>
  <c r="AA11" i="2"/>
  <c r="AA80" i="2" s="1"/>
  <c r="Z11" i="2"/>
  <c r="Z105" i="4" s="1"/>
  <c r="Y11" i="2"/>
  <c r="X11" i="2"/>
  <c r="X80" i="2" s="1"/>
  <c r="W11" i="2"/>
  <c r="W105" i="4" s="1"/>
  <c r="V11" i="2"/>
  <c r="V105" i="4" s="1"/>
  <c r="U11" i="2"/>
  <c r="T11" i="2"/>
  <c r="T80" i="2" s="1"/>
  <c r="X95" i="2" s="1"/>
  <c r="R11" i="2"/>
  <c r="R15" i="2" s="1"/>
  <c r="Q11" i="2"/>
  <c r="Q15" i="2" s="1"/>
  <c r="P11" i="2"/>
  <c r="O11" i="2"/>
  <c r="O80" i="2" s="1"/>
  <c r="N11" i="2"/>
  <c r="N105" i="4" s="1"/>
  <c r="M11" i="2"/>
  <c r="M19" i="2" s="1"/>
  <c r="L11" i="2"/>
  <c r="K11" i="2"/>
  <c r="K19" i="2" s="1"/>
  <c r="J11" i="2"/>
  <c r="I11" i="2"/>
  <c r="I80" i="2" s="1"/>
  <c r="I95" i="2" s="1"/>
  <c r="H11" i="2"/>
  <c r="H105" i="4" s="1"/>
  <c r="G11" i="2"/>
  <c r="G15" i="2" s="1"/>
  <c r="F11" i="2"/>
  <c r="F80" i="2" s="1"/>
  <c r="E11" i="2"/>
  <c r="E19" i="2" s="1"/>
  <c r="D11" i="2"/>
  <c r="C11" i="2"/>
  <c r="C19" i="2" s="1"/>
  <c r="B11" i="2"/>
  <c r="DW9" i="2"/>
  <c r="DJ133" i="3" s="1"/>
  <c r="DV9" i="2"/>
  <c r="DU9" i="2"/>
  <c r="DU76" i="2" s="1"/>
  <c r="DT9" i="2"/>
  <c r="DG133" i="3" s="1"/>
  <c r="DS9" i="2"/>
  <c r="DR9" i="2"/>
  <c r="DQ9" i="2"/>
  <c r="DQ76" i="2" s="1"/>
  <c r="DP9" i="2"/>
  <c r="DP17" i="2" s="1"/>
  <c r="AV9" i="2"/>
  <c r="AV17" i="2" s="1"/>
  <c r="AT9" i="2"/>
  <c r="AK9" i="2"/>
  <c r="AK76" i="2" s="1"/>
  <c r="AJ9" i="2"/>
  <c r="AJ17" i="2" s="1"/>
  <c r="AI9" i="2"/>
  <c r="AH9" i="2"/>
  <c r="AH17" i="2" s="1"/>
  <c r="AG9" i="2"/>
  <c r="AG17" i="2" s="1"/>
  <c r="AF9" i="2"/>
  <c r="AF17" i="2" s="1"/>
  <c r="AE9" i="2"/>
  <c r="AE76" i="2" s="1"/>
  <c r="AD9" i="2"/>
  <c r="AD17" i="2" s="1"/>
  <c r="AC9" i="2"/>
  <c r="AC17" i="2" s="1"/>
  <c r="AB9" i="2"/>
  <c r="AA9" i="2"/>
  <c r="AA76" i="2" s="1"/>
  <c r="Z9" i="2"/>
  <c r="Y9" i="2"/>
  <c r="Y76" i="2" s="1"/>
  <c r="X9" i="2"/>
  <c r="W9" i="2"/>
  <c r="W76" i="2" s="1"/>
  <c r="V9" i="2"/>
  <c r="U9" i="2"/>
  <c r="U17" i="2" s="1"/>
  <c r="T9" i="2"/>
  <c r="T17" i="2" s="1"/>
  <c r="S9" i="2"/>
  <c r="S76" i="2" s="1"/>
  <c r="R9" i="2"/>
  <c r="R17" i="2" s="1"/>
  <c r="Q9" i="2"/>
  <c r="Q76" i="2" s="1"/>
  <c r="P9" i="2"/>
  <c r="P76" i="2" s="1"/>
  <c r="O9" i="2"/>
  <c r="O76" i="2" s="1"/>
  <c r="N9" i="2"/>
  <c r="M9" i="2"/>
  <c r="L9" i="2"/>
  <c r="L76" i="2" s="1"/>
  <c r="K9" i="2"/>
  <c r="K76" i="2" s="1"/>
  <c r="J9" i="2"/>
  <c r="J76" i="2" s="1"/>
  <c r="I9" i="2"/>
  <c r="I76" i="2" s="1"/>
  <c r="H9" i="2"/>
  <c r="H76" i="2" s="1"/>
  <c r="G9" i="2"/>
  <c r="G76" i="2" s="1"/>
  <c r="F9" i="2"/>
  <c r="F17" i="2" s="1"/>
  <c r="E9" i="2"/>
  <c r="E17" i="2" s="1"/>
  <c r="E111" i="3" s="1"/>
  <c r="D9" i="2"/>
  <c r="D17" i="2" s="1"/>
  <c r="C9" i="2"/>
  <c r="C17" i="2" s="1"/>
  <c r="B9" i="2"/>
  <c r="EI8" i="2"/>
  <c r="DW101" i="3" s="1"/>
  <c r="EH8" i="2"/>
  <c r="DV101" i="3" s="1"/>
  <c r="EG8" i="2"/>
  <c r="DU101" i="3" s="1"/>
  <c r="EF8" i="2"/>
  <c r="DT101" i="3" s="1"/>
  <c r="DT51" i="3" s="1"/>
  <c r="DT82" i="3" s="1"/>
  <c r="EE8" i="2"/>
  <c r="DS101" i="3" s="1"/>
  <c r="ED8" i="2"/>
  <c r="DR101" i="3" s="1"/>
  <c r="EC8" i="2"/>
  <c r="DQ101" i="3" s="1"/>
  <c r="EB8" i="2"/>
  <c r="DP101" i="3" s="1"/>
  <c r="DP130" i="3" s="1"/>
  <c r="EA8" i="2"/>
  <c r="DO101" i="3" s="1"/>
  <c r="DO52" i="3" s="1"/>
  <c r="DO83" i="3" s="1"/>
  <c r="DZ8" i="2"/>
  <c r="DN101" i="3" s="1"/>
  <c r="DY8" i="2"/>
  <c r="DM101" i="3" s="1"/>
  <c r="DX8" i="2"/>
  <c r="DL101" i="3" s="1"/>
  <c r="DL130" i="3" s="1"/>
  <c r="EF7" i="2"/>
  <c r="EE7" i="2"/>
  <c r="DS103" i="4" s="1"/>
  <c r="ED7" i="2"/>
  <c r="DR100" i="3" s="1"/>
  <c r="DR60" i="3" s="1"/>
  <c r="EC7" i="2"/>
  <c r="EB7" i="2"/>
  <c r="EB77" i="2" s="1"/>
  <c r="EA7" i="2"/>
  <c r="DO100" i="3" s="1"/>
  <c r="DZ7" i="2"/>
  <c r="DZ78" i="2" s="1"/>
  <c r="DY7" i="2"/>
  <c r="DM103" i="4" s="1"/>
  <c r="DX7" i="2"/>
  <c r="DX78" i="2" s="1"/>
  <c r="DX93" i="2" s="1"/>
  <c r="BY8" i="2"/>
  <c r="BY101" i="3" s="1"/>
  <c r="BW8" i="2"/>
  <c r="BW101" i="3" s="1"/>
  <c r="BV8" i="2"/>
  <c r="BV101" i="3" s="1"/>
  <c r="BU8" i="2"/>
  <c r="BU101" i="3" s="1"/>
  <c r="BT8" i="2"/>
  <c r="BT101" i="3" s="1"/>
  <c r="BS8" i="2"/>
  <c r="BS101" i="3" s="1"/>
  <c r="BR8" i="2"/>
  <c r="BR101" i="3" s="1"/>
  <c r="BQ8" i="2"/>
  <c r="BQ101" i="3" s="1"/>
  <c r="BP8" i="2"/>
  <c r="BO8" i="2"/>
  <c r="BO101" i="3" s="1"/>
  <c r="BN8" i="2"/>
  <c r="BN101" i="3" s="1"/>
  <c r="BM8" i="2"/>
  <c r="BM101" i="3" s="1"/>
  <c r="BL8" i="2"/>
  <c r="BL101" i="3" s="1"/>
  <c r="BK8" i="2"/>
  <c r="BK101" i="3" s="1"/>
  <c r="BJ8" i="2"/>
  <c r="BJ101" i="3" s="1"/>
  <c r="BI8" i="2"/>
  <c r="BH8" i="2"/>
  <c r="BH101" i="3" s="1"/>
  <c r="BG8" i="2"/>
  <c r="BG101" i="3" s="1"/>
  <c r="BF8" i="2"/>
  <c r="BE8" i="2"/>
  <c r="BE101" i="3" s="1"/>
  <c r="BD8" i="2"/>
  <c r="BD101" i="3" s="1"/>
  <c r="BC8" i="2"/>
  <c r="BC101" i="3" s="1"/>
  <c r="BB8" i="2"/>
  <c r="BB101" i="3" s="1"/>
  <c r="BA8" i="2"/>
  <c r="BA101" i="3" s="1"/>
  <c r="AZ8" i="2"/>
  <c r="AZ101" i="3" s="1"/>
  <c r="AY8" i="2"/>
  <c r="AY101" i="3" s="1"/>
  <c r="AX8" i="2"/>
  <c r="AX101" i="3" s="1"/>
  <c r="DB7" i="2"/>
  <c r="CP103" i="4" s="1"/>
  <c r="CZ7" i="2"/>
  <c r="CX7" i="2"/>
  <c r="CN7" i="2"/>
  <c r="CL7" i="2"/>
  <c r="CL412" i="329" s="1"/>
  <c r="CJ7" i="2"/>
  <c r="CJ412" i="329" s="1"/>
  <c r="CH7" i="2"/>
  <c r="CF7" i="2"/>
  <c r="CD7" i="2"/>
  <c r="CB7" i="2"/>
  <c r="CB77" i="2" s="1"/>
  <c r="BZ7" i="2"/>
  <c r="BX7" i="2"/>
  <c r="BX412" i="329" s="1"/>
  <c r="BV7" i="2"/>
  <c r="BV103" i="4" s="1"/>
  <c r="BT7" i="2"/>
  <c r="BT103" i="4" s="1"/>
  <c r="BR7" i="2"/>
  <c r="BR103" i="4" s="1"/>
  <c r="BM7" i="2"/>
  <c r="BM77" i="2" s="1"/>
  <c r="BF7" i="2"/>
  <c r="BF100" i="3" s="1"/>
  <c r="BD7" i="2"/>
  <c r="BD77" i="2" s="1"/>
  <c r="BB7" i="2"/>
  <c r="AZ7" i="2"/>
  <c r="AX7" i="2"/>
  <c r="AR7" i="2"/>
  <c r="AP7" i="2"/>
  <c r="AP77" i="2" s="1"/>
  <c r="AN7" i="2"/>
  <c r="AN100" i="3" s="1"/>
  <c r="AL7" i="2"/>
  <c r="AL100" i="3" s="1"/>
  <c r="EX6" i="2"/>
  <c r="EV6" i="2"/>
  <c r="EV5" i="329" s="1"/>
  <c r="F5" i="2"/>
  <c r="F4" i="3" s="1"/>
  <c r="EK8" i="3"/>
  <c r="EK18" i="3"/>
  <c r="DZ64" i="3"/>
  <c r="DY64" i="3"/>
  <c r="DJ75" i="3"/>
  <c r="EG12" i="3"/>
  <c r="EK17" i="3"/>
  <c r="EK19" i="3"/>
  <c r="DN64" i="3"/>
  <c r="AH295" i="329"/>
  <c r="AJ244" i="329"/>
  <c r="BA295" i="329"/>
  <c r="BL51" i="329"/>
  <c r="EF314" i="329"/>
  <c r="EH314" i="329"/>
  <c r="DI109" i="3"/>
  <c r="DK109" i="3"/>
  <c r="DL132" i="3" s="1"/>
  <c r="DD365" i="329"/>
  <c r="DM103" i="3"/>
  <c r="EI109" i="4"/>
  <c r="FA77" i="2"/>
  <c r="FA92" i="2" s="1"/>
  <c r="BA66" i="3"/>
  <c r="BA68" i="3" s="1"/>
  <c r="DV12" i="3"/>
  <c r="C65" i="3"/>
  <c r="M65" i="3"/>
  <c r="U65" i="3"/>
  <c r="AC65" i="3"/>
  <c r="AK65" i="3"/>
  <c r="AS65" i="3"/>
  <c r="BA65" i="3"/>
  <c r="DA290" i="329"/>
  <c r="EW290" i="329" s="1"/>
  <c r="U126" i="329"/>
  <c r="BO354" i="329"/>
  <c r="BO330" i="329" s="1"/>
  <c r="BW354" i="329"/>
  <c r="BW338" i="329" s="1"/>
  <c r="CE354" i="329"/>
  <c r="CM354" i="329"/>
  <c r="CM346" i="329" s="1"/>
  <c r="CW7" i="2"/>
  <c r="AY92" i="329"/>
  <c r="BK92" i="329"/>
  <c r="AP126" i="329"/>
  <c r="F372" i="329"/>
  <c r="H372" i="329"/>
  <c r="J372" i="329"/>
  <c r="L372" i="329"/>
  <c r="N372" i="329"/>
  <c r="G109" i="3"/>
  <c r="I109" i="3"/>
  <c r="I91" i="3" s="1"/>
  <c r="K109" i="3"/>
  <c r="K91" i="3" s="1"/>
  <c r="M109" i="3"/>
  <c r="AI94" i="2"/>
  <c r="DM5" i="4"/>
  <c r="J4" i="4"/>
  <c r="AB9" i="4"/>
  <c r="AJ9" i="4"/>
  <c r="AK9" i="4" s="1"/>
  <c r="BE8" i="4"/>
  <c r="BM10" i="4"/>
  <c r="BM12" i="2" s="1"/>
  <c r="BP9" i="4"/>
  <c r="CL29" i="4"/>
  <c r="CM17" i="4"/>
  <c r="CN17" i="4" s="1"/>
  <c r="CO17" i="4" s="1"/>
  <c r="DL28" i="4"/>
  <c r="CQ27" i="4"/>
  <c r="AH29" i="4"/>
  <c r="AH28" i="4"/>
  <c r="AI25" i="4"/>
  <c r="AX29" i="4"/>
  <c r="AX28" i="4"/>
  <c r="AY25" i="4"/>
  <c r="AZ25" i="4" s="1"/>
  <c r="BA25" i="4" s="1"/>
  <c r="BF42" i="4"/>
  <c r="BF98" i="4" s="1"/>
  <c r="EG63" i="4"/>
  <c r="EG42" i="4"/>
  <c r="EG98" i="4" s="1"/>
  <c r="AZ32" i="4"/>
  <c r="BD32" i="4"/>
  <c r="BH32" i="4"/>
  <c r="BL32" i="4"/>
  <c r="BL34" i="4"/>
  <c r="BM34" i="4" s="1"/>
  <c r="BT32" i="4"/>
  <c r="BU32" i="4" s="1"/>
  <c r="CI40" i="4"/>
  <c r="CJ32" i="4"/>
  <c r="CJ34" i="4"/>
  <c r="CK34" i="4" s="1"/>
  <c r="BA39" i="4"/>
  <c r="DX40" i="4"/>
  <c r="CJ9" i="4"/>
  <c r="EJ29" i="4"/>
  <c r="AV21" i="4"/>
  <c r="AW21" i="4" s="1"/>
  <c r="AZ20" i="4"/>
  <c r="BA20" i="4" s="1"/>
  <c r="BD20" i="4"/>
  <c r="BH20" i="4"/>
  <c r="BI20" i="4" s="1"/>
  <c r="BL22" i="4"/>
  <c r="BM22" i="4" s="1"/>
  <c r="BL24" i="4"/>
  <c r="BM24" i="4" s="1"/>
  <c r="BP23" i="4"/>
  <c r="BQ23" i="4" s="1"/>
  <c r="CN25" i="4"/>
  <c r="CO25" i="4" s="1"/>
  <c r="AR21" i="4"/>
  <c r="AS21" i="4" s="1"/>
  <c r="AR25" i="4"/>
  <c r="AS25" i="4" s="1"/>
  <c r="CM27" i="4"/>
  <c r="U63" i="4"/>
  <c r="AZ34" i="4"/>
  <c r="BA34" i="4" s="1"/>
  <c r="BD34" i="4"/>
  <c r="BE34" i="4" s="1"/>
  <c r="BH34" i="4"/>
  <c r="BI34" i="4" s="1"/>
  <c r="CB32" i="4"/>
  <c r="CF35" i="4"/>
  <c r="CD40" i="4"/>
  <c r="CG33" i="4"/>
  <c r="EH33" i="4" s="1"/>
  <c r="CP40" i="4"/>
  <c r="CJ36" i="4"/>
  <c r="CK36" i="4" s="1"/>
  <c r="CQ34" i="4"/>
  <c r="EB40" i="4"/>
  <c r="DQ37" i="4"/>
  <c r="G39" i="4"/>
  <c r="H39" i="4" s="1"/>
  <c r="C54" i="4"/>
  <c r="DL54" i="4" s="1"/>
  <c r="Z117" i="4"/>
  <c r="Z54" i="4"/>
  <c r="AA45" i="4"/>
  <c r="BX47" i="4"/>
  <c r="BX118" i="4" s="1"/>
  <c r="CE118" i="4"/>
  <c r="CG8" i="4"/>
  <c r="EH8" i="4" s="1"/>
  <c r="DM9" i="4"/>
  <c r="BA14" i="4"/>
  <c r="BE14" i="4"/>
  <c r="CO14" i="4"/>
  <c r="AW17" i="4"/>
  <c r="CF22" i="4"/>
  <c r="CG22" i="4" s="1"/>
  <c r="EH22" i="4" s="1"/>
  <c r="CJ20" i="4"/>
  <c r="CK20" i="4" s="1"/>
  <c r="CJ22" i="4"/>
  <c r="CK22" i="4" s="1"/>
  <c r="CJ24" i="4"/>
  <c r="CK24" i="4" s="1"/>
  <c r="EE28" i="4"/>
  <c r="EE27" i="4"/>
  <c r="AB21" i="4"/>
  <c r="EC28" i="4"/>
  <c r="AA28" i="4"/>
  <c r="DM32" i="4"/>
  <c r="AS33" i="4"/>
  <c r="CN32" i="4"/>
  <c r="CN123" i="4" s="1"/>
  <c r="AM40" i="4"/>
  <c r="AO38" i="4"/>
  <c r="AK39" i="4"/>
  <c r="BC39" i="4"/>
  <c r="BS39" i="4"/>
  <c r="AX40" i="4"/>
  <c r="BB40" i="4"/>
  <c r="AX117" i="4"/>
  <c r="AY45" i="4"/>
  <c r="BF117" i="4"/>
  <c r="BG45" i="4"/>
  <c r="BX46" i="4"/>
  <c r="BY46" i="4" s="1"/>
  <c r="CM118" i="4"/>
  <c r="CN47" i="4"/>
  <c r="CO47" i="4" s="1"/>
  <c r="CO118" i="4" s="1"/>
  <c r="BC118" i="4"/>
  <c r="BD47" i="4"/>
  <c r="BE47" i="4" s="1"/>
  <c r="BE118" i="4" s="1"/>
  <c r="BL47" i="4"/>
  <c r="BO118" i="4"/>
  <c r="BP47" i="4"/>
  <c r="BP118" i="4" s="1"/>
  <c r="EC54" i="4"/>
  <c r="BC49" i="4"/>
  <c r="BD49" i="4" s="1"/>
  <c r="BE49" i="4" s="1"/>
  <c r="BJ54" i="4"/>
  <c r="BK49" i="4"/>
  <c r="BL49" i="4" s="1"/>
  <c r="BM49" i="4" s="1"/>
  <c r="BO49" i="4"/>
  <c r="AO50" i="4"/>
  <c r="CF53" i="4"/>
  <c r="CG53" i="4" s="1"/>
  <c r="EH53" i="4" s="1"/>
  <c r="BF28" i="4"/>
  <c r="CH63" i="4"/>
  <c r="DO27" i="4"/>
  <c r="D42" i="4"/>
  <c r="X42" i="4"/>
  <c r="AN42" i="4"/>
  <c r="BV42" i="4"/>
  <c r="BV98" i="4" s="1"/>
  <c r="CH42" i="4"/>
  <c r="CH98" i="4" s="1"/>
  <c r="DF42" i="4"/>
  <c r="DH42" i="4"/>
  <c r="DJ42" i="4"/>
  <c r="AQ117" i="4"/>
  <c r="DR117" i="4"/>
  <c r="DR54" i="4"/>
  <c r="DW117" i="4"/>
  <c r="DW54" i="4"/>
  <c r="DY117" i="4"/>
  <c r="DY54" i="4"/>
  <c r="EB117" i="4"/>
  <c r="AR56" i="4"/>
  <c r="AS56" i="4" s="1"/>
  <c r="BD56" i="4"/>
  <c r="BE56" i="4" s="1"/>
  <c r="BL56" i="4"/>
  <c r="BM56" i="4" s="1"/>
  <c r="BT56" i="4"/>
  <c r="BU56" i="4" s="1"/>
  <c r="CJ56" i="4"/>
  <c r="CK56" i="4" s="1"/>
  <c r="BZ93" i="4"/>
  <c r="BY95" i="4"/>
  <c r="I75" i="3"/>
  <c r="DM89" i="3"/>
  <c r="DQ89" i="3"/>
  <c r="DU89" i="3"/>
  <c r="DY89" i="3"/>
  <c r="EC89" i="3"/>
  <c r="Z21" i="3"/>
  <c r="AD76" i="3"/>
  <c r="AD21" i="3"/>
  <c r="AR21" i="3"/>
  <c r="CN21" i="3"/>
  <c r="CN71" i="3" s="1"/>
  <c r="CP21" i="3"/>
  <c r="DJ21" i="3"/>
  <c r="E75" i="3"/>
  <c r="E12" i="3"/>
  <c r="E21" i="3" s="1"/>
  <c r="DL21" i="3" s="1"/>
  <c r="G12" i="3"/>
  <c r="DM11" i="3"/>
  <c r="K12" i="3"/>
  <c r="M12" i="3"/>
  <c r="M21" i="3" s="1"/>
  <c r="O12" i="3"/>
  <c r="O76" i="3" s="1"/>
  <c r="Q75" i="3"/>
  <c r="Q12" i="3"/>
  <c r="DO11" i="3"/>
  <c r="S12" i="3"/>
  <c r="U75" i="3"/>
  <c r="U12" i="3"/>
  <c r="DP12" i="3" s="1"/>
  <c r="W12" i="3"/>
  <c r="W76" i="3" s="1"/>
  <c r="Y12" i="3"/>
  <c r="DQ11" i="3"/>
  <c r="AA12" i="3"/>
  <c r="AC75" i="3"/>
  <c r="AC12" i="3"/>
  <c r="DR12" i="3" s="1"/>
  <c r="AE75" i="3"/>
  <c r="AE12" i="3"/>
  <c r="AG75" i="3"/>
  <c r="AG12" i="3"/>
  <c r="AG77" i="3" s="1"/>
  <c r="DS11" i="3"/>
  <c r="AI75" i="3"/>
  <c r="AI12" i="3"/>
  <c r="AK12" i="3"/>
  <c r="AM12" i="3"/>
  <c r="AM21" i="3" s="1"/>
  <c r="AM71" i="3" s="1"/>
  <c r="AO12" i="3"/>
  <c r="DU11" i="3"/>
  <c r="CK75" i="3"/>
  <c r="CK12" i="3"/>
  <c r="CK21" i="3" s="1"/>
  <c r="EI11" i="3"/>
  <c r="EI12" i="3" s="1"/>
  <c r="B21" i="3"/>
  <c r="AB21" i="3"/>
  <c r="AZ77" i="3"/>
  <c r="AZ76" i="3"/>
  <c r="AZ74" i="3"/>
  <c r="AZ122" i="3" s="1"/>
  <c r="AZ21" i="3"/>
  <c r="BB21" i="3"/>
  <c r="BB71" i="3" s="1"/>
  <c r="BD77" i="3"/>
  <c r="BD76" i="3"/>
  <c r="BD74" i="3"/>
  <c r="BD122" i="3" s="1"/>
  <c r="BD21" i="3"/>
  <c r="BD45" i="3" s="1"/>
  <c r="BL77" i="3"/>
  <c r="BP77" i="3"/>
  <c r="BT21" i="3"/>
  <c r="BX21" i="3"/>
  <c r="BZ21" i="3"/>
  <c r="CB21" i="3"/>
  <c r="CB71" i="3" s="1"/>
  <c r="CD21" i="3"/>
  <c r="CF21" i="3"/>
  <c r="CF71" i="3" s="1"/>
  <c r="DF77" i="3"/>
  <c r="DF21" i="3"/>
  <c r="DH74" i="3"/>
  <c r="DH122" i="3" s="1"/>
  <c r="EG89" i="3"/>
  <c r="EG87" i="3"/>
  <c r="DM9" i="3"/>
  <c r="DN89" i="3"/>
  <c r="DR89" i="3"/>
  <c r="DT87" i="3"/>
  <c r="DV89" i="3"/>
  <c r="DZ89" i="3"/>
  <c r="DZ90" i="3" s="1"/>
  <c r="EE87" i="3"/>
  <c r="ED89" i="3"/>
  <c r="F75" i="3"/>
  <c r="J75" i="3"/>
  <c r="N75" i="3"/>
  <c r="R75" i="3"/>
  <c r="V75" i="3"/>
  <c r="Z75" i="3"/>
  <c r="AD75" i="3"/>
  <c r="AF75" i="3"/>
  <c r="AH75" i="3"/>
  <c r="AL75" i="3"/>
  <c r="AN75" i="3"/>
  <c r="CD75" i="3"/>
  <c r="I12" i="3"/>
  <c r="I21" i="3" s="1"/>
  <c r="BS76" i="3"/>
  <c r="DI12" i="3"/>
  <c r="DV16" i="3"/>
  <c r="EB16" i="3"/>
  <c r="AP75" i="3"/>
  <c r="BT75" i="3"/>
  <c r="DN20" i="3"/>
  <c r="DX20" i="3"/>
  <c r="DZ20" i="3"/>
  <c r="EB20" i="3"/>
  <c r="AY21" i="3"/>
  <c r="AY71" i="3" s="1"/>
  <c r="BC21" i="3"/>
  <c r="BO21" i="3"/>
  <c r="BS21" i="3"/>
  <c r="BW21" i="3"/>
  <c r="CA21" i="3"/>
  <c r="CI21" i="3"/>
  <c r="CO21" i="3"/>
  <c r="CO71" i="3" s="1"/>
  <c r="DE21" i="3"/>
  <c r="DK21" i="3"/>
  <c r="DN129" i="3"/>
  <c r="DR129" i="3"/>
  <c r="DV129" i="3"/>
  <c r="DZ129" i="3"/>
  <c r="ED129" i="3"/>
  <c r="EE26" i="3"/>
  <c r="B30" i="3"/>
  <c r="B74" i="3" s="1"/>
  <c r="B122" i="3" s="1"/>
  <c r="D30" i="3"/>
  <c r="F30" i="3"/>
  <c r="F35" i="3" s="1"/>
  <c r="F44" i="3" s="1"/>
  <c r="H30" i="3"/>
  <c r="J30" i="3"/>
  <c r="L30" i="3"/>
  <c r="N30" i="3"/>
  <c r="X30" i="3"/>
  <c r="Z30" i="3"/>
  <c r="AB30" i="3"/>
  <c r="AB77" i="3" s="1"/>
  <c r="AL30" i="3"/>
  <c r="AL35" i="3" s="1"/>
  <c r="DY27" i="3"/>
  <c r="BH64" i="3"/>
  <c r="BH30" i="3"/>
  <c r="CJ75" i="3"/>
  <c r="EB28" i="3"/>
  <c r="K35" i="3"/>
  <c r="AM30" i="3"/>
  <c r="DW35" i="3"/>
  <c r="BG30" i="3"/>
  <c r="BG74" i="3" s="1"/>
  <c r="BG122" i="3" s="1"/>
  <c r="DS30" i="3"/>
  <c r="DW30" i="3"/>
  <c r="CK37" i="3"/>
  <c r="EI37" i="3" s="1"/>
  <c r="D65" i="3"/>
  <c r="CK64" i="3"/>
  <c r="BG65" i="3"/>
  <c r="BK65" i="3"/>
  <c r="BO65" i="3"/>
  <c r="BW65" i="3"/>
  <c r="CA65" i="3"/>
  <c r="CE65" i="3"/>
  <c r="CI65" i="3"/>
  <c r="CE66" i="3"/>
  <c r="CE68" i="3" s="1"/>
  <c r="CA67" i="3"/>
  <c r="DE65" i="3"/>
  <c r="DI65" i="3"/>
  <c r="DE66" i="3"/>
  <c r="DE68" i="3" s="1"/>
  <c r="DE67" i="3"/>
  <c r="DI67" i="3"/>
  <c r="DN65" i="3"/>
  <c r="E65" i="3"/>
  <c r="AW74" i="3"/>
  <c r="AW122" i="3" s="1"/>
  <c r="BE75" i="3"/>
  <c r="BU75" i="3"/>
  <c r="AW76" i="3"/>
  <c r="AV75" i="3"/>
  <c r="AZ75" i="3"/>
  <c r="BB75" i="3"/>
  <c r="BD75" i="3"/>
  <c r="BP75" i="3"/>
  <c r="BR75" i="3"/>
  <c r="DU20" i="3"/>
  <c r="EC20" i="3"/>
  <c r="EG129" i="3"/>
  <c r="AT75" i="3"/>
  <c r="AT30" i="3"/>
  <c r="AT35" i="3" s="1"/>
  <c r="AT44" i="3" s="1"/>
  <c r="DX27" i="3"/>
  <c r="BS75" i="3"/>
  <c r="ED27" i="3"/>
  <c r="CE75" i="3"/>
  <c r="CI75" i="3"/>
  <c r="CN30" i="3"/>
  <c r="CP30" i="3"/>
  <c r="CP35" i="3" s="1"/>
  <c r="DU27" i="3"/>
  <c r="EC27" i="3"/>
  <c r="AK35" i="3"/>
  <c r="DT30" i="3"/>
  <c r="AO30" i="3"/>
  <c r="BA30" i="3"/>
  <c r="BA35" i="3" s="1"/>
  <c r="BE30" i="3"/>
  <c r="BU30" i="3"/>
  <c r="CC30" i="3"/>
  <c r="CK30" i="3"/>
  <c r="DY30" i="3"/>
  <c r="DM33" i="3"/>
  <c r="DO33" i="3"/>
  <c r="DL33" i="3"/>
  <c r="BY75" i="3"/>
  <c r="EF26" i="3"/>
  <c r="EF27" i="3" s="1"/>
  <c r="DL27" i="3"/>
  <c r="DP27" i="3"/>
  <c r="DZ27" i="3"/>
  <c r="EJ27" i="3"/>
  <c r="R30" i="3"/>
  <c r="AR30" i="3"/>
  <c r="BV30" i="3"/>
  <c r="BV77" i="3" s="1"/>
  <c r="BX30" i="3"/>
  <c r="BZ30" i="3"/>
  <c r="BZ76" i="3" s="1"/>
  <c r="CB30" i="3"/>
  <c r="CF30" i="3"/>
  <c r="CF77" i="3" s="1"/>
  <c r="CH30" i="3"/>
  <c r="DJ30" i="3"/>
  <c r="DJ74" i="3" s="1"/>
  <c r="DJ122" i="3" s="1"/>
  <c r="F65" i="3"/>
  <c r="J65" i="3"/>
  <c r="L65" i="3"/>
  <c r="N65" i="3"/>
  <c r="R65" i="3"/>
  <c r="T65" i="3"/>
  <c r="V65" i="3"/>
  <c r="Z65" i="3"/>
  <c r="AB65" i="3"/>
  <c r="AD65" i="3"/>
  <c r="AH65" i="3"/>
  <c r="AJ65" i="3"/>
  <c r="AL65" i="3"/>
  <c r="AP65" i="3"/>
  <c r="AR65" i="3"/>
  <c r="AT65" i="3"/>
  <c r="BB65" i="3"/>
  <c r="BF65" i="3"/>
  <c r="BL65" i="3"/>
  <c r="BP65" i="3"/>
  <c r="BX65" i="3"/>
  <c r="CB65" i="3"/>
  <c r="CF65" i="3"/>
  <c r="CL65" i="3"/>
  <c r="CP65" i="3"/>
  <c r="AP66" i="3"/>
  <c r="AP68" i="3" s="1"/>
  <c r="AT66" i="3"/>
  <c r="AT68" i="3" s="1"/>
  <c r="BB66" i="3"/>
  <c r="BB68" i="3" s="1"/>
  <c r="AP67" i="3"/>
  <c r="AT67" i="3"/>
  <c r="AZ67" i="3"/>
  <c r="BB67" i="3"/>
  <c r="BL67" i="3"/>
  <c r="DF65" i="3"/>
  <c r="DJ65" i="3"/>
  <c r="DF66" i="3"/>
  <c r="DJ66" i="3"/>
  <c r="DJ68" i="3" s="1"/>
  <c r="DF67" i="3"/>
  <c r="DJ67" i="3"/>
  <c r="EF65" i="3"/>
  <c r="U90" i="3"/>
  <c r="CG90" i="3"/>
  <c r="EF87" i="3"/>
  <c r="N90" i="3"/>
  <c r="P90" i="3"/>
  <c r="R90" i="3"/>
  <c r="V90" i="3"/>
  <c r="X90" i="3"/>
  <c r="Z90" i="3"/>
  <c r="AD90" i="3"/>
  <c r="AF90" i="3"/>
  <c r="AH90" i="3"/>
  <c r="AL90" i="3"/>
  <c r="AN90" i="3"/>
  <c r="AP90" i="3"/>
  <c r="AT90" i="3"/>
  <c r="AV90" i="3"/>
  <c r="AX90" i="3"/>
  <c r="BB90" i="3"/>
  <c r="BD90" i="3"/>
  <c r="BF90" i="3"/>
  <c r="BJ90" i="3"/>
  <c r="BL90" i="3"/>
  <c r="BN90" i="3"/>
  <c r="BR90" i="3"/>
  <c r="BT90" i="3"/>
  <c r="BV90" i="3"/>
  <c r="BZ90" i="3"/>
  <c r="EF90" i="3" s="1"/>
  <c r="CB90" i="3"/>
  <c r="CD90" i="3"/>
  <c r="CF90" i="3"/>
  <c r="CH90" i="3"/>
  <c r="CJ90" i="3"/>
  <c r="CL90" i="3"/>
  <c r="CN90" i="3"/>
  <c r="CP90" i="3"/>
  <c r="EF89" i="3"/>
  <c r="EV79" i="329"/>
  <c r="ER66" i="329"/>
  <c r="BB65" i="329"/>
  <c r="BB64" i="329"/>
  <c r="BC63" i="329"/>
  <c r="BC64" i="329" s="1"/>
  <c r="AJ92" i="329"/>
  <c r="ET70" i="329"/>
  <c r="CP69" i="329"/>
  <c r="CT72" i="329"/>
  <c r="BU78" i="329"/>
  <c r="BV77" i="329"/>
  <c r="EO77" i="329"/>
  <c r="EQ77" i="329" s="1"/>
  <c r="N88" i="329"/>
  <c r="DX89" i="329"/>
  <c r="BN168" i="329"/>
  <c r="AG148" i="329"/>
  <c r="AK148" i="329"/>
  <c r="BZ295" i="329"/>
  <c r="CI299" i="329"/>
  <c r="BA116" i="329"/>
  <c r="EM116" i="329"/>
  <c r="BH148" i="329"/>
  <c r="CT148" i="329"/>
  <c r="AM308" i="329"/>
  <c r="BX290" i="329"/>
  <c r="AH301" i="329"/>
  <c r="BI318" i="329"/>
  <c r="CM318" i="329"/>
  <c r="ET318" i="329"/>
  <c r="DB330" i="329"/>
  <c r="CZ334" i="329"/>
  <c r="DB334" i="329"/>
  <c r="AX318" i="329"/>
  <c r="BB318" i="329"/>
  <c r="BF318" i="329"/>
  <c r="BJ318" i="329"/>
  <c r="BN318" i="329"/>
  <c r="BZ318" i="329"/>
  <c r="CD318" i="329"/>
  <c r="CH318" i="329"/>
  <c r="CL318" i="329"/>
  <c r="CP318" i="329"/>
  <c r="CT318" i="329"/>
  <c r="CX318" i="329"/>
  <c r="EK318" i="329"/>
  <c r="DB354" i="329"/>
  <c r="DB350" i="329"/>
  <c r="DB346" i="329"/>
  <c r="DB342" i="329"/>
  <c r="BO326" i="329"/>
  <c r="BW326" i="329"/>
  <c r="CE326" i="329"/>
  <c r="CM326" i="329"/>
  <c r="DY378" i="329"/>
  <c r="DM109" i="3" s="1"/>
  <c r="DV379" i="329"/>
  <c r="DV389" i="329" s="1"/>
  <c r="DZ378" i="329"/>
  <c r="CQ400" i="329"/>
  <c r="CY400" i="329"/>
  <c r="Q410" i="329"/>
  <c r="AM411" i="329"/>
  <c r="BY411" i="329"/>
  <c r="DB411" i="329"/>
  <c r="EI404" i="329"/>
  <c r="EI197" i="2" s="1"/>
  <c r="EO404" i="329"/>
  <c r="EO407" i="329" s="1"/>
  <c r="EO106" i="2" s="1"/>
  <c r="ES404" i="329"/>
  <c r="ES149" i="2" s="1"/>
  <c r="EW404" i="329"/>
  <c r="DB405" i="329"/>
  <c r="CP400" i="329"/>
  <c r="CR400" i="329"/>
  <c r="CT400" i="329"/>
  <c r="CV400" i="329"/>
  <c r="CX400" i="329"/>
  <c r="CZ400" i="329"/>
  <c r="J411" i="329"/>
  <c r="L411" i="329"/>
  <c r="N411" i="329"/>
  <c r="P410" i="329"/>
  <c r="P411" i="329"/>
  <c r="R410" i="329"/>
  <c r="R411" i="329"/>
  <c r="T410" i="329"/>
  <c r="T411" i="329"/>
  <c r="V410" i="329"/>
  <c r="V411" i="329"/>
  <c r="X410" i="329"/>
  <c r="X411" i="329"/>
  <c r="Z410" i="329"/>
  <c r="Z411" i="329"/>
  <c r="AB410" i="329"/>
  <c r="AB411" i="329"/>
  <c r="AD410" i="329"/>
  <c r="AD411" i="329"/>
  <c r="AF410" i="329"/>
  <c r="AF411" i="329"/>
  <c r="AH411" i="329"/>
  <c r="AH410" i="329"/>
  <c r="AJ410" i="329"/>
  <c r="AJ411" i="329"/>
  <c r="AL411" i="329"/>
  <c r="AN411" i="329"/>
  <c r="AP411" i="329"/>
  <c r="AR411" i="329"/>
  <c r="AT411" i="329"/>
  <c r="AT410" i="329"/>
  <c r="AV410" i="329"/>
  <c r="AV411" i="329"/>
  <c r="AX411" i="329"/>
  <c r="AZ411" i="329"/>
  <c r="BB411" i="329"/>
  <c r="BD411" i="329"/>
  <c r="BF411" i="329"/>
  <c r="BT411" i="329"/>
  <c r="BV411" i="329"/>
  <c r="BX411" i="329"/>
  <c r="BZ411" i="329"/>
  <c r="CB411" i="329"/>
  <c r="CD411" i="329"/>
  <c r="CF411" i="329"/>
  <c r="CH411" i="329"/>
  <c r="CJ411" i="329"/>
  <c r="CL411" i="329"/>
  <c r="CN411" i="329"/>
  <c r="J410" i="329"/>
  <c r="N410" i="329"/>
  <c r="AC76" i="2"/>
  <c r="CL133" i="2"/>
  <c r="Z92" i="2"/>
  <c r="Z128" i="2" s="1"/>
  <c r="L93" i="2"/>
  <c r="V93" i="2"/>
  <c r="AF93" i="2"/>
  <c r="P94" i="2"/>
  <c r="Z94" i="2"/>
  <c r="DT93" i="2"/>
  <c r="L99" i="2"/>
  <c r="N99" i="2"/>
  <c r="P99" i="2"/>
  <c r="T99" i="2"/>
  <c r="V99" i="2"/>
  <c r="X99" i="2"/>
  <c r="AB99" i="2"/>
  <c r="AD99" i="2"/>
  <c r="AF99" i="2"/>
  <c r="AJ99" i="2"/>
  <c r="DQ92" i="2"/>
  <c r="CA231" i="2"/>
  <c r="CE231" i="2"/>
  <c r="CM231" i="2"/>
  <c r="CQ189" i="2"/>
  <c r="CN199" i="2"/>
  <c r="ES237" i="2"/>
  <c r="ES199" i="2"/>
  <c r="CF197" i="2"/>
  <c r="CJ237" i="2"/>
  <c r="CJ199" i="2"/>
  <c r="EM200" i="2"/>
  <c r="FC191" i="2"/>
  <c r="FD191" i="2" s="1"/>
  <c r="FB195" i="2"/>
  <c r="FB196" i="2" s="1"/>
  <c r="ER199" i="2"/>
  <c r="DH365" i="329"/>
  <c r="DQ40" i="4"/>
  <c r="BD118" i="4"/>
  <c r="BG117" i="4"/>
  <c r="BH45" i="4"/>
  <c r="BI45" i="4" s="1"/>
  <c r="BI117" i="4" s="1"/>
  <c r="CO32" i="4"/>
  <c r="AC21" i="4"/>
  <c r="CG35" i="4"/>
  <c r="EH35" i="4" s="1"/>
  <c r="AX42" i="4"/>
  <c r="AX98" i="4" s="1"/>
  <c r="CL42" i="4"/>
  <c r="CL98" i="4" s="1"/>
  <c r="BQ47" i="4"/>
  <c r="BQ118" i="4" s="1"/>
  <c r="AY117" i="4"/>
  <c r="AZ45" i="4"/>
  <c r="AZ117" i="4" s="1"/>
  <c r="AA117" i="4"/>
  <c r="EJ42" i="4"/>
  <c r="EJ98" i="4" s="1"/>
  <c r="EJ124" i="4" s="1"/>
  <c r="AH42" i="4"/>
  <c r="DT35" i="3"/>
  <c r="CE71" i="3"/>
  <c r="BC71" i="3"/>
  <c r="BD71" i="3"/>
  <c r="AB76" i="3"/>
  <c r="AG76" i="3"/>
  <c r="AG21" i="3"/>
  <c r="AC21" i="3"/>
  <c r="W77" i="3"/>
  <c r="W74" i="3"/>
  <c r="W122" i="3" s="1"/>
  <c r="Q77" i="3"/>
  <c r="DO12" i="3"/>
  <c r="AK76" i="3"/>
  <c r="AA76" i="3"/>
  <c r="AA74" i="3"/>
  <c r="AA122" i="3" s="1"/>
  <c r="DL12" i="3"/>
  <c r="CR110" i="4"/>
  <c r="K77" i="3"/>
  <c r="K74" i="3"/>
  <c r="K122" i="3" s="1"/>
  <c r="BM32" i="4"/>
  <c r="Q90" i="3"/>
  <c r="Y90" i="3"/>
  <c r="AC90" i="3"/>
  <c r="AG90" i="3"/>
  <c r="AK90" i="3"/>
  <c r="AO90" i="3"/>
  <c r="AS90" i="3"/>
  <c r="AW90" i="3"/>
  <c r="BE90" i="3"/>
  <c r="BG90" i="3"/>
  <c r="BI90" i="3"/>
  <c r="BM90" i="3"/>
  <c r="BQ90" i="3"/>
  <c r="BU90" i="3"/>
  <c r="BY90" i="3"/>
  <c r="CC90" i="3"/>
  <c r="CK90" i="3"/>
  <c r="CO90" i="3"/>
  <c r="CQ90" i="3"/>
  <c r="DF51" i="3"/>
  <c r="BS11" i="2"/>
  <c r="CA11" i="2" s="1"/>
  <c r="BT9" i="4"/>
  <c r="BT11" i="2" s="1"/>
  <c r="CB11" i="2" s="1"/>
  <c r="BX9" i="4"/>
  <c r="BX11" i="2" s="1"/>
  <c r="CF11" i="2" s="1"/>
  <c r="BW11" i="2"/>
  <c r="CB8" i="4"/>
  <c r="CC8" i="4" s="1"/>
  <c r="CB10" i="4"/>
  <c r="CI12" i="2"/>
  <c r="CM12" i="2" s="1"/>
  <c r="CQ11" i="2"/>
  <c r="CF9" i="4"/>
  <c r="CR11" i="2" s="1"/>
  <c r="DZ29" i="4"/>
  <c r="EB29" i="4"/>
  <c r="EB42" i="4" s="1"/>
  <c r="EB98" i="4" s="1"/>
  <c r="CB14" i="4"/>
  <c r="CF14" i="4"/>
  <c r="CG14" i="4" s="1"/>
  <c r="CF16" i="4"/>
  <c r="AG17" i="4"/>
  <c r="ED29" i="4"/>
  <c r="AV20" i="4"/>
  <c r="AW20" i="4" s="1"/>
  <c r="AU27" i="4"/>
  <c r="AY27" i="4"/>
  <c r="AZ21" i="4"/>
  <c r="BA21" i="4" s="1"/>
  <c r="BD21" i="4"/>
  <c r="BC27" i="4"/>
  <c r="BG27" i="4"/>
  <c r="BL21" i="4"/>
  <c r="BM21" i="4" s="1"/>
  <c r="BP21" i="4"/>
  <c r="BQ21" i="4" s="1"/>
  <c r="BT20" i="4"/>
  <c r="BS27" i="4"/>
  <c r="BX21" i="4"/>
  <c r="BY21" i="4" s="1"/>
  <c r="BX23" i="4"/>
  <c r="BY23" i="4" s="1"/>
  <c r="BX25" i="4"/>
  <c r="BY25" i="4" s="1"/>
  <c r="CB21" i="4"/>
  <c r="CB27" i="4" s="1"/>
  <c r="CA27" i="4"/>
  <c r="CB23" i="4"/>
  <c r="CC23" i="4" s="1"/>
  <c r="CF21" i="4"/>
  <c r="CI27" i="4"/>
  <c r="CN21" i="4"/>
  <c r="CO21" i="4" s="1"/>
  <c r="AE25" i="4"/>
  <c r="AD29" i="4"/>
  <c r="AD28" i="4"/>
  <c r="BB29" i="4"/>
  <c r="BC25" i="4"/>
  <c r="BJ29" i="4"/>
  <c r="BK25" i="4"/>
  <c r="BL25" i="4" s="1"/>
  <c r="BJ28" i="4"/>
  <c r="EC29" i="4"/>
  <c r="EC42" i="4" s="1"/>
  <c r="EC98" i="4" s="1"/>
  <c r="EC99" i="4" s="1"/>
  <c r="DQ25" i="4"/>
  <c r="AQ27" i="4"/>
  <c r="E42" i="4"/>
  <c r="J63" i="4"/>
  <c r="J42" i="4"/>
  <c r="L63" i="4"/>
  <c r="L42" i="4"/>
  <c r="P63" i="4"/>
  <c r="P42" i="4"/>
  <c r="R63" i="4"/>
  <c r="R42" i="4"/>
  <c r="V63" i="4"/>
  <c r="V42" i="4"/>
  <c r="Y42" i="4"/>
  <c r="Y63" i="4"/>
  <c r="BL33" i="4"/>
  <c r="BL35" i="4"/>
  <c r="BM35" i="4" s="1"/>
  <c r="BP32" i="4"/>
  <c r="BT33" i="4"/>
  <c r="BZ40" i="4"/>
  <c r="CA33" i="4"/>
  <c r="CB33" i="4" s="1"/>
  <c r="CO33" i="4"/>
  <c r="BS34" i="4"/>
  <c r="BR40" i="4"/>
  <c r="BX35" i="4"/>
  <c r="BY35" i="4" s="1"/>
  <c r="AR37" i="4"/>
  <c r="AS37" i="4" s="1"/>
  <c r="CF39" i="4"/>
  <c r="CM39" i="4"/>
  <c r="CN39" i="4" s="1"/>
  <c r="CL40" i="4"/>
  <c r="DW40" i="4"/>
  <c r="AW39" i="4"/>
  <c r="DY40" i="4"/>
  <c r="AE117" i="4"/>
  <c r="AF45" i="4"/>
  <c r="AT54" i="4"/>
  <c r="AT63" i="4" s="1"/>
  <c r="AT117" i="4"/>
  <c r="AU45" i="4"/>
  <c r="AU117" i="4" s="1"/>
  <c r="BB54" i="4"/>
  <c r="BC45" i="4"/>
  <c r="BB117" i="4"/>
  <c r="BL45" i="4"/>
  <c r="BK117" i="4"/>
  <c r="BT45" i="4"/>
  <c r="BU45" i="4" s="1"/>
  <c r="BS117" i="4"/>
  <c r="BT48" i="4"/>
  <c r="BU48" i="4" s="1"/>
  <c r="BX45" i="4"/>
  <c r="BY45" i="4" s="1"/>
  <c r="BW54" i="4"/>
  <c r="CB45" i="4"/>
  <c r="CB48" i="4"/>
  <c r="CI54" i="4"/>
  <c r="CI117" i="4"/>
  <c r="CY69" i="2"/>
  <c r="CY67" i="2" s="1"/>
  <c r="CN46" i="4"/>
  <c r="DV54" i="4"/>
  <c r="DV117" i="4"/>
  <c r="DX117" i="4"/>
  <c r="DX54" i="4"/>
  <c r="DZ117" i="4"/>
  <c r="CE117" i="4"/>
  <c r="CF46" i="4"/>
  <c r="CQ69" i="2"/>
  <c r="CQ117" i="4"/>
  <c r="EJ117" i="4"/>
  <c r="EJ54" i="4"/>
  <c r="AS47" i="4"/>
  <c r="AS118" i="4" s="1"/>
  <c r="AR118" i="4"/>
  <c r="AY118" i="4"/>
  <c r="BL48" i="4"/>
  <c r="BS47" i="4"/>
  <c r="BS118" i="4" s="1"/>
  <c r="BR118" i="4"/>
  <c r="CF49" i="4"/>
  <c r="EC118" i="4"/>
  <c r="AY49" i="4"/>
  <c r="AX54" i="4"/>
  <c r="BG49" i="4"/>
  <c r="BH49" i="4" s="1"/>
  <c r="BF54" i="4"/>
  <c r="BF63" i="4" s="1"/>
  <c r="AF53" i="4"/>
  <c r="AG53" i="4" s="1"/>
  <c r="CF56" i="4"/>
  <c r="CG56" i="4" s="1"/>
  <c r="CH95" i="4"/>
  <c r="CE93" i="4"/>
  <c r="K76" i="3"/>
  <c r="EC75" i="3"/>
  <c r="BR54" i="4"/>
  <c r="CC45" i="4"/>
  <c r="AP42" i="4"/>
  <c r="AP98" i="4" s="1"/>
  <c r="AL42" i="4"/>
  <c r="N63" i="4"/>
  <c r="DZ54" i="4"/>
  <c r="BU33" i="4"/>
  <c r="AV32" i="4"/>
  <c r="AQ40" i="4"/>
  <c r="BH21" i="4"/>
  <c r="BI21" i="4" s="1"/>
  <c r="CJ45" i="4"/>
  <c r="CJ39" i="3" s="1"/>
  <c r="AE54" i="4"/>
  <c r="BB28" i="4"/>
  <c r="BF101" i="3"/>
  <c r="CW24" i="2"/>
  <c r="CL104" i="3"/>
  <c r="DA133" i="2"/>
  <c r="CP104" i="3"/>
  <c r="DL104" i="3"/>
  <c r="DP104" i="3"/>
  <c r="BL49" i="2"/>
  <c r="EM32" i="2"/>
  <c r="EM49" i="2" s="1"/>
  <c r="CJ49" i="2"/>
  <c r="ES32" i="2"/>
  <c r="AP11" i="329"/>
  <c r="AQ11" i="329" s="1"/>
  <c r="AR11" i="329" s="1"/>
  <c r="AR38" i="329" s="1"/>
  <c r="ER56" i="329"/>
  <c r="DW63" i="4"/>
  <c r="AS243" i="329"/>
  <c r="CT354" i="329"/>
  <c r="CT330" i="329" s="1"/>
  <c r="CT324" i="329"/>
  <c r="DN16" i="3"/>
  <c r="M75" i="3"/>
  <c r="DQ16" i="3"/>
  <c r="Y75" i="3"/>
  <c r="DZ16" i="3"/>
  <c r="BI75" i="3"/>
  <c r="BM75" i="3"/>
  <c r="EA16" i="3"/>
  <c r="EG18" i="3"/>
  <c r="EB19" i="3"/>
  <c r="AQ75" i="3"/>
  <c r="AQ21" i="3"/>
  <c r="AQ71" i="3" s="1"/>
  <c r="BN30" i="3"/>
  <c r="BN75" i="3"/>
  <c r="BP35" i="3"/>
  <c r="BP44" i="3" s="1"/>
  <c r="BP76" i="3"/>
  <c r="BS35" i="3"/>
  <c r="BS77" i="3"/>
  <c r="BS74" i="3"/>
  <c r="BS122" i="3" s="1"/>
  <c r="BW30" i="3"/>
  <c r="BW35" i="3" s="1"/>
  <c r="BW75" i="3"/>
  <c r="CA30" i="3"/>
  <c r="CA35" i="3" s="1"/>
  <c r="CA44" i="3" s="1"/>
  <c r="CA75" i="3"/>
  <c r="CC75" i="3"/>
  <c r="EG27" i="3"/>
  <c r="EH27" i="3"/>
  <c r="CG30" i="3"/>
  <c r="CL30" i="3"/>
  <c r="CL76" i="3" s="1"/>
  <c r="CL75" i="3"/>
  <c r="DI59" i="3"/>
  <c r="DK75" i="3"/>
  <c r="DK30" i="3"/>
  <c r="EH64" i="3"/>
  <c r="AD35" i="3"/>
  <c r="AD77" i="3"/>
  <c r="AD74" i="3"/>
  <c r="AD122" i="3" s="1"/>
  <c r="AF35" i="3"/>
  <c r="AF44" i="3" s="1"/>
  <c r="AH35" i="3"/>
  <c r="AJ35" i="3"/>
  <c r="AJ77" i="3"/>
  <c r="AJ74" i="3"/>
  <c r="AJ122" i="3" s="1"/>
  <c r="AP35" i="3"/>
  <c r="AP44" i="3" s="1"/>
  <c r="AS35" i="3"/>
  <c r="DV35" i="3" s="1"/>
  <c r="AS76" i="3"/>
  <c r="BB35" i="3"/>
  <c r="BB44" i="3" s="1"/>
  <c r="BB77" i="3"/>
  <c r="BB74" i="3"/>
  <c r="BB122" i="3" s="1"/>
  <c r="DD35" i="3"/>
  <c r="DD44" i="3" s="1"/>
  <c r="DD76" i="3"/>
  <c r="DF35" i="3"/>
  <c r="DF44" i="3" s="1"/>
  <c r="DF45" i="3" s="1"/>
  <c r="DF76" i="3"/>
  <c r="DH35" i="3"/>
  <c r="DH44" i="3" s="1"/>
  <c r="DH76" i="3"/>
  <c r="DR64" i="3"/>
  <c r="DR65" i="3" s="1"/>
  <c r="DV64" i="3"/>
  <c r="CE38" i="3"/>
  <c r="EG42" i="3"/>
  <c r="BN103" i="3"/>
  <c r="Q93" i="2"/>
  <c r="AO126" i="329"/>
  <c r="D103" i="329"/>
  <c r="CP404" i="329"/>
  <c r="CP183" i="2"/>
  <c r="CR404" i="329"/>
  <c r="CR325" i="329"/>
  <c r="CR354" i="329" s="1"/>
  <c r="CR193" i="2"/>
  <c r="CT404" i="329"/>
  <c r="CT7" i="2" s="1"/>
  <c r="CT183" i="2"/>
  <c r="CV404" i="329"/>
  <c r="CZ405" i="329" s="1"/>
  <c r="CV325" i="329"/>
  <c r="CV324" i="329" s="1"/>
  <c r="EI399" i="329"/>
  <c r="EI105" i="2" s="1"/>
  <c r="EI200" i="2"/>
  <c r="EJ217" i="2" s="1"/>
  <c r="BO177" i="2"/>
  <c r="AN35" i="3"/>
  <c r="AN44" i="3" s="1"/>
  <c r="EM404" i="329"/>
  <c r="EM149" i="2" s="1"/>
  <c r="BQ75" i="3"/>
  <c r="AU75" i="3"/>
  <c r="BR30" i="3"/>
  <c r="DJ59" i="3"/>
  <c r="V35" i="3"/>
  <c r="BP78" i="3"/>
  <c r="AB37" i="4"/>
  <c r="AC37" i="4" s="1"/>
  <c r="CJ39" i="4"/>
  <c r="CK39" i="4" s="1"/>
  <c r="BP48" i="4"/>
  <c r="BQ48" i="4" s="1"/>
  <c r="AB53" i="4"/>
  <c r="AC53" i="4" s="1"/>
  <c r="CQ95" i="4"/>
  <c r="EA40" i="4"/>
  <c r="DX95" i="4"/>
  <c r="DZ95" i="4"/>
  <c r="EB95" i="4"/>
  <c r="CN118" i="4"/>
  <c r="AX63" i="4"/>
  <c r="G40" i="4"/>
  <c r="EG33" i="2"/>
  <c r="EG53" i="2" s="1"/>
  <c r="BP44" i="329"/>
  <c r="BP35" i="329" s="1"/>
  <c r="DS379" i="329"/>
  <c r="CP396" i="329"/>
  <c r="DR26" i="3"/>
  <c r="DU64" i="3"/>
  <c r="BG25" i="4"/>
  <c r="DX29" i="4"/>
  <c r="DY28" i="4"/>
  <c r="CR107" i="3"/>
  <c r="DE58" i="2"/>
  <c r="CC35" i="3"/>
  <c r="CC44" i="3" s="1"/>
  <c r="AO35" i="3"/>
  <c r="DU30" i="3"/>
  <c r="DF71" i="3"/>
  <c r="BZ71" i="3"/>
  <c r="H108" i="2"/>
  <c r="DV76" i="2"/>
  <c r="Y80" i="2"/>
  <c r="Y105" i="4"/>
  <c r="Y15" i="2"/>
  <c r="Y19" i="2"/>
  <c r="Y81" i="2" s="1"/>
  <c r="AA15" i="2"/>
  <c r="BZ11" i="2"/>
  <c r="EI16" i="2"/>
  <c r="AU109" i="2"/>
  <c r="DR110" i="2"/>
  <c r="CG24" i="2"/>
  <c r="ER23" i="2"/>
  <c r="EJ109" i="4"/>
  <c r="EJ99" i="4" s="1"/>
  <c r="CU67" i="2"/>
  <c r="CU68" i="2" s="1"/>
  <c r="CX67" i="2"/>
  <c r="CX59" i="2" s="1"/>
  <c r="DQ93" i="2"/>
  <c r="EF75" i="3"/>
  <c r="DD68" i="2"/>
  <c r="BP49" i="4"/>
  <c r="BQ49" i="4" s="1"/>
  <c r="BC117" i="4"/>
  <c r="DN5" i="4"/>
  <c r="N4" i="4"/>
  <c r="BV35" i="3"/>
  <c r="BV76" i="3"/>
  <c r="R35" i="3"/>
  <c r="ED30" i="3"/>
  <c r="AB35" i="3"/>
  <c r="AB44" i="3" s="1"/>
  <c r="AB45" i="3" s="1"/>
  <c r="AB74" i="3"/>
  <c r="AB122" i="3" s="1"/>
  <c r="Z35" i="3"/>
  <c r="X35" i="3"/>
  <c r="X44" i="3" s="1"/>
  <c r="L35" i="3"/>
  <c r="L76" i="3"/>
  <c r="L77" i="3"/>
  <c r="J35" i="3"/>
  <c r="J44" i="3" s="1"/>
  <c r="H35" i="3"/>
  <c r="H77" i="3"/>
  <c r="D35" i="3"/>
  <c r="EE27" i="3"/>
  <c r="EE75" i="3" s="1"/>
  <c r="CK45" i="4"/>
  <c r="DZ65" i="3"/>
  <c r="CZ179" i="2"/>
  <c r="CK231" i="2"/>
  <c r="CI16" i="2"/>
  <c r="CI231" i="2"/>
  <c r="CN237" i="2"/>
  <c r="ET168" i="2"/>
  <c r="ET237" i="2" s="1"/>
  <c r="EL238" i="2"/>
  <c r="EB38" i="329"/>
  <c r="X48" i="329"/>
  <c r="EA39" i="329"/>
  <c r="CD176" i="329"/>
  <c r="CD152" i="329" s="1"/>
  <c r="CJ148" i="329"/>
  <c r="CP176" i="329"/>
  <c r="CP164" i="329" s="1"/>
  <c r="CR148" i="329"/>
  <c r="AT295" i="329"/>
  <c r="BF295" i="329"/>
  <c r="BF308" i="329" s="1"/>
  <c r="BF244" i="329"/>
  <c r="BJ295" i="329"/>
  <c r="BJ308" i="329" s="1"/>
  <c r="BJ244" i="329"/>
  <c r="BV295" i="329"/>
  <c r="CH295" i="329"/>
  <c r="CI297" i="329" s="1"/>
  <c r="EL318" i="329"/>
  <c r="ER318" i="329"/>
  <c r="EQ318" i="329"/>
  <c r="BA326" i="329"/>
  <c r="BC326" i="329"/>
  <c r="BE326" i="329"/>
  <c r="BG354" i="329"/>
  <c r="BG342" i="329" s="1"/>
  <c r="BG326" i="329"/>
  <c r="BI326" i="329"/>
  <c r="BK354" i="329"/>
  <c r="BK334" i="329" s="1"/>
  <c r="BK326" i="329"/>
  <c r="BM354" i="329"/>
  <c r="BM326" i="329"/>
  <c r="BO324" i="329"/>
  <c r="BQ324" i="329"/>
  <c r="BQ326" i="329"/>
  <c r="BQ354" i="329"/>
  <c r="BQ338" i="329" s="1"/>
  <c r="BS324" i="329"/>
  <c r="BS326" i="329"/>
  <c r="BU324" i="329"/>
  <c r="BU326" i="329"/>
  <c r="BU354" i="329"/>
  <c r="BU342" i="329" s="1"/>
  <c r="BW324" i="329"/>
  <c r="BY324" i="329"/>
  <c r="BY326" i="329"/>
  <c r="BY354" i="329"/>
  <c r="BY346" i="329" s="1"/>
  <c r="CA324" i="329"/>
  <c r="CA326" i="329"/>
  <c r="CC324" i="329"/>
  <c r="CC326" i="329"/>
  <c r="CC354" i="329"/>
  <c r="CE324" i="329"/>
  <c r="CG324" i="329"/>
  <c r="CG326" i="329"/>
  <c r="CG354" i="329"/>
  <c r="CG338" i="329" s="1"/>
  <c r="CI324" i="329"/>
  <c r="CI308" i="329"/>
  <c r="CI304" i="329"/>
  <c r="ES325" i="329"/>
  <c r="CI326" i="329"/>
  <c r="CK324" i="329"/>
  <c r="CK326" i="329"/>
  <c r="CK354" i="329"/>
  <c r="CM324" i="329"/>
  <c r="CO324" i="329"/>
  <c r="CO326" i="329"/>
  <c r="CO354" i="329"/>
  <c r="CO334" i="329" s="1"/>
  <c r="CX354" i="329"/>
  <c r="CX324" i="329"/>
  <c r="CX326" i="329"/>
  <c r="DB326" i="329"/>
  <c r="CZ338" i="329"/>
  <c r="CZ330" i="329"/>
  <c r="CZ354" i="329"/>
  <c r="CZ350" i="329"/>
  <c r="CZ342" i="329"/>
  <c r="CZ346" i="329"/>
  <c r="DC346" i="329"/>
  <c r="DC350" i="329"/>
  <c r="DC334" i="329"/>
  <c r="DC338" i="329"/>
  <c r="EG314" i="329"/>
  <c r="EH326" i="329"/>
  <c r="G379" i="329"/>
  <c r="H380" i="329"/>
  <c r="J379" i="329"/>
  <c r="J389" i="329" s="1"/>
  <c r="L379" i="329"/>
  <c r="DT379" i="329"/>
  <c r="DU380" i="329"/>
  <c r="DT380" i="329"/>
  <c r="DU379" i="329"/>
  <c r="DV135" i="2" s="1"/>
  <c r="DJ109" i="3"/>
  <c r="DV388" i="329"/>
  <c r="DW379" i="329"/>
  <c r="DW389" i="329" s="1"/>
  <c r="DV380" i="329"/>
  <c r="DW380" i="329"/>
  <c r="AO390" i="329"/>
  <c r="DY404" i="329"/>
  <c r="DY149" i="2" s="1"/>
  <c r="DY147" i="2"/>
  <c r="EA404" i="329"/>
  <c r="EA147" i="2"/>
  <c r="EF404" i="329"/>
  <c r="EF394" i="329"/>
  <c r="EF104" i="2" s="1"/>
  <c r="EH404" i="329"/>
  <c r="EI411" i="329" s="1"/>
  <c r="EH394" i="329"/>
  <c r="EH104" i="2" s="1"/>
  <c r="EQ404" i="329"/>
  <c r="EP395" i="329"/>
  <c r="EP396" i="329" s="1"/>
  <c r="BY396" i="329"/>
  <c r="ER148" i="2"/>
  <c r="ET148" i="2"/>
  <c r="CQ404" i="329"/>
  <c r="CQ149" i="2" s="1"/>
  <c r="CQ148" i="2"/>
  <c r="CQ152" i="2" s="1"/>
  <c r="CS404" i="329"/>
  <c r="CS148" i="2"/>
  <c r="CS152" i="2" s="1"/>
  <c r="CS169" i="2" s="1"/>
  <c r="CS396" i="329"/>
  <c r="CS400" i="329"/>
  <c r="CW400" i="329"/>
  <c r="CU404" i="329"/>
  <c r="CU148" i="2"/>
  <c r="CU152" i="2" s="1"/>
  <c r="CU400" i="329"/>
  <c r="EF399" i="329"/>
  <c r="EF105" i="2" s="1"/>
  <c r="EF148" i="2"/>
  <c r="EH399" i="329"/>
  <c r="EH105" i="2" s="1"/>
  <c r="EH148" i="2"/>
  <c r="EL396" i="329"/>
  <c r="EL148" i="2"/>
  <c r="CX105" i="2"/>
  <c r="CZ105" i="2"/>
  <c r="DB105" i="2"/>
  <c r="BJ177" i="2"/>
  <c r="BJ157" i="2"/>
  <c r="BJ7" i="2"/>
  <c r="BJ103" i="4" s="1"/>
  <c r="BJ197" i="2"/>
  <c r="BJ411" i="329"/>
  <c r="BJ149" i="2"/>
  <c r="BL177" i="2"/>
  <c r="BL197" i="2"/>
  <c r="BL157" i="2"/>
  <c r="BL7" i="2"/>
  <c r="BL149" i="2"/>
  <c r="BN177" i="2"/>
  <c r="BN7" i="2"/>
  <c r="BN77" i="2" s="1"/>
  <c r="BN411" i="329"/>
  <c r="BR411" i="329"/>
  <c r="BP177" i="2"/>
  <c r="BP7" i="2"/>
  <c r="BP411" i="329"/>
  <c r="BS149" i="2"/>
  <c r="BU149" i="2"/>
  <c r="BW177" i="2"/>
  <c r="BY197" i="2"/>
  <c r="BY7" i="2"/>
  <c r="CA197" i="2"/>
  <c r="CE7" i="2"/>
  <c r="CG7" i="2"/>
  <c r="CK187" i="2"/>
  <c r="CM7" i="2"/>
  <c r="CO149" i="2"/>
  <c r="DA149" i="2"/>
  <c r="DA7" i="2"/>
  <c r="DA405" i="329"/>
  <c r="DA407" i="329"/>
  <c r="DA411" i="329"/>
  <c r="AX65" i="3"/>
  <c r="DN33" i="3"/>
  <c r="O35" i="3"/>
  <c r="O44" i="3" s="1"/>
  <c r="Q35" i="3"/>
  <c r="DO35" i="3" s="1"/>
  <c r="DP33" i="3"/>
  <c r="DU33" i="3"/>
  <c r="EK38" i="3"/>
  <c r="EK41" i="3"/>
  <c r="BZ67" i="3"/>
  <c r="C78" i="3"/>
  <c r="C67" i="3"/>
  <c r="C66" i="3"/>
  <c r="E66" i="3"/>
  <c r="E68" i="3" s="1"/>
  <c r="K44" i="3"/>
  <c r="P67" i="3"/>
  <c r="R66" i="3"/>
  <c r="T66" i="3"/>
  <c r="T68" i="3" s="1"/>
  <c r="X67" i="3"/>
  <c r="AB66" i="3"/>
  <c r="AB71" i="3"/>
  <c r="AF67" i="3"/>
  <c r="AJ66" i="3"/>
  <c r="AJ68" i="3" s="1"/>
  <c r="AN67" i="3"/>
  <c r="AU67" i="3"/>
  <c r="BU67" i="3"/>
  <c r="CB66" i="3"/>
  <c r="CB68" i="3" s="1"/>
  <c r="CB67" i="3"/>
  <c r="CF78" i="3"/>
  <c r="CF66" i="3"/>
  <c r="CF68" i="3" s="1"/>
  <c r="CF67" i="3"/>
  <c r="CO67" i="3"/>
  <c r="CO66" i="3"/>
  <c r="CO68" i="3" s="1"/>
  <c r="DJ35" i="3"/>
  <c r="DJ44" i="3" s="1"/>
  <c r="DJ45" i="3" s="1"/>
  <c r="AM35" i="3"/>
  <c r="AM44" i="3" s="1"/>
  <c r="AM45" i="3" s="1"/>
  <c r="AI28" i="4"/>
  <c r="BQ35" i="3"/>
  <c r="BQ44" i="3" s="1"/>
  <c r="CC68" i="2"/>
  <c r="U93" i="2"/>
  <c r="BK51" i="329"/>
  <c r="BQ51" i="329"/>
  <c r="DZ88" i="329"/>
  <c r="DK59" i="3"/>
  <c r="BT64" i="3"/>
  <c r="DP64" i="3"/>
  <c r="AV9" i="4"/>
  <c r="AV11" i="2" s="1"/>
  <c r="AU11" i="2"/>
  <c r="AU19" i="2" s="1"/>
  <c r="BD9" i="4"/>
  <c r="BD11" i="2" s="1"/>
  <c r="BC11" i="2"/>
  <c r="BC19" i="2" s="1"/>
  <c r="BL9" i="4"/>
  <c r="BK11" i="2"/>
  <c r="BP10" i="4"/>
  <c r="BO12" i="2"/>
  <c r="DO40" i="4"/>
  <c r="AY125" i="329"/>
  <c r="AY105" i="329" s="1"/>
  <c r="CK295" i="329"/>
  <c r="CK244" i="329"/>
  <c r="ER404" i="329"/>
  <c r="AW75" i="3"/>
  <c r="DW16" i="3"/>
  <c r="AU44" i="3"/>
  <c r="BS64" i="3"/>
  <c r="EI326" i="329"/>
  <c r="DS380" i="329"/>
  <c r="AS77" i="3"/>
  <c r="B75" i="3"/>
  <c r="BF75" i="3"/>
  <c r="BC75" i="3"/>
  <c r="BO75" i="3"/>
  <c r="E59" i="3"/>
  <c r="BT30" i="3"/>
  <c r="DM64" i="3"/>
  <c r="DQ64" i="3"/>
  <c r="DS64" i="3"/>
  <c r="AJ44" i="3"/>
  <c r="B78" i="3"/>
  <c r="F78" i="3"/>
  <c r="J78" i="3"/>
  <c r="BT8" i="4"/>
  <c r="BU8" i="4" s="1"/>
  <c r="AJ23" i="4"/>
  <c r="AK23" i="4" s="1"/>
  <c r="BN28" i="4"/>
  <c r="BO22" i="4"/>
  <c r="BO28" i="4" s="1"/>
  <c r="AR24" i="4"/>
  <c r="AS24" i="4" s="1"/>
  <c r="BP35" i="4"/>
  <c r="BQ35" i="4" s="1"/>
  <c r="DM45" i="4"/>
  <c r="G117" i="4"/>
  <c r="BN29" i="4"/>
  <c r="BN42" i="4" s="1"/>
  <c r="BN98" i="4" s="1"/>
  <c r="BN99" i="4" s="1"/>
  <c r="G27" i="4"/>
  <c r="EW20" i="329"/>
  <c r="CS59" i="2"/>
  <c r="CG103" i="3"/>
  <c r="AS53" i="2"/>
  <c r="CF223" i="329"/>
  <c r="CJ223" i="329"/>
  <c r="EE147" i="329"/>
  <c r="EE139" i="329" s="1"/>
  <c r="EF138" i="329" s="1"/>
  <c r="AG125" i="329"/>
  <c r="CG47" i="4"/>
  <c r="DB49" i="2"/>
  <c r="EP65" i="329"/>
  <c r="ER65" i="329" s="1"/>
  <c r="C103" i="329"/>
  <c r="AU293" i="329"/>
  <c r="EP70" i="2"/>
  <c r="AX149" i="2"/>
  <c r="AZ149" i="2"/>
  <c r="BF149" i="2"/>
  <c r="BH149" i="2"/>
  <c r="BN149" i="2"/>
  <c r="BP149" i="2"/>
  <c r="BV149" i="2"/>
  <c r="EM148" i="2"/>
  <c r="EO148" i="2"/>
  <c r="AZ157" i="2"/>
  <c r="AZ187" i="2" s="1"/>
  <c r="BF157" i="2"/>
  <c r="BF187" i="2" s="1"/>
  <c r="BH157" i="2"/>
  <c r="BN157" i="2"/>
  <c r="BP157" i="2"/>
  <c r="BP187" i="2" s="1"/>
  <c r="BV157" i="2"/>
  <c r="CQ183" i="2"/>
  <c r="CS183" i="2"/>
  <c r="CU183" i="2"/>
  <c r="CU193" i="2"/>
  <c r="ED23" i="329"/>
  <c r="DU26" i="329"/>
  <c r="BN273" i="329"/>
  <c r="BN243" i="329" s="1"/>
  <c r="EM256" i="329"/>
  <c r="BN256" i="329" s="1"/>
  <c r="BO256" i="329" s="1"/>
  <c r="BP256" i="329" s="1"/>
  <c r="BQ270" i="329" s="1"/>
  <c r="EN270" i="329" s="1"/>
  <c r="EF287" i="329"/>
  <c r="EG326" i="329"/>
  <c r="ET404" i="329"/>
  <c r="ET149" i="2" s="1"/>
  <c r="EV398" i="329"/>
  <c r="DI75" i="3"/>
  <c r="EI29" i="3"/>
  <c r="C30" i="3"/>
  <c r="C74" i="3" s="1"/>
  <c r="C122" i="3" s="1"/>
  <c r="Y30" i="3"/>
  <c r="Y35" i="3" s="1"/>
  <c r="DF58" i="3"/>
  <c r="BX33" i="4"/>
  <c r="BY33" i="4" s="1"/>
  <c r="DQ26" i="3"/>
  <c r="ED64" i="3"/>
  <c r="G88" i="3"/>
  <c r="K88" i="3"/>
  <c r="O88" i="3"/>
  <c r="S88" i="3"/>
  <c r="W88" i="3"/>
  <c r="AA88" i="3"/>
  <c r="AE88" i="3"/>
  <c r="AI88" i="3"/>
  <c r="G29" i="4"/>
  <c r="CK17" i="4"/>
  <c r="AG24" i="4"/>
  <c r="AJ20" i="4"/>
  <c r="AK20" i="4" s="1"/>
  <c r="AJ22" i="4"/>
  <c r="AK22" i="4" s="1"/>
  <c r="DO28" i="4"/>
  <c r="DM20" i="4"/>
  <c r="AR20" i="4"/>
  <c r="AS20" i="4" s="1"/>
  <c r="K63" i="4"/>
  <c r="BH47" i="4"/>
  <c r="BG118" i="4"/>
  <c r="CP74" i="3"/>
  <c r="CP122" i="3" s="1"/>
  <c r="CG76" i="3"/>
  <c r="BT39" i="4"/>
  <c r="BU39" i="4" s="1"/>
  <c r="CM40" i="4"/>
  <c r="EW27" i="2"/>
  <c r="EJ104" i="3" s="1"/>
  <c r="EA27" i="3"/>
  <c r="S30" i="3"/>
  <c r="S77" i="3" s="1"/>
  <c r="CI42" i="3"/>
  <c r="CO75" i="3"/>
  <c r="AU102" i="3"/>
  <c r="CB104" i="3"/>
  <c r="AR8" i="4"/>
  <c r="AS8" i="4" s="1"/>
  <c r="BP13" i="4"/>
  <c r="BQ13" i="4" s="1"/>
  <c r="BT17" i="4"/>
  <c r="BU17" i="4" s="1"/>
  <c r="CN13" i="4"/>
  <c r="BD15" i="4"/>
  <c r="BE15" i="4" s="1"/>
  <c r="DV29" i="4"/>
  <c r="AS17" i="4"/>
  <c r="AE27" i="4"/>
  <c r="AF20" i="4"/>
  <c r="AG20" i="4" s="1"/>
  <c r="AJ21" i="4"/>
  <c r="AK21" i="4" s="1"/>
  <c r="BL23" i="4"/>
  <c r="BT22" i="4"/>
  <c r="AM29" i="4"/>
  <c r="AM28" i="4"/>
  <c r="G28" i="4"/>
  <c r="AA40" i="4"/>
  <c r="AJ32" i="4"/>
  <c r="AI40" i="4"/>
  <c r="AZ35" i="4"/>
  <c r="BA35" i="4" s="1"/>
  <c r="BD35" i="4"/>
  <c r="BE35" i="4" s="1"/>
  <c r="BH35" i="4"/>
  <c r="BI35" i="4" s="1"/>
  <c r="BT35" i="4"/>
  <c r="BX32" i="4"/>
  <c r="BX123" i="4" s="1"/>
  <c r="BW40" i="4"/>
  <c r="CF34" i="4"/>
  <c r="CG34" i="4" s="1"/>
  <c r="CF36" i="4"/>
  <c r="CG36" i="4" s="1"/>
  <c r="EH36" i="4" s="1"/>
  <c r="CJ33" i="4"/>
  <c r="CJ40" i="4" s="1"/>
  <c r="AF39" i="4"/>
  <c r="AG39" i="4" s="1"/>
  <c r="BO39" i="4"/>
  <c r="BP39" i="4" s="1"/>
  <c r="DG42" i="4"/>
  <c r="BX49" i="4"/>
  <c r="AZ53" i="4"/>
  <c r="BA53" i="4" s="1"/>
  <c r="BP53" i="4"/>
  <c r="AR57" i="4"/>
  <c r="AS57" i="4" s="1"/>
  <c r="AZ56" i="4"/>
  <c r="BA56" i="4" s="1"/>
  <c r="BH56" i="4"/>
  <c r="BI56" i="4" s="1"/>
  <c r="BP56" i="4"/>
  <c r="BQ56" i="4" s="1"/>
  <c r="BX56" i="4"/>
  <c r="BY56" i="4" s="1"/>
  <c r="ES23" i="2"/>
  <c r="CY58" i="2"/>
  <c r="CT35" i="329"/>
  <c r="AP80" i="329"/>
  <c r="AP85" i="329" s="1"/>
  <c r="AP92" i="329" s="1"/>
  <c r="CH242" i="329"/>
  <c r="CQ325" i="329"/>
  <c r="CS325" i="329"/>
  <c r="CU325" i="329"/>
  <c r="EU398" i="329"/>
  <c r="EC404" i="329"/>
  <c r="EC410" i="329" s="1"/>
  <c r="CT396" i="329"/>
  <c r="CU396" i="329"/>
  <c r="CV396" i="329"/>
  <c r="CQ396" i="329"/>
  <c r="AU12" i="3"/>
  <c r="AU74" i="3" s="1"/>
  <c r="AU122" i="3" s="1"/>
  <c r="AV12" i="3"/>
  <c r="AX12" i="3"/>
  <c r="AX76" i="3" s="1"/>
  <c r="DL26" i="3"/>
  <c r="DN26" i="3"/>
  <c r="DM26" i="3"/>
  <c r="CM75" i="3"/>
  <c r="DI30" i="3"/>
  <c r="BR64" i="3"/>
  <c r="BR65" i="3" s="1"/>
  <c r="BE64" i="3"/>
  <c r="BQ64" i="3"/>
  <c r="BQ67" i="3" s="1"/>
  <c r="E30" i="3"/>
  <c r="CQ104" i="3"/>
  <c r="BP17" i="4"/>
  <c r="BQ17" i="4" s="1"/>
  <c r="BT13" i="4"/>
  <c r="BU13" i="4" s="1"/>
  <c r="DP8" i="4"/>
  <c r="BH12" i="4"/>
  <c r="BI12" i="4" s="1"/>
  <c r="CF13" i="4"/>
  <c r="CG13" i="4" s="1"/>
  <c r="EH13" i="4" s="1"/>
  <c r="CF15" i="4"/>
  <c r="CG15" i="4" s="1"/>
  <c r="CJ14" i="4"/>
  <c r="CK14" i="4" s="1"/>
  <c r="CJ15" i="4"/>
  <c r="CK15" i="4"/>
  <c r="CN15" i="4"/>
  <c r="CO15" i="4" s="1"/>
  <c r="AZ15" i="4"/>
  <c r="BH15" i="4"/>
  <c r="BI15" i="4" s="1"/>
  <c r="BX15" i="4"/>
  <c r="BY15" i="4" s="1"/>
  <c r="CE17" i="4"/>
  <c r="CF17" i="4" s="1"/>
  <c r="CG17" i="4" s="1"/>
  <c r="EH17" i="4" s="1"/>
  <c r="CD29" i="4"/>
  <c r="AF22" i="4"/>
  <c r="AG22" i="4" s="1"/>
  <c r="AV22" i="4"/>
  <c r="AV24" i="4"/>
  <c r="AV27" i="4" s="1"/>
  <c r="BX20" i="4"/>
  <c r="BX27" i="4" s="1"/>
  <c r="CA28" i="4"/>
  <c r="CB22" i="4"/>
  <c r="CI28" i="4"/>
  <c r="S27" i="4"/>
  <c r="AZ24" i="4"/>
  <c r="BA24" i="4" s="1"/>
  <c r="BD23" i="4"/>
  <c r="BE23" i="4" s="1"/>
  <c r="AE28" i="4"/>
  <c r="AO26" i="4"/>
  <c r="AO29" i="4" s="1"/>
  <c r="AO42" i="4" s="1"/>
  <c r="BE21" i="4"/>
  <c r="BW27" i="4"/>
  <c r="BS28" i="4"/>
  <c r="AE40" i="4"/>
  <c r="CB35" i="4"/>
  <c r="AZ37" i="4"/>
  <c r="BA37" i="4" s="1"/>
  <c r="BM33" i="4"/>
  <c r="AZ47" i="4"/>
  <c r="CJ47" i="4"/>
  <c r="CK47" i="4" s="1"/>
  <c r="CK49" i="4"/>
  <c r="AR50" i="4"/>
  <c r="AJ53" i="4"/>
  <c r="BH53" i="4"/>
  <c r="BI53" i="4" s="1"/>
  <c r="BX53" i="4"/>
  <c r="BY53" i="4" s="1"/>
  <c r="AI54" i="4"/>
  <c r="BW95" i="4"/>
  <c r="ED93" i="4"/>
  <c r="CG93" i="4"/>
  <c r="EH93" i="4" s="1"/>
  <c r="CC95" i="4"/>
  <c r="DY95" i="4"/>
  <c r="EA95" i="4"/>
  <c r="EC95" i="4"/>
  <c r="CS93" i="4"/>
  <c r="EK93" i="4" s="1"/>
  <c r="EK95" i="4" s="1"/>
  <c r="CR95" i="4"/>
  <c r="DV65" i="3"/>
  <c r="AS44" i="3"/>
  <c r="DV44" i="3" s="1"/>
  <c r="CL35" i="3"/>
  <c r="CL74" i="3"/>
  <c r="CL122" i="3" s="1"/>
  <c r="CA77" i="3"/>
  <c r="CA76" i="3"/>
  <c r="BW76" i="3"/>
  <c r="AY54" i="4"/>
  <c r="CO46" i="4"/>
  <c r="CZ69" i="2"/>
  <c r="CZ70" i="2" s="1"/>
  <c r="BM45" i="4"/>
  <c r="BL117" i="4"/>
  <c r="BB63" i="4"/>
  <c r="BB42" i="4"/>
  <c r="BB98" i="4" s="1"/>
  <c r="CK21" i="4"/>
  <c r="CJ27" i="4"/>
  <c r="CG21" i="4"/>
  <c r="BU20" i="4"/>
  <c r="ED42" i="4"/>
  <c r="ED98" i="4" s="1"/>
  <c r="DZ63" i="4"/>
  <c r="DZ42" i="4"/>
  <c r="DZ98" i="4" s="1"/>
  <c r="CA40" i="4"/>
  <c r="EH14" i="4"/>
  <c r="EC63" i="4"/>
  <c r="BK29" i="4"/>
  <c r="BK42" i="4" s="1"/>
  <c r="BK98" i="4" s="1"/>
  <c r="BK99" i="4" s="1"/>
  <c r="CJ117" i="4"/>
  <c r="AV45" i="4"/>
  <c r="AW45" i="4" s="1"/>
  <c r="BD45" i="4"/>
  <c r="BD117" i="4" s="1"/>
  <c r="DK35" i="3"/>
  <c r="DK74" i="3"/>
  <c r="DK122" i="3" s="1"/>
  <c r="DK76" i="3"/>
  <c r="DK77" i="3"/>
  <c r="EG75" i="3"/>
  <c r="EG30" i="3"/>
  <c r="BN35" i="3"/>
  <c r="CR118" i="4"/>
  <c r="BS54" i="4"/>
  <c r="BI49" i="4"/>
  <c r="BT47" i="4"/>
  <c r="BT118" i="4" s="1"/>
  <c r="BG54" i="4"/>
  <c r="EH46" i="4"/>
  <c r="CR69" i="2"/>
  <c r="CR67" i="2" s="1"/>
  <c r="AG45" i="4"/>
  <c r="AG54" i="4" s="1"/>
  <c r="AF54" i="4"/>
  <c r="AF117" i="4"/>
  <c r="BJ42" i="4"/>
  <c r="BJ98" i="4" s="1"/>
  <c r="BJ63" i="4"/>
  <c r="AF25" i="4"/>
  <c r="AG25" i="4" s="1"/>
  <c r="AD42" i="4"/>
  <c r="AD63" i="4"/>
  <c r="BC28" i="4"/>
  <c r="CC14" i="4"/>
  <c r="DU65" i="3"/>
  <c r="BH25" i="4"/>
  <c r="BI25" i="4" s="1"/>
  <c r="BG28" i="4"/>
  <c r="CR109" i="4"/>
  <c r="DD53" i="2"/>
  <c r="DD49" i="2"/>
  <c r="DS65" i="3"/>
  <c r="DU35" i="3"/>
  <c r="CK33" i="4"/>
  <c r="BP22" i="4"/>
  <c r="BO29" i="4"/>
  <c r="BO42" i="4" s="1"/>
  <c r="BO98" i="4" s="1"/>
  <c r="BT65" i="3"/>
  <c r="DE68" i="2"/>
  <c r="CD164" i="329"/>
  <c r="AB123" i="3"/>
  <c r="R4" i="4"/>
  <c r="DO5" i="4"/>
  <c r="EX67" i="2"/>
  <c r="AH82" i="2"/>
  <c r="BH118" i="4"/>
  <c r="BI47" i="4"/>
  <c r="BI118" i="4" s="1"/>
  <c r="ED65" i="3"/>
  <c r="CG118" i="4"/>
  <c r="EH47" i="4"/>
  <c r="CZ223" i="329"/>
  <c r="CT223" i="329"/>
  <c r="CC35" i="4"/>
  <c r="AR27" i="4"/>
  <c r="C76" i="3"/>
  <c r="CG95" i="4"/>
  <c r="AZ118" i="4"/>
  <c r="BA47" i="4"/>
  <c r="CD42" i="4"/>
  <c r="CD98" i="4" s="1"/>
  <c r="CD99" i="4" s="1"/>
  <c r="CD63" i="4"/>
  <c r="DI35" i="3"/>
  <c r="DI44" i="3" s="1"/>
  <c r="DI74" i="3"/>
  <c r="DI122" i="3" s="1"/>
  <c r="DI77" i="3"/>
  <c r="DI76" i="3"/>
  <c r="AU21" i="3"/>
  <c r="AU71" i="3" s="1"/>
  <c r="BY32" i="4"/>
  <c r="BY123" i="4" s="1"/>
  <c r="CM107" i="3"/>
  <c r="CZ58" i="2"/>
  <c r="ED95" i="4"/>
  <c r="AK53" i="4"/>
  <c r="AS50" i="4"/>
  <c r="AO28" i="4"/>
  <c r="CC22" i="4"/>
  <c r="AW24" i="4"/>
  <c r="AW22" i="4"/>
  <c r="BA15" i="4"/>
  <c r="BQ53" i="4"/>
  <c r="BY49" i="4"/>
  <c r="BQ39" i="4"/>
  <c r="BO40" i="4"/>
  <c r="BU35" i="4"/>
  <c r="BI33" i="4"/>
  <c r="BE33" i="4"/>
  <c r="BU22" i="4"/>
  <c r="BM23" i="4"/>
  <c r="AJ27" i="4"/>
  <c r="CO13" i="4"/>
  <c r="AZ27" i="4"/>
  <c r="AX74" i="3"/>
  <c r="AX122" i="3" s="1"/>
  <c r="EH34" i="4"/>
  <c r="AJ40" i="4"/>
  <c r="AK32" i="4"/>
  <c r="AK40" i="4" s="1"/>
  <c r="AM42" i="4"/>
  <c r="DV42" i="4"/>
  <c r="DV98" i="4" s="1"/>
  <c r="DV99" i="4" s="1"/>
  <c r="DV63" i="4"/>
  <c r="CK27" i="4"/>
  <c r="AG117" i="4"/>
  <c r="EG35" i="3"/>
  <c r="EH21" i="4"/>
  <c r="BQ22" i="4"/>
  <c r="DP5" i="4"/>
  <c r="V4" i="4"/>
  <c r="DQ5" i="4" s="1"/>
  <c r="EH118" i="4"/>
  <c r="BA118" i="4"/>
  <c r="CI216" i="2"/>
  <c r="C15" i="2"/>
  <c r="G80" i="2"/>
  <c r="G95" i="2" s="1"/>
  <c r="K15" i="2"/>
  <c r="O105" i="4"/>
  <c r="U15" i="2"/>
  <c r="U19" i="2"/>
  <c r="U105" i="4"/>
  <c r="W80" i="2"/>
  <c r="BB105" i="4"/>
  <c r="BF19" i="2"/>
  <c r="BF81" i="2" s="1"/>
  <c r="CL12" i="2"/>
  <c r="EK39" i="3"/>
  <c r="CT19" i="2"/>
  <c r="U80" i="2"/>
  <c r="X105" i="4"/>
  <c r="BX77" i="2"/>
  <c r="K118" i="2"/>
  <c r="Q118" i="2"/>
  <c r="AA118" i="2"/>
  <c r="AS122" i="2"/>
  <c r="BA118" i="2"/>
  <c r="BS122" i="2"/>
  <c r="BU122" i="2"/>
  <c r="CC118" i="2"/>
  <c r="CE118" i="2"/>
  <c r="CG118" i="2"/>
  <c r="AI119" i="2"/>
  <c r="BO123" i="2"/>
  <c r="CS119" i="2"/>
  <c r="T120" i="2"/>
  <c r="AV124" i="2"/>
  <c r="BD120" i="2"/>
  <c r="BL120" i="2"/>
  <c r="BT120" i="2"/>
  <c r="CB127" i="2"/>
  <c r="CJ120" i="2"/>
  <c r="CR124" i="2"/>
  <c r="CG175" i="2"/>
  <c r="DC193" i="2"/>
  <c r="DG213" i="2" s="1"/>
  <c r="DG246" i="2" s="1"/>
  <c r="CP230" i="2"/>
  <c r="CS230" i="2"/>
  <c r="CS193" i="2"/>
  <c r="CS213" i="2" s="1"/>
  <c r="CS162" i="2"/>
  <c r="CG213" i="2"/>
  <c r="CO213" i="2"/>
  <c r="BC217" i="2"/>
  <c r="BI217" i="2"/>
  <c r="BQ217" i="2"/>
  <c r="DD128" i="329"/>
  <c r="DQ148" i="329"/>
  <c r="AU119" i="2"/>
  <c r="AU118" i="2"/>
  <c r="V124" i="2"/>
  <c r="DD134" i="329"/>
  <c r="CM209" i="2"/>
  <c r="EQ149" i="2"/>
  <c r="BY338" i="329"/>
  <c r="CS49" i="329"/>
  <c r="CS83" i="329" s="1"/>
  <c r="CS90" i="329" s="1"/>
  <c r="EG23" i="329"/>
  <c r="AA48" i="329"/>
  <c r="EL404" i="329"/>
  <c r="DD318" i="329"/>
  <c r="DD135" i="329"/>
  <c r="DD399" i="329"/>
  <c r="DA58" i="2"/>
  <c r="CE128" i="329"/>
  <c r="CS411" i="329"/>
  <c r="CI49" i="329"/>
  <c r="CI83" i="329" s="1"/>
  <c r="CJ49" i="329"/>
  <c r="CJ83" i="329" s="1"/>
  <c r="BR82" i="329"/>
  <c r="BR371" i="329" s="1"/>
  <c r="H102" i="329"/>
  <c r="CH223" i="329"/>
  <c r="CT34" i="329"/>
  <c r="DD223" i="329"/>
  <c r="DV26" i="329"/>
  <c r="EP72" i="329"/>
  <c r="ER72" i="329" s="1"/>
  <c r="AW21" i="3"/>
  <c r="BN21" i="3"/>
  <c r="BR21" i="3"/>
  <c r="BV21" i="3"/>
  <c r="T44" i="329"/>
  <c r="O26" i="329"/>
  <c r="BX26" i="329"/>
  <c r="ED148" i="329"/>
  <c r="CY287" i="329"/>
  <c r="CY295" i="329" s="1"/>
  <c r="CY297" i="329" s="1"/>
  <c r="EE23" i="329"/>
  <c r="EE25" i="329"/>
  <c r="EU58" i="329"/>
  <c r="EJ404" i="329"/>
  <c r="DX87" i="4" s="1"/>
  <c r="BY34" i="4"/>
  <c r="DN40" i="4"/>
  <c r="DP40" i="4"/>
  <c r="CI29" i="4"/>
  <c r="CI42" i="4" s="1"/>
  <c r="CI98" i="4" s="1"/>
  <c r="CI99" i="4" s="1"/>
  <c r="BG40" i="4"/>
  <c r="EX63" i="2"/>
  <c r="AW117" i="4"/>
  <c r="BM25" i="4"/>
  <c r="CM68" i="2"/>
  <c r="T28" i="4"/>
  <c r="T29" i="4"/>
  <c r="T27" i="4"/>
  <c r="DP24" i="4"/>
  <c r="AV117" i="4"/>
  <c r="H40" i="4"/>
  <c r="H63" i="4" s="1"/>
  <c r="I39" i="4"/>
  <c r="I40" i="4" s="1"/>
  <c r="BQ14" i="4"/>
  <c r="AC24" i="4"/>
  <c r="CO20" i="4"/>
  <c r="CO27" i="4" s="1"/>
  <c r="CN27" i="4"/>
  <c r="CG48" i="4"/>
  <c r="EH48" i="4" s="1"/>
  <c r="AW32" i="4"/>
  <c r="AR45" i="4"/>
  <c r="AS45" i="4" s="1"/>
  <c r="AS117" i="4" s="1"/>
  <c r="BD25" i="4"/>
  <c r="CC21" i="4"/>
  <c r="CC24" i="4"/>
  <c r="AO27" i="4"/>
  <c r="CO53" i="4"/>
  <c r="AZ49" i="4"/>
  <c r="CG49" i="4"/>
  <c r="EH49" i="4" s="1"/>
  <c r="BX22" i="4"/>
  <c r="BY22" i="4" s="1"/>
  <c r="CC53" i="4"/>
  <c r="EK37" i="3"/>
  <c r="N67" i="3"/>
  <c r="N66" i="3"/>
  <c r="BQ65" i="3"/>
  <c r="BT67" i="3"/>
  <c r="BT66" i="3"/>
  <c r="BT68" i="3" s="1"/>
  <c r="AN66" i="3"/>
  <c r="AN68" i="3" s="1"/>
  <c r="DZ42" i="3"/>
  <c r="BG330" i="329"/>
  <c r="AL85" i="2"/>
  <c r="AL99" i="2" s="1"/>
  <c r="P123" i="2"/>
  <c r="ED21" i="329"/>
  <c r="EE21" i="329"/>
  <c r="ED17" i="329"/>
  <c r="ED48" i="329" s="1"/>
  <c r="ED82" i="329" s="1"/>
  <c r="ED371" i="329" s="1"/>
  <c r="EC22" i="329"/>
  <c r="ED22" i="329"/>
  <c r="EC17" i="329"/>
  <c r="AP13" i="329"/>
  <c r="EG22" i="329"/>
  <c r="AM44" i="329"/>
  <c r="AM29" i="329" s="1"/>
  <c r="DC299" i="329"/>
  <c r="DG300" i="329" s="1"/>
  <c r="CK308" i="329"/>
  <c r="CT187" i="2"/>
  <c r="CX405" i="329"/>
  <c r="AP15" i="329"/>
  <c r="AQ15" i="329" s="1"/>
  <c r="AQ42" i="329" s="1"/>
  <c r="EG24" i="329"/>
  <c r="EA23" i="329"/>
  <c r="EB23" i="329"/>
  <c r="CN212" i="2"/>
  <c r="AN26" i="329"/>
  <c r="AA44" i="329"/>
  <c r="DC223" i="329"/>
  <c r="EO25" i="329"/>
  <c r="EO16" i="329" s="1"/>
  <c r="BV25" i="329" s="1"/>
  <c r="EP25" i="329" s="1"/>
  <c r="EP16" i="329" s="1"/>
  <c r="DE365" i="329"/>
  <c r="EE17" i="329"/>
  <c r="EG25" i="329"/>
  <c r="AB26" i="329"/>
  <c r="AB90" i="329" s="1"/>
  <c r="EO23" i="329"/>
  <c r="EO14" i="329" s="1"/>
  <c r="CI26" i="329"/>
  <c r="DR26" i="329"/>
  <c r="AF44" i="329"/>
  <c r="AF374" i="329" s="1"/>
  <c r="AF382" i="329" s="1"/>
  <c r="AF112" i="4" s="1"/>
  <c r="BU47" i="4"/>
  <c r="BU118" i="4" s="1"/>
  <c r="BM48" i="4"/>
  <c r="CG16" i="4"/>
  <c r="EH16" i="4" s="1"/>
  <c r="DR21" i="3"/>
  <c r="DX63" i="4"/>
  <c r="DX42" i="4"/>
  <c r="DX98" i="4" s="1"/>
  <c r="CC33" i="4"/>
  <c r="BT34" i="4"/>
  <c r="AJ105" i="329"/>
  <c r="AM72" i="329"/>
  <c r="AN70" i="329"/>
  <c r="H76" i="3"/>
  <c r="H74" i="3"/>
  <c r="H122" i="3" s="1"/>
  <c r="AZ71" i="3"/>
  <c r="AZ45" i="3"/>
  <c r="BE35" i="3"/>
  <c r="BE44" i="3" s="1"/>
  <c r="AE21" i="3"/>
  <c r="AE71" i="3" s="1"/>
  <c r="AA77" i="3"/>
  <c r="BD39" i="4"/>
  <c r="BE39" i="4" s="1"/>
  <c r="BC40" i="4"/>
  <c r="CB35" i="3"/>
  <c r="CB44" i="3" s="1"/>
  <c r="CG24" i="4"/>
  <c r="EH24" i="4" s="1"/>
  <c r="AJ308" i="329"/>
  <c r="EF87" i="4"/>
  <c r="AM76" i="3"/>
  <c r="EJ63" i="4"/>
  <c r="AG44" i="329"/>
  <c r="EB29" i="3"/>
  <c r="EB64" i="3" s="1"/>
  <c r="EF39" i="3"/>
  <c r="X66" i="3"/>
  <c r="X68" i="3" s="1"/>
  <c r="BM39" i="4"/>
  <c r="BT11" i="4"/>
  <c r="BU11" i="4" s="1"/>
  <c r="BT15" i="4"/>
  <c r="BU15" i="4" s="1"/>
  <c r="BP20" i="4"/>
  <c r="CJ25" i="4"/>
  <c r="CN23" i="4"/>
  <c r="CO23" i="4" s="1"/>
  <c r="CC59" i="4"/>
  <c r="CC16" i="4"/>
  <c r="BR87" i="329"/>
  <c r="DA223" i="329"/>
  <c r="CC27" i="4"/>
  <c r="DM39" i="4"/>
  <c r="BE25" i="4"/>
  <c r="T42" i="4"/>
  <c r="BX28" i="4"/>
  <c r="CJ28" i="4"/>
  <c r="BM117" i="4"/>
  <c r="CK25" i="4"/>
  <c r="DD94" i="329"/>
  <c r="DD85" i="329"/>
  <c r="DD148" i="2"/>
  <c r="DD152" i="2" s="1"/>
  <c r="DD400" i="329"/>
  <c r="DD225" i="2"/>
  <c r="DD404" i="329"/>
  <c r="DD7" i="2" s="1"/>
  <c r="DD147" i="2"/>
  <c r="CR64" i="3"/>
  <c r="CR30" i="3"/>
  <c r="CR35" i="3" s="1"/>
  <c r="CR129" i="3"/>
  <c r="CR89" i="3"/>
  <c r="CR90" i="3" s="1"/>
  <c r="CR87" i="3"/>
  <c r="CR75" i="3"/>
  <c r="DD24" i="2"/>
  <c r="CR42" i="3"/>
  <c r="CR12" i="3"/>
  <c r="CR21" i="3" s="1"/>
  <c r="DD242" i="329"/>
  <c r="DD244" i="329"/>
  <c r="DD297" i="329"/>
  <c r="DD308" i="329"/>
  <c r="DD326" i="329"/>
  <c r="DD354" i="329"/>
  <c r="DD157" i="2"/>
  <c r="DD133" i="2"/>
  <c r="CR104" i="3"/>
  <c r="CY259" i="329"/>
  <c r="CY290" i="329" s="1"/>
  <c r="CY268" i="329"/>
  <c r="CV293" i="329"/>
  <c r="CV243" i="329" s="1"/>
  <c r="CW292" i="329"/>
  <c r="CW306" i="329" s="1"/>
  <c r="DC297" i="329"/>
  <c r="DB308" i="329"/>
  <c r="BN286" i="329"/>
  <c r="BN287" i="329" s="1"/>
  <c r="BO258" i="329"/>
  <c r="BP258" i="329" s="1"/>
  <c r="BP286" i="329" s="1"/>
  <c r="EG287" i="329"/>
  <c r="EG244" i="329" s="1"/>
  <c r="AO295" i="329"/>
  <c r="AS244" i="329"/>
  <c r="AS374" i="329" s="1"/>
  <c r="AS382" i="329" s="1"/>
  <c r="EH287" i="329"/>
  <c r="AS295" i="329"/>
  <c r="AS308" i="329" s="1"/>
  <c r="CG295" i="329"/>
  <c r="CG308" i="329" s="1"/>
  <c r="BY244" i="329"/>
  <c r="CS295" i="329"/>
  <c r="CS244" i="329"/>
  <c r="AH299" i="329"/>
  <c r="CZ271" i="329"/>
  <c r="CV292" i="329"/>
  <c r="CU242" i="329"/>
  <c r="CP273" i="329"/>
  <c r="CP243" i="329" s="1"/>
  <c r="EV264" i="329"/>
  <c r="EV250" i="329" s="1"/>
  <c r="EN276" i="329"/>
  <c r="EO287" i="329"/>
  <c r="EO244" i="329" s="1"/>
  <c r="BK295" i="329"/>
  <c r="BW273" i="329"/>
  <c r="BW243" i="329" s="1"/>
  <c r="CI242" i="329"/>
  <c r="CV304" i="329"/>
  <c r="CZ326" i="329"/>
  <c r="CR223" i="329"/>
  <c r="K101" i="329"/>
  <c r="O126" i="329"/>
  <c r="N126" i="329"/>
  <c r="R126" i="329"/>
  <c r="V126" i="329"/>
  <c r="Z126" i="329"/>
  <c r="AD126" i="329"/>
  <c r="AQ126" i="329"/>
  <c r="AU126" i="329"/>
  <c r="AU105" i="329"/>
  <c r="CU77" i="329"/>
  <c r="CU78" i="329" s="1"/>
  <c r="CT80" i="329"/>
  <c r="CT85" i="329" s="1"/>
  <c r="DY88" i="329"/>
  <c r="DZ89" i="329"/>
  <c r="J90" i="329"/>
  <c r="DZ90" i="329" s="1"/>
  <c r="ET222" i="329"/>
  <c r="ET215" i="329" s="1"/>
  <c r="EW76" i="329"/>
  <c r="DB76" i="329"/>
  <c r="CW176" i="329"/>
  <c r="CW187" i="329" s="1"/>
  <c r="EM46" i="329"/>
  <c r="BN44" i="329"/>
  <c r="BN35" i="329" s="1"/>
  <c r="EN46" i="329"/>
  <c r="BM51" i="329"/>
  <c r="CH62" i="329"/>
  <c r="ES62" i="329" s="1"/>
  <c r="ET62" i="329" s="1"/>
  <c r="ER63" i="329"/>
  <c r="AL72" i="329"/>
  <c r="AL71" i="329"/>
  <c r="CK128" i="329"/>
  <c r="CO125" i="329"/>
  <c r="CS126" i="329" s="1"/>
  <c r="BA148" i="329"/>
  <c r="BK125" i="329"/>
  <c r="EP71" i="329"/>
  <c r="ER71" i="329" s="1"/>
  <c r="AQ77" i="329"/>
  <c r="AQ78" i="329" s="1"/>
  <c r="AP78" i="329"/>
  <c r="F90" i="329"/>
  <c r="DX90" i="329"/>
  <c r="M101" i="329"/>
  <c r="BC125" i="329"/>
  <c r="DX44" i="329"/>
  <c r="BN51" i="329"/>
  <c r="DC51" i="329"/>
  <c r="ES64" i="329"/>
  <c r="ET64" i="329" s="1"/>
  <c r="DW372" i="329"/>
  <c r="CT139" i="329"/>
  <c r="CX138" i="329" s="1"/>
  <c r="CX137" i="329" s="1"/>
  <c r="CX111" i="329" s="1"/>
  <c r="BG160" i="2"/>
  <c r="BG189" i="2" s="1"/>
  <c r="BB52" i="3"/>
  <c r="BB83" i="3" s="1"/>
  <c r="CV176" i="2"/>
  <c r="BG109" i="2"/>
  <c r="BK109" i="2"/>
  <c r="I130" i="3"/>
  <c r="AH56" i="3"/>
  <c r="R58" i="3"/>
  <c r="DD82" i="3"/>
  <c r="DD58" i="3"/>
  <c r="AY102" i="3"/>
  <c r="BC109" i="2"/>
  <c r="CL68" i="2"/>
  <c r="FG399" i="329"/>
  <c r="FG105" i="2" s="1"/>
  <c r="CY118" i="2"/>
  <c r="BQ123" i="2"/>
  <c r="BD217" i="2"/>
  <c r="EF29" i="4"/>
  <c r="BO109" i="2"/>
  <c r="AN77" i="2"/>
  <c r="CE11" i="2"/>
  <c r="BR412" i="329"/>
  <c r="AN9" i="2"/>
  <c r="AV107" i="2"/>
  <c r="BW109" i="2"/>
  <c r="AR77" i="2"/>
  <c r="AV92" i="2" s="1"/>
  <c r="AN79" i="2"/>
  <c r="AN94" i="2" s="1"/>
  <c r="CD208" i="2"/>
  <c r="BC119" i="2"/>
  <c r="CK103" i="4"/>
  <c r="CW412" i="329"/>
  <c r="R105" i="4"/>
  <c r="CK100" i="3"/>
  <c r="BP101" i="3"/>
  <c r="DS52" i="3"/>
  <c r="DS83" i="3" s="1"/>
  <c r="DS130" i="3"/>
  <c r="DW130" i="3"/>
  <c r="AJ50" i="3"/>
  <c r="AJ81" i="3" s="1"/>
  <c r="BE226" i="2"/>
  <c r="C58" i="3"/>
  <c r="CN103" i="3"/>
  <c r="DF318" i="329"/>
  <c r="DF399" i="329"/>
  <c r="DS141" i="329"/>
  <c r="DS143" i="329"/>
  <c r="DR143" i="329"/>
  <c r="DR142" i="329"/>
  <c r="DR141" i="329"/>
  <c r="AZ77" i="2"/>
  <c r="AZ103" i="4"/>
  <c r="BD78" i="2"/>
  <c r="BD410" i="329"/>
  <c r="BV9" i="2"/>
  <c r="BV17" i="2" s="1"/>
  <c r="DA157" i="2"/>
  <c r="CX162" i="2"/>
  <c r="CX16" i="2" s="1"/>
  <c r="AP41" i="329"/>
  <c r="AQ14" i="329"/>
  <c r="EO157" i="2"/>
  <c r="EO187" i="2" s="1"/>
  <c r="BH226" i="2"/>
  <c r="BL161" i="2"/>
  <c r="BP226" i="2"/>
  <c r="BT155" i="2"/>
  <c r="BX226" i="2"/>
  <c r="EB24" i="329"/>
  <c r="EA24" i="329"/>
  <c r="W118" i="2"/>
  <c r="CI118" i="2"/>
  <c r="N124" i="2"/>
  <c r="CN213" i="2"/>
  <c r="CA175" i="2"/>
  <c r="BE193" i="2"/>
  <c r="CC175" i="2"/>
  <c r="BA160" i="2"/>
  <c r="Q117" i="329"/>
  <c r="T117" i="329"/>
  <c r="P116" i="329"/>
  <c r="T116" i="329"/>
  <c r="AF117" i="329"/>
  <c r="AB118" i="329"/>
  <c r="AB116" i="329"/>
  <c r="AF116" i="329"/>
  <c r="AJ116" i="329"/>
  <c r="CG223" i="329"/>
  <c r="CN223" i="329"/>
  <c r="CV223" i="329"/>
  <c r="CQ223" i="329"/>
  <c r="CM223" i="329"/>
  <c r="CP223" i="329"/>
  <c r="CL223" i="329"/>
  <c r="DR101" i="329"/>
  <c r="DE59" i="3"/>
  <c r="DE50" i="3"/>
  <c r="DI50" i="3"/>
  <c r="DE130" i="3"/>
  <c r="DE58" i="3"/>
  <c r="DI52" i="3"/>
  <c r="DI83" i="3" s="1"/>
  <c r="DI82" i="3"/>
  <c r="DT139" i="329"/>
  <c r="DU138" i="329" s="1"/>
  <c r="DU140" i="329" s="1"/>
  <c r="DT103" i="329"/>
  <c r="DE135" i="329"/>
  <c r="DE399" i="329"/>
  <c r="DE318" i="329"/>
  <c r="H128" i="2" l="1"/>
  <c r="BD60" i="2"/>
  <c r="CB60" i="2"/>
  <c r="CF60" i="2"/>
  <c r="I128" i="2"/>
  <c r="V60" i="2"/>
  <c r="BZ60" i="2"/>
  <c r="EL70" i="2"/>
  <c r="F60" i="2"/>
  <c r="J60" i="2"/>
  <c r="N60" i="2"/>
  <c r="R60" i="2"/>
  <c r="Z60" i="2"/>
  <c r="AD60" i="2"/>
  <c r="AH60" i="2"/>
  <c r="AL60" i="2"/>
  <c r="AP60" i="2"/>
  <c r="AT60" i="2"/>
  <c r="AX60" i="2"/>
  <c r="AG66" i="3"/>
  <c r="AG68" i="3" s="1"/>
  <c r="EG44" i="3"/>
  <c r="AC71" i="3"/>
  <c r="CP67" i="3"/>
  <c r="Q66" i="3"/>
  <c r="Q68" i="3" s="1"/>
  <c r="Q44" i="3"/>
  <c r="DO44" i="3" s="1"/>
  <c r="DK71" i="3"/>
  <c r="Q67" i="3"/>
  <c r="AK66" i="3"/>
  <c r="AK68" i="3" s="1"/>
  <c r="EB66" i="3"/>
  <c r="EH66" i="3"/>
  <c r="BN44" i="3"/>
  <c r="H67" i="3"/>
  <c r="D66" i="3"/>
  <c r="D68" i="3" s="1"/>
  <c r="AK44" i="3"/>
  <c r="DT44" i="3" s="1"/>
  <c r="CP71" i="3"/>
  <c r="AO66" i="3"/>
  <c r="AO68" i="3" s="1"/>
  <c r="Y66" i="3"/>
  <c r="Y68" i="3" s="1"/>
  <c r="AO67" i="3"/>
  <c r="DT42" i="3"/>
  <c r="DX42" i="3"/>
  <c r="BN71" i="3"/>
  <c r="Y78" i="3"/>
  <c r="D44" i="3"/>
  <c r="BV44" i="3"/>
  <c r="BV45" i="3" s="1"/>
  <c r="AO44" i="3"/>
  <c r="DU44" i="3" s="1"/>
  <c r="AG67" i="3"/>
  <c r="U67" i="3"/>
  <c r="Y67" i="3"/>
  <c r="DP42" i="3"/>
  <c r="DZ78" i="3"/>
  <c r="BR71" i="3"/>
  <c r="DK44" i="3"/>
  <c r="DK45" i="3" s="1"/>
  <c r="H44" i="3"/>
  <c r="H45" i="3" s="1"/>
  <c r="L44" i="3"/>
  <c r="L45" i="3" s="1"/>
  <c r="AG71" i="3"/>
  <c r="CP44" i="3"/>
  <c r="AC66" i="3"/>
  <c r="AC68" i="3" s="1"/>
  <c r="AC67" i="3"/>
  <c r="L71" i="3"/>
  <c r="AV44" i="3"/>
  <c r="AJ78" i="3"/>
  <c r="AV78" i="3"/>
  <c r="BR242" i="329"/>
  <c r="CV244" i="329"/>
  <c r="DD292" i="329"/>
  <c r="DD306" i="329" s="1"/>
  <c r="DC242" i="329"/>
  <c r="EJ243" i="329"/>
  <c r="EJ293" i="329" s="1"/>
  <c r="CU293" i="329"/>
  <c r="CU243" i="329" s="1"/>
  <c r="BT295" i="329"/>
  <c r="DY372" i="329"/>
  <c r="CZ296" i="329"/>
  <c r="AU244" i="329"/>
  <c r="AU245" i="329" s="1"/>
  <c r="AY244" i="329"/>
  <c r="AY374" i="329" s="1"/>
  <c r="BZ290" i="329"/>
  <c r="DD299" i="329"/>
  <c r="DC304" i="329"/>
  <c r="DZ372" i="329"/>
  <c r="CK297" i="329"/>
  <c r="CS60" i="2"/>
  <c r="BA63" i="2"/>
  <c r="BA64" i="2" s="1"/>
  <c r="AS63" i="2"/>
  <c r="AS64" i="2" s="1"/>
  <c r="EI26" i="329"/>
  <c r="AQ38" i="329"/>
  <c r="CW330" i="329"/>
  <c r="EV26" i="329"/>
  <c r="F128" i="2"/>
  <c r="BQ272" i="329"/>
  <c r="EN272" i="329" s="1"/>
  <c r="M105" i="4"/>
  <c r="E15" i="2"/>
  <c r="Q19" i="2"/>
  <c r="I19" i="2"/>
  <c r="BC105" i="4"/>
  <c r="BC15" i="2"/>
  <c r="AD19" i="2"/>
  <c r="AD20" i="2" s="1"/>
  <c r="AD84" i="2" s="1"/>
  <c r="O19" i="2"/>
  <c r="BF105" i="4"/>
  <c r="O15" i="2"/>
  <c r="K105" i="4"/>
  <c r="G105" i="4"/>
  <c r="AD15" i="2"/>
  <c r="BW19" i="2"/>
  <c r="AD80" i="2"/>
  <c r="AH95" i="2" s="1"/>
  <c r="X19" i="2"/>
  <c r="X81" i="2" s="1"/>
  <c r="BB15" i="2"/>
  <c r="K80" i="2"/>
  <c r="K95" i="2" s="1"/>
  <c r="G19" i="2"/>
  <c r="G81" i="2" s="1"/>
  <c r="G96" i="2" s="1"/>
  <c r="C105" i="4"/>
  <c r="CI14" i="3"/>
  <c r="CI15" i="3" s="1"/>
  <c r="DK28" i="4"/>
  <c r="ED67" i="3"/>
  <c r="CP78" i="3"/>
  <c r="EG90" i="3"/>
  <c r="EG76" i="3"/>
  <c r="EB21" i="3"/>
  <c r="DN75" i="3"/>
  <c r="DV75" i="3"/>
  <c r="DZ12" i="3"/>
  <c r="DX75" i="3"/>
  <c r="BK21" i="3"/>
  <c r="BK71" i="3" s="1"/>
  <c r="EI64" i="3"/>
  <c r="EG64" i="3"/>
  <c r="BS44" i="3"/>
  <c r="BS45" i="3" s="1"/>
  <c r="CM44" i="3"/>
  <c r="AY66" i="3"/>
  <c r="AY68" i="3" s="1"/>
  <c r="K90" i="3"/>
  <c r="W90" i="3"/>
  <c r="AA90" i="3"/>
  <c r="AM90" i="3"/>
  <c r="AQ90" i="3"/>
  <c r="AY90" i="3"/>
  <c r="BC90" i="3"/>
  <c r="BO90" i="3"/>
  <c r="BS90" i="3"/>
  <c r="BW90" i="3"/>
  <c r="CE90" i="3"/>
  <c r="CI90" i="3"/>
  <c r="AF92" i="329"/>
  <c r="AF105" i="329" s="1"/>
  <c r="AJ106" i="329" s="1"/>
  <c r="AM31" i="329"/>
  <c r="EY395" i="329"/>
  <c r="P92" i="2"/>
  <c r="P128" i="2" s="1"/>
  <c r="EE113" i="3"/>
  <c r="DW92" i="2"/>
  <c r="BC63" i="2"/>
  <c r="BC64" i="2" s="1"/>
  <c r="EK58" i="2"/>
  <c r="EC58" i="2"/>
  <c r="CD78" i="3"/>
  <c r="AY106" i="329"/>
  <c r="AN93" i="329"/>
  <c r="BO93" i="329"/>
  <c r="CA153" i="2"/>
  <c r="CA177" i="2" s="1"/>
  <c r="CV273" i="329"/>
  <c r="DV104" i="3"/>
  <c r="EO133" i="2"/>
  <c r="EN238" i="2"/>
  <c r="AV60" i="2"/>
  <c r="BH60" i="2"/>
  <c r="DB293" i="329"/>
  <c r="DB243" i="329" s="1"/>
  <c r="CG290" i="329"/>
  <c r="CG304" i="329" s="1"/>
  <c r="BS295" i="329"/>
  <c r="BS308" i="329" s="1"/>
  <c r="CC290" i="329"/>
  <c r="CS290" i="329"/>
  <c r="CW291" i="329" s="1"/>
  <c r="BW29" i="4"/>
  <c r="BW42" i="4" s="1"/>
  <c r="BW98" i="4" s="1"/>
  <c r="BW99" i="4" s="1"/>
  <c r="CH41" i="3"/>
  <c r="CH42" i="3" s="1"/>
  <c r="DW129" i="3"/>
  <c r="DX87" i="3"/>
  <c r="DW87" i="3"/>
  <c r="DW89" i="3"/>
  <c r="DW90" i="3" s="1"/>
  <c r="BQ21" i="3"/>
  <c r="BQ71" i="3" s="1"/>
  <c r="BQ76" i="3"/>
  <c r="CC77" i="3"/>
  <c r="CC74" i="3"/>
  <c r="CC122" i="3" s="1"/>
  <c r="CC76" i="3"/>
  <c r="BO35" i="3"/>
  <c r="BO44" i="3" s="1"/>
  <c r="BO45" i="3" s="1"/>
  <c r="BO77" i="3"/>
  <c r="BO76" i="3"/>
  <c r="CI74" i="3"/>
  <c r="CI122" i="3" s="1"/>
  <c r="CI35" i="3"/>
  <c r="CI44" i="3" s="1"/>
  <c r="CI45" i="3" s="1"/>
  <c r="CI77" i="3"/>
  <c r="DT65" i="3"/>
  <c r="EC64" i="3"/>
  <c r="AY35" i="3"/>
  <c r="AY44" i="3" s="1"/>
  <c r="AY45" i="3" s="1"/>
  <c r="AY74" i="3"/>
  <c r="AY122" i="3" s="1"/>
  <c r="AZ123" i="3" s="1"/>
  <c r="AY76" i="3"/>
  <c r="AY77" i="3"/>
  <c r="EG66" i="3"/>
  <c r="EG68" i="3" s="1"/>
  <c r="DY35" i="3"/>
  <c r="DY44" i="3" s="1"/>
  <c r="EC42" i="3"/>
  <c r="EE38" i="3"/>
  <c r="DM42" i="3"/>
  <c r="I67" i="3"/>
  <c r="G65" i="3"/>
  <c r="G67" i="3"/>
  <c r="G66" i="3"/>
  <c r="G68" i="3" s="1"/>
  <c r="S65" i="3"/>
  <c r="AQ66" i="3"/>
  <c r="AQ68" i="3" s="1"/>
  <c r="AQ65" i="3"/>
  <c r="AQ67" i="3"/>
  <c r="BC65" i="3"/>
  <c r="BC66" i="3"/>
  <c r="BC68" i="3" s="1"/>
  <c r="BC67" i="3"/>
  <c r="BU65" i="3"/>
  <c r="BU66" i="3"/>
  <c r="BU68" i="3" s="1"/>
  <c r="CG66" i="3"/>
  <c r="CG68" i="3" s="1"/>
  <c r="CG67" i="3"/>
  <c r="CG65" i="3"/>
  <c r="DG65" i="3"/>
  <c r="DG67" i="3"/>
  <c r="DG66" i="3"/>
  <c r="DG68" i="3" s="1"/>
  <c r="DK65" i="3"/>
  <c r="DK67" i="3"/>
  <c r="DK66" i="3"/>
  <c r="AA21" i="3"/>
  <c r="BS66" i="3"/>
  <c r="BS68" i="3" s="1"/>
  <c r="BT76" i="3"/>
  <c r="BT77" i="3"/>
  <c r="BT35" i="3"/>
  <c r="BT44" i="3" s="1"/>
  <c r="BT45" i="3" s="1"/>
  <c r="I66" i="3"/>
  <c r="R76" i="3"/>
  <c r="BU76" i="3"/>
  <c r="DU66" i="3"/>
  <c r="DU68" i="3" s="1"/>
  <c r="BQ77" i="3"/>
  <c r="CD71" i="3"/>
  <c r="AE65" i="3"/>
  <c r="AI74" i="3"/>
  <c r="AI122" i="3" s="1"/>
  <c r="AI77" i="3"/>
  <c r="DY12" i="3"/>
  <c r="EH12" i="3"/>
  <c r="EH65" i="3"/>
  <c r="ED75" i="3"/>
  <c r="ED12" i="3"/>
  <c r="DS87" i="3"/>
  <c r="DS75" i="3"/>
  <c r="DS89" i="3"/>
  <c r="DS129" i="3"/>
  <c r="N21" i="3"/>
  <c r="N71" i="3" s="1"/>
  <c r="N74" i="3"/>
  <c r="N122" i="3" s="1"/>
  <c r="AP76" i="3"/>
  <c r="AP77" i="3"/>
  <c r="AP21" i="3"/>
  <c r="AP71" i="3" s="1"/>
  <c r="AP74" i="3"/>
  <c r="AP122" i="3" s="1"/>
  <c r="DX12" i="3"/>
  <c r="BA21" i="3"/>
  <c r="BA71" i="3" s="1"/>
  <c r="BA76" i="3"/>
  <c r="BA74" i="3"/>
  <c r="BA122" i="3" s="1"/>
  <c r="BA123" i="3" s="1"/>
  <c r="BE76" i="3"/>
  <c r="BE77" i="3"/>
  <c r="BE74" i="3"/>
  <c r="BE122" i="3" s="1"/>
  <c r="BM77" i="3"/>
  <c r="BM21" i="3"/>
  <c r="BM74" i="3"/>
  <c r="BM122" i="3" s="1"/>
  <c r="BM76" i="3"/>
  <c r="DG76" i="3"/>
  <c r="DG21" i="3"/>
  <c r="DG74" i="3"/>
  <c r="DG122" i="3" s="1"/>
  <c r="DG77" i="3"/>
  <c r="C75" i="3"/>
  <c r="C21" i="3"/>
  <c r="AO75" i="3"/>
  <c r="DU16" i="3"/>
  <c r="DU75" i="3" s="1"/>
  <c r="BG75" i="3"/>
  <c r="BG21" i="3"/>
  <c r="BG71" i="3" s="1"/>
  <c r="CG21" i="3"/>
  <c r="CG71" i="3" s="1"/>
  <c r="CG75" i="3"/>
  <c r="EH16" i="3"/>
  <c r="DP129" i="3"/>
  <c r="DP89" i="3"/>
  <c r="DT89" i="3"/>
  <c r="DX89" i="3"/>
  <c r="DX129" i="3"/>
  <c r="EB89" i="3"/>
  <c r="EB129" i="3"/>
  <c r="EH129" i="3"/>
  <c r="EH30" i="3"/>
  <c r="G76" i="3"/>
  <c r="G35" i="3"/>
  <c r="G44" i="3" s="1"/>
  <c r="DX64" i="3"/>
  <c r="DW64" i="3"/>
  <c r="EI65" i="3"/>
  <c r="AE35" i="3"/>
  <c r="AE74" i="3"/>
  <c r="AE122" i="3" s="1"/>
  <c r="AE76" i="3"/>
  <c r="AQ35" i="3"/>
  <c r="AQ44" i="3" s="1"/>
  <c r="AQ77" i="3"/>
  <c r="DE35" i="3"/>
  <c r="DE44" i="3" s="1"/>
  <c r="DE76" i="3"/>
  <c r="DE77" i="3"/>
  <c r="EA64" i="3"/>
  <c r="EE40" i="3"/>
  <c r="EE42" i="3" s="1"/>
  <c r="EE66" i="3" s="1"/>
  <c r="DL42" i="3"/>
  <c r="DL71" i="3" s="1"/>
  <c r="E67" i="3"/>
  <c r="M67" i="3"/>
  <c r="DN42" i="3"/>
  <c r="Z66" i="3"/>
  <c r="Z67" i="3"/>
  <c r="AD71" i="3"/>
  <c r="AD78" i="3"/>
  <c r="AD44" i="3"/>
  <c r="AD66" i="3"/>
  <c r="AD68" i="3" s="1"/>
  <c r="B65" i="3"/>
  <c r="B67" i="3"/>
  <c r="B66" i="3"/>
  <c r="B68" i="3" s="1"/>
  <c r="O65" i="3"/>
  <c r="AA65" i="3"/>
  <c r="AA66" i="3"/>
  <c r="AA68" i="3" s="1"/>
  <c r="AM65" i="3"/>
  <c r="AM67" i="3"/>
  <c r="AU66" i="3"/>
  <c r="AU68" i="3" s="1"/>
  <c r="AU65" i="3"/>
  <c r="BI65" i="3"/>
  <c r="BI66" i="3"/>
  <c r="BI67" i="3"/>
  <c r="BY65" i="3"/>
  <c r="BY66" i="3"/>
  <c r="BY68" i="3" s="1"/>
  <c r="BY67" i="3"/>
  <c r="CM65" i="3"/>
  <c r="CM67" i="3"/>
  <c r="CM66" i="3"/>
  <c r="CM68" i="3" s="1"/>
  <c r="BE66" i="3"/>
  <c r="CD66" i="3"/>
  <c r="CD68" i="3" s="1"/>
  <c r="BK67" i="3"/>
  <c r="CC21" i="3"/>
  <c r="CC71" i="3" s="1"/>
  <c r="BE21" i="3"/>
  <c r="BE71" i="3" s="1"/>
  <c r="DY66" i="3"/>
  <c r="DY65" i="3"/>
  <c r="DY68" i="3"/>
  <c r="DY67" i="3"/>
  <c r="AV74" i="3"/>
  <c r="AV122" i="3" s="1"/>
  <c r="AW123" i="3" s="1"/>
  <c r="AV77" i="3"/>
  <c r="CI67" i="3"/>
  <c r="CI71" i="3"/>
  <c r="EH89" i="3"/>
  <c r="EH90" i="3" s="1"/>
  <c r="EH87" i="3"/>
  <c r="EI87" i="3"/>
  <c r="DO89" i="3"/>
  <c r="DO90" i="3" s="1"/>
  <c r="DO87" i="3"/>
  <c r="DP87" i="3"/>
  <c r="DO51" i="3"/>
  <c r="DO82" i="3" s="1"/>
  <c r="DO129" i="3"/>
  <c r="DO75" i="3"/>
  <c r="EB87" i="3"/>
  <c r="EA89" i="3"/>
  <c r="EA129" i="3"/>
  <c r="EA12" i="3"/>
  <c r="AT21" i="3"/>
  <c r="AT71" i="3" s="1"/>
  <c r="AT77" i="3"/>
  <c r="BY21" i="3"/>
  <c r="BY71" i="3" s="1"/>
  <c r="BY77" i="3"/>
  <c r="BY74" i="3"/>
  <c r="BY122" i="3" s="1"/>
  <c r="CM77" i="3"/>
  <c r="CM21" i="3"/>
  <c r="CM71" i="3" s="1"/>
  <c r="CM76" i="3"/>
  <c r="CM74" i="3"/>
  <c r="CM122" i="3" s="1"/>
  <c r="CM123" i="3" s="1"/>
  <c r="CQ76" i="3"/>
  <c r="CQ74" i="3"/>
  <c r="CQ122" i="3" s="1"/>
  <c r="CQ77" i="3"/>
  <c r="DL75" i="3"/>
  <c r="DL129" i="3"/>
  <c r="BK35" i="3"/>
  <c r="BK44" i="3" s="1"/>
  <c r="BK77" i="3"/>
  <c r="BK74" i="3"/>
  <c r="BK122" i="3" s="1"/>
  <c r="BK76" i="3"/>
  <c r="DO65" i="3"/>
  <c r="AH66" i="3"/>
  <c r="AH68" i="3" s="1"/>
  <c r="AH67" i="3"/>
  <c r="AL78" i="3"/>
  <c r="AL66" i="3"/>
  <c r="AL68" i="3" s="1"/>
  <c r="AW67" i="3"/>
  <c r="AW44" i="3"/>
  <c r="DW44" i="3" s="1"/>
  <c r="AW66" i="3"/>
  <c r="AW68" i="3" s="1"/>
  <c r="DW42" i="3"/>
  <c r="BF78" i="3"/>
  <c r="BF66" i="3"/>
  <c r="BF68" i="3" s="1"/>
  <c r="BO78" i="3"/>
  <c r="BO67" i="3"/>
  <c r="BO66" i="3"/>
  <c r="BO68" i="3" s="1"/>
  <c r="BO71" i="3"/>
  <c r="K65" i="3"/>
  <c r="K67" i="3"/>
  <c r="K66" i="3"/>
  <c r="K68" i="3" s="1"/>
  <c r="W65" i="3"/>
  <c r="W67" i="3"/>
  <c r="AI65" i="3"/>
  <c r="AY65" i="3"/>
  <c r="AY67" i="3"/>
  <c r="BM65" i="3"/>
  <c r="BM67" i="3"/>
  <c r="BM66" i="3"/>
  <c r="BM68" i="3" s="1"/>
  <c r="CC65" i="3"/>
  <c r="CC66" i="3"/>
  <c r="CC68" i="3" s="1"/>
  <c r="CQ65" i="3"/>
  <c r="CQ66" i="3"/>
  <c r="CQ68" i="3" s="1"/>
  <c r="CQ67" i="3"/>
  <c r="EF40" i="3"/>
  <c r="EF42" i="3" s="1"/>
  <c r="AE77" i="3"/>
  <c r="AI76" i="3"/>
  <c r="BK75" i="3"/>
  <c r="BF67" i="3"/>
  <c r="AL67" i="3"/>
  <c r="AD67" i="3"/>
  <c r="V67" i="3"/>
  <c r="DF68" i="3"/>
  <c r="CD67" i="3"/>
  <c r="CL66" i="3"/>
  <c r="CL68" i="3" s="1"/>
  <c r="CH77" i="3"/>
  <c r="BX76" i="3"/>
  <c r="BX74" i="3"/>
  <c r="BX122" i="3" s="1"/>
  <c r="BX77" i="3"/>
  <c r="BX35" i="3"/>
  <c r="EJ30" i="3"/>
  <c r="EJ35" i="3" s="1"/>
  <c r="CK76" i="3"/>
  <c r="CK77" i="3"/>
  <c r="EG65" i="3"/>
  <c r="DT129" i="3"/>
  <c r="BO74" i="3"/>
  <c r="BO122" i="3" s="1"/>
  <c r="AI90" i="3"/>
  <c r="BK90" i="3"/>
  <c r="CB45" i="3"/>
  <c r="AW71" i="3"/>
  <c r="DK27" i="4"/>
  <c r="EG74" i="3"/>
  <c r="EG122" i="3" s="1"/>
  <c r="S21" i="3"/>
  <c r="S71" i="3" s="1"/>
  <c r="O90" i="3"/>
  <c r="AE90" i="3"/>
  <c r="CL44" i="3"/>
  <c r="Z44" i="3"/>
  <c r="Z45" i="3" s="1"/>
  <c r="R44" i="3"/>
  <c r="R45" i="3" s="1"/>
  <c r="S90" i="3"/>
  <c r="AU90" i="3"/>
  <c r="CA90" i="3"/>
  <c r="CM78" i="3"/>
  <c r="BS67" i="3"/>
  <c r="ED35" i="3"/>
  <c r="ED44" i="3" s="1"/>
  <c r="BS71" i="3"/>
  <c r="Z71" i="3"/>
  <c r="V44" i="3"/>
  <c r="AH44" i="3"/>
  <c r="DO77" i="3"/>
  <c r="R77" i="3"/>
  <c r="DY76" i="3"/>
  <c r="K21" i="3"/>
  <c r="DS51" i="3"/>
  <c r="DS82" i="3" s="1"/>
  <c r="DW51" i="3"/>
  <c r="DW82" i="3" s="1"/>
  <c r="DI124" i="3"/>
  <c r="N78" i="3"/>
  <c r="R78" i="3"/>
  <c r="V78" i="3"/>
  <c r="Z78" i="3"/>
  <c r="AH78" i="3"/>
  <c r="AX78" i="3"/>
  <c r="BK78" i="3"/>
  <c r="BS78" i="3"/>
  <c r="CB78" i="3"/>
  <c r="EC30" i="3"/>
  <c r="EC35" i="3" s="1"/>
  <c r="EC44" i="3" s="1"/>
  <c r="AO21" i="3"/>
  <c r="AO71" i="3" s="1"/>
  <c r="D78" i="3"/>
  <c r="H78" i="3"/>
  <c r="L78" i="3"/>
  <c r="P78" i="3"/>
  <c r="T78" i="3"/>
  <c r="X78" i="3"/>
  <c r="AB78" i="3"/>
  <c r="AF78" i="3"/>
  <c r="AN78" i="3"/>
  <c r="AR78" i="3"/>
  <c r="BM78" i="3"/>
  <c r="BU78" i="3"/>
  <c r="BZ78" i="3"/>
  <c r="EG67" i="3"/>
  <c r="DZ75" i="3"/>
  <c r="AL44" i="3"/>
  <c r="I71" i="3"/>
  <c r="AR71" i="3"/>
  <c r="DE74" i="3"/>
  <c r="DE122" i="3" s="1"/>
  <c r="DE124" i="3" s="1"/>
  <c r="DD104" i="2"/>
  <c r="DD215" i="329"/>
  <c r="CR273" i="329"/>
  <c r="CR243" i="329" s="1"/>
  <c r="DD176" i="2"/>
  <c r="EC79" i="2"/>
  <c r="AN110" i="2"/>
  <c r="J92" i="2"/>
  <c r="J128" i="2" s="1"/>
  <c r="V92" i="2"/>
  <c r="V128" i="2" s="1"/>
  <c r="AF92" i="2"/>
  <c r="AF128" i="2" s="1"/>
  <c r="P93" i="2"/>
  <c r="AB93" i="2"/>
  <c r="J94" i="2"/>
  <c r="V94" i="2"/>
  <c r="AF94" i="2"/>
  <c r="I88" i="3"/>
  <c r="M88" i="3"/>
  <c r="P56" i="3"/>
  <c r="Q88" i="3"/>
  <c r="U88" i="3"/>
  <c r="Y88" i="3"/>
  <c r="AC88" i="3"/>
  <c r="AE59" i="3"/>
  <c r="AG88" i="3"/>
  <c r="AK88" i="3"/>
  <c r="AO130" i="3"/>
  <c r="CN216" i="2"/>
  <c r="EO177" i="2"/>
  <c r="BF152" i="2"/>
  <c r="BF176" i="2" s="1"/>
  <c r="BL226" i="2"/>
  <c r="CJ214" i="2"/>
  <c r="CJ212" i="2"/>
  <c r="CK213" i="2"/>
  <c r="CE216" i="2"/>
  <c r="BE217" i="2"/>
  <c r="BM217" i="2"/>
  <c r="DQ103" i="3"/>
  <c r="DS103" i="3"/>
  <c r="EE23" i="2"/>
  <c r="DU103" i="3"/>
  <c r="DN104" i="3"/>
  <c r="DZ133" i="2"/>
  <c r="DR104" i="3"/>
  <c r="N92" i="2"/>
  <c r="N128" i="2" s="1"/>
  <c r="R92" i="2"/>
  <c r="R128" i="2" s="1"/>
  <c r="X92" i="2"/>
  <c r="X128" i="2" s="1"/>
  <c r="AD92" i="2"/>
  <c r="AD128" i="2" s="1"/>
  <c r="AH92" i="2"/>
  <c r="AH128" i="2" s="1"/>
  <c r="N93" i="2"/>
  <c r="T93" i="2"/>
  <c r="X93" i="2"/>
  <c r="AD93" i="2"/>
  <c r="AJ93" i="2"/>
  <c r="N94" i="2"/>
  <c r="R94" i="2"/>
  <c r="X94" i="2"/>
  <c r="AD94" i="2"/>
  <c r="AH94" i="2"/>
  <c r="CD16" i="2"/>
  <c r="CD197" i="2"/>
  <c r="CH16" i="2"/>
  <c r="BZ102" i="3" s="1"/>
  <c r="CH197" i="2"/>
  <c r="CL214" i="2" s="1"/>
  <c r="CN16" i="2"/>
  <c r="CN231" i="2"/>
  <c r="CN197" i="2"/>
  <c r="CZ197" i="2"/>
  <c r="CZ16" i="2"/>
  <c r="CN102" i="3" s="1"/>
  <c r="DI130" i="3"/>
  <c r="DI58" i="3"/>
  <c r="DI51" i="3"/>
  <c r="DE52" i="3"/>
  <c r="DE83" i="3" s="1"/>
  <c r="DE82" i="3"/>
  <c r="DI97" i="3"/>
  <c r="DI81" i="3"/>
  <c r="DE81" i="3"/>
  <c r="BT226" i="2"/>
  <c r="BP161" i="2"/>
  <c r="BP193" i="2" s="1"/>
  <c r="CB213" i="2" s="1"/>
  <c r="U57" i="3"/>
  <c r="DT107" i="3"/>
  <c r="DT78" i="3" s="1"/>
  <c r="DX99" i="4"/>
  <c r="BU70" i="2"/>
  <c r="EN64" i="2"/>
  <c r="AY63" i="2"/>
  <c r="AY64" i="2" s="1"/>
  <c r="CZ226" i="2"/>
  <c r="DL107" i="3"/>
  <c r="DL78" i="3" s="1"/>
  <c r="DY58" i="2"/>
  <c r="ER68" i="2"/>
  <c r="C59" i="3"/>
  <c r="EB107" i="3"/>
  <c r="EB78" i="3" s="1"/>
  <c r="EC23" i="2"/>
  <c r="ER237" i="2"/>
  <c r="DK127" i="3"/>
  <c r="DV110" i="2"/>
  <c r="EH133" i="2"/>
  <c r="ED133" i="2"/>
  <c r="AP99" i="4"/>
  <c r="EB133" i="2"/>
  <c r="BE63" i="2"/>
  <c r="BE64" i="2" s="1"/>
  <c r="AW63" i="2"/>
  <c r="AW64" i="2" s="1"/>
  <c r="AO63" i="2"/>
  <c r="AO64" i="2" s="1"/>
  <c r="DW103" i="3"/>
  <c r="AX52" i="3"/>
  <c r="AX83" i="3" s="1"/>
  <c r="CI113" i="3"/>
  <c r="CI115" i="3" s="1"/>
  <c r="EB99" i="4"/>
  <c r="CH99" i="4"/>
  <c r="AT92" i="2"/>
  <c r="EG110" i="2"/>
  <c r="CL60" i="2"/>
  <c r="DJ58" i="3"/>
  <c r="BR99" i="4"/>
  <c r="CL71" i="3"/>
  <c r="EU72" i="329"/>
  <c r="EB65" i="3"/>
  <c r="EB67" i="3"/>
  <c r="EL41" i="3"/>
  <c r="CX41" i="3"/>
  <c r="CY41" i="3" s="1"/>
  <c r="CZ41" i="3" s="1"/>
  <c r="DA41" i="3" s="1"/>
  <c r="EM41" i="3" s="1"/>
  <c r="EN41" i="3" s="1"/>
  <c r="EL38" i="3"/>
  <c r="CX38" i="3"/>
  <c r="CY38" i="3" s="1"/>
  <c r="CZ38" i="3" s="1"/>
  <c r="DA38" i="3" s="1"/>
  <c r="EM38" i="3" s="1"/>
  <c r="CP68" i="3"/>
  <c r="DV90" i="3"/>
  <c r="EL18" i="3"/>
  <c r="CX18" i="3"/>
  <c r="CY18" i="3" s="1"/>
  <c r="CZ18" i="3" s="1"/>
  <c r="DA18" i="3" s="1"/>
  <c r="EM18" i="3" s="1"/>
  <c r="EL19" i="3"/>
  <c r="CX19" i="3"/>
  <c r="CY19" i="3" s="1"/>
  <c r="CZ19" i="3" s="1"/>
  <c r="DA19" i="3" s="1"/>
  <c r="EM19" i="3" s="1"/>
  <c r="AU78" i="3"/>
  <c r="AY78" i="3"/>
  <c r="BV71" i="3"/>
  <c r="EL37" i="3"/>
  <c r="CX37" i="3"/>
  <c r="CY37" i="3" s="1"/>
  <c r="CZ37" i="3" s="1"/>
  <c r="DA37" i="3" s="1"/>
  <c r="EM37" i="3" s="1"/>
  <c r="BQ66" i="3"/>
  <c r="BQ68" i="3" s="1"/>
  <c r="EG77" i="3"/>
  <c r="DL65" i="3"/>
  <c r="BT74" i="3"/>
  <c r="BT122" i="3" s="1"/>
  <c r="DZ21" i="3"/>
  <c r="R74" i="3"/>
  <c r="R122" i="3" s="1"/>
  <c r="CP76" i="3"/>
  <c r="W21" i="3"/>
  <c r="W71" i="3" s="1"/>
  <c r="DS12" i="3"/>
  <c r="DS77" i="3" s="1"/>
  <c r="AG74" i="3"/>
  <c r="AG122" i="3" s="1"/>
  <c r="CF74" i="3"/>
  <c r="CF122" i="3" s="1"/>
  <c r="CP77" i="3"/>
  <c r="DJ77" i="3"/>
  <c r="DS90" i="3"/>
  <c r="DV21" i="3"/>
  <c r="EL8" i="3"/>
  <c r="CX8" i="3"/>
  <c r="CY8" i="3" s="1"/>
  <c r="CZ8" i="3" s="1"/>
  <c r="DA8" i="3" s="1"/>
  <c r="EM8" i="3" s="1"/>
  <c r="CI76" i="3"/>
  <c r="EL17" i="3"/>
  <c r="CX17" i="3"/>
  <c r="CY17" i="3" s="1"/>
  <c r="CZ17" i="3" s="1"/>
  <c r="DA17" i="3" s="1"/>
  <c r="EM17" i="3" s="1"/>
  <c r="DF74" i="3"/>
  <c r="DF122" i="3" s="1"/>
  <c r="DI123" i="3" s="1"/>
  <c r="W66" i="3"/>
  <c r="AM66" i="3"/>
  <c r="CA66" i="3"/>
  <c r="CA68" i="3" s="1"/>
  <c r="CE67" i="3"/>
  <c r="CI125" i="329"/>
  <c r="CM125" i="329"/>
  <c r="CO139" i="329"/>
  <c r="CS138" i="329" s="1"/>
  <c r="CS137" i="329" s="1"/>
  <c r="CS111" i="329" s="1"/>
  <c r="DW103" i="329"/>
  <c r="CT326" i="329"/>
  <c r="DM365" i="329"/>
  <c r="EU396" i="329"/>
  <c r="DK123" i="2"/>
  <c r="DK119" i="2"/>
  <c r="DM318" i="329"/>
  <c r="DH135" i="329"/>
  <c r="DL135" i="329"/>
  <c r="DL134" i="329"/>
  <c r="DH318" i="329"/>
  <c r="DL318" i="329"/>
  <c r="DM135" i="329"/>
  <c r="DM134" i="329"/>
  <c r="DB407" i="329"/>
  <c r="DV94" i="2"/>
  <c r="DW95" i="2"/>
  <c r="DS99" i="2"/>
  <c r="DU99" i="2"/>
  <c r="EM238" i="2"/>
  <c r="BB110" i="4"/>
  <c r="DW52" i="3"/>
  <c r="DW83" i="3" s="1"/>
  <c r="DS58" i="3"/>
  <c r="CU59" i="2"/>
  <c r="CU60" i="2" s="1"/>
  <c r="EF81" i="2"/>
  <c r="EI5" i="3"/>
  <c r="CX60" i="2"/>
  <c r="FD69" i="2"/>
  <c r="EQ46" i="4" s="1"/>
  <c r="EQ117" i="4" s="1"/>
  <c r="EK133" i="2"/>
  <c r="EL34" i="3"/>
  <c r="CX34" i="3"/>
  <c r="CY34" i="3" s="1"/>
  <c r="CZ34" i="3" s="1"/>
  <c r="DA34" i="3" s="1"/>
  <c r="EM34" i="3" s="1"/>
  <c r="EZ139" i="2"/>
  <c r="EM29" i="2"/>
  <c r="U118" i="2"/>
  <c r="AO122" i="2"/>
  <c r="AW118" i="2"/>
  <c r="BY122" i="2"/>
  <c r="DA122" i="2"/>
  <c r="BE124" i="2"/>
  <c r="BN45" i="3"/>
  <c r="Y74" i="3"/>
  <c r="Y122" i="3" s="1"/>
  <c r="DP78" i="3"/>
  <c r="CH74" i="3"/>
  <c r="CH122" i="3" s="1"/>
  <c r="CB76" i="3"/>
  <c r="CB74" i="3"/>
  <c r="CB122" i="3" s="1"/>
  <c r="AR35" i="3"/>
  <c r="AR44" i="3" s="1"/>
  <c r="AR74" i="3"/>
  <c r="AR122" i="3" s="1"/>
  <c r="AR76" i="3"/>
  <c r="CK74" i="3"/>
  <c r="CK122" i="3" s="1"/>
  <c r="CL123" i="3" s="1"/>
  <c r="CK35" i="3"/>
  <c r="BU74" i="3"/>
  <c r="BU122" i="3" s="1"/>
  <c r="BU123" i="3" s="1"/>
  <c r="BU77" i="3"/>
  <c r="CN35" i="3"/>
  <c r="CN44" i="3" s="1"/>
  <c r="CN45" i="3" s="1"/>
  <c r="CN76" i="3"/>
  <c r="BG35" i="3"/>
  <c r="BG44" i="3" s="1"/>
  <c r="BG45" i="3" s="1"/>
  <c r="BG77" i="3"/>
  <c r="BH67" i="3"/>
  <c r="BH65" i="3"/>
  <c r="Z74" i="3"/>
  <c r="Z122" i="3" s="1"/>
  <c r="Z123" i="3" s="1"/>
  <c r="Z76" i="3"/>
  <c r="N77" i="3"/>
  <c r="N76" i="3"/>
  <c r="N35" i="3"/>
  <c r="N44" i="3" s="1"/>
  <c r="N45" i="3" s="1"/>
  <c r="B35" i="3"/>
  <c r="B76" i="3"/>
  <c r="B77" i="3"/>
  <c r="Q76" i="3"/>
  <c r="Q21" i="3"/>
  <c r="Q71" i="3" s="1"/>
  <c r="O77" i="3"/>
  <c r="O74" i="3"/>
  <c r="O122" i="3" s="1"/>
  <c r="DN21" i="3"/>
  <c r="M71" i="3"/>
  <c r="G77" i="3"/>
  <c r="G74" i="3"/>
  <c r="G122" i="3" s="1"/>
  <c r="DT67" i="3"/>
  <c r="CR65" i="3"/>
  <c r="CR66" i="3"/>
  <c r="AM74" i="3"/>
  <c r="AM122" i="3" s="1"/>
  <c r="CH76" i="3"/>
  <c r="CH35" i="3"/>
  <c r="CH44" i="3" s="1"/>
  <c r="CH45" i="3" s="1"/>
  <c r="CB77" i="3"/>
  <c r="BE45" i="3"/>
  <c r="AI21" i="3"/>
  <c r="AI71" i="3" s="1"/>
  <c r="DO76" i="3"/>
  <c r="DT66" i="3"/>
  <c r="S74" i="3"/>
  <c r="S122" i="3" s="1"/>
  <c r="DL30" i="3"/>
  <c r="DL76" i="3" s="1"/>
  <c r="E35" i="3"/>
  <c r="DL35" i="3" s="1"/>
  <c r="S76" i="3"/>
  <c r="S35" i="3"/>
  <c r="S44" i="3" s="1"/>
  <c r="S45" i="3" s="1"/>
  <c r="C35" i="3"/>
  <c r="C44" i="3" s="1"/>
  <c r="C45" i="3" s="1"/>
  <c r="C77" i="3"/>
  <c r="CJ14" i="3"/>
  <c r="CJ15" i="3" s="1"/>
  <c r="AD45" i="3"/>
  <c r="DL66" i="3"/>
  <c r="BG76" i="3"/>
  <c r="BU35" i="3"/>
  <c r="BU44" i="3" s="1"/>
  <c r="BU45" i="3" s="1"/>
  <c r="BR77" i="3"/>
  <c r="BR76" i="3"/>
  <c r="BB45" i="3"/>
  <c r="CG35" i="3"/>
  <c r="CG44" i="3" s="1"/>
  <c r="CG45" i="3" s="1"/>
  <c r="CG74" i="3"/>
  <c r="CG122" i="3" s="1"/>
  <c r="BN76" i="3"/>
  <c r="BN77" i="3"/>
  <c r="BM71" i="3"/>
  <c r="BM45" i="3"/>
  <c r="O21" i="3"/>
  <c r="BH66" i="3"/>
  <c r="BH68" i="3" s="1"/>
  <c r="AR77" i="3"/>
  <c r="G21" i="3"/>
  <c r="G71" i="3" s="1"/>
  <c r="DN12" i="3"/>
  <c r="Q74" i="3"/>
  <c r="Q122" i="3" s="1"/>
  <c r="AM77" i="3"/>
  <c r="AT76" i="3"/>
  <c r="CN74" i="3"/>
  <c r="CN122" i="3" s="1"/>
  <c r="CN123" i="3" s="1"/>
  <c r="CM45" i="3"/>
  <c r="CA45" i="3"/>
  <c r="Z77" i="3"/>
  <c r="BP74" i="3"/>
  <c r="BP122" i="3" s="1"/>
  <c r="L90" i="3"/>
  <c r="E78" i="3"/>
  <c r="G78" i="3"/>
  <c r="K78" i="3"/>
  <c r="U78" i="3"/>
  <c r="BL78" i="3"/>
  <c r="CA78" i="3"/>
  <c r="CC78" i="3"/>
  <c r="BS342" i="329"/>
  <c r="BS330" i="329"/>
  <c r="BS338" i="329"/>
  <c r="CI346" i="329"/>
  <c r="CI330" i="329"/>
  <c r="BC105" i="329"/>
  <c r="BC106" i="329" s="1"/>
  <c r="EO43" i="329"/>
  <c r="EG295" i="329"/>
  <c r="BF85" i="2"/>
  <c r="BB81" i="2"/>
  <c r="BF96" i="2" s="1"/>
  <c r="BK105" i="329"/>
  <c r="CS308" i="329"/>
  <c r="CS309" i="329" s="1"/>
  <c r="CX411" i="329"/>
  <c r="AL81" i="2"/>
  <c r="AL96" i="2" s="1"/>
  <c r="AL77" i="2"/>
  <c r="AL92" i="2" s="1"/>
  <c r="BY330" i="329"/>
  <c r="ET193" i="2"/>
  <c r="DC162" i="2"/>
  <c r="DC197" i="2" s="1"/>
  <c r="EW22" i="329"/>
  <c r="BN148" i="329"/>
  <c r="CT242" i="329"/>
  <c r="AM244" i="329"/>
  <c r="AQ245" i="329" s="1"/>
  <c r="CY119" i="2"/>
  <c r="EN118" i="2"/>
  <c r="T49" i="329"/>
  <c r="BU49" i="329"/>
  <c r="BU83" i="329" s="1"/>
  <c r="BY49" i="329"/>
  <c r="BY83" i="329" s="1"/>
  <c r="CU49" i="329"/>
  <c r="CU83" i="329" s="1"/>
  <c r="CU90" i="329" s="1"/>
  <c r="BW26" i="329"/>
  <c r="BY26" i="329"/>
  <c r="EO22" i="329"/>
  <c r="EO13" i="329" s="1"/>
  <c r="EO24" i="329"/>
  <c r="EO15" i="329" s="1"/>
  <c r="EO42" i="329" s="1"/>
  <c r="CJ26" i="329"/>
  <c r="CK26" i="329"/>
  <c r="CR26" i="329"/>
  <c r="CQ26" i="329"/>
  <c r="O44" i="329"/>
  <c r="Y44" i="329"/>
  <c r="Y92" i="329" s="1"/>
  <c r="AC44" i="329"/>
  <c r="AC374" i="329" s="1"/>
  <c r="AC382" i="329" s="1"/>
  <c r="AC112" i="4" s="1"/>
  <c r="AI44" i="329"/>
  <c r="AI30" i="329" s="1"/>
  <c r="AK44" i="329"/>
  <c r="AK29" i="329" s="1"/>
  <c r="AO44" i="329"/>
  <c r="AO30" i="329" s="1"/>
  <c r="V44" i="329"/>
  <c r="Z44" i="329"/>
  <c r="AD44" i="329"/>
  <c r="AD92" i="329" s="1"/>
  <c r="AD105" i="329" s="1"/>
  <c r="AL44" i="329"/>
  <c r="AL29" i="329" s="1"/>
  <c r="EV55" i="329"/>
  <c r="AI126" i="329"/>
  <c r="CO304" i="329"/>
  <c r="CU292" i="329"/>
  <c r="CW293" i="329"/>
  <c r="CW243" i="329" s="1"/>
  <c r="EM325" i="329"/>
  <c r="EO325" i="329"/>
  <c r="EO324" i="329" s="1"/>
  <c r="EP325" i="329"/>
  <c r="CT405" i="329"/>
  <c r="O119" i="2"/>
  <c r="AA123" i="2"/>
  <c r="AM119" i="2"/>
  <c r="BG123" i="2"/>
  <c r="BU123" i="2"/>
  <c r="BY123" i="2"/>
  <c r="CE123" i="2"/>
  <c r="P120" i="2"/>
  <c r="AB124" i="2"/>
  <c r="AD124" i="2"/>
  <c r="CN120" i="2"/>
  <c r="CV120" i="2"/>
  <c r="CG221" i="2"/>
  <c r="EG44" i="329"/>
  <c r="EG33" i="329" s="1"/>
  <c r="CT82" i="329"/>
  <c r="CT371" i="329" s="1"/>
  <c r="CT378" i="329" s="1"/>
  <c r="AJ94" i="329"/>
  <c r="AJ107" i="329" s="1"/>
  <c r="K126" i="329"/>
  <c r="AH126" i="329"/>
  <c r="AP105" i="329"/>
  <c r="BA126" i="329"/>
  <c r="BG105" i="329"/>
  <c r="EM147" i="329"/>
  <c r="EM139" i="329" s="1"/>
  <c r="EN138" i="329" s="1"/>
  <c r="EQ147" i="329"/>
  <c r="DT148" i="329"/>
  <c r="BY292" i="329"/>
  <c r="BY306" i="329" s="1"/>
  <c r="CU306" i="329"/>
  <c r="DA293" i="329"/>
  <c r="DA243" i="329" s="1"/>
  <c r="EU264" i="329"/>
  <c r="EU250" i="329" s="1"/>
  <c r="CA297" i="329"/>
  <c r="BK374" i="329"/>
  <c r="BK382" i="329" s="1"/>
  <c r="BK390" i="329" s="1"/>
  <c r="CW318" i="329"/>
  <c r="K372" i="329"/>
  <c r="EV395" i="329"/>
  <c r="BK411" i="329"/>
  <c r="X118" i="329"/>
  <c r="AF118" i="329"/>
  <c r="AJ118" i="329"/>
  <c r="BA118" i="329"/>
  <c r="M117" i="329"/>
  <c r="CZ407" i="329"/>
  <c r="CZ106" i="2" s="1"/>
  <c r="CZ124" i="2" s="1"/>
  <c r="BQ244" i="329"/>
  <c r="EN287" i="329"/>
  <c r="CS7" i="2"/>
  <c r="CW405" i="329"/>
  <c r="CK346" i="329"/>
  <c r="CK330" i="329"/>
  <c r="BK330" i="329"/>
  <c r="BO331" i="329" s="1"/>
  <c r="BK342" i="329"/>
  <c r="K119" i="2"/>
  <c r="AE123" i="2"/>
  <c r="AE119" i="2"/>
  <c r="AS119" i="2"/>
  <c r="BK123" i="2"/>
  <c r="BK119" i="2"/>
  <c r="CA119" i="2"/>
  <c r="CQ119" i="2"/>
  <c r="DA123" i="2"/>
  <c r="R124" i="2"/>
  <c r="X124" i="2"/>
  <c r="AV120" i="2"/>
  <c r="AZ120" i="2"/>
  <c r="BB120" i="2"/>
  <c r="BD124" i="2"/>
  <c r="BH124" i="2"/>
  <c r="BL124" i="2"/>
  <c r="BP124" i="2"/>
  <c r="BT124" i="2"/>
  <c r="BX124" i="2"/>
  <c r="CB120" i="2"/>
  <c r="CF120" i="2"/>
  <c r="CF124" i="2"/>
  <c r="CJ124" i="2"/>
  <c r="CR120" i="2"/>
  <c r="CT120" i="2"/>
  <c r="CM221" i="2"/>
  <c r="CM175" i="2"/>
  <c r="R48" i="329"/>
  <c r="R371" i="329" s="1"/>
  <c r="S26" i="329"/>
  <c r="AH48" i="329"/>
  <c r="AH371" i="329" s="1"/>
  <c r="AI26" i="329"/>
  <c r="BS82" i="329"/>
  <c r="BS49" i="329"/>
  <c r="BS83" i="329" s="1"/>
  <c r="BT49" i="329"/>
  <c r="BT83" i="329" s="1"/>
  <c r="I126" i="329"/>
  <c r="M103" i="329"/>
  <c r="Q126" i="329"/>
  <c r="Y126" i="329"/>
  <c r="AC126" i="329"/>
  <c r="AL126" i="329"/>
  <c r="AT126" i="329"/>
  <c r="AY139" i="329"/>
  <c r="BC138" i="329" s="1"/>
  <c r="BC137" i="329" s="1"/>
  <c r="BC111" i="329" s="1"/>
  <c r="AY148" i="329"/>
  <c r="BC139" i="329"/>
  <c r="BG138" i="329" s="1"/>
  <c r="BG137" i="329" s="1"/>
  <c r="BG111" i="329" s="1"/>
  <c r="BC148" i="329"/>
  <c r="CQ242" i="329"/>
  <c r="CM290" i="329"/>
  <c r="CM304" i="329" s="1"/>
  <c r="DB242" i="329"/>
  <c r="DC293" i="329"/>
  <c r="DC243" i="329" s="1"/>
  <c r="DC292" i="329"/>
  <c r="DC306" i="329" s="1"/>
  <c r="AP243" i="329"/>
  <c r="EH243" i="329" s="1"/>
  <c r="AP293" i="329"/>
  <c r="AK295" i="329"/>
  <c r="AK244" i="329"/>
  <c r="BC295" i="329"/>
  <c r="BC244" i="329"/>
  <c r="BC374" i="329" s="1"/>
  <c r="BC382" i="329" s="1"/>
  <c r="BC112" i="4" s="1"/>
  <c r="EM287" i="329"/>
  <c r="CE295" i="329"/>
  <c r="CE296" i="329" s="1"/>
  <c r="BW295" i="329"/>
  <c r="CQ295" i="329"/>
  <c r="CQ244" i="329"/>
  <c r="CQ245" i="329" s="1"/>
  <c r="CM295" i="329"/>
  <c r="CU296" i="329"/>
  <c r="CW295" i="329"/>
  <c r="CW297" i="329" s="1"/>
  <c r="CW310" i="329" s="1"/>
  <c r="EV287" i="329"/>
  <c r="CZ299" i="329"/>
  <c r="DD300" i="329" s="1"/>
  <c r="CZ244" i="329"/>
  <c r="BA318" i="329"/>
  <c r="BC318" i="329"/>
  <c r="BG318" i="329"/>
  <c r="BK318" i="329"/>
  <c r="BO318" i="329"/>
  <c r="BQ318" i="329"/>
  <c r="CE318" i="329"/>
  <c r="CG318" i="329"/>
  <c r="CI318" i="329"/>
  <c r="CO318" i="329"/>
  <c r="CQ318" i="329"/>
  <c r="CU318" i="329"/>
  <c r="CY318" i="329"/>
  <c r="CD324" i="329"/>
  <c r="ER325" i="329"/>
  <c r="CJ326" i="329"/>
  <c r="CJ324" i="329"/>
  <c r="CY354" i="329"/>
  <c r="EW325" i="329"/>
  <c r="DC326" i="329"/>
  <c r="DA326" i="329"/>
  <c r="DA338" i="329"/>
  <c r="I372" i="329"/>
  <c r="F109" i="3"/>
  <c r="G380" i="329"/>
  <c r="H388" i="329"/>
  <c r="I379" i="329"/>
  <c r="J388" i="329"/>
  <c r="J380" i="329"/>
  <c r="K380" i="329"/>
  <c r="L380" i="329"/>
  <c r="L109" i="3"/>
  <c r="L91" i="3" s="1"/>
  <c r="M379" i="329"/>
  <c r="M389" i="329" s="1"/>
  <c r="M380" i="329"/>
  <c r="I389" i="329"/>
  <c r="K149" i="2"/>
  <c r="K410" i="329"/>
  <c r="W411" i="329"/>
  <c r="AM149" i="2"/>
  <c r="AM7" i="2"/>
  <c r="AM80" i="2" s="1"/>
  <c r="AM95" i="2" s="1"/>
  <c r="AS411" i="329"/>
  <c r="AY197" i="2"/>
  <c r="AY411" i="329"/>
  <c r="BA177" i="2"/>
  <c r="BA197" i="2"/>
  <c r="BE411" i="329"/>
  <c r="BE177" i="2"/>
  <c r="BI149" i="2"/>
  <c r="BI7" i="2"/>
  <c r="BI78" i="2" s="1"/>
  <c r="BI177" i="2"/>
  <c r="BM197" i="2"/>
  <c r="BM157" i="2"/>
  <c r="BM187" i="2" s="1"/>
  <c r="BM411" i="329"/>
  <c r="BM149" i="2"/>
  <c r="BQ197" i="2"/>
  <c r="BQ214" i="2" s="1"/>
  <c r="BQ149" i="2"/>
  <c r="BQ7" i="2"/>
  <c r="BQ9" i="2" s="1"/>
  <c r="BQ76" i="2" s="1"/>
  <c r="BQ411" i="329"/>
  <c r="BS157" i="2"/>
  <c r="BS187" i="2" s="1"/>
  <c r="BS177" i="2"/>
  <c r="BS7" i="2"/>
  <c r="BU157" i="2"/>
  <c r="BU411" i="329"/>
  <c r="BU197" i="2"/>
  <c r="BU7" i="2"/>
  <c r="BU177" i="2"/>
  <c r="BW157" i="2"/>
  <c r="BW155" i="2" s="1"/>
  <c r="BW7" i="2"/>
  <c r="BW100" i="3" s="1"/>
  <c r="BW411" i="329"/>
  <c r="BY177" i="2"/>
  <c r="BY157" i="2"/>
  <c r="CA149" i="2"/>
  <c r="CA411" i="329"/>
  <c r="CC411" i="329"/>
  <c r="CC149" i="2"/>
  <c r="CC197" i="2"/>
  <c r="CE149" i="2"/>
  <c r="CE411" i="329"/>
  <c r="CG411" i="329"/>
  <c r="CG149" i="2"/>
  <c r="CI149" i="2"/>
  <c r="CI411" i="329"/>
  <c r="CK411" i="329"/>
  <c r="CK149" i="2"/>
  <c r="CK197" i="2"/>
  <c r="CM149" i="2"/>
  <c r="CM197" i="2"/>
  <c r="DG405" i="329"/>
  <c r="DC7" i="2"/>
  <c r="DC405" i="329"/>
  <c r="AY116" i="329"/>
  <c r="AY118" i="329"/>
  <c r="CI221" i="329"/>
  <c r="CI223" i="329"/>
  <c r="CK221" i="329"/>
  <c r="CK223" i="329"/>
  <c r="CS221" i="329"/>
  <c r="CS223" i="329"/>
  <c r="CX104" i="2"/>
  <c r="CX407" i="329"/>
  <c r="CX408" i="329" s="1"/>
  <c r="CU223" i="329"/>
  <c r="CW223" i="329"/>
  <c r="EH111" i="329"/>
  <c r="EH222" i="329" s="1"/>
  <c r="X116" i="329"/>
  <c r="CO223" i="329"/>
  <c r="EW25" i="329"/>
  <c r="CM222" i="2"/>
  <c r="CE221" i="2"/>
  <c r="CN124" i="2"/>
  <c r="CI153" i="2"/>
  <c r="CI157" i="2" s="1"/>
  <c r="CI170" i="2" s="1"/>
  <c r="BW226" i="2"/>
  <c r="CV169" i="2"/>
  <c r="CV200" i="2" s="1"/>
  <c r="EK147" i="329"/>
  <c r="EK139" i="329" s="1"/>
  <c r="EL138" i="329" s="1"/>
  <c r="M126" i="329"/>
  <c r="AI105" i="329"/>
  <c r="CV354" i="329"/>
  <c r="CY308" i="329"/>
  <c r="CY309" i="329" s="1"/>
  <c r="CC295" i="329"/>
  <c r="CC308" i="329" s="1"/>
  <c r="CG309" i="329" s="1"/>
  <c r="DB304" i="329"/>
  <c r="CU299" i="329"/>
  <c r="BT308" i="329"/>
  <c r="BU242" i="329"/>
  <c r="BR304" i="329"/>
  <c r="CV297" i="329"/>
  <c r="CV165" i="2" s="1"/>
  <c r="CO295" i="329"/>
  <c r="CO299" i="329" s="1"/>
  <c r="EU287" i="329"/>
  <c r="EU244" i="329" s="1"/>
  <c r="EP287" i="329"/>
  <c r="EP295" i="329" s="1"/>
  <c r="EP308" i="329" s="1"/>
  <c r="BY295" i="329"/>
  <c r="BY308" i="329" s="1"/>
  <c r="CS242" i="329"/>
  <c r="DB296" i="329"/>
  <c r="DB299" i="329"/>
  <c r="DD304" i="329"/>
  <c r="DD296" i="329"/>
  <c r="DD293" i="329"/>
  <c r="DD243" i="329" s="1"/>
  <c r="DD291" i="329"/>
  <c r="AL26" i="329"/>
  <c r="CV49" i="329"/>
  <c r="CV83" i="329" s="1"/>
  <c r="CV90" i="329" s="1"/>
  <c r="V26" i="329"/>
  <c r="CZ308" i="329"/>
  <c r="BU82" i="329"/>
  <c r="BU87" i="329" s="1"/>
  <c r="BU89" i="329" s="1"/>
  <c r="CE223" i="329"/>
  <c r="CJ354" i="329"/>
  <c r="CJ342" i="329" s="1"/>
  <c r="CI221" i="2"/>
  <c r="T371" i="329"/>
  <c r="BK338" i="329"/>
  <c r="BK346" i="329"/>
  <c r="CV124" i="2"/>
  <c r="DU103" i="329"/>
  <c r="DU104" i="329" s="1"/>
  <c r="CB124" i="2"/>
  <c r="BX120" i="2"/>
  <c r="BP120" i="2"/>
  <c r="BH120" i="2"/>
  <c r="AZ124" i="2"/>
  <c r="BM177" i="2"/>
  <c r="CM176" i="329"/>
  <c r="I101" i="329"/>
  <c r="I102" i="329" s="1"/>
  <c r="CY223" i="329"/>
  <c r="DC407" i="329"/>
  <c r="DC408" i="329" s="1"/>
  <c r="CY7" i="2"/>
  <c r="CM103" i="4" s="1"/>
  <c r="CM411" i="329"/>
  <c r="CK7" i="2"/>
  <c r="CC103" i="4" s="1"/>
  <c r="CI7" i="2"/>
  <c r="CA100" i="3" s="1"/>
  <c r="CE197" i="2"/>
  <c r="CE214" i="2" s="1"/>
  <c r="CC7" i="2"/>
  <c r="CA7" i="2"/>
  <c r="CA78" i="2" s="1"/>
  <c r="BY149" i="2"/>
  <c r="BW149" i="2"/>
  <c r="BW197" i="2"/>
  <c r="BS411" i="329"/>
  <c r="BS197" i="2"/>
  <c r="L388" i="329"/>
  <c r="J109" i="3"/>
  <c r="H109" i="3"/>
  <c r="H93" i="3" s="1"/>
  <c r="CC338" i="329"/>
  <c r="CG339" i="329" s="1"/>
  <c r="CC342" i="329"/>
  <c r="AX295" i="329"/>
  <c r="AX296" i="329" s="1"/>
  <c r="AP295" i="329"/>
  <c r="AP308" i="329" s="1"/>
  <c r="BI197" i="2"/>
  <c r="CO411" i="329"/>
  <c r="AA410" i="329"/>
  <c r="BT326" i="329"/>
  <c r="CA318" i="329"/>
  <c r="AY318" i="329"/>
  <c r="BW244" i="329"/>
  <c r="BO355" i="329"/>
  <c r="I388" i="329"/>
  <c r="F388" i="329"/>
  <c r="AN243" i="329"/>
  <c r="EW304" i="329"/>
  <c r="CY310" i="329"/>
  <c r="DC313" i="329" s="1"/>
  <c r="DC320" i="329" s="1"/>
  <c r="CE125" i="329"/>
  <c r="BZ308" i="329"/>
  <c r="CG201" i="2"/>
  <c r="CQ212" i="2"/>
  <c r="DA304" i="329"/>
  <c r="CY152" i="2"/>
  <c r="CY222" i="2" s="1"/>
  <c r="DA152" i="2"/>
  <c r="CY157" i="2"/>
  <c r="DC227" i="2" s="1"/>
  <c r="CG197" i="2"/>
  <c r="DD51" i="329"/>
  <c r="K116" i="329"/>
  <c r="AW9" i="4"/>
  <c r="BS29" i="4"/>
  <c r="BS42" i="4" s="1"/>
  <c r="BS98" i="4" s="1"/>
  <c r="BJ19" i="2"/>
  <c r="BJ110" i="2" s="1"/>
  <c r="CP19" i="2"/>
  <c r="EV12" i="2"/>
  <c r="BL60" i="2"/>
  <c r="AA92" i="2"/>
  <c r="AA128" i="2" s="1"/>
  <c r="AK93" i="2"/>
  <c r="CJ122" i="2"/>
  <c r="CM216" i="2"/>
  <c r="DR148" i="329"/>
  <c r="DR99" i="2"/>
  <c r="CC60" i="2"/>
  <c r="AL110" i="4"/>
  <c r="EP59" i="2"/>
  <c r="EH109" i="4"/>
  <c r="DX77" i="2"/>
  <c r="DX92" i="2" s="1"/>
  <c r="DL100" i="3"/>
  <c r="B124" i="3" s="1"/>
  <c r="M17" i="2"/>
  <c r="M111" i="3" s="1"/>
  <c r="M108" i="2"/>
  <c r="DM104" i="3"/>
  <c r="DY133" i="2"/>
  <c r="DU104" i="3"/>
  <c r="EB58" i="2"/>
  <c r="DO107" i="3"/>
  <c r="DO78" i="3" s="1"/>
  <c r="AX110" i="4"/>
  <c r="AX63" i="2"/>
  <c r="AX64" i="2" s="1"/>
  <c r="K92" i="2"/>
  <c r="K128" i="2" s="1"/>
  <c r="M93" i="2"/>
  <c r="AC93" i="2"/>
  <c r="AG93" i="2"/>
  <c r="S94" i="2"/>
  <c r="DV92" i="2"/>
  <c r="DU94" i="2"/>
  <c r="DU128" i="2" s="1"/>
  <c r="DU92" i="2"/>
  <c r="DV99" i="2"/>
  <c r="DW99" i="2"/>
  <c r="ET229" i="2"/>
  <c r="CB16" i="2"/>
  <c r="CB79" i="2" s="1"/>
  <c r="CB197" i="2"/>
  <c r="CF214" i="2" s="1"/>
  <c r="CF16" i="2"/>
  <c r="CN109" i="2" s="1"/>
  <c r="CF231" i="2"/>
  <c r="CH231" i="2"/>
  <c r="CJ16" i="2"/>
  <c r="CB102" i="3" s="1"/>
  <c r="CJ231" i="2"/>
  <c r="CL231" i="2"/>
  <c r="CL16" i="2"/>
  <c r="CL109" i="2" s="1"/>
  <c r="DS139" i="329"/>
  <c r="DT138" i="329" s="1"/>
  <c r="DT140" i="329" s="1"/>
  <c r="DU141" i="329" s="1"/>
  <c r="DS103" i="329"/>
  <c r="DS101" i="329"/>
  <c r="DT102" i="329" s="1"/>
  <c r="DU139" i="329"/>
  <c r="DV138" i="329" s="1"/>
  <c r="DV140" i="329" s="1"/>
  <c r="DV141" i="329" s="1"/>
  <c r="DU101" i="329"/>
  <c r="DU102" i="329" s="1"/>
  <c r="DU148" i="329"/>
  <c r="DV148" i="329"/>
  <c r="DW139" i="329"/>
  <c r="DX138" i="329" s="1"/>
  <c r="DX140" i="329" s="1"/>
  <c r="DX143" i="329" s="1"/>
  <c r="DW393" i="329"/>
  <c r="DW147" i="2" s="1"/>
  <c r="O60" i="3"/>
  <c r="AH88" i="3"/>
  <c r="AK56" i="3"/>
  <c r="S58" i="3"/>
  <c r="AE51" i="3"/>
  <c r="AE82" i="3" s="1"/>
  <c r="I110" i="2"/>
  <c r="BO99" i="4"/>
  <c r="AV58" i="3"/>
  <c r="DV96" i="2"/>
  <c r="DD209" i="2"/>
  <c r="CM139" i="329"/>
  <c r="CQ138" i="329" s="1"/>
  <c r="CQ137" i="329" s="1"/>
  <c r="CQ111" i="329" s="1"/>
  <c r="BY365" i="329"/>
  <c r="BY334" i="329"/>
  <c r="EH149" i="2"/>
  <c r="BY342" i="329"/>
  <c r="DY410" i="329"/>
  <c r="AY245" i="329"/>
  <c r="M135" i="2"/>
  <c r="CQ296" i="329"/>
  <c r="AH105" i="329"/>
  <c r="EW128" i="329"/>
  <c r="EL200" i="2"/>
  <c r="EM217" i="2" s="1"/>
  <c r="BZ299" i="329"/>
  <c r="CD221" i="329"/>
  <c r="CD223" i="329"/>
  <c r="DB223" i="329"/>
  <c r="DC104" i="2"/>
  <c r="DC122" i="2" s="1"/>
  <c r="EA25" i="329"/>
  <c r="BZ304" i="329"/>
  <c r="CY244" i="329"/>
  <c r="DC301" i="329"/>
  <c r="DG302" i="329" s="1"/>
  <c r="DG298" i="329"/>
  <c r="S126" i="329"/>
  <c r="AA126" i="329"/>
  <c r="AN126" i="329"/>
  <c r="BS148" i="329"/>
  <c r="BS176" i="329"/>
  <c r="CI176" i="329"/>
  <c r="CI148" i="329"/>
  <c r="CA290" i="329"/>
  <c r="CE291" i="329" s="1"/>
  <c r="BS290" i="329"/>
  <c r="BS242" i="329"/>
  <c r="BW242" i="329"/>
  <c r="BW290" i="329"/>
  <c r="BW299" i="329" s="1"/>
  <c r="AJ243" i="329"/>
  <c r="AJ293" i="329"/>
  <c r="AR243" i="329"/>
  <c r="AR293" i="329"/>
  <c r="AV243" i="329"/>
  <c r="AV293" i="329"/>
  <c r="BU244" i="329"/>
  <c r="BU245" i="329" s="1"/>
  <c r="AN295" i="329"/>
  <c r="AN244" i="329"/>
  <c r="AR295" i="329"/>
  <c r="AR244" i="329"/>
  <c r="BI295" i="329"/>
  <c r="BI244" i="329"/>
  <c r="EL287" i="329"/>
  <c r="EL295" i="329" s="1"/>
  <c r="ES287" i="329"/>
  <c r="BE318" i="329"/>
  <c r="BM318" i="329"/>
  <c r="CC318" i="329"/>
  <c r="CK318" i="329"/>
  <c r="CS318" i="329"/>
  <c r="DA318" i="329"/>
  <c r="EM318" i="329"/>
  <c r="EN318" i="329"/>
  <c r="ES318" i="329"/>
  <c r="BD326" i="329"/>
  <c r="EK325" i="329"/>
  <c r="BH354" i="329"/>
  <c r="BH326" i="329"/>
  <c r="BL354" i="329"/>
  <c r="BL326" i="329"/>
  <c r="BP354" i="329"/>
  <c r="BP324" i="329"/>
  <c r="EN325" i="329"/>
  <c r="EN324" i="329" s="1"/>
  <c r="BP326" i="329"/>
  <c r="BT354" i="329"/>
  <c r="BT324" i="329"/>
  <c r="BX354" i="329"/>
  <c r="BX326" i="329"/>
  <c r="CB354" i="329"/>
  <c r="CB326" i="329"/>
  <c r="CB324" i="329"/>
  <c r="CF354" i="329"/>
  <c r="CF346" i="329" s="1"/>
  <c r="CF326" i="329"/>
  <c r="CN354" i="329"/>
  <c r="CN326" i="329"/>
  <c r="CW324" i="329"/>
  <c r="DA350" i="329"/>
  <c r="DA342" i="329"/>
  <c r="DA346" i="329"/>
  <c r="DA330" i="329"/>
  <c r="DA354" i="329"/>
  <c r="DA334" i="329"/>
  <c r="M372" i="329"/>
  <c r="H379" i="329"/>
  <c r="H389" i="329" s="1"/>
  <c r="I380" i="329"/>
  <c r="EB404" i="329"/>
  <c r="EB147" i="2"/>
  <c r="EK147" i="2"/>
  <c r="EK404" i="329"/>
  <c r="EK411" i="329" s="1"/>
  <c r="G410" i="329"/>
  <c r="G388" i="329"/>
  <c r="G149" i="2"/>
  <c r="K388" i="329"/>
  <c r="K411" i="329"/>
  <c r="O149" i="2"/>
  <c r="O411" i="329"/>
  <c r="O410" i="329"/>
  <c r="S411" i="329"/>
  <c r="S149" i="2"/>
  <c r="S410" i="329"/>
  <c r="W410" i="329"/>
  <c r="W149" i="2"/>
  <c r="AA411" i="329"/>
  <c r="AE149" i="2"/>
  <c r="AE411" i="329"/>
  <c r="AE410" i="329"/>
  <c r="AI411" i="329"/>
  <c r="AI149" i="2"/>
  <c r="AI410" i="329"/>
  <c r="AQ7" i="2"/>
  <c r="AQ411" i="329"/>
  <c r="AU149" i="2"/>
  <c r="AU7" i="2"/>
  <c r="AU410" i="329" s="1"/>
  <c r="AU411" i="329"/>
  <c r="AY177" i="2"/>
  <c r="AY157" i="2"/>
  <c r="AY187" i="2" s="1"/>
  <c r="AY7" i="2"/>
  <c r="AY410" i="329" s="1"/>
  <c r="AY149" i="2"/>
  <c r="BC149" i="2"/>
  <c r="BC411" i="329"/>
  <c r="BC7" i="2"/>
  <c r="BC80" i="2" s="1"/>
  <c r="BC157" i="2"/>
  <c r="BC197" i="2"/>
  <c r="BG197" i="2"/>
  <c r="BG157" i="2"/>
  <c r="BG187" i="2" s="1"/>
  <c r="BG149" i="2"/>
  <c r="BG7" i="2"/>
  <c r="BG410" i="329" s="1"/>
  <c r="BG411" i="329"/>
  <c r="BK7" i="2"/>
  <c r="BK80" i="2" s="1"/>
  <c r="BK149" i="2"/>
  <c r="CO308" i="329"/>
  <c r="CT87" i="329"/>
  <c r="CO291" i="329"/>
  <c r="CD291" i="329"/>
  <c r="BQ295" i="329"/>
  <c r="BU296" i="329" s="1"/>
  <c r="BO286" i="329"/>
  <c r="AG50" i="329"/>
  <c r="AY126" i="329"/>
  <c r="ET411" i="329"/>
  <c r="CC346" i="329"/>
  <c r="CG334" i="329"/>
  <c r="CX223" i="329"/>
  <c r="CX224" i="329" s="1"/>
  <c r="G93" i="3"/>
  <c r="G91" i="3"/>
  <c r="K92" i="3" s="1"/>
  <c r="BD226" i="2"/>
  <c r="Q48" i="329"/>
  <c r="Q371" i="329" s="1"/>
  <c r="EA17" i="329"/>
  <c r="R26" i="329"/>
  <c r="Y48" i="329"/>
  <c r="Y371" i="329" s="1"/>
  <c r="Y372" i="329" s="1"/>
  <c r="Z26" i="329"/>
  <c r="Z90" i="329" s="1"/>
  <c r="BO51" i="329"/>
  <c r="BS51" i="329"/>
  <c r="ET56" i="329"/>
  <c r="CP55" i="329"/>
  <c r="AL105" i="329"/>
  <c r="AP106" i="329" s="1"/>
  <c r="AL93" i="329"/>
  <c r="BR49" i="329"/>
  <c r="EO46" i="329"/>
  <c r="EO62" i="329"/>
  <c r="EQ62" i="329" s="1"/>
  <c r="AM94" i="329"/>
  <c r="AM107" i="329" s="1"/>
  <c r="AQ110" i="329" s="1"/>
  <c r="AQ122" i="329" s="1"/>
  <c r="G103" i="329"/>
  <c r="EK116" i="329"/>
  <c r="DG223" i="329"/>
  <c r="DG224" i="329" s="1"/>
  <c r="DS135" i="2"/>
  <c r="ET189" i="2"/>
  <c r="FC318" i="329"/>
  <c r="DV93" i="2"/>
  <c r="ES230" i="2"/>
  <c r="EO238" i="2"/>
  <c r="BS99" i="4"/>
  <c r="ES50" i="2"/>
  <c r="DW94" i="2"/>
  <c r="DG237" i="2"/>
  <c r="CQ103" i="3"/>
  <c r="BU51" i="3"/>
  <c r="BU82" i="3" s="1"/>
  <c r="O91" i="2"/>
  <c r="O127" i="2" s="1"/>
  <c r="S60" i="2"/>
  <c r="AA60" i="2"/>
  <c r="BC60" i="2"/>
  <c r="BG60" i="2"/>
  <c r="AK60" i="2"/>
  <c r="AO60" i="2"/>
  <c r="AS60" i="2"/>
  <c r="AW60" i="2"/>
  <c r="BA60" i="2"/>
  <c r="BE60" i="2"/>
  <c r="BW60" i="2"/>
  <c r="BY61" i="2"/>
  <c r="BY64" i="2" s="1"/>
  <c r="H59" i="3"/>
  <c r="P60" i="3"/>
  <c r="U60" i="3"/>
  <c r="Z50" i="3"/>
  <c r="Z81" i="3" s="1"/>
  <c r="AC50" i="3"/>
  <c r="AC81" i="3" s="1"/>
  <c r="AG60" i="3"/>
  <c r="G130" i="3"/>
  <c r="O51" i="3"/>
  <c r="O82" i="3" s="1"/>
  <c r="S52" i="3"/>
  <c r="S83" i="3" s="1"/>
  <c r="V51" i="3"/>
  <c r="V82" i="3" s="1"/>
  <c r="AI52" i="3"/>
  <c r="AI83" i="3" s="1"/>
  <c r="AL51" i="3"/>
  <c r="AL82" i="3" s="1"/>
  <c r="DK58" i="3"/>
  <c r="BD109" i="2"/>
  <c r="DG222" i="2"/>
  <c r="DS66" i="3"/>
  <c r="DS78" i="3"/>
  <c r="DS67" i="3"/>
  <c r="DQ35" i="3"/>
  <c r="Y44" i="3"/>
  <c r="DQ44" i="3" s="1"/>
  <c r="DL68" i="3"/>
  <c r="BE68" i="3"/>
  <c r="EB71" i="3"/>
  <c r="EH68" i="3"/>
  <c r="EH67" i="3"/>
  <c r="DU12" i="3"/>
  <c r="DU74" i="3" s="1"/>
  <c r="DU122" i="3" s="1"/>
  <c r="DO74" i="3"/>
  <c r="DO122" i="3" s="1"/>
  <c r="AV76" i="3"/>
  <c r="BE65" i="3"/>
  <c r="Y76" i="3"/>
  <c r="R68" i="3"/>
  <c r="EC65" i="3"/>
  <c r="EJ65" i="3"/>
  <c r="EH75" i="3"/>
  <c r="BR35" i="3"/>
  <c r="BR44" i="3" s="1"/>
  <c r="BR45" i="3" s="1"/>
  <c r="EF30" i="3"/>
  <c r="AO74" i="3"/>
  <c r="AO122" i="3" s="1"/>
  <c r="AP123" i="3" s="1"/>
  <c r="AE123" i="3"/>
  <c r="AO76" i="3"/>
  <c r="AV21" i="3"/>
  <c r="AV71" i="3" s="1"/>
  <c r="BE67" i="3"/>
  <c r="EE30" i="3"/>
  <c r="DP66" i="3"/>
  <c r="BR74" i="3"/>
  <c r="BR122" i="3" s="1"/>
  <c r="BS123" i="3" s="1"/>
  <c r="AO77" i="3"/>
  <c r="CM90" i="3"/>
  <c r="DF127" i="3"/>
  <c r="O78" i="3"/>
  <c r="S78" i="3"/>
  <c r="W78" i="3"/>
  <c r="AA78" i="3"/>
  <c r="AE78" i="3"/>
  <c r="AI78" i="3"/>
  <c r="AM78" i="3"/>
  <c r="BT78" i="3"/>
  <c r="DO66" i="3"/>
  <c r="AO45" i="3"/>
  <c r="DW66" i="3"/>
  <c r="DW68" i="3" s="1"/>
  <c r="BW77" i="3"/>
  <c r="BK45" i="3"/>
  <c r="DR67" i="3"/>
  <c r="EJ12" i="3"/>
  <c r="EJ87" i="3"/>
  <c r="EJ129" i="3"/>
  <c r="EJ89" i="3"/>
  <c r="DM87" i="3"/>
  <c r="DN87" i="3"/>
  <c r="DQ87" i="3"/>
  <c r="DR87" i="3"/>
  <c r="DU87" i="3"/>
  <c r="DV87" i="3"/>
  <c r="DY87" i="3"/>
  <c r="DZ87" i="3"/>
  <c r="ED87" i="3"/>
  <c r="EC12" i="3"/>
  <c r="EC77" i="3" s="1"/>
  <c r="EC87" i="3"/>
  <c r="AJ21" i="3"/>
  <c r="AJ71" i="3" s="1"/>
  <c r="AJ76" i="3"/>
  <c r="AQ74" i="3"/>
  <c r="AQ122" i="3" s="1"/>
  <c r="AQ123" i="3" s="1"/>
  <c r="AQ76" i="3"/>
  <c r="AW77" i="3"/>
  <c r="DW12" i="3"/>
  <c r="BF76" i="3"/>
  <c r="BF74" i="3"/>
  <c r="BF122" i="3" s="1"/>
  <c r="BG123" i="3" s="1"/>
  <c r="BF77" i="3"/>
  <c r="BF21" i="3"/>
  <c r="BF71" i="3" s="1"/>
  <c r="DD74" i="3"/>
  <c r="DD122" i="3" s="1"/>
  <c r="DG123" i="3" s="1"/>
  <c r="DD21" i="3"/>
  <c r="DD77" i="3"/>
  <c r="DH77" i="3"/>
  <c r="DH21" i="3"/>
  <c r="DH71" i="3" s="1"/>
  <c r="DT16" i="3"/>
  <c r="DT75" i="3" s="1"/>
  <c r="AK75" i="3"/>
  <c r="AS75" i="3"/>
  <c r="AS21" i="3"/>
  <c r="AS71" i="3" s="1"/>
  <c r="BH75" i="3"/>
  <c r="BH21" i="3"/>
  <c r="BH71" i="3" s="1"/>
  <c r="BL75" i="3"/>
  <c r="BL21" i="3"/>
  <c r="CQ75" i="3"/>
  <c r="CQ21" i="3"/>
  <c r="CQ71" i="3" s="1"/>
  <c r="DM129" i="3"/>
  <c r="DQ129" i="3"/>
  <c r="DU129" i="3"/>
  <c r="DY129" i="3"/>
  <c r="EC129" i="3"/>
  <c r="EI129" i="3"/>
  <c r="EI89" i="3"/>
  <c r="EJ90" i="3" s="1"/>
  <c r="BL35" i="3"/>
  <c r="BL44" i="3" s="1"/>
  <c r="BL74" i="3"/>
  <c r="BL122" i="3" s="1"/>
  <c r="BL76" i="3"/>
  <c r="DV30" i="3"/>
  <c r="AS74" i="3"/>
  <c r="AS122" i="3" s="1"/>
  <c r="AS123" i="3" s="1"/>
  <c r="F67" i="3"/>
  <c r="F66" i="3"/>
  <c r="J66" i="3"/>
  <c r="J67" i="3"/>
  <c r="O67" i="3"/>
  <c r="O66" i="3"/>
  <c r="S66" i="3"/>
  <c r="S67" i="3"/>
  <c r="AA44" i="3"/>
  <c r="AA67" i="3"/>
  <c r="AE67" i="3"/>
  <c r="AE66" i="3"/>
  <c r="AI66" i="3"/>
  <c r="AI67" i="3"/>
  <c r="DV42" i="3"/>
  <c r="AS67" i="3"/>
  <c r="AS66" i="3"/>
  <c r="AS68" i="3" s="1"/>
  <c r="AX66" i="3"/>
  <c r="AX67" i="3"/>
  <c r="BG66" i="3"/>
  <c r="BG67" i="3"/>
  <c r="BP67" i="3"/>
  <c r="BP66" i="3"/>
  <c r="BP68" i="3" s="1"/>
  <c r="DI66" i="3"/>
  <c r="H65" i="3"/>
  <c r="H66" i="3"/>
  <c r="L67" i="3"/>
  <c r="P65" i="3"/>
  <c r="P66" i="3"/>
  <c r="X65" i="3"/>
  <c r="AB67" i="3"/>
  <c r="AF65" i="3"/>
  <c r="AF66" i="3"/>
  <c r="AF68" i="3" s="1"/>
  <c r="AN65" i="3"/>
  <c r="AV65" i="3"/>
  <c r="AV67" i="3"/>
  <c r="AV66" i="3"/>
  <c r="AZ65" i="3"/>
  <c r="AZ66" i="3"/>
  <c r="BD67" i="3"/>
  <c r="BD65" i="3"/>
  <c r="BD66" i="3"/>
  <c r="BJ66" i="3"/>
  <c r="BJ65" i="3"/>
  <c r="BJ67" i="3"/>
  <c r="BN65" i="3"/>
  <c r="BN67" i="3"/>
  <c r="BV66" i="3"/>
  <c r="BV68" i="3" s="1"/>
  <c r="BV65" i="3"/>
  <c r="BV67" i="3"/>
  <c r="BZ66" i="3"/>
  <c r="BZ65" i="3"/>
  <c r="CD65" i="3"/>
  <c r="CN65" i="3"/>
  <c r="CN66" i="3"/>
  <c r="CN68" i="3" s="1"/>
  <c r="CN67" i="3"/>
  <c r="DD65" i="3"/>
  <c r="DD66" i="3"/>
  <c r="DD67" i="3"/>
  <c r="DH65" i="3"/>
  <c r="DH66" i="3"/>
  <c r="DH67" i="3"/>
  <c r="EE65" i="3"/>
  <c r="T90" i="3"/>
  <c r="AB90" i="3"/>
  <c r="AJ90" i="3"/>
  <c r="AR90" i="3"/>
  <c r="AZ90" i="3"/>
  <c r="BH90" i="3"/>
  <c r="BP90" i="3"/>
  <c r="BX90" i="3"/>
  <c r="B44" i="3"/>
  <c r="B45" i="3" s="1"/>
  <c r="ED90" i="3"/>
  <c r="AE44" i="3"/>
  <c r="AE45" i="3" s="1"/>
  <c r="AI44" i="3"/>
  <c r="AI45" i="3" s="1"/>
  <c r="BP123" i="3"/>
  <c r="DM51" i="3"/>
  <c r="DM82" i="3" s="1"/>
  <c r="T67" i="3"/>
  <c r="AJ67" i="3"/>
  <c r="BV74" i="3"/>
  <c r="BV122" i="3" s="1"/>
  <c r="L74" i="3"/>
  <c r="L122" i="3" s="1"/>
  <c r="L123" i="3" s="1"/>
  <c r="CA71" i="3"/>
  <c r="DI21" i="3"/>
  <c r="BT71" i="3"/>
  <c r="AK21" i="3"/>
  <c r="W44" i="3"/>
  <c r="W45" i="3" s="1"/>
  <c r="AX44" i="3"/>
  <c r="I78" i="3"/>
  <c r="M78" i="3"/>
  <c r="AC78" i="3"/>
  <c r="AK78" i="3"/>
  <c r="AW78" i="3"/>
  <c r="BJ78" i="3"/>
  <c r="BN78" i="3"/>
  <c r="BR78" i="3"/>
  <c r="BV78" i="3"/>
  <c r="CE78" i="3"/>
  <c r="CQ78" i="3"/>
  <c r="O118" i="2"/>
  <c r="S118" i="2"/>
  <c r="AE118" i="2"/>
  <c r="AM118" i="2"/>
  <c r="AY118" i="2"/>
  <c r="BC118" i="2"/>
  <c r="BG118" i="2"/>
  <c r="BK118" i="2"/>
  <c r="BS118" i="2"/>
  <c r="CA118" i="2"/>
  <c r="CM118" i="2"/>
  <c r="CQ118" i="2"/>
  <c r="CY122" i="2"/>
  <c r="U123" i="2"/>
  <c r="AG123" i="2"/>
  <c r="AK119" i="2"/>
  <c r="BA119" i="2"/>
  <c r="BI123" i="2"/>
  <c r="BM119" i="2"/>
  <c r="BY119" i="2"/>
  <c r="CC123" i="2"/>
  <c r="CG119" i="2"/>
  <c r="CK123" i="2"/>
  <c r="CO123" i="2"/>
  <c r="CS123" i="2"/>
  <c r="CW123" i="2"/>
  <c r="J120" i="2"/>
  <c r="Z120" i="2"/>
  <c r="AH120" i="2"/>
  <c r="AL124" i="2"/>
  <c r="AP124" i="2"/>
  <c r="AT124" i="2"/>
  <c r="AX120" i="2"/>
  <c r="BB124" i="2"/>
  <c r="BF124" i="2"/>
  <c r="BJ124" i="2"/>
  <c r="BR124" i="2"/>
  <c r="CP120" i="2"/>
  <c r="CR209" i="2"/>
  <c r="DG123" i="2"/>
  <c r="DG119" i="2"/>
  <c r="EM8" i="2"/>
  <c r="EA101" i="3" s="1"/>
  <c r="EA52" i="3" s="1"/>
  <c r="EA83" i="3" s="1"/>
  <c r="E105" i="4"/>
  <c r="Q80" i="2"/>
  <c r="U95" i="2" s="1"/>
  <c r="M15" i="2"/>
  <c r="CP105" i="4"/>
  <c r="CW78" i="2"/>
  <c r="DC169" i="2"/>
  <c r="DG230" i="2"/>
  <c r="AB124" i="3"/>
  <c r="Z80" i="2"/>
  <c r="DG231" i="2"/>
  <c r="Z15" i="2"/>
  <c r="Q105" i="4"/>
  <c r="M80" i="2"/>
  <c r="M95" i="2" s="1"/>
  <c r="I15" i="2"/>
  <c r="DC230" i="2"/>
  <c r="BV107" i="2"/>
  <c r="EL58" i="2"/>
  <c r="Z19" i="2"/>
  <c r="Z81" i="2" s="1"/>
  <c r="I105" i="4"/>
  <c r="DZ87" i="2"/>
  <c r="ED78" i="2"/>
  <c r="AA17" i="2"/>
  <c r="AA25" i="2" s="1"/>
  <c r="AA87" i="2" s="1"/>
  <c r="BA130" i="3"/>
  <c r="BD52" i="3"/>
  <c r="BD83" i="3" s="1"/>
  <c r="EN8" i="2"/>
  <c r="EB101" i="3" s="1"/>
  <c r="EB130" i="3" s="1"/>
  <c r="BW51" i="3"/>
  <c r="BW82" i="3" s="1"/>
  <c r="ED79" i="2"/>
  <c r="ED94" i="2" s="1"/>
  <c r="ED128" i="2" s="1"/>
  <c r="AH25" i="2"/>
  <c r="AH86" i="2" s="1"/>
  <c r="AJ108" i="2"/>
  <c r="BG130" i="3"/>
  <c r="EE78" i="2"/>
  <c r="P108" i="2"/>
  <c r="X108" i="2"/>
  <c r="AB108" i="2"/>
  <c r="AO110" i="2"/>
  <c r="Y94" i="2"/>
  <c r="L88" i="3"/>
  <c r="AJ88" i="3"/>
  <c r="U58" i="3"/>
  <c r="AC58" i="3"/>
  <c r="DL60" i="3"/>
  <c r="AH20" i="2"/>
  <c r="AH112" i="3" s="1"/>
  <c r="AH114" i="3" s="1"/>
  <c r="EA410" i="329"/>
  <c r="AB17" i="2"/>
  <c r="AF111" i="2" s="1"/>
  <c r="D111" i="3"/>
  <c r="DO103" i="3"/>
  <c r="CQ131" i="2"/>
  <c r="C124" i="3"/>
  <c r="EW133" i="2"/>
  <c r="AH111" i="3"/>
  <c r="AF108" i="2"/>
  <c r="DT108" i="2"/>
  <c r="X76" i="2"/>
  <c r="EE77" i="2"/>
  <c r="EA79" i="2"/>
  <c r="BG29" i="4"/>
  <c r="BG42" i="4" s="1"/>
  <c r="BG98" i="4" s="1"/>
  <c r="BG99" i="4" s="1"/>
  <c r="BD40" i="4"/>
  <c r="DK42" i="4"/>
  <c r="AL56" i="3"/>
  <c r="AL57" i="3"/>
  <c r="Q124" i="3"/>
  <c r="DO55" i="3"/>
  <c r="DO50" i="3"/>
  <c r="DO81" i="3" s="1"/>
  <c r="DO60" i="3"/>
  <c r="O124" i="3"/>
  <c r="DO56" i="3"/>
  <c r="DO59" i="3"/>
  <c r="DO57" i="3"/>
  <c r="H91" i="2"/>
  <c r="H127" i="2" s="1"/>
  <c r="T82" i="2"/>
  <c r="T104" i="4"/>
  <c r="T25" i="2"/>
  <c r="T111" i="3"/>
  <c r="AF25" i="2"/>
  <c r="AF30" i="2" s="1"/>
  <c r="AF111" i="3"/>
  <c r="AF82" i="2"/>
  <c r="AF104" i="4"/>
  <c r="AJ20" i="2"/>
  <c r="AJ84" i="2" s="1"/>
  <c r="L91" i="2"/>
  <c r="L127" i="2" s="1"/>
  <c r="DP25" i="2"/>
  <c r="DP30" i="2" s="1"/>
  <c r="DP34" i="2" s="1"/>
  <c r="BD79" i="2"/>
  <c r="CW77" i="2"/>
  <c r="R80" i="2"/>
  <c r="F19" i="2"/>
  <c r="F20" i="2" s="1"/>
  <c r="BU52" i="3"/>
  <c r="BU83" i="3" s="1"/>
  <c r="I81" i="2"/>
  <c r="I96" i="2" s="1"/>
  <c r="AL78" i="2"/>
  <c r="AL93" i="2" s="1"/>
  <c r="AL410" i="329"/>
  <c r="CB412" i="329"/>
  <c r="AM122" i="2"/>
  <c r="CH19" i="2"/>
  <c r="BV15" i="2"/>
  <c r="BP9" i="2"/>
  <c r="AB76" i="2"/>
  <c r="DB19" i="2"/>
  <c r="DB81" i="2" s="1"/>
  <c r="DT17" i="2"/>
  <c r="DT25" i="2" s="1"/>
  <c r="DT30" i="2" s="1"/>
  <c r="AJ76" i="2"/>
  <c r="AF76" i="2"/>
  <c r="AF91" i="2" s="1"/>
  <c r="AF127" i="2" s="1"/>
  <c r="X17" i="2"/>
  <c r="X111" i="3" s="1"/>
  <c r="P17" i="2"/>
  <c r="P25" i="2" s="1"/>
  <c r="L108" i="2"/>
  <c r="D104" i="4"/>
  <c r="EE79" i="2"/>
  <c r="ED58" i="2"/>
  <c r="AB88" i="3"/>
  <c r="DJ52" i="3"/>
  <c r="DJ83" i="3" s="1"/>
  <c r="EN200" i="2"/>
  <c r="EA85" i="2"/>
  <c r="DV101" i="329"/>
  <c r="DW102" i="329" s="1"/>
  <c r="DO103" i="4"/>
  <c r="L92" i="2"/>
  <c r="L128" i="2" s="1"/>
  <c r="T92" i="2"/>
  <c r="T128" i="2" s="1"/>
  <c r="AB92" i="2"/>
  <c r="AB128" i="2" s="1"/>
  <c r="AJ92" i="2"/>
  <c r="AJ128" i="2" s="1"/>
  <c r="J93" i="2"/>
  <c r="R93" i="2"/>
  <c r="Z93" i="2"/>
  <c r="AH93" i="2"/>
  <c r="L94" i="2"/>
  <c r="T94" i="2"/>
  <c r="AB94" i="2"/>
  <c r="AJ94" i="2"/>
  <c r="J99" i="2"/>
  <c r="R99" i="2"/>
  <c r="Z99" i="2"/>
  <c r="AH99" i="2"/>
  <c r="CF212" i="2"/>
  <c r="Q92" i="2"/>
  <c r="Q128" i="2" s="1"/>
  <c r="Y92" i="2"/>
  <c r="Y128" i="2" s="1"/>
  <c r="AK94" i="2"/>
  <c r="DR92" i="2"/>
  <c r="F51" i="3"/>
  <c r="F82" i="3" s="1"/>
  <c r="CM153" i="2"/>
  <c r="CM223" i="2" s="1"/>
  <c r="BD103" i="4"/>
  <c r="BD85" i="2"/>
  <c r="F105" i="4"/>
  <c r="AN108" i="2"/>
  <c r="T130" i="3"/>
  <c r="R19" i="2"/>
  <c r="R20" i="2" s="1"/>
  <c r="CX68" i="2"/>
  <c r="AI127" i="3"/>
  <c r="BM79" i="2"/>
  <c r="AC127" i="3"/>
  <c r="AL107" i="2"/>
  <c r="AL128" i="2" s="1"/>
  <c r="AL103" i="4"/>
  <c r="AL80" i="2"/>
  <c r="AL95" i="2" s="1"/>
  <c r="DS148" i="329"/>
  <c r="EQ118" i="2"/>
  <c r="BZ105" i="4"/>
  <c r="W19" i="2"/>
  <c r="ET199" i="2"/>
  <c r="M59" i="3"/>
  <c r="U56" i="3"/>
  <c r="EA29" i="4"/>
  <c r="N19" i="2"/>
  <c r="DU108" i="2"/>
  <c r="T76" i="2"/>
  <c r="L17" i="2"/>
  <c r="H17" i="2"/>
  <c r="D25" i="2"/>
  <c r="D30" i="2" s="1"/>
  <c r="DS100" i="3"/>
  <c r="DS59" i="3" s="1"/>
  <c r="P88" i="3"/>
  <c r="DT76" i="2"/>
  <c r="EA78" i="2"/>
  <c r="EA93" i="2" s="1"/>
  <c r="CN9" i="4"/>
  <c r="CO9" i="4" s="1"/>
  <c r="BF99" i="4"/>
  <c r="BQ8" i="4"/>
  <c r="AC25" i="2"/>
  <c r="AC87" i="2" s="1"/>
  <c r="AC92" i="2"/>
  <c r="AC128" i="2" s="1"/>
  <c r="AG94" i="2"/>
  <c r="CG123" i="2"/>
  <c r="BD100" i="3"/>
  <c r="BY109" i="2"/>
  <c r="F15" i="2"/>
  <c r="CH59" i="2"/>
  <c r="CH60" i="2" s="1"/>
  <c r="BU109" i="2"/>
  <c r="BQ109" i="2"/>
  <c r="AE127" i="3"/>
  <c r="AL9" i="2"/>
  <c r="AL108" i="2" s="1"/>
  <c r="AL79" i="2"/>
  <c r="AL94" i="2" s="1"/>
  <c r="CQ29" i="4"/>
  <c r="CQ42" i="4" s="1"/>
  <c r="CQ98" i="4" s="1"/>
  <c r="CQ99" i="4" s="1"/>
  <c r="DY62" i="2"/>
  <c r="DM110" i="4" s="1"/>
  <c r="EA62" i="2"/>
  <c r="DO110" i="4" s="1"/>
  <c r="CZ77" i="2"/>
  <c r="DW148" i="329"/>
  <c r="CS231" i="2"/>
  <c r="CT230" i="2"/>
  <c r="ES229" i="2"/>
  <c r="Y95" i="2"/>
  <c r="W15" i="2"/>
  <c r="EA11" i="2"/>
  <c r="EA19" i="2" s="1"/>
  <c r="EA81" i="2" s="1"/>
  <c r="BB99" i="4"/>
  <c r="CM29" i="4"/>
  <c r="CM42" i="4" s="1"/>
  <c r="CM98" i="4" s="1"/>
  <c r="CM99" i="4" s="1"/>
  <c r="CK113" i="3"/>
  <c r="CK115" i="3" s="1"/>
  <c r="FB77" i="2"/>
  <c r="FC77" i="2" s="1"/>
  <c r="T108" i="2"/>
  <c r="EE85" i="2"/>
  <c r="DC53" i="2"/>
  <c r="EA77" i="2"/>
  <c r="EB92" i="2" s="1"/>
  <c r="F111" i="3"/>
  <c r="EP133" i="2"/>
  <c r="ED104" i="3"/>
  <c r="EF104" i="3" s="1"/>
  <c r="DP102" i="3"/>
  <c r="DP58" i="3" s="1"/>
  <c r="EB109" i="2"/>
  <c r="DS109" i="2"/>
  <c r="DS80" i="2"/>
  <c r="DT95" i="2" s="1"/>
  <c r="DT103" i="3"/>
  <c r="CH104" i="3"/>
  <c r="EO32" i="2"/>
  <c r="EO49" i="2" s="1"/>
  <c r="BU49" i="2"/>
  <c r="BK15" i="2"/>
  <c r="ED62" i="2"/>
  <c r="BX104" i="3"/>
  <c r="CT49" i="2"/>
  <c r="EK238" i="2"/>
  <c r="DT99" i="2"/>
  <c r="ED109" i="4"/>
  <c r="ED99" i="4" s="1"/>
  <c r="EQ68" i="2"/>
  <c r="ER70" i="2"/>
  <c r="M92" i="2"/>
  <c r="M128" i="2" s="1"/>
  <c r="AG92" i="2"/>
  <c r="AG128" i="2" s="1"/>
  <c r="W93" i="2"/>
  <c r="Q94" i="2"/>
  <c r="U94" i="2"/>
  <c r="AC94" i="2"/>
  <c r="DS93" i="2"/>
  <c r="DR93" i="2"/>
  <c r="DU95" i="2"/>
  <c r="DV95" i="2"/>
  <c r="K99" i="2"/>
  <c r="AA99" i="2"/>
  <c r="CG16" i="2"/>
  <c r="CG79" i="2" s="1"/>
  <c r="ER162" i="2"/>
  <c r="ER197" i="2" s="1"/>
  <c r="CG231" i="2"/>
  <c r="CK16" i="2"/>
  <c r="CK79" i="2" s="1"/>
  <c r="ES162" i="2"/>
  <c r="D59" i="3"/>
  <c r="G60" i="3"/>
  <c r="H88" i="3"/>
  <c r="L127" i="3"/>
  <c r="N50" i="3"/>
  <c r="N81" i="3" s="1"/>
  <c r="O59" i="3"/>
  <c r="T88" i="3"/>
  <c r="X88" i="3"/>
  <c r="Y56" i="3"/>
  <c r="AF88" i="3"/>
  <c r="AU51" i="3"/>
  <c r="AU82" i="3" s="1"/>
  <c r="AV51" i="3"/>
  <c r="AV82" i="3" s="1"/>
  <c r="DF59" i="3"/>
  <c r="DF50" i="3"/>
  <c r="DF81" i="3"/>
  <c r="DF97" i="3"/>
  <c r="DJ97" i="3"/>
  <c r="DJ81" i="3"/>
  <c r="DF82" i="3"/>
  <c r="DF130" i="3"/>
  <c r="DF52" i="3"/>
  <c r="DF83" i="3" s="1"/>
  <c r="DJ130" i="3"/>
  <c r="DJ51" i="3"/>
  <c r="DJ82" i="3"/>
  <c r="DP9" i="4"/>
  <c r="S29" i="4"/>
  <c r="DP29" i="4" s="1"/>
  <c r="DP42" i="4" s="1"/>
  <c r="S11" i="2"/>
  <c r="EB11" i="2" s="1"/>
  <c r="CQ24" i="2"/>
  <c r="EU23" i="2"/>
  <c r="CM133" i="2"/>
  <c r="CO133" i="2"/>
  <c r="CP133" i="2"/>
  <c r="CN133" i="2"/>
  <c r="DO104" i="3"/>
  <c r="DW104" i="3"/>
  <c r="EK62" i="2"/>
  <c r="ES24" i="2"/>
  <c r="EG103" i="3" s="1"/>
  <c r="EC62" i="2"/>
  <c r="EC63" i="2" s="1"/>
  <c r="EC64" i="2" s="1"/>
  <c r="DR94" i="2"/>
  <c r="DR128" i="2" s="1"/>
  <c r="CR64" i="2"/>
  <c r="DW93" i="2"/>
  <c r="EF85" i="2"/>
  <c r="EF79" i="2"/>
  <c r="EF94" i="2" s="1"/>
  <c r="EF80" i="2"/>
  <c r="CL24" i="2"/>
  <c r="ET23" i="2"/>
  <c r="BX32" i="2"/>
  <c r="BX49" i="2" s="1"/>
  <c r="BX133" i="2"/>
  <c r="BY133" i="2"/>
  <c r="DA49" i="2"/>
  <c r="EW32" i="2"/>
  <c r="DM107" i="3"/>
  <c r="DM78" i="3" s="1"/>
  <c r="DZ58" i="2"/>
  <c r="AR110" i="4"/>
  <c r="AR63" i="2"/>
  <c r="AR64" i="2" s="1"/>
  <c r="AU15" i="2"/>
  <c r="DZ62" i="2"/>
  <c r="EJ62" i="2"/>
  <c r="DX110" i="4" s="1"/>
  <c r="EH58" i="2"/>
  <c r="EG62" i="2"/>
  <c r="DU110" i="4" s="1"/>
  <c r="EG109" i="4"/>
  <c r="EG99" i="4" s="1"/>
  <c r="ET27" i="2"/>
  <c r="EI5" i="4"/>
  <c r="N17" i="2"/>
  <c r="N82" i="2" s="1"/>
  <c r="N76" i="2"/>
  <c r="AX99" i="4"/>
  <c r="DZ99" i="4"/>
  <c r="ES49" i="2"/>
  <c r="J5" i="2"/>
  <c r="J4" i="329" s="1"/>
  <c r="DZ5" i="329" s="1"/>
  <c r="EU32" i="2"/>
  <c r="EN27" i="2"/>
  <c r="Q17" i="2"/>
  <c r="U83" i="2" s="1"/>
  <c r="BV99" i="4"/>
  <c r="CO113" i="3"/>
  <c r="CO115" i="3" s="1"/>
  <c r="AY109" i="2"/>
  <c r="BJ99" i="4"/>
  <c r="CG85" i="2"/>
  <c r="DP100" i="3"/>
  <c r="DP50" i="3" s="1"/>
  <c r="DP81" i="3" s="1"/>
  <c r="BQ133" i="2"/>
  <c r="DF124" i="3"/>
  <c r="U92" i="2"/>
  <c r="U128" i="2" s="1"/>
  <c r="AK92" i="2"/>
  <c r="AK128" i="2" s="1"/>
  <c r="K93" i="2"/>
  <c r="O93" i="2"/>
  <c r="S93" i="2"/>
  <c r="AA93" i="2"/>
  <c r="AE93" i="2"/>
  <c r="AI93" i="2"/>
  <c r="M94" i="2"/>
  <c r="O99" i="2"/>
  <c r="S99" i="2"/>
  <c r="W99" i="2"/>
  <c r="AE99" i="2"/>
  <c r="AI99" i="2"/>
  <c r="CU133" i="2"/>
  <c r="G17" i="2"/>
  <c r="G82" i="2" s="1"/>
  <c r="AV63" i="2"/>
  <c r="AV64" i="2" s="1"/>
  <c r="BD63" i="2"/>
  <c r="BD64" i="2" s="1"/>
  <c r="AN63" i="2"/>
  <c r="AN64" i="2" s="1"/>
  <c r="DU105" i="4"/>
  <c r="CE113" i="3"/>
  <c r="CE115" i="3" s="1"/>
  <c r="CQ133" i="2"/>
  <c r="DZ79" i="2"/>
  <c r="AZ63" i="2"/>
  <c r="AZ64" i="2" s="1"/>
  <c r="BM52" i="3"/>
  <c r="BM83" i="3" s="1"/>
  <c r="BN19" i="2"/>
  <c r="BN81" i="2" s="1"/>
  <c r="BR60" i="2"/>
  <c r="EM24" i="2"/>
  <c r="CW133" i="2"/>
  <c r="DT92" i="2"/>
  <c r="DR95" i="2"/>
  <c r="CZ131" i="2"/>
  <c r="DS110" i="2"/>
  <c r="EN24" i="2"/>
  <c r="CS78" i="2"/>
  <c r="AC104" i="4"/>
  <c r="O92" i="2"/>
  <c r="O128" i="2" s="1"/>
  <c r="S92" i="2"/>
  <c r="S128" i="2" s="1"/>
  <c r="W92" i="2"/>
  <c r="W128" i="2" s="1"/>
  <c r="AE92" i="2"/>
  <c r="AE128" i="2" s="1"/>
  <c r="AI92" i="2"/>
  <c r="AI128" i="2" s="1"/>
  <c r="Y93" i="2"/>
  <c r="K94" i="2"/>
  <c r="O94" i="2"/>
  <c r="W94" i="2"/>
  <c r="AA94" i="2"/>
  <c r="AE94" i="2"/>
  <c r="M99" i="2"/>
  <c r="Q99" i="2"/>
  <c r="U99" i="2"/>
  <c r="Y99" i="2"/>
  <c r="AC99" i="2"/>
  <c r="AG99" i="2"/>
  <c r="AK99" i="2"/>
  <c r="CM105" i="4"/>
  <c r="AH111" i="2"/>
  <c r="R104" i="4"/>
  <c r="R106" i="4" s="1"/>
  <c r="CP100" i="3"/>
  <c r="U108" i="2"/>
  <c r="AC108" i="2"/>
  <c r="CQ105" i="4"/>
  <c r="DC19" i="2"/>
  <c r="DC81" i="2" s="1"/>
  <c r="AG82" i="2"/>
  <c r="AG111" i="3"/>
  <c r="AG83" i="2"/>
  <c r="AG25" i="2"/>
  <c r="AG111" i="2"/>
  <c r="CH103" i="4"/>
  <c r="AC111" i="3"/>
  <c r="BU9" i="2"/>
  <c r="DW110" i="2"/>
  <c r="AA19" i="2"/>
  <c r="AA110" i="2" s="1"/>
  <c r="DX79" i="2"/>
  <c r="CR133" i="2"/>
  <c r="AG108" i="2"/>
  <c r="Y108" i="2"/>
  <c r="M76" i="2"/>
  <c r="Q91" i="2" s="1"/>
  <c r="Q127" i="2" s="1"/>
  <c r="DT100" i="3"/>
  <c r="DT50" i="3" s="1"/>
  <c r="DT81" i="3" s="1"/>
  <c r="F4" i="329"/>
  <c r="DY5" i="329" s="1"/>
  <c r="EB79" i="2"/>
  <c r="EU27" i="2"/>
  <c r="EH104" i="3" s="1"/>
  <c r="DS81" i="2"/>
  <c r="DS96" i="2" s="1"/>
  <c r="Y17" i="2"/>
  <c r="Y82" i="2" s="1"/>
  <c r="DS79" i="2"/>
  <c r="DS92" i="2" s="1"/>
  <c r="EG109" i="2"/>
  <c r="EB107" i="2"/>
  <c r="EA9" i="2"/>
  <c r="EA17" i="2" s="1"/>
  <c r="EA132" i="2" s="1"/>
  <c r="AG76" i="2"/>
  <c r="AG91" i="2" s="1"/>
  <c r="AG127" i="2" s="1"/>
  <c r="Q108" i="2"/>
  <c r="DT105" i="4"/>
  <c r="EJ12" i="2"/>
  <c r="CD105" i="4"/>
  <c r="DR103" i="329"/>
  <c r="AT99" i="4"/>
  <c r="AU105" i="4"/>
  <c r="BK105" i="4"/>
  <c r="BK19" i="2"/>
  <c r="AC82" i="2"/>
  <c r="AX15" i="2"/>
  <c r="AA105" i="4"/>
  <c r="DQ108" i="2"/>
  <c r="EF107" i="2"/>
  <c r="DX107" i="2"/>
  <c r="EJ58" i="2"/>
  <c r="AK17" i="2"/>
  <c r="AK83" i="2" s="1"/>
  <c r="U76" i="2"/>
  <c r="Y91" i="2" s="1"/>
  <c r="Y127" i="2" s="1"/>
  <c r="EF78" i="2"/>
  <c r="EB78" i="2"/>
  <c r="EB93" i="2" s="1"/>
  <c r="EF109" i="2"/>
  <c r="I17" i="2"/>
  <c r="I20" i="2" s="1"/>
  <c r="DT109" i="2"/>
  <c r="EF77" i="2"/>
  <c r="EG133" i="2"/>
  <c r="DQ17" i="2"/>
  <c r="DQ25" i="2" s="1"/>
  <c r="DQ30" i="2" s="1"/>
  <c r="I108" i="2"/>
  <c r="AT63" i="2"/>
  <c r="AT64" i="2" s="1"/>
  <c r="DV393" i="329"/>
  <c r="DV147" i="2" s="1"/>
  <c r="CH113" i="3"/>
  <c r="CH115" i="3" s="1"/>
  <c r="DT103" i="4"/>
  <c r="AN88" i="3"/>
  <c r="CQ12" i="2"/>
  <c r="CE105" i="4" s="1"/>
  <c r="EF58" i="2"/>
  <c r="U104" i="4"/>
  <c r="U106" i="4" s="1"/>
  <c r="DW96" i="2"/>
  <c r="DX85" i="2"/>
  <c r="DX99" i="2" s="1"/>
  <c r="DL103" i="4"/>
  <c r="AK108" i="2"/>
  <c r="DP103" i="4"/>
  <c r="DS15" i="2"/>
  <c r="EC133" i="2"/>
  <c r="AP63" i="2"/>
  <c r="AP64" i="2" s="1"/>
  <c r="CX78" i="2"/>
  <c r="DS17" i="2"/>
  <c r="DS82" i="2" s="1"/>
  <c r="EA123" i="2"/>
  <c r="ET119" i="2"/>
  <c r="CV209" i="2"/>
  <c r="CZ213" i="2"/>
  <c r="CZ246" i="2" s="1"/>
  <c r="AE52" i="3"/>
  <c r="AE83" i="3" s="1"/>
  <c r="BZ99" i="4"/>
  <c r="BO51" i="3"/>
  <c r="BO82" i="3" s="1"/>
  <c r="AI108" i="2"/>
  <c r="BL109" i="2"/>
  <c r="EB85" i="2"/>
  <c r="AM110" i="2"/>
  <c r="DW102" i="3"/>
  <c r="DW58" i="3" s="1"/>
  <c r="EI109" i="2"/>
  <c r="AC91" i="2"/>
  <c r="BP52" i="3"/>
  <c r="BP83" i="3" s="1"/>
  <c r="BN52" i="3"/>
  <c r="BN83" i="3" s="1"/>
  <c r="AL50" i="3"/>
  <c r="AL81" i="3" s="1"/>
  <c r="EU63" i="2"/>
  <c r="CS64" i="2"/>
  <c r="CT64" i="2" s="1"/>
  <c r="CU64" i="2" s="1"/>
  <c r="CV64" i="2" s="1"/>
  <c r="CW64" i="2" s="1"/>
  <c r="CX64" i="2" s="1"/>
  <c r="CY64" i="2" s="1"/>
  <c r="CZ64" i="2" s="1"/>
  <c r="DA64" i="2" s="1"/>
  <c r="R111" i="2"/>
  <c r="F104" i="4"/>
  <c r="F25" i="2"/>
  <c r="F86" i="2" s="1"/>
  <c r="CK103" i="3"/>
  <c r="S91" i="2"/>
  <c r="S127" i="2" s="1"/>
  <c r="W91" i="2"/>
  <c r="W127" i="2" s="1"/>
  <c r="AL59" i="3"/>
  <c r="DU110" i="2"/>
  <c r="DQ110" i="2"/>
  <c r="BX109" i="2"/>
  <c r="BD102" i="3"/>
  <c r="DZ107" i="2"/>
  <c r="DN100" i="3"/>
  <c r="DO88" i="3" s="1"/>
  <c r="DP103" i="3"/>
  <c r="BI103" i="3"/>
  <c r="AE108" i="2"/>
  <c r="AA108" i="2"/>
  <c r="S17" i="2"/>
  <c r="EB17" i="2" s="1"/>
  <c r="K17" i="2"/>
  <c r="DR103" i="4"/>
  <c r="EH109" i="2"/>
  <c r="ED109" i="2"/>
  <c r="DZ109" i="2"/>
  <c r="EE109" i="2"/>
  <c r="EQ133" i="2"/>
  <c r="EE133" i="2"/>
  <c r="AE17" i="2"/>
  <c r="AE111" i="2" s="1"/>
  <c r="AI76" i="2"/>
  <c r="S108" i="2"/>
  <c r="K108" i="2"/>
  <c r="CJ113" i="3"/>
  <c r="CJ115" i="3" s="1"/>
  <c r="DN58" i="3"/>
  <c r="CS208" i="2"/>
  <c r="DA208" i="2"/>
  <c r="DA242" i="2" s="1"/>
  <c r="CD209" i="2"/>
  <c r="CI209" i="2"/>
  <c r="CO216" i="2"/>
  <c r="BH109" i="2"/>
  <c r="AZ109" i="2"/>
  <c r="ET131" i="2"/>
  <c r="CP131" i="2"/>
  <c r="CD113" i="3"/>
  <c r="CD115" i="3" s="1"/>
  <c r="EE107" i="2"/>
  <c r="DZ77" i="2"/>
  <c r="EA92" i="2" s="1"/>
  <c r="EA107" i="2"/>
  <c r="BQ103" i="3"/>
  <c r="DW17" i="2"/>
  <c r="AI17" i="2"/>
  <c r="AK132" i="2" s="1"/>
  <c r="AV76" i="2"/>
  <c r="ED77" i="2"/>
  <c r="ED85" i="2"/>
  <c r="W17" i="2"/>
  <c r="W111" i="3" s="1"/>
  <c r="CP103" i="3"/>
  <c r="DN103" i="4"/>
  <c r="EB22" i="2"/>
  <c r="DL103" i="3"/>
  <c r="DW76" i="2"/>
  <c r="DM52" i="3"/>
  <c r="DM83" i="3" s="1"/>
  <c r="EA109" i="2"/>
  <c r="EI133" i="2"/>
  <c r="EA87" i="2"/>
  <c r="O17" i="2"/>
  <c r="O20" i="2" s="1"/>
  <c r="W108" i="2"/>
  <c r="O108" i="2"/>
  <c r="G108" i="2"/>
  <c r="CN113" i="3"/>
  <c r="CN115" i="3" s="1"/>
  <c r="AM60" i="2"/>
  <c r="BK60" i="2"/>
  <c r="DI399" i="329"/>
  <c r="DI318" i="329"/>
  <c r="FA399" i="329"/>
  <c r="FA105" i="2" s="1"/>
  <c r="FF399" i="329"/>
  <c r="FF105" i="2" s="1"/>
  <c r="FG119" i="2" s="1"/>
  <c r="FB318" i="329"/>
  <c r="FF318" i="329"/>
  <c r="FF116" i="329"/>
  <c r="FB116" i="329"/>
  <c r="FG318" i="329"/>
  <c r="BT77" i="2"/>
  <c r="BX92" i="2" s="1"/>
  <c r="BT79" i="2"/>
  <c r="BT100" i="3"/>
  <c r="CB78" i="2"/>
  <c r="CB85" i="2"/>
  <c r="CJ78" i="2"/>
  <c r="CJ85" i="2"/>
  <c r="CB103" i="4"/>
  <c r="CN100" i="3"/>
  <c r="CZ85" i="2"/>
  <c r="CZ79" i="2"/>
  <c r="B105" i="4"/>
  <c r="DX11" i="2"/>
  <c r="DL105" i="4" s="1"/>
  <c r="B19" i="2"/>
  <c r="J80" i="2"/>
  <c r="J95" i="2" s="1"/>
  <c r="J105" i="4"/>
  <c r="DZ11" i="2"/>
  <c r="DN105" i="4" s="1"/>
  <c r="V19" i="2"/>
  <c r="EC11" i="2"/>
  <c r="EC19" i="2" s="1"/>
  <c r="EC81" i="2" s="1"/>
  <c r="AT105" i="4"/>
  <c r="AT80" i="2"/>
  <c r="AT19" i="2"/>
  <c r="AT81" i="2" s="1"/>
  <c r="BJ15" i="2"/>
  <c r="BJ105" i="4"/>
  <c r="BV105" i="4"/>
  <c r="CD11" i="2"/>
  <c r="CD15" i="2" s="1"/>
  <c r="BV19" i="2"/>
  <c r="CH110" i="2" s="1"/>
  <c r="BZ12" i="2"/>
  <c r="BZ19" i="2" s="1"/>
  <c r="BZ81" i="2" s="1"/>
  <c r="BR105" i="4"/>
  <c r="BR15" i="2"/>
  <c r="CU19" i="2"/>
  <c r="CI105" i="4"/>
  <c r="CL105" i="4"/>
  <c r="CX19" i="2"/>
  <c r="CX110" i="2" s="1"/>
  <c r="CJ79" i="2"/>
  <c r="O122" i="2"/>
  <c r="S122" i="2"/>
  <c r="W122" i="2"/>
  <c r="AA122" i="2"/>
  <c r="AE122" i="2"/>
  <c r="AI122" i="2"/>
  <c r="AI118" i="2"/>
  <c r="AQ122" i="2"/>
  <c r="AQ118" i="2"/>
  <c r="AU122" i="2"/>
  <c r="AY122" i="2"/>
  <c r="BC122" i="2"/>
  <c r="BG122" i="2"/>
  <c r="BK122" i="2"/>
  <c r="BO122" i="2"/>
  <c r="BO118" i="2"/>
  <c r="BW122" i="2"/>
  <c r="BW118" i="2"/>
  <c r="CA122" i="2"/>
  <c r="CE122" i="2"/>
  <c r="CI122" i="2"/>
  <c r="CM122" i="2"/>
  <c r="CQ122" i="2"/>
  <c r="CU122" i="2"/>
  <c r="CU118" i="2"/>
  <c r="DC118" i="2"/>
  <c r="M119" i="2"/>
  <c r="Q123" i="2"/>
  <c r="Q119" i="2"/>
  <c r="U119" i="2"/>
  <c r="Y123" i="2"/>
  <c r="Y119" i="2"/>
  <c r="AC123" i="2"/>
  <c r="AC119" i="2"/>
  <c r="AG119" i="2"/>
  <c r="AK123" i="2"/>
  <c r="AO123" i="2"/>
  <c r="AO119" i="2"/>
  <c r="AS123" i="2"/>
  <c r="AW123" i="2"/>
  <c r="AW119" i="2"/>
  <c r="BA123" i="2"/>
  <c r="BE123" i="2"/>
  <c r="BE119" i="2"/>
  <c r="BI119" i="2"/>
  <c r="BM123" i="2"/>
  <c r="BQ119" i="2"/>
  <c r="BU119" i="2"/>
  <c r="CC119" i="2"/>
  <c r="CK119" i="2"/>
  <c r="CO119" i="2"/>
  <c r="CW119" i="2"/>
  <c r="DA119" i="2"/>
  <c r="N120" i="2"/>
  <c r="R120" i="2"/>
  <c r="V120" i="2"/>
  <c r="Z124" i="2"/>
  <c r="AD120" i="2"/>
  <c r="AH124" i="2"/>
  <c r="AL120" i="2"/>
  <c r="AP120" i="2"/>
  <c r="AT120" i="2"/>
  <c r="AX124" i="2"/>
  <c r="BF120" i="2"/>
  <c r="BJ120" i="2"/>
  <c r="BN120" i="2"/>
  <c r="BN124" i="2"/>
  <c r="BR120" i="2"/>
  <c r="BV120" i="2"/>
  <c r="BV124" i="2"/>
  <c r="BZ127" i="2"/>
  <c r="BZ124" i="2"/>
  <c r="BZ120" i="2"/>
  <c r="CD120" i="2"/>
  <c r="CD124" i="2"/>
  <c r="CH120" i="2"/>
  <c r="CH124" i="2"/>
  <c r="CL120" i="2"/>
  <c r="CL124" i="2"/>
  <c r="CP124" i="2"/>
  <c r="CT124" i="2"/>
  <c r="CK175" i="2"/>
  <c r="CK221" i="2"/>
  <c r="B60" i="3"/>
  <c r="B59" i="3"/>
  <c r="F88" i="3"/>
  <c r="G56" i="3"/>
  <c r="G50" i="3"/>
  <c r="G81" i="3" s="1"/>
  <c r="F56" i="3"/>
  <c r="K60" i="3"/>
  <c r="L50" i="3"/>
  <c r="L81" i="3" s="1"/>
  <c r="M60" i="3"/>
  <c r="J57" i="3"/>
  <c r="J50" i="3"/>
  <c r="J81" i="3" s="1"/>
  <c r="K50" i="3"/>
  <c r="K81" i="3" s="1"/>
  <c r="J88" i="3"/>
  <c r="L56" i="3"/>
  <c r="N88" i="3"/>
  <c r="P50" i="3"/>
  <c r="P81" i="3" s="1"/>
  <c r="N60" i="3"/>
  <c r="N127" i="3"/>
  <c r="Q60" i="3"/>
  <c r="Q56" i="3"/>
  <c r="S50" i="3"/>
  <c r="S81" i="3" s="1"/>
  <c r="R127" i="3"/>
  <c r="S60" i="3"/>
  <c r="U59" i="3"/>
  <c r="R57" i="3"/>
  <c r="R50" i="3"/>
  <c r="R81" i="3" s="1"/>
  <c r="R88" i="3"/>
  <c r="S59" i="3"/>
  <c r="T50" i="3"/>
  <c r="T81" i="3" s="1"/>
  <c r="V88" i="3"/>
  <c r="Y59" i="3"/>
  <c r="V59" i="3"/>
  <c r="Y55" i="3"/>
  <c r="V50" i="3"/>
  <c r="V81" i="3" s="1"/>
  <c r="Z57" i="3"/>
  <c r="Z60" i="3"/>
  <c r="AC56" i="3"/>
  <c r="AB59" i="3"/>
  <c r="Z88" i="3"/>
  <c r="AF50" i="3"/>
  <c r="AF81" i="3" s="1"/>
  <c r="AD50" i="3"/>
  <c r="AD81" i="3" s="1"/>
  <c r="AD88" i="3"/>
  <c r="AH55" i="3"/>
  <c r="AH50" i="3"/>
  <c r="AH81" i="3" s="1"/>
  <c r="AH57" i="3"/>
  <c r="G52" i="3"/>
  <c r="G83" i="3" s="1"/>
  <c r="G51" i="3"/>
  <c r="G82" i="3" s="1"/>
  <c r="D58" i="3"/>
  <c r="K52" i="3"/>
  <c r="K83" i="3" s="1"/>
  <c r="K51" i="3"/>
  <c r="K82" i="3" s="1"/>
  <c r="M51" i="3"/>
  <c r="M82" i="3" s="1"/>
  <c r="M58" i="3"/>
  <c r="O52" i="3"/>
  <c r="O83" i="3" s="1"/>
  <c r="S51" i="3"/>
  <c r="S82" i="3" s="1"/>
  <c r="P52" i="3"/>
  <c r="P83" i="3" s="1"/>
  <c r="W52" i="3"/>
  <c r="W83" i="3" s="1"/>
  <c r="W51" i="3"/>
  <c r="W82" i="3" s="1"/>
  <c r="Y58" i="3"/>
  <c r="AA52" i="3"/>
  <c r="AA83" i="3" s="1"/>
  <c r="AA51" i="3"/>
  <c r="AA82" i="3" s="1"/>
  <c r="AF51" i="3"/>
  <c r="AF82" i="3" s="1"/>
  <c r="AI51" i="3"/>
  <c r="AI82" i="3" s="1"/>
  <c r="AM52" i="3"/>
  <c r="AM83" i="3" s="1"/>
  <c r="AL52" i="3"/>
  <c r="AL83" i="3" s="1"/>
  <c r="AM51" i="3"/>
  <c r="AM82" i="3" s="1"/>
  <c r="AQ52" i="3"/>
  <c r="AQ83" i="3" s="1"/>
  <c r="AP52" i="3"/>
  <c r="AP83" i="3" s="1"/>
  <c r="AQ51" i="3"/>
  <c r="AQ82" i="3" s="1"/>
  <c r="AR58" i="3"/>
  <c r="AU52" i="3"/>
  <c r="AU83" i="3" s="1"/>
  <c r="W58" i="3"/>
  <c r="AI58" i="3"/>
  <c r="DD81" i="3"/>
  <c r="DD50" i="3"/>
  <c r="DD59" i="3"/>
  <c r="DD127" i="3"/>
  <c r="DH81" i="3"/>
  <c r="DH50" i="3"/>
  <c r="DH97" i="3"/>
  <c r="DH59" i="3"/>
  <c r="DD130" i="3"/>
  <c r="DD52" i="3"/>
  <c r="DD83" i="3" s="1"/>
  <c r="DH130" i="3"/>
  <c r="DH58" i="3"/>
  <c r="DH52" i="3"/>
  <c r="DH83" i="3" s="1"/>
  <c r="DH51" i="3"/>
  <c r="DH82" i="3"/>
  <c r="ED115" i="3"/>
  <c r="EF115" i="3" s="1"/>
  <c r="EF113" i="3"/>
  <c r="AL60" i="3"/>
  <c r="BE109" i="2"/>
  <c r="BQ9" i="4"/>
  <c r="BP11" i="2"/>
  <c r="DA187" i="2"/>
  <c r="DA210" i="2" s="1"/>
  <c r="BF227" i="2"/>
  <c r="BT78" i="2"/>
  <c r="DY11" i="2"/>
  <c r="DY80" i="2" s="1"/>
  <c r="EO117" i="4"/>
  <c r="CD221" i="2"/>
  <c r="BV52" i="3"/>
  <c r="BV83" i="3" s="1"/>
  <c r="DD124" i="3"/>
  <c r="EB120" i="2"/>
  <c r="AX152" i="2"/>
  <c r="AX151" i="2" s="1"/>
  <c r="AX175" i="2" s="1"/>
  <c r="BB152" i="2"/>
  <c r="BJ152" i="2"/>
  <c r="BJ222" i="2" s="1"/>
  <c r="BR152" i="2"/>
  <c r="BV152" i="2"/>
  <c r="BV151" i="2" s="1"/>
  <c r="BV175" i="2" s="1"/>
  <c r="CY120" i="2"/>
  <c r="EL118" i="2"/>
  <c r="DB176" i="2"/>
  <c r="DH134" i="329"/>
  <c r="DF105" i="2"/>
  <c r="BD123" i="4"/>
  <c r="BN63" i="4"/>
  <c r="ED63" i="4"/>
  <c r="EB63" i="4"/>
  <c r="G110" i="2"/>
  <c r="X126" i="329"/>
  <c r="AS126" i="329"/>
  <c r="AW126" i="329"/>
  <c r="BP148" i="329"/>
  <c r="BX148" i="329"/>
  <c r="EC111" i="329"/>
  <c r="ED116" i="329" s="1"/>
  <c r="EF111" i="329"/>
  <c r="K117" i="329"/>
  <c r="DC221" i="329"/>
  <c r="DC215" i="329"/>
  <c r="EE118" i="2"/>
  <c r="DB221" i="329"/>
  <c r="DB215" i="329"/>
  <c r="CH209" i="2"/>
  <c r="ED410" i="329"/>
  <c r="EF15" i="2"/>
  <c r="EG15" i="2"/>
  <c r="EJ23" i="2"/>
  <c r="CD60" i="2"/>
  <c r="ET63" i="2"/>
  <c r="CR224" i="329"/>
  <c r="FG117" i="329"/>
  <c r="FF117" i="329"/>
  <c r="FE116" i="329"/>
  <c r="FF118" i="329"/>
  <c r="ES407" i="329"/>
  <c r="ET408" i="329" s="1"/>
  <c r="ES411" i="329"/>
  <c r="ED149" i="2"/>
  <c r="EA75" i="3"/>
  <c r="EF21" i="329"/>
  <c r="EE22" i="329"/>
  <c r="EF25" i="329"/>
  <c r="BP51" i="329"/>
  <c r="BT51" i="329"/>
  <c r="O118" i="329"/>
  <c r="O117" i="329"/>
  <c r="S118" i="329"/>
  <c r="AN118" i="329"/>
  <c r="AR118" i="329"/>
  <c r="AV117" i="329"/>
  <c r="AN117" i="329"/>
  <c r="EG111" i="329"/>
  <c r="AN116" i="329"/>
  <c r="AR116" i="329"/>
  <c r="AR117" i="329"/>
  <c r="AV118" i="329"/>
  <c r="AZ117" i="329"/>
  <c r="EI111" i="329"/>
  <c r="EJ116" i="329" s="1"/>
  <c r="AV116" i="329"/>
  <c r="AZ116" i="329"/>
  <c r="AZ118" i="329"/>
  <c r="P117" i="329"/>
  <c r="P118" i="329"/>
  <c r="L117" i="329"/>
  <c r="L116" i="329"/>
  <c r="T118" i="329"/>
  <c r="V49" i="329"/>
  <c r="V371" i="329"/>
  <c r="Z371" i="329"/>
  <c r="DA23" i="329"/>
  <c r="DB23" i="329" s="1"/>
  <c r="DC23" i="329" s="1"/>
  <c r="DD23" i="329" s="1"/>
  <c r="DE23" i="329" s="1"/>
  <c r="BN93" i="329"/>
  <c r="BO94" i="329"/>
  <c r="AR15" i="329"/>
  <c r="AR42" i="329" s="1"/>
  <c r="AS245" i="329"/>
  <c r="AT297" i="329"/>
  <c r="AT310" i="329" s="1"/>
  <c r="AM32" i="329"/>
  <c r="AO32" i="329"/>
  <c r="CS245" i="329"/>
  <c r="AP42" i="329"/>
  <c r="CP168" i="329"/>
  <c r="BQ342" i="329"/>
  <c r="CZ78" i="2"/>
  <c r="CJ77" i="2"/>
  <c r="CB100" i="3"/>
  <c r="BT9" i="2"/>
  <c r="BT158" i="2" s="1"/>
  <c r="BT412" i="329"/>
  <c r="CR324" i="329"/>
  <c r="BF374" i="329"/>
  <c r="BF382" i="329" s="1"/>
  <c r="BQ48" i="329"/>
  <c r="BQ82" i="329" s="1"/>
  <c r="EA22" i="329"/>
  <c r="ER70" i="329"/>
  <c r="M102" i="329"/>
  <c r="CK309" i="329"/>
  <c r="BG338" i="329"/>
  <c r="CP156" i="329"/>
  <c r="CZ412" i="329"/>
  <c r="CN103" i="4"/>
  <c r="BT85" i="2"/>
  <c r="CQ7" i="2"/>
  <c r="CE103" i="4" s="1"/>
  <c r="CQ209" i="2"/>
  <c r="BJ374" i="329"/>
  <c r="BJ382" i="329" s="1"/>
  <c r="AX374" i="329"/>
  <c r="AX382" i="329" s="1"/>
  <c r="AX390" i="329" s="1"/>
  <c r="DA242" i="329"/>
  <c r="ES58" i="329"/>
  <c r="ET58" i="329" s="1"/>
  <c r="FC161" i="329"/>
  <c r="ES72" i="329"/>
  <c r="ET72" i="329" s="1"/>
  <c r="EQ63" i="329"/>
  <c r="AM374" i="329"/>
  <c r="AM382" i="329" s="1"/>
  <c r="EB21" i="329"/>
  <c r="BX273" i="329"/>
  <c r="BX243" i="329" s="1"/>
  <c r="CJ273" i="329"/>
  <c r="CJ243" i="329" s="1"/>
  <c r="AM34" i="329"/>
  <c r="BU371" i="329"/>
  <c r="AA49" i="329"/>
  <c r="AA83" i="329" s="1"/>
  <c r="CP152" i="329"/>
  <c r="AT93" i="329"/>
  <c r="EN79" i="329"/>
  <c r="BG56" i="329"/>
  <c r="H126" i="329"/>
  <c r="DW118" i="2"/>
  <c r="EA118" i="2"/>
  <c r="EN122" i="2"/>
  <c r="DS119" i="2"/>
  <c r="EE123" i="2"/>
  <c r="EM119" i="2"/>
  <c r="ER119" i="2"/>
  <c r="DR120" i="2"/>
  <c r="DV124" i="2"/>
  <c r="EL124" i="2"/>
  <c r="AZ152" i="2"/>
  <c r="BD152" i="2"/>
  <c r="BD151" i="2" s="1"/>
  <c r="BD175" i="2" s="1"/>
  <c r="BH152" i="2"/>
  <c r="BH151" i="2" s="1"/>
  <c r="BH175" i="2" s="1"/>
  <c r="BL152" i="2"/>
  <c r="BL151" i="2" s="1"/>
  <c r="BL175" i="2" s="1"/>
  <c r="BP152" i="2"/>
  <c r="BT152" i="2"/>
  <c r="BT176" i="2" s="1"/>
  <c r="BX152" i="2"/>
  <c r="BX176" i="2" s="1"/>
  <c r="DT26" i="329"/>
  <c r="AV105" i="329"/>
  <c r="CR131" i="2"/>
  <c r="CT131" i="2"/>
  <c r="D74" i="3"/>
  <c r="D122" i="3" s="1"/>
  <c r="D124" i="3" s="1"/>
  <c r="D76" i="3"/>
  <c r="D21" i="3"/>
  <c r="D45" i="3" s="1"/>
  <c r="D77" i="3"/>
  <c r="F74" i="3"/>
  <c r="F122" i="3" s="1"/>
  <c r="G123" i="3" s="1"/>
  <c r="F21" i="3"/>
  <c r="F71" i="3" s="1"/>
  <c r="F76" i="3"/>
  <c r="F77" i="3"/>
  <c r="J76" i="3"/>
  <c r="J74" i="3"/>
  <c r="J122" i="3" s="1"/>
  <c r="K123" i="3" s="1"/>
  <c r="J77" i="3"/>
  <c r="J21" i="3"/>
  <c r="J71" i="3" s="1"/>
  <c r="X74" i="3"/>
  <c r="X122" i="3" s="1"/>
  <c r="Y123" i="3" s="1"/>
  <c r="X77" i="3"/>
  <c r="X21" i="3"/>
  <c r="X71" i="3" s="1"/>
  <c r="X76" i="3"/>
  <c r="AH76" i="3"/>
  <c r="AH77" i="3"/>
  <c r="AH21" i="3"/>
  <c r="AH71" i="3" s="1"/>
  <c r="AH74" i="3"/>
  <c r="AH122" i="3" s="1"/>
  <c r="AL21" i="3"/>
  <c r="AL71" i="3" s="1"/>
  <c r="AL77" i="3"/>
  <c r="AL76" i="3"/>
  <c r="AL74" i="3"/>
  <c r="AL122" i="3" s="1"/>
  <c r="DW21" i="3"/>
  <c r="DW75" i="3"/>
  <c r="DY75" i="3"/>
  <c r="DY21" i="3"/>
  <c r="DY71" i="3" s="1"/>
  <c r="I35" i="3"/>
  <c r="DM30" i="3"/>
  <c r="M77" i="3"/>
  <c r="M35" i="3"/>
  <c r="M76" i="3"/>
  <c r="DN30" i="3"/>
  <c r="DN76" i="3" s="1"/>
  <c r="M74" i="3"/>
  <c r="M122" i="3" s="1"/>
  <c r="DP30" i="3"/>
  <c r="DP76" i="3" s="1"/>
  <c r="U77" i="3"/>
  <c r="U74" i="3"/>
  <c r="U122" i="3" s="1"/>
  <c r="U35" i="3"/>
  <c r="BJ35" i="3"/>
  <c r="BJ44" i="3" s="1"/>
  <c r="BJ45" i="3" s="1"/>
  <c r="BJ77" i="3"/>
  <c r="BJ76" i="3"/>
  <c r="BJ74" i="3"/>
  <c r="BJ122" i="3" s="1"/>
  <c r="CE35" i="3"/>
  <c r="CE44" i="3" s="1"/>
  <c r="CE45" i="3" s="1"/>
  <c r="CE76" i="3"/>
  <c r="CE77" i="3"/>
  <c r="CE74" i="3"/>
  <c r="CE122" i="3" s="1"/>
  <c r="BI14" i="4"/>
  <c r="V21" i="3"/>
  <c r="V71" i="3" s="1"/>
  <c r="V77" i="3"/>
  <c r="V76" i="3"/>
  <c r="V74" i="3"/>
  <c r="V122" i="3" s="1"/>
  <c r="P21" i="3"/>
  <c r="P71" i="3" s="1"/>
  <c r="P77" i="3"/>
  <c r="P76" i="3"/>
  <c r="P74" i="3"/>
  <c r="P122" i="3" s="1"/>
  <c r="T77" i="3"/>
  <c r="T21" i="3"/>
  <c r="T71" i="3" s="1"/>
  <c r="T76" i="3"/>
  <c r="T74" i="3"/>
  <c r="T122" i="3" s="1"/>
  <c r="DR75" i="3"/>
  <c r="AF76" i="3"/>
  <c r="AF77" i="3"/>
  <c r="AF21" i="3"/>
  <c r="AF74" i="3"/>
  <c r="AF122" i="3" s="1"/>
  <c r="AN21" i="3"/>
  <c r="AN71" i="3" s="1"/>
  <c r="AN77" i="3"/>
  <c r="AN76" i="3"/>
  <c r="AN74" i="3"/>
  <c r="AN122" i="3" s="1"/>
  <c r="AO123" i="3" s="1"/>
  <c r="AC35" i="3"/>
  <c r="AC76" i="3"/>
  <c r="DR30" i="3"/>
  <c r="DR76" i="3" s="1"/>
  <c r="AC74" i="3"/>
  <c r="AC122" i="3" s="1"/>
  <c r="AC77" i="3"/>
  <c r="BC35" i="3"/>
  <c r="BC44" i="3" s="1"/>
  <c r="BC77" i="3"/>
  <c r="BC76" i="3"/>
  <c r="BC74" i="3"/>
  <c r="BC122" i="3" s="1"/>
  <c r="BC123" i="3" s="1"/>
  <c r="DM75" i="3"/>
  <c r="BI35" i="3"/>
  <c r="BI44" i="3" s="1"/>
  <c r="BI45" i="3" s="1"/>
  <c r="BI77" i="3"/>
  <c r="BI74" i="3"/>
  <c r="BI122" i="3" s="1"/>
  <c r="BI76" i="3"/>
  <c r="CD77" i="3"/>
  <c r="CD76" i="3"/>
  <c r="CD35" i="3"/>
  <c r="CD44" i="3" s="1"/>
  <c r="CD45" i="3" s="1"/>
  <c r="CD74" i="3"/>
  <c r="CD122" i="3" s="1"/>
  <c r="CO76" i="3"/>
  <c r="CO35" i="3"/>
  <c r="CO44" i="3" s="1"/>
  <c r="CO45" i="3" s="1"/>
  <c r="CO77" i="3"/>
  <c r="CO74" i="3"/>
  <c r="CO122" i="3" s="1"/>
  <c r="DY42" i="4"/>
  <c r="DY98" i="4" s="1"/>
  <c r="DY63" i="4"/>
  <c r="CA308" i="329"/>
  <c r="DO68" i="3"/>
  <c r="DR71" i="3"/>
  <c r="AA45" i="3"/>
  <c r="DO67" i="3"/>
  <c r="DZ66" i="3"/>
  <c r="E44" i="3"/>
  <c r="E45" i="3" s="1"/>
  <c r="AV123" i="3"/>
  <c r="CJ118" i="4"/>
  <c r="EF93" i="4"/>
  <c r="EI30" i="3"/>
  <c r="J45" i="3"/>
  <c r="P45" i="3"/>
  <c r="AH45" i="3"/>
  <c r="BA45" i="4"/>
  <c r="BA117" i="4" s="1"/>
  <c r="CJ209" i="2"/>
  <c r="EF24" i="329"/>
  <c r="U49" i="329"/>
  <c r="BT26" i="329"/>
  <c r="EP58" i="329"/>
  <c r="ER58" i="329" s="1"/>
  <c r="EO57" i="329"/>
  <c r="EQ57" i="329" s="1"/>
  <c r="AM105" i="329"/>
  <c r="DB273" i="329"/>
  <c r="EM273" i="329"/>
  <c r="EM243" i="329" s="1"/>
  <c r="EM293" i="329" s="1"/>
  <c r="EB27" i="3"/>
  <c r="EB75" i="3" s="1"/>
  <c r="EA42" i="3"/>
  <c r="AR66" i="3"/>
  <c r="AI27" i="4"/>
  <c r="BW28" i="4"/>
  <c r="CR22" i="4"/>
  <c r="CS22" i="4" s="1"/>
  <c r="CR24" i="4"/>
  <c r="CS24" i="4"/>
  <c r="CE54" i="4"/>
  <c r="AN45" i="3"/>
  <c r="EM197" i="2"/>
  <c r="CR13" i="4"/>
  <c r="CS13" i="4" s="1"/>
  <c r="E63" i="4"/>
  <c r="M63" i="4"/>
  <c r="Q63" i="4"/>
  <c r="AN63" i="4"/>
  <c r="CQ54" i="4"/>
  <c r="DC69" i="2"/>
  <c r="EN117" i="4"/>
  <c r="EB68" i="3"/>
  <c r="N68" i="3"/>
  <c r="DZ71" i="3"/>
  <c r="DZ67" i="3"/>
  <c r="EI110" i="4"/>
  <c r="Z4" i="4"/>
  <c r="AD4" i="4" s="1"/>
  <c r="CE29" i="4"/>
  <c r="EA21" i="3"/>
  <c r="BU9" i="4"/>
  <c r="BR63" i="4"/>
  <c r="BH117" i="4"/>
  <c r="BJ75" i="3"/>
  <c r="CR14" i="4"/>
  <c r="DL27" i="4"/>
  <c r="CR20" i="4"/>
  <c r="CS20" i="4" s="1"/>
  <c r="BK40" i="4"/>
  <c r="CE40" i="4"/>
  <c r="AO40" i="4"/>
  <c r="ET295" i="329"/>
  <c r="CT81" i="2"/>
  <c r="V45" i="3"/>
  <c r="AF45" i="3"/>
  <c r="EP117" i="4"/>
  <c r="I76" i="3"/>
  <c r="EI21" i="3"/>
  <c r="CL63" i="4"/>
  <c r="AZ79" i="2"/>
  <c r="AZ94" i="2" s="1"/>
  <c r="CR15" i="4"/>
  <c r="CS15" i="4" s="1"/>
  <c r="CR17" i="4"/>
  <c r="CS17" i="4" s="1"/>
  <c r="CM28" i="4"/>
  <c r="CR21" i="4"/>
  <c r="CS21" i="4" s="1"/>
  <c r="CR23" i="4"/>
  <c r="CS23" i="4" s="1"/>
  <c r="AH63" i="4"/>
  <c r="CP63" i="4"/>
  <c r="DG63" i="4"/>
  <c r="H55" i="3"/>
  <c r="L57" i="3"/>
  <c r="M56" i="3"/>
  <c r="Q59" i="3"/>
  <c r="U55" i="3"/>
  <c r="Z56" i="3"/>
  <c r="AD59" i="3"/>
  <c r="AJ55" i="3"/>
  <c r="AK50" i="3"/>
  <c r="AK81" i="3" s="1"/>
  <c r="H52" i="3"/>
  <c r="H83" i="3" s="1"/>
  <c r="K130" i="3"/>
  <c r="R51" i="3"/>
  <c r="R82" i="3" s="1"/>
  <c r="T51" i="3"/>
  <c r="T82" i="3" s="1"/>
  <c r="X130" i="3"/>
  <c r="AD52" i="3"/>
  <c r="AD83" i="3" s="1"/>
  <c r="AH52" i="3"/>
  <c r="AH83" i="3" s="1"/>
  <c r="AJ51" i="3"/>
  <c r="AJ82" i="3" s="1"/>
  <c r="AN51" i="3"/>
  <c r="AN82" i="3" s="1"/>
  <c r="AQ58" i="3"/>
  <c r="BD155" i="2"/>
  <c r="BD179" i="2" s="1"/>
  <c r="CG208" i="2"/>
  <c r="CK208" i="2"/>
  <c r="CK212" i="2"/>
  <c r="CH213" i="2"/>
  <c r="BN214" i="2"/>
  <c r="DB119" i="2"/>
  <c r="DB193" i="2"/>
  <c r="DF213" i="2" s="1"/>
  <c r="CT189" i="2"/>
  <c r="CA77" i="2"/>
  <c r="CH107" i="2"/>
  <c r="DV120" i="2"/>
  <c r="CF216" i="2"/>
  <c r="CG226" i="2"/>
  <c r="CY162" i="2"/>
  <c r="CY16" i="2" s="1"/>
  <c r="AP79" i="2"/>
  <c r="EL119" i="2"/>
  <c r="BM107" i="2"/>
  <c r="EQ122" i="2"/>
  <c r="CD107" i="2"/>
  <c r="AT122" i="2"/>
  <c r="CB119" i="2"/>
  <c r="BY152" i="2"/>
  <c r="BY176" i="2" s="1"/>
  <c r="CK152" i="2"/>
  <c r="CE212" i="2"/>
  <c r="CM212" i="2"/>
  <c r="CF213" i="2"/>
  <c r="BD214" i="2"/>
  <c r="CH216" i="2"/>
  <c r="BP217" i="2"/>
  <c r="CC226" i="2"/>
  <c r="CY193" i="2"/>
  <c r="CI85" i="2"/>
  <c r="CN176" i="2"/>
  <c r="EM123" i="2"/>
  <c r="BV155" i="2"/>
  <c r="BV179" i="2" s="1"/>
  <c r="BV227" i="2"/>
  <c r="AP78" i="2"/>
  <c r="AT93" i="2" s="1"/>
  <c r="AT107" i="2"/>
  <c r="AP103" i="4"/>
  <c r="AP107" i="2"/>
  <c r="AP100" i="3"/>
  <c r="AP88" i="3" s="1"/>
  <c r="AP85" i="2"/>
  <c r="AP99" i="2" s="1"/>
  <c r="BI100" i="3"/>
  <c r="BI9" i="2"/>
  <c r="BI76" i="2" s="1"/>
  <c r="BZ78" i="2"/>
  <c r="BZ412" i="329"/>
  <c r="BZ107" i="2"/>
  <c r="BZ128" i="2" s="1"/>
  <c r="BZ103" i="4"/>
  <c r="CH77" i="2"/>
  <c r="CY124" i="2"/>
  <c r="DR118" i="2"/>
  <c r="DS122" i="2"/>
  <c r="DW122" i="2"/>
  <c r="DV118" i="2"/>
  <c r="ER243" i="2"/>
  <c r="ER122" i="2"/>
  <c r="ES118" i="2"/>
  <c r="ER118" i="2"/>
  <c r="DS123" i="2"/>
  <c r="DR119" i="2"/>
  <c r="DV119" i="2"/>
  <c r="DW119" i="2"/>
  <c r="EA119" i="2"/>
  <c r="DZ119" i="2"/>
  <c r="DY120" i="2"/>
  <c r="DZ124" i="2"/>
  <c r="ED124" i="2"/>
  <c r="EC120" i="2"/>
  <c r="EL120" i="2"/>
  <c r="EK120" i="2"/>
  <c r="ER120" i="2"/>
  <c r="ET124" i="2"/>
  <c r="EJ223" i="2"/>
  <c r="EK223" i="2"/>
  <c r="AY161" i="2"/>
  <c r="BC230" i="2" s="1"/>
  <c r="AY152" i="2"/>
  <c r="BC160" i="2"/>
  <c r="BC189" i="2" s="1"/>
  <c r="BG212" i="2" s="1"/>
  <c r="BK230" i="2"/>
  <c r="BK160" i="2"/>
  <c r="BK189" i="2" s="1"/>
  <c r="BK212" i="2" s="1"/>
  <c r="CA226" i="2"/>
  <c r="BO226" i="2"/>
  <c r="BO152" i="2"/>
  <c r="BS161" i="2"/>
  <c r="BW230" i="2" s="1"/>
  <c r="BS152" i="2"/>
  <c r="BS176" i="2" s="1"/>
  <c r="CX225" i="2"/>
  <c r="CX157" i="2"/>
  <c r="CX187" i="2" s="1"/>
  <c r="EI152" i="2"/>
  <c r="EI176" i="2" s="1"/>
  <c r="EI161" i="2"/>
  <c r="EI160" i="2" s="1"/>
  <c r="EI189" i="2" s="1"/>
  <c r="CX226" i="2"/>
  <c r="CX183" i="2"/>
  <c r="CP189" i="2"/>
  <c r="CP212" i="2" s="1"/>
  <c r="CP229" i="2"/>
  <c r="CX229" i="2"/>
  <c r="CO208" i="2"/>
  <c r="CG212" i="2"/>
  <c r="CO212" i="2"/>
  <c r="CD213" i="2"/>
  <c r="CL213" i="2"/>
  <c r="BU187" i="2"/>
  <c r="BU155" i="2"/>
  <c r="BU179" i="2" s="1"/>
  <c r="CJ222" i="2"/>
  <c r="BE230" i="2"/>
  <c r="CF221" i="2"/>
  <c r="CY230" i="2"/>
  <c r="CY169" i="2"/>
  <c r="CY200" i="2" s="1"/>
  <c r="BD187" i="2"/>
  <c r="BD210" i="2" s="1"/>
  <c r="EF122" i="2"/>
  <c r="DB107" i="2"/>
  <c r="BC193" i="2"/>
  <c r="CH85" i="2"/>
  <c r="CH412" i="329"/>
  <c r="DZ118" i="2"/>
  <c r="AP9" i="2"/>
  <c r="AP17" i="2" s="1"/>
  <c r="BZ85" i="2"/>
  <c r="BG230" i="2"/>
  <c r="DD226" i="2"/>
  <c r="ET123" i="2"/>
  <c r="BI79" i="2"/>
  <c r="BG152" i="2"/>
  <c r="BG151" i="2" s="1"/>
  <c r="BG175" i="2" s="1"/>
  <c r="BZ209" i="2"/>
  <c r="CZ169" i="2"/>
  <c r="ET120" i="2"/>
  <c r="ED120" i="2"/>
  <c r="DU120" i="2"/>
  <c r="ED119" i="2"/>
  <c r="ES122" i="2"/>
  <c r="EM118" i="2"/>
  <c r="BC152" i="2"/>
  <c r="BC176" i="2" s="1"/>
  <c r="BS85" i="2"/>
  <c r="BS100" i="3"/>
  <c r="BW88" i="3" s="1"/>
  <c r="CU187" i="2"/>
  <c r="DB226" i="2"/>
  <c r="DD440" i="329"/>
  <c r="AR100" i="3"/>
  <c r="AV88" i="3" s="1"/>
  <c r="AR9" i="2"/>
  <c r="AV108" i="2" s="1"/>
  <c r="AR103" i="4"/>
  <c r="AR79" i="2"/>
  <c r="AR94" i="2" s="1"/>
  <c r="AZ78" i="2"/>
  <c r="AZ93" i="2" s="1"/>
  <c r="AZ410" i="329"/>
  <c r="AZ85" i="2"/>
  <c r="AZ99" i="2" s="1"/>
  <c r="AZ9" i="2"/>
  <c r="AZ108" i="2" s="1"/>
  <c r="AZ100" i="3"/>
  <c r="AZ88" i="3" s="1"/>
  <c r="BD107" i="2"/>
  <c r="BF410" i="329"/>
  <c r="BF77" i="2"/>
  <c r="BF78" i="2"/>
  <c r="BQ107" i="2"/>
  <c r="BM103" i="4"/>
  <c r="BM100" i="3"/>
  <c r="BV77" i="2"/>
  <c r="BV79" i="2"/>
  <c r="BV80" i="2"/>
  <c r="BV100" i="3"/>
  <c r="BV412" i="329"/>
  <c r="DB412" i="329"/>
  <c r="DB85" i="2"/>
  <c r="N122" i="2"/>
  <c r="BZ122" i="2"/>
  <c r="AV119" i="2"/>
  <c r="Y124" i="2"/>
  <c r="CK120" i="2"/>
  <c r="EQ119" i="2"/>
  <c r="EA124" i="2"/>
  <c r="CL222" i="2"/>
  <c r="CL176" i="2"/>
  <c r="BI161" i="2"/>
  <c r="BI152" i="2"/>
  <c r="BI176" i="2" s="1"/>
  <c r="BM161" i="2"/>
  <c r="BM226" i="2"/>
  <c r="CZ168" i="2"/>
  <c r="CZ225" i="2"/>
  <c r="ER179" i="2"/>
  <c r="ER208" i="2" s="1"/>
  <c r="ER242" i="2" s="1"/>
  <c r="ER225" i="2"/>
  <c r="BB187" i="2"/>
  <c r="BB210" i="2" s="1"/>
  <c r="BB227" i="2"/>
  <c r="BI187" i="2"/>
  <c r="CI208" i="2"/>
  <c r="CM208" i="2"/>
  <c r="CJ213" i="2"/>
  <c r="CD216" i="2"/>
  <c r="BH217" i="2"/>
  <c r="BL217" i="2"/>
  <c r="DD208" i="2"/>
  <c r="DD162" i="2"/>
  <c r="DD231" i="2" s="1"/>
  <c r="DD230" i="2"/>
  <c r="CC152" i="2"/>
  <c r="CC153" i="2" s="1"/>
  <c r="CC8" i="2" s="1"/>
  <c r="CC9" i="2" s="1"/>
  <c r="EQ156" i="2"/>
  <c r="ER226" i="2" s="1"/>
  <c r="DB230" i="2"/>
  <c r="EW161" i="2"/>
  <c r="EW193" i="2" s="1"/>
  <c r="CX189" i="2"/>
  <c r="BV78" i="2"/>
  <c r="AZ107" i="2"/>
  <c r="BI155" i="2"/>
  <c r="BI179" i="2" s="1"/>
  <c r="BV187" i="2"/>
  <c r="AP410" i="329"/>
  <c r="BF103" i="4"/>
  <c r="BR107" i="2"/>
  <c r="EE119" i="2"/>
  <c r="DD169" i="2"/>
  <c r="DD238" i="2" s="1"/>
  <c r="CN209" i="2"/>
  <c r="DD118" i="2"/>
  <c r="BI103" i="4"/>
  <c r="CH221" i="2"/>
  <c r="BM152" i="2"/>
  <c r="BM176" i="2" s="1"/>
  <c r="EA122" i="2"/>
  <c r="CZ152" i="2"/>
  <c r="CZ222" i="2" s="1"/>
  <c r="DZ120" i="2"/>
  <c r="EO123" i="2"/>
  <c r="DW123" i="2"/>
  <c r="DS118" i="2"/>
  <c r="CT169" i="2"/>
  <c r="CT200" i="2" s="1"/>
  <c r="CX179" i="2"/>
  <c r="CX123" i="2"/>
  <c r="EI123" i="2"/>
  <c r="EF118" i="2"/>
  <c r="CR213" i="2"/>
  <c r="BA152" i="2"/>
  <c r="BA151" i="2" s="1"/>
  <c r="BE152" i="2"/>
  <c r="BE151" i="2" s="1"/>
  <c r="BE175" i="2" s="1"/>
  <c r="BR155" i="2"/>
  <c r="BR179" i="2" s="1"/>
  <c r="DC119" i="2"/>
  <c r="DB106" i="2"/>
  <c r="BF217" i="2"/>
  <c r="P371" i="329"/>
  <c r="P372" i="329" s="1"/>
  <c r="Q49" i="329"/>
  <c r="AN48" i="329"/>
  <c r="AO49" i="329" s="1"/>
  <c r="AO83" i="329" s="1"/>
  <c r="AO26" i="329"/>
  <c r="EW48" i="329"/>
  <c r="DB49" i="329"/>
  <c r="DB83" i="329" s="1"/>
  <c r="DB90" i="329" s="1"/>
  <c r="F126" i="329"/>
  <c r="EE125" i="329"/>
  <c r="AX139" i="329"/>
  <c r="BB138" i="329" s="1"/>
  <c r="BB137" i="329" s="1"/>
  <c r="BB111" i="329" s="1"/>
  <c r="AX148" i="329"/>
  <c r="BB139" i="329"/>
  <c r="BF138" i="329" s="1"/>
  <c r="BF137" i="329" s="1"/>
  <c r="BF111" i="329" s="1"/>
  <c r="BB148" i="329"/>
  <c r="BF139" i="329"/>
  <c r="BJ138" i="329" s="1"/>
  <c r="BJ137" i="329" s="1"/>
  <c r="BJ111" i="329" s="1"/>
  <c r="BF176" i="329"/>
  <c r="BF168" i="329" s="1"/>
  <c r="BF148" i="329"/>
  <c r="BJ139" i="329"/>
  <c r="BN138" i="329" s="1"/>
  <c r="BN137" i="329" s="1"/>
  <c r="BN111" i="329" s="1"/>
  <c r="BJ176" i="329"/>
  <c r="BJ125" i="329"/>
  <c r="BJ105" i="329" s="1"/>
  <c r="BJ148" i="329"/>
  <c r="BN164" i="329"/>
  <c r="BN152" i="329"/>
  <c r="BN160" i="329"/>
  <c r="BN156" i="329"/>
  <c r="BR176" i="329"/>
  <c r="BR148" i="329"/>
  <c r="BV176" i="329"/>
  <c r="BV177" i="329" s="1"/>
  <c r="BV148" i="329"/>
  <c r="BZ176" i="329"/>
  <c r="CD177" i="329" s="1"/>
  <c r="BZ148" i="329"/>
  <c r="ER147" i="329"/>
  <c r="ER148" i="329" s="1"/>
  <c r="CD148" i="329"/>
  <c r="CH125" i="329"/>
  <c r="CH176" i="329"/>
  <c r="CH148" i="329"/>
  <c r="CL139" i="329"/>
  <c r="CP138" i="329" s="1"/>
  <c r="CP137" i="329" s="1"/>
  <c r="CP111" i="329" s="1"/>
  <c r="CL125" i="329"/>
  <c r="CL148" i="329"/>
  <c r="CL176" i="329"/>
  <c r="CP177" i="329" s="1"/>
  <c r="CP148" i="329"/>
  <c r="CP125" i="329"/>
  <c r="CP139" i="329"/>
  <c r="CT138" i="329" s="1"/>
  <c r="CT137" i="329" s="1"/>
  <c r="CT111" i="329" s="1"/>
  <c r="CT176" i="329"/>
  <c r="CT152" i="329" s="1"/>
  <c r="CT125" i="329"/>
  <c r="EB139" i="329"/>
  <c r="EC138" i="329" s="1"/>
  <c r="EB148" i="329"/>
  <c r="CK290" i="329"/>
  <c r="CK242" i="329"/>
  <c r="CW85" i="2"/>
  <c r="CI355" i="329"/>
  <c r="CE334" i="329"/>
  <c r="CE338" i="329"/>
  <c r="CE346" i="329"/>
  <c r="CE342" i="329"/>
  <c r="BO334" i="329"/>
  <c r="BO335" i="329" s="1"/>
  <c r="BO338" i="329"/>
  <c r="BO342" i="329"/>
  <c r="BS343" i="329" s="1"/>
  <c r="M118" i="2"/>
  <c r="Q122" i="2"/>
  <c r="U122" i="2"/>
  <c r="Y122" i="2"/>
  <c r="Y118" i="2"/>
  <c r="AC122" i="2"/>
  <c r="AC118" i="2"/>
  <c r="AG122" i="2"/>
  <c r="AG118" i="2"/>
  <c r="AK122" i="2"/>
  <c r="AK118" i="2"/>
  <c r="AO118" i="2"/>
  <c r="AS118" i="2"/>
  <c r="AW122" i="2"/>
  <c r="BA122" i="2"/>
  <c r="BE122" i="2"/>
  <c r="BE118" i="2"/>
  <c r="BI122" i="2"/>
  <c r="BI118" i="2"/>
  <c r="BM122" i="2"/>
  <c r="BM118" i="2"/>
  <c r="BQ122" i="2"/>
  <c r="BQ118" i="2"/>
  <c r="BU118" i="2"/>
  <c r="BY118" i="2"/>
  <c r="CC122" i="2"/>
  <c r="CG122" i="2"/>
  <c r="CK122" i="2"/>
  <c r="CK118" i="2"/>
  <c r="CO122" i="2"/>
  <c r="CO118" i="2"/>
  <c r="CS122" i="2"/>
  <c r="CS118" i="2"/>
  <c r="CW122" i="2"/>
  <c r="CW118" i="2"/>
  <c r="DA118" i="2"/>
  <c r="O123" i="2"/>
  <c r="S123" i="2"/>
  <c r="S119" i="2"/>
  <c r="W123" i="2"/>
  <c r="AA119" i="2"/>
  <c r="AI123" i="2"/>
  <c r="AM123" i="2"/>
  <c r="AQ123" i="2"/>
  <c r="AQ119" i="2"/>
  <c r="AU123" i="2"/>
  <c r="AY123" i="2"/>
  <c r="AY119" i="2"/>
  <c r="BC123" i="2"/>
  <c r="BG119" i="2"/>
  <c r="BO119" i="2"/>
  <c r="BS119" i="2"/>
  <c r="BS123" i="2"/>
  <c r="BW119" i="2"/>
  <c r="BW123" i="2"/>
  <c r="CA123" i="2"/>
  <c r="CE119" i="2"/>
  <c r="CI119" i="2"/>
  <c r="CI123" i="2"/>
  <c r="CM119" i="2"/>
  <c r="CM123" i="2"/>
  <c r="CQ123" i="2"/>
  <c r="CU123" i="2"/>
  <c r="CY123" i="2"/>
  <c r="CU119" i="2"/>
  <c r="L120" i="2"/>
  <c r="P124" i="2"/>
  <c r="T124" i="2"/>
  <c r="X120" i="2"/>
  <c r="AB120" i="2"/>
  <c r="AF120" i="2"/>
  <c r="AF124" i="2"/>
  <c r="AJ120" i="2"/>
  <c r="AJ124" i="2"/>
  <c r="AN120" i="2"/>
  <c r="AN124" i="2"/>
  <c r="AR120" i="2"/>
  <c r="AR124" i="2"/>
  <c r="CU229" i="2"/>
  <c r="CU189" i="2"/>
  <c r="CY229" i="2"/>
  <c r="DA229" i="2"/>
  <c r="DA162" i="2"/>
  <c r="DA16" i="2" s="1"/>
  <c r="CO102" i="3" s="1"/>
  <c r="DA189" i="2"/>
  <c r="DE212" i="2" s="1"/>
  <c r="DA168" i="2"/>
  <c r="BZ231" i="2"/>
  <c r="CD231" i="2"/>
  <c r="BZ197" i="2"/>
  <c r="BZ214" i="2" s="1"/>
  <c r="EQ162" i="2"/>
  <c r="EQ231" i="2" s="1"/>
  <c r="BZ16" i="2"/>
  <c r="BZ79" i="2" s="1"/>
  <c r="CT92" i="329"/>
  <c r="AQ80" i="329"/>
  <c r="AQ85" i="329" s="1"/>
  <c r="AM30" i="329"/>
  <c r="DA106" i="2"/>
  <c r="DA124" i="2" s="1"/>
  <c r="CP160" i="329"/>
  <c r="CP172" i="329" s="1"/>
  <c r="BO346" i="329"/>
  <c r="CV411" i="329"/>
  <c r="CR7" i="2"/>
  <c r="CR85" i="2" s="1"/>
  <c r="CU162" i="2"/>
  <c r="BM78" i="2"/>
  <c r="BM85" i="2"/>
  <c r="CL78" i="2"/>
  <c r="CL77" i="2"/>
  <c r="BX8" i="2"/>
  <c r="BX101" i="3" s="1"/>
  <c r="BX58" i="3" s="1"/>
  <c r="EP153" i="2"/>
  <c r="EP223" i="2" s="1"/>
  <c r="BX223" i="2"/>
  <c r="BX177" i="2"/>
  <c r="BX157" i="2"/>
  <c r="CK183" i="2"/>
  <c r="ES156" i="2"/>
  <c r="EU226" i="2" s="1"/>
  <c r="CT213" i="2"/>
  <c r="BV76" i="2"/>
  <c r="CV310" i="329"/>
  <c r="CZ313" i="329" s="1"/>
  <c r="AS296" i="329"/>
  <c r="DA408" i="329"/>
  <c r="AU374" i="329"/>
  <c r="AU382" i="329" s="1"/>
  <c r="CP187" i="329"/>
  <c r="CO338" i="329"/>
  <c r="CO339" i="329" s="1"/>
  <c r="CO365" i="329"/>
  <c r="CO342" i="329"/>
  <c r="CO330" i="329"/>
  <c r="CO346" i="329"/>
  <c r="CD156" i="329"/>
  <c r="CD168" i="329"/>
  <c r="CD187" i="329"/>
  <c r="CD160" i="329"/>
  <c r="Y49" i="329"/>
  <c r="X371" i="329"/>
  <c r="CE330" i="329"/>
  <c r="CY189" i="2"/>
  <c r="AK374" i="329"/>
  <c r="AO375" i="329" s="1"/>
  <c r="ES326" i="329"/>
  <c r="EV46" i="329"/>
  <c r="EW58" i="329"/>
  <c r="F103" i="329"/>
  <c r="G104" i="329"/>
  <c r="CZ120" i="2"/>
  <c r="DB355" i="329"/>
  <c r="BQ157" i="2"/>
  <c r="BQ187" i="2" s="1"/>
  <c r="DD49" i="329"/>
  <c r="DK132" i="3"/>
  <c r="BY350" i="329"/>
  <c r="CU153" i="2"/>
  <c r="BY343" i="329"/>
  <c r="EX55" i="329"/>
  <c r="EX56" i="329" s="1"/>
  <c r="EU404" i="329"/>
  <c r="EU183" i="2"/>
  <c r="BD227" i="2"/>
  <c r="AZ155" i="2"/>
  <c r="AZ179" i="2" s="1"/>
  <c r="CK77" i="2"/>
  <c r="CK412" i="329"/>
  <c r="CC412" i="329"/>
  <c r="CC78" i="2"/>
  <c r="BJ79" i="2"/>
  <c r="BJ81" i="2"/>
  <c r="BJ96" i="2" s="1"/>
  <c r="BJ80" i="2"/>
  <c r="BJ9" i="2"/>
  <c r="BJ17" i="2" s="1"/>
  <c r="BJ82" i="2" s="1"/>
  <c r="G389" i="329"/>
  <c r="G135" i="2"/>
  <c r="DC224" i="329"/>
  <c r="BJ85" i="2"/>
  <c r="BJ99" i="2" s="1"/>
  <c r="CK78" i="2"/>
  <c r="BK126" i="329"/>
  <c r="BP155" i="2"/>
  <c r="AI33" i="329"/>
  <c r="BK331" i="329"/>
  <c r="T374" i="329"/>
  <c r="T92" i="329"/>
  <c r="T105" i="329" s="1"/>
  <c r="CG346" i="329"/>
  <c r="CC100" i="3"/>
  <c r="EU148" i="2"/>
  <c r="CK338" i="329"/>
  <c r="CK339" i="329" s="1"/>
  <c r="DX135" i="2"/>
  <c r="H135" i="2"/>
  <c r="CU308" i="329"/>
  <c r="CU354" i="329"/>
  <c r="J135" i="2"/>
  <c r="I135" i="2"/>
  <c r="ES106" i="2"/>
  <c r="ES120" i="2" s="1"/>
  <c r="DA224" i="329"/>
  <c r="CU176" i="2"/>
  <c r="BJ77" i="2"/>
  <c r="BN92" i="2" s="1"/>
  <c r="EQ7" i="2"/>
  <c r="CA412" i="329"/>
  <c r="CI77" i="2"/>
  <c r="CK85" i="2"/>
  <c r="CK99" i="2" s="1"/>
  <c r="BT227" i="2"/>
  <c r="DX374" i="329"/>
  <c r="DX92" i="329"/>
  <c r="DD407" i="329"/>
  <c r="CZ245" i="329"/>
  <c r="CG355" i="329"/>
  <c r="BJ78" i="2"/>
  <c r="AO245" i="329"/>
  <c r="BU330" i="329"/>
  <c r="L389" i="329"/>
  <c r="BY79" i="2"/>
  <c r="BY100" i="3"/>
  <c r="AS11" i="329"/>
  <c r="AS38" i="329" s="1"/>
  <c r="CU169" i="2"/>
  <c r="CU170" i="2" s="1"/>
  <c r="EI119" i="2"/>
  <c r="BJ107" i="2"/>
  <c r="CC85" i="2"/>
  <c r="ES7" i="2"/>
  <c r="EG103" i="4" s="1"/>
  <c r="CX119" i="2"/>
  <c r="CI78" i="2"/>
  <c r="BP252" i="329"/>
  <c r="EL157" i="2"/>
  <c r="EL187" i="2" s="1"/>
  <c r="EL177" i="2"/>
  <c r="CH308" i="329"/>
  <c r="BU334" i="329"/>
  <c r="CK365" i="329"/>
  <c r="CO355" i="329"/>
  <c r="EL122" i="2"/>
  <c r="EC123" i="2"/>
  <c r="ES123" i="2"/>
  <c r="DW120" i="2"/>
  <c r="EA120" i="2"/>
  <c r="EM120" i="2"/>
  <c r="CZ151" i="2"/>
  <c r="CZ175" i="2" s="1"/>
  <c r="EK156" i="2"/>
  <c r="EM156" i="2"/>
  <c r="EN156" i="2"/>
  <c r="EV226" i="2"/>
  <c r="EW156" i="2"/>
  <c r="EW183" i="2" s="1"/>
  <c r="CW230" i="2"/>
  <c r="EU161" i="2"/>
  <c r="EU193" i="2" s="1"/>
  <c r="CF209" i="2"/>
  <c r="CL209" i="2"/>
  <c r="CL216" i="2"/>
  <c r="EW46" i="329"/>
  <c r="EX46" i="329"/>
  <c r="EX58" i="329"/>
  <c r="EY56" i="329"/>
  <c r="EZ56" i="329" s="1"/>
  <c r="DA221" i="329"/>
  <c r="EW160" i="2"/>
  <c r="EF22" i="329"/>
  <c r="CU70" i="329"/>
  <c r="CU222" i="2"/>
  <c r="CZ355" i="329"/>
  <c r="DD355" i="329"/>
  <c r="DD310" i="329"/>
  <c r="DH313" i="329" s="1"/>
  <c r="DD301" i="329"/>
  <c r="EX49" i="329"/>
  <c r="EV58" i="329"/>
  <c r="V118" i="2"/>
  <c r="AL118" i="2"/>
  <c r="BB118" i="2"/>
  <c r="BR122" i="2"/>
  <c r="CX118" i="2"/>
  <c r="P119" i="2"/>
  <c r="AF119" i="2"/>
  <c r="AN119" i="2"/>
  <c r="BL119" i="2"/>
  <c r="BT119" i="2"/>
  <c r="CV119" i="2"/>
  <c r="Q120" i="2"/>
  <c r="AO120" i="2"/>
  <c r="AW124" i="2"/>
  <c r="BM120" i="2"/>
  <c r="CC124" i="2"/>
  <c r="EJ123" i="2"/>
  <c r="EV152" i="2"/>
  <c r="BZ175" i="2"/>
  <c r="BF155" i="2"/>
  <c r="BF179" i="2" s="1"/>
  <c r="CS209" i="2"/>
  <c r="CL212" i="2"/>
  <c r="CE213" i="2"/>
  <c r="CM213" i="2"/>
  <c r="BP214" i="2"/>
  <c r="BG217" i="2"/>
  <c r="BK217" i="2"/>
  <c r="EH123" i="2"/>
  <c r="ER151" i="2"/>
  <c r="ER175" i="2" s="1"/>
  <c r="EQ151" i="2"/>
  <c r="EQ175" i="2" s="1"/>
  <c r="EO156" i="2"/>
  <c r="EL156" i="2"/>
  <c r="BZ153" i="2"/>
  <c r="BZ157" i="2" s="1"/>
  <c r="BZ227" i="2" s="1"/>
  <c r="EV160" i="2"/>
  <c r="AU85" i="2"/>
  <c r="EV157" i="2"/>
  <c r="AN85" i="2"/>
  <c r="AN99" i="2" s="1"/>
  <c r="DA78" i="2"/>
  <c r="EM122" i="2"/>
  <c r="Q124" i="2"/>
  <c r="CX122" i="2"/>
  <c r="AL122" i="2"/>
  <c r="EB123" i="2"/>
  <c r="DC123" i="2"/>
  <c r="CW209" i="2"/>
  <c r="BQ103" i="4"/>
  <c r="BQ79" i="2"/>
  <c r="BQ78" i="2"/>
  <c r="BQ85" i="2"/>
  <c r="BQ77" i="2"/>
  <c r="BQ92" i="2" s="1"/>
  <c r="BQ100" i="3"/>
  <c r="CF77" i="2"/>
  <c r="CF92" i="2" s="1"/>
  <c r="CF78" i="2"/>
  <c r="CF107" i="2"/>
  <c r="CF412" i="329"/>
  <c r="J118" i="2"/>
  <c r="AD118" i="2"/>
  <c r="AH118" i="2"/>
  <c r="AH122" i="2"/>
  <c r="AP118" i="2"/>
  <c r="AP122" i="2"/>
  <c r="BJ118" i="2"/>
  <c r="BN118" i="2"/>
  <c r="BN122" i="2"/>
  <c r="BZ118" i="2"/>
  <c r="CH118" i="2"/>
  <c r="CP118" i="2"/>
  <c r="CT118" i="2"/>
  <c r="CT122" i="2"/>
  <c r="DB118" i="2"/>
  <c r="DB122" i="2"/>
  <c r="L119" i="2"/>
  <c r="T123" i="2"/>
  <c r="AB123" i="2"/>
  <c r="AB119" i="2"/>
  <c r="AJ123" i="2"/>
  <c r="AJ119" i="2"/>
  <c r="AV123" i="2"/>
  <c r="BD123" i="2"/>
  <c r="BH123" i="2"/>
  <c r="BH119" i="2"/>
  <c r="BP123" i="2"/>
  <c r="BP119" i="2"/>
  <c r="BX123" i="2"/>
  <c r="BX119" i="2"/>
  <c r="CB123" i="2"/>
  <c r="CJ123" i="2"/>
  <c r="CJ119" i="2"/>
  <c r="M120" i="2"/>
  <c r="U120" i="2"/>
  <c r="U124" i="2"/>
  <c r="AC120" i="2"/>
  <c r="AC124" i="2"/>
  <c r="AC127" i="2"/>
  <c r="AS120" i="2"/>
  <c r="AS124" i="2"/>
  <c r="BA120" i="2"/>
  <c r="BA124" i="2"/>
  <c r="BU120" i="2"/>
  <c r="CK124" i="2"/>
  <c r="CO124" i="2"/>
  <c r="CO120" i="2"/>
  <c r="CW124" i="2"/>
  <c r="CW120" i="2"/>
  <c r="DV122" i="2"/>
  <c r="DT122" i="2"/>
  <c r="DU122" i="2"/>
  <c r="DT118" i="2"/>
  <c r="EB118" i="2"/>
  <c r="EB122" i="2"/>
  <c r="EO243" i="2"/>
  <c r="EO122" i="2"/>
  <c r="EO118" i="2"/>
  <c r="DU119" i="2"/>
  <c r="DT123" i="2"/>
  <c r="DU123" i="2"/>
  <c r="DV123" i="2"/>
  <c r="DZ123" i="2"/>
  <c r="DX123" i="2"/>
  <c r="DY119" i="2"/>
  <c r="DX119" i="2"/>
  <c r="EL123" i="2"/>
  <c r="EK119" i="2"/>
  <c r="EN123" i="2"/>
  <c r="EO119" i="2"/>
  <c r="EN119" i="2"/>
  <c r="ER123" i="2"/>
  <c r="DT124" i="2"/>
  <c r="DT120" i="2"/>
  <c r="DS120" i="2"/>
  <c r="DU124" i="2"/>
  <c r="DS124" i="2"/>
  <c r="EC124" i="2"/>
  <c r="EB124" i="2"/>
  <c r="EE124" i="2"/>
  <c r="EE120" i="2"/>
  <c r="CD153" i="2"/>
  <c r="CD8" i="2" s="1"/>
  <c r="CD9" i="2" s="1"/>
  <c r="CD76" i="2" s="1"/>
  <c r="CD176" i="2"/>
  <c r="CD222" i="2"/>
  <c r="CH176" i="2"/>
  <c r="CH153" i="2"/>
  <c r="CH8" i="2" s="1"/>
  <c r="CH9" i="2" s="1"/>
  <c r="CH108" i="2" s="1"/>
  <c r="CH222" i="2"/>
  <c r="CQ225" i="2"/>
  <c r="CU225" i="2"/>
  <c r="DB225" i="2"/>
  <c r="DB168" i="2"/>
  <c r="CS226" i="2"/>
  <c r="CO152" i="2"/>
  <c r="CO222" i="2" s="1"/>
  <c r="EQ189" i="2"/>
  <c r="ER229" i="2"/>
  <c r="CH208" i="2"/>
  <c r="CL208" i="2"/>
  <c r="CP208" i="2"/>
  <c r="CT208" i="2"/>
  <c r="CA209" i="2"/>
  <c r="CE209" i="2"/>
  <c r="CK216" i="2"/>
  <c r="CG216" i="2"/>
  <c r="CJ221" i="2"/>
  <c r="EU160" i="2"/>
  <c r="EU189" i="2" s="1"/>
  <c r="EU212" i="2" s="1"/>
  <c r="DA183" i="2"/>
  <c r="DA209" i="2" s="1"/>
  <c r="CO226" i="2"/>
  <c r="AN103" i="4"/>
  <c r="AN78" i="2"/>
  <c r="AN93" i="2" s="1"/>
  <c r="AR107" i="2"/>
  <c r="EJ119" i="2"/>
  <c r="AU80" i="2"/>
  <c r="DD421" i="329"/>
  <c r="BU124" i="2"/>
  <c r="AO124" i="2"/>
  <c r="CV123" i="2"/>
  <c r="CP122" i="2"/>
  <c r="BJ122" i="2"/>
  <c r="AD122" i="2"/>
  <c r="EQ123" i="2"/>
  <c r="EK118" i="2"/>
  <c r="BG100" i="3"/>
  <c r="BG78" i="2"/>
  <c r="BG77" i="2"/>
  <c r="BG103" i="4"/>
  <c r="BX78" i="2"/>
  <c r="BX107" i="2"/>
  <c r="BX100" i="3"/>
  <c r="BX103" i="4"/>
  <c r="BX85" i="2"/>
  <c r="CJ107" i="2"/>
  <c r="CN77" i="2"/>
  <c r="CN79" i="2"/>
  <c r="CN107" i="2"/>
  <c r="CN85" i="2"/>
  <c r="CN412" i="329"/>
  <c r="N118" i="2"/>
  <c r="R118" i="2"/>
  <c r="R122" i="2"/>
  <c r="Z118" i="2"/>
  <c r="Z122" i="2"/>
  <c r="AT118" i="2"/>
  <c r="AX118" i="2"/>
  <c r="AX122" i="2"/>
  <c r="BF118" i="2"/>
  <c r="BF122" i="2"/>
  <c r="BR118" i="2"/>
  <c r="BV118" i="2"/>
  <c r="BV122" i="2"/>
  <c r="CD118" i="2"/>
  <c r="CD122" i="2"/>
  <c r="CL118" i="2"/>
  <c r="CL122" i="2"/>
  <c r="X123" i="2"/>
  <c r="AF123" i="2"/>
  <c r="AN123" i="2"/>
  <c r="AR123" i="2"/>
  <c r="AR119" i="2"/>
  <c r="AZ123" i="2"/>
  <c r="AZ119" i="2"/>
  <c r="BL123" i="2"/>
  <c r="BT123" i="2"/>
  <c r="CF123" i="2"/>
  <c r="CN119" i="2"/>
  <c r="CR123" i="2"/>
  <c r="CR119" i="2"/>
  <c r="Y120" i="2"/>
  <c r="AG120" i="2"/>
  <c r="AK120" i="2"/>
  <c r="AK124" i="2"/>
  <c r="AW120" i="2"/>
  <c r="BE120" i="2"/>
  <c r="BI120" i="2"/>
  <c r="BI124" i="2"/>
  <c r="BQ120" i="2"/>
  <c r="BQ124" i="2"/>
  <c r="BY120" i="2"/>
  <c r="CC120" i="2"/>
  <c r="CC127" i="2"/>
  <c r="CG124" i="2"/>
  <c r="CG120" i="2"/>
  <c r="CS124" i="2"/>
  <c r="DX122" i="2"/>
  <c r="DZ122" i="2"/>
  <c r="DX118" i="2"/>
  <c r="DY122" i="2"/>
  <c r="ET243" i="2"/>
  <c r="ET122" i="2"/>
  <c r="EB119" i="2"/>
  <c r="EC119" i="2"/>
  <c r="ED123" i="2"/>
  <c r="DY124" i="2"/>
  <c r="DW124" i="2"/>
  <c r="DX120" i="2"/>
  <c r="CF153" i="2"/>
  <c r="CF157" i="2" s="1"/>
  <c r="CF170" i="2" s="1"/>
  <c r="CF169" i="2" s="1"/>
  <c r="EV161" i="2"/>
  <c r="DA169" i="2"/>
  <c r="DA200" i="2" s="1"/>
  <c r="ET156" i="2"/>
  <c r="AY107" i="2"/>
  <c r="AU100" i="3"/>
  <c r="AU103" i="4"/>
  <c r="AN410" i="329"/>
  <c r="CC107" i="2"/>
  <c r="CC128" i="2" s="1"/>
  <c r="ET118" i="2"/>
  <c r="DD168" i="2"/>
  <c r="CS120" i="2"/>
  <c r="BM124" i="2"/>
  <c r="AG124" i="2"/>
  <c r="CN123" i="2"/>
  <c r="BD119" i="2"/>
  <c r="X119" i="2"/>
  <c r="CH122" i="2"/>
  <c r="BB122" i="2"/>
  <c r="V122" i="2"/>
  <c r="DB157" i="2"/>
  <c r="EU155" i="2"/>
  <c r="EV225" i="2" s="1"/>
  <c r="EM124" i="2"/>
  <c r="DX124" i="2"/>
  <c r="ES119" i="2"/>
  <c r="DY123" i="2"/>
  <c r="DT119" i="2"/>
  <c r="DY118" i="2"/>
  <c r="DU118" i="2"/>
  <c r="CN78" i="2"/>
  <c r="CF85" i="2"/>
  <c r="CZ123" i="2"/>
  <c r="EV183" i="2"/>
  <c r="DW128" i="2"/>
  <c r="BO124" i="2"/>
  <c r="CP209" i="2"/>
  <c r="AZ193" i="2"/>
  <c r="AZ160" i="2"/>
  <c r="AZ189" i="2" s="1"/>
  <c r="BJ214" i="2"/>
  <c r="AY100" i="3"/>
  <c r="CT229" i="2"/>
  <c r="AY77" i="2"/>
  <c r="EK177" i="2"/>
  <c r="AY103" i="4"/>
  <c r="CY226" i="2"/>
  <c r="AY85" i="2"/>
  <c r="EO223" i="2"/>
  <c r="EL231" i="2"/>
  <c r="CR208" i="2"/>
  <c r="CK226" i="2"/>
  <c r="EW155" i="2"/>
  <c r="EW179" i="2" s="1"/>
  <c r="AY78" i="2"/>
  <c r="CV208" i="2"/>
  <c r="DC199" i="2"/>
  <c r="BK226" i="2"/>
  <c r="CN421" i="329"/>
  <c r="CR421" i="329"/>
  <c r="CV421" i="329"/>
  <c r="CZ421" i="329"/>
  <c r="CO421" i="329"/>
  <c r="CS421" i="329"/>
  <c r="CW421" i="329"/>
  <c r="DA421" i="329"/>
  <c r="CP151" i="2"/>
  <c r="CP168" i="2" s="1"/>
  <c r="CP203" i="2" s="1"/>
  <c r="CP421" i="329"/>
  <c r="CT151" i="2"/>
  <c r="CT175" i="2" s="1"/>
  <c r="CT421" i="329"/>
  <c r="CX421" i="329"/>
  <c r="DB421" i="329"/>
  <c r="ET179" i="2"/>
  <c r="CS189" i="2"/>
  <c r="CS212" i="2" s="1"/>
  <c r="CQ421" i="329"/>
  <c r="CU421" i="329"/>
  <c r="CY421" i="329"/>
  <c r="DC421" i="329"/>
  <c r="EH11" i="329"/>
  <c r="EH38" i="329" s="1"/>
  <c r="EH119" i="2"/>
  <c r="EH245" i="2"/>
  <c r="EH246" i="2"/>
  <c r="EF243" i="2"/>
  <c r="EF242" i="2"/>
  <c r="DT243" i="2"/>
  <c r="DT242" i="2"/>
  <c r="DX243" i="2"/>
  <c r="DX242" i="2"/>
  <c r="EB243" i="2"/>
  <c r="EB242" i="2"/>
  <c r="DT245" i="2"/>
  <c r="DT246" i="2"/>
  <c r="DX245" i="2"/>
  <c r="DX246" i="2"/>
  <c r="EB245" i="2"/>
  <c r="EB246" i="2"/>
  <c r="DQ243" i="2"/>
  <c r="DQ242" i="2"/>
  <c r="DU243" i="2"/>
  <c r="DU242" i="2"/>
  <c r="DY243" i="2"/>
  <c r="DY242" i="2"/>
  <c r="ED243" i="2"/>
  <c r="ED242" i="2"/>
  <c r="DQ246" i="2"/>
  <c r="DQ245" i="2"/>
  <c r="DU246" i="2"/>
  <c r="DU245" i="2"/>
  <c r="DY246" i="2"/>
  <c r="DY245" i="2"/>
  <c r="EC246" i="2"/>
  <c r="EC245" i="2"/>
  <c r="EF245" i="2"/>
  <c r="EF246" i="2"/>
  <c r="EH243" i="2"/>
  <c r="EH242" i="2"/>
  <c r="DR243" i="2"/>
  <c r="DR242" i="2"/>
  <c r="DV243" i="2"/>
  <c r="DV242" i="2"/>
  <c r="DZ243" i="2"/>
  <c r="DZ242" i="2"/>
  <c r="EE243" i="2"/>
  <c r="EE242" i="2"/>
  <c r="DR246" i="2"/>
  <c r="DR245" i="2"/>
  <c r="DV245" i="2"/>
  <c r="DV246" i="2"/>
  <c r="DZ246" i="2"/>
  <c r="DZ245" i="2"/>
  <c r="ED246" i="2"/>
  <c r="ED245" i="2"/>
  <c r="EI246" i="2"/>
  <c r="EI245" i="2"/>
  <c r="DS243" i="2"/>
  <c r="DS242" i="2"/>
  <c r="DW243" i="2"/>
  <c r="DW242" i="2"/>
  <c r="EA243" i="2"/>
  <c r="EA242" i="2"/>
  <c r="DS246" i="2"/>
  <c r="DS245" i="2"/>
  <c r="DW246" i="2"/>
  <c r="DW245" i="2"/>
  <c r="EA246" i="2"/>
  <c r="EA245" i="2"/>
  <c r="EE246" i="2"/>
  <c r="EE245" i="2"/>
  <c r="EG246" i="2"/>
  <c r="EG245" i="2"/>
  <c r="AX19" i="2"/>
  <c r="BB110" i="2" s="1"/>
  <c r="CE208" i="2"/>
  <c r="I58" i="3"/>
  <c r="N58" i="3"/>
  <c r="AH58" i="3"/>
  <c r="AO58" i="3"/>
  <c r="AT58" i="3"/>
  <c r="CT78" i="2"/>
  <c r="CT77" i="2"/>
  <c r="BQ10" i="4"/>
  <c r="BQ12" i="2" s="1"/>
  <c r="BP12" i="2"/>
  <c r="BE9" i="4"/>
  <c r="DR50" i="3"/>
  <c r="DR81" i="3" s="1"/>
  <c r="Z124" i="3"/>
  <c r="DR57" i="3"/>
  <c r="AC124" i="3"/>
  <c r="DR59" i="3"/>
  <c r="AA124" i="3"/>
  <c r="DR127" i="3"/>
  <c r="DR55" i="3"/>
  <c r="DR56" i="3"/>
  <c r="O110" i="2"/>
  <c r="CK8" i="4"/>
  <c r="CJ29" i="4"/>
  <c r="CJ42" i="4" s="1"/>
  <c r="CJ98" i="4" s="1"/>
  <c r="CJ99" i="4" s="1"/>
  <c r="CJ40" i="3"/>
  <c r="CJ42" i="3" s="1"/>
  <c r="BD80" i="2"/>
  <c r="BD105" i="4"/>
  <c r="CM78" i="2"/>
  <c r="CM107" i="2"/>
  <c r="CG107" i="2"/>
  <c r="CG412" i="329"/>
  <c r="CE412" i="329"/>
  <c r="CE107" i="2"/>
  <c r="BY78" i="2"/>
  <c r="BY412" i="329"/>
  <c r="BY77" i="2"/>
  <c r="BY103" i="4"/>
  <c r="BY9" i="2"/>
  <c r="BP85" i="2"/>
  <c r="BP77" i="2"/>
  <c r="BP78" i="2"/>
  <c r="BP103" i="4"/>
  <c r="BN79" i="2"/>
  <c r="BN100" i="3"/>
  <c r="BN78" i="2"/>
  <c r="BN9" i="2"/>
  <c r="BN17" i="2" s="1"/>
  <c r="BN85" i="2"/>
  <c r="BN107" i="2"/>
  <c r="BN103" i="4"/>
  <c r="BN80" i="2"/>
  <c r="BL187" i="2"/>
  <c r="BL155" i="2"/>
  <c r="BL179" i="2" s="1"/>
  <c r="BL227" i="2"/>
  <c r="EF119" i="2"/>
  <c r="EF123" i="2"/>
  <c r="EG123" i="2"/>
  <c r="EG119" i="2"/>
  <c r="CG9" i="4"/>
  <c r="BW15" i="2"/>
  <c r="BO15" i="2"/>
  <c r="CZ208" i="2"/>
  <c r="CZ242" i="2" s="1"/>
  <c r="V127" i="3"/>
  <c r="T60" i="3"/>
  <c r="AB127" i="3"/>
  <c r="BO161" i="2"/>
  <c r="F127" i="3"/>
  <c r="U50" i="3"/>
  <c r="U81" i="3" s="1"/>
  <c r="M57" i="3"/>
  <c r="Y130" i="3"/>
  <c r="AS58" i="3"/>
  <c r="AL130" i="3"/>
  <c r="AB58" i="3"/>
  <c r="X51" i="3"/>
  <c r="X82" i="3" s="1"/>
  <c r="Q130" i="3"/>
  <c r="M52" i="3"/>
  <c r="M83" i="3" s="1"/>
  <c r="AF55" i="3"/>
  <c r="AD57" i="3"/>
  <c r="AA60" i="3"/>
  <c r="W59" i="3"/>
  <c r="S57" i="3"/>
  <c r="N59" i="3"/>
  <c r="J127" i="3"/>
  <c r="I56" i="3"/>
  <c r="Q127" i="3"/>
  <c r="BM8" i="4"/>
  <c r="BH227" i="2"/>
  <c r="EO8" i="2"/>
  <c r="EC101" i="3" s="1"/>
  <c r="EC51" i="3" s="1"/>
  <c r="EC82" i="3" s="1"/>
  <c r="H60" i="3"/>
  <c r="P127" i="3"/>
  <c r="AJ127" i="3"/>
  <c r="BG226" i="2"/>
  <c r="Z127" i="3"/>
  <c r="AG52" i="3"/>
  <c r="AG83" i="3" s="1"/>
  <c r="V52" i="3"/>
  <c r="V83" i="3" s="1"/>
  <c r="AJ130" i="3"/>
  <c r="AT51" i="3"/>
  <c r="AT82" i="3" s="1"/>
  <c r="AD51" i="3"/>
  <c r="AD82" i="3" s="1"/>
  <c r="Z130" i="3"/>
  <c r="N51" i="3"/>
  <c r="N82" i="3" s="1"/>
  <c r="AI59" i="3"/>
  <c r="AD55" i="3"/>
  <c r="AC59" i="3"/>
  <c r="X59" i="3"/>
  <c r="V57" i="3"/>
  <c r="Q50" i="3"/>
  <c r="Q81" i="3" s="1"/>
  <c r="M50" i="3"/>
  <c r="M81" i="3" s="1"/>
  <c r="H50" i="3"/>
  <c r="H81" i="3" s="1"/>
  <c r="G59" i="3"/>
  <c r="CV213" i="2"/>
  <c r="V60" i="3"/>
  <c r="F60" i="3"/>
  <c r="K56" i="3"/>
  <c r="BS226" i="2"/>
  <c r="AD127" i="3"/>
  <c r="S127" i="3"/>
  <c r="AF57" i="3"/>
  <c r="X56" i="3"/>
  <c r="CT110" i="2"/>
  <c r="CX213" i="2"/>
  <c r="CX246" i="2" s="1"/>
  <c r="AN76" i="2"/>
  <c r="EL16" i="2"/>
  <c r="DZ102" i="3" s="1"/>
  <c r="DD122" i="2"/>
  <c r="DA227" i="2"/>
  <c r="AX105" i="4"/>
  <c r="CF109" i="2"/>
  <c r="CU209" i="2"/>
  <c r="DP20" i="2"/>
  <c r="CA60" i="2"/>
  <c r="EQ60" i="2" s="1"/>
  <c r="EQ61" i="2" s="1"/>
  <c r="EQ64" i="2" s="1"/>
  <c r="EP24" i="2"/>
  <c r="ED103" i="3" s="1"/>
  <c r="EF103" i="3" s="1"/>
  <c r="EL29" i="2"/>
  <c r="AJ111" i="2"/>
  <c r="AJ104" i="4"/>
  <c r="AJ106" i="4" s="1"/>
  <c r="AJ82" i="2"/>
  <c r="AJ83" i="2"/>
  <c r="AJ111" i="3"/>
  <c r="AJ25" i="2"/>
  <c r="CG110" i="4"/>
  <c r="EU62" i="2"/>
  <c r="EH110" i="4" s="1"/>
  <c r="BY53" i="2"/>
  <c r="EP33" i="2"/>
  <c r="EP53" i="2" s="1"/>
  <c r="CC53" i="2"/>
  <c r="EQ33" i="2"/>
  <c r="EQ53" i="2" s="1"/>
  <c r="CF53" i="2"/>
  <c r="ER33" i="2"/>
  <c r="ER53" i="2" s="1"/>
  <c r="CI110" i="4"/>
  <c r="CU63" i="2"/>
  <c r="EA107" i="3"/>
  <c r="EA78" i="3" s="1"/>
  <c r="EM64" i="2"/>
  <c r="BI107" i="3"/>
  <c r="BI78" i="3" s="1"/>
  <c r="BI64" i="2"/>
  <c r="BJ58" i="2"/>
  <c r="BJ60" i="2" s="1"/>
  <c r="BI60" i="2"/>
  <c r="DN107" i="3"/>
  <c r="EA58" i="2"/>
  <c r="DR107" i="3"/>
  <c r="DR78" i="3" s="1"/>
  <c r="EE58" i="2"/>
  <c r="DV107" i="3"/>
  <c r="EI58" i="2"/>
  <c r="EG110" i="4"/>
  <c r="ES63" i="2"/>
  <c r="C110" i="4"/>
  <c r="DX62" i="2"/>
  <c r="DL110" i="4" s="1"/>
  <c r="S110" i="4"/>
  <c r="EB62" i="2"/>
  <c r="AM63" i="2"/>
  <c r="AM64" i="2" s="1"/>
  <c r="AM110" i="4"/>
  <c r="AQ110" i="4"/>
  <c r="EH62" i="2"/>
  <c r="AU63" i="2"/>
  <c r="AU64" i="2" s="1"/>
  <c r="AU110" i="4"/>
  <c r="EI62" i="2"/>
  <c r="ER24" i="2"/>
  <c r="AD82" i="2"/>
  <c r="AH97" i="2" s="1"/>
  <c r="AH83" i="2"/>
  <c r="AD111" i="3"/>
  <c r="X82" i="2"/>
  <c r="X97" i="2" s="1"/>
  <c r="R25" i="2"/>
  <c r="R82" i="2"/>
  <c r="DX94" i="2"/>
  <c r="DX128" i="2" s="1"/>
  <c r="DN133" i="3"/>
  <c r="EA76" i="2"/>
  <c r="AE91" i="2"/>
  <c r="AE127" i="2" s="1"/>
  <c r="EY6" i="2"/>
  <c r="BC100" i="3"/>
  <c r="BG107" i="2"/>
  <c r="DY78" i="2"/>
  <c r="DY87" i="2"/>
  <c r="DY85" i="2"/>
  <c r="DM100" i="3"/>
  <c r="DM88" i="3" s="1"/>
  <c r="DY77" i="2"/>
  <c r="DY107" i="2"/>
  <c r="EC107" i="2"/>
  <c r="EC77" i="2"/>
  <c r="DQ100" i="3"/>
  <c r="Y124" i="3" s="1"/>
  <c r="EC78" i="2"/>
  <c r="EC93" i="2" s="1"/>
  <c r="ED107" i="2"/>
  <c r="EC9" i="2"/>
  <c r="DQ103" i="4"/>
  <c r="EC85" i="2"/>
  <c r="DP52" i="3"/>
  <c r="DP83" i="3" s="1"/>
  <c r="DP51" i="3"/>
  <c r="DP82" i="3" s="1"/>
  <c r="DT130" i="3"/>
  <c r="DT52" i="3"/>
  <c r="DT83" i="3" s="1"/>
  <c r="DX9" i="2"/>
  <c r="B17" i="2"/>
  <c r="DY9" i="2"/>
  <c r="DL133" i="3" s="1"/>
  <c r="F108" i="2"/>
  <c r="F76" i="2"/>
  <c r="J108" i="2"/>
  <c r="DZ9" i="2"/>
  <c r="EA108" i="2" s="1"/>
  <c r="J17" i="2"/>
  <c r="J111" i="2" s="1"/>
  <c r="N108" i="2"/>
  <c r="R108" i="2"/>
  <c r="R76" i="2"/>
  <c r="EB9" i="2"/>
  <c r="V76" i="2"/>
  <c r="V17" i="2"/>
  <c r="V108" i="2"/>
  <c r="Z108" i="2"/>
  <c r="Z76" i="2"/>
  <c r="Z17" i="2"/>
  <c r="ED9" i="2"/>
  <c r="ED17" i="2" s="1"/>
  <c r="EE9" i="2"/>
  <c r="AD76" i="2"/>
  <c r="AD108" i="2"/>
  <c r="AH108" i="2"/>
  <c r="AH76" i="2"/>
  <c r="EF9" i="2"/>
  <c r="AT17" i="2"/>
  <c r="AT76" i="2"/>
  <c r="DR108" i="2"/>
  <c r="DR17" i="2"/>
  <c r="DR76" i="2"/>
  <c r="DS108" i="2"/>
  <c r="DI133" i="3"/>
  <c r="DV17" i="2"/>
  <c r="DW108" i="2"/>
  <c r="DV108" i="2"/>
  <c r="CG113" i="3"/>
  <c r="CG115" i="3" s="1"/>
  <c r="CS131" i="2"/>
  <c r="CV131" i="2"/>
  <c r="CU131" i="2"/>
  <c r="CX131" i="2"/>
  <c r="CW131" i="2"/>
  <c r="CM113" i="3"/>
  <c r="CM115" i="3" s="1"/>
  <c r="CY131" i="2"/>
  <c r="DA131" i="2"/>
  <c r="DY109" i="2"/>
  <c r="DY79" i="2"/>
  <c r="DY94" i="2" s="1"/>
  <c r="DY128" i="2" s="1"/>
  <c r="DY135" i="2"/>
  <c r="DQ102" i="3"/>
  <c r="DQ58" i="3" s="1"/>
  <c r="EC109" i="2"/>
  <c r="AL110" i="2"/>
  <c r="DT110" i="2"/>
  <c r="DT81" i="2"/>
  <c r="EO24" i="2"/>
  <c r="EC103" i="3" s="1"/>
  <c r="EE103" i="3" s="1"/>
  <c r="CV11" i="2"/>
  <c r="CK9" i="4"/>
  <c r="AR11" i="2"/>
  <c r="AS9" i="4"/>
  <c r="EV23" i="2"/>
  <c r="CU24" i="2"/>
  <c r="EV24" i="2" s="1"/>
  <c r="EK24" i="2"/>
  <c r="BC85" i="2"/>
  <c r="BG103" i="3"/>
  <c r="BG85" i="2"/>
  <c r="BO103" i="3"/>
  <c r="EQ24" i="2"/>
  <c r="DN103" i="3"/>
  <c r="DZ85" i="2"/>
  <c r="ED23" i="2"/>
  <c r="DR103" i="3"/>
  <c r="DV103" i="3"/>
  <c r="BM27" i="2"/>
  <c r="BL133" i="2"/>
  <c r="ES27" i="2"/>
  <c r="CK133" i="2"/>
  <c r="CJ133" i="2"/>
  <c r="CE104" i="3"/>
  <c r="CT133" i="2"/>
  <c r="CS133" i="2"/>
  <c r="CY133" i="2"/>
  <c r="CX133" i="2"/>
  <c r="EV27" i="2"/>
  <c r="CJ104" i="3"/>
  <c r="CV133" i="2"/>
  <c r="CZ133" i="2"/>
  <c r="DB133" i="2"/>
  <c r="DC133" i="2"/>
  <c r="CN104" i="3"/>
  <c r="DX133" i="2"/>
  <c r="DX87" i="2"/>
  <c r="EF133" i="2"/>
  <c r="EJ133" i="2"/>
  <c r="DX104" i="3"/>
  <c r="ER133" i="2"/>
  <c r="CA79" i="2"/>
  <c r="BR81" i="2"/>
  <c r="H60" i="2"/>
  <c r="L60" i="2"/>
  <c r="P60" i="2"/>
  <c r="T60" i="2"/>
  <c r="X60" i="2"/>
  <c r="AB60" i="2"/>
  <c r="AF60" i="2"/>
  <c r="AZ60" i="2"/>
  <c r="CO104" i="3"/>
  <c r="DG102" i="3"/>
  <c r="DG58" i="3" s="1"/>
  <c r="DS137" i="2"/>
  <c r="DA24" i="2"/>
  <c r="DA85" i="2" s="1"/>
  <c r="E60" i="2"/>
  <c r="DA226" i="2"/>
  <c r="BG9" i="2"/>
  <c r="BG17" i="2" s="1"/>
  <c r="AA95" i="2"/>
  <c r="EU69" i="2"/>
  <c r="EP217" i="2"/>
  <c r="AY9" i="2"/>
  <c r="M110" i="2"/>
  <c r="CI63" i="4"/>
  <c r="M81" i="2"/>
  <c r="Q110" i="2"/>
  <c r="M124" i="3"/>
  <c r="BT51" i="3"/>
  <c r="BT82" i="3" s="1"/>
  <c r="BT130" i="3"/>
  <c r="BT52" i="3"/>
  <c r="BT83" i="3" s="1"/>
  <c r="BU130" i="3"/>
  <c r="AZ52" i="3"/>
  <c r="AZ83" i="3" s="1"/>
  <c r="BB51" i="3"/>
  <c r="BB82" i="3" s="1"/>
  <c r="AY51" i="3"/>
  <c r="AY82" i="3" s="1"/>
  <c r="BB130" i="3"/>
  <c r="BA51" i="3"/>
  <c r="BA82" i="3" s="1"/>
  <c r="AZ51" i="3"/>
  <c r="AZ82" i="3" s="1"/>
  <c r="AY130" i="3"/>
  <c r="BA52" i="3"/>
  <c r="BA83" i="3" s="1"/>
  <c r="BE52" i="3"/>
  <c r="BE83" i="3" s="1"/>
  <c r="BF52" i="3"/>
  <c r="BF83" i="3" s="1"/>
  <c r="BE51" i="3"/>
  <c r="BE82" i="3" s="1"/>
  <c r="BC51" i="3"/>
  <c r="BC82" i="3" s="1"/>
  <c r="BF130" i="3"/>
  <c r="BC52" i="3"/>
  <c r="BC83" i="3" s="1"/>
  <c r="BC130" i="3"/>
  <c r="BN51" i="3"/>
  <c r="BN82" i="3" s="1"/>
  <c r="BM58" i="3"/>
  <c r="BM130" i="3"/>
  <c r="BM51" i="3"/>
  <c r="BM82" i="3" s="1"/>
  <c r="BN130" i="3"/>
  <c r="BV158" i="2"/>
  <c r="BN187" i="2"/>
  <c r="BN155" i="2"/>
  <c r="BZ225" i="2" s="1"/>
  <c r="BR227" i="2"/>
  <c r="BL11" i="2"/>
  <c r="BM9" i="4"/>
  <c r="AV15" i="2"/>
  <c r="AV19" i="2"/>
  <c r="AV81" i="2" s="1"/>
  <c r="AV80" i="2"/>
  <c r="CQ103" i="4"/>
  <c r="DC412" i="329"/>
  <c r="EW7" i="2"/>
  <c r="DA77" i="2"/>
  <c r="DA107" i="2"/>
  <c r="CO103" i="4"/>
  <c r="CO100" i="3"/>
  <c r="DA412" i="329"/>
  <c r="CO78" i="2"/>
  <c r="CO107" i="2"/>
  <c r="CS107" i="2"/>
  <c r="ET7" i="2"/>
  <c r="BW9" i="2"/>
  <c r="BW158" i="2" s="1"/>
  <c r="BW412" i="329"/>
  <c r="BU77" i="2"/>
  <c r="BU107" i="2"/>
  <c r="BU100" i="3"/>
  <c r="BU103" i="4"/>
  <c r="BU78" i="2"/>
  <c r="BS103" i="4"/>
  <c r="BS79" i="2"/>
  <c r="BS9" i="2"/>
  <c r="BS76" i="2" s="1"/>
  <c r="EO7" i="2"/>
  <c r="EO77" i="2" s="1"/>
  <c r="BS78" i="2"/>
  <c r="BS412" i="329"/>
  <c r="BL85" i="2"/>
  <c r="BP107" i="2"/>
  <c r="BL78" i="2"/>
  <c r="BL100" i="3"/>
  <c r="BL103" i="4"/>
  <c r="BL77" i="2"/>
  <c r="BJ187" i="2"/>
  <c r="BJ210" i="2" s="1"/>
  <c r="BJ155" i="2"/>
  <c r="BJ179" i="2" s="1"/>
  <c r="CA102" i="3"/>
  <c r="DA176" i="2"/>
  <c r="CW175" i="2"/>
  <c r="CW168" i="2"/>
  <c r="DM29" i="4"/>
  <c r="DM42" i="4" s="1"/>
  <c r="G42" i="4"/>
  <c r="BH51" i="3"/>
  <c r="BH82" i="3" s="1"/>
  <c r="BG51" i="3"/>
  <c r="BG82" i="3" s="1"/>
  <c r="BH52" i="3"/>
  <c r="BH83" i="3" s="1"/>
  <c r="BH130" i="3"/>
  <c r="BG52" i="3"/>
  <c r="BG83" i="3" s="1"/>
  <c r="BL9" i="2"/>
  <c r="BL17" i="2" s="1"/>
  <c r="BL25" i="2" s="1"/>
  <c r="BU85" i="2"/>
  <c r="CO77" i="2"/>
  <c r="CI109" i="2"/>
  <c r="AZ130" i="3"/>
  <c r="AV105" i="4"/>
  <c r="DV102" i="329"/>
  <c r="AL127" i="3"/>
  <c r="AL55" i="3"/>
  <c r="CQ67" i="2"/>
  <c r="CQ59" i="2" s="1"/>
  <c r="CQ60" i="2" s="1"/>
  <c r="BY9" i="4"/>
  <c r="BC78" i="2"/>
  <c r="BC410" i="329"/>
  <c r="BG102" i="3"/>
  <c r="BG79" i="2"/>
  <c r="BS102" i="3"/>
  <c r="BV58" i="3" s="1"/>
  <c r="BS109" i="2"/>
  <c r="F50" i="3"/>
  <c r="F81" i="3" s="1"/>
  <c r="F59" i="3"/>
  <c r="H56" i="3"/>
  <c r="G57" i="3"/>
  <c r="G55" i="3"/>
  <c r="H57" i="3"/>
  <c r="F57" i="3"/>
  <c r="F55" i="3"/>
  <c r="G127" i="3"/>
  <c r="H127" i="3"/>
  <c r="I59" i="3"/>
  <c r="I50" i="3"/>
  <c r="I81" i="3" s="1"/>
  <c r="J56" i="3"/>
  <c r="J60" i="3"/>
  <c r="L59" i="3"/>
  <c r="L60" i="3"/>
  <c r="I60" i="3"/>
  <c r="I55" i="3"/>
  <c r="K55" i="3"/>
  <c r="J59" i="3"/>
  <c r="L55" i="3"/>
  <c r="I57" i="3"/>
  <c r="K59" i="3"/>
  <c r="J55" i="3"/>
  <c r="K57" i="3"/>
  <c r="O56" i="3"/>
  <c r="O57" i="3"/>
  <c r="P57" i="3"/>
  <c r="P59" i="3"/>
  <c r="M127" i="3"/>
  <c r="N56" i="3"/>
  <c r="O55" i="3"/>
  <c r="M55" i="3"/>
  <c r="N57" i="3"/>
  <c r="O50" i="3"/>
  <c r="O81" i="3" s="1"/>
  <c r="N55" i="3"/>
  <c r="P55" i="3"/>
  <c r="R56" i="3"/>
  <c r="R60" i="3"/>
  <c r="T55" i="3"/>
  <c r="Q55" i="3"/>
  <c r="Q57" i="3"/>
  <c r="R55" i="3"/>
  <c r="S55" i="3"/>
  <c r="T59" i="3"/>
  <c r="R59" i="3"/>
  <c r="S56" i="3"/>
  <c r="T57" i="3"/>
  <c r="T56" i="3"/>
  <c r="W56" i="3"/>
  <c r="W60" i="3"/>
  <c r="W55" i="3"/>
  <c r="X55" i="3"/>
  <c r="V56" i="3"/>
  <c r="W57" i="3"/>
  <c r="X50" i="3"/>
  <c r="X81" i="3" s="1"/>
  <c r="W50" i="3"/>
  <c r="W81" i="3" s="1"/>
  <c r="V55" i="3"/>
  <c r="X60" i="3"/>
  <c r="X57" i="3"/>
  <c r="Y57" i="3"/>
  <c r="AA50" i="3"/>
  <c r="AA81" i="3" s="1"/>
  <c r="AA57" i="3"/>
  <c r="AA56" i="3"/>
  <c r="AB57" i="3"/>
  <c r="AB56" i="3"/>
  <c r="Y50" i="3"/>
  <c r="Y81" i="3" s="1"/>
  <c r="AA59" i="3"/>
  <c r="AA55" i="3"/>
  <c r="AB50" i="3"/>
  <c r="AB81" i="3" s="1"/>
  <c r="AB55" i="3"/>
  <c r="Y60" i="3"/>
  <c r="Z59" i="3"/>
  <c r="Z55" i="3"/>
  <c r="AB60" i="3"/>
  <c r="AD60" i="3"/>
  <c r="AE60" i="3"/>
  <c r="AE56" i="3"/>
  <c r="AF60" i="3"/>
  <c r="AC57" i="3"/>
  <c r="AD56" i="3"/>
  <c r="AE57" i="3"/>
  <c r="AF56" i="3"/>
  <c r="AF59" i="3"/>
  <c r="AC60" i="3"/>
  <c r="AC55" i="3"/>
  <c r="AE50" i="3"/>
  <c r="AE81" i="3" s="1"/>
  <c r="AE55" i="3"/>
  <c r="AG50" i="3"/>
  <c r="AG81" i="3" s="1"/>
  <c r="AI56" i="3"/>
  <c r="AH59" i="3"/>
  <c r="AI55" i="3"/>
  <c r="AJ57" i="3"/>
  <c r="AJ56" i="3"/>
  <c r="AG59" i="3"/>
  <c r="AH60" i="3"/>
  <c r="AI60" i="3"/>
  <c r="AG56" i="3"/>
  <c r="AG55" i="3"/>
  <c r="AG57" i="3"/>
  <c r="AI50" i="3"/>
  <c r="AI81" i="3" s="1"/>
  <c r="AI57" i="3"/>
  <c r="AJ60" i="3"/>
  <c r="AJ59" i="3"/>
  <c r="AK59" i="3"/>
  <c r="AK57" i="3"/>
  <c r="AK60" i="3"/>
  <c r="AK55" i="3"/>
  <c r="E130" i="3"/>
  <c r="F130" i="3"/>
  <c r="F52" i="3"/>
  <c r="F83" i="3" s="1"/>
  <c r="I52" i="3"/>
  <c r="I83" i="3" s="1"/>
  <c r="H130" i="3"/>
  <c r="J130" i="3"/>
  <c r="G58" i="3"/>
  <c r="H51" i="3"/>
  <c r="H82" i="3" s="1"/>
  <c r="J51" i="3"/>
  <c r="J82" i="3" s="1"/>
  <c r="I51" i="3"/>
  <c r="I82" i="3" s="1"/>
  <c r="H58" i="3"/>
  <c r="J52" i="3"/>
  <c r="J83" i="3" s="1"/>
  <c r="L52" i="3"/>
  <c r="L83" i="3" s="1"/>
  <c r="M130" i="3"/>
  <c r="K58" i="3"/>
  <c r="L51" i="3"/>
  <c r="L82" i="3" s="1"/>
  <c r="L130" i="3"/>
  <c r="N130" i="3"/>
  <c r="L58" i="3"/>
  <c r="N52" i="3"/>
  <c r="N83" i="3" s="1"/>
  <c r="O130" i="3"/>
  <c r="Q51" i="3"/>
  <c r="Q82" i="3" s="1"/>
  <c r="R52" i="3"/>
  <c r="R83" i="3" s="1"/>
  <c r="Q52" i="3"/>
  <c r="Q83" i="3" s="1"/>
  <c r="P130" i="3"/>
  <c r="O58" i="3"/>
  <c r="P51" i="3"/>
  <c r="P82" i="3" s="1"/>
  <c r="P58" i="3"/>
  <c r="R130" i="3"/>
  <c r="U52" i="3"/>
  <c r="U83" i="3" s="1"/>
  <c r="U130" i="3"/>
  <c r="S130" i="3"/>
  <c r="U51" i="3"/>
  <c r="U82" i="3" s="1"/>
  <c r="T58" i="3"/>
  <c r="V130" i="3"/>
  <c r="T52" i="3"/>
  <c r="T83" i="3" s="1"/>
  <c r="W130" i="3"/>
  <c r="X58" i="3"/>
  <c r="Z52" i="3"/>
  <c r="Z83" i="3" s="1"/>
  <c r="Z51" i="3"/>
  <c r="Z82" i="3" s="1"/>
  <c r="Y51" i="3"/>
  <c r="Y82" i="3" s="1"/>
  <c r="Y52" i="3"/>
  <c r="Y83" i="3" s="1"/>
  <c r="X52" i="3"/>
  <c r="X83" i="3" s="1"/>
  <c r="AC51" i="3"/>
  <c r="AC82" i="3" s="1"/>
  <c r="AC130" i="3"/>
  <c r="AA58" i="3"/>
  <c r="AB52" i="3"/>
  <c r="AB83" i="3" s="1"/>
  <c r="AB130" i="3"/>
  <c r="AA130" i="3"/>
  <c r="AC52" i="3"/>
  <c r="AC83" i="3" s="1"/>
  <c r="AB51" i="3"/>
  <c r="AB82" i="3" s="1"/>
  <c r="AD130" i="3"/>
  <c r="AG51" i="3"/>
  <c r="AG82" i="3" s="1"/>
  <c r="AF130" i="3"/>
  <c r="AE130" i="3"/>
  <c r="AF58" i="3"/>
  <c r="AH130" i="3"/>
  <c r="AE58" i="3"/>
  <c r="AF52" i="3"/>
  <c r="AF83" i="3" s="1"/>
  <c r="AG130" i="3"/>
  <c r="AH51" i="3"/>
  <c r="AH82" i="3" s="1"/>
  <c r="AI130" i="3"/>
  <c r="AK51" i="3"/>
  <c r="AK82" i="3" s="1"/>
  <c r="AJ58" i="3"/>
  <c r="AK130" i="3"/>
  <c r="AK52" i="3"/>
  <c r="AK83" i="3" s="1"/>
  <c r="AJ52" i="3"/>
  <c r="AJ83" i="3" s="1"/>
  <c r="AM58" i="3"/>
  <c r="AO52" i="3"/>
  <c r="AO83" i="3" s="1"/>
  <c r="AN58" i="3"/>
  <c r="AO51" i="3"/>
  <c r="AO82" i="3" s="1"/>
  <c r="AN130" i="3"/>
  <c r="AP130" i="3"/>
  <c r="AM130" i="3"/>
  <c r="AN52" i="3"/>
  <c r="AN83" i="3" s="1"/>
  <c r="AP51" i="3"/>
  <c r="AP82" i="3" s="1"/>
  <c r="AQ130" i="3"/>
  <c r="AS52" i="3"/>
  <c r="AS83" i="3" s="1"/>
  <c r="AS130" i="3"/>
  <c r="AT52" i="3"/>
  <c r="AT83" i="3" s="1"/>
  <c r="AR51" i="3"/>
  <c r="AR82" i="3" s="1"/>
  <c r="AS51" i="3"/>
  <c r="AS82" i="3" s="1"/>
  <c r="AR52" i="3"/>
  <c r="AR83" i="3" s="1"/>
  <c r="AR130" i="3"/>
  <c r="AT130" i="3"/>
  <c r="AW52" i="3"/>
  <c r="AW83" i="3" s="1"/>
  <c r="AV130" i="3"/>
  <c r="AU130" i="3"/>
  <c r="AW51" i="3"/>
  <c r="AW82" i="3" s="1"/>
  <c r="AW130" i="3"/>
  <c r="AV52" i="3"/>
  <c r="AV83" i="3" s="1"/>
  <c r="F58" i="3"/>
  <c r="J58" i="3"/>
  <c r="Q58" i="3"/>
  <c r="V58" i="3"/>
  <c r="Z58" i="3"/>
  <c r="AD58" i="3"/>
  <c r="AG58" i="3"/>
  <c r="AK58" i="3"/>
  <c r="AL58" i="3"/>
  <c r="AP58" i="3"/>
  <c r="DG59" i="3"/>
  <c r="DG81" i="3"/>
  <c r="DG97" i="3"/>
  <c r="DG124" i="3"/>
  <c r="DG50" i="3"/>
  <c r="DK97" i="3"/>
  <c r="DK81" i="3"/>
  <c r="DG130" i="3"/>
  <c r="DG52" i="3"/>
  <c r="DG83" i="3" s="1"/>
  <c r="DG82" i="3"/>
  <c r="DG51" i="3"/>
  <c r="DK52" i="3"/>
  <c r="DK83" i="3" s="1"/>
  <c r="DK51" i="3"/>
  <c r="DK82" i="3"/>
  <c r="BC77" i="2"/>
  <c r="I127" i="3"/>
  <c r="BN105" i="4"/>
  <c r="BG78" i="3"/>
  <c r="CR8" i="4"/>
  <c r="CS8" i="4" s="1"/>
  <c r="DW99" i="4"/>
  <c r="BW105" i="4"/>
  <c r="CA109" i="2"/>
  <c r="CR9" i="4"/>
  <c r="CS9" i="4" s="1"/>
  <c r="DE11" i="2" s="1"/>
  <c r="DE19" i="2" s="1"/>
  <c r="EX68" i="2"/>
  <c r="DI365" i="329"/>
  <c r="DE105" i="2"/>
  <c r="DE119" i="2" s="1"/>
  <c r="DR5" i="4"/>
  <c r="BE45" i="4"/>
  <c r="BE117" i="4" s="1"/>
  <c r="X15" i="2"/>
  <c r="DN28" i="4"/>
  <c r="DN27" i="4"/>
  <c r="BV63" i="4"/>
  <c r="CJ12" i="2"/>
  <c r="CC10" i="4"/>
  <c r="CK12" i="2" s="1"/>
  <c r="CO12" i="2" s="1"/>
  <c r="CZ11" i="2"/>
  <c r="AJ25" i="4"/>
  <c r="AJ28" i="4" s="1"/>
  <c r="AC9" i="4"/>
  <c r="AB11" i="2"/>
  <c r="D15" i="2"/>
  <c r="D19" i="2"/>
  <c r="D20" i="2" s="1"/>
  <c r="D105" i="4"/>
  <c r="H19" i="2"/>
  <c r="H80" i="2"/>
  <c r="H95" i="2" s="1"/>
  <c r="H15" i="2"/>
  <c r="DY15" i="2" s="1"/>
  <c r="L15" i="2"/>
  <c r="L80" i="2"/>
  <c r="L19" i="2"/>
  <c r="L105" i="4"/>
  <c r="P80" i="2"/>
  <c r="P19" i="2"/>
  <c r="P15" i="2"/>
  <c r="P105" i="4"/>
  <c r="T105" i="4"/>
  <c r="T15" i="2"/>
  <c r="T19" i="2"/>
  <c r="AU29" i="4"/>
  <c r="AU42" i="4" s="1"/>
  <c r="AU98" i="4" s="1"/>
  <c r="AU99" i="4" s="1"/>
  <c r="AV15" i="4"/>
  <c r="AW15" i="4" s="1"/>
  <c r="AJ17" i="4"/>
  <c r="AK17" i="4" s="1"/>
  <c r="AI29" i="4"/>
  <c r="EI63" i="4"/>
  <c r="EI42" i="4"/>
  <c r="AV23" i="4"/>
  <c r="AW23" i="4" s="1"/>
  <c r="AU28" i="4"/>
  <c r="BE20" i="4"/>
  <c r="BL20" i="4"/>
  <c r="BK27" i="4"/>
  <c r="BK28" i="4"/>
  <c r="BP24" i="4"/>
  <c r="BQ24" i="4" s="1"/>
  <c r="BO27" i="4"/>
  <c r="CF20" i="4"/>
  <c r="CF27" i="4" s="1"/>
  <c r="CE28" i="4"/>
  <c r="CE27" i="4"/>
  <c r="DE42" i="4"/>
  <c r="DE63" i="4"/>
  <c r="DE64" i="4" s="1"/>
  <c r="DF62" i="4" s="1"/>
  <c r="DI42" i="4"/>
  <c r="DI63" i="4"/>
  <c r="DI64" i="4" s="1"/>
  <c r="DJ62" i="4" s="1"/>
  <c r="AA123" i="4"/>
  <c r="AB32" i="4"/>
  <c r="AQ123" i="4"/>
  <c r="AR32" i="4"/>
  <c r="AY40" i="4"/>
  <c r="AZ33" i="4"/>
  <c r="DL33" i="4"/>
  <c r="C40" i="4"/>
  <c r="AB39" i="4"/>
  <c r="AC39" i="4" s="1"/>
  <c r="CM95" i="4"/>
  <c r="CJ93" i="4"/>
  <c r="AB45" i="4"/>
  <c r="AA54" i="4"/>
  <c r="W27" i="4"/>
  <c r="W29" i="4"/>
  <c r="W28" i="4"/>
  <c r="AQ28" i="4"/>
  <c r="AR23" i="4"/>
  <c r="AS23" i="4" s="1"/>
  <c r="AV26" i="4"/>
  <c r="AW26" i="4" s="1"/>
  <c r="B63" i="4"/>
  <c r="B64" i="4" s="1"/>
  <c r="C62" i="4" s="1"/>
  <c r="B42" i="4"/>
  <c r="DL29" i="4"/>
  <c r="DL42" i="4" s="1"/>
  <c r="F63" i="4"/>
  <c r="F42" i="4"/>
  <c r="DN29" i="4"/>
  <c r="DN42" i="4" s="1"/>
  <c r="K42" i="4"/>
  <c r="O42" i="4"/>
  <c r="O63" i="4"/>
  <c r="DO29" i="4"/>
  <c r="DO42" i="4" s="1"/>
  <c r="BZ47" i="4"/>
  <c r="BZ95" i="4"/>
  <c r="CA93" i="4"/>
  <c r="CD95" i="4"/>
  <c r="BM47" i="4"/>
  <c r="BM118" i="4" s="1"/>
  <c r="BL118" i="4"/>
  <c r="CV67" i="2"/>
  <c r="EV69" i="2"/>
  <c r="AF9" i="4"/>
  <c r="AF29" i="4" s="1"/>
  <c r="AE11" i="2"/>
  <c r="AQ29" i="4"/>
  <c r="AQ11" i="2"/>
  <c r="AY11" i="2"/>
  <c r="AY29" i="4"/>
  <c r="AZ9" i="4"/>
  <c r="BG11" i="2"/>
  <c r="BH9" i="4"/>
  <c r="BT10" i="4"/>
  <c r="BS12" i="2"/>
  <c r="BT14" i="4"/>
  <c r="BU14" i="4" s="1"/>
  <c r="CB9" i="4"/>
  <c r="CB29" i="4" s="1"/>
  <c r="CB42" i="4" s="1"/>
  <c r="CB98" i="4" s="1"/>
  <c r="CB99" i="4" s="1"/>
  <c r="CI11" i="2"/>
  <c r="CA29" i="4"/>
  <c r="CA42" i="4" s="1"/>
  <c r="CA98" i="4" s="1"/>
  <c r="CA99" i="4" s="1"/>
  <c r="BH16" i="4"/>
  <c r="BI16" i="4" s="1"/>
  <c r="DQ24" i="4"/>
  <c r="DQ27" i="4" s="1"/>
  <c r="DP20" i="4"/>
  <c r="DP27" i="4" s="1"/>
  <c r="S28" i="4"/>
  <c r="AB20" i="4"/>
  <c r="AB29" i="4" s="1"/>
  <c r="AA29" i="4"/>
  <c r="AA42" i="4" s="1"/>
  <c r="AA27" i="4"/>
  <c r="AZ23" i="4"/>
  <c r="BA23" i="4" s="1"/>
  <c r="AY28" i="4"/>
  <c r="CR25" i="4"/>
  <c r="CS25" i="4" s="1"/>
  <c r="CQ28" i="4"/>
  <c r="C117" i="4"/>
  <c r="DL45" i="4"/>
  <c r="AI117" i="4"/>
  <c r="AJ45" i="4"/>
  <c r="BP45" i="4"/>
  <c r="BO54" i="4"/>
  <c r="BO63" i="4" s="1"/>
  <c r="BO117" i="4"/>
  <c r="CI69" i="2"/>
  <c r="CI67" i="2" s="1"/>
  <c r="CI59" i="2" s="1"/>
  <c r="CA117" i="4"/>
  <c r="CB46" i="4"/>
  <c r="CC46" i="4" s="1"/>
  <c r="CN45" i="4"/>
  <c r="CM117" i="4"/>
  <c r="CM54" i="4"/>
  <c r="AU118" i="4"/>
  <c r="AV47" i="4"/>
  <c r="AU54" i="4"/>
  <c r="BK118" i="4"/>
  <c r="BK54" i="4"/>
  <c r="BK63" i="4" s="1"/>
  <c r="BW118" i="4"/>
  <c r="BY47" i="4"/>
  <c r="BY118" i="4" s="1"/>
  <c r="BW117" i="4"/>
  <c r="BX48" i="4"/>
  <c r="AO51" i="4"/>
  <c r="AM54" i="4"/>
  <c r="AM63" i="4" s="1"/>
  <c r="CM63" i="4"/>
  <c r="BC54" i="4"/>
  <c r="CQ40" i="4"/>
  <c r="CQ63" i="4" s="1"/>
  <c r="DO54" i="4"/>
  <c r="CI95" i="4"/>
  <c r="BS40" i="4"/>
  <c r="BC29" i="4"/>
  <c r="BC42" i="4" s="1"/>
  <c r="BC98" i="4" s="1"/>
  <c r="BC99" i="4" s="1"/>
  <c r="AE29" i="4"/>
  <c r="AE42" i="4" s="1"/>
  <c r="Z63" i="4"/>
  <c r="BS123" i="4"/>
  <c r="G54" i="4"/>
  <c r="G63" i="4" s="1"/>
  <c r="AQ54" i="4"/>
  <c r="BX37" i="3"/>
  <c r="BX42" i="3" s="1"/>
  <c r="BX44" i="3" s="1"/>
  <c r="BX45" i="3" s="1"/>
  <c r="BW42" i="3"/>
  <c r="BW44" i="3" s="1"/>
  <c r="BW45" i="3" s="1"/>
  <c r="S123" i="3"/>
  <c r="T123" i="3"/>
  <c r="EA71" i="3"/>
  <c r="BV123" i="3"/>
  <c r="DS74" i="3"/>
  <c r="DS122" i="3" s="1"/>
  <c r="EB90" i="3"/>
  <c r="AK20" i="2"/>
  <c r="U111" i="3"/>
  <c r="U82" i="2"/>
  <c r="U25" i="2"/>
  <c r="U30" i="2" s="1"/>
  <c r="DT60" i="3"/>
  <c r="AH104" i="4"/>
  <c r="AH106" i="4" s="1"/>
  <c r="AD104" i="4"/>
  <c r="AD106" i="4" s="1"/>
  <c r="AD25" i="2"/>
  <c r="AD30" i="2" s="1"/>
  <c r="X111" i="2"/>
  <c r="R111" i="3"/>
  <c r="R83" i="2"/>
  <c r="N104" i="4"/>
  <c r="N106" i="4" s="1"/>
  <c r="N111" i="3"/>
  <c r="F82" i="2"/>
  <c r="DR96" i="2"/>
  <c r="DR132" i="2"/>
  <c r="DE59" i="2"/>
  <c r="DE60" i="2" s="1"/>
  <c r="I111" i="3"/>
  <c r="BF51" i="3"/>
  <c r="BF82" i="3" s="1"/>
  <c r="AG104" i="4"/>
  <c r="EK5" i="4"/>
  <c r="EX5" i="329"/>
  <c r="EK5" i="3"/>
  <c r="DD330" i="329"/>
  <c r="DD331" i="329" s="1"/>
  <c r="DH332" i="329" s="1"/>
  <c r="CL45" i="3"/>
  <c r="AC8" i="4"/>
  <c r="CG52" i="4"/>
  <c r="EH52" i="4" s="1"/>
  <c r="CF54" i="4"/>
  <c r="CG45" i="4"/>
  <c r="CF117" i="4"/>
  <c r="CN54" i="4"/>
  <c r="AY123" i="4"/>
  <c r="AO54" i="4"/>
  <c r="AO63" i="4" s="1"/>
  <c r="EE76" i="3"/>
  <c r="DQ30" i="3"/>
  <c r="Y77" i="3"/>
  <c r="ED77" i="3"/>
  <c r="ED76" i="3"/>
  <c r="BS65" i="3"/>
  <c r="DP67" i="3"/>
  <c r="DP65" i="3"/>
  <c r="DY45" i="3"/>
  <c r="DQ75" i="3"/>
  <c r="EH35" i="3"/>
  <c r="EH44" i="3" s="1"/>
  <c r="EH77" i="3"/>
  <c r="BR66" i="3"/>
  <c r="AX77" i="3"/>
  <c r="AX21" i="3"/>
  <c r="CI78" i="3"/>
  <c r="CI66" i="3"/>
  <c r="CI68" i="3" s="1"/>
  <c r="EA30" i="3"/>
  <c r="DQ66" i="3"/>
  <c r="DQ65" i="3"/>
  <c r="DQ67" i="3"/>
  <c r="DM65" i="3"/>
  <c r="BI68" i="3"/>
  <c r="DW67" i="3"/>
  <c r="AB68" i="3"/>
  <c r="I68" i="3"/>
  <c r="DL67" i="3"/>
  <c r="C68" i="3"/>
  <c r="BX66" i="3"/>
  <c r="DX35" i="3"/>
  <c r="DX44" i="3" s="1"/>
  <c r="BA44" i="3"/>
  <c r="BA45" i="3" s="1"/>
  <c r="DT21" i="3"/>
  <c r="AK71" i="3"/>
  <c r="AK127" i="3"/>
  <c r="DL44" i="3"/>
  <c r="DL45" i="3" s="1"/>
  <c r="BT123" i="3"/>
  <c r="DU67" i="3"/>
  <c r="BN74" i="3"/>
  <c r="BN122" i="3" s="1"/>
  <c r="BN123" i="3" s="1"/>
  <c r="CG77" i="3"/>
  <c r="EG21" i="3"/>
  <c r="BW74" i="3"/>
  <c r="BW122" i="3" s="1"/>
  <c r="BX123" i="3" s="1"/>
  <c r="CA74" i="3"/>
  <c r="CA122" i="3" s="1"/>
  <c r="CL77" i="3"/>
  <c r="BQ45" i="3"/>
  <c r="DR66" i="3"/>
  <c r="DM21" i="3"/>
  <c r="W127" i="3"/>
  <c r="AG127" i="3"/>
  <c r="DS76" i="3"/>
  <c r="DS21" i="3"/>
  <c r="AT74" i="3"/>
  <c r="AT122" i="3" s="1"/>
  <c r="AT123" i="3" s="1"/>
  <c r="DJ76" i="3"/>
  <c r="DZ30" i="3"/>
  <c r="CK65" i="3"/>
  <c r="CN77" i="3"/>
  <c r="CF35" i="3"/>
  <c r="CF44" i="3" s="1"/>
  <c r="CF45" i="3" s="1"/>
  <c r="CF76" i="3"/>
  <c r="BZ35" i="3"/>
  <c r="BZ44" i="3" s="1"/>
  <c r="BZ45" i="3" s="1"/>
  <c r="BZ77" i="3"/>
  <c r="BZ74" i="3"/>
  <c r="BZ122" i="3" s="1"/>
  <c r="BA77" i="3"/>
  <c r="DX30" i="3"/>
  <c r="DX77" i="3" s="1"/>
  <c r="BH35" i="3"/>
  <c r="BH44" i="3" s="1"/>
  <c r="BH77" i="3"/>
  <c r="BH74" i="3"/>
  <c r="BH122" i="3" s="1"/>
  <c r="BH76" i="3"/>
  <c r="I77" i="3"/>
  <c r="I74" i="3"/>
  <c r="I122" i="3" s="1"/>
  <c r="I123" i="3" s="1"/>
  <c r="DM12" i="3"/>
  <c r="EI90" i="3"/>
  <c r="EI75" i="3"/>
  <c r="AK77" i="3"/>
  <c r="AK74" i="3"/>
  <c r="AK122" i="3" s="1"/>
  <c r="AK123" i="3" s="1"/>
  <c r="DT12" i="3"/>
  <c r="DQ12" i="3"/>
  <c r="Y21" i="3"/>
  <c r="Y45" i="3" s="1"/>
  <c r="U76" i="3"/>
  <c r="U21" i="3"/>
  <c r="U71" i="3" s="1"/>
  <c r="AR123" i="3"/>
  <c r="CP45" i="3"/>
  <c r="BM123" i="3"/>
  <c r="DN90" i="3"/>
  <c r="CJ21" i="3"/>
  <c r="BF44" i="3"/>
  <c r="BF45" i="3" s="1"/>
  <c r="BY44" i="3"/>
  <c r="BY45" i="3" s="1"/>
  <c r="BO332" i="329"/>
  <c r="CP126" i="329"/>
  <c r="DU135" i="2"/>
  <c r="DV136" i="2" s="1"/>
  <c r="BC245" i="329"/>
  <c r="BC93" i="329"/>
  <c r="BS355" i="329"/>
  <c r="BS356" i="329" s="1"/>
  <c r="CI213" i="2"/>
  <c r="BY14" i="4"/>
  <c r="AG21" i="4"/>
  <c r="AF27" i="4"/>
  <c r="CC25" i="4"/>
  <c r="CC28" i="4" s="1"/>
  <c r="CB28" i="4"/>
  <c r="CN29" i="4"/>
  <c r="CN42" i="4" s="1"/>
  <c r="CN98" i="4" s="1"/>
  <c r="CN99" i="4" s="1"/>
  <c r="CO22" i="4"/>
  <c r="CN28" i="4"/>
  <c r="BE24" i="4"/>
  <c r="BD27" i="4"/>
  <c r="BD28" i="4"/>
  <c r="BX40" i="4"/>
  <c r="BY36" i="4"/>
  <c r="CK39" i="3"/>
  <c r="EI39" i="3" s="1"/>
  <c r="CC17" i="4"/>
  <c r="CC36" i="4"/>
  <c r="CB40" i="4"/>
  <c r="BH40" i="4"/>
  <c r="BI39" i="4"/>
  <c r="AW40" i="4"/>
  <c r="CS95" i="4"/>
  <c r="AN123" i="4"/>
  <c r="AV40" i="4"/>
  <c r="AV123" i="4"/>
  <c r="BQ32" i="4"/>
  <c r="BQ123" i="4" s="1"/>
  <c r="BP123" i="4"/>
  <c r="CL99" i="4"/>
  <c r="CL124" i="4"/>
  <c r="CK32" i="4"/>
  <c r="CO123" i="4" s="1"/>
  <c r="BI32" i="4"/>
  <c r="BH123" i="4"/>
  <c r="CP99" i="4"/>
  <c r="CP124" i="4"/>
  <c r="K123" i="4"/>
  <c r="G123" i="4"/>
  <c r="AF32" i="4"/>
  <c r="AJ123" i="4" s="1"/>
  <c r="AE123" i="4"/>
  <c r="BC123" i="4"/>
  <c r="BG123" i="4"/>
  <c r="BK123" i="4"/>
  <c r="BW123" i="4"/>
  <c r="CF32" i="4"/>
  <c r="CJ123" i="4" s="1"/>
  <c r="CE123" i="4"/>
  <c r="CI123" i="4"/>
  <c r="CR32" i="4"/>
  <c r="CR123" i="4" s="1"/>
  <c r="CQ123" i="4"/>
  <c r="AO123" i="4"/>
  <c r="CR46" i="4"/>
  <c r="CQ124" i="4"/>
  <c r="DF64" i="4"/>
  <c r="DG62" i="4" s="1"/>
  <c r="DG64" i="4" s="1"/>
  <c r="DH62" i="4" s="1"/>
  <c r="AS32" i="4"/>
  <c r="AS123" i="4" s="1"/>
  <c r="AR123" i="4"/>
  <c r="BM123" i="4"/>
  <c r="CC32" i="4"/>
  <c r="CC123" i="4" s="1"/>
  <c r="CB123" i="4"/>
  <c r="BT123" i="4"/>
  <c r="BL123" i="4"/>
  <c r="BE32" i="4"/>
  <c r="BA32" i="4"/>
  <c r="BA123" i="4" s="1"/>
  <c r="AZ123" i="4"/>
  <c r="AJ8" i="4"/>
  <c r="AJ29" i="4" s="1"/>
  <c r="AJ42" i="4" s="1"/>
  <c r="AM123" i="4"/>
  <c r="AI123" i="4"/>
  <c r="AU40" i="4"/>
  <c r="AU123" i="4"/>
  <c r="BO123" i="4"/>
  <c r="CA123" i="4"/>
  <c r="CM123" i="4"/>
  <c r="CM124" i="4"/>
  <c r="EM12" i="2"/>
  <c r="CW11" i="2"/>
  <c r="CK28" i="4"/>
  <c r="CK117" i="4"/>
  <c r="DA69" i="2"/>
  <c r="BV23" i="329"/>
  <c r="EP23" i="329" s="1"/>
  <c r="EP14" i="329" s="1"/>
  <c r="EO41" i="329"/>
  <c r="BX160" i="2"/>
  <c r="BQ374" i="329"/>
  <c r="BQ382" i="329" s="1"/>
  <c r="BQ112" i="4" s="1"/>
  <c r="AR77" i="329"/>
  <c r="AR80" i="329" s="1"/>
  <c r="AR85" i="329" s="1"/>
  <c r="AM33" i="329"/>
  <c r="EJ149" i="2"/>
  <c r="EL411" i="329"/>
  <c r="CM168" i="329"/>
  <c r="CM187" i="329"/>
  <c r="CI331" i="329"/>
  <c r="CR103" i="4"/>
  <c r="CQ326" i="329"/>
  <c r="CQ324" i="329"/>
  <c r="CY412" i="329"/>
  <c r="CM122" i="4"/>
  <c r="BT107" i="2"/>
  <c r="BP100" i="3"/>
  <c r="CS149" i="2"/>
  <c r="CW411" i="329"/>
  <c r="J91" i="3"/>
  <c r="J93" i="3"/>
  <c r="H91" i="3"/>
  <c r="CK334" i="329"/>
  <c r="CK355" i="329"/>
  <c r="CK342" i="329"/>
  <c r="ES324" i="329"/>
  <c r="CG342" i="329"/>
  <c r="CG343" i="329" s="1"/>
  <c r="CG330" i="329"/>
  <c r="CC330" i="329"/>
  <c r="CC334" i="329"/>
  <c r="BY355" i="329"/>
  <c r="BU346" i="329"/>
  <c r="BY347" i="329" s="1"/>
  <c r="BU338" i="329"/>
  <c r="BJ297" i="329"/>
  <c r="AX308" i="329"/>
  <c r="CR149" i="2"/>
  <c r="CR411" i="329"/>
  <c r="DI132" i="3"/>
  <c r="DJ132" i="3"/>
  <c r="CL100" i="3"/>
  <c r="CL122" i="4"/>
  <c r="CP122" i="4"/>
  <c r="DW135" i="2"/>
  <c r="CL107" i="2"/>
  <c r="DC85" i="2"/>
  <c r="CQ122" i="4"/>
  <c r="CO122" i="4"/>
  <c r="CI338" i="329"/>
  <c r="DV128" i="2"/>
  <c r="BS346" i="329"/>
  <c r="BS334" i="329"/>
  <c r="BS335" i="329" s="1"/>
  <c r="CI334" i="329"/>
  <c r="CI342" i="329"/>
  <c r="CI343" i="329" s="1"/>
  <c r="EW149" i="2"/>
  <c r="EG20" i="329"/>
  <c r="BC226" i="2"/>
  <c r="BC107" i="2"/>
  <c r="BC103" i="4"/>
  <c r="BD63" i="329"/>
  <c r="DM91" i="3"/>
  <c r="DM132" i="3"/>
  <c r="CN122" i="4"/>
  <c r="CV63" i="2"/>
  <c r="DS76" i="2"/>
  <c r="DF133" i="3"/>
  <c r="DU17" i="2"/>
  <c r="DU25" i="2" s="1"/>
  <c r="DH133" i="3"/>
  <c r="EB99" i="2"/>
  <c r="CD85" i="2"/>
  <c r="ES53" i="2"/>
  <c r="EP50" i="2"/>
  <c r="EU53" i="2"/>
  <c r="I60" i="2"/>
  <c r="K60" i="2"/>
  <c r="M60" i="2"/>
  <c r="O60" i="2"/>
  <c r="Q60" i="2"/>
  <c r="U60" i="2"/>
  <c r="W60" i="2"/>
  <c r="Y60" i="2"/>
  <c r="AC60" i="2"/>
  <c r="AE60" i="2"/>
  <c r="AG60" i="2"/>
  <c r="AI60" i="2"/>
  <c r="CT117" i="4"/>
  <c r="DQ105" i="4"/>
  <c r="CC343" i="329"/>
  <c r="DX77" i="4"/>
  <c r="DX80" i="4"/>
  <c r="DX83" i="4"/>
  <c r="AN17" i="2"/>
  <c r="AN111" i="2" s="1"/>
  <c r="CQ222" i="2"/>
  <c r="AX313" i="329"/>
  <c r="AX320" i="329" s="1"/>
  <c r="CU80" i="329"/>
  <c r="CU92" i="329" s="1"/>
  <c r="CU94" i="329" s="1"/>
  <c r="DC76" i="329"/>
  <c r="DD76" i="329" s="1"/>
  <c r="DD83" i="329" s="1"/>
  <c r="DD90" i="329" s="1"/>
  <c r="EW242" i="329"/>
  <c r="DD405" i="329"/>
  <c r="DD411" i="329"/>
  <c r="DD149" i="2"/>
  <c r="DD187" i="2" s="1"/>
  <c r="AL88" i="3"/>
  <c r="EE48" i="329"/>
  <c r="EE82" i="329" s="1"/>
  <c r="EE371" i="329" s="1"/>
  <c r="EE372" i="329" s="1"/>
  <c r="EE26" i="329"/>
  <c r="AA374" i="329"/>
  <c r="AA382" i="329" s="1"/>
  <c r="AA92" i="329"/>
  <c r="AA105" i="329" s="1"/>
  <c r="CH100" i="3"/>
  <c r="CT85" i="2"/>
  <c r="CK165" i="2"/>
  <c r="CK310" i="329"/>
  <c r="EL197" i="2"/>
  <c r="CU342" i="329"/>
  <c r="CU338" i="329"/>
  <c r="EQ295" i="329"/>
  <c r="EO295" i="329"/>
  <c r="AI31" i="329"/>
  <c r="AP40" i="329"/>
  <c r="AQ13" i="329"/>
  <c r="AR13" i="329" s="1"/>
  <c r="EJ157" i="2"/>
  <c r="EJ187" i="2" s="1"/>
  <c r="EJ177" i="2"/>
  <c r="EJ197" i="2"/>
  <c r="EJ214" i="2" s="1"/>
  <c r="EJ411" i="329"/>
  <c r="DZ87" i="4"/>
  <c r="DZ80" i="4" s="1"/>
  <c r="EL149" i="2"/>
  <c r="EM411" i="329"/>
  <c r="CJ334" i="329"/>
  <c r="AA371" i="329"/>
  <c r="AB49" i="329"/>
  <c r="AB83" i="329" s="1"/>
  <c r="DH128" i="329"/>
  <c r="DL128" i="329" s="1"/>
  <c r="CY326" i="329"/>
  <c r="EC149" i="2"/>
  <c r="EV404" i="329"/>
  <c r="EV148" i="2"/>
  <c r="FC135" i="329"/>
  <c r="FC134" i="329"/>
  <c r="FE135" i="329"/>
  <c r="FE134" i="329"/>
  <c r="FG135" i="329"/>
  <c r="FG134" i="329"/>
  <c r="K379" i="329"/>
  <c r="DI134" i="329"/>
  <c r="FB134" i="329"/>
  <c r="FD135" i="329"/>
  <c r="FD134" i="329"/>
  <c r="FF135" i="329"/>
  <c r="FF134" i="329"/>
  <c r="FH135" i="329"/>
  <c r="FH134" i="329"/>
  <c r="FC181" i="2"/>
  <c r="FC182" i="2" s="1"/>
  <c r="DV91" i="2"/>
  <c r="DV127" i="2" s="1"/>
  <c r="DQ91" i="2"/>
  <c r="EL8" i="2"/>
  <c r="DZ101" i="3" s="1"/>
  <c r="DZ52" i="3" s="1"/>
  <c r="DZ83" i="3" s="1"/>
  <c r="EK16" i="2"/>
  <c r="DL102" i="3"/>
  <c r="DL58" i="3" s="1"/>
  <c r="DX137" i="2"/>
  <c r="EE62" i="2"/>
  <c r="DS110" i="4" s="1"/>
  <c r="DU93" i="2"/>
  <c r="P91" i="2"/>
  <c r="P127" i="2" s="1"/>
  <c r="DM102" i="3"/>
  <c r="DM58" i="3" s="1"/>
  <c r="DY137" i="2"/>
  <c r="EV53" i="2"/>
  <c r="BF60" i="2"/>
  <c r="BT60" i="2"/>
  <c r="DI135" i="329"/>
  <c r="CI197" i="2"/>
  <c r="CM214" i="2" s="1"/>
  <c r="EF125" i="329"/>
  <c r="EG125" i="329"/>
  <c r="BB117" i="329"/>
  <c r="EJ325" i="329"/>
  <c r="EK326" i="329" s="1"/>
  <c r="EP404" i="329"/>
  <c r="DE128" i="329"/>
  <c r="DE125" i="329" s="1"/>
  <c r="DF135" i="329"/>
  <c r="DE134" i="329"/>
  <c r="CW160" i="329"/>
  <c r="CW168" i="329"/>
  <c r="CW156" i="329"/>
  <c r="CW152" i="329"/>
  <c r="CW164" i="329"/>
  <c r="BK308" i="329"/>
  <c r="BK297" i="329"/>
  <c r="AS112" i="4"/>
  <c r="AS390" i="329"/>
  <c r="CS412" i="329"/>
  <c r="AL278" i="329"/>
  <c r="AL287" i="329" s="1"/>
  <c r="AS92" i="329"/>
  <c r="AS105" i="329" s="1"/>
  <c r="BK177" i="2"/>
  <c r="BK157" i="2"/>
  <c r="BK197" i="2"/>
  <c r="BO149" i="2"/>
  <c r="BO7" i="2"/>
  <c r="BO9" i="2" s="1"/>
  <c r="BO411" i="329"/>
  <c r="BO157" i="2"/>
  <c r="BO187" i="2" s="1"/>
  <c r="DC411" i="329"/>
  <c r="DC149" i="2"/>
  <c r="DC187" i="2" s="1"/>
  <c r="BJ51" i="329"/>
  <c r="EQ66" i="329"/>
  <c r="EO65" i="329"/>
  <c r="EQ65" i="329" s="1"/>
  <c r="BW85" i="329"/>
  <c r="BX80" i="329"/>
  <c r="BX85" i="329" s="1"/>
  <c r="AW92" i="329"/>
  <c r="EI85" i="329"/>
  <c r="EI92" i="329" s="1"/>
  <c r="BA92" i="329"/>
  <c r="BA105" i="329" s="1"/>
  <c r="EJ85" i="329"/>
  <c r="EJ92" i="329" s="1"/>
  <c r="BE92" i="329"/>
  <c r="EK85" i="329"/>
  <c r="EK92" i="329" s="1"/>
  <c r="BI92" i="329"/>
  <c r="BJ94" i="329" s="1"/>
  <c r="EL85" i="329"/>
  <c r="EL92" i="329" s="1"/>
  <c r="L101" i="329"/>
  <c r="L102" i="329" s="1"/>
  <c r="L126" i="329"/>
  <c r="P126" i="329"/>
  <c r="T126" i="329"/>
  <c r="AB126" i="329"/>
  <c r="AF126" i="329"/>
  <c r="BG117" i="329"/>
  <c r="BC116" i="329"/>
  <c r="BC117" i="329"/>
  <c r="BC118" i="329"/>
  <c r="BG116" i="329"/>
  <c r="BG118" i="329"/>
  <c r="BG148" i="329"/>
  <c r="BK139" i="329"/>
  <c r="BO138" i="329" s="1"/>
  <c r="BO137" i="329" s="1"/>
  <c r="BO111" i="329" s="1"/>
  <c r="BK148" i="329"/>
  <c r="BK176" i="329"/>
  <c r="BK156" i="329" s="1"/>
  <c r="BO176" i="329"/>
  <c r="BO148" i="329"/>
  <c r="BW176" i="329"/>
  <c r="BW148" i="329"/>
  <c r="CA148" i="329"/>
  <c r="CA176" i="329"/>
  <c r="CE176" i="329"/>
  <c r="CE148" i="329"/>
  <c r="CM148" i="329"/>
  <c r="CQ125" i="329"/>
  <c r="CQ148" i="329"/>
  <c r="CQ176" i="329"/>
  <c r="CQ152" i="329" s="1"/>
  <c r="CQ139" i="329"/>
  <c r="CU138" i="329" s="1"/>
  <c r="CU137" i="329" s="1"/>
  <c r="CU111" i="329" s="1"/>
  <c r="CU176" i="329"/>
  <c r="CU139" i="329"/>
  <c r="CY138" i="329" s="1"/>
  <c r="CY137" i="329" s="1"/>
  <c r="CY111" i="329" s="1"/>
  <c r="CU125" i="329"/>
  <c r="CU148" i="329"/>
  <c r="EA139" i="329"/>
  <c r="EB138" i="329" s="1"/>
  <c r="EB140" i="329" s="1"/>
  <c r="EB141" i="329" s="1"/>
  <c r="EA148" i="329"/>
  <c r="BH7" i="2"/>
  <c r="BH103" i="4" s="1"/>
  <c r="BL411" i="329"/>
  <c r="BH177" i="2"/>
  <c r="BH197" i="2"/>
  <c r="BH411" i="329"/>
  <c r="AX116" i="329"/>
  <c r="BB116" i="329"/>
  <c r="BB118" i="329"/>
  <c r="BJ118" i="329"/>
  <c r="T119" i="2"/>
  <c r="CF119" i="2"/>
  <c r="BY124" i="2"/>
  <c r="CY269" i="329"/>
  <c r="CZ269" i="329"/>
  <c r="CB290" i="329"/>
  <c r="CB378" i="329" s="1"/>
  <c r="CB388" i="329" s="1"/>
  <c r="BT290" i="329"/>
  <c r="BU292" i="329" s="1"/>
  <c r="BU306" i="329" s="1"/>
  <c r="BY307" i="329" s="1"/>
  <c r="BX242" i="329"/>
  <c r="CF290" i="329"/>
  <c r="CF292" i="329" s="1"/>
  <c r="AK293" i="329"/>
  <c r="AK243" i="329"/>
  <c r="BR244" i="329"/>
  <c r="BR374" i="329" s="1"/>
  <c r="BZ382" i="329" s="1"/>
  <c r="BR295" i="329"/>
  <c r="BV296" i="329" s="1"/>
  <c r="AW295" i="329"/>
  <c r="AW244" i="329"/>
  <c r="EI287" i="329"/>
  <c r="BA244" i="329"/>
  <c r="EJ287" i="329"/>
  <c r="AZ318" i="329"/>
  <c r="BD318" i="329"/>
  <c r="BH318" i="329"/>
  <c r="BL318" i="329"/>
  <c r="BP318" i="329"/>
  <c r="CB318" i="329"/>
  <c r="CF318" i="329"/>
  <c r="CJ318" i="329"/>
  <c r="CN318" i="329"/>
  <c r="CR318" i="329"/>
  <c r="CV318" i="329"/>
  <c r="CZ318" i="329"/>
  <c r="BB326" i="329"/>
  <c r="BF354" i="329"/>
  <c r="BF326" i="329"/>
  <c r="EL325" i="329"/>
  <c r="BJ354" i="329"/>
  <c r="BJ326" i="329"/>
  <c r="BN324" i="329"/>
  <c r="BN354" i="329"/>
  <c r="BN326" i="329"/>
  <c r="BR354" i="329"/>
  <c r="BR326" i="329"/>
  <c r="BR324" i="329"/>
  <c r="BV354" i="329"/>
  <c r="BV346" i="329" s="1"/>
  <c r="BV324" i="329"/>
  <c r="BV326" i="329"/>
  <c r="BZ354" i="329"/>
  <c r="BZ324" i="329"/>
  <c r="EQ325" i="329"/>
  <c r="EQ326" i="329" s="1"/>
  <c r="BZ326" i="329"/>
  <c r="CD354" i="329"/>
  <c r="CD326" i="329"/>
  <c r="CH354" i="329"/>
  <c r="CH334" i="329" s="1"/>
  <c r="CH326" i="329"/>
  <c r="CH324" i="329"/>
  <c r="CL354" i="329"/>
  <c r="CL346" i="329" s="1"/>
  <c r="CL324" i="329"/>
  <c r="ET325" i="329"/>
  <c r="ET324" i="329" s="1"/>
  <c r="CL326" i="329"/>
  <c r="CP354" i="329"/>
  <c r="CP355" i="329" s="1"/>
  <c r="CP324" i="329"/>
  <c r="CP326" i="329"/>
  <c r="DC354" i="329"/>
  <c r="DC342" i="329"/>
  <c r="DZ404" i="329"/>
  <c r="DZ410" i="329" s="1"/>
  <c r="DZ147" i="2"/>
  <c r="EE404" i="329"/>
  <c r="EF411" i="329" s="1"/>
  <c r="EE147" i="2"/>
  <c r="I410" i="329"/>
  <c r="I149" i="2"/>
  <c r="M388" i="329"/>
  <c r="M411" i="329"/>
  <c r="M149" i="2"/>
  <c r="Q411" i="329"/>
  <c r="Q149" i="2"/>
  <c r="U411" i="329"/>
  <c r="U149" i="2"/>
  <c r="Y411" i="329"/>
  <c r="Y149" i="2"/>
  <c r="AC411" i="329"/>
  <c r="AC149" i="2"/>
  <c r="AG411" i="329"/>
  <c r="AG149" i="2"/>
  <c r="AK411" i="329"/>
  <c r="AK149" i="2"/>
  <c r="AO411" i="329"/>
  <c r="AO7" i="2"/>
  <c r="AO149" i="2"/>
  <c r="AS7" i="2"/>
  <c r="AS149" i="2"/>
  <c r="AW411" i="329"/>
  <c r="AW149" i="2"/>
  <c r="AW7" i="2"/>
  <c r="BA157" i="2"/>
  <c r="BA187" i="2" s="1"/>
  <c r="BA149" i="2"/>
  <c r="BA7" i="2"/>
  <c r="BA411" i="329"/>
  <c r="BE197" i="2"/>
  <c r="BE157" i="2"/>
  <c r="BE149" i="2"/>
  <c r="BI411" i="329"/>
  <c r="BE7" i="2"/>
  <c r="CW229" i="2"/>
  <c r="DC229" i="2"/>
  <c r="DC189" i="2"/>
  <c r="BI374" i="329"/>
  <c r="BI382" i="329" s="1"/>
  <c r="EV179" i="2"/>
  <c r="EN404" i="329"/>
  <c r="EQ411" i="329" s="1"/>
  <c r="AH374" i="329"/>
  <c r="BK152" i="2"/>
  <c r="BW152" i="2"/>
  <c r="BW176" i="2" s="1"/>
  <c r="DV103" i="329"/>
  <c r="BU273" i="329"/>
  <c r="BU243" i="329" s="1"/>
  <c r="BY273" i="329"/>
  <c r="BY243" i="329" s="1"/>
  <c r="EG394" i="329"/>
  <c r="EG104" i="2" s="1"/>
  <c r="BU59" i="2"/>
  <c r="BU60" i="2" s="1"/>
  <c r="BB60" i="2"/>
  <c r="BO60" i="2"/>
  <c r="FC185" i="2"/>
  <c r="FB183" i="2"/>
  <c r="FA193" i="2"/>
  <c r="FA194" i="2"/>
  <c r="FC195" i="2"/>
  <c r="FB194" i="2"/>
  <c r="FE191" i="2"/>
  <c r="FA183" i="2"/>
  <c r="FD190" i="2"/>
  <c r="FD192" i="2"/>
  <c r="FD189" i="2" s="1"/>
  <c r="FB189" i="2"/>
  <c r="FB190" i="2"/>
  <c r="FA189" i="2"/>
  <c r="FA190" i="2"/>
  <c r="FC190" i="2"/>
  <c r="FC192" i="2"/>
  <c r="FC189" i="2" s="1"/>
  <c r="BW130" i="3"/>
  <c r="EV49" i="2"/>
  <c r="CR338" i="329"/>
  <c r="CR334" i="329"/>
  <c r="CR355" i="329"/>
  <c r="CR342" i="329"/>
  <c r="CR330" i="329"/>
  <c r="CR346" i="329"/>
  <c r="J116" i="329"/>
  <c r="N117" i="329"/>
  <c r="N118" i="329"/>
  <c r="J117" i="329"/>
  <c r="R118" i="329"/>
  <c r="CQ308" i="329"/>
  <c r="CU309" i="329" s="1"/>
  <c r="ED411" i="329"/>
  <c r="EE148" i="329"/>
  <c r="CO335" i="329"/>
  <c r="CX346" i="329"/>
  <c r="DB347" i="329" s="1"/>
  <c r="CH168" i="329"/>
  <c r="CQ411" i="329"/>
  <c r="CV149" i="2"/>
  <c r="CR326" i="329"/>
  <c r="CZ411" i="329"/>
  <c r="CV7" i="2"/>
  <c r="CV326" i="329"/>
  <c r="CQ354" i="329"/>
  <c r="CQ365" i="329" s="1"/>
  <c r="EO326" i="329"/>
  <c r="EA149" i="2"/>
  <c r="EK157" i="2"/>
  <c r="CV187" i="2"/>
  <c r="CV405" i="329"/>
  <c r="EJ87" i="4"/>
  <c r="EF148" i="329"/>
  <c r="CH164" i="329"/>
  <c r="CH165" i="329" s="1"/>
  <c r="CC77" i="2"/>
  <c r="EH411" i="329"/>
  <c r="X122" i="2"/>
  <c r="BD122" i="2"/>
  <c r="AT123" i="2"/>
  <c r="BZ123" i="2"/>
  <c r="AI124" i="2"/>
  <c r="CI124" i="2"/>
  <c r="BQ226" i="2"/>
  <c r="BU152" i="2"/>
  <c r="CS187" i="2"/>
  <c r="CW210" i="2" s="1"/>
  <c r="CB214" i="2"/>
  <c r="CV224" i="329"/>
  <c r="BK339" i="329"/>
  <c r="BY331" i="329"/>
  <c r="FE118" i="329"/>
  <c r="CI273" i="329"/>
  <c r="CI243" i="329" s="1"/>
  <c r="EC20" i="329"/>
  <c r="BV82" i="329"/>
  <c r="DS26" i="329"/>
  <c r="DW26" i="329"/>
  <c r="EL26" i="329"/>
  <c r="R44" i="329"/>
  <c r="R374" i="329" s="1"/>
  <c r="DU44" i="329"/>
  <c r="DU374" i="329" s="1"/>
  <c r="DS44" i="329"/>
  <c r="DS92" i="329" s="1"/>
  <c r="DS105" i="329" s="1"/>
  <c r="DW44" i="329"/>
  <c r="ES55" i="329"/>
  <c r="ET55" i="329" s="1"/>
  <c r="EO58" i="329"/>
  <c r="EQ58" i="329" s="1"/>
  <c r="EP57" i="329"/>
  <c r="ER57" i="329" s="1"/>
  <c r="AV94" i="329"/>
  <c r="AV107" i="329" s="1"/>
  <c r="DY90" i="329"/>
  <c r="E103" i="329"/>
  <c r="I103" i="329"/>
  <c r="M104" i="329" s="1"/>
  <c r="EL116" i="329"/>
  <c r="K103" i="329"/>
  <c r="AJ126" i="329"/>
  <c r="AV126" i="329"/>
  <c r="CW224" i="329"/>
  <c r="BO52" i="3"/>
  <c r="BO83" i="3" s="1"/>
  <c r="BO217" i="2"/>
  <c r="EM16" i="2"/>
  <c r="EA102" i="3" s="1"/>
  <c r="BT109" i="2"/>
  <c r="BO130" i="3"/>
  <c r="BP109" i="2"/>
  <c r="BP17" i="2"/>
  <c r="BP79" i="2"/>
  <c r="EP238" i="2"/>
  <c r="BW52" i="3"/>
  <c r="BW83" i="3" s="1"/>
  <c r="BX79" i="2"/>
  <c r="CJ109" i="2"/>
  <c r="BW58" i="3"/>
  <c r="CI8" i="2"/>
  <c r="CS176" i="2"/>
  <c r="FH318" i="329"/>
  <c r="FD318" i="329"/>
  <c r="FC137" i="329"/>
  <c r="FC117" i="329"/>
  <c r="DH399" i="329"/>
  <c r="FD116" i="329"/>
  <c r="FE117" i="329"/>
  <c r="FE318" i="329"/>
  <c r="DE208" i="2"/>
  <c r="D60" i="2"/>
  <c r="DE213" i="2"/>
  <c r="CQ224" i="329"/>
  <c r="CT105" i="329"/>
  <c r="CT96" i="329"/>
  <c r="CA165" i="2"/>
  <c r="CA310" i="329"/>
  <c r="CE313" i="329" s="1"/>
  <c r="CE320" i="329" s="1"/>
  <c r="AS375" i="329"/>
  <c r="BQ308" i="329"/>
  <c r="F92" i="329"/>
  <c r="DX96" i="329"/>
  <c r="E92" i="329"/>
  <c r="D92" i="329" s="1"/>
  <c r="BP93" i="329"/>
  <c r="BP94" i="329"/>
  <c r="CV77" i="329"/>
  <c r="AG374" i="329"/>
  <c r="AG382" i="329" s="1"/>
  <c r="AG383" i="329" s="1"/>
  <c r="AG142" i="2" s="1"/>
  <c r="CX334" i="329"/>
  <c r="DB335" i="329" s="1"/>
  <c r="DF336" i="329" s="1"/>
  <c r="CH152" i="329"/>
  <c r="CH153" i="329" s="1"/>
  <c r="CH160" i="329"/>
  <c r="EK197" i="2"/>
  <c r="EK149" i="2"/>
  <c r="DY87" i="4"/>
  <c r="DY77" i="4" s="1"/>
  <c r="BV78" i="329"/>
  <c r="BW77" i="329"/>
  <c r="AG92" i="329"/>
  <c r="AO33" i="329"/>
  <c r="DD105" i="2"/>
  <c r="DD245" i="2" s="1"/>
  <c r="DZ77" i="4"/>
  <c r="CX330" i="329"/>
  <c r="CX338" i="329"/>
  <c r="CH156" i="329"/>
  <c r="CH157" i="329" s="1"/>
  <c r="EC38" i="329"/>
  <c r="EC44" i="329" s="1"/>
  <c r="CI245" i="329"/>
  <c r="CW338" i="329"/>
  <c r="CW346" i="329"/>
  <c r="CW342" i="329"/>
  <c r="DA355" i="329"/>
  <c r="CW334" i="329"/>
  <c r="CA346" i="329"/>
  <c r="CA355" i="329"/>
  <c r="CA356" i="329" s="1"/>
  <c r="CA338" i="329"/>
  <c r="CA330" i="329"/>
  <c r="CE355" i="329"/>
  <c r="CA334" i="329"/>
  <c r="BU297" i="329"/>
  <c r="R372" i="329"/>
  <c r="BJ245" i="329"/>
  <c r="CX342" i="329"/>
  <c r="AY297" i="329"/>
  <c r="BI226" i="2"/>
  <c r="CU156" i="329"/>
  <c r="CU152" i="329"/>
  <c r="CU160" i="329"/>
  <c r="CY267" i="329"/>
  <c r="CZ267" i="329"/>
  <c r="CH290" i="329"/>
  <c r="CI292" i="329" s="1"/>
  <c r="CX242" i="329"/>
  <c r="CX291" i="329"/>
  <c r="CX299" i="329"/>
  <c r="DB300" i="329" s="1"/>
  <c r="CX304" i="329"/>
  <c r="CX305" i="329" s="1"/>
  <c r="AI243" i="329"/>
  <c r="AI293" i="329"/>
  <c r="AM243" i="329"/>
  <c r="AM293" i="329"/>
  <c r="AQ293" i="329"/>
  <c r="AQ243" i="329"/>
  <c r="CB295" i="329"/>
  <c r="CF296" i="329" s="1"/>
  <c r="CP7" i="2"/>
  <c r="CP149" i="2"/>
  <c r="CP411" i="329"/>
  <c r="CC164" i="329"/>
  <c r="CC160" i="329"/>
  <c r="CC168" i="329"/>
  <c r="AM100" i="3"/>
  <c r="AM77" i="2"/>
  <c r="AM92" i="2" s="1"/>
  <c r="P122" i="2"/>
  <c r="AF122" i="2"/>
  <c r="AN122" i="2"/>
  <c r="AV122" i="2"/>
  <c r="BL122" i="2"/>
  <c r="BT122" i="2"/>
  <c r="CB122" i="2"/>
  <c r="CR122" i="2"/>
  <c r="CZ122" i="2"/>
  <c r="N119" i="2"/>
  <c r="V123" i="2"/>
  <c r="AD123" i="2"/>
  <c r="AL123" i="2"/>
  <c r="BB123" i="2"/>
  <c r="BJ123" i="2"/>
  <c r="BR123" i="2"/>
  <c r="CL119" i="2"/>
  <c r="CT119" i="2"/>
  <c r="S124" i="2"/>
  <c r="AA124" i="2"/>
  <c r="AQ124" i="2"/>
  <c r="AY124" i="2"/>
  <c r="BG124" i="2"/>
  <c r="BW124" i="2"/>
  <c r="CA127" i="2"/>
  <c r="CA120" i="2"/>
  <c r="CQ124" i="2"/>
  <c r="CR169" i="2"/>
  <c r="CR222" i="2"/>
  <c r="BQ161" i="2"/>
  <c r="BQ152" i="2"/>
  <c r="BU161" i="2"/>
  <c r="BU165" i="2" s="1"/>
  <c r="BU226" i="2"/>
  <c r="BY161" i="2"/>
  <c r="EP161" i="2" s="1"/>
  <c r="BY226" i="2"/>
  <c r="BM155" i="2"/>
  <c r="CF208" i="2"/>
  <c r="CJ208" i="2"/>
  <c r="CN208" i="2"/>
  <c r="CW208" i="2"/>
  <c r="CD212" i="2"/>
  <c r="CH212" i="2"/>
  <c r="EG21" i="329"/>
  <c r="AP12" i="329"/>
  <c r="AP17" i="329" s="1"/>
  <c r="AP48" i="329" s="1"/>
  <c r="AP49" i="329" s="1"/>
  <c r="AE48" i="329"/>
  <c r="AE371" i="329" s="1"/>
  <c r="AE26" i="329"/>
  <c r="AI48" i="329"/>
  <c r="AI371" i="329" s="1"/>
  <c r="AJ26" i="329"/>
  <c r="ES46" i="329"/>
  <c r="CU63" i="329"/>
  <c r="CT64" i="329"/>
  <c r="CT65" i="329"/>
  <c r="BR69" i="329"/>
  <c r="EO69" i="329" s="1"/>
  <c r="EQ69" i="329" s="1"/>
  <c r="EN72" i="329"/>
  <c r="AK92" i="329"/>
  <c r="AL94" i="329" s="1"/>
  <c r="EF85" i="329"/>
  <c r="EF92" i="329" s="1"/>
  <c r="EG93" i="329" s="1"/>
  <c r="DX88" i="329"/>
  <c r="DY89" i="329"/>
  <c r="M382" i="329"/>
  <c r="M105" i="329"/>
  <c r="M96" i="329"/>
  <c r="G101" i="329"/>
  <c r="G126" i="329"/>
  <c r="W126" i="329"/>
  <c r="AE126" i="329"/>
  <c r="AR126" i="329"/>
  <c r="BA139" i="329"/>
  <c r="BE138" i="329" s="1"/>
  <c r="BE137" i="329" s="1"/>
  <c r="BE111" i="329" s="1"/>
  <c r="EJ147" i="329"/>
  <c r="BE148" i="329"/>
  <c r="BI139" i="329"/>
  <c r="BM138" i="329" s="1"/>
  <c r="BM137" i="329" s="1"/>
  <c r="BM111" i="329" s="1"/>
  <c r="BI176" i="329"/>
  <c r="BI148" i="329"/>
  <c r="BM139" i="329"/>
  <c r="BQ138" i="329" s="1"/>
  <c r="BQ137" i="329" s="1"/>
  <c r="BQ111" i="329" s="1"/>
  <c r="BM176" i="329"/>
  <c r="BM148" i="329"/>
  <c r="BM125" i="329"/>
  <c r="BQ176" i="329"/>
  <c r="BQ148" i="329"/>
  <c r="BU176" i="329"/>
  <c r="BU148" i="329"/>
  <c r="BY176" i="329"/>
  <c r="BY148" i="329"/>
  <c r="CC148" i="329"/>
  <c r="CG148" i="329"/>
  <c r="CG176" i="329"/>
  <c r="ES147" i="329"/>
  <c r="CK148" i="329"/>
  <c r="CK176" i="329"/>
  <c r="CK160" i="329" s="1"/>
  <c r="CO176" i="329"/>
  <c r="CO148" i="329"/>
  <c r="CS176" i="329"/>
  <c r="CS139" i="329"/>
  <c r="CW138" i="329" s="1"/>
  <c r="CW137" i="329" s="1"/>
  <c r="CW111" i="329" s="1"/>
  <c r="CW116" i="329" s="1"/>
  <c r="CS148" i="329"/>
  <c r="CW148" i="329"/>
  <c r="CW139" i="329"/>
  <c r="DA138" i="329" s="1"/>
  <c r="DA137" i="329" s="1"/>
  <c r="DA111" i="329" s="1"/>
  <c r="CW125" i="329"/>
  <c r="CW126" i="329" s="1"/>
  <c r="DY139" i="329"/>
  <c r="DZ138" i="329" s="1"/>
  <c r="DZ140" i="329" s="1"/>
  <c r="DZ148" i="329"/>
  <c r="EC139" i="329"/>
  <c r="ED138" i="329" s="1"/>
  <c r="ED140" i="329" s="1"/>
  <c r="EE141" i="329" s="1"/>
  <c r="EC148" i="329"/>
  <c r="EH139" i="329"/>
  <c r="EI138" i="329" s="1"/>
  <c r="EI148" i="329"/>
  <c r="DB123" i="2"/>
  <c r="ES69" i="329"/>
  <c r="ET69" i="329" s="1"/>
  <c r="EK123" i="2"/>
  <c r="CX292" i="329"/>
  <c r="CX306" i="329" s="1"/>
  <c r="AK297" i="329"/>
  <c r="AK310" i="329" s="1"/>
  <c r="CY334" i="329"/>
  <c r="DC335" i="329" s="1"/>
  <c r="DG336" i="329" s="1"/>
  <c r="EW354" i="329"/>
  <c r="CY355" i="329"/>
  <c r="CY346" i="329"/>
  <c r="CY342" i="329"/>
  <c r="CY330" i="329"/>
  <c r="CY338" i="329"/>
  <c r="DC339" i="329" s="1"/>
  <c r="DG340" i="329" s="1"/>
  <c r="BG106" i="329"/>
  <c r="EV396" i="329"/>
  <c r="BW339" i="329"/>
  <c r="BF107" i="2"/>
  <c r="EF23" i="329"/>
  <c r="EE24" i="329"/>
  <c r="ED25" i="329"/>
  <c r="Q26" i="329"/>
  <c r="AF26" i="329"/>
  <c r="BX49" i="329"/>
  <c r="BX83" i="329" s="1"/>
  <c r="BS44" i="329"/>
  <c r="BS33" i="329" s="1"/>
  <c r="BR26" i="329"/>
  <c r="DY26" i="329"/>
  <c r="AJ44" i="329"/>
  <c r="N44" i="329"/>
  <c r="O50" i="329" s="1"/>
  <c r="DR44" i="329"/>
  <c r="DR92" i="329" s="1"/>
  <c r="DR96" i="329" s="1"/>
  <c r="DR107" i="329" s="1"/>
  <c r="EI46" i="329"/>
  <c r="EN58" i="329"/>
  <c r="EN65" i="329"/>
  <c r="EO76" i="329"/>
  <c r="EQ76" i="329" s="1"/>
  <c r="BH94" i="329"/>
  <c r="H103" i="329"/>
  <c r="H104" i="329" s="1"/>
  <c r="L103" i="329"/>
  <c r="EB125" i="329"/>
  <c r="EC125" i="329"/>
  <c r="ED125" i="329"/>
  <c r="EE126" i="329" s="1"/>
  <c r="EH125" i="329"/>
  <c r="EI125" i="329"/>
  <c r="EV129" i="329"/>
  <c r="EJ273" i="329"/>
  <c r="EK250" i="329"/>
  <c r="AU112" i="4"/>
  <c r="AU390" i="329"/>
  <c r="ES408" i="329"/>
  <c r="CU334" i="329"/>
  <c r="CU346" i="329"/>
  <c r="CQ330" i="329"/>
  <c r="CU326" i="329"/>
  <c r="CL103" i="4"/>
  <c r="BJ164" i="329"/>
  <c r="BN165" i="329" s="1"/>
  <c r="BJ160" i="329"/>
  <c r="CK164" i="329"/>
  <c r="BK106" i="329"/>
  <c r="AP93" i="329"/>
  <c r="CU330" i="329"/>
  <c r="CU355" i="329"/>
  <c r="CQ346" i="329"/>
  <c r="EV325" i="329"/>
  <c r="EV324" i="329" s="1"/>
  <c r="AF371" i="329"/>
  <c r="AF372" i="329" s="1"/>
  <c r="BZ100" i="3"/>
  <c r="M91" i="3"/>
  <c r="M92" i="3" s="1"/>
  <c r="M93" i="3"/>
  <c r="EJ326" i="329"/>
  <c r="AO92" i="329"/>
  <c r="AO94" i="329" s="1"/>
  <c r="AO90" i="329"/>
  <c r="CU324" i="329"/>
  <c r="EW225" i="2"/>
  <c r="AR85" i="2"/>
  <c r="DW87" i="4"/>
  <c r="EI177" i="2"/>
  <c r="EI157" i="2"/>
  <c r="EI149" i="2"/>
  <c r="BK160" i="329"/>
  <c r="AM93" i="329"/>
  <c r="AI94" i="329"/>
  <c r="CM342" i="329"/>
  <c r="CM338" i="329"/>
  <c r="CM334" i="329"/>
  <c r="CM335" i="329" s="1"/>
  <c r="BW342" i="329"/>
  <c r="BW343" i="329" s="1"/>
  <c r="BW355" i="329"/>
  <c r="BW356" i="329" s="1"/>
  <c r="BW330" i="329"/>
  <c r="BW331" i="329" s="1"/>
  <c r="BW334" i="329"/>
  <c r="BW335" i="329" s="1"/>
  <c r="BW336" i="329" s="1"/>
  <c r="BW365" i="329"/>
  <c r="BW346" i="329"/>
  <c r="AX103" i="4"/>
  <c r="AX410" i="329"/>
  <c r="BB85" i="2"/>
  <c r="BF99" i="2" s="1"/>
  <c r="BB100" i="3"/>
  <c r="BB410" i="329"/>
  <c r="BB80" i="2"/>
  <c r="BK103" i="4"/>
  <c r="BK77" i="2"/>
  <c r="BR77" i="2"/>
  <c r="BR100" i="3"/>
  <c r="BR9" i="2"/>
  <c r="BJ161" i="2"/>
  <c r="BJ193" i="2" s="1"/>
  <c r="BJ226" i="2"/>
  <c r="BR161" i="2"/>
  <c r="BR193" i="2" s="1"/>
  <c r="BR226" i="2"/>
  <c r="CW193" i="2"/>
  <c r="DA213" i="2" s="1"/>
  <c r="DA246" i="2" s="1"/>
  <c r="DA230" i="2"/>
  <c r="EJ231" i="2"/>
  <c r="EK231" i="2"/>
  <c r="EN231" i="2"/>
  <c r="EN197" i="2"/>
  <c r="CQ193" i="2"/>
  <c r="CQ213" i="2" s="1"/>
  <c r="CQ230" i="2"/>
  <c r="ED38" i="329"/>
  <c r="ED44" i="329" s="1"/>
  <c r="ED20" i="329"/>
  <c r="T26" i="329"/>
  <c r="U26" i="329"/>
  <c r="Y26" i="329"/>
  <c r="X26" i="329"/>
  <c r="AJ48" i="329"/>
  <c r="AK49" i="329" s="1"/>
  <c r="AK26" i="329"/>
  <c r="CY26" i="329"/>
  <c r="CZ21" i="329"/>
  <c r="EA41" i="329"/>
  <c r="EA44" i="329" s="1"/>
  <c r="Q44" i="329"/>
  <c r="EB41" i="329"/>
  <c r="EB44" i="329" s="1"/>
  <c r="U44" i="329"/>
  <c r="V50" i="329" s="1"/>
  <c r="BJ44" i="329"/>
  <c r="BJ35" i="329" s="1"/>
  <c r="EL46" i="329"/>
  <c r="BU51" i="329"/>
  <c r="DA49" i="329"/>
  <c r="DA83" i="329" s="1"/>
  <c r="DA90" i="329" s="1"/>
  <c r="CZ49" i="329"/>
  <c r="CZ83" i="329" s="1"/>
  <c r="CZ90" i="329" s="1"/>
  <c r="EQ56" i="329"/>
  <c r="BV55" i="329"/>
  <c r="EP55" i="329" s="1"/>
  <c r="ER55" i="329" s="1"/>
  <c r="ET63" i="329"/>
  <c r="ES65" i="329"/>
  <c r="ET65" i="329" s="1"/>
  <c r="AZ94" i="329"/>
  <c r="AZ93" i="329"/>
  <c r="N378" i="329"/>
  <c r="N89" i="329"/>
  <c r="O87" i="329"/>
  <c r="EN116" i="329"/>
  <c r="EO116" i="329"/>
  <c r="DX125" i="329"/>
  <c r="B103" i="329"/>
  <c r="F101" i="329"/>
  <c r="F102" i="329" s="1"/>
  <c r="DY125" i="329"/>
  <c r="J126" i="329"/>
  <c r="J101" i="329"/>
  <c r="J103" i="329"/>
  <c r="DZ125" i="329"/>
  <c r="DZ126" i="329" s="1"/>
  <c r="N101" i="329"/>
  <c r="EA125" i="329"/>
  <c r="AM126" i="329"/>
  <c r="CJ128" i="329"/>
  <c r="ES128" i="329" s="1"/>
  <c r="ET128" i="329"/>
  <c r="CN139" i="329"/>
  <c r="CR138" i="329" s="1"/>
  <c r="CR137" i="329" s="1"/>
  <c r="CR111" i="329" s="1"/>
  <c r="AZ139" i="329"/>
  <c r="BD138" i="329" s="1"/>
  <c r="BD137" i="329" s="1"/>
  <c r="BD111" i="329" s="1"/>
  <c r="AZ125" i="329"/>
  <c r="BD139" i="329"/>
  <c r="BH138" i="329" s="1"/>
  <c r="BH137" i="329" s="1"/>
  <c r="BH111" i="329" s="1"/>
  <c r="BD148" i="329"/>
  <c r="BH139" i="329"/>
  <c r="BL138" i="329" s="1"/>
  <c r="BL137" i="329" s="1"/>
  <c r="BL111" i="329" s="1"/>
  <c r="BH125" i="329"/>
  <c r="EL147" i="329"/>
  <c r="BL139" i="329"/>
  <c r="BP138" i="329" s="1"/>
  <c r="BP137" i="329" s="1"/>
  <c r="BP111" i="329" s="1"/>
  <c r="BL125" i="329"/>
  <c r="BL105" i="329" s="1"/>
  <c r="BL148" i="329"/>
  <c r="BP176" i="329"/>
  <c r="EN147" i="329"/>
  <c r="BT176" i="329"/>
  <c r="EO147" i="329"/>
  <c r="BT148" i="329"/>
  <c r="BX176" i="329"/>
  <c r="EP147" i="329"/>
  <c r="CB176" i="329"/>
  <c r="CB148" i="329"/>
  <c r="CF148" i="329"/>
  <c r="CF176" i="329"/>
  <c r="CJ176" i="329"/>
  <c r="CN176" i="329"/>
  <c r="CN125" i="329"/>
  <c r="ET125" i="329" s="1"/>
  <c r="CN148" i="329"/>
  <c r="ET147" i="329"/>
  <c r="ET148" i="329" s="1"/>
  <c r="CR176" i="329"/>
  <c r="CR164" i="329" s="1"/>
  <c r="CR139" i="329"/>
  <c r="CV138" i="329" s="1"/>
  <c r="CV137" i="329" s="1"/>
  <c r="CV111" i="329" s="1"/>
  <c r="EU147" i="329"/>
  <c r="EU139" i="329" s="1"/>
  <c r="EV138" i="329" s="1"/>
  <c r="CV176" i="329"/>
  <c r="CV125" i="329"/>
  <c r="CV126" i="329" s="1"/>
  <c r="EV147" i="329"/>
  <c r="CV148" i="329"/>
  <c r="DX139" i="329"/>
  <c r="DY138" i="329" s="1"/>
  <c r="DY140" i="329" s="1"/>
  <c r="DY148" i="329"/>
  <c r="EG139" i="329"/>
  <c r="EH138" i="329" s="1"/>
  <c r="EH148" i="329"/>
  <c r="EG148" i="329"/>
  <c r="CN214" i="2"/>
  <c r="DA291" i="329"/>
  <c r="AL243" i="329"/>
  <c r="DB292" i="329"/>
  <c r="DB306" i="329" s="1"/>
  <c r="DB339" i="329"/>
  <c r="DF340" i="329" s="1"/>
  <c r="DZ380" i="329"/>
  <c r="EN82" i="329"/>
  <c r="EO55" i="329"/>
  <c r="EQ55" i="329" s="1"/>
  <c r="CZ266" i="329"/>
  <c r="AT293" i="329"/>
  <c r="EM231" i="2"/>
  <c r="EC394" i="329"/>
  <c r="EC104" i="2" s="1"/>
  <c r="AY382" i="329"/>
  <c r="BZ342" i="329"/>
  <c r="AY375" i="329"/>
  <c r="DT135" i="2"/>
  <c r="DD193" i="2"/>
  <c r="CZ221" i="329"/>
  <c r="DD221" i="329"/>
  <c r="BL94" i="329"/>
  <c r="BL95" i="329" s="1"/>
  <c r="DI218" i="329"/>
  <c r="DY388" i="329"/>
  <c r="BS331" i="329"/>
  <c r="BS332" i="329" s="1"/>
  <c r="DI219" i="329"/>
  <c r="EL221" i="329"/>
  <c r="DI216" i="329"/>
  <c r="DI220" i="329"/>
  <c r="AX118" i="329"/>
  <c r="CH109" i="3"/>
  <c r="CH93" i="3" s="1"/>
  <c r="CT388" i="329"/>
  <c r="AF390" i="329"/>
  <c r="AN72" i="329"/>
  <c r="AN71" i="329"/>
  <c r="AO70" i="329"/>
  <c r="AL34" i="329"/>
  <c r="AL30" i="329"/>
  <c r="AM50" i="329"/>
  <c r="AT106" i="329"/>
  <c r="V374" i="329"/>
  <c r="V92" i="329"/>
  <c r="CC339" i="329"/>
  <c r="CK350" i="329"/>
  <c r="BJ309" i="329"/>
  <c r="AL106" i="329"/>
  <c r="AH106" i="329"/>
  <c r="CT224" i="329"/>
  <c r="CI126" i="329"/>
  <c r="CM126" i="329"/>
  <c r="O92" i="329"/>
  <c r="O374" i="329"/>
  <c r="EC48" i="329"/>
  <c r="EC26" i="329"/>
  <c r="EG34" i="329"/>
  <c r="EG31" i="329"/>
  <c r="CE139" i="329"/>
  <c r="CI138" i="329" s="1"/>
  <c r="CI137" i="329" s="1"/>
  <c r="CI111" i="329" s="1"/>
  <c r="CA128" i="329"/>
  <c r="BW128" i="329"/>
  <c r="EV149" i="2"/>
  <c r="BZ87" i="329"/>
  <c r="BR378" i="329"/>
  <c r="Z374" i="329"/>
  <c r="CM156" i="329"/>
  <c r="CM177" i="329"/>
  <c r="CM160" i="329"/>
  <c r="CM164" i="329"/>
  <c r="CM152" i="329"/>
  <c r="AG126" i="329"/>
  <c r="AK126" i="329"/>
  <c r="BU79" i="2"/>
  <c r="BU412" i="329"/>
  <c r="BS77" i="2"/>
  <c r="CZ408" i="329"/>
  <c r="CU149" i="2"/>
  <c r="CY405" i="329"/>
  <c r="CU7" i="2"/>
  <c r="CU411" i="329"/>
  <c r="CY411" i="329"/>
  <c r="CU405" i="329"/>
  <c r="EF410" i="329"/>
  <c r="EG411" i="329"/>
  <c r="EF149" i="2"/>
  <c r="ET326" i="329"/>
  <c r="ER326" i="329"/>
  <c r="ER324" i="329"/>
  <c r="EP326" i="329"/>
  <c r="EP324" i="329"/>
  <c r="BQ330" i="329"/>
  <c r="BU331" i="329" s="1"/>
  <c r="CC355" i="329"/>
  <c r="BQ334" i="329"/>
  <c r="BU355" i="329"/>
  <c r="BQ355" i="329"/>
  <c r="BQ346" i="329"/>
  <c r="EN326" i="329"/>
  <c r="BG334" i="329"/>
  <c r="BK335" i="329" s="1"/>
  <c r="BG346" i="329"/>
  <c r="BK355" i="329"/>
  <c r="BO356" i="329" s="1"/>
  <c r="BV308" i="329"/>
  <c r="BJ296" i="329"/>
  <c r="AT296" i="329"/>
  <c r="AT308" i="329"/>
  <c r="CR160" i="329"/>
  <c r="BS31" i="329"/>
  <c r="AD371" i="329"/>
  <c r="AD372" i="329" s="1"/>
  <c r="R49" i="329"/>
  <c r="S49" i="329"/>
  <c r="EC87" i="4"/>
  <c r="EO149" i="2"/>
  <c r="EO197" i="2"/>
  <c r="EO411" i="329"/>
  <c r="DN109" i="3"/>
  <c r="DN91" i="3" s="1"/>
  <c r="DZ385" i="329"/>
  <c r="DZ379" i="329"/>
  <c r="BS347" i="329"/>
  <c r="CA343" i="329"/>
  <c r="CE343" i="329"/>
  <c r="DD309" i="329"/>
  <c r="ER411" i="329"/>
  <c r="ER149" i="2"/>
  <c r="EM157" i="2"/>
  <c r="EA87" i="4"/>
  <c r="EA77" i="4" s="1"/>
  <c r="EM177" i="2"/>
  <c r="CT411" i="329"/>
  <c r="CT149" i="2"/>
  <c r="DX101" i="329"/>
  <c r="DX102" i="329" s="1"/>
  <c r="CT338" i="329"/>
  <c r="CX339" i="329" s="1"/>
  <c r="CT342" i="329"/>
  <c r="CT346" i="329"/>
  <c r="CX355" i="329"/>
  <c r="CT334" i="329"/>
  <c r="CF338" i="329"/>
  <c r="CN355" i="329"/>
  <c r="CF330" i="329"/>
  <c r="CF334" i="329"/>
  <c r="CF342" i="329"/>
  <c r="CK335" i="329"/>
  <c r="CG335" i="329"/>
  <c r="EP197" i="2"/>
  <c r="BJ227" i="2"/>
  <c r="DA335" i="329"/>
  <c r="DE336" i="329" s="1"/>
  <c r="EV189" i="2"/>
  <c r="CX197" i="2"/>
  <c r="CR100" i="3"/>
  <c r="BF151" i="2"/>
  <c r="BF175" i="2" s="1"/>
  <c r="CX151" i="2"/>
  <c r="CX231" i="2"/>
  <c r="BK213" i="2"/>
  <c r="DD412" i="329"/>
  <c r="CS197" i="2"/>
  <c r="CX230" i="2"/>
  <c r="CX152" i="2"/>
  <c r="CX222" i="2" s="1"/>
  <c r="EO87" i="329"/>
  <c r="CC87" i="329"/>
  <c r="BU378" i="329"/>
  <c r="BY293" i="329"/>
  <c r="BY304" i="329"/>
  <c r="BY299" i="329"/>
  <c r="BY291" i="329"/>
  <c r="CS296" i="329"/>
  <c r="CS299" i="329"/>
  <c r="CG297" i="329"/>
  <c r="CO296" i="329"/>
  <c r="CG299" i="329"/>
  <c r="CK296" i="329"/>
  <c r="CG296" i="329"/>
  <c r="AO308" i="329"/>
  <c r="AO296" i="329"/>
  <c r="AO297" i="329"/>
  <c r="CS304" i="329"/>
  <c r="CS305" i="329" s="1"/>
  <c r="CT293" i="329"/>
  <c r="CT243" i="329" s="1"/>
  <c r="CS291" i="329"/>
  <c r="DC310" i="329"/>
  <c r="DG313" i="329" s="1"/>
  <c r="DC298" i="329"/>
  <c r="DC321" i="329" s="1"/>
  <c r="DD106" i="2"/>
  <c r="AQ40" i="329"/>
  <c r="BG126" i="329"/>
  <c r="BC126" i="329"/>
  <c r="CK139" i="329"/>
  <c r="CO138" i="329" s="1"/>
  <c r="CO137" i="329" s="1"/>
  <c r="CO111" i="329" s="1"/>
  <c r="CG128" i="329"/>
  <c r="CK125" i="329"/>
  <c r="CV346" i="329"/>
  <c r="CV334" i="329"/>
  <c r="EV354" i="329"/>
  <c r="EW355" i="329" s="1"/>
  <c r="CV355" i="329"/>
  <c r="CV330" i="329"/>
  <c r="CV338" i="329"/>
  <c r="CM343" i="329"/>
  <c r="AL49" i="329"/>
  <c r="N380" i="329"/>
  <c r="DZ390" i="329"/>
  <c r="CP176" i="2"/>
  <c r="CT222" i="2"/>
  <c r="CP169" i="2"/>
  <c r="CP222" i="2"/>
  <c r="CW176" i="2"/>
  <c r="CW169" i="2"/>
  <c r="BT193" i="2"/>
  <c r="BT160" i="2"/>
  <c r="BT189" i="2" s="1"/>
  <c r="CT16" i="2"/>
  <c r="CX109" i="2" s="1"/>
  <c r="CT197" i="2"/>
  <c r="DB200" i="2"/>
  <c r="CD355" i="329"/>
  <c r="ER354" i="329"/>
  <c r="CA347" i="329"/>
  <c r="CL330" i="329"/>
  <c r="ET354" i="329"/>
  <c r="EI87" i="4"/>
  <c r="I93" i="3"/>
  <c r="EP231" i="2"/>
  <c r="CY183" i="2"/>
  <c r="DC209" i="2" s="1"/>
  <c r="DC225" i="2"/>
  <c r="ET162" i="2"/>
  <c r="EF17" i="329"/>
  <c r="CM355" i="329"/>
  <c r="CM356" i="329" s="1"/>
  <c r="EP46" i="329"/>
  <c r="BJ116" i="329"/>
  <c r="BF125" i="329"/>
  <c r="CW153" i="2"/>
  <c r="CW177" i="2" s="1"/>
  <c r="CE293" i="329"/>
  <c r="EI394" i="329"/>
  <c r="EI104" i="2" s="1"/>
  <c r="EW411" i="329"/>
  <c r="CI187" i="329"/>
  <c r="CP213" i="2"/>
  <c r="CY179" i="2"/>
  <c r="ES189" i="2"/>
  <c r="CO197" i="2"/>
  <c r="CK170" i="2"/>
  <c r="DZ388" i="329"/>
  <c r="CM330" i="329"/>
  <c r="CM331" i="329" s="1"/>
  <c r="AA26" i="329"/>
  <c r="AA90" i="329" s="1"/>
  <c r="EQ116" i="329"/>
  <c r="BN251" i="329"/>
  <c r="BO251" i="329" s="1"/>
  <c r="BP251" i="329" s="1"/>
  <c r="BQ265" i="329" s="1"/>
  <c r="EN265" i="329" s="1"/>
  <c r="CI335" i="329"/>
  <c r="CG183" i="2"/>
  <c r="CY225" i="2"/>
  <c r="EG17" i="329"/>
  <c r="CY168" i="2"/>
  <c r="EM223" i="2"/>
  <c r="ES225" i="2"/>
  <c r="DB229" i="2"/>
  <c r="CQ49" i="329"/>
  <c r="CQ83" i="329" s="1"/>
  <c r="CQ90" i="329" s="1"/>
  <c r="W44" i="329"/>
  <c r="W50" i="329" s="1"/>
  <c r="W119" i="2"/>
  <c r="BB226" i="2"/>
  <c r="BF226" i="2"/>
  <c r="BN152" i="2"/>
  <c r="BV226" i="2"/>
  <c r="CQ151" i="2"/>
  <c r="CQ221" i="2" s="1"/>
  <c r="CW227" i="2"/>
  <c r="ER213" i="2"/>
  <c r="ER246" i="2" s="1"/>
  <c r="CI212" i="2"/>
  <c r="BB217" i="2"/>
  <c r="BJ217" i="2"/>
  <c r="BN217" i="2"/>
  <c r="CT168" i="2"/>
  <c r="AX160" i="2"/>
  <c r="AX193" i="2"/>
  <c r="CP16" i="2"/>
  <c r="CS16" i="2"/>
  <c r="CS79" i="2" s="1"/>
  <c r="CZ209" i="2"/>
  <c r="CZ245" i="2" s="1"/>
  <c r="AN81" i="2"/>
  <c r="AN96" i="2" s="1"/>
  <c r="BR79" i="2"/>
  <c r="CX85" i="2"/>
  <c r="BK85" i="2"/>
  <c r="BK78" i="2"/>
  <c r="BB103" i="4"/>
  <c r="BB77" i="2"/>
  <c r="AX77" i="2"/>
  <c r="AX92" i="2" s="1"/>
  <c r="AX78" i="2"/>
  <c r="AX93" i="2" s="1"/>
  <c r="BZ77" i="2"/>
  <c r="K93" i="3"/>
  <c r="DM93" i="3"/>
  <c r="DB162" i="2"/>
  <c r="DB231" i="2" s="1"/>
  <c r="CR162" i="2"/>
  <c r="DB189" i="2"/>
  <c r="CV189" i="2"/>
  <c r="CR189" i="2"/>
  <c r="CR212" i="2" s="1"/>
  <c r="BF161" i="2"/>
  <c r="BF193" i="2" s="1"/>
  <c r="CU230" i="2"/>
  <c r="BB155" i="2"/>
  <c r="AR78" i="2"/>
  <c r="AR410" i="329"/>
  <c r="CP197" i="2"/>
  <c r="CS170" i="2"/>
  <c r="AX155" i="2"/>
  <c r="AX179" i="2" s="1"/>
  <c r="EP156" i="2"/>
  <c r="EP183" i="2" s="1"/>
  <c r="EJ156" i="2"/>
  <c r="EJ226" i="2" s="1"/>
  <c r="AX100" i="3"/>
  <c r="BK79" i="2"/>
  <c r="BV160" i="2"/>
  <c r="CX412" i="329"/>
  <c r="BK107" i="2"/>
  <c r="BK100" i="3"/>
  <c r="BB9" i="2"/>
  <c r="BB107" i="2"/>
  <c r="AX9" i="2"/>
  <c r="AX107" i="2"/>
  <c r="CW162" i="2"/>
  <c r="CW16" i="2" s="1"/>
  <c r="EN223" i="2"/>
  <c r="CH78" i="2"/>
  <c r="BR78" i="2"/>
  <c r="ER230" i="2"/>
  <c r="CV229" i="2"/>
  <c r="BB161" i="2"/>
  <c r="EK161" i="2" s="1"/>
  <c r="CQ179" i="2"/>
  <c r="BN226" i="2"/>
  <c r="CQ162" i="2"/>
  <c r="EO231" i="2"/>
  <c r="ES179" i="2"/>
  <c r="AN107" i="2"/>
  <c r="CJ153" i="2"/>
  <c r="CT231" i="2"/>
  <c r="AP38" i="329"/>
  <c r="EB20" i="329"/>
  <c r="AX80" i="2"/>
  <c r="CX77" i="2"/>
  <c r="BK9" i="2"/>
  <c r="BB78" i="2"/>
  <c r="AX85" i="2"/>
  <c r="AX99" i="2" s="1"/>
  <c r="CH79" i="2"/>
  <c r="BR85" i="2"/>
  <c r="CJ216" i="2"/>
  <c r="CV162" i="2"/>
  <c r="BN161" i="2"/>
  <c r="BZ226" i="2"/>
  <c r="AN80" i="2"/>
  <c r="AN95" i="2" s="1"/>
  <c r="BL230" i="2"/>
  <c r="CA8" i="2"/>
  <c r="CA9" i="2" s="1"/>
  <c r="CA17" i="2" s="1"/>
  <c r="BX230" i="2"/>
  <c r="BY151" i="2"/>
  <c r="BY175" i="2" s="1"/>
  <c r="EG30" i="329"/>
  <c r="EG32" i="329"/>
  <c r="EG29" i="329"/>
  <c r="EG374" i="329"/>
  <c r="EG382" i="329" s="1"/>
  <c r="CZ200" i="2"/>
  <c r="DI128" i="329"/>
  <c r="DM128" i="329" s="1"/>
  <c r="DD85" i="2"/>
  <c r="DD99" i="2" s="1"/>
  <c r="DD107" i="2"/>
  <c r="EF79" i="4"/>
  <c r="CH79" i="329"/>
  <c r="CI79" i="329" s="1"/>
  <c r="CJ79" i="329" s="1"/>
  <c r="CK79" i="329" s="1"/>
  <c r="CP79" i="329" s="1"/>
  <c r="CQ79" i="329" s="1"/>
  <c r="CR79" i="329" s="1"/>
  <c r="CS79" i="329" s="1"/>
  <c r="EU79" i="329" s="1"/>
  <c r="EP79" i="329"/>
  <c r="ER79" i="329" s="1"/>
  <c r="AP43" i="329"/>
  <c r="AQ16" i="329"/>
  <c r="EJ318" i="329"/>
  <c r="EI318" i="329"/>
  <c r="BR160" i="329"/>
  <c r="BR152" i="329"/>
  <c r="BR177" i="329"/>
  <c r="BR156" i="329"/>
  <c r="BR164" i="329"/>
  <c r="BR168" i="329"/>
  <c r="CH338" i="329"/>
  <c r="CH346" i="329"/>
  <c r="CH342" i="329"/>
  <c r="BV365" i="329"/>
  <c r="BV342" i="329"/>
  <c r="BF93" i="329"/>
  <c r="BB93" i="329"/>
  <c r="EB410" i="329"/>
  <c r="CI350" i="329"/>
  <c r="CI160" i="329"/>
  <c r="CI168" i="329"/>
  <c r="BC65" i="329"/>
  <c r="AP80" i="2"/>
  <c r="BN177" i="329"/>
  <c r="CC152" i="329"/>
  <c r="EI273" i="329"/>
  <c r="EI293" i="329" s="1"/>
  <c r="CN338" i="329"/>
  <c r="DD338" i="329"/>
  <c r="DD339" i="329" s="1"/>
  <c r="CI177" i="329"/>
  <c r="BJ156" i="329"/>
  <c r="BN157" i="329" s="1"/>
  <c r="CC156" i="329"/>
  <c r="ES57" i="329"/>
  <c r="ET57" i="329" s="1"/>
  <c r="EU57" i="329"/>
  <c r="EP64" i="329"/>
  <c r="ER64" i="329" s="1"/>
  <c r="CI139" i="329"/>
  <c r="CM138" i="329" s="1"/>
  <c r="CM137" i="329" s="1"/>
  <c r="CM111" i="329" s="1"/>
  <c r="EV270" i="329"/>
  <c r="EV256" i="329" s="1"/>
  <c r="CI156" i="329"/>
  <c r="CR49" i="329"/>
  <c r="CR83" i="329" s="1"/>
  <c r="CR90" i="329" s="1"/>
  <c r="EH26" i="329"/>
  <c r="EM26" i="329"/>
  <c r="EO71" i="329"/>
  <c r="EQ71" i="329" s="1"/>
  <c r="ES71" i="329"/>
  <c r="ET71" i="329" s="1"/>
  <c r="EU71" i="329"/>
  <c r="BD125" i="329"/>
  <c r="BD105" i="329" s="1"/>
  <c r="BD244" i="329"/>
  <c r="BD374" i="329" s="1"/>
  <c r="BD382" i="329" s="1"/>
  <c r="EO265" i="329"/>
  <c r="EO251" i="329" s="1"/>
  <c r="EV263" i="329"/>
  <c r="EV249" i="329" s="1"/>
  <c r="CQ273" i="329"/>
  <c r="CQ243" i="329" s="1"/>
  <c r="EO272" i="329"/>
  <c r="EO258" i="329" s="1"/>
  <c r="EP272" i="329"/>
  <c r="EP258" i="329" s="1"/>
  <c r="ES272" i="329"/>
  <c r="ES258" i="329" s="1"/>
  <c r="DD346" i="329"/>
  <c r="DD347" i="329" s="1"/>
  <c r="L92" i="3"/>
  <c r="DB151" i="2"/>
  <c r="CY151" i="2"/>
  <c r="CY153" i="2" s="1"/>
  <c r="DC151" i="2"/>
  <c r="DD151" i="2"/>
  <c r="CN151" i="2"/>
  <c r="CR151" i="2"/>
  <c r="CV151" i="2"/>
  <c r="CO151" i="2"/>
  <c r="CS221" i="2" s="1"/>
  <c r="DA151" i="2"/>
  <c r="BM9" i="2"/>
  <c r="BM17" i="2" s="1"/>
  <c r="BF79" i="2"/>
  <c r="BR80" i="2"/>
  <c r="DD189" i="2"/>
  <c r="DD212" i="2" s="1"/>
  <c r="F95" i="2"/>
  <c r="BO58" i="3"/>
  <c r="BN58" i="3"/>
  <c r="BH187" i="2"/>
  <c r="BF109" i="2"/>
  <c r="CH109" i="2"/>
  <c r="BR109" i="2"/>
  <c r="BN109" i="2"/>
  <c r="BF80" i="2"/>
  <c r="BB79" i="2"/>
  <c r="BB102" i="3"/>
  <c r="BB58" i="3" s="1"/>
  <c r="EJ16" i="2"/>
  <c r="AX102" i="3"/>
  <c r="BA58" i="3" s="1"/>
  <c r="N80" i="2"/>
  <c r="B15" i="2"/>
  <c r="BV109" i="2"/>
  <c r="Q81" i="2"/>
  <c r="BH155" i="2"/>
  <c r="N15" i="2"/>
  <c r="EN16" i="2"/>
  <c r="EP16" i="2"/>
  <c r="EO16" i="2"/>
  <c r="BR102" i="3"/>
  <c r="BN15" i="2"/>
  <c r="BJ109" i="2"/>
  <c r="BF102" i="3"/>
  <c r="BB109" i="2"/>
  <c r="AX79" i="2"/>
  <c r="AX94" i="2" s="1"/>
  <c r="J19" i="2"/>
  <c r="BI101" i="3"/>
  <c r="BI52" i="3" s="1"/>
  <c r="BI83" i="3" s="1"/>
  <c r="EK8" i="2"/>
  <c r="DY101" i="3" s="1"/>
  <c r="EJ8" i="2"/>
  <c r="DX101" i="3" s="1"/>
  <c r="BD9" i="2"/>
  <c r="CX79" i="2"/>
  <c r="CH81" i="2"/>
  <c r="DW78" i="3"/>
  <c r="CW222" i="2"/>
  <c r="J15" i="2"/>
  <c r="V80" i="2"/>
  <c r="Z95" i="2" s="1"/>
  <c r="CD79" i="2"/>
  <c r="DV51" i="3"/>
  <c r="DV82" i="3" s="1"/>
  <c r="DV130" i="3"/>
  <c r="DV52" i="3"/>
  <c r="DV83" i="3" s="1"/>
  <c r="CR103" i="3"/>
  <c r="BN60" i="2"/>
  <c r="CG60" i="2"/>
  <c r="EK28" i="3"/>
  <c r="O123" i="3"/>
  <c r="DT71" i="3"/>
  <c r="DP75" i="3"/>
  <c r="CD123" i="3"/>
  <c r="CC123" i="3"/>
  <c r="AH123" i="3"/>
  <c r="BC45" i="3"/>
  <c r="DX78" i="3"/>
  <c r="BD123" i="3"/>
  <c r="FB179" i="2"/>
  <c r="FB208" i="2" s="1"/>
  <c r="G111" i="2"/>
  <c r="C104" i="4"/>
  <c r="C106" i="4" s="1"/>
  <c r="C25" i="2"/>
  <c r="C111" i="3"/>
  <c r="G83" i="2"/>
  <c r="AV111" i="3"/>
  <c r="AV25" i="2"/>
  <c r="AV82" i="2"/>
  <c r="AV104" i="4"/>
  <c r="C20" i="2"/>
  <c r="BM60" i="2"/>
  <c r="BA189" i="2"/>
  <c r="CO209" i="2"/>
  <c r="CU175" i="2"/>
  <c r="DO130" i="3"/>
  <c r="DO58" i="3"/>
  <c r="I83" i="2"/>
  <c r="F132" i="2"/>
  <c r="E25" i="2"/>
  <c r="E104" i="4"/>
  <c r="E106" i="4" s="1"/>
  <c r="E20" i="2"/>
  <c r="DR51" i="3"/>
  <c r="DR82" i="3" s="1"/>
  <c r="DR130" i="3"/>
  <c r="DR52" i="3"/>
  <c r="DR83" i="3" s="1"/>
  <c r="DR58" i="3"/>
  <c r="FB193" i="2"/>
  <c r="BF9" i="2"/>
  <c r="EQ50" i="2"/>
  <c r="CE60" i="2"/>
  <c r="CM60" i="2"/>
  <c r="C60" i="2"/>
  <c r="BS60" i="2"/>
  <c r="G60" i="2"/>
  <c r="BX60" i="2"/>
  <c r="AQ60" i="2"/>
  <c r="AU60" i="2"/>
  <c r="AY60" i="2"/>
  <c r="CC70" i="2"/>
  <c r="L118" i="2"/>
  <c r="P118" i="2"/>
  <c r="T122" i="2"/>
  <c r="X118" i="2"/>
  <c r="AB122" i="2"/>
  <c r="AF118" i="2"/>
  <c r="AJ122" i="2"/>
  <c r="AN118" i="2"/>
  <c r="AR122" i="2"/>
  <c r="AV118" i="2"/>
  <c r="AZ122" i="2"/>
  <c r="BD118" i="2"/>
  <c r="BH122" i="2"/>
  <c r="BL118" i="2"/>
  <c r="BP122" i="2"/>
  <c r="BT118" i="2"/>
  <c r="BX122" i="2"/>
  <c r="CB118" i="2"/>
  <c r="CF122" i="2"/>
  <c r="CJ118" i="2"/>
  <c r="CN122" i="2"/>
  <c r="CR118" i="2"/>
  <c r="CV122" i="2"/>
  <c r="CZ118" i="2"/>
  <c r="J119" i="2"/>
  <c r="N123" i="2"/>
  <c r="R123" i="2"/>
  <c r="V119" i="2"/>
  <c r="Z123" i="2"/>
  <c r="AD119" i="2"/>
  <c r="AH123" i="2"/>
  <c r="AL119" i="2"/>
  <c r="AP123" i="2"/>
  <c r="AT119" i="2"/>
  <c r="AX123" i="2"/>
  <c r="BB119" i="2"/>
  <c r="BF123" i="2"/>
  <c r="BJ119" i="2"/>
  <c r="BN123" i="2"/>
  <c r="BR119" i="2"/>
  <c r="BV123" i="2"/>
  <c r="BZ119" i="2"/>
  <c r="CD123" i="2"/>
  <c r="CH123" i="2"/>
  <c r="CL123" i="2"/>
  <c r="CP123" i="2"/>
  <c r="CT123" i="2"/>
  <c r="K120" i="2"/>
  <c r="O124" i="2"/>
  <c r="S120" i="2"/>
  <c r="W124" i="2"/>
  <c r="AA120" i="2"/>
  <c r="AE124" i="2"/>
  <c r="AI120" i="2"/>
  <c r="AM124" i="2"/>
  <c r="AQ120" i="2"/>
  <c r="AU124" i="2"/>
  <c r="AY120" i="2"/>
  <c r="BC124" i="2"/>
  <c r="BG120" i="2"/>
  <c r="BK124" i="2"/>
  <c r="BO120" i="2"/>
  <c r="BS124" i="2"/>
  <c r="BW120" i="2"/>
  <c r="CE124" i="2"/>
  <c r="CI120" i="2"/>
  <c r="CM124" i="2"/>
  <c r="CQ120" i="2"/>
  <c r="CU124" i="2"/>
  <c r="CP59" i="2"/>
  <c r="CP68" i="2"/>
  <c r="BP210" i="2"/>
  <c r="DM130" i="3"/>
  <c r="CD412" i="329"/>
  <c r="CU120" i="2"/>
  <c r="CM120" i="2"/>
  <c r="CE120" i="2"/>
  <c r="CA124" i="2"/>
  <c r="BS120" i="2"/>
  <c r="BK120" i="2"/>
  <c r="BC120" i="2"/>
  <c r="AU120" i="2"/>
  <c r="AM120" i="2"/>
  <c r="AE120" i="2"/>
  <c r="W120" i="2"/>
  <c r="O120" i="2"/>
  <c r="CD119" i="2"/>
  <c r="BV119" i="2"/>
  <c r="BN119" i="2"/>
  <c r="BF119" i="2"/>
  <c r="AX119" i="2"/>
  <c r="AP119" i="2"/>
  <c r="AH119" i="2"/>
  <c r="Z119" i="2"/>
  <c r="CV118" i="2"/>
  <c r="CN118" i="2"/>
  <c r="CF118" i="2"/>
  <c r="BX118" i="2"/>
  <c r="BP118" i="2"/>
  <c r="BH118" i="2"/>
  <c r="AZ118" i="2"/>
  <c r="AR118" i="2"/>
  <c r="AJ118" i="2"/>
  <c r="AB118" i="2"/>
  <c r="T118" i="2"/>
  <c r="BM109" i="2"/>
  <c r="BA109" i="2"/>
  <c r="CD77" i="2"/>
  <c r="E58" i="3"/>
  <c r="BQ78" i="3"/>
  <c r="CD78" i="2"/>
  <c r="CP119" i="2"/>
  <c r="CH119" i="2"/>
  <c r="R119" i="2"/>
  <c r="BI109" i="2"/>
  <c r="AP15" i="2"/>
  <c r="BV85" i="2"/>
  <c r="AP19" i="2"/>
  <c r="V15" i="2"/>
  <c r="F112" i="3"/>
  <c r="F114" i="3" s="1"/>
  <c r="BE213" i="2"/>
  <c r="DA222" i="2"/>
  <c r="BR51" i="3"/>
  <c r="BR82" i="3" s="1"/>
  <c r="BR52" i="3"/>
  <c r="BR83" i="3" s="1"/>
  <c r="F81" i="2"/>
  <c r="CQ176" i="2"/>
  <c r="R81" i="2"/>
  <c r="BJ100" i="3"/>
  <c r="BW193" i="2"/>
  <c r="EF42" i="4"/>
  <c r="EF98" i="4" s="1"/>
  <c r="EF99" i="4" s="1"/>
  <c r="EU152" i="2"/>
  <c r="CA85" i="2"/>
  <c r="Q78" i="3"/>
  <c r="AG78" i="3"/>
  <c r="BW160" i="2"/>
  <c r="AV128" i="2"/>
  <c r="CA214" i="2"/>
  <c r="CL221" i="2"/>
  <c r="CL153" i="2"/>
  <c r="CL157" i="2" s="1"/>
  <c r="CL175" i="2"/>
  <c r="CE176" i="2"/>
  <c r="CE153" i="2"/>
  <c r="CE177" i="2" s="1"/>
  <c r="CI222" i="2"/>
  <c r="CE222" i="2"/>
  <c r="CB176" i="2"/>
  <c r="CF222" i="2"/>
  <c r="CB153" i="2"/>
  <c r="EE29" i="4"/>
  <c r="BP227" i="2"/>
  <c r="CT209" i="2"/>
  <c r="BE130" i="3"/>
  <c r="DY99" i="4"/>
  <c r="BE229" i="2"/>
  <c r="CY59" i="2"/>
  <c r="CY68" i="2"/>
  <c r="EW67" i="2"/>
  <c r="CR59" i="2"/>
  <c r="CR68" i="2"/>
  <c r="CU199" i="2"/>
  <c r="W81" i="2"/>
  <c r="U20" i="2"/>
  <c r="U110" i="2"/>
  <c r="CE100" i="3"/>
  <c r="CM79" i="2"/>
  <c r="CM412" i="329"/>
  <c r="CM77" i="2"/>
  <c r="CM85" i="2"/>
  <c r="CG77" i="2"/>
  <c r="CG78" i="2"/>
  <c r="ER7" i="2"/>
  <c r="CE78" i="2"/>
  <c r="CE77" i="2"/>
  <c r="CE85" i="2"/>
  <c r="BT17" i="2"/>
  <c r="BO19" i="2"/>
  <c r="BO105" i="4"/>
  <c r="DC176" i="2"/>
  <c r="K20" i="2"/>
  <c r="K81" i="2"/>
  <c r="BY107" i="2"/>
  <c r="CB107" i="2"/>
  <c r="CB128" i="2" s="1"/>
  <c r="CV222" i="2"/>
  <c r="CY19" i="2"/>
  <c r="CT67" i="2"/>
  <c r="CZ119" i="2"/>
  <c r="BY85" i="2"/>
  <c r="CK107" i="2"/>
  <c r="EK12" i="2"/>
  <c r="EL12" i="2"/>
  <c r="BU17" i="2"/>
  <c r="CX80" i="2"/>
  <c r="CX15" i="2"/>
  <c r="CL102" i="3"/>
  <c r="BV111" i="3"/>
  <c r="BV82" i="2"/>
  <c r="BV25" i="2"/>
  <c r="BP179" i="2"/>
  <c r="BV104" i="4"/>
  <c r="CA157" i="2"/>
  <c r="CA170" i="2" s="1"/>
  <c r="CA201" i="2" s="1"/>
  <c r="CA223" i="2"/>
  <c r="DI84" i="3"/>
  <c r="AD81" i="2"/>
  <c r="ER152" i="2"/>
  <c r="CG153" i="2"/>
  <c r="CG157" i="2" s="1"/>
  <c r="BD51" i="3"/>
  <c r="BD82" i="3" s="1"/>
  <c r="BD130" i="3"/>
  <c r="BV130" i="3"/>
  <c r="BV51" i="3"/>
  <c r="BV82" i="3" s="1"/>
  <c r="AU58" i="3"/>
  <c r="AW58" i="3"/>
  <c r="CX107" i="2"/>
  <c r="CT412" i="329"/>
  <c r="DF208" i="2"/>
  <c r="BD15" i="2"/>
  <c r="BD19" i="2"/>
  <c r="CO412" i="329"/>
  <c r="BL79" i="2"/>
  <c r="CQ100" i="3"/>
  <c r="CO85" i="2"/>
  <c r="CO99" i="2" s="1"/>
  <c r="Q95" i="2"/>
  <c r="BN227" i="2"/>
  <c r="B58" i="3"/>
  <c r="BA78" i="3"/>
  <c r="CZ176" i="2"/>
  <c r="FB92" i="2"/>
  <c r="DH187" i="329"/>
  <c r="DF187" i="329"/>
  <c r="CU224" i="329"/>
  <c r="DE187" i="329"/>
  <c r="EW196" i="329"/>
  <c r="BQ20" i="4"/>
  <c r="BQ27" i="4" s="1"/>
  <c r="BP27" i="4"/>
  <c r="BP28" i="4"/>
  <c r="BT40" i="4"/>
  <c r="BU34" i="4"/>
  <c r="BU40" i="4" s="1"/>
  <c r="AZ54" i="4"/>
  <c r="BA49" i="4"/>
  <c r="BA54" i="4" s="1"/>
  <c r="AR117" i="4"/>
  <c r="CN40" i="4"/>
  <c r="CO39" i="4"/>
  <c r="CO40" i="4" s="1"/>
  <c r="BM14" i="4"/>
  <c r="AV28" i="4"/>
  <c r="AW25" i="4"/>
  <c r="EE47" i="4"/>
  <c r="EE95" i="4"/>
  <c r="Y110" i="2"/>
  <c r="U81" i="2"/>
  <c r="CL19" i="2"/>
  <c r="CF29" i="4"/>
  <c r="CF42" i="4" s="1"/>
  <c r="CF98" i="4" s="1"/>
  <c r="CG10" i="4"/>
  <c r="CR12" i="2"/>
  <c r="CF105" i="4" s="1"/>
  <c r="CF28" i="4"/>
  <c r="CG23" i="4"/>
  <c r="AR29" i="4"/>
  <c r="AR42" i="4" s="1"/>
  <c r="AR98" i="4" s="1"/>
  <c r="AR99" i="4" s="1"/>
  <c r="AS22" i="4"/>
  <c r="AS29" i="4" s="1"/>
  <c r="AS42" i="4" s="1"/>
  <c r="AS98" i="4" s="1"/>
  <c r="AS99" i="4" s="1"/>
  <c r="AR28" i="4"/>
  <c r="AS39" i="4"/>
  <c r="AS40" i="4" s="1"/>
  <c r="AR40" i="4"/>
  <c r="BH54" i="4"/>
  <c r="BI52" i="4"/>
  <c r="BI54" i="4" s="1"/>
  <c r="AW8" i="4"/>
  <c r="AV29" i="4"/>
  <c r="AV42" i="4" s="1"/>
  <c r="AV98" i="4" s="1"/>
  <c r="DM27" i="4"/>
  <c r="DM28" i="4"/>
  <c r="BY40" i="4"/>
  <c r="CW68" i="2"/>
  <c r="CW59" i="2"/>
  <c r="CW60" i="2" s="1"/>
  <c r="BX12" i="2"/>
  <c r="BX105" i="4" s="1"/>
  <c r="BY10" i="4"/>
  <c r="BY12" i="2" s="1"/>
  <c r="AJ54" i="4"/>
  <c r="AK52" i="4"/>
  <c r="BY52" i="4"/>
  <c r="BX54" i="4"/>
  <c r="BD12" i="4"/>
  <c r="BE12" i="4" s="1"/>
  <c r="DN54" i="4"/>
  <c r="DN63" i="4" s="1"/>
  <c r="EH15" i="4"/>
  <c r="BL40" i="4"/>
  <c r="DQ28" i="4"/>
  <c r="DM54" i="4"/>
  <c r="DP54" i="4"/>
  <c r="CK40" i="4"/>
  <c r="DO63" i="4"/>
  <c r="EH56" i="4"/>
  <c r="BQ11" i="4"/>
  <c r="DQ54" i="4"/>
  <c r="BS63" i="4"/>
  <c r="BP15" i="4"/>
  <c r="BP29" i="4" s="1"/>
  <c r="BP42" i="4" s="1"/>
  <c r="BP98" i="4" s="1"/>
  <c r="BP99" i="4" s="1"/>
  <c r="BM16" i="4"/>
  <c r="AG37" i="4"/>
  <c r="CO49" i="4"/>
  <c r="BE123" i="3"/>
  <c r="DO124" i="3"/>
  <c r="EF71" i="3"/>
  <c r="EF66" i="3"/>
  <c r="EF67" i="3"/>
  <c r="AY123" i="3"/>
  <c r="AX123" i="3"/>
  <c r="CP123" i="3"/>
  <c r="CQ123" i="3"/>
  <c r="CA123" i="3"/>
  <c r="CR78" i="3"/>
  <c r="DX21" i="3"/>
  <c r="DX76" i="3"/>
  <c r="DS35" i="3"/>
  <c r="AG44" i="3"/>
  <c r="DS44" i="3" s="1"/>
  <c r="DS45" i="3" s="1"/>
  <c r="DH124" i="3"/>
  <c r="CR44" i="3"/>
  <c r="CR45" i="3" s="1"/>
  <c r="DP77" i="3"/>
  <c r="EA90" i="3"/>
  <c r="DU78" i="3"/>
  <c r="BP21" i="3"/>
  <c r="BP71" i="3" s="1"/>
  <c r="BQ74" i="3"/>
  <c r="BQ122" i="3" s="1"/>
  <c r="BQ123" i="3" s="1"/>
  <c r="BA90" i="3"/>
  <c r="BH45" i="3"/>
  <c r="DR90" i="3"/>
  <c r="EJ42" i="3"/>
  <c r="AO78" i="3"/>
  <c r="AC123" i="3"/>
  <c r="AM75" i="3"/>
  <c r="CS200" i="2"/>
  <c r="BG213" i="2"/>
  <c r="CQ169" i="2"/>
  <c r="CQ238" i="2" s="1"/>
  <c r="BV222" i="2"/>
  <c r="BR151" i="2"/>
  <c r="BR176" i="2"/>
  <c r="BF110" i="2"/>
  <c r="CA88" i="3"/>
  <c r="EJ63" i="2"/>
  <c r="EJ64" i="2" s="1"/>
  <c r="D105" i="3"/>
  <c r="D37" i="2"/>
  <c r="D34" i="2"/>
  <c r="EW226" i="2"/>
  <c r="CN107" i="3"/>
  <c r="CN78" i="3" s="1"/>
  <c r="CZ60" i="2"/>
  <c r="EW49" i="2"/>
  <c r="ER50" i="2"/>
  <c r="AJ60" i="2"/>
  <c r="AR60" i="2"/>
  <c r="G128" i="2"/>
  <c r="AA91" i="2"/>
  <c r="AA127" i="2" s="1"/>
  <c r="DV58" i="3"/>
  <c r="ES151" i="2"/>
  <c r="DT58" i="3"/>
  <c r="ES193" i="2"/>
  <c r="ET213" i="2" s="1"/>
  <c r="ET246" i="2" s="1"/>
  <c r="DD60" i="2"/>
  <c r="DE143" i="329"/>
  <c r="DT104" i="329"/>
  <c r="CP224" i="329"/>
  <c r="CY224" i="329"/>
  <c r="BN295" i="329"/>
  <c r="BN244" i="329"/>
  <c r="T372" i="329"/>
  <c r="EF244" i="329"/>
  <c r="EF295" i="329"/>
  <c r="DB343" i="329"/>
  <c r="CG100" i="3"/>
  <c r="CK88" i="3" s="1"/>
  <c r="CS85" i="2"/>
  <c r="CW107" i="2"/>
  <c r="CG103" i="4"/>
  <c r="DB24" i="329"/>
  <c r="DC24" i="329" s="1"/>
  <c r="DD24" i="329" s="1"/>
  <c r="DE24" i="329" s="1"/>
  <c r="EW24" i="329"/>
  <c r="CI165" i="2"/>
  <c r="CI310" i="329"/>
  <c r="CS354" i="329"/>
  <c r="CS326" i="329"/>
  <c r="EU325" i="329"/>
  <c r="CV116" i="329"/>
  <c r="CH139" i="329"/>
  <c r="CL138" i="329" s="1"/>
  <c r="CL137" i="329" s="1"/>
  <c r="CL111" i="329" s="1"/>
  <c r="CD128" i="329"/>
  <c r="AG118" i="329"/>
  <c r="AC116" i="329"/>
  <c r="AG116" i="329"/>
  <c r="AC118" i="329"/>
  <c r="M116" i="329"/>
  <c r="U117" i="329"/>
  <c r="U118" i="329"/>
  <c r="AC117" i="329"/>
  <c r="U116" i="329"/>
  <c r="AT118" i="329"/>
  <c r="AT116" i="329"/>
  <c r="V117" i="329"/>
  <c r="N116" i="329"/>
  <c r="Z117" i="329"/>
  <c r="R116" i="329"/>
  <c r="V118" i="329"/>
  <c r="AD117" i="329"/>
  <c r="V116" i="329"/>
  <c r="Z118" i="329"/>
  <c r="AH117" i="329"/>
  <c r="Z116" i="329"/>
  <c r="AD116" i="329"/>
  <c r="AL117" i="329"/>
  <c r="AD118" i="329"/>
  <c r="AL118" i="329"/>
  <c r="AH116" i="329"/>
  <c r="AH118" i="329"/>
  <c r="AP117" i="329"/>
  <c r="AL116" i="329"/>
  <c r="AM118" i="329"/>
  <c r="AU117" i="329"/>
  <c r="AM116" i="329"/>
  <c r="AQ116" i="329"/>
  <c r="AQ118" i="329"/>
  <c r="AU118" i="329"/>
  <c r="AU116" i="329"/>
  <c r="AM117" i="329"/>
  <c r="AE118" i="329"/>
  <c r="AE116" i="329"/>
  <c r="W117" i="329"/>
  <c r="O116" i="329"/>
  <c r="AE117" i="329"/>
  <c r="W116" i="329"/>
  <c r="W118" i="329"/>
  <c r="EJ148" i="329"/>
  <c r="EW129" i="329"/>
  <c r="AT94" i="329"/>
  <c r="AG117" i="329"/>
  <c r="Y116" i="329"/>
  <c r="Y118" i="329"/>
  <c r="Q118" i="329"/>
  <c r="Y117" i="329"/>
  <c r="Q116" i="329"/>
  <c r="AT117" i="329"/>
  <c r="AP116" i="329"/>
  <c r="AP118" i="329"/>
  <c r="AW117" i="329"/>
  <c r="AS116" i="329"/>
  <c r="AW116" i="329"/>
  <c r="AW118" i="329"/>
  <c r="AA118" i="329"/>
  <c r="AI117" i="329"/>
  <c r="AA116" i="329"/>
  <c r="S117" i="329"/>
  <c r="AA117" i="329"/>
  <c r="S116" i="329"/>
  <c r="AI116" i="329"/>
  <c r="AI118" i="329"/>
  <c r="AQ117" i="329"/>
  <c r="AN44" i="329"/>
  <c r="EM50" i="329"/>
  <c r="EM51" i="329" s="1"/>
  <c r="EN50" i="329"/>
  <c r="EO64" i="329"/>
  <c r="EQ64" i="329" s="1"/>
  <c r="EU69" i="329"/>
  <c r="EN85" i="329"/>
  <c r="EN222" i="329"/>
  <c r="EN215" i="329" s="1"/>
  <c r="AX125" i="329"/>
  <c r="AX105" i="329" s="1"/>
  <c r="CT292" i="329"/>
  <c r="DX26" i="329"/>
  <c r="AE44" i="329"/>
  <c r="AE374" i="329" s="1"/>
  <c r="EU55" i="329"/>
  <c r="BH176" i="329"/>
  <c r="EU271" i="329"/>
  <c r="EU257" i="329" s="1"/>
  <c r="FD399" i="329"/>
  <c r="FD105" i="2" s="1"/>
  <c r="FH399" i="329"/>
  <c r="FH105" i="2" s="1"/>
  <c r="DD342" i="329"/>
  <c r="DD343" i="329" s="1"/>
  <c r="BS26" i="329"/>
  <c r="BT44" i="329"/>
  <c r="EF44" i="329"/>
  <c r="EF34" i="329" s="1"/>
  <c r="DY44" i="329"/>
  <c r="DT44" i="329"/>
  <c r="DT92" i="329" s="1"/>
  <c r="DV44" i="329"/>
  <c r="DZ44" i="329"/>
  <c r="CY49" i="329"/>
  <c r="CY83" i="329" s="1"/>
  <c r="CY90" i="329" s="1"/>
  <c r="CU304" i="329"/>
  <c r="EU266" i="329"/>
  <c r="EU252" i="329" s="1"/>
  <c r="EV266" i="329"/>
  <c r="EV252" i="329" s="1"/>
  <c r="EK273" i="329"/>
  <c r="EK243" i="329" s="1"/>
  <c r="EK293" i="329" s="1"/>
  <c r="EL253" i="329"/>
  <c r="AJ374" i="329"/>
  <c r="EH273" i="329"/>
  <c r="EH293" i="329" s="1"/>
  <c r="FB399" i="329"/>
  <c r="FB105" i="2" s="1"/>
  <c r="FE399" i="329"/>
  <c r="FE105" i="2" s="1"/>
  <c r="DD334" i="329"/>
  <c r="DD335" i="329" s="1"/>
  <c r="CR68" i="3"/>
  <c r="CR67" i="3"/>
  <c r="AR92" i="329"/>
  <c r="BU90" i="329"/>
  <c r="CC90" i="329"/>
  <c r="CG90" i="329"/>
  <c r="BY90" i="329"/>
  <c r="AC390" i="329"/>
  <c r="ED26" i="329"/>
  <c r="EE20" i="329"/>
  <c r="EF20" i="329"/>
  <c r="EE38" i="329"/>
  <c r="EE44" i="329" s="1"/>
  <c r="AM26" i="329"/>
  <c r="AM48" i="329"/>
  <c r="EG46" i="329"/>
  <c r="EH46" i="329"/>
  <c r="EU65" i="329"/>
  <c r="CU65" i="329"/>
  <c r="BD93" i="329"/>
  <c r="BD94" i="329"/>
  <c r="BK93" i="329"/>
  <c r="BG93" i="329"/>
  <c r="BG94" i="329"/>
  <c r="BG164" i="2" s="1"/>
  <c r="AC48" i="329"/>
  <c r="AD26" i="329"/>
  <c r="AC26" i="329"/>
  <c r="AC90" i="329" s="1"/>
  <c r="AG48" i="329"/>
  <c r="AG26" i="329"/>
  <c r="AH26" i="329"/>
  <c r="BU26" i="329"/>
  <c r="EO20" i="329"/>
  <c r="BU44" i="329"/>
  <c r="BR44" i="329"/>
  <c r="EO21" i="329"/>
  <c r="EO12" i="329" s="1"/>
  <c r="EV44" i="329"/>
  <c r="CU44" i="329"/>
  <c r="CT32" i="329"/>
  <c r="CT30" i="329"/>
  <c r="BR382" i="329"/>
  <c r="O48" i="329"/>
  <c r="P26" i="329"/>
  <c r="W48" i="329"/>
  <c r="W26" i="329"/>
  <c r="BW82" i="329"/>
  <c r="BW49" i="329"/>
  <c r="BW83" i="329" s="1"/>
  <c r="EO72" i="329"/>
  <c r="EQ72" i="329" s="1"/>
  <c r="BV69" i="329"/>
  <c r="EP69" i="329" s="1"/>
  <c r="ER69" i="329" s="1"/>
  <c r="BC94" i="329"/>
  <c r="BH93" i="329"/>
  <c r="BM94" i="329"/>
  <c r="BL93" i="329"/>
  <c r="G372" i="329"/>
  <c r="BJ93" i="329"/>
  <c r="BK94" i="329"/>
  <c r="AY94" i="329"/>
  <c r="AX93" i="329"/>
  <c r="ED24" i="329"/>
  <c r="EC24" i="329"/>
  <c r="P44" i="329"/>
  <c r="X44" i="329"/>
  <c r="AB44" i="329"/>
  <c r="S44" i="329"/>
  <c r="EK46" i="329"/>
  <c r="EJ46" i="329"/>
  <c r="EO50" i="329"/>
  <c r="BR51" i="329"/>
  <c r="EV48" i="329"/>
  <c r="CW49" i="329"/>
  <c r="CW83" i="329" s="1"/>
  <c r="CW90" i="329" s="1"/>
  <c r="CX49" i="329"/>
  <c r="CX83" i="329" s="1"/>
  <c r="CX90" i="329" s="1"/>
  <c r="AN105" i="329"/>
  <c r="AN94" i="329"/>
  <c r="AU94" i="329"/>
  <c r="AY93" i="329"/>
  <c r="EO78" i="329"/>
  <c r="EQ78" i="329" s="1"/>
  <c r="EU62" i="329"/>
  <c r="AH44" i="329"/>
  <c r="AH34" i="329" s="1"/>
  <c r="AP374" i="329"/>
  <c r="DZ26" i="329"/>
  <c r="EJ26" i="329"/>
  <c r="DB51" i="329"/>
  <c r="AU308" i="329"/>
  <c r="AU297" i="329"/>
  <c r="AY296" i="329"/>
  <c r="AX245" i="329"/>
  <c r="BX293" i="329"/>
  <c r="BX304" i="329"/>
  <c r="CE304" i="329"/>
  <c r="CY264" i="329"/>
  <c r="CZ264" i="329"/>
  <c r="AO293" i="329"/>
  <c r="AO243" i="329"/>
  <c r="EG243" i="329" s="1"/>
  <c r="AW293" i="329"/>
  <c r="AW243" i="329"/>
  <c r="EI243" i="329" s="1"/>
  <c r="AV295" i="329"/>
  <c r="AV244" i="329"/>
  <c r="AZ295" i="329"/>
  <c r="AZ244" i="329"/>
  <c r="BH295" i="329"/>
  <c r="BH244" i="329"/>
  <c r="BL295" i="329"/>
  <c r="BL244" i="329"/>
  <c r="BX244" i="329"/>
  <c r="BX295" i="329"/>
  <c r="CJ296" i="329"/>
  <c r="CR295" i="329"/>
  <c r="CV296" i="329" s="1"/>
  <c r="CN295" i="329"/>
  <c r="CR244" i="329"/>
  <c r="EW287" i="329"/>
  <c r="DA295" i="329"/>
  <c r="DA244" i="329" s="1"/>
  <c r="CZ242" i="329"/>
  <c r="DA292" i="329"/>
  <c r="DA306" i="329" s="1"/>
  <c r="DA307" i="329" s="1"/>
  <c r="CZ304" i="329"/>
  <c r="CZ305" i="329" s="1"/>
  <c r="CK273" i="329"/>
  <c r="CK243" i="329" s="1"/>
  <c r="CF308" i="329"/>
  <c r="CF299" i="329"/>
  <c r="AT245" i="329"/>
  <c r="AT374" i="329"/>
  <c r="EM244" i="329"/>
  <c r="EM295" i="329"/>
  <c r="CF304" i="329"/>
  <c r="BA308" i="329"/>
  <c r="DX372" i="329"/>
  <c r="CY270" i="329"/>
  <c r="CZ270" i="329"/>
  <c r="BQ290" i="329"/>
  <c r="BU291" i="329" s="1"/>
  <c r="BU304" i="329"/>
  <c r="BY242" i="329"/>
  <c r="CR290" i="329"/>
  <c r="CR242" i="329"/>
  <c r="CN290" i="329"/>
  <c r="EL273" i="329"/>
  <c r="EL243" i="329" s="1"/>
  <c r="EL293" i="329" s="1"/>
  <c r="CV299" i="329"/>
  <c r="CZ300" i="329" s="1"/>
  <c r="EP269" i="329"/>
  <c r="EP255" i="329" s="1"/>
  <c r="EO270" i="329"/>
  <c r="EO256" i="329" s="1"/>
  <c r="ES263" i="329"/>
  <c r="ES249" i="329" s="1"/>
  <c r="ES264" i="329"/>
  <c r="ES250" i="329" s="1"/>
  <c r="ES266" i="329"/>
  <c r="ES252" i="329" s="1"/>
  <c r="ES267" i="329"/>
  <c r="ES253" i="329" s="1"/>
  <c r="ES268" i="329"/>
  <c r="ES254" i="329" s="1"/>
  <c r="DD273" i="329"/>
  <c r="CZ309" i="329"/>
  <c r="EN295" i="329"/>
  <c r="EN244" i="329"/>
  <c r="CZ320" i="329"/>
  <c r="DD323" i="329"/>
  <c r="BT374" i="329"/>
  <c r="CG291" i="329"/>
  <c r="CC299" i="329"/>
  <c r="CD292" i="329"/>
  <c r="CD306" i="329" s="1"/>
  <c r="CC304" i="329"/>
  <c r="CD293" i="329"/>
  <c r="CC378" i="329"/>
  <c r="CK245" i="329"/>
  <c r="EH244" i="329"/>
  <c r="EH245" i="329" s="1"/>
  <c r="EH295" i="329"/>
  <c r="BS297" i="329"/>
  <c r="DD374" i="329"/>
  <c r="DD245" i="329"/>
  <c r="BU299" i="329"/>
  <c r="BY296" i="329"/>
  <c r="BU308" i="329"/>
  <c r="CV306" i="329"/>
  <c r="CV301" i="329"/>
  <c r="BE374" i="329"/>
  <c r="BE245" i="329"/>
  <c r="BI245" i="329"/>
  <c r="EV295" i="329"/>
  <c r="EV244" i="329"/>
  <c r="EV245" i="329" s="1"/>
  <c r="AH293" i="329"/>
  <c r="AH243" i="329"/>
  <c r="CE292" i="329"/>
  <c r="CE306" i="329" s="1"/>
  <c r="CD304" i="329"/>
  <c r="EO268" i="329"/>
  <c r="EO254" i="329" s="1"/>
  <c r="BR273" i="329"/>
  <c r="BR243" i="329" s="1"/>
  <c r="EP268" i="329"/>
  <c r="EP254" i="329" s="1"/>
  <c r="BV273" i="329"/>
  <c r="BV243" i="329" s="1"/>
  <c r="ES262" i="329"/>
  <c r="CH273" i="329"/>
  <c r="CH243" i="329" s="1"/>
  <c r="ES269" i="329"/>
  <c r="ES255" i="329" s="1"/>
  <c r="CJ308" i="329"/>
  <c r="CJ297" i="329"/>
  <c r="AN296" i="329"/>
  <c r="AK259" i="329"/>
  <c r="EF249" i="329"/>
  <c r="AL249" i="329" s="1"/>
  <c r="EL254" i="329"/>
  <c r="BF254" i="329"/>
  <c r="BG254" i="329" s="1"/>
  <c r="BH254" i="329" s="1"/>
  <c r="BI254" i="329" s="1"/>
  <c r="CY272" i="329"/>
  <c r="CZ272" i="329"/>
  <c r="CP242" i="329"/>
  <c r="CL290" i="329"/>
  <c r="CP290" i="329"/>
  <c r="CX293" i="329"/>
  <c r="CX243" i="329" s="1"/>
  <c r="CW242" i="329"/>
  <c r="CW304" i="329"/>
  <c r="BV244" i="329"/>
  <c r="BV245" i="329" s="1"/>
  <c r="CD295" i="329"/>
  <c r="CH244" i="329"/>
  <c r="CH245" i="329" s="1"/>
  <c r="CP244" i="329"/>
  <c r="CL295" i="329"/>
  <c r="CP295" i="329"/>
  <c r="CT296" i="329" s="1"/>
  <c r="CT244" i="329"/>
  <c r="CT308" i="329"/>
  <c r="CT299" i="329"/>
  <c r="CX296" i="329"/>
  <c r="CX297" i="329"/>
  <c r="CX244" i="329"/>
  <c r="CX308" i="329"/>
  <c r="DB309" i="329" s="1"/>
  <c r="DC244" i="329"/>
  <c r="DC308" i="329"/>
  <c r="DC309" i="329" s="1"/>
  <c r="BS244" i="329"/>
  <c r="BG295" i="329"/>
  <c r="BG244" i="329"/>
  <c r="BK245" i="329" s="1"/>
  <c r="EI244" i="329"/>
  <c r="EI295" i="329"/>
  <c r="DV372" i="329"/>
  <c r="CY262" i="329"/>
  <c r="CZ262" i="329"/>
  <c r="CJ290" i="329"/>
  <c r="CJ242" i="329"/>
  <c r="ES270" i="329"/>
  <c r="ES256" i="329" s="1"/>
  <c r="EU263" i="329"/>
  <c r="EU249" i="329" s="1"/>
  <c r="BE295" i="329"/>
  <c r="EK287" i="329"/>
  <c r="CJ244" i="329"/>
  <c r="CY265" i="329"/>
  <c r="CZ265" i="329"/>
  <c r="BV242" i="329"/>
  <c r="BV290" i="329"/>
  <c r="CZ291" i="329"/>
  <c r="AI295" i="329"/>
  <c r="AI244" i="329"/>
  <c r="AI374" i="329" s="1"/>
  <c r="BM295" i="329"/>
  <c r="BM244" i="329"/>
  <c r="CW299" i="329"/>
  <c r="BT242" i="329"/>
  <c r="BT371" i="329"/>
  <c r="CI291" i="329"/>
  <c r="CQ290" i="329"/>
  <c r="EO263" i="329"/>
  <c r="EO249" i="329" s="1"/>
  <c r="EO264" i="329"/>
  <c r="EO250" i="329" s="1"/>
  <c r="EP265" i="329"/>
  <c r="EP251" i="329" s="1"/>
  <c r="EP266" i="329"/>
  <c r="EP252" i="329" s="1"/>
  <c r="EP280" i="329" s="1"/>
  <c r="EP267" i="329"/>
  <c r="EP253" i="329" s="1"/>
  <c r="EU268" i="329"/>
  <c r="EU254" i="329" s="1"/>
  <c r="EV268" i="329"/>
  <c r="EV254" i="329" s="1"/>
  <c r="EU269" i="329"/>
  <c r="EU255" i="329" s="1"/>
  <c r="EV269" i="329"/>
  <c r="EV255" i="329" s="1"/>
  <c r="EU272" i="329"/>
  <c r="EU258" i="329" s="1"/>
  <c r="AK308" i="329"/>
  <c r="BD308" i="329"/>
  <c r="CU244" i="329"/>
  <c r="CU297" i="329"/>
  <c r="EO262" i="329"/>
  <c r="EP262" i="329"/>
  <c r="EP263" i="329"/>
  <c r="EP249" i="329" s="1"/>
  <c r="EP264" i="329"/>
  <c r="EP250" i="329" s="1"/>
  <c r="EO266" i="329"/>
  <c r="EO252" i="329" s="1"/>
  <c r="EO280" i="329" s="1"/>
  <c r="EO267" i="329"/>
  <c r="EO253" i="329" s="1"/>
  <c r="EU265" i="329"/>
  <c r="EU251" i="329" s="1"/>
  <c r="EV265" i="329"/>
  <c r="EV251" i="329" s="1"/>
  <c r="EU270" i="329"/>
  <c r="EU256" i="329" s="1"/>
  <c r="EV271" i="329"/>
  <c r="EV257" i="329" s="1"/>
  <c r="EO269" i="329"/>
  <c r="EO255" i="329" s="1"/>
  <c r="EP270" i="329"/>
  <c r="EP256" i="329" s="1"/>
  <c r="ES265" i="329"/>
  <c r="ES251" i="329" s="1"/>
  <c r="EU262" i="329"/>
  <c r="EV262" i="329"/>
  <c r="EU267" i="329"/>
  <c r="EU253" i="329" s="1"/>
  <c r="EV267" i="329"/>
  <c r="EV253" i="329" s="1"/>
  <c r="EV272" i="329"/>
  <c r="EV258" i="329" s="1"/>
  <c r="EW405" i="329"/>
  <c r="FD77" i="2"/>
  <c r="FC92" i="2"/>
  <c r="BH221" i="2"/>
  <c r="EI137" i="329"/>
  <c r="EI140" i="329" s="1"/>
  <c r="EI118" i="329"/>
  <c r="EI117" i="329"/>
  <c r="EI222" i="329"/>
  <c r="EI116" i="329"/>
  <c r="BT225" i="2"/>
  <c r="BT179" i="2"/>
  <c r="BL193" i="2"/>
  <c r="BL160" i="2"/>
  <c r="BP230" i="2"/>
  <c r="BH230" i="2"/>
  <c r="BH160" i="2"/>
  <c r="BH193" i="2"/>
  <c r="CY238" i="2"/>
  <c r="BQ52" i="3"/>
  <c r="BQ83" i="3" s="1"/>
  <c r="BS130" i="3"/>
  <c r="BP130" i="3"/>
  <c r="BS52" i="3"/>
  <c r="BS83" i="3" s="1"/>
  <c r="BP51" i="3"/>
  <c r="BP82" i="3" s="1"/>
  <c r="BQ58" i="3"/>
  <c r="BQ51" i="3"/>
  <c r="BQ82" i="3" s="1"/>
  <c r="BS51" i="3"/>
  <c r="BS82" i="3" s="1"/>
  <c r="BR130" i="3"/>
  <c r="BQ130" i="3"/>
  <c r="BP58" i="3"/>
  <c r="EA51" i="3"/>
  <c r="BE189" i="2"/>
  <c r="BD92" i="2"/>
  <c r="AZ92" i="2"/>
  <c r="EB52" i="3"/>
  <c r="CH25" i="329"/>
  <c r="ES25" i="329" s="1"/>
  <c r="ES16" i="329" s="1"/>
  <c r="EP43" i="329"/>
  <c r="CZ224" i="329"/>
  <c r="DD224" i="329"/>
  <c r="AR14" i="329"/>
  <c r="AQ41" i="329"/>
  <c r="CU200" i="2"/>
  <c r="AR92" i="2"/>
  <c r="AN92" i="2"/>
  <c r="AR17" i="2"/>
  <c r="BL104" i="4"/>
  <c r="EC118" i="329"/>
  <c r="EC117" i="329"/>
  <c r="EC137" i="329"/>
  <c r="EC140" i="329" s="1"/>
  <c r="EE118" i="329"/>
  <c r="EE117" i="329"/>
  <c r="ED118" i="329"/>
  <c r="ED117" i="329"/>
  <c r="EC116" i="329"/>
  <c r="BD160" i="2"/>
  <c r="BD230" i="2"/>
  <c r="BD193" i="2"/>
  <c r="BC81" i="2"/>
  <c r="CE19" i="2"/>
  <c r="EH137" i="329"/>
  <c r="EH140" i="329" s="1"/>
  <c r="EH118" i="329"/>
  <c r="EH117" i="329"/>
  <c r="EG118" i="329"/>
  <c r="EG117" i="329"/>
  <c r="EG137" i="329"/>
  <c r="EG140" i="329" s="1"/>
  <c r="CY293" i="329"/>
  <c r="CY243" i="329" s="1"/>
  <c r="CY292" i="329"/>
  <c r="DC291" i="329"/>
  <c r="CY299" i="329"/>
  <c r="CY291" i="329"/>
  <c r="CZ293" i="329"/>
  <c r="CZ243" i="329" s="1"/>
  <c r="CZ292" i="329"/>
  <c r="CZ306" i="329" s="1"/>
  <c r="CY304" i="329"/>
  <c r="CY242" i="329"/>
  <c r="CR71" i="3"/>
  <c r="EF118" i="329"/>
  <c r="EF117" i="329"/>
  <c r="EF137" i="329"/>
  <c r="EF140" i="329" s="1"/>
  <c r="EF407" i="329" s="1"/>
  <c r="EF106" i="2" s="1"/>
  <c r="AQ92" i="329"/>
  <c r="AQ374" i="329"/>
  <c r="CR77" i="3"/>
  <c r="CI123" i="3"/>
  <c r="BS90" i="329"/>
  <c r="CA90" i="329"/>
  <c r="CJ90" i="329"/>
  <c r="CN90" i="329"/>
  <c r="AI123" i="3"/>
  <c r="AJ123" i="3"/>
  <c r="BT90" i="329"/>
  <c r="CB90" i="329"/>
  <c r="CH78" i="3"/>
  <c r="CH71" i="3"/>
  <c r="CH67" i="3"/>
  <c r="CH66" i="3"/>
  <c r="CI90" i="329"/>
  <c r="CM90" i="329"/>
  <c r="CX116" i="329"/>
  <c r="CR76" i="3"/>
  <c r="CR74" i="3"/>
  <c r="CR122" i="3" s="1"/>
  <c r="BQ28" i="4"/>
  <c r="H123" i="3"/>
  <c r="I63" i="4"/>
  <c r="DM40" i="4"/>
  <c r="CZ297" i="329"/>
  <c r="CY296" i="329"/>
  <c r="DC296" i="329"/>
  <c r="CY116" i="329"/>
  <c r="CK347" i="329"/>
  <c r="CG347" i="329"/>
  <c r="BU350" i="329"/>
  <c r="BU343" i="329"/>
  <c r="BY335" i="329"/>
  <c r="CS153" i="2"/>
  <c r="CS168" i="2"/>
  <c r="CS203" i="2" s="1"/>
  <c r="CW221" i="2"/>
  <c r="AH4" i="4"/>
  <c r="DS5" i="4"/>
  <c r="DK124" i="3"/>
  <c r="DK123" i="3"/>
  <c r="CZ116" i="329"/>
  <c r="BK343" i="329"/>
  <c r="BO343" i="329"/>
  <c r="BK347" i="329"/>
  <c r="AK27" i="4"/>
  <c r="O81" i="2"/>
  <c r="CK54" i="4"/>
  <c r="CK118" i="4"/>
  <c r="K110" i="2"/>
  <c r="DL74" i="3"/>
  <c r="DL122" i="3" s="1"/>
  <c r="CS338" i="329"/>
  <c r="AS27" i="4"/>
  <c r="AS28" i="4"/>
  <c r="AJ112" i="3"/>
  <c r="CC331" i="329"/>
  <c r="AC30" i="2"/>
  <c r="AF28" i="4"/>
  <c r="AW27" i="4"/>
  <c r="CJ54" i="4"/>
  <c r="CW326" i="329"/>
  <c r="AU76" i="3"/>
  <c r="AU77" i="3"/>
  <c r="E74" i="3"/>
  <c r="E122" i="3" s="1"/>
  <c r="BW63" i="4"/>
  <c r="BA27" i="4"/>
  <c r="BY20" i="4"/>
  <c r="CX117" i="329"/>
  <c r="EK248" i="329"/>
  <c r="BB248" i="329"/>
  <c r="EI93" i="329"/>
  <c r="EH93" i="329"/>
  <c r="CT116" i="329"/>
  <c r="K45" i="3"/>
  <c r="K71" i="3"/>
  <c r="DQ51" i="3"/>
  <c r="DQ82" i="3" s="1"/>
  <c r="DQ130" i="3"/>
  <c r="DQ52" i="3"/>
  <c r="DQ83" i="3" s="1"/>
  <c r="M91" i="2"/>
  <c r="M127" i="2" s="1"/>
  <c r="I91" i="2"/>
  <c r="I127" i="2" s="1"/>
  <c r="AH30" i="2"/>
  <c r="DP68" i="3"/>
  <c r="AW11" i="2"/>
  <c r="CS77" i="2"/>
  <c r="AH87" i="2"/>
  <c r="BO123" i="3"/>
  <c r="AC86" i="2"/>
  <c r="BR67" i="3"/>
  <c r="CS324" i="329"/>
  <c r="E77" i="3"/>
  <c r="E76" i="3"/>
  <c r="R123" i="3"/>
  <c r="AX51" i="3"/>
  <c r="AX82" i="3" s="1"/>
  <c r="AY52" i="3"/>
  <c r="AY83" i="3" s="1"/>
  <c r="AX130" i="3"/>
  <c r="AG113" i="2"/>
  <c r="AD123" i="3"/>
  <c r="DJ123" i="3"/>
  <c r="DJ124" i="3"/>
  <c r="CY117" i="329"/>
  <c r="CU116" i="329"/>
  <c r="DN51" i="3"/>
  <c r="DN82" i="3" s="1"/>
  <c r="DN52" i="3"/>
  <c r="DN83" i="3" s="1"/>
  <c r="DN130" i="3"/>
  <c r="DU52" i="3"/>
  <c r="DU83" i="3" s="1"/>
  <c r="DU51" i="3"/>
  <c r="DU82" i="3" s="1"/>
  <c r="DU130" i="3"/>
  <c r="DU58" i="3"/>
  <c r="G91" i="2"/>
  <c r="G127" i="2" s="1"/>
  <c r="K91" i="2"/>
  <c r="K127" i="2" s="1"/>
  <c r="BU80" i="329"/>
  <c r="EO79" i="329"/>
  <c r="CC48" i="4"/>
  <c r="CG39" i="4"/>
  <c r="DP21" i="3"/>
  <c r="DO21" i="3"/>
  <c r="CZ117" i="329"/>
  <c r="AN60" i="2"/>
  <c r="EF62" i="2"/>
  <c r="CK49" i="329"/>
  <c r="CK83" i="329" s="1"/>
  <c r="EP62" i="329"/>
  <c r="ER62" i="329" s="1"/>
  <c r="EK118" i="329"/>
  <c r="EK117" i="329"/>
  <c r="EK137" i="329"/>
  <c r="EK222" i="329"/>
  <c r="EL223" i="329" s="1"/>
  <c r="DJ63" i="4"/>
  <c r="DJ64" i="4" s="1"/>
  <c r="DK62" i="4" s="1"/>
  <c r="DK64" i="4" s="1"/>
  <c r="BM36" i="4"/>
  <c r="BM40" i="4" s="1"/>
  <c r="EL223" i="2"/>
  <c r="CZ157" i="2"/>
  <c r="CZ187" i="2" s="1"/>
  <c r="ES137" i="329"/>
  <c r="ES222" i="329"/>
  <c r="ES215" i="329" s="1"/>
  <c r="CF128" i="329"/>
  <c r="AO118" i="329"/>
  <c r="AS117" i="329"/>
  <c r="AK116" i="329"/>
  <c r="AS118" i="329"/>
  <c r="AO116" i="329"/>
  <c r="AK118" i="329"/>
  <c r="AO117" i="329"/>
  <c r="DQ78" i="3"/>
  <c r="ET49" i="2"/>
  <c r="EO118" i="329"/>
  <c r="EO117" i="329"/>
  <c r="EO137" i="329"/>
  <c r="EO222" i="329"/>
  <c r="EO215" i="329" s="1"/>
  <c r="BG139" i="329"/>
  <c r="BK138" i="329" s="1"/>
  <c r="BK137" i="329" s="1"/>
  <c r="BK111" i="329" s="1"/>
  <c r="BG176" i="329"/>
  <c r="BV60" i="2"/>
  <c r="CY165" i="2"/>
  <c r="CO16" i="2"/>
  <c r="EU64" i="329"/>
  <c r="EM137" i="329"/>
  <c r="EM118" i="329"/>
  <c r="EM117" i="329"/>
  <c r="EM222" i="329"/>
  <c r="EM215" i="329" s="1"/>
  <c r="AK117" i="329"/>
  <c r="BE139" i="329"/>
  <c r="BI138" i="329" s="1"/>
  <c r="BI137" i="329" s="1"/>
  <c r="BI111" i="329" s="1"/>
  <c r="BE125" i="329"/>
  <c r="K127" i="3"/>
  <c r="BB197" i="2"/>
  <c r="DC49" i="329"/>
  <c r="DC83" i="329" s="1"/>
  <c r="EV139" i="329"/>
  <c r="AQ295" i="329"/>
  <c r="BT16" i="4"/>
  <c r="BU16" i="4" s="1"/>
  <c r="BX8" i="4"/>
  <c r="BX29" i="4" s="1"/>
  <c r="BD16" i="4"/>
  <c r="BD29" i="4" s="1"/>
  <c r="BL17" i="4"/>
  <c r="BL29" i="4" s="1"/>
  <c r="BT24" i="4"/>
  <c r="BU24" i="4" s="1"/>
  <c r="BH24" i="4"/>
  <c r="AZ26" i="4"/>
  <c r="BA26" i="4" s="1"/>
  <c r="BP34" i="4"/>
  <c r="BP40" i="4" s="1"/>
  <c r="BT46" i="4"/>
  <c r="BU46" i="4" s="1"/>
  <c r="BT49" i="4"/>
  <c r="BU49" i="4" s="1"/>
  <c r="CQ118" i="4"/>
  <c r="AR52" i="4"/>
  <c r="AR54" i="4" s="1"/>
  <c r="AV53" i="4"/>
  <c r="AV54" i="4" s="1"/>
  <c r="BD53" i="4"/>
  <c r="BD54" i="4" s="1"/>
  <c r="BL53" i="4"/>
  <c r="BL54" i="4" s="1"/>
  <c r="BT53" i="4"/>
  <c r="BU53" i="4" s="1"/>
  <c r="DD164" i="2"/>
  <c r="CR34" i="4"/>
  <c r="CS34" i="4" s="1"/>
  <c r="DC165" i="2"/>
  <c r="ET137" i="329"/>
  <c r="DP25" i="4"/>
  <c r="DP28" i="4" s="1"/>
  <c r="DD165" i="2"/>
  <c r="CW165" i="2"/>
  <c r="CC16" i="2"/>
  <c r="CE16" i="2"/>
  <c r="EJ118" i="329"/>
  <c r="EJ117" i="329"/>
  <c r="EJ137" i="329"/>
  <c r="EJ140" i="329" s="1"/>
  <c r="EL137" i="329"/>
  <c r="EL140" i="329" s="1"/>
  <c r="EL118" i="329"/>
  <c r="EL117" i="329"/>
  <c r="EN118" i="329"/>
  <c r="EN117" i="329"/>
  <c r="EN137" i="329"/>
  <c r="EN140" i="329" s="1"/>
  <c r="EQ137" i="329"/>
  <c r="BB125" i="329"/>
  <c r="BL176" i="329"/>
  <c r="DF128" i="329"/>
  <c r="DF123" i="2"/>
  <c r="DF119" i="2"/>
  <c r="FB137" i="329"/>
  <c r="FC116" i="329"/>
  <c r="FD117" i="329"/>
  <c r="FD118" i="329"/>
  <c r="FH116" i="329"/>
  <c r="FH117" i="329"/>
  <c r="FG116" i="329"/>
  <c r="FG137" i="329"/>
  <c r="FH118" i="329"/>
  <c r="FG118" i="329"/>
  <c r="DT91" i="2" l="1"/>
  <c r="DT127" i="2" s="1"/>
  <c r="H132" i="2"/>
  <c r="DO105" i="4"/>
  <c r="DB110" i="2"/>
  <c r="EA80" i="2"/>
  <c r="CP109" i="2"/>
  <c r="EA58" i="3"/>
  <c r="BK214" i="2"/>
  <c r="Q104" i="4"/>
  <c r="Q106" i="4" s="1"/>
  <c r="X83" i="2"/>
  <c r="O95" i="2"/>
  <c r="EF93" i="2"/>
  <c r="CG214" i="2"/>
  <c r="CL85" i="2"/>
  <c r="CF201" i="2"/>
  <c r="CB109" i="2"/>
  <c r="DT56" i="3"/>
  <c r="M96" i="2"/>
  <c r="EU133" i="2"/>
  <c r="X20" i="2"/>
  <c r="X104" i="4"/>
  <c r="X106" i="4" s="1"/>
  <c r="AB91" i="2"/>
  <c r="AB127" i="2" s="1"/>
  <c r="CL80" i="2"/>
  <c r="DW104" i="329"/>
  <c r="M25" i="2"/>
  <c r="X25" i="2"/>
  <c r="X87" i="2" s="1"/>
  <c r="CX93" i="2"/>
  <c r="DA331" i="329"/>
  <c r="DE332" i="329" s="1"/>
  <c r="AK45" i="3"/>
  <c r="EE67" i="3"/>
  <c r="EG45" i="3"/>
  <c r="BW296" i="329"/>
  <c r="BX292" i="329"/>
  <c r="BX306" i="329" s="1"/>
  <c r="EL244" i="329"/>
  <c r="CM291" i="329"/>
  <c r="CM293" i="329"/>
  <c r="BT297" i="329"/>
  <c r="BT165" i="2" s="1"/>
  <c r="BY245" i="329"/>
  <c r="BW304" i="329"/>
  <c r="BJ310" i="329"/>
  <c r="CS300" i="329"/>
  <c r="CW301" i="329"/>
  <c r="CA299" i="329"/>
  <c r="CE299" i="329"/>
  <c r="CI300" i="329" s="1"/>
  <c r="CW244" i="329"/>
  <c r="CM299" i="329"/>
  <c r="AP297" i="329"/>
  <c r="CW296" i="329"/>
  <c r="Z50" i="329"/>
  <c r="AA50" i="329"/>
  <c r="AA51" i="329" s="1"/>
  <c r="AI29" i="329"/>
  <c r="AI32" i="329"/>
  <c r="Z92" i="329"/>
  <c r="Z105" i="329" s="1"/>
  <c r="BV24" i="329"/>
  <c r="EP24" i="329" s="1"/>
  <c r="EP15" i="329" s="1"/>
  <c r="EP42" i="329" s="1"/>
  <c r="AI34" i="329"/>
  <c r="DA339" i="329"/>
  <c r="DE340" i="329" s="1"/>
  <c r="CT101" i="329"/>
  <c r="CM178" i="329"/>
  <c r="DA343" i="329"/>
  <c r="DE344" i="329" s="1"/>
  <c r="BX355" i="329"/>
  <c r="EF99" i="2"/>
  <c r="EE92" i="2"/>
  <c r="EF92" i="2"/>
  <c r="DT132" i="2"/>
  <c r="EE93" i="2"/>
  <c r="BC375" i="329"/>
  <c r="BC390" i="329"/>
  <c r="Y382" i="329"/>
  <c r="Y112" i="4" s="1"/>
  <c r="Y105" i="329"/>
  <c r="AJ93" i="329"/>
  <c r="AL33" i="329"/>
  <c r="AL50" i="329"/>
  <c r="AO29" i="329"/>
  <c r="AO31" i="329"/>
  <c r="AO35" i="329" s="1"/>
  <c r="Y374" i="329"/>
  <c r="AC375" i="329" s="1"/>
  <c r="AG375" i="329"/>
  <c r="CA92" i="329"/>
  <c r="CA93" i="329" s="1"/>
  <c r="AA94" i="329"/>
  <c r="AL31" i="329"/>
  <c r="AL35" i="329" s="1"/>
  <c r="AO34" i="329"/>
  <c r="AL32" i="329"/>
  <c r="CX81" i="2"/>
  <c r="AD112" i="3"/>
  <c r="AD114" i="3" s="1"/>
  <c r="CD80" i="2"/>
  <c r="CL95" i="2" s="1"/>
  <c r="AH112" i="2"/>
  <c r="AH110" i="2"/>
  <c r="K96" i="2"/>
  <c r="CD19" i="2"/>
  <c r="CD110" i="2" s="1"/>
  <c r="AD110" i="2"/>
  <c r="AD95" i="2"/>
  <c r="DI105" i="2"/>
  <c r="DI123" i="2" s="1"/>
  <c r="DP105" i="4"/>
  <c r="EB80" i="2"/>
  <c r="EB19" i="2"/>
  <c r="EC110" i="2" s="1"/>
  <c r="DW141" i="329"/>
  <c r="CG123" i="3"/>
  <c r="BL123" i="3"/>
  <c r="BY123" i="3"/>
  <c r="N123" i="3"/>
  <c r="DN74" i="3"/>
  <c r="DN122" i="3" s="1"/>
  <c r="DO123" i="3" s="1"/>
  <c r="Q45" i="3"/>
  <c r="AL45" i="3"/>
  <c r="DP90" i="3"/>
  <c r="CH330" i="329"/>
  <c r="EA411" i="329"/>
  <c r="DZ149" i="2"/>
  <c r="AE49" i="329"/>
  <c r="AE83" i="329" s="1"/>
  <c r="AR78" i="329"/>
  <c r="CG344" i="329"/>
  <c r="AU79" i="2"/>
  <c r="AU77" i="2"/>
  <c r="AY92" i="2" s="1"/>
  <c r="AY128" i="2" s="1"/>
  <c r="AS297" i="329"/>
  <c r="AS310" i="329" s="1"/>
  <c r="CY77" i="2"/>
  <c r="CK356" i="329"/>
  <c r="CY78" i="2"/>
  <c r="DC107" i="2"/>
  <c r="CE350" i="329"/>
  <c r="BK112" i="4"/>
  <c r="CF297" i="329"/>
  <c r="CK340" i="329"/>
  <c r="BK350" i="329"/>
  <c r="CS224" i="329"/>
  <c r="DZ411" i="329"/>
  <c r="DZ389" i="329"/>
  <c r="DA117" i="329"/>
  <c r="AS77" i="329"/>
  <c r="AS78" i="329" s="1"/>
  <c r="CO336" i="329"/>
  <c r="AU81" i="2"/>
  <c r="CY85" i="2"/>
  <c r="CO347" i="329"/>
  <c r="CO348" i="329" s="1"/>
  <c r="CM100" i="3"/>
  <c r="CN127" i="3" s="1"/>
  <c r="BW227" i="2"/>
  <c r="BC9" i="2"/>
  <c r="BC17" i="2" s="1"/>
  <c r="CH355" i="329"/>
  <c r="AZ95" i="329"/>
  <c r="CW308" i="329"/>
  <c r="CW309" i="329" s="1"/>
  <c r="DB224" i="329"/>
  <c r="AD87" i="2"/>
  <c r="CT203" i="2"/>
  <c r="BX94" i="2"/>
  <c r="BT94" i="2"/>
  <c r="DQ110" i="4"/>
  <c r="AI132" i="2"/>
  <c r="CH80" i="2"/>
  <c r="FE69" i="2"/>
  <c r="ER46" i="4" s="1"/>
  <c r="ER117" i="4" s="1"/>
  <c r="DD105" i="3"/>
  <c r="DD126" i="3" s="1"/>
  <c r="AT128" i="2"/>
  <c r="EA94" i="2"/>
  <c r="EA128" i="2" s="1"/>
  <c r="CH15" i="2"/>
  <c r="CH161" i="329"/>
  <c r="AX112" i="4"/>
  <c r="AN110" i="329"/>
  <c r="AN122" i="329" s="1"/>
  <c r="AM375" i="329"/>
  <c r="AN95" i="329"/>
  <c r="AN123" i="329" s="1"/>
  <c r="AK93" i="329"/>
  <c r="EL93" i="329"/>
  <c r="EJ93" i="329"/>
  <c r="BT292" i="329"/>
  <c r="BT306" i="329" s="1"/>
  <c r="EL105" i="329"/>
  <c r="CK343" i="329"/>
  <c r="CK344" i="329" s="1"/>
  <c r="BV334" i="329"/>
  <c r="EP354" i="329"/>
  <c r="CL342" i="329"/>
  <c r="CL338" i="329"/>
  <c r="BS32" i="329"/>
  <c r="BS30" i="329"/>
  <c r="CG340" i="329"/>
  <c r="BK168" i="329"/>
  <c r="BK164" i="329"/>
  <c r="ES148" i="329"/>
  <c r="CM347" i="329"/>
  <c r="CI347" i="329"/>
  <c r="BW374" i="329"/>
  <c r="CU85" i="329"/>
  <c r="CJ330" i="329"/>
  <c r="AH93" i="329"/>
  <c r="BT230" i="2"/>
  <c r="CB230" i="2"/>
  <c r="BW81" i="2"/>
  <c r="CI79" i="2"/>
  <c r="BW103" i="4"/>
  <c r="EP7" i="2"/>
  <c r="EP78" i="2" s="1"/>
  <c r="CI107" i="2"/>
  <c r="BO347" i="329"/>
  <c r="AK33" i="329"/>
  <c r="AM9" i="2"/>
  <c r="AM81" i="2"/>
  <c r="AM96" i="2" s="1"/>
  <c r="CJ346" i="329"/>
  <c r="EA26" i="329"/>
  <c r="Z49" i="329"/>
  <c r="Z83" i="329" s="1"/>
  <c r="BW80" i="2"/>
  <c r="AD374" i="329"/>
  <c r="AD382" i="329" s="1"/>
  <c r="CJ139" i="329"/>
  <c r="CN138" i="329" s="1"/>
  <c r="CN137" i="329" s="1"/>
  <c r="CN111" i="329" s="1"/>
  <c r="CX335" i="329"/>
  <c r="BT304" i="329"/>
  <c r="EK93" i="329"/>
  <c r="DS93" i="329"/>
  <c r="CG350" i="329"/>
  <c r="BT378" i="329"/>
  <c r="EF243" i="329"/>
  <c r="BX291" i="329"/>
  <c r="BY80" i="329"/>
  <c r="BY85" i="329" s="1"/>
  <c r="BY374" i="329" s="1"/>
  <c r="BV330" i="329"/>
  <c r="BV338" i="329"/>
  <c r="AS15" i="329"/>
  <c r="BF225" i="2"/>
  <c r="CE347" i="329"/>
  <c r="CL334" i="329"/>
  <c r="CJ335" i="329"/>
  <c r="BS350" i="329"/>
  <c r="BS35" i="329"/>
  <c r="BS92" i="329"/>
  <c r="CG356" i="329"/>
  <c r="Z375" i="329"/>
  <c r="BK152" i="329"/>
  <c r="CQ164" i="329"/>
  <c r="CQ165" i="329" s="1"/>
  <c r="CC309" i="329"/>
  <c r="CJ338" i="329"/>
  <c r="CR339" i="329" s="1"/>
  <c r="AD50" i="329"/>
  <c r="AD51" i="329" s="1"/>
  <c r="BW107" i="2"/>
  <c r="BW78" i="2"/>
  <c r="BW77" i="2"/>
  <c r="BP160" i="2"/>
  <c r="CB229" i="2" s="1"/>
  <c r="L93" i="3"/>
  <c r="AK32" i="329"/>
  <c r="DC106" i="2"/>
  <c r="DC124" i="2" s="1"/>
  <c r="BT338" i="329"/>
  <c r="CX106" i="2"/>
  <c r="CX124" i="2" s="1"/>
  <c r="AK31" i="329"/>
  <c r="AM85" i="2"/>
  <c r="AM99" i="2" s="1"/>
  <c r="BM227" i="2"/>
  <c r="AM107" i="2"/>
  <c r="CC296" i="329"/>
  <c r="AK30" i="329"/>
  <c r="BK165" i="2"/>
  <c r="DT94" i="329"/>
  <c r="BU293" i="329"/>
  <c r="EO51" i="329"/>
  <c r="CH172" i="329"/>
  <c r="EN411" i="329"/>
  <c r="CQ177" i="329"/>
  <c r="EU176" i="329"/>
  <c r="AK105" i="329"/>
  <c r="EF105" i="329" s="1"/>
  <c r="CQ338" i="329"/>
  <c r="BJ177" i="329"/>
  <c r="DC343" i="329"/>
  <c r="DG344" i="329" s="1"/>
  <c r="ES354" i="329"/>
  <c r="EP297" i="329"/>
  <c r="EP310" i="329" s="1"/>
  <c r="CK331" i="329"/>
  <c r="BW85" i="2"/>
  <c r="BW79" i="2"/>
  <c r="DA92" i="2"/>
  <c r="BQ128" i="2"/>
  <c r="AK34" i="329"/>
  <c r="CI412" i="329"/>
  <c r="DB408" i="329"/>
  <c r="EU295" i="329"/>
  <c r="EU297" i="329" s="1"/>
  <c r="AM106" i="329"/>
  <c r="CA103" i="4"/>
  <c r="CW93" i="2"/>
  <c r="AC92" i="329"/>
  <c r="AC93" i="329" s="1"/>
  <c r="BC214" i="2"/>
  <c r="FB212" i="2"/>
  <c r="FB209" i="2"/>
  <c r="DD200" i="2"/>
  <c r="CZ14" i="4"/>
  <c r="DN67" i="3"/>
  <c r="DN66" i="3"/>
  <c r="DN68" i="3" s="1"/>
  <c r="DU90" i="3"/>
  <c r="DT90" i="3"/>
  <c r="AA127" i="3"/>
  <c r="AA71" i="3"/>
  <c r="DM67" i="3"/>
  <c r="EE71" i="3"/>
  <c r="BB123" i="3"/>
  <c r="DJ127" i="3"/>
  <c r="AN123" i="3"/>
  <c r="N124" i="3"/>
  <c r="CB123" i="3"/>
  <c r="EC66" i="3"/>
  <c r="EC68" i="3" s="1"/>
  <c r="X127" i="3"/>
  <c r="DV78" i="3"/>
  <c r="DN78" i="3"/>
  <c r="CF123" i="3"/>
  <c r="V123" i="3"/>
  <c r="BK123" i="3"/>
  <c r="DH127" i="3"/>
  <c r="DO84" i="3"/>
  <c r="EN8" i="3"/>
  <c r="EO8" i="3" s="1"/>
  <c r="EP8" i="3" s="1"/>
  <c r="EQ8" i="3" s="1"/>
  <c r="ER8" i="3" s="1"/>
  <c r="ES8" i="3" s="1"/>
  <c r="ET8" i="3" s="1"/>
  <c r="EU8" i="3" s="1"/>
  <c r="EN38" i="3"/>
  <c r="EO38" i="3" s="1"/>
  <c r="EP38" i="3" s="1"/>
  <c r="EQ38" i="3" s="1"/>
  <c r="ER38" i="3" s="1"/>
  <c r="ES38" i="3" s="1"/>
  <c r="ET38" i="3" s="1"/>
  <c r="EU38" i="3" s="1"/>
  <c r="Z68" i="3"/>
  <c r="DG127" i="3"/>
  <c r="DG71" i="3"/>
  <c r="DG45" i="3"/>
  <c r="DQ90" i="3"/>
  <c r="DK68" i="3"/>
  <c r="EJ44" i="3"/>
  <c r="DJ71" i="3"/>
  <c r="DH123" i="3"/>
  <c r="BZ123" i="3"/>
  <c r="DR77" i="3"/>
  <c r="DV45" i="3"/>
  <c r="DM66" i="3"/>
  <c r="EN17" i="3"/>
  <c r="EO17" i="3" s="1"/>
  <c r="EP17" i="3" s="1"/>
  <c r="EQ17" i="3" s="1"/>
  <c r="ER17" i="3" s="1"/>
  <c r="ES17" i="3" s="1"/>
  <c r="ET17" i="3" s="1"/>
  <c r="EU17" i="3" s="1"/>
  <c r="EO41" i="3"/>
  <c r="EP41" i="3" s="1"/>
  <c r="EQ41" i="3" s="1"/>
  <c r="ER41" i="3" s="1"/>
  <c r="ES41" i="3" s="1"/>
  <c r="ET41" i="3" s="1"/>
  <c r="EU41" i="3" s="1"/>
  <c r="DY74" i="3"/>
  <c r="DY122" i="3" s="1"/>
  <c r="DY77" i="3"/>
  <c r="DX66" i="3"/>
  <c r="DX67" i="3"/>
  <c r="DX65" i="3"/>
  <c r="DI71" i="3"/>
  <c r="DI127" i="3"/>
  <c r="EC67" i="3"/>
  <c r="CC45" i="3"/>
  <c r="EA65" i="3"/>
  <c r="DW65" i="3"/>
  <c r="EE90" i="3"/>
  <c r="EC90" i="3"/>
  <c r="DX90" i="3"/>
  <c r="DY90" i="3"/>
  <c r="ED74" i="3"/>
  <c r="ED122" i="3" s="1"/>
  <c r="EG123" i="3" s="1"/>
  <c r="ED21" i="3"/>
  <c r="EH21" i="3"/>
  <c r="EH76" i="3"/>
  <c r="EH74" i="3"/>
  <c r="EH122" i="3" s="1"/>
  <c r="EH123" i="3" s="1"/>
  <c r="DH105" i="2"/>
  <c r="DL119" i="2" s="1"/>
  <c r="EU280" i="329"/>
  <c r="ED90" i="329"/>
  <c r="CV342" i="329"/>
  <c r="EW138" i="329"/>
  <c r="CR335" i="329"/>
  <c r="DD408" i="329"/>
  <c r="CH214" i="2"/>
  <c r="BY227" i="2"/>
  <c r="DE84" i="3"/>
  <c r="F106" i="4"/>
  <c r="BM214" i="2"/>
  <c r="X86" i="2"/>
  <c r="EU24" i="2"/>
  <c r="ET24" i="2"/>
  <c r="CJ63" i="4"/>
  <c r="BA176" i="2"/>
  <c r="G20" i="2"/>
  <c r="CM177" i="2"/>
  <c r="BL221" i="2"/>
  <c r="BP108" i="2"/>
  <c r="EA130" i="3"/>
  <c r="BJ176" i="2"/>
  <c r="AT99" i="2"/>
  <c r="BX51" i="3"/>
  <c r="BX82" i="3" s="1"/>
  <c r="X84" i="2"/>
  <c r="BP208" i="2"/>
  <c r="BQ227" i="2"/>
  <c r="BT76" i="2"/>
  <c r="BX151" i="2"/>
  <c r="V110" i="2"/>
  <c r="BV81" i="2"/>
  <c r="AP92" i="2"/>
  <c r="BZ101" i="3"/>
  <c r="N95" i="2"/>
  <c r="DC16" i="2"/>
  <c r="CZ153" i="2"/>
  <c r="CZ177" i="2" s="1"/>
  <c r="BM151" i="2"/>
  <c r="BM175" i="2" s="1"/>
  <c r="CI177" i="2"/>
  <c r="BS151" i="2"/>
  <c r="BS175" i="2" s="1"/>
  <c r="DC231" i="2"/>
  <c r="CV238" i="2"/>
  <c r="EG60" i="2"/>
  <c r="CY176" i="2"/>
  <c r="DC99" i="2"/>
  <c r="T83" i="2"/>
  <c r="T132" i="2"/>
  <c r="AB111" i="2"/>
  <c r="U132" i="2"/>
  <c r="T106" i="4"/>
  <c r="D106" i="4"/>
  <c r="BV110" i="2"/>
  <c r="ES16" i="2"/>
  <c r="ES254" i="2" s="1"/>
  <c r="DZ92" i="2"/>
  <c r="AB83" i="2"/>
  <c r="AD132" i="2"/>
  <c r="DS102" i="329"/>
  <c r="AY155" i="2"/>
  <c r="AY179" i="2" s="1"/>
  <c r="BY187" i="2"/>
  <c r="AP93" i="2"/>
  <c r="BY107" i="3"/>
  <c r="BY78" i="3" s="1"/>
  <c r="X91" i="2"/>
  <c r="X127" i="2" s="1"/>
  <c r="EE94" i="2"/>
  <c r="EE128" i="2" s="1"/>
  <c r="BQ350" i="329"/>
  <c r="ET139" i="329"/>
  <c r="EU138" i="329" s="1"/>
  <c r="CW172" i="329"/>
  <c r="W68" i="3"/>
  <c r="EN19" i="3"/>
  <c r="EN18" i="3"/>
  <c r="EO18" i="3" s="1"/>
  <c r="EP18" i="3" s="1"/>
  <c r="EQ18" i="3" s="1"/>
  <c r="ER18" i="3" s="1"/>
  <c r="ES18" i="3" s="1"/>
  <c r="ET18" i="3" s="1"/>
  <c r="EU18" i="3" s="1"/>
  <c r="AM68" i="3"/>
  <c r="Y390" i="329"/>
  <c r="EW209" i="2"/>
  <c r="DM123" i="2"/>
  <c r="DF125" i="329"/>
  <c r="DJ128" i="329"/>
  <c r="DA116" i="329"/>
  <c r="CC356" i="329"/>
  <c r="CW300" i="329"/>
  <c r="DB297" i="329"/>
  <c r="EW342" i="329"/>
  <c r="EW362" i="329" s="1"/>
  <c r="CR177" i="329"/>
  <c r="CQ178" i="329"/>
  <c r="ES139" i="329"/>
  <c r="ET138" i="329" s="1"/>
  <c r="ET140" i="329" s="1"/>
  <c r="CK214" i="2"/>
  <c r="EW24" i="2"/>
  <c r="AD124" i="3"/>
  <c r="R124" i="3"/>
  <c r="W124" i="3"/>
  <c r="CC177" i="2"/>
  <c r="CM8" i="2"/>
  <c r="BJ151" i="2"/>
  <c r="DW142" i="329"/>
  <c r="EU165" i="2"/>
  <c r="CI187" i="2"/>
  <c r="BL222" i="2"/>
  <c r="CI68" i="2"/>
  <c r="EC80" i="2"/>
  <c r="DM105" i="4"/>
  <c r="DY19" i="2"/>
  <c r="DY81" i="2" s="1"/>
  <c r="R112" i="3"/>
  <c r="BV20" i="2"/>
  <c r="X112" i="3"/>
  <c r="X114" i="3" s="1"/>
  <c r="F84" i="2"/>
  <c r="CL79" i="2"/>
  <c r="CL94" i="2" s="1"/>
  <c r="CL15" i="2"/>
  <c r="DC222" i="2"/>
  <c r="CZ238" i="2"/>
  <c r="F110" i="2"/>
  <c r="BV176" i="2"/>
  <c r="BR110" i="2"/>
  <c r="G132" i="2"/>
  <c r="DY92" i="2"/>
  <c r="CC214" i="2"/>
  <c r="CY227" i="2"/>
  <c r="EU230" i="2"/>
  <c r="CC176" i="2"/>
  <c r="BG155" i="2"/>
  <c r="CT153" i="2"/>
  <c r="CT8" i="2" s="1"/>
  <c r="EW208" i="2"/>
  <c r="BE214" i="2"/>
  <c r="EV229" i="2"/>
  <c r="DY76" i="2"/>
  <c r="AA82" i="2"/>
  <c r="Q132" i="2"/>
  <c r="M83" i="2"/>
  <c r="Q111" i="2"/>
  <c r="AK82" i="2"/>
  <c r="AK97" i="2" s="1"/>
  <c r="AK111" i="2"/>
  <c r="H20" i="2"/>
  <c r="EY23" i="2"/>
  <c r="DM23" i="2"/>
  <c r="DT94" i="2"/>
  <c r="DT128" i="2" s="1"/>
  <c r="DP37" i="2"/>
  <c r="AJ97" i="2"/>
  <c r="CM157" i="2"/>
  <c r="CM227" i="2" s="1"/>
  <c r="BY158" i="2"/>
  <c r="DP56" i="3"/>
  <c r="DC170" i="2"/>
  <c r="DG239" i="2" s="1"/>
  <c r="M136" i="2"/>
  <c r="AH84" i="2"/>
  <c r="AH98" i="2" s="1"/>
  <c r="BY155" i="2"/>
  <c r="BY179" i="2" s="1"/>
  <c r="BM93" i="2"/>
  <c r="BW187" i="2"/>
  <c r="T111" i="2"/>
  <c r="FA139" i="2"/>
  <c r="FB139" i="2" s="1"/>
  <c r="FC139" i="2" s="1"/>
  <c r="FD139" i="2" s="1"/>
  <c r="FE139" i="2" s="1"/>
  <c r="FF139" i="2" s="1"/>
  <c r="FG139" i="2" s="1"/>
  <c r="FH139" i="2" s="1"/>
  <c r="DT34" i="2"/>
  <c r="DT88" i="2"/>
  <c r="DH105" i="3"/>
  <c r="DH126" i="3" s="1"/>
  <c r="DT37" i="2"/>
  <c r="BV225" i="2"/>
  <c r="CC223" i="2"/>
  <c r="AR76" i="2"/>
  <c r="BD128" i="2"/>
  <c r="BK229" i="2"/>
  <c r="CG222" i="2"/>
  <c r="AT108" i="2"/>
  <c r="AP76" i="2"/>
  <c r="DD197" i="2"/>
  <c r="EB111" i="2"/>
  <c r="BI77" i="2"/>
  <c r="BM92" i="2" s="1"/>
  <c r="BM128" i="2" s="1"/>
  <c r="BI410" i="329"/>
  <c r="CY187" i="2"/>
  <c r="DC210" i="2" s="1"/>
  <c r="DF245" i="2"/>
  <c r="DJ123" i="2"/>
  <c r="DJ119" i="2"/>
  <c r="AC111" i="2"/>
  <c r="AA111" i="3"/>
  <c r="EB94" i="2"/>
  <c r="EB128" i="2" s="1"/>
  <c r="BS155" i="2"/>
  <c r="BS179" i="2" s="1"/>
  <c r="AY79" i="2"/>
  <c r="P111" i="2"/>
  <c r="BI85" i="2"/>
  <c r="BM99" i="2" s="1"/>
  <c r="BW123" i="3"/>
  <c r="CO123" i="3"/>
  <c r="DN77" i="3"/>
  <c r="S124" i="3"/>
  <c r="AM123" i="3"/>
  <c r="CH123" i="3"/>
  <c r="L94" i="3"/>
  <c r="O71" i="3"/>
  <c r="O127" i="3"/>
  <c r="DN71" i="3"/>
  <c r="DT45" i="3"/>
  <c r="W123" i="3"/>
  <c r="DL77" i="3"/>
  <c r="AI124" i="3"/>
  <c r="EB51" i="3"/>
  <c r="EB82" i="3" s="1"/>
  <c r="AA123" i="3"/>
  <c r="DX74" i="3"/>
  <c r="DX122" i="3" s="1"/>
  <c r="BF123" i="3"/>
  <c r="U127" i="3"/>
  <c r="AH124" i="3"/>
  <c r="X123" i="3"/>
  <c r="DT127" i="3"/>
  <c r="AJ124" i="3"/>
  <c r="DN92" i="3"/>
  <c r="AK124" i="3"/>
  <c r="BX71" i="3"/>
  <c r="DT57" i="3"/>
  <c r="AE84" i="3"/>
  <c r="DN127" i="3"/>
  <c r="T127" i="3"/>
  <c r="V84" i="3"/>
  <c r="AH127" i="3"/>
  <c r="DU21" i="3"/>
  <c r="X45" i="3"/>
  <c r="DP74" i="3"/>
  <c r="DP122" i="3" s="1"/>
  <c r="DP123" i="3" s="1"/>
  <c r="T45" i="3"/>
  <c r="M123" i="3"/>
  <c r="O45" i="3"/>
  <c r="DT68" i="3"/>
  <c r="G45" i="3"/>
  <c r="EO40" i="329"/>
  <c r="BV22" i="329"/>
  <c r="EP22" i="329" s="1"/>
  <c r="EP13" i="329" s="1"/>
  <c r="EP244" i="329"/>
  <c r="EP245" i="329" s="1"/>
  <c r="ER295" i="329"/>
  <c r="CI296" i="329"/>
  <c r="CE308" i="329"/>
  <c r="CI309" i="329" s="1"/>
  <c r="BC308" i="329"/>
  <c r="BC296" i="329"/>
  <c r="BD297" i="329"/>
  <c r="AM103" i="4"/>
  <c r="AM78" i="2"/>
  <c r="AM93" i="2" s="1"/>
  <c r="AM79" i="2"/>
  <c r="AM94" i="2" s="1"/>
  <c r="AM410" i="329"/>
  <c r="F91" i="3"/>
  <c r="J92" i="3" s="1"/>
  <c r="F93" i="3"/>
  <c r="J94" i="3" s="1"/>
  <c r="CM308" i="329"/>
  <c r="CQ309" i="329" s="1"/>
  <c r="CM296" i="329"/>
  <c r="BW308" i="329"/>
  <c r="BW309" i="329" s="1"/>
  <c r="BW297" i="329"/>
  <c r="BS87" i="329"/>
  <c r="BS96" i="329" s="1"/>
  <c r="BS371" i="329"/>
  <c r="EP107" i="2"/>
  <c r="BN128" i="2"/>
  <c r="CO103" i="3"/>
  <c r="H124" i="3"/>
  <c r="BL111" i="3"/>
  <c r="BL76" i="2"/>
  <c r="BJ25" i="2"/>
  <c r="DV142" i="329"/>
  <c r="ED103" i="4"/>
  <c r="ED100" i="3"/>
  <c r="BX124" i="3" s="1"/>
  <c r="EO78" i="2"/>
  <c r="EP93" i="2" s="1"/>
  <c r="EO412" i="329"/>
  <c r="EC52" i="3"/>
  <c r="EC83" i="3" s="1"/>
  <c r="EF17" i="2"/>
  <c r="L111" i="3"/>
  <c r="BN110" i="2"/>
  <c r="AZ164" i="2"/>
  <c r="BL210" i="2"/>
  <c r="ES124" i="2"/>
  <c r="BM225" i="2"/>
  <c r="BH176" i="2"/>
  <c r="DI119" i="2"/>
  <c r="DN60" i="3"/>
  <c r="L124" i="3"/>
  <c r="EM7" i="2"/>
  <c r="EA103" i="4" s="1"/>
  <c r="BZ15" i="2"/>
  <c r="BC79" i="2"/>
  <c r="BG94" i="2" s="1"/>
  <c r="DC238" i="2"/>
  <c r="AD84" i="3"/>
  <c r="BK81" i="2"/>
  <c r="DS104" i="329"/>
  <c r="M104" i="4"/>
  <c r="M106" i="4" s="1"/>
  <c r="L83" i="2"/>
  <c r="BG214" i="2"/>
  <c r="I84" i="2"/>
  <c r="I98" i="2" s="1"/>
  <c r="I112" i="3"/>
  <c r="I114" i="3" s="1"/>
  <c r="I112" i="2"/>
  <c r="ED76" i="2"/>
  <c r="DN55" i="3"/>
  <c r="DN59" i="3"/>
  <c r="Y111" i="3"/>
  <c r="DS88" i="3"/>
  <c r="BX93" i="2"/>
  <c r="BQ94" i="2"/>
  <c r="BM94" i="2"/>
  <c r="K84" i="3"/>
  <c r="R132" i="2"/>
  <c r="P82" i="2"/>
  <c r="T97" i="2" s="1"/>
  <c r="AF83" i="2"/>
  <c r="AR99" i="2"/>
  <c r="DQ133" i="3"/>
  <c r="DX136" i="2"/>
  <c r="BP88" i="3"/>
  <c r="AH84" i="3"/>
  <c r="BQ17" i="2"/>
  <c r="DN50" i="3"/>
  <c r="DN81" i="3" s="1"/>
  <c r="K124" i="3"/>
  <c r="DN56" i="3"/>
  <c r="J124" i="3"/>
  <c r="DN57" i="3"/>
  <c r="Y25" i="2"/>
  <c r="Y113" i="2" s="1"/>
  <c r="Y104" i="4"/>
  <c r="Y106" i="4" s="1"/>
  <c r="AX176" i="2"/>
  <c r="DS57" i="3"/>
  <c r="T124" i="3"/>
  <c r="DA93" i="2"/>
  <c r="EL217" i="2"/>
  <c r="AA104" i="4"/>
  <c r="AA106" i="4" s="1"/>
  <c r="M20" i="2"/>
  <c r="M82" i="2"/>
  <c r="CF79" i="2"/>
  <c r="CF94" i="2" s="1"/>
  <c r="AB111" i="3"/>
  <c r="AB82" i="2"/>
  <c r="AB25" i="2"/>
  <c r="AB86" i="2" s="1"/>
  <c r="AB100" i="2" s="1"/>
  <c r="DD203" i="2"/>
  <c r="EQ226" i="2"/>
  <c r="DT86" i="2"/>
  <c r="DL59" i="3"/>
  <c r="DL97" i="3"/>
  <c r="CD172" i="329"/>
  <c r="CH173" i="329" s="1"/>
  <c r="BN172" i="329"/>
  <c r="BN186" i="329" s="1"/>
  <c r="BN187" i="329" s="1"/>
  <c r="CA292" i="329"/>
  <c r="CA301" i="329" s="1"/>
  <c r="CY356" i="329"/>
  <c r="CI348" i="329"/>
  <c r="ET308" i="329"/>
  <c r="CJ355" i="329"/>
  <c r="CR356" i="329" s="1"/>
  <c r="P83" i="2"/>
  <c r="BW99" i="2"/>
  <c r="DJ84" i="3"/>
  <c r="EU411" i="329"/>
  <c r="EU405" i="329"/>
  <c r="EV405" i="329"/>
  <c r="EH87" i="4"/>
  <c r="EH76" i="4" s="1"/>
  <c r="CU177" i="2"/>
  <c r="CU8" i="2"/>
  <c r="CI101" i="3" s="1"/>
  <c r="AB372" i="329"/>
  <c r="X372" i="329"/>
  <c r="EN217" i="2"/>
  <c r="EO217" i="2"/>
  <c r="BC187" i="2"/>
  <c r="BC227" i="2"/>
  <c r="BC155" i="2"/>
  <c r="BC179" i="2" s="1"/>
  <c r="BG227" i="2"/>
  <c r="AQ79" i="2"/>
  <c r="AQ103" i="4"/>
  <c r="AQ100" i="3"/>
  <c r="AU88" i="3" s="1"/>
  <c r="AQ107" i="2"/>
  <c r="AQ77" i="2"/>
  <c r="AQ78" i="2"/>
  <c r="AQ9" i="2"/>
  <c r="AQ76" i="2" s="1"/>
  <c r="EC411" i="329"/>
  <c r="EB149" i="2"/>
  <c r="EB411" i="329"/>
  <c r="CB338" i="329"/>
  <c r="CB334" i="329"/>
  <c r="CB330" i="329"/>
  <c r="CF331" i="329" s="1"/>
  <c r="CB355" i="329"/>
  <c r="CB346" i="329"/>
  <c r="CB342" i="329"/>
  <c r="CF355" i="329"/>
  <c r="BT346" i="329"/>
  <c r="BT330" i="329"/>
  <c r="BT342" i="329"/>
  <c r="BT334" i="329"/>
  <c r="BT355" i="329"/>
  <c r="BX356" i="329" s="1"/>
  <c r="BP338" i="329"/>
  <c r="BP346" i="329"/>
  <c r="BP342" i="329"/>
  <c r="BP334" i="329"/>
  <c r="BP330" i="329"/>
  <c r="BP355" i="329"/>
  <c r="AR245" i="329"/>
  <c r="AR374" i="329"/>
  <c r="AR382" i="329" s="1"/>
  <c r="BS292" i="329"/>
  <c r="BS306" i="329" s="1"/>
  <c r="BS299" i="329"/>
  <c r="BS304" i="329"/>
  <c r="BS378" i="329"/>
  <c r="BS379" i="329" s="1"/>
  <c r="BS389" i="329" s="1"/>
  <c r="BT293" i="329"/>
  <c r="BS164" i="329"/>
  <c r="BS152" i="329"/>
  <c r="EO176" i="329"/>
  <c r="BS160" i="329"/>
  <c r="BS168" i="329"/>
  <c r="BJ76" i="2"/>
  <c r="BJ111" i="3"/>
  <c r="BW291" i="329"/>
  <c r="CQ331" i="329"/>
  <c r="CQ332" i="329" s="1"/>
  <c r="BE94" i="329"/>
  <c r="BE164" i="2" s="1"/>
  <c r="BF94" i="329"/>
  <c r="BJ95" i="329" s="1"/>
  <c r="AW93" i="329"/>
  <c r="AX94" i="329"/>
  <c r="AX164" i="2" s="1"/>
  <c r="AW94" i="329"/>
  <c r="AW105" i="329"/>
  <c r="EP149" i="2"/>
  <c r="EP411" i="329"/>
  <c r="EG126" i="329"/>
  <c r="EF126" i="329"/>
  <c r="ET297" i="329"/>
  <c r="BO339" i="329"/>
  <c r="BS339" i="329"/>
  <c r="BW340" i="329" s="1"/>
  <c r="BO350" i="329"/>
  <c r="CK299" i="329"/>
  <c r="CK300" i="329" s="1"/>
  <c r="CK291" i="329"/>
  <c r="CK304" i="329"/>
  <c r="CK305" i="329" s="1"/>
  <c r="CJ347" i="329"/>
  <c r="CJ350" i="329"/>
  <c r="BS156" i="329"/>
  <c r="EG222" i="329"/>
  <c r="EI224" i="329" s="1"/>
  <c r="EH116" i="329"/>
  <c r="EG116" i="329"/>
  <c r="AU107" i="2"/>
  <c r="AQ85" i="2"/>
  <c r="AU99" i="2" s="1"/>
  <c r="BS293" i="329"/>
  <c r="BO336" i="329"/>
  <c r="EV411" i="329"/>
  <c r="CB156" i="329"/>
  <c r="CB168" i="329"/>
  <c r="EQ176" i="329"/>
  <c r="N109" i="3"/>
  <c r="N388" i="329"/>
  <c r="CV63" i="329"/>
  <c r="CV65" i="329" s="1"/>
  <c r="CU64" i="329"/>
  <c r="CA335" i="329"/>
  <c r="CA336" i="329" s="1"/>
  <c r="CE335" i="329"/>
  <c r="CA350" i="329"/>
  <c r="DB331" i="329"/>
  <c r="DF332" i="329" s="1"/>
  <c r="CX331" i="329"/>
  <c r="AH94" i="329"/>
  <c r="AL95" i="329" s="1"/>
  <c r="AL123" i="329" s="1"/>
  <c r="AG94" i="329"/>
  <c r="AG107" i="329" s="1"/>
  <c r="AK110" i="329" s="1"/>
  <c r="AK122" i="329" s="1"/>
  <c r="AG105" i="329"/>
  <c r="DC330" i="329"/>
  <c r="DC331" i="329" s="1"/>
  <c r="DG332" i="329" s="1"/>
  <c r="DG355" i="329"/>
  <c r="CD338" i="329"/>
  <c r="CD342" i="329"/>
  <c r="CD334" i="329"/>
  <c r="CL335" i="329" s="1"/>
  <c r="CD330" i="329"/>
  <c r="CD346" i="329"/>
  <c r="ER346" i="329" s="1"/>
  <c r="CL355" i="329"/>
  <c r="BZ338" i="329"/>
  <c r="BZ330" i="329"/>
  <c r="EQ354" i="329"/>
  <c r="ER355" i="329" s="1"/>
  <c r="BZ334" i="329"/>
  <c r="BN346" i="329"/>
  <c r="BN330" i="329"/>
  <c r="EN330" i="329" s="1"/>
  <c r="EN354" i="329"/>
  <c r="EM326" i="329"/>
  <c r="EL354" i="329"/>
  <c r="EL330" i="329" s="1"/>
  <c r="AX297" i="329"/>
  <c r="AX165" i="2" s="1"/>
  <c r="AW308" i="329"/>
  <c r="CB293" i="329"/>
  <c r="CC293" i="329"/>
  <c r="BP176" i="2"/>
  <c r="CB222" i="2"/>
  <c r="BP151" i="2"/>
  <c r="BP221" i="2" s="1"/>
  <c r="AZ176" i="2"/>
  <c r="AZ151" i="2"/>
  <c r="AZ175" i="2" s="1"/>
  <c r="EJ152" i="2"/>
  <c r="EJ222" i="2" s="1"/>
  <c r="EF222" i="329"/>
  <c r="EF223" i="329" s="1"/>
  <c r="EF116" i="329"/>
  <c r="BB176" i="2"/>
  <c r="BF222" i="2"/>
  <c r="BU158" i="2"/>
  <c r="BU76" i="2"/>
  <c r="BU91" i="2" s="1"/>
  <c r="BU127" i="2" s="1"/>
  <c r="EA48" i="329"/>
  <c r="EB26" i="329"/>
  <c r="CY343" i="329"/>
  <c r="DC344" i="329" s="1"/>
  <c r="BJ104" i="4"/>
  <c r="BJ106" i="4" s="1"/>
  <c r="DB165" i="2"/>
  <c r="CB164" i="329"/>
  <c r="CH169" i="329"/>
  <c r="EU149" i="2"/>
  <c r="EP296" i="329"/>
  <c r="K104" i="329"/>
  <c r="DZ103" i="329"/>
  <c r="BY339" i="329"/>
  <c r="BU339" i="329"/>
  <c r="CX208" i="2"/>
  <c r="CX242" i="2" s="1"/>
  <c r="DB208" i="2"/>
  <c r="DB242" i="2" s="1"/>
  <c r="AM108" i="2"/>
  <c r="AM76" i="2"/>
  <c r="AM91" i="2" s="1"/>
  <c r="AM127" i="2" s="1"/>
  <c r="DB209" i="2"/>
  <c r="DB245" i="2" s="1"/>
  <c r="CX209" i="2"/>
  <c r="CX245" i="2" s="1"/>
  <c r="CA222" i="2"/>
  <c r="BO151" i="2"/>
  <c r="BO175" i="2" s="1"/>
  <c r="BS222" i="2"/>
  <c r="DC213" i="2"/>
  <c r="DC246" i="2" s="1"/>
  <c r="CY213" i="2"/>
  <c r="CY246" i="2" s="1"/>
  <c r="ES152" i="2"/>
  <c r="ES176" i="2" s="1"/>
  <c r="CK176" i="2"/>
  <c r="CK153" i="2"/>
  <c r="CK8" i="2" s="1"/>
  <c r="AT94" i="2"/>
  <c r="AP94" i="2"/>
  <c r="AQ410" i="329"/>
  <c r="BY305" i="329"/>
  <c r="EU308" i="329"/>
  <c r="EU309" i="329" s="1"/>
  <c r="CM348" i="329"/>
  <c r="CA306" i="329"/>
  <c r="CE307" i="329" s="1"/>
  <c r="CU153" i="329"/>
  <c r="CB299" i="329"/>
  <c r="CF300" i="329" s="1"/>
  <c r="BU92" i="2"/>
  <c r="BU128" i="2" s="1"/>
  <c r="CN334" i="329"/>
  <c r="CN335" i="329" s="1"/>
  <c r="CN346" i="329"/>
  <c r="CN347" i="329" s="1"/>
  <c r="CN330" i="329"/>
  <c r="CN342" i="329"/>
  <c r="ES295" i="329"/>
  <c r="ES244" i="329"/>
  <c r="BI308" i="329"/>
  <c r="AN308" i="329"/>
  <c r="AN297" i="329"/>
  <c r="CI152" i="329"/>
  <c r="CI164" i="329"/>
  <c r="BR161" i="329"/>
  <c r="V375" i="329"/>
  <c r="EU148" i="329"/>
  <c r="J104" i="329"/>
  <c r="DY101" i="329"/>
  <c r="EW330" i="329"/>
  <c r="EW359" i="329" s="1"/>
  <c r="AE372" i="329"/>
  <c r="AY88" i="3"/>
  <c r="CF93" i="2"/>
  <c r="Q372" i="329"/>
  <c r="U372" i="329"/>
  <c r="AU78" i="2"/>
  <c r="AY93" i="2" s="1"/>
  <c r="AU9" i="2"/>
  <c r="AY108" i="2" s="1"/>
  <c r="CF347" i="329"/>
  <c r="BH338" i="329"/>
  <c r="BH334" i="329"/>
  <c r="BH330" i="329"/>
  <c r="BH346" i="329"/>
  <c r="BH342" i="329"/>
  <c r="AR308" i="329"/>
  <c r="AR296" i="329"/>
  <c r="CA304" i="329"/>
  <c r="CA293" i="329"/>
  <c r="EM245" i="329"/>
  <c r="CF128" i="2"/>
  <c r="M94" i="3"/>
  <c r="CX347" i="329"/>
  <c r="F104" i="329"/>
  <c r="CM339" i="329"/>
  <c r="DY103" i="329"/>
  <c r="EH7" i="2"/>
  <c r="EH85" i="2" s="1"/>
  <c r="BW177" i="329"/>
  <c r="BJ107" i="329"/>
  <c r="BN110" i="329" s="1"/>
  <c r="BN122" i="329" s="1"/>
  <c r="BS336" i="329"/>
  <c r="CI339" i="329"/>
  <c r="CO343" i="329"/>
  <c r="CO344" i="329" s="1"/>
  <c r="BX338" i="329"/>
  <c r="BX339" i="329" s="1"/>
  <c r="BX330" i="329"/>
  <c r="BX331" i="329" s="1"/>
  <c r="BX342" i="329"/>
  <c r="BX365" i="329"/>
  <c r="BX346" i="329"/>
  <c r="BX334" i="329"/>
  <c r="EP334" i="329" s="1"/>
  <c r="EP360" i="329" s="1"/>
  <c r="BL338" i="329"/>
  <c r="BL355" i="329"/>
  <c r="BL334" i="329"/>
  <c r="BL346" i="329"/>
  <c r="BL330" i="329"/>
  <c r="BL342" i="329"/>
  <c r="AN245" i="329"/>
  <c r="AN374" i="329"/>
  <c r="CQ68" i="2"/>
  <c r="DS25" i="2"/>
  <c r="DT113" i="2" s="1"/>
  <c r="DC237" i="2"/>
  <c r="CY203" i="2"/>
  <c r="CW199" i="2"/>
  <c r="CW203" i="2"/>
  <c r="DA203" i="2"/>
  <c r="CZ199" i="2"/>
  <c r="DC203" i="2"/>
  <c r="EN226" i="2"/>
  <c r="EQ85" i="2"/>
  <c r="BW56" i="3"/>
  <c r="BJ92" i="2"/>
  <c r="BJ128" i="2" s="1"/>
  <c r="DH84" i="3"/>
  <c r="AY94" i="2"/>
  <c r="BT108" i="2"/>
  <c r="DU143" i="329"/>
  <c r="BT222" i="2"/>
  <c r="CQ85" i="2"/>
  <c r="CQ99" i="2" s="1"/>
  <c r="BV106" i="4"/>
  <c r="EM226" i="2"/>
  <c r="DE209" i="2"/>
  <c r="DE245" i="2" s="1"/>
  <c r="BS58" i="3"/>
  <c r="EJ161" i="2"/>
  <c r="EJ230" i="2" s="1"/>
  <c r="BX59" i="3"/>
  <c r="DZ80" i="2"/>
  <c r="DZ95" i="2" s="1"/>
  <c r="DZ19" i="2"/>
  <c r="DZ81" i="2" s="1"/>
  <c r="EA96" i="2" s="1"/>
  <c r="DU142" i="329"/>
  <c r="DV143" i="329"/>
  <c r="BI17" i="2"/>
  <c r="BI111" i="3" s="1"/>
  <c r="CQ107" i="2"/>
  <c r="BX222" i="2"/>
  <c r="AP108" i="2"/>
  <c r="BP76" i="2"/>
  <c r="J110" i="2"/>
  <c r="AI84" i="3"/>
  <c r="W84" i="3"/>
  <c r="CQ19" i="2"/>
  <c r="CQ81" i="2" s="1"/>
  <c r="BZ110" i="2"/>
  <c r="DW143" i="329"/>
  <c r="BD94" i="2"/>
  <c r="BD222" i="2"/>
  <c r="AV20" i="2"/>
  <c r="AV84" i="2" s="1"/>
  <c r="AV94" i="2"/>
  <c r="CG99" i="2"/>
  <c r="BG63" i="4"/>
  <c r="FC212" i="2"/>
  <c r="H68" i="3"/>
  <c r="AI68" i="3"/>
  <c r="EF77" i="3"/>
  <c r="EF76" i="3"/>
  <c r="EF74" i="3"/>
  <c r="EF122" i="3" s="1"/>
  <c r="EF35" i="3"/>
  <c r="EF44" i="3" s="1"/>
  <c r="EF45" i="3" s="1"/>
  <c r="DU76" i="3"/>
  <c r="DU77" i="3"/>
  <c r="DI68" i="3"/>
  <c r="BG68" i="3"/>
  <c r="AE68" i="3"/>
  <c r="DD71" i="3"/>
  <c r="DE127" i="3"/>
  <c r="DE71" i="3"/>
  <c r="EJ74" i="3"/>
  <c r="EJ122" i="3" s="1"/>
  <c r="EJ77" i="3"/>
  <c r="EJ76" i="3"/>
  <c r="AS45" i="3"/>
  <c r="DS68" i="3"/>
  <c r="DH68" i="3"/>
  <c r="DD68" i="3"/>
  <c r="BJ68" i="3"/>
  <c r="AV68" i="3"/>
  <c r="DV67" i="3"/>
  <c r="DV66" i="3"/>
  <c r="S68" i="3"/>
  <c r="J68" i="3"/>
  <c r="DV77" i="3"/>
  <c r="DV76" i="3"/>
  <c r="DV74" i="3"/>
  <c r="DV122" i="3" s="1"/>
  <c r="DV123" i="3" s="1"/>
  <c r="BL71" i="3"/>
  <c r="BL45" i="3"/>
  <c r="EC21" i="3"/>
  <c r="EC76" i="3"/>
  <c r="EC74" i="3"/>
  <c r="EC122" i="3" s="1"/>
  <c r="ED123" i="3" s="1"/>
  <c r="CQ45" i="3"/>
  <c r="AJ45" i="3"/>
  <c r="EE74" i="3"/>
  <c r="EE122" i="3" s="1"/>
  <c r="EE123" i="3" s="1"/>
  <c r="EE35" i="3"/>
  <c r="EE44" i="3" s="1"/>
  <c r="EE45" i="3" s="1"/>
  <c r="EE77" i="3"/>
  <c r="DI45" i="3"/>
  <c r="DV71" i="3"/>
  <c r="BZ68" i="3"/>
  <c r="BD68" i="3"/>
  <c r="AZ68" i="3"/>
  <c r="P68" i="3"/>
  <c r="AX68" i="3"/>
  <c r="O68" i="3"/>
  <c r="F68" i="3"/>
  <c r="DW77" i="3"/>
  <c r="DW74" i="3"/>
  <c r="DW122" i="3" s="1"/>
  <c r="DW76" i="3"/>
  <c r="AC97" i="2"/>
  <c r="DC200" i="2"/>
  <c r="DG217" i="2" s="1"/>
  <c r="DG238" i="2"/>
  <c r="DC153" i="2"/>
  <c r="AN91" i="2"/>
  <c r="AN127" i="2" s="1"/>
  <c r="EA15" i="2"/>
  <c r="BZ109" i="2"/>
  <c r="DR20" i="2"/>
  <c r="DR72" i="2" s="1"/>
  <c r="BP92" i="2"/>
  <c r="BP128" i="2" s="1"/>
  <c r="N5" i="2"/>
  <c r="N4" i="3" s="1"/>
  <c r="DD84" i="3"/>
  <c r="L104" i="4"/>
  <c r="L106" i="4" s="1"/>
  <c r="L82" i="2"/>
  <c r="CE103" i="3"/>
  <c r="ES231" i="2"/>
  <c r="N20" i="2"/>
  <c r="DS95" i="2"/>
  <c r="J4" i="3"/>
  <c r="N91" i="2"/>
  <c r="N127" i="2" s="1"/>
  <c r="DY63" i="2"/>
  <c r="DY64" i="2" s="1"/>
  <c r="AB104" i="4"/>
  <c r="F91" i="2"/>
  <c r="F127" i="2" s="1"/>
  <c r="DV132" i="2"/>
  <c r="DS111" i="2"/>
  <c r="BY56" i="3"/>
  <c r="EE99" i="2"/>
  <c r="AF86" i="2"/>
  <c r="CS14" i="4"/>
  <c r="CR122" i="4"/>
  <c r="CE63" i="4"/>
  <c r="CS93" i="2"/>
  <c r="EA63" i="4"/>
  <c r="DY99" i="2"/>
  <c r="DS94" i="2"/>
  <c r="DS128" i="2" s="1"/>
  <c r="N81" i="2"/>
  <c r="R96" i="2" s="1"/>
  <c r="AG124" i="3"/>
  <c r="DS50" i="3"/>
  <c r="DS81" i="3" s="1"/>
  <c r="DS84" i="3" s="1"/>
  <c r="DP124" i="3"/>
  <c r="DP57" i="3"/>
  <c r="ES197" i="2"/>
  <c r="ES214" i="2" s="1"/>
  <c r="AL76" i="2"/>
  <c r="AP91" i="2" s="1"/>
  <c r="AP127" i="2" s="1"/>
  <c r="AJ91" i="2"/>
  <c r="AJ127" i="2" s="1"/>
  <c r="EA63" i="2"/>
  <c r="EA64" i="2" s="1"/>
  <c r="L111" i="2"/>
  <c r="L25" i="2"/>
  <c r="T86" i="2"/>
  <c r="X100" i="2" s="1"/>
  <c r="T87" i="2"/>
  <c r="T30" i="2"/>
  <c r="DE246" i="2"/>
  <c r="ET253" i="2"/>
  <c r="CK94" i="2"/>
  <c r="AE82" i="2"/>
  <c r="Q82" i="2"/>
  <c r="U97" i="2" s="1"/>
  <c r="T91" i="2"/>
  <c r="T127" i="2" s="1"/>
  <c r="AF87" i="2"/>
  <c r="DE123" i="2"/>
  <c r="O111" i="2"/>
  <c r="ED93" i="2"/>
  <c r="EE17" i="2"/>
  <c r="AH132" i="2"/>
  <c r="DT84" i="3"/>
  <c r="R91" i="2"/>
  <c r="R127" i="2" s="1"/>
  <c r="R97" i="2"/>
  <c r="BT93" i="2"/>
  <c r="DS60" i="3"/>
  <c r="AE124" i="3"/>
  <c r="U124" i="3"/>
  <c r="DP55" i="3"/>
  <c r="CE42" i="4"/>
  <c r="CE98" i="4" s="1"/>
  <c r="CE99" i="4" s="1"/>
  <c r="EQ253" i="2"/>
  <c r="AL17" i="2"/>
  <c r="AL20" i="2" s="1"/>
  <c r="AL84" i="3"/>
  <c r="EC94" i="2"/>
  <c r="EC128" i="2" s="1"/>
  <c r="AK25" i="2"/>
  <c r="AK87" i="2" s="1"/>
  <c r="Q83" i="2"/>
  <c r="Y111" i="2"/>
  <c r="Q111" i="3"/>
  <c r="Q25" i="2"/>
  <c r="Q86" i="2" s="1"/>
  <c r="P104" i="4"/>
  <c r="P106" i="4" s="1"/>
  <c r="P111" i="3"/>
  <c r="DT20" i="2"/>
  <c r="DT82" i="2"/>
  <c r="DT97" i="2" s="1"/>
  <c r="ER253" i="2"/>
  <c r="EC15" i="2"/>
  <c r="EV187" i="2"/>
  <c r="O84" i="3"/>
  <c r="EW253" i="2"/>
  <c r="EA42" i="4"/>
  <c r="EA98" i="4" s="1"/>
  <c r="EA99" i="4" s="1"/>
  <c r="S132" i="2"/>
  <c r="AE132" i="2"/>
  <c r="AF132" i="2"/>
  <c r="EA103" i="3"/>
  <c r="R110" i="2"/>
  <c r="EI151" i="2"/>
  <c r="EI175" i="2" s="1"/>
  <c r="DS55" i="3"/>
  <c r="DS56" i="3"/>
  <c r="DP59" i="3"/>
  <c r="BP19" i="2"/>
  <c r="BP81" i="2" s="1"/>
  <c r="CB88" i="3"/>
  <c r="ES253" i="2"/>
  <c r="BJ20" i="2"/>
  <c r="BJ84" i="2" s="1"/>
  <c r="DU91" i="2"/>
  <c r="DU127" i="2" s="1"/>
  <c r="DT111" i="2"/>
  <c r="U111" i="2"/>
  <c r="N25" i="2"/>
  <c r="H111" i="3"/>
  <c r="H111" i="2"/>
  <c r="H25" i="2"/>
  <c r="H83" i="2"/>
  <c r="H82" i="2"/>
  <c r="H97" i="2" s="1"/>
  <c r="H104" i="4"/>
  <c r="H106" i="4" s="1"/>
  <c r="AK30" i="2"/>
  <c r="BZ80" i="2"/>
  <c r="AE111" i="3"/>
  <c r="DN110" i="4"/>
  <c r="DZ63" i="2"/>
  <c r="DZ64" i="2" s="1"/>
  <c r="DF84" i="3"/>
  <c r="CC102" i="3"/>
  <c r="CK109" i="2"/>
  <c r="T113" i="2"/>
  <c r="P86" i="2"/>
  <c r="P30" i="2"/>
  <c r="P87" i="2"/>
  <c r="ET133" i="2"/>
  <c r="DR110" i="4"/>
  <c r="ED63" i="2"/>
  <c r="ED64" i="2" s="1"/>
  <c r="BN93" i="2"/>
  <c r="CN93" i="2"/>
  <c r="DP88" i="3"/>
  <c r="DP60" i="3"/>
  <c r="S19" i="2"/>
  <c r="S80" i="2"/>
  <c r="S15" i="2"/>
  <c r="EB15" i="2" s="1"/>
  <c r="S105" i="4"/>
  <c r="AY58" i="3"/>
  <c r="BA155" i="2"/>
  <c r="BA179" i="2" s="1"/>
  <c r="EG63" i="2"/>
  <c r="EG64" i="2" s="1"/>
  <c r="EN133" i="2"/>
  <c r="EB104" i="3"/>
  <c r="Q20" i="2"/>
  <c r="U112" i="2" s="1"/>
  <c r="DY110" i="4"/>
  <c r="EK63" i="2"/>
  <c r="EK64" i="2" s="1"/>
  <c r="S42" i="4"/>
  <c r="S63" i="4"/>
  <c r="DP63" i="4" s="1"/>
  <c r="AG97" i="2"/>
  <c r="CL88" i="3"/>
  <c r="AZ17" i="2"/>
  <c r="Y83" i="2"/>
  <c r="DS132" i="2"/>
  <c r="AF37" i="2"/>
  <c r="AF34" i="2"/>
  <c r="AF105" i="3"/>
  <c r="AF88" i="2"/>
  <c r="EW189" i="2"/>
  <c r="EW212" i="2" s="1"/>
  <c r="EB103" i="3"/>
  <c r="AS11" i="2"/>
  <c r="AS15" i="2" s="1"/>
  <c r="DZ94" i="2"/>
  <c r="DZ128" i="2" s="1"/>
  <c r="BM222" i="2"/>
  <c r="CX212" i="2"/>
  <c r="CX243" i="2" s="1"/>
  <c r="G111" i="3"/>
  <c r="G104" i="4"/>
  <c r="G106" i="4" s="1"/>
  <c r="G25" i="2"/>
  <c r="G113" i="2" s="1"/>
  <c r="AK104" i="4"/>
  <c r="AK106" i="4" s="1"/>
  <c r="AK111" i="3"/>
  <c r="AX58" i="3"/>
  <c r="CA82" i="2"/>
  <c r="BP111" i="3"/>
  <c r="EC103" i="4"/>
  <c r="J91" i="2"/>
  <c r="J127" i="2" s="1"/>
  <c r="CR78" i="2"/>
  <c r="CR93" i="2" s="1"/>
  <c r="N132" i="2"/>
  <c r="DS20" i="2"/>
  <c r="DS73" i="2" s="1"/>
  <c r="M111" i="2"/>
  <c r="ER78" i="2"/>
  <c r="EQ77" i="2"/>
  <c r="CQ78" i="2"/>
  <c r="CQ93" i="2" s="1"/>
  <c r="AK91" i="2"/>
  <c r="AK127" i="2" s="1"/>
  <c r="BL82" i="2"/>
  <c r="AT20" i="2"/>
  <c r="AT84" i="2" s="1"/>
  <c r="AD111" i="2"/>
  <c r="Y132" i="2"/>
  <c r="DX17" i="2"/>
  <c r="ES412" i="329"/>
  <c r="U91" i="2"/>
  <c r="U127" i="2" s="1"/>
  <c r="Y20" i="2"/>
  <c r="Y84" i="2" s="1"/>
  <c r="AN127" i="3"/>
  <c r="EF60" i="2"/>
  <c r="DY17" i="2"/>
  <c r="AC83" i="2"/>
  <c r="AA81" i="2"/>
  <c r="AA96" i="2" s="1"/>
  <c r="AA20" i="2"/>
  <c r="AV63" i="4"/>
  <c r="CQ153" i="2"/>
  <c r="CQ157" i="2" s="1"/>
  <c r="DQ82" i="2"/>
  <c r="DQ97" i="2" s="1"/>
  <c r="DQ20" i="2"/>
  <c r="DQ111" i="2"/>
  <c r="I25" i="2"/>
  <c r="M113" i="2" s="1"/>
  <c r="I104" i="4"/>
  <c r="I106" i="4" s="1"/>
  <c r="I132" i="2"/>
  <c r="I82" i="2"/>
  <c r="I97" i="2" s="1"/>
  <c r="I111" i="2"/>
  <c r="DT59" i="3"/>
  <c r="DT55" i="3"/>
  <c r="DT88" i="3"/>
  <c r="AG86" i="2"/>
  <c r="AG100" i="2" s="1"/>
  <c r="AG30" i="2"/>
  <c r="AG114" i="2" s="1"/>
  <c r="AG87" i="2"/>
  <c r="AG101" i="2" s="1"/>
  <c r="EM79" i="2"/>
  <c r="AI111" i="3"/>
  <c r="AI82" i="2"/>
  <c r="AI83" i="2"/>
  <c r="AI111" i="2"/>
  <c r="AI25" i="2"/>
  <c r="AI20" i="2"/>
  <c r="AI104" i="4"/>
  <c r="AI106" i="4" s="1"/>
  <c r="AJ132" i="2"/>
  <c r="AA30" i="2"/>
  <c r="AA86" i="2"/>
  <c r="O82" i="2"/>
  <c r="O132" i="2"/>
  <c r="O25" i="2"/>
  <c r="P132" i="2"/>
  <c r="O83" i="2"/>
  <c r="O111" i="3"/>
  <c r="O104" i="4"/>
  <c r="O106" i="4" s="1"/>
  <c r="DW82" i="2"/>
  <c r="DW132" i="2"/>
  <c r="DW20" i="2"/>
  <c r="DW25" i="2"/>
  <c r="AI91" i="2"/>
  <c r="AI127" i="2" s="1"/>
  <c r="DD242" i="2"/>
  <c r="AE104" i="4"/>
  <c r="AE83" i="2"/>
  <c r="AG132" i="2"/>
  <c r="AE25" i="2"/>
  <c r="EE25" i="2" s="1"/>
  <c r="K111" i="3"/>
  <c r="K104" i="4"/>
  <c r="K106" i="4" s="1"/>
  <c r="K82" i="2"/>
  <c r="K97" i="2" s="1"/>
  <c r="K83" i="2"/>
  <c r="K111" i="2"/>
  <c r="K25" i="2"/>
  <c r="DD243" i="2"/>
  <c r="W82" i="2"/>
  <c r="AA97" i="2" s="1"/>
  <c r="W111" i="2"/>
  <c r="W83" i="2"/>
  <c r="W25" i="2"/>
  <c r="W104" i="4"/>
  <c r="W106" i="4" s="1"/>
  <c r="AA83" i="2"/>
  <c r="AA111" i="2"/>
  <c r="DW91" i="2"/>
  <c r="DW127" i="2" s="1"/>
  <c r="S83" i="2"/>
  <c r="S111" i="2"/>
  <c r="S104" i="4"/>
  <c r="S25" i="2"/>
  <c r="EB25" i="2" s="1"/>
  <c r="S82" i="2"/>
  <c r="S111" i="3"/>
  <c r="DS86" i="2"/>
  <c r="DT100" i="2" s="1"/>
  <c r="F87" i="2"/>
  <c r="F30" i="2"/>
  <c r="W20" i="2"/>
  <c r="EV209" i="2"/>
  <c r="EL226" i="2"/>
  <c r="R84" i="3"/>
  <c r="BC20" i="2"/>
  <c r="BC25" i="2"/>
  <c r="BC30" i="2" s="1"/>
  <c r="BQ11" i="2"/>
  <c r="BQ80" i="2" s="1"/>
  <c r="DX80" i="2"/>
  <c r="DX19" i="2"/>
  <c r="CQ412" i="329"/>
  <c r="BB151" i="2"/>
  <c r="BB175" i="2" s="1"/>
  <c r="BB222" i="2"/>
  <c r="EQ152" i="2"/>
  <c r="EQ183" i="2" s="1"/>
  <c r="BO176" i="2"/>
  <c r="AM17" i="2"/>
  <c r="EQ78" i="2"/>
  <c r="ER93" i="2" s="1"/>
  <c r="DA120" i="2"/>
  <c r="X124" i="3"/>
  <c r="EO79" i="2"/>
  <c r="BI151" i="2"/>
  <c r="BI175" i="2" s="1"/>
  <c r="BW179" i="2"/>
  <c r="DB212" i="2"/>
  <c r="AM128" i="2"/>
  <c r="BP80" i="2"/>
  <c r="BY222" i="2"/>
  <c r="EM214" i="2"/>
  <c r="BH222" i="2"/>
  <c r="BD176" i="2"/>
  <c r="AF84" i="3"/>
  <c r="P84" i="3"/>
  <c r="BP105" i="4"/>
  <c r="DN88" i="3"/>
  <c r="BC108" i="2"/>
  <c r="M84" i="3"/>
  <c r="BT92" i="2"/>
  <c r="BT128" i="2" s="1"/>
  <c r="BC76" i="2"/>
  <c r="EP85" i="2"/>
  <c r="EO85" i="2"/>
  <c r="R84" i="2"/>
  <c r="CC157" i="2"/>
  <c r="AR108" i="2"/>
  <c r="EP77" i="2"/>
  <c r="EP92" i="2" s="1"/>
  <c r="EP79" i="2"/>
  <c r="EC100" i="3"/>
  <c r="BR124" i="3" s="1"/>
  <c r="CD109" i="2"/>
  <c r="BU108" i="2"/>
  <c r="CK222" i="2"/>
  <c r="CE92" i="2"/>
  <c r="CE128" i="2" s="1"/>
  <c r="CQ77" i="2"/>
  <c r="EG100" i="3"/>
  <c r="EU67" i="2"/>
  <c r="BT151" i="2"/>
  <c r="BT175" i="2" s="1"/>
  <c r="DQ50" i="3"/>
  <c r="DQ81" i="3" s="1"/>
  <c r="DQ84" i="3" s="1"/>
  <c r="AT95" i="2"/>
  <c r="BV168" i="2"/>
  <c r="BV199" i="2" s="1"/>
  <c r="DB99" i="2"/>
  <c r="CR88" i="3"/>
  <c r="BU127" i="3"/>
  <c r="AA84" i="3"/>
  <c r="BU93" i="2"/>
  <c r="BU227" i="2"/>
  <c r="BM88" i="3"/>
  <c r="DF246" i="2"/>
  <c r="S84" i="3"/>
  <c r="G84" i="3"/>
  <c r="V81" i="2"/>
  <c r="Z96" i="2" s="1"/>
  <c r="Z110" i="2"/>
  <c r="L84" i="3"/>
  <c r="N84" i="3"/>
  <c r="BV50" i="3"/>
  <c r="BV81" i="3" s="1"/>
  <c r="BV84" i="3" s="1"/>
  <c r="AP128" i="2"/>
  <c r="EE101" i="3"/>
  <c r="EE51" i="3" s="1"/>
  <c r="BG176" i="2"/>
  <c r="BV93" i="2"/>
  <c r="BV60" i="3"/>
  <c r="CH223" i="2"/>
  <c r="BW50" i="3"/>
  <c r="BW81" i="3" s="1"/>
  <c r="BW84" i="3" s="1"/>
  <c r="T84" i="3"/>
  <c r="H84" i="3"/>
  <c r="CR107" i="2"/>
  <c r="CJ92" i="2"/>
  <c r="CJ128" i="2" s="1"/>
  <c r="AR128" i="2"/>
  <c r="BM127" i="3"/>
  <c r="BP222" i="2"/>
  <c r="EC130" i="3"/>
  <c r="EM109" i="2"/>
  <c r="BN59" i="3"/>
  <c r="BV127" i="3"/>
  <c r="CH157" i="2"/>
  <c r="CH170" i="2" s="1"/>
  <c r="BV55" i="3"/>
  <c r="EL109" i="2"/>
  <c r="EV176" i="2"/>
  <c r="CR77" i="2"/>
  <c r="CR92" i="2" s="1"/>
  <c r="BV59" i="3"/>
  <c r="AJ84" i="3"/>
  <c r="BW60" i="3"/>
  <c r="CR412" i="329"/>
  <c r="BU99" i="2"/>
  <c r="BT99" i="2"/>
  <c r="BX99" i="2"/>
  <c r="DA245" i="2"/>
  <c r="AJ63" i="4"/>
  <c r="AY165" i="2"/>
  <c r="BD213" i="2"/>
  <c r="BS165" i="2"/>
  <c r="BK164" i="2"/>
  <c r="BD208" i="2"/>
  <c r="DC245" i="2"/>
  <c r="CH177" i="2"/>
  <c r="BW57" i="3"/>
  <c r="BV56" i="3"/>
  <c r="EL152" i="2"/>
  <c r="EL176" i="2" s="1"/>
  <c r="DZ58" i="3"/>
  <c r="DB213" i="2"/>
  <c r="DB246" i="2" s="1"/>
  <c r="BL176" i="2"/>
  <c r="DD16" i="2"/>
  <c r="DD109" i="2" s="1"/>
  <c r="DB170" i="2"/>
  <c r="DB201" i="2" s="1"/>
  <c r="AK25" i="4"/>
  <c r="AK28" i="4" s="1"/>
  <c r="EF128" i="2"/>
  <c r="EF124" i="2"/>
  <c r="EF120" i="2"/>
  <c r="DI215" i="329"/>
  <c r="EI77" i="4"/>
  <c r="EI80" i="4"/>
  <c r="EJ80" i="4"/>
  <c r="EJ77" i="4"/>
  <c r="Z372" i="329"/>
  <c r="CY170" i="2"/>
  <c r="DC239" i="2" s="1"/>
  <c r="C30" i="2"/>
  <c r="C34" i="2" s="1"/>
  <c r="N4" i="329"/>
  <c r="EA5" i="329" s="1"/>
  <c r="EI103" i="3"/>
  <c r="EA60" i="2"/>
  <c r="DB227" i="2"/>
  <c r="DB187" i="2"/>
  <c r="CT297" i="329"/>
  <c r="BJ375" i="329"/>
  <c r="EU296" i="329"/>
  <c r="CB308" i="329"/>
  <c r="CF309" i="329" s="1"/>
  <c r="CN291" i="329"/>
  <c r="CF293" i="329"/>
  <c r="AK382" i="329"/>
  <c r="EL308" i="329"/>
  <c r="BK310" i="329"/>
  <c r="BO313" i="329" s="1"/>
  <c r="BO320" i="329" s="1"/>
  <c r="EP165" i="2"/>
  <c r="EM227" i="2"/>
  <c r="EN214" i="2"/>
  <c r="DZ60" i="2"/>
  <c r="EE63" i="2"/>
  <c r="EE64" i="2" s="1"/>
  <c r="EP60" i="2"/>
  <c r="F45" i="3"/>
  <c r="DR74" i="3"/>
  <c r="DR122" i="3" s="1"/>
  <c r="DR124" i="3" s="1"/>
  <c r="AT11" i="329"/>
  <c r="T382" i="329"/>
  <c r="T390" i="329" s="1"/>
  <c r="AG112" i="4"/>
  <c r="AG113" i="4" s="1"/>
  <c r="R92" i="329"/>
  <c r="R94" i="329" s="1"/>
  <c r="AG390" i="329"/>
  <c r="AI35" i="329"/>
  <c r="AM35" i="329"/>
  <c r="AK375" i="329"/>
  <c r="DS96" i="329"/>
  <c r="DS97" i="329" s="1"/>
  <c r="EW23" i="329"/>
  <c r="W374" i="329"/>
  <c r="AA375" i="329" s="1"/>
  <c r="DS94" i="329"/>
  <c r="DS98" i="329" s="1"/>
  <c r="W92" i="329"/>
  <c r="AE92" i="329"/>
  <c r="BS93" i="329"/>
  <c r="BI94" i="329"/>
  <c r="BI95" i="329" s="1"/>
  <c r="BA93" i="329"/>
  <c r="CU82" i="329"/>
  <c r="CU371" i="329" s="1"/>
  <c r="CU378" i="329" s="1"/>
  <c r="EE49" i="329"/>
  <c r="EE83" i="329" s="1"/>
  <c r="Z51" i="329"/>
  <c r="V372" i="329"/>
  <c r="BB94" i="329"/>
  <c r="BB95" i="329" s="1"/>
  <c r="AO93" i="329"/>
  <c r="AK94" i="329"/>
  <c r="AO95" i="329" s="1"/>
  <c r="AO123" i="329" s="1"/>
  <c r="BA94" i="329"/>
  <c r="BA164" i="2" s="1"/>
  <c r="BQ390" i="329"/>
  <c r="CF291" i="329"/>
  <c r="EO226" i="2"/>
  <c r="BF390" i="329"/>
  <c r="BF112" i="4"/>
  <c r="BH56" i="329"/>
  <c r="BG57" i="329"/>
  <c r="CW350" i="329"/>
  <c r="BT339" i="329"/>
  <c r="CO340" i="329"/>
  <c r="ES280" i="329"/>
  <c r="BV374" i="329"/>
  <c r="BV382" i="329" s="1"/>
  <c r="FC162" i="329"/>
  <c r="FD161" i="329"/>
  <c r="BQ87" i="329"/>
  <c r="BQ378" i="329" s="1"/>
  <c r="BQ371" i="329"/>
  <c r="BU372" i="329" s="1"/>
  <c r="FD181" i="2"/>
  <c r="FE181" i="2" s="1"/>
  <c r="FE180" i="2" s="1"/>
  <c r="BS348" i="329"/>
  <c r="CA348" i="329"/>
  <c r="BO348" i="329"/>
  <c r="AZ107" i="329"/>
  <c r="BD110" i="329" s="1"/>
  <c r="BD122" i="329" s="1"/>
  <c r="DA347" i="329"/>
  <c r="DE348" i="329" s="1"/>
  <c r="AI290" i="329"/>
  <c r="DU92" i="329"/>
  <c r="DU96" i="329" s="1"/>
  <c r="EH77" i="329"/>
  <c r="BZ355" i="329"/>
  <c r="CD356" i="329" s="1"/>
  <c r="BN334" i="329"/>
  <c r="BZ335" i="329" s="1"/>
  <c r="CK168" i="329"/>
  <c r="CB304" i="329"/>
  <c r="CF305" i="329" s="1"/>
  <c r="BI93" i="329"/>
  <c r="CB117" i="4"/>
  <c r="CR99" i="2"/>
  <c r="DZ99" i="2"/>
  <c r="DY108" i="2"/>
  <c r="AZ76" i="2"/>
  <c r="AZ91" i="2" s="1"/>
  <c r="AZ127" i="2" s="1"/>
  <c r="EI193" i="2"/>
  <c r="CN99" i="2"/>
  <c r="CO350" i="329"/>
  <c r="CD214" i="2"/>
  <c r="CT126" i="329"/>
  <c r="EB30" i="3"/>
  <c r="EF47" i="4"/>
  <c r="EF95" i="4"/>
  <c r="DM35" i="3"/>
  <c r="I44" i="3"/>
  <c r="CM344" i="329"/>
  <c r="EW326" i="329"/>
  <c r="BN355" i="329"/>
  <c r="BE93" i="329"/>
  <c r="CJ71" i="3"/>
  <c r="ED108" i="2"/>
  <c r="EK60" i="2"/>
  <c r="BN96" i="2"/>
  <c r="DA212" i="2"/>
  <c r="DA243" i="2" s="1"/>
  <c r="CN92" i="2"/>
  <c r="CN128" i="2" s="1"/>
  <c r="BQ99" i="2"/>
  <c r="CR27" i="4"/>
  <c r="AR68" i="3"/>
  <c r="AF123" i="3"/>
  <c r="AF124" i="3"/>
  <c r="AG123" i="3"/>
  <c r="DN35" i="3"/>
  <c r="M44" i="3"/>
  <c r="DW45" i="3"/>
  <c r="DW71" i="3"/>
  <c r="CI344" i="329"/>
  <c r="DD69" i="2"/>
  <c r="CS46" i="4"/>
  <c r="EA67" i="3"/>
  <c r="EA66" i="3"/>
  <c r="DZ68" i="3"/>
  <c r="AF127" i="3"/>
  <c r="AF71" i="3"/>
  <c r="CE123" i="3"/>
  <c r="BJ123" i="3"/>
  <c r="U44" i="3"/>
  <c r="DP35" i="3"/>
  <c r="BZ346" i="329"/>
  <c r="CD347" i="329" s="1"/>
  <c r="BN342" i="329"/>
  <c r="BZ343" i="329" s="1"/>
  <c r="BN338" i="329"/>
  <c r="EN338" i="329" s="1"/>
  <c r="EN361" i="329" s="1"/>
  <c r="DC355" i="329"/>
  <c r="DC356" i="329" s="1"/>
  <c r="DY136" i="2"/>
  <c r="BX128" i="2"/>
  <c r="AY99" i="2"/>
  <c r="BQ88" i="3"/>
  <c r="DD222" i="2"/>
  <c r="CT212" i="2"/>
  <c r="BU11" i="2"/>
  <c r="DC70" i="2"/>
  <c r="EI35" i="3"/>
  <c r="EI74" i="3"/>
  <c r="EI122" i="3" s="1"/>
  <c r="EI124" i="3" s="1"/>
  <c r="EI76" i="3"/>
  <c r="EI77" i="3"/>
  <c r="DR35" i="3"/>
  <c r="AC44" i="3"/>
  <c r="Q123" i="3"/>
  <c r="P123" i="3"/>
  <c r="P124" i="3"/>
  <c r="U123" i="3"/>
  <c r="BP168" i="2"/>
  <c r="CB237" i="2" s="1"/>
  <c r="DA237" i="2"/>
  <c r="EW16" i="2"/>
  <c r="EJ102" i="3" s="1"/>
  <c r="CM102" i="3"/>
  <c r="BY92" i="2"/>
  <c r="BY128" i="2" s="1"/>
  <c r="CB225" i="2"/>
  <c r="ES78" i="2"/>
  <c r="ES93" i="2" s="1"/>
  <c r="ES107" i="2"/>
  <c r="EQ153" i="2"/>
  <c r="EQ177" i="2" s="1"/>
  <c r="BJ225" i="2"/>
  <c r="DB199" i="2"/>
  <c r="ER231" i="2"/>
  <c r="BX50" i="3"/>
  <c r="BX81" i="3" s="1"/>
  <c r="BX55" i="3"/>
  <c r="CD223" i="2"/>
  <c r="BX127" i="3"/>
  <c r="CY197" i="2"/>
  <c r="DC214" i="2" s="1"/>
  <c r="EQ197" i="2"/>
  <c r="EQ214" i="2" s="1"/>
  <c r="BK92" i="2"/>
  <c r="BK128" i="2" s="1"/>
  <c r="EU179" i="2"/>
  <c r="EV208" i="2" s="1"/>
  <c r="BC99" i="2"/>
  <c r="BP93" i="2"/>
  <c r="BD225" i="2"/>
  <c r="ER221" i="2"/>
  <c r="AT88" i="3"/>
  <c r="BX88" i="3"/>
  <c r="BP225" i="2"/>
  <c r="BP189" i="2"/>
  <c r="CB212" i="2" s="1"/>
  <c r="AZ168" i="2"/>
  <c r="AZ199" i="2" s="1"/>
  <c r="ES77" i="2"/>
  <c r="ES85" i="2"/>
  <c r="BZ177" i="2"/>
  <c r="CZ107" i="2"/>
  <c r="BX56" i="3"/>
  <c r="EW229" i="2"/>
  <c r="CD99" i="2"/>
  <c r="BN95" i="2"/>
  <c r="BY50" i="3"/>
  <c r="BY81" i="3" s="1"/>
  <c r="CC88" i="3"/>
  <c r="CY212" i="2"/>
  <c r="CY243" i="2" s="1"/>
  <c r="BW17" i="2"/>
  <c r="EM78" i="2"/>
  <c r="BL225" i="2"/>
  <c r="BD93" i="2"/>
  <c r="BX57" i="3"/>
  <c r="DZ83" i="4"/>
  <c r="BI222" i="2"/>
  <c r="BX60" i="3"/>
  <c r="BG92" i="2"/>
  <c r="BG128" i="2" s="1"/>
  <c r="CJ93" i="2"/>
  <c r="DD237" i="2"/>
  <c r="BN57" i="3"/>
  <c r="BC164" i="2"/>
  <c r="BG233" i="2" s="1"/>
  <c r="CC57" i="3"/>
  <c r="BX52" i="3"/>
  <c r="BX83" i="3" s="1"/>
  <c r="AR88" i="3"/>
  <c r="BF210" i="2"/>
  <c r="CI93" i="2"/>
  <c r="BY51" i="3"/>
  <c r="BY82" i="3" s="1"/>
  <c r="EE103" i="4"/>
  <c r="BZ58" i="3"/>
  <c r="EF58" i="3" s="1"/>
  <c r="DA197" i="2"/>
  <c r="BE222" i="2"/>
  <c r="BU60" i="3"/>
  <c r="DC109" i="2"/>
  <c r="BG222" i="2"/>
  <c r="CJ223" i="2"/>
  <c r="BK94" i="2"/>
  <c r="BK99" i="2"/>
  <c r="BY57" i="3"/>
  <c r="EW162" i="2"/>
  <c r="EW197" i="2" s="1"/>
  <c r="BV92" i="2"/>
  <c r="BV128" i="2" s="1"/>
  <c r="BQ210" i="2"/>
  <c r="BQ155" i="2"/>
  <c r="BU225" i="2" s="1"/>
  <c r="BE176" i="2"/>
  <c r="BY59" i="3"/>
  <c r="CX120" i="2"/>
  <c r="DA79" i="2"/>
  <c r="BG229" i="2"/>
  <c r="EK152" i="2"/>
  <c r="BX9" i="2"/>
  <c r="EP9" i="2" s="1"/>
  <c r="EP17" i="2" s="1"/>
  <c r="BJ93" i="2"/>
  <c r="BI160" i="2"/>
  <c r="BI193" i="2"/>
  <c r="BI213" i="2" s="1"/>
  <c r="BI230" i="2"/>
  <c r="BY58" i="3"/>
  <c r="CP60" i="3"/>
  <c r="BY52" i="3"/>
  <c r="BY83" i="3" s="1"/>
  <c r="BC151" i="2"/>
  <c r="BY88" i="3"/>
  <c r="DD199" i="2"/>
  <c r="CY209" i="2"/>
  <c r="CY245" i="2" s="1"/>
  <c r="EL161" i="2"/>
  <c r="EL193" i="2" s="1"/>
  <c r="CP153" i="2"/>
  <c r="CP8" i="2" s="1"/>
  <c r="BY55" i="3"/>
  <c r="BY127" i="3"/>
  <c r="BZ59" i="3"/>
  <c r="EF59" i="3" s="1"/>
  <c r="CU212" i="2"/>
  <c r="BM160" i="2"/>
  <c r="BM164" i="2" s="1"/>
  <c r="BM193" i="2"/>
  <c r="BM230" i="2"/>
  <c r="BS160" i="2"/>
  <c r="BS193" i="2"/>
  <c r="AY176" i="2"/>
  <c r="AY151" i="2"/>
  <c r="AY175" i="2" s="1"/>
  <c r="AZ128" i="2"/>
  <c r="CZ170" i="2"/>
  <c r="CP57" i="3"/>
  <c r="BX130" i="3"/>
  <c r="BY130" i="3"/>
  <c r="CA57" i="3"/>
  <c r="BP104" i="4"/>
  <c r="BD88" i="3"/>
  <c r="CP221" i="2"/>
  <c r="BC222" i="2"/>
  <c r="CP55" i="3"/>
  <c r="EQ412" i="329"/>
  <c r="CP175" i="2"/>
  <c r="BG76" i="2"/>
  <c r="CT221" i="2"/>
  <c r="BY60" i="3"/>
  <c r="EP8" i="2"/>
  <c r="ED101" i="3" s="1"/>
  <c r="ED52" i="3" s="1"/>
  <c r="ED83" i="3" s="1"/>
  <c r="DA99" i="2"/>
  <c r="BN99" i="2"/>
  <c r="BN94" i="2"/>
  <c r="BQ93" i="2"/>
  <c r="BD99" i="2"/>
  <c r="CX227" i="2"/>
  <c r="AY160" i="2"/>
  <c r="BC229" i="2" s="1"/>
  <c r="AY193" i="2"/>
  <c r="BC213" i="2" s="1"/>
  <c r="DT143" i="329"/>
  <c r="DT141" i="329"/>
  <c r="DT142" i="329"/>
  <c r="DA199" i="2"/>
  <c r="BF116" i="329"/>
  <c r="BN117" i="329"/>
  <c r="BF118" i="329"/>
  <c r="BX227" i="2"/>
  <c r="BX155" i="2"/>
  <c r="BX168" i="2" s="1"/>
  <c r="BX187" i="2"/>
  <c r="EP157" i="2"/>
  <c r="CT187" i="329"/>
  <c r="CT160" i="329"/>
  <c r="CT161" i="329" s="1"/>
  <c r="CT156" i="329"/>
  <c r="CT157" i="329" s="1"/>
  <c r="CT168" i="329"/>
  <c r="CT169" i="329" s="1"/>
  <c r="CT177" i="329"/>
  <c r="CT178" i="329" s="1"/>
  <c r="CT164" i="329"/>
  <c r="CT165" i="329" s="1"/>
  <c r="CL187" i="329"/>
  <c r="CL160" i="329"/>
  <c r="CL152" i="329"/>
  <c r="CL177" i="329"/>
  <c r="CL168" i="329"/>
  <c r="CL156" i="329"/>
  <c r="CL164" i="329"/>
  <c r="BV156" i="329"/>
  <c r="BV187" i="329"/>
  <c r="BV168" i="329"/>
  <c r="BV164" i="329"/>
  <c r="BV165" i="329" s="1"/>
  <c r="BV152" i="329"/>
  <c r="BV160" i="329"/>
  <c r="BV161" i="329" s="1"/>
  <c r="BF160" i="329"/>
  <c r="BF164" i="329"/>
  <c r="BF156" i="329"/>
  <c r="BJ157" i="329" s="1"/>
  <c r="BF152" i="329"/>
  <c r="DB120" i="2"/>
  <c r="DB124" i="2"/>
  <c r="CU16" i="2"/>
  <c r="CY109" i="2" s="1"/>
  <c r="CU197" i="2"/>
  <c r="CF103" i="4"/>
  <c r="CF100" i="3"/>
  <c r="CY231" i="2"/>
  <c r="CH187" i="329"/>
  <c r="CH177" i="329"/>
  <c r="CH178" i="329" s="1"/>
  <c r="BJ168" i="329"/>
  <c r="BJ152" i="329"/>
  <c r="BN153" i="329" s="1"/>
  <c r="BJ117" i="329"/>
  <c r="BF117" i="329"/>
  <c r="DX142" i="329"/>
  <c r="DX141" i="329"/>
  <c r="ES183" i="2"/>
  <c r="EU209" i="2" s="1"/>
  <c r="ES226" i="2"/>
  <c r="BZ164" i="329"/>
  <c r="BZ152" i="329"/>
  <c r="BZ160" i="329"/>
  <c r="BZ156" i="329"/>
  <c r="BZ168" i="329"/>
  <c r="CD169" i="329" s="1"/>
  <c r="BZ177" i="329"/>
  <c r="CD178" i="329" s="1"/>
  <c r="BN116" i="329"/>
  <c r="BN118" i="329"/>
  <c r="EV280" i="329"/>
  <c r="CU126" i="329"/>
  <c r="CO331" i="329"/>
  <c r="CC350" i="329"/>
  <c r="DD356" i="329"/>
  <c r="CV70" i="329"/>
  <c r="CU72" i="329"/>
  <c r="CU71" i="329"/>
  <c r="CS346" i="329"/>
  <c r="BQ266" i="329"/>
  <c r="EN266" i="329" s="1"/>
  <c r="CO356" i="329"/>
  <c r="CF8" i="2"/>
  <c r="BS17" i="2"/>
  <c r="CO88" i="3"/>
  <c r="BQ104" i="4"/>
  <c r="BW92" i="2"/>
  <c r="BW128" i="2" s="1"/>
  <c r="DD170" i="2"/>
  <c r="DD201" i="2" s="1"/>
  <c r="CW212" i="2"/>
  <c r="BP99" i="2"/>
  <c r="CF99" i="2"/>
  <c r="DA170" i="2"/>
  <c r="EF103" i="4"/>
  <c r="CF177" i="2"/>
  <c r="BS158" i="2"/>
  <c r="BQ25" i="2"/>
  <c r="BQ86" i="2" s="1"/>
  <c r="CV85" i="2"/>
  <c r="CZ99" i="2" s="1"/>
  <c r="CJ99" i="2"/>
  <c r="BR99" i="2"/>
  <c r="CS222" i="2"/>
  <c r="EU225" i="2"/>
  <c r="EU229" i="2"/>
  <c r="BZ8" i="2"/>
  <c r="BZ9" i="2" s="1"/>
  <c r="BZ108" i="2" s="1"/>
  <c r="BZ223" i="2"/>
  <c r="ET183" i="2"/>
  <c r="ET226" i="2"/>
  <c r="BQ82" i="2"/>
  <c r="CF187" i="2"/>
  <c r="CP50" i="3"/>
  <c r="CO176" i="2"/>
  <c r="BC92" i="2"/>
  <c r="BC128" i="2" s="1"/>
  <c r="BR93" i="2"/>
  <c r="ET152" i="2"/>
  <c r="ET176" i="2" s="1"/>
  <c r="BQ111" i="3"/>
  <c r="BU94" i="2"/>
  <c r="EV193" i="2"/>
  <c r="EW213" i="2" s="1"/>
  <c r="EW230" i="2"/>
  <c r="EV230" i="2"/>
  <c r="CD177" i="2"/>
  <c r="CD157" i="2"/>
  <c r="CD158" i="2" s="1"/>
  <c r="BG111" i="3"/>
  <c r="BG104" i="4"/>
  <c r="EK226" i="2"/>
  <c r="BG108" i="2"/>
  <c r="BT104" i="4"/>
  <c r="DC201" i="2"/>
  <c r="CT237" i="2"/>
  <c r="FC123" i="2"/>
  <c r="FB245" i="2"/>
  <c r="FH123" i="2"/>
  <c r="FD119" i="2"/>
  <c r="EC243" i="2"/>
  <c r="EC242" i="2"/>
  <c r="EK122" i="2"/>
  <c r="EI243" i="2"/>
  <c r="EI242" i="2"/>
  <c r="EG243" i="2"/>
  <c r="EG242" i="2"/>
  <c r="CK29" i="4"/>
  <c r="CK42" i="4" s="1"/>
  <c r="CK98" i="4" s="1"/>
  <c r="CK99" i="4" s="1"/>
  <c r="AX81" i="2"/>
  <c r="BB96" i="2" s="1"/>
  <c r="AX110" i="2"/>
  <c r="CA230" i="2"/>
  <c r="BS230" i="2"/>
  <c r="BO160" i="2"/>
  <c r="BO193" i="2"/>
  <c r="BO230" i="2"/>
  <c r="BN108" i="2"/>
  <c r="CM187" i="2"/>
  <c r="CM210" i="2" s="1"/>
  <c r="BV112" i="3"/>
  <c r="BV114" i="3" s="1"/>
  <c r="CC50" i="3"/>
  <c r="CC81" i="3" s="1"/>
  <c r="BN76" i="2"/>
  <c r="EN12" i="2"/>
  <c r="CY80" i="2"/>
  <c r="CY79" i="2"/>
  <c r="O112" i="2"/>
  <c r="BY17" i="2"/>
  <c r="DQ59" i="3"/>
  <c r="DQ56" i="3"/>
  <c r="BZ60" i="3"/>
  <c r="EF60" i="3" s="1"/>
  <c r="DQ57" i="3"/>
  <c r="O112" i="3"/>
  <c r="O114" i="3" s="1"/>
  <c r="BE11" i="2"/>
  <c r="BE80" i="2" s="1"/>
  <c r="CK40" i="3"/>
  <c r="CK42" i="3" s="1"/>
  <c r="CY15" i="2"/>
  <c r="V124" i="3"/>
  <c r="BY76" i="2"/>
  <c r="BZ56" i="3"/>
  <c r="EF56" i="3" s="1"/>
  <c r="BP15" i="2"/>
  <c r="O84" i="2"/>
  <c r="DA11" i="2"/>
  <c r="CO105" i="4" s="1"/>
  <c r="BR96" i="2"/>
  <c r="BC111" i="3"/>
  <c r="BC82" i="2"/>
  <c r="BC104" i="4"/>
  <c r="BC106" i="4" s="1"/>
  <c r="CM170" i="2"/>
  <c r="CM201" i="2" s="1"/>
  <c r="BV84" i="2"/>
  <c r="CB60" i="3"/>
  <c r="CA55" i="3"/>
  <c r="BY108" i="2"/>
  <c r="BV99" i="2"/>
  <c r="Q96" i="2"/>
  <c r="DX15" i="2"/>
  <c r="CS11" i="2"/>
  <c r="EU11" i="2" s="1"/>
  <c r="EH88" i="4" s="1"/>
  <c r="EH90" i="4" s="1"/>
  <c r="EH9" i="4"/>
  <c r="CR19" i="2"/>
  <c r="CR81" i="2" s="1"/>
  <c r="CB59" i="3"/>
  <c r="CA56" i="3"/>
  <c r="DD125" i="3"/>
  <c r="CA59" i="3"/>
  <c r="CA50" i="3"/>
  <c r="CA81" i="3" s="1"/>
  <c r="EW77" i="2"/>
  <c r="CB55" i="3"/>
  <c r="BV96" i="2"/>
  <c r="BR225" i="2"/>
  <c r="BN179" i="2"/>
  <c r="BZ208" i="2" s="1"/>
  <c r="BZ127" i="3"/>
  <c r="CA127" i="3"/>
  <c r="BG111" i="2"/>
  <c r="CC59" i="3"/>
  <c r="EE42" i="4"/>
  <c r="EE98" i="4" s="1"/>
  <c r="EE99" i="4" s="1"/>
  <c r="EN34" i="3"/>
  <c r="BG25" i="2"/>
  <c r="BG30" i="2" s="1"/>
  <c r="BG34" i="2" s="1"/>
  <c r="CC55" i="3"/>
  <c r="CC56" i="3"/>
  <c r="CC60" i="3"/>
  <c r="EE52" i="3"/>
  <c r="CB57" i="3"/>
  <c r="CB56" i="3"/>
  <c r="AV106" i="4"/>
  <c r="DZ15" i="2"/>
  <c r="BZ55" i="3"/>
  <c r="EF55" i="3" s="1"/>
  <c r="BG83" i="2"/>
  <c r="AY17" i="2"/>
  <c r="BJ165" i="2"/>
  <c r="CA76" i="2"/>
  <c r="EM161" i="2"/>
  <c r="BG82" i="2"/>
  <c r="EG102" i="3"/>
  <c r="CC127" i="3"/>
  <c r="EC95" i="2"/>
  <c r="BY99" i="2"/>
  <c r="CB127" i="3"/>
  <c r="EJ103" i="4"/>
  <c r="BZ50" i="3"/>
  <c r="BZ81" i="3" s="1"/>
  <c r="CA60" i="3"/>
  <c r="BJ160" i="2"/>
  <c r="BJ164" i="2" s="1"/>
  <c r="AY76" i="2"/>
  <c r="BW93" i="2"/>
  <c r="AK84" i="3"/>
  <c r="BW94" i="2"/>
  <c r="DK84" i="3"/>
  <c r="BG99" i="2"/>
  <c r="DP84" i="3"/>
  <c r="Z84" i="3"/>
  <c r="EJ193" i="2"/>
  <c r="ET77" i="2"/>
  <c r="EP152" i="2"/>
  <c r="EP176" i="2" s="1"/>
  <c r="EW78" i="2"/>
  <c r="ET78" i="2"/>
  <c r="ET93" i="2" s="1"/>
  <c r="BV230" i="2"/>
  <c r="AU63" i="4"/>
  <c r="Z83" i="2"/>
  <c r="X132" i="2"/>
  <c r="U84" i="3"/>
  <c r="F124" i="3"/>
  <c r="U87" i="2"/>
  <c r="BT168" i="2"/>
  <c r="BT170" i="2" s="1"/>
  <c r="CR60" i="3"/>
  <c r="BW151" i="2"/>
  <c r="EP151" i="2" s="1"/>
  <c r="EP175" i="2" s="1"/>
  <c r="EJ100" i="3"/>
  <c r="EJ124" i="3" s="1"/>
  <c r="EW412" i="329"/>
  <c r="ES79" i="2"/>
  <c r="BT127" i="3"/>
  <c r="EO161" i="2"/>
  <c r="EO193" i="2" s="1"/>
  <c r="EJ122" i="4"/>
  <c r="Z82" i="2"/>
  <c r="AD97" i="2" s="1"/>
  <c r="U86" i="2"/>
  <c r="CP15" i="2"/>
  <c r="ES109" i="2"/>
  <c r="EV67" i="2"/>
  <c r="ET412" i="329"/>
  <c r="EM60" i="2"/>
  <c r="BT59" i="3"/>
  <c r="BU59" i="3"/>
  <c r="BW222" i="2"/>
  <c r="AE63" i="4"/>
  <c r="BN225" i="2"/>
  <c r="BB93" i="2"/>
  <c r="CI103" i="3"/>
  <c r="AH91" i="2"/>
  <c r="AH127" i="2" s="1"/>
  <c r="DR133" i="3"/>
  <c r="EE108" i="2"/>
  <c r="EE76" i="2"/>
  <c r="DO133" i="3"/>
  <c r="EB108" i="2"/>
  <c r="EB76" i="2"/>
  <c r="DZ17" i="2"/>
  <c r="J82" i="2"/>
  <c r="N97" i="2" s="1"/>
  <c r="N111" i="2"/>
  <c r="N83" i="2"/>
  <c r="L132" i="2"/>
  <c r="J104" i="4"/>
  <c r="J106" i="4" s="1"/>
  <c r="J25" i="2"/>
  <c r="J83" i="2"/>
  <c r="J111" i="3"/>
  <c r="M132" i="2"/>
  <c r="J132" i="2"/>
  <c r="K132" i="2"/>
  <c r="ED99" i="2"/>
  <c r="EC99" i="2"/>
  <c r="BG88" i="3"/>
  <c r="BC88" i="3"/>
  <c r="EA99" i="2"/>
  <c r="R30" i="2"/>
  <c r="R86" i="2"/>
  <c r="R87" i="2"/>
  <c r="R113" i="2"/>
  <c r="X113" i="2"/>
  <c r="X30" i="2"/>
  <c r="EH63" i="2"/>
  <c r="EH64" i="2" s="1"/>
  <c r="DV110" i="4"/>
  <c r="EB63" i="2"/>
  <c r="EB64" i="2" s="1"/>
  <c r="DP110" i="4"/>
  <c r="BM104" i="3"/>
  <c r="BM133" i="2"/>
  <c r="BN133" i="2"/>
  <c r="BP133" i="2"/>
  <c r="BO133" i="2"/>
  <c r="CV19" i="2"/>
  <c r="CV81" i="2" s="1"/>
  <c r="CJ105" i="4"/>
  <c r="DM133" i="3"/>
  <c r="DZ76" i="2"/>
  <c r="DZ108" i="2"/>
  <c r="DQ60" i="3"/>
  <c r="DQ55" i="3"/>
  <c r="DR88" i="3"/>
  <c r="DQ88" i="3"/>
  <c r="EL5" i="4"/>
  <c r="EY5" i="329"/>
  <c r="EZ6" i="2"/>
  <c r="EL5" i="3"/>
  <c r="G97" i="2"/>
  <c r="EA82" i="2"/>
  <c r="DO111" i="3"/>
  <c r="DO104" i="4"/>
  <c r="DO106" i="4" s="1"/>
  <c r="EA25" i="2"/>
  <c r="EI63" i="2"/>
  <c r="EI64" i="2" s="1"/>
  <c r="DW110" i="4"/>
  <c r="AJ86" i="2"/>
  <c r="AJ87" i="2"/>
  <c r="AJ113" i="2"/>
  <c r="AJ30" i="2"/>
  <c r="EV133" i="2"/>
  <c r="EI104" i="3"/>
  <c r="ES133" i="2"/>
  <c r="EG104" i="3"/>
  <c r="DT96" i="2"/>
  <c r="DU96" i="2"/>
  <c r="DR91" i="2"/>
  <c r="DR127" i="2" s="1"/>
  <c r="AT104" i="4"/>
  <c r="AT106" i="4" s="1"/>
  <c r="AT25" i="2"/>
  <c r="AT82" i="2"/>
  <c r="AT111" i="3"/>
  <c r="AC132" i="2"/>
  <c r="AA132" i="2"/>
  <c r="AB132" i="2"/>
  <c r="Z132" i="2"/>
  <c r="Z111" i="2"/>
  <c r="Z104" i="4"/>
  <c r="Z106" i="4" s="1"/>
  <c r="Z111" i="3"/>
  <c r="Z25" i="2"/>
  <c r="AD83" i="2"/>
  <c r="V25" i="2"/>
  <c r="V20" i="2"/>
  <c r="V111" i="3"/>
  <c r="W132" i="2"/>
  <c r="V111" i="2"/>
  <c r="V83" i="2"/>
  <c r="V82" i="2"/>
  <c r="V132" i="2"/>
  <c r="V104" i="4"/>
  <c r="V106" i="4" s="1"/>
  <c r="B25" i="2"/>
  <c r="DX25" i="2" s="1"/>
  <c r="B111" i="3"/>
  <c r="B104" i="4"/>
  <c r="B106" i="4" s="1"/>
  <c r="F83" i="2"/>
  <c r="F111" i="2"/>
  <c r="B20" i="2"/>
  <c r="DP133" i="3"/>
  <c r="EC108" i="2"/>
  <c r="EC17" i="2"/>
  <c r="ED83" i="2" s="1"/>
  <c r="EC76" i="2"/>
  <c r="EC92" i="2"/>
  <c r="ED92" i="2"/>
  <c r="DM60" i="3"/>
  <c r="DM50" i="3"/>
  <c r="DM81" i="3" s="1"/>
  <c r="DM84" i="3" s="1"/>
  <c r="DM55" i="3"/>
  <c r="DM57" i="3"/>
  <c r="DM56" i="3"/>
  <c r="DM59" i="3"/>
  <c r="G124" i="3"/>
  <c r="DZ93" i="2"/>
  <c r="DY93" i="2"/>
  <c r="Z20" i="2"/>
  <c r="DY103" i="3"/>
  <c r="AR15" i="2"/>
  <c r="AR105" i="4"/>
  <c r="AR19" i="2"/>
  <c r="AR20" i="2" s="1"/>
  <c r="AR80" i="2"/>
  <c r="AV95" i="2" s="1"/>
  <c r="DV25" i="2"/>
  <c r="DV113" i="2" s="1"/>
  <c r="DV20" i="2"/>
  <c r="DW111" i="2"/>
  <c r="DV82" i="2"/>
  <c r="DR25" i="2"/>
  <c r="DR111" i="2"/>
  <c r="DR82" i="2"/>
  <c r="DS133" i="3"/>
  <c r="EF108" i="2"/>
  <c r="EF76" i="2"/>
  <c r="AD91" i="2"/>
  <c r="AD127" i="2" s="1"/>
  <c r="Z91" i="2"/>
  <c r="Z127" i="2" s="1"/>
  <c r="V91" i="2"/>
  <c r="V127" i="2" s="1"/>
  <c r="DK133" i="3"/>
  <c r="DX76" i="2"/>
  <c r="DX108" i="2"/>
  <c r="DQ86" i="2"/>
  <c r="DQ100" i="2" s="1"/>
  <c r="DQ113" i="2"/>
  <c r="Y86" i="2"/>
  <c r="AC100" i="2" s="1"/>
  <c r="Y30" i="2"/>
  <c r="AC114" i="2" s="1"/>
  <c r="Y87" i="2"/>
  <c r="AC113" i="2"/>
  <c r="DP111" i="3"/>
  <c r="EB132" i="2"/>
  <c r="EB83" i="2"/>
  <c r="EB82" i="2"/>
  <c r="DP104" i="4"/>
  <c r="DP106" i="4" s="1"/>
  <c r="EF82" i="2"/>
  <c r="DT111" i="3"/>
  <c r="DT104" i="4"/>
  <c r="DT106" i="4" s="1"/>
  <c r="EF20" i="2"/>
  <c r="EF132" i="2"/>
  <c r="EU162" i="2"/>
  <c r="EU197" i="2" s="1"/>
  <c r="AC84" i="3"/>
  <c r="J84" i="3"/>
  <c r="EN152" i="2"/>
  <c r="EN176" i="2" s="1"/>
  <c r="DB221" i="2"/>
  <c r="CS92" i="2"/>
  <c r="CS128" i="2" s="1"/>
  <c r="CN55" i="3"/>
  <c r="AN104" i="4"/>
  <c r="AN106" i="4" s="1"/>
  <c r="BW108" i="2"/>
  <c r="EO152" i="2"/>
  <c r="EO176" i="2" s="1"/>
  <c r="CO56" i="3"/>
  <c r="CI214" i="2"/>
  <c r="CJ78" i="3"/>
  <c r="BP111" i="2"/>
  <c r="AN20" i="2"/>
  <c r="AN112" i="3" s="1"/>
  <c r="BW76" i="2"/>
  <c r="BM210" i="2"/>
  <c r="BP20" i="2"/>
  <c r="BP112" i="3" s="1"/>
  <c r="BP114" i="3" s="1"/>
  <c r="CX168" i="2"/>
  <c r="CO93" i="2"/>
  <c r="BP82" i="2"/>
  <c r="CP88" i="3"/>
  <c r="BY93" i="2"/>
  <c r="BR58" i="3"/>
  <c r="AV99" i="2"/>
  <c r="DF212" i="2"/>
  <c r="BP83" i="2"/>
  <c r="AN82" i="2"/>
  <c r="AN97" i="2" s="1"/>
  <c r="BD221" i="2"/>
  <c r="AN83" i="2"/>
  <c r="F84" i="3"/>
  <c r="DG84" i="3"/>
  <c r="Y84" i="3"/>
  <c r="X84" i="3"/>
  <c r="I84" i="3"/>
  <c r="BN210" i="2"/>
  <c r="Q84" i="3"/>
  <c r="AB84" i="3"/>
  <c r="AG84" i="3"/>
  <c r="BG93" i="2"/>
  <c r="BC93" i="2"/>
  <c r="BM11" i="2"/>
  <c r="EM11" i="2" s="1"/>
  <c r="DD11" i="2"/>
  <c r="BY11" i="2"/>
  <c r="BY15" i="2" s="1"/>
  <c r="BU88" i="3"/>
  <c r="BW55" i="3"/>
  <c r="BW59" i="3"/>
  <c r="BV57" i="3"/>
  <c r="BL19" i="2"/>
  <c r="BL80" i="2"/>
  <c r="BP95" i="2" s="1"/>
  <c r="BL105" i="4"/>
  <c r="BL106" i="4" s="1"/>
  <c r="BL15" i="2"/>
  <c r="BW127" i="3"/>
  <c r="EX128" i="329"/>
  <c r="EX129" i="329" s="1"/>
  <c r="EX134" i="329" s="1"/>
  <c r="FE123" i="2"/>
  <c r="CK69" i="2"/>
  <c r="CK67" i="2" s="1"/>
  <c r="CO69" i="2"/>
  <c r="CO67" i="2" s="1"/>
  <c r="CN124" i="4"/>
  <c r="AC20" i="4"/>
  <c r="AB27" i="4"/>
  <c r="AB28" i="4"/>
  <c r="BT12" i="2"/>
  <c r="BU10" i="4"/>
  <c r="BU12" i="2" s="1"/>
  <c r="AY42" i="4"/>
  <c r="AY98" i="4" s="1"/>
  <c r="AY99" i="4" s="1"/>
  <c r="AY63" i="4"/>
  <c r="DQ29" i="4"/>
  <c r="DQ42" i="4" s="1"/>
  <c r="W63" i="4"/>
  <c r="W42" i="4"/>
  <c r="BA33" i="4"/>
  <c r="BA40" i="4" s="1"/>
  <c r="AZ40" i="4"/>
  <c r="AB123" i="4"/>
  <c r="AB40" i="4"/>
  <c r="AC32" i="4"/>
  <c r="CG20" i="4"/>
  <c r="D112" i="3"/>
  <c r="D114" i="3" s="1"/>
  <c r="CZ80" i="2"/>
  <c r="CN105" i="4"/>
  <c r="CZ15" i="2"/>
  <c r="CZ19" i="2"/>
  <c r="BC63" i="4"/>
  <c r="AW28" i="4"/>
  <c r="BQ45" i="4"/>
  <c r="BP117" i="4"/>
  <c r="BH11" i="2"/>
  <c r="BH80" i="2" s="1"/>
  <c r="BI9" i="4"/>
  <c r="AY105" i="4"/>
  <c r="AY80" i="2"/>
  <c r="AY19" i="2"/>
  <c r="AY15" i="2"/>
  <c r="AF11" i="2"/>
  <c r="BZ118" i="4"/>
  <c r="CA47" i="4"/>
  <c r="BZ49" i="4"/>
  <c r="AI42" i="4"/>
  <c r="AI63" i="4"/>
  <c r="T81" i="2"/>
  <c r="X110" i="2"/>
  <c r="T20" i="2"/>
  <c r="T110" i="2"/>
  <c r="L81" i="2"/>
  <c r="L20" i="2"/>
  <c r="L110" i="2"/>
  <c r="CN12" i="2"/>
  <c r="ET12" i="2" s="1"/>
  <c r="ES12" i="2"/>
  <c r="CC117" i="4"/>
  <c r="DQ63" i="4"/>
  <c r="AW29" i="4"/>
  <c r="AW42" i="4" s="1"/>
  <c r="AW98" i="4" s="1"/>
  <c r="AW99" i="4" s="1"/>
  <c r="CG28" i="4"/>
  <c r="BU123" i="4"/>
  <c r="AW47" i="4"/>
  <c r="AW118" i="4" s="1"/>
  <c r="AV118" i="4"/>
  <c r="CO45" i="4"/>
  <c r="CO117" i="4" s="1"/>
  <c r="CN117" i="4"/>
  <c r="AJ117" i="4"/>
  <c r="AK45" i="4"/>
  <c r="AK117" i="4" s="1"/>
  <c r="CM11" i="2"/>
  <c r="CA105" i="4"/>
  <c r="CI19" i="2"/>
  <c r="CI15" i="2"/>
  <c r="CI80" i="2"/>
  <c r="BG19" i="2"/>
  <c r="BG15" i="2"/>
  <c r="BG105" i="4"/>
  <c r="BG80" i="2"/>
  <c r="AQ105" i="4"/>
  <c r="AQ19" i="2"/>
  <c r="AQ80" i="2"/>
  <c r="AQ15" i="2"/>
  <c r="AG9" i="4"/>
  <c r="CN95" i="4"/>
  <c r="CJ95" i="4"/>
  <c r="CK93" i="4"/>
  <c r="EI93" i="4" s="1"/>
  <c r="DL40" i="4"/>
  <c r="DL63" i="4" s="1"/>
  <c r="DL64" i="4" s="1"/>
  <c r="C63" i="4"/>
  <c r="C64" i="4" s="1"/>
  <c r="D62" i="4" s="1"/>
  <c r="D64" i="4" s="1"/>
  <c r="E62" i="4" s="1"/>
  <c r="E64" i="4" s="1"/>
  <c r="F62" i="4" s="1"/>
  <c r="BM20" i="4"/>
  <c r="BL27" i="4"/>
  <c r="BL28" i="4"/>
  <c r="P81" i="2"/>
  <c r="P110" i="2"/>
  <c r="P20" i="2"/>
  <c r="L95" i="2"/>
  <c r="H110" i="2"/>
  <c r="H81" i="2"/>
  <c r="H96" i="2" s="1"/>
  <c r="AB15" i="2"/>
  <c r="AB19" i="2"/>
  <c r="AB105" i="4"/>
  <c r="AB80" i="2"/>
  <c r="AB95" i="2" s="1"/>
  <c r="AA63" i="4"/>
  <c r="BP54" i="4"/>
  <c r="BY48" i="4"/>
  <c r="BY117" i="4" s="1"/>
  <c r="BX117" i="4"/>
  <c r="CJ69" i="2"/>
  <c r="CN69" i="2"/>
  <c r="CR29" i="4"/>
  <c r="CR42" i="4" s="1"/>
  <c r="CR98" i="4" s="1"/>
  <c r="CR99" i="4" s="1"/>
  <c r="CR28" i="4"/>
  <c r="CJ11" i="2"/>
  <c r="CC9" i="4"/>
  <c r="CA12" i="2"/>
  <c r="BS80" i="2"/>
  <c r="BS105" i="4"/>
  <c r="BS15" i="2"/>
  <c r="BS19" i="2"/>
  <c r="BS110" i="2" s="1"/>
  <c r="BA9" i="4"/>
  <c r="AZ11" i="2"/>
  <c r="AQ63" i="4"/>
  <c r="AQ42" i="4"/>
  <c r="AQ98" i="4" s="1"/>
  <c r="AQ99" i="4" s="1"/>
  <c r="AE15" i="2"/>
  <c r="AE80" i="2"/>
  <c r="AE105" i="4"/>
  <c r="AE19" i="2"/>
  <c r="CV68" i="2"/>
  <c r="CV59" i="2"/>
  <c r="CV60" i="2" s="1"/>
  <c r="CA95" i="4"/>
  <c r="CE95" i="4"/>
  <c r="EG93" i="4"/>
  <c r="AC45" i="4"/>
  <c r="AB117" i="4"/>
  <c r="AB54" i="4"/>
  <c r="EI98" i="4"/>
  <c r="T95" i="2"/>
  <c r="P95" i="2"/>
  <c r="AC11" i="2"/>
  <c r="DS124" i="3"/>
  <c r="BW66" i="3"/>
  <c r="BW67" i="3"/>
  <c r="BW78" i="3"/>
  <c r="BW71" i="3"/>
  <c r="BX67" i="3"/>
  <c r="BX78" i="3"/>
  <c r="BX189" i="2"/>
  <c r="BN127" i="3"/>
  <c r="BL59" i="3"/>
  <c r="BR88" i="3"/>
  <c r="BT82" i="2"/>
  <c r="CH93" i="2"/>
  <c r="DU82" i="2"/>
  <c r="DU111" i="2"/>
  <c r="FC179" i="2"/>
  <c r="BT60" i="3"/>
  <c r="BT57" i="3"/>
  <c r="ER60" i="2"/>
  <c r="ER61" i="2" s="1"/>
  <c r="ER64" i="2" s="1"/>
  <c r="EK109" i="2"/>
  <c r="BT50" i="3"/>
  <c r="BT81" i="3" s="1"/>
  <c r="BT84" i="3" s="1"/>
  <c r="BR230" i="2"/>
  <c r="BU57" i="3"/>
  <c r="EH60" i="2"/>
  <c r="AE97" i="2"/>
  <c r="F97" i="2"/>
  <c r="EE132" i="2"/>
  <c r="BX229" i="2"/>
  <c r="BN55" i="3"/>
  <c r="BN50" i="3"/>
  <c r="BN81" i="3" s="1"/>
  <c r="BN84" i="3" s="1"/>
  <c r="EV212" i="2"/>
  <c r="BT83" i="2"/>
  <c r="BN60" i="3"/>
  <c r="BM57" i="3"/>
  <c r="R95" i="2"/>
  <c r="CH99" i="2"/>
  <c r="DU20" i="2"/>
  <c r="DU84" i="2" s="1"/>
  <c r="BU56" i="3"/>
  <c r="BS55" i="3"/>
  <c r="BS60" i="3"/>
  <c r="CP80" i="2"/>
  <c r="CP95" i="2" s="1"/>
  <c r="BU50" i="3"/>
  <c r="BU81" i="3" s="1"/>
  <c r="BU84" i="3" s="1"/>
  <c r="BS127" i="3"/>
  <c r="BB95" i="2"/>
  <c r="BR160" i="2"/>
  <c r="BR189" i="2" s="1"/>
  <c r="EO214" i="2"/>
  <c r="FC180" i="2"/>
  <c r="EI60" i="2"/>
  <c r="AD86" i="2"/>
  <c r="AH113" i="2"/>
  <c r="Y97" i="2"/>
  <c r="ED82" i="2"/>
  <c r="DR104" i="4"/>
  <c r="ED25" i="2"/>
  <c r="DR111" i="3"/>
  <c r="ED132" i="2"/>
  <c r="AK112" i="3"/>
  <c r="AK114" i="3" s="1"/>
  <c r="AK84" i="2"/>
  <c r="CD102" i="3"/>
  <c r="BN56" i="3"/>
  <c r="BL127" i="3"/>
  <c r="BT25" i="2"/>
  <c r="BT87" i="2" s="1"/>
  <c r="BM50" i="3"/>
  <c r="BM81" i="3" s="1"/>
  <c r="BM84" i="3" s="1"/>
  <c r="DV111" i="2"/>
  <c r="BT55" i="3"/>
  <c r="DY102" i="3"/>
  <c r="DY58" i="3" s="1"/>
  <c r="CS214" i="2"/>
  <c r="EX59" i="2"/>
  <c r="DR112" i="2"/>
  <c r="M86" i="2"/>
  <c r="M30" i="2"/>
  <c r="M87" i="2"/>
  <c r="EP41" i="329"/>
  <c r="CH23" i="329"/>
  <c r="ES23" i="329" s="1"/>
  <c r="ES14" i="329" s="1"/>
  <c r="CP23" i="329" s="1"/>
  <c r="EU23" i="329" s="1"/>
  <c r="EU14" i="329" s="1"/>
  <c r="EV14" i="329" s="1"/>
  <c r="AT83" i="2"/>
  <c r="CA158" i="2"/>
  <c r="CA25" i="2"/>
  <c r="CA86" i="2" s="1"/>
  <c r="BW332" i="329"/>
  <c r="BC87" i="2"/>
  <c r="BP25" i="2"/>
  <c r="BP113" i="2" s="1"/>
  <c r="AR63" i="4"/>
  <c r="BP63" i="4"/>
  <c r="DM63" i="4"/>
  <c r="K84" i="2"/>
  <c r="CC40" i="4"/>
  <c r="CG54" i="4"/>
  <c r="CN63" i="4"/>
  <c r="EH45" i="4"/>
  <c r="CG117" i="4"/>
  <c r="AB63" i="4"/>
  <c r="AB42" i="4"/>
  <c r="DQ77" i="3"/>
  <c r="DQ76" i="3"/>
  <c r="DM77" i="3"/>
  <c r="DM74" i="3"/>
  <c r="DM122" i="3" s="1"/>
  <c r="DM124" i="3" s="1"/>
  <c r="DM76" i="3"/>
  <c r="BI123" i="3"/>
  <c r="BH123" i="3"/>
  <c r="DS127" i="3"/>
  <c r="DS71" i="3"/>
  <c r="DM127" i="3"/>
  <c r="DM71" i="3"/>
  <c r="AL123" i="3"/>
  <c r="BX68" i="3"/>
  <c r="EA76" i="3"/>
  <c r="EA74" i="3"/>
  <c r="EA122" i="3" s="1"/>
  <c r="EA35" i="3"/>
  <c r="EA44" i="3" s="1"/>
  <c r="EA45" i="3" s="1"/>
  <c r="EA77" i="3"/>
  <c r="AX45" i="3"/>
  <c r="AX71" i="3"/>
  <c r="DQ74" i="3"/>
  <c r="DQ122" i="3" s="1"/>
  <c r="DN124" i="3"/>
  <c r="DQ21" i="3"/>
  <c r="Y71" i="3"/>
  <c r="Y127" i="3"/>
  <c r="DT74" i="3"/>
  <c r="DT122" i="3" s="1"/>
  <c r="DT76" i="3"/>
  <c r="DT77" i="3"/>
  <c r="J123" i="3"/>
  <c r="I124" i="3"/>
  <c r="DZ35" i="3"/>
  <c r="DZ44" i="3" s="1"/>
  <c r="DZ45" i="3" s="1"/>
  <c r="DZ74" i="3"/>
  <c r="DZ122" i="3" s="1"/>
  <c r="DZ123" i="3" s="1"/>
  <c r="DZ77" i="3"/>
  <c r="DZ76" i="3"/>
  <c r="DR68" i="3"/>
  <c r="EG71" i="3"/>
  <c r="AU123" i="3"/>
  <c r="BR68" i="3"/>
  <c r="DQ68" i="3"/>
  <c r="N91" i="3"/>
  <c r="N92" i="3" s="1"/>
  <c r="N93" i="3"/>
  <c r="N94" i="3" s="1"/>
  <c r="CU107" i="329"/>
  <c r="CY110" i="329" s="1"/>
  <c r="CU164" i="2"/>
  <c r="DT93" i="329"/>
  <c r="CO292" i="329"/>
  <c r="BN88" i="3"/>
  <c r="CQ127" i="3"/>
  <c r="DC175" i="2"/>
  <c r="CH94" i="2"/>
  <c r="BW344" i="329"/>
  <c r="N379" i="329"/>
  <c r="CH91" i="3"/>
  <c r="CR187" i="329"/>
  <c r="CR156" i="329"/>
  <c r="DB307" i="329"/>
  <c r="CV177" i="329"/>
  <c r="ED126" i="329"/>
  <c r="BW350" i="329"/>
  <c r="EC126" i="329"/>
  <c r="EW338" i="329"/>
  <c r="EW361" i="329" s="1"/>
  <c r="BT299" i="329"/>
  <c r="CS201" i="2"/>
  <c r="CT199" i="2"/>
  <c r="CT170" i="2"/>
  <c r="CW200" i="2"/>
  <c r="CW217" i="2" s="1"/>
  <c r="CW170" i="2"/>
  <c r="CW201" i="2" s="1"/>
  <c r="DA238" i="2"/>
  <c r="DD213" i="2"/>
  <c r="DT136" i="2"/>
  <c r="DU136" i="2"/>
  <c r="CY110" i="2"/>
  <c r="BJ189" i="2"/>
  <c r="EV169" i="2"/>
  <c r="EV200" i="2" s="1"/>
  <c r="CA227" i="2"/>
  <c r="CA169" i="2"/>
  <c r="CA200" i="2" s="1"/>
  <c r="BJ168" i="2"/>
  <c r="BJ170" i="2" s="1"/>
  <c r="CW238" i="2"/>
  <c r="BL130" i="3"/>
  <c r="CW8" i="2"/>
  <c r="CW9" i="2" s="1"/>
  <c r="AZ58" i="3"/>
  <c r="EV222" i="2"/>
  <c r="EU176" i="2"/>
  <c r="EW152" i="2"/>
  <c r="EW176" i="2" s="1"/>
  <c r="CU213" i="2"/>
  <c r="CD17" i="2"/>
  <c r="CA101" i="3"/>
  <c r="CA51" i="3" s="1"/>
  <c r="CA82" i="3" s="1"/>
  <c r="CI9" i="2"/>
  <c r="BK222" i="2"/>
  <c r="EM152" i="2"/>
  <c r="EM176" i="2" s="1"/>
  <c r="BI227" i="2"/>
  <c r="BE155" i="2"/>
  <c r="BO155" i="2"/>
  <c r="BS227" i="2"/>
  <c r="DZ51" i="3"/>
  <c r="DZ82" i="3" s="1"/>
  <c r="DZ130" i="3"/>
  <c r="AN111" i="3"/>
  <c r="AN25" i="2"/>
  <c r="AN30" i="2" s="1"/>
  <c r="CN60" i="3"/>
  <c r="CO127" i="3"/>
  <c r="BT88" i="3"/>
  <c r="BS56" i="3"/>
  <c r="BS57" i="3"/>
  <c r="BS50" i="3"/>
  <c r="BS81" i="3" s="1"/>
  <c r="BS84" i="3" s="1"/>
  <c r="CD92" i="2"/>
  <c r="CD128" i="2" s="1"/>
  <c r="EO60" i="2"/>
  <c r="EO61" i="2" s="1"/>
  <c r="EO64" i="2" s="1"/>
  <c r="EN60" i="2"/>
  <c r="EK214" i="2"/>
  <c r="EH23" i="4"/>
  <c r="AK8" i="4"/>
  <c r="AK29" i="4" s="1"/>
  <c r="DT29" i="4" s="1"/>
  <c r="BI123" i="4"/>
  <c r="BE27" i="4"/>
  <c r="BE28" i="4"/>
  <c r="CO28" i="4"/>
  <c r="CO29" i="4"/>
  <c r="CO42" i="4" s="1"/>
  <c r="CO98" i="4" s="1"/>
  <c r="AG27" i="4"/>
  <c r="AG28" i="4"/>
  <c r="U84" i="2"/>
  <c r="V95" i="2"/>
  <c r="BF95" i="2"/>
  <c r="BE123" i="4"/>
  <c r="BE40" i="4"/>
  <c r="EK117" i="4"/>
  <c r="CR117" i="4"/>
  <c r="CR54" i="4"/>
  <c r="CF123" i="4"/>
  <c r="CF40" i="4"/>
  <c r="CF63" i="4" s="1"/>
  <c r="CG32" i="4"/>
  <c r="CG123" i="4" s="1"/>
  <c r="AF123" i="4"/>
  <c r="AG32" i="4"/>
  <c r="AF40" i="4"/>
  <c r="AF63" i="4" s="1"/>
  <c r="CK123" i="4"/>
  <c r="CK14" i="3"/>
  <c r="AW123" i="4"/>
  <c r="BI40" i="4"/>
  <c r="AF42" i="4"/>
  <c r="DA70" i="2"/>
  <c r="EW70" i="2" s="1"/>
  <c r="EW69" i="2"/>
  <c r="CW19" i="2"/>
  <c r="EV11" i="2"/>
  <c r="CK105" i="4"/>
  <c r="BD64" i="329"/>
  <c r="BD65" i="329"/>
  <c r="BE63" i="329"/>
  <c r="CE157" i="2"/>
  <c r="CE227" i="2" s="1"/>
  <c r="EJ118" i="2"/>
  <c r="DN93" i="3"/>
  <c r="DN94" i="3" s="1"/>
  <c r="DN132" i="3"/>
  <c r="CG331" i="329"/>
  <c r="DW136" i="2"/>
  <c r="DU132" i="2"/>
  <c r="DS91" i="2"/>
  <c r="DS127" i="2" s="1"/>
  <c r="BV95" i="2"/>
  <c r="CX92" i="2"/>
  <c r="BV94" i="2"/>
  <c r="EO9" i="2"/>
  <c r="EO76" i="2" s="1"/>
  <c r="BR92" i="2"/>
  <c r="BR128" i="2" s="1"/>
  <c r="BV355" i="329"/>
  <c r="F94" i="329"/>
  <c r="F98" i="329" s="1"/>
  <c r="AL107" i="329"/>
  <c r="AP110" i="329" s="1"/>
  <c r="AP122" i="329" s="1"/>
  <c r="E94" i="329"/>
  <c r="D105" i="329"/>
  <c r="D96" i="329"/>
  <c r="C92" i="329"/>
  <c r="D94" i="329" s="1"/>
  <c r="EV326" i="329"/>
  <c r="CA187" i="2"/>
  <c r="CA210" i="2" s="1"/>
  <c r="EX135" i="329"/>
  <c r="CR245" i="329"/>
  <c r="BX307" i="329"/>
  <c r="BW300" i="329"/>
  <c r="EW135" i="329"/>
  <c r="EW134" i="329"/>
  <c r="BR94" i="2"/>
  <c r="BH210" i="2"/>
  <c r="CH356" i="329"/>
  <c r="CX214" i="2"/>
  <c r="BW347" i="329"/>
  <c r="BW348" i="329" s="1"/>
  <c r="CB160" i="329"/>
  <c r="EW334" i="329"/>
  <c r="EW360" i="329" s="1"/>
  <c r="DX103" i="329"/>
  <c r="BO227" i="2"/>
  <c r="EP177" i="2"/>
  <c r="EO308" i="329"/>
  <c r="EP309" i="329" s="1"/>
  <c r="BV297" i="329"/>
  <c r="EV135" i="329"/>
  <c r="EV134" i="329"/>
  <c r="K135" i="2"/>
  <c r="K136" i="2" s="1"/>
  <c r="L135" i="2"/>
  <c r="L136" i="2" s="1"/>
  <c r="K389" i="329"/>
  <c r="AA390" i="329"/>
  <c r="AA112" i="4"/>
  <c r="FC186" i="2"/>
  <c r="FC183" i="2" s="1"/>
  <c r="FC209" i="2" s="1"/>
  <c r="FC245" i="2" s="1"/>
  <c r="CA108" i="2"/>
  <c r="BS108" i="2"/>
  <c r="BO17" i="2"/>
  <c r="EN9" i="2"/>
  <c r="EN17" i="2" s="1"/>
  <c r="BO76" i="2"/>
  <c r="BO80" i="2"/>
  <c r="BO103" i="4"/>
  <c r="CP412" i="329"/>
  <c r="BE227" i="2"/>
  <c r="CH76" i="2"/>
  <c r="EM9" i="2"/>
  <c r="DZ133" i="3" s="1"/>
  <c r="CQ200" i="2"/>
  <c r="CU217" i="2" s="1"/>
  <c r="AX95" i="2"/>
  <c r="AP95" i="2"/>
  <c r="BR76" i="2"/>
  <c r="BO222" i="2"/>
  <c r="BR17" i="2"/>
  <c r="CO214" i="2"/>
  <c r="CP85" i="2"/>
  <c r="CT99" i="2" s="1"/>
  <c r="CP79" i="2"/>
  <c r="BO108" i="2"/>
  <c r="BE187" i="2"/>
  <c r="FF119" i="2"/>
  <c r="BR108" i="2"/>
  <c r="EN7" i="2"/>
  <c r="CP78" i="2"/>
  <c r="CP93" i="2" s="1"/>
  <c r="CW213" i="2"/>
  <c r="BO214" i="2"/>
  <c r="CS355" i="329"/>
  <c r="EU354" i="329"/>
  <c r="DA299" i="329"/>
  <c r="DA300" i="329" s="1"/>
  <c r="CS330" i="329"/>
  <c r="CS334" i="329"/>
  <c r="DA308" i="329"/>
  <c r="DA309" i="329" s="1"/>
  <c r="BW305" i="329"/>
  <c r="CS342" i="329"/>
  <c r="CO293" i="329"/>
  <c r="CG102" i="3"/>
  <c r="EH118" i="2"/>
  <c r="EH122" i="2"/>
  <c r="EG122" i="2"/>
  <c r="EG118" i="2"/>
  <c r="AO103" i="4"/>
  <c r="AO9" i="2"/>
  <c r="AO81" i="2"/>
  <c r="AO96" i="2" s="1"/>
  <c r="AO77" i="2"/>
  <c r="AO92" i="2" s="1"/>
  <c r="AO78" i="2"/>
  <c r="AO93" i="2" s="1"/>
  <c r="EG7" i="2"/>
  <c r="EG407" i="329" s="1"/>
  <c r="AO410" i="329"/>
  <c r="AO107" i="2"/>
  <c r="AO80" i="2"/>
  <c r="AO95" i="2" s="1"/>
  <c r="AO85" i="2"/>
  <c r="AO99" i="2" s="1"/>
  <c r="AO100" i="3"/>
  <c r="AO50" i="3" s="1"/>
  <c r="AO81" i="3" s="1"/>
  <c r="AO84" i="3" s="1"/>
  <c r="AO79" i="2"/>
  <c r="AO94" i="2" s="1"/>
  <c r="EE149" i="2"/>
  <c r="EE411" i="329"/>
  <c r="EE410" i="329"/>
  <c r="EL326" i="329"/>
  <c r="AW374" i="329"/>
  <c r="AW245" i="329"/>
  <c r="BO168" i="329"/>
  <c r="BO169" i="329" s="1"/>
  <c r="BO164" i="329"/>
  <c r="BO156" i="329"/>
  <c r="BS177" i="329"/>
  <c r="BO177" i="329"/>
  <c r="BO160" i="329"/>
  <c r="BO152" i="329"/>
  <c r="BS153" i="329" s="1"/>
  <c r="BI214" i="2"/>
  <c r="DV104" i="329"/>
  <c r="AT91" i="2"/>
  <c r="AT127" i="2" s="1"/>
  <c r="CC172" i="329"/>
  <c r="CR350" i="329"/>
  <c r="BK151" i="2"/>
  <c r="BK176" i="2"/>
  <c r="DC212" i="2"/>
  <c r="BE100" i="3"/>
  <c r="BE77" i="2"/>
  <c r="BE9" i="2"/>
  <c r="EK9" i="2" s="1"/>
  <c r="DX133" i="3" s="1"/>
  <c r="BE78" i="2"/>
  <c r="BI107" i="2"/>
  <c r="BE79" i="2"/>
  <c r="EK7" i="2"/>
  <c r="BE85" i="2"/>
  <c r="BE107" i="2"/>
  <c r="BE410" i="329"/>
  <c r="BE103" i="4"/>
  <c r="EJ295" i="329"/>
  <c r="EJ244" i="329"/>
  <c r="BA296" i="329"/>
  <c r="AW296" i="329"/>
  <c r="CC292" i="329"/>
  <c r="CC306" i="329" s="1"/>
  <c r="CB292" i="329"/>
  <c r="CB306" i="329" s="1"/>
  <c r="CQ187" i="329"/>
  <c r="CQ168" i="329"/>
  <c r="CQ169" i="329" s="1"/>
  <c r="CQ156" i="329"/>
  <c r="CQ160" i="329"/>
  <c r="CQ161" i="329" s="1"/>
  <c r="AL244" i="329"/>
  <c r="AL295" i="329"/>
  <c r="CY339" i="329"/>
  <c r="DC340" i="329" s="1"/>
  <c r="AH382" i="329"/>
  <c r="AW100" i="3"/>
  <c r="AY56" i="3" s="1"/>
  <c r="AW103" i="4"/>
  <c r="AW77" i="2"/>
  <c r="AW85" i="2"/>
  <c r="AW9" i="2"/>
  <c r="EI7" i="2"/>
  <c r="EI407" i="329" s="1"/>
  <c r="AW79" i="2"/>
  <c r="AW410" i="329"/>
  <c r="AW78" i="2"/>
  <c r="AW107" i="2"/>
  <c r="AS103" i="4"/>
  <c r="AS77" i="2"/>
  <c r="AS100" i="3"/>
  <c r="AS9" i="2"/>
  <c r="AS107" i="2"/>
  <c r="AS79" i="2"/>
  <c r="AS410" i="329"/>
  <c r="AS78" i="2"/>
  <c r="AS85" i="2"/>
  <c r="EQ324" i="329"/>
  <c r="EQ308" i="329"/>
  <c r="BR342" i="329"/>
  <c r="BV343" i="329" s="1"/>
  <c r="EO354" i="329"/>
  <c r="EP355" i="329" s="1"/>
  <c r="BR330" i="329"/>
  <c r="EO330" i="329" s="1"/>
  <c r="EO359" i="329" s="1"/>
  <c r="BR346" i="329"/>
  <c r="BR355" i="329"/>
  <c r="BR356" i="329" s="1"/>
  <c r="BR338" i="329"/>
  <c r="EO338" i="329" s="1"/>
  <c r="BR334" i="329"/>
  <c r="BF338" i="329"/>
  <c r="BF346" i="329"/>
  <c r="BF334" i="329"/>
  <c r="BF342" i="329"/>
  <c r="BF330" i="329"/>
  <c r="BA245" i="329"/>
  <c r="BA374" i="329"/>
  <c r="BE375" i="329" s="1"/>
  <c r="BR299" i="329"/>
  <c r="BR308" i="329"/>
  <c r="BV309" i="329" s="1"/>
  <c r="CG292" i="329"/>
  <c r="CG306" i="329" s="1"/>
  <c r="CG293" i="329"/>
  <c r="BH78" i="2"/>
  <c r="BH100" i="3"/>
  <c r="BJ60" i="3" s="1"/>
  <c r="BL107" i="2"/>
  <c r="EL7" i="2"/>
  <c r="BH85" i="2"/>
  <c r="BH79" i="2"/>
  <c r="BH94" i="2" s="1"/>
  <c r="BH9" i="2"/>
  <c r="EL9" i="2" s="1"/>
  <c r="DY133" i="3" s="1"/>
  <c r="BH107" i="2"/>
  <c r="BH410" i="329"/>
  <c r="BH77" i="2"/>
  <c r="CE152" i="329"/>
  <c r="CM153" i="329" s="1"/>
  <c r="CE164" i="329"/>
  <c r="CM165" i="329" s="1"/>
  <c r="CE168" i="329"/>
  <c r="CI169" i="329" s="1"/>
  <c r="CE156" i="329"/>
  <c r="CE160" i="329"/>
  <c r="CE177" i="329"/>
  <c r="CI178" i="329" s="1"/>
  <c r="CE187" i="329"/>
  <c r="BW152" i="329"/>
  <c r="BW153" i="329" s="1"/>
  <c r="BW164" i="329"/>
  <c r="BW187" i="329"/>
  <c r="BW168" i="329"/>
  <c r="BW160" i="329"/>
  <c r="BW156" i="329"/>
  <c r="BM93" i="329"/>
  <c r="BI105" i="329"/>
  <c r="BK187" i="2"/>
  <c r="BK227" i="2"/>
  <c r="BK155" i="2"/>
  <c r="BK225" i="2" s="1"/>
  <c r="CU105" i="329"/>
  <c r="EN157" i="2"/>
  <c r="EN227" i="2" s="1"/>
  <c r="EB87" i="4"/>
  <c r="EN149" i="2"/>
  <c r="EN177" i="2"/>
  <c r="BI390" i="329"/>
  <c r="BI112" i="4"/>
  <c r="BA410" i="329"/>
  <c r="BA85" i="2"/>
  <c r="BA78" i="2"/>
  <c r="EJ7" i="2"/>
  <c r="BA79" i="2"/>
  <c r="BA103" i="4"/>
  <c r="BA107" i="2"/>
  <c r="BA77" i="2"/>
  <c r="BA100" i="3"/>
  <c r="BC59" i="3" s="1"/>
  <c r="BA9" i="2"/>
  <c r="EJ9" i="2" s="1"/>
  <c r="DW133" i="3" s="1"/>
  <c r="CP330" i="329"/>
  <c r="CT331" i="329" s="1"/>
  <c r="CP334" i="329"/>
  <c r="CP338" i="329"/>
  <c r="CT339" i="329" s="1"/>
  <c r="CX340" i="329" s="1"/>
  <c r="CP346" i="329"/>
  <c r="CP347" i="329" s="1"/>
  <c r="CP342" i="329"/>
  <c r="CT355" i="329"/>
  <c r="CT356" i="329" s="1"/>
  <c r="BJ338" i="329"/>
  <c r="BN339" i="329" s="1"/>
  <c r="BJ330" i="329"/>
  <c r="BJ334" i="329"/>
  <c r="BJ355" i="329"/>
  <c r="BN356" i="329" s="1"/>
  <c r="BJ342" i="329"/>
  <c r="BJ346" i="329"/>
  <c r="EM354" i="329"/>
  <c r="BL214" i="2"/>
  <c r="BH214" i="2"/>
  <c r="CU168" i="329"/>
  <c r="CU164" i="329"/>
  <c r="CU187" i="329"/>
  <c r="CU177" i="329"/>
  <c r="CU178" i="329" s="1"/>
  <c r="CQ126" i="329"/>
  <c r="EU125" i="329"/>
  <c r="CA156" i="329"/>
  <c r="CA157" i="329" s="1"/>
  <c r="CA160" i="329"/>
  <c r="CA152" i="329"/>
  <c r="CA153" i="329" s="1"/>
  <c r="CA177" i="329"/>
  <c r="CA164" i="329"/>
  <c r="CA168" i="329"/>
  <c r="BO77" i="2"/>
  <c r="CA107" i="2"/>
  <c r="CA128" i="2" s="1"/>
  <c r="BO100" i="3"/>
  <c r="BO88" i="3" s="1"/>
  <c r="BO78" i="2"/>
  <c r="BS93" i="2" s="1"/>
  <c r="BS107" i="2"/>
  <c r="BO79" i="2"/>
  <c r="BS94" i="2" s="1"/>
  <c r="BO107" i="2"/>
  <c r="BO85" i="2"/>
  <c r="CU161" i="329"/>
  <c r="EJ60" i="2"/>
  <c r="EL60" i="2"/>
  <c r="ED60" i="2"/>
  <c r="EE60" i="2"/>
  <c r="EC60" i="2"/>
  <c r="FC184" i="2"/>
  <c r="FD185" i="2"/>
  <c r="FD212" i="2"/>
  <c r="FF191" i="2"/>
  <c r="FF192" i="2" s="1"/>
  <c r="FC194" i="2"/>
  <c r="FD195" i="2"/>
  <c r="FC196" i="2"/>
  <c r="FC193" i="2" s="1"/>
  <c r="FC213" i="2" s="1"/>
  <c r="FC246" i="2" s="1"/>
  <c r="FE192" i="2"/>
  <c r="FE189" i="2" s="1"/>
  <c r="FE212" i="2" s="1"/>
  <c r="FE190" i="2"/>
  <c r="EI126" i="329"/>
  <c r="CQ342" i="329"/>
  <c r="CQ334" i="329"/>
  <c r="CU335" i="329" s="1"/>
  <c r="CQ355" i="329"/>
  <c r="CV343" i="329"/>
  <c r="CR347" i="329"/>
  <c r="CR348" i="329" s="1"/>
  <c r="EK187" i="2"/>
  <c r="EK210" i="2" s="1"/>
  <c r="EL227" i="2"/>
  <c r="EK227" i="2"/>
  <c r="CR331" i="329"/>
  <c r="CX350" i="329"/>
  <c r="EL214" i="2"/>
  <c r="AI372" i="329"/>
  <c r="CV77" i="2"/>
  <c r="CJ103" i="4"/>
  <c r="CV78" i="2"/>
  <c r="CV107" i="2"/>
  <c r="CV412" i="329"/>
  <c r="CJ100" i="3"/>
  <c r="CR343" i="329"/>
  <c r="CU221" i="2"/>
  <c r="CY350" i="329"/>
  <c r="I104" i="329"/>
  <c r="CL356" i="329"/>
  <c r="EH126" i="329"/>
  <c r="AI49" i="329"/>
  <c r="BV371" i="329"/>
  <c r="BV372" i="329" s="1"/>
  <c r="BV87" i="329"/>
  <c r="BZ88" i="329" s="1"/>
  <c r="BU176" i="2"/>
  <c r="BU151" i="2"/>
  <c r="ET355" i="329"/>
  <c r="DW374" i="329"/>
  <c r="DX375" i="329" s="1"/>
  <c r="DW92" i="329"/>
  <c r="CV178" i="329"/>
  <c r="BK172" i="329"/>
  <c r="DI187" i="329"/>
  <c r="EO148" i="329"/>
  <c r="CO177" i="329"/>
  <c r="CO187" i="329"/>
  <c r="CO160" i="329"/>
  <c r="CO164" i="329"/>
  <c r="CO156" i="329"/>
  <c r="CO168" i="329"/>
  <c r="CO152" i="329"/>
  <c r="CG160" i="329"/>
  <c r="CG168" i="329"/>
  <c r="CK169" i="329" s="1"/>
  <c r="CG164" i="329"/>
  <c r="CG177" i="329"/>
  <c r="CG156" i="329"/>
  <c r="CG157" i="329" s="1"/>
  <c r="CG152" i="329"/>
  <c r="CG153" i="329" s="1"/>
  <c r="CG187" i="329"/>
  <c r="BY152" i="329"/>
  <c r="BY164" i="329"/>
  <c r="BY177" i="329"/>
  <c r="BY187" i="329"/>
  <c r="BY160" i="329"/>
  <c r="BY168" i="329"/>
  <c r="BY156" i="329"/>
  <c r="BQ168" i="329"/>
  <c r="CC169" i="329" s="1"/>
  <c r="BQ156" i="329"/>
  <c r="CC157" i="329" s="1"/>
  <c r="BQ177" i="329"/>
  <c r="BQ164" i="329"/>
  <c r="CC165" i="329" s="1"/>
  <c r="BQ160" i="329"/>
  <c r="CC161" i="329" s="1"/>
  <c r="BQ152" i="329"/>
  <c r="BQ116" i="329"/>
  <c r="BQ176" i="2"/>
  <c r="BQ222" i="2"/>
  <c r="BQ151" i="2"/>
  <c r="BU222" i="2"/>
  <c r="CC222" i="2"/>
  <c r="CR238" i="2"/>
  <c r="CR200" i="2"/>
  <c r="CV217" i="2" s="1"/>
  <c r="CP107" i="2"/>
  <c r="CD103" i="4"/>
  <c r="CT107" i="2"/>
  <c r="CP77" i="2"/>
  <c r="CD100" i="3"/>
  <c r="CP81" i="2"/>
  <c r="CT96" i="2" s="1"/>
  <c r="EU7" i="2"/>
  <c r="CH304" i="329"/>
  <c r="CH305" i="329" s="1"/>
  <c r="CH291" i="329"/>
  <c r="CH293" i="329"/>
  <c r="CI293" i="329"/>
  <c r="CH292" i="329"/>
  <c r="CH306" i="329" s="1"/>
  <c r="CH307" i="329" s="1"/>
  <c r="CH299" i="329"/>
  <c r="CE331" i="329"/>
  <c r="CM332" i="329" s="1"/>
  <c r="CA331" i="329"/>
  <c r="CA332" i="329" s="1"/>
  <c r="AF49" i="329"/>
  <c r="DD123" i="2"/>
  <c r="DD119" i="2"/>
  <c r="BR83" i="329"/>
  <c r="EA141" i="329"/>
  <c r="EB142" i="329"/>
  <c r="CK156" i="329"/>
  <c r="CK177" i="329"/>
  <c r="CK187" i="329"/>
  <c r="CK152" i="329"/>
  <c r="BM105" i="329"/>
  <c r="BM126" i="329"/>
  <c r="EJ139" i="329"/>
  <c r="EK138" i="329" s="1"/>
  <c r="EK140" i="329" s="1"/>
  <c r="EK148" i="329"/>
  <c r="AQ12" i="329"/>
  <c r="AQ17" i="329" s="1"/>
  <c r="AQ48" i="329" s="1"/>
  <c r="AQ49" i="329" s="1"/>
  <c r="AP39" i="329"/>
  <c r="AP44" i="329" s="1"/>
  <c r="AP34" i="329" s="1"/>
  <c r="BY160" i="2"/>
  <c r="BY193" i="2"/>
  <c r="BY230" i="2"/>
  <c r="AM88" i="3"/>
  <c r="AM127" i="3"/>
  <c r="AN60" i="3"/>
  <c r="AM55" i="3"/>
  <c r="AN50" i="3"/>
  <c r="AN81" i="3" s="1"/>
  <c r="AN84" i="3" s="1"/>
  <c r="AN59" i="3"/>
  <c r="AM50" i="3"/>
  <c r="AM81" i="3" s="1"/>
  <c r="AM84" i="3" s="1"/>
  <c r="AN56" i="3"/>
  <c r="AN57" i="3"/>
  <c r="AM59" i="3"/>
  <c r="AM57" i="3"/>
  <c r="AM56" i="3"/>
  <c r="AN55" i="3"/>
  <c r="AM60" i="3"/>
  <c r="AY310" i="329"/>
  <c r="DB305" i="329"/>
  <c r="CA339" i="329"/>
  <c r="CA340" i="329" s="1"/>
  <c r="CE339" i="329"/>
  <c r="CM340" i="329" s="1"/>
  <c r="DY80" i="4"/>
  <c r="DY83" i="4"/>
  <c r="CV78" i="329"/>
  <c r="CV80" i="329"/>
  <c r="CW77" i="329"/>
  <c r="G92" i="329"/>
  <c r="F105" i="329"/>
  <c r="F382" i="329"/>
  <c r="F96" i="329"/>
  <c r="DH123" i="2"/>
  <c r="CS156" i="329"/>
  <c r="CS177" i="329"/>
  <c r="CS168" i="329"/>
  <c r="CS160" i="329"/>
  <c r="CS152" i="329"/>
  <c r="CS164" i="329"/>
  <c r="EU164" i="329" s="1"/>
  <c r="CS187" i="329"/>
  <c r="CW177" i="329"/>
  <c r="BU156" i="329"/>
  <c r="BU168" i="329"/>
  <c r="BU152" i="329"/>
  <c r="BU164" i="329"/>
  <c r="BU160" i="329"/>
  <c r="BU177" i="329"/>
  <c r="BI156" i="329"/>
  <c r="BI160" i="329"/>
  <c r="BI168" i="329"/>
  <c r="BI164" i="329"/>
  <c r="BI152" i="329"/>
  <c r="BE116" i="329"/>
  <c r="BE117" i="329"/>
  <c r="BE118" i="329"/>
  <c r="M112" i="4"/>
  <c r="M385" i="329"/>
  <c r="M390" i="329"/>
  <c r="BM179" i="2"/>
  <c r="BM208" i="2" s="1"/>
  <c r="BQ193" i="2"/>
  <c r="BQ230" i="2"/>
  <c r="BQ160" i="2"/>
  <c r="CC230" i="2"/>
  <c r="CC177" i="329"/>
  <c r="BU301" i="329"/>
  <c r="BU310" i="329"/>
  <c r="BY313" i="329" s="1"/>
  <c r="BY320" i="329" s="1"/>
  <c r="BW382" i="329"/>
  <c r="CE382" i="329"/>
  <c r="CE390" i="329" s="1"/>
  <c r="E96" i="329"/>
  <c r="E105" i="329"/>
  <c r="CE344" i="329"/>
  <c r="BM177" i="329"/>
  <c r="BM164" i="329"/>
  <c r="BM152" i="329"/>
  <c r="BM168" i="329"/>
  <c r="BM156" i="329"/>
  <c r="BM160" i="329"/>
  <c r="G102" i="329"/>
  <c r="K102" i="329"/>
  <c r="BU160" i="2"/>
  <c r="BU193" i="2"/>
  <c r="BU230" i="2"/>
  <c r="CB297" i="329"/>
  <c r="CC297" i="329"/>
  <c r="CE356" i="329"/>
  <c r="CI356" i="329"/>
  <c r="EC374" i="329"/>
  <c r="EC92" i="329"/>
  <c r="EC382" i="329" s="1"/>
  <c r="DQ112" i="4" s="1"/>
  <c r="BX77" i="329"/>
  <c r="BW78" i="329"/>
  <c r="EB92" i="329"/>
  <c r="EB374" i="329"/>
  <c r="EA126" i="329"/>
  <c r="CJ125" i="329"/>
  <c r="CR126" i="329" s="1"/>
  <c r="EL250" i="329"/>
  <c r="BF250" i="329"/>
  <c r="BG250" i="329" s="1"/>
  <c r="BH250" i="329" s="1"/>
  <c r="BI250" i="329" s="1"/>
  <c r="L104" i="329"/>
  <c r="N374" i="329"/>
  <c r="R375" i="329" s="1"/>
  <c r="N50" i="329"/>
  <c r="N92" i="329"/>
  <c r="BS34" i="329"/>
  <c r="BS29" i="329"/>
  <c r="AJ33" i="329"/>
  <c r="AJ30" i="329"/>
  <c r="AJ34" i="329"/>
  <c r="AK50" i="329"/>
  <c r="AK51" i="329" s="1"/>
  <c r="AJ50" i="329"/>
  <c r="AJ31" i="329"/>
  <c r="AJ32" i="329"/>
  <c r="AJ29" i="329"/>
  <c r="BX90" i="329"/>
  <c r="CF90" i="329"/>
  <c r="DC347" i="329"/>
  <c r="DG348" i="329" s="1"/>
  <c r="EW346" i="329"/>
  <c r="EW363" i="329" s="1"/>
  <c r="BV350" i="329"/>
  <c r="ER334" i="329"/>
  <c r="ER360" i="329" s="1"/>
  <c r="CR168" i="329"/>
  <c r="CR152" i="329"/>
  <c r="CN164" i="329"/>
  <c r="CR165" i="329" s="1"/>
  <c r="CN156" i="329"/>
  <c r="CN187" i="329"/>
  <c r="CN168" i="329"/>
  <c r="CN160" i="329"/>
  <c r="CN177" i="329"/>
  <c r="ET176" i="329"/>
  <c r="CN152" i="329"/>
  <c r="BX160" i="329"/>
  <c r="BX187" i="329"/>
  <c r="BX156" i="329"/>
  <c r="BX164" i="329"/>
  <c r="BX152" i="329"/>
  <c r="EP176" i="329"/>
  <c r="BX177" i="329"/>
  <c r="BX168" i="329"/>
  <c r="EQ148" i="329"/>
  <c r="EN148" i="329"/>
  <c r="BP116" i="329"/>
  <c r="BP118" i="329"/>
  <c r="EB126" i="329"/>
  <c r="Q92" i="329"/>
  <c r="Q374" i="329"/>
  <c r="CZ26" i="329"/>
  <c r="DA26" i="329" s="1"/>
  <c r="DB26" i="329" s="1"/>
  <c r="DC26" i="329" s="1"/>
  <c r="DD26" i="329" s="1"/>
  <c r="DE26" i="329" s="1"/>
  <c r="DW77" i="4"/>
  <c r="DW83" i="4"/>
  <c r="DW80" i="4"/>
  <c r="CQ339" i="329"/>
  <c r="CU339" i="329"/>
  <c r="AS93" i="329"/>
  <c r="AO105" i="329"/>
  <c r="EG105" i="329" s="1"/>
  <c r="BF88" i="3"/>
  <c r="R50" i="329"/>
  <c r="CU347" i="329"/>
  <c r="CU350" i="329"/>
  <c r="CY347" i="329"/>
  <c r="CV160" i="329"/>
  <c r="CV156" i="329"/>
  <c r="CV168" i="329"/>
  <c r="CV152" i="329"/>
  <c r="CV164" i="329"/>
  <c r="EV164" i="329" s="1"/>
  <c r="CV187" i="329"/>
  <c r="EV176" i="329"/>
  <c r="BP164" i="329"/>
  <c r="BP152" i="329"/>
  <c r="BP160" i="329"/>
  <c r="BP168" i="329"/>
  <c r="BP156" i="329"/>
  <c r="EN176" i="329"/>
  <c r="EL139" i="329"/>
  <c r="EM138" i="329" s="1"/>
  <c r="EM140" i="329" s="1"/>
  <c r="EM148" i="329"/>
  <c r="EL148" i="329"/>
  <c r="BP117" i="329"/>
  <c r="BH116" i="329"/>
  <c r="BH118" i="329"/>
  <c r="DZ101" i="329"/>
  <c r="DZ102" i="329" s="1"/>
  <c r="J102" i="329"/>
  <c r="O101" i="329"/>
  <c r="O89" i="329"/>
  <c r="O103" i="329" s="1"/>
  <c r="O104" i="329" s="1"/>
  <c r="P87" i="329"/>
  <c r="O88" i="329"/>
  <c r="O378" i="329"/>
  <c r="ED92" i="329"/>
  <c r="ED374" i="329"/>
  <c r="BR158" i="2"/>
  <c r="BV108" i="2"/>
  <c r="CB50" i="3"/>
  <c r="CB81" i="3" s="1"/>
  <c r="BZ88" i="3"/>
  <c r="EF88" i="3" s="1"/>
  <c r="CQ347" i="329"/>
  <c r="CQ348" i="329" s="1"/>
  <c r="BZ57" i="3"/>
  <c r="EF57" i="3" s="1"/>
  <c r="CY335" i="329"/>
  <c r="EA142" i="329"/>
  <c r="DY143" i="329"/>
  <c r="DZ143" i="329"/>
  <c r="EA143" i="329"/>
  <c r="DY142" i="329"/>
  <c r="DZ142" i="329"/>
  <c r="EB143" i="329"/>
  <c r="DY141" i="329"/>
  <c r="DZ141" i="329"/>
  <c r="CJ156" i="329"/>
  <c r="CJ187" i="329"/>
  <c r="CJ152" i="329"/>
  <c r="CJ168" i="329"/>
  <c r="CJ160" i="329"/>
  <c r="ES160" i="329" s="1"/>
  <c r="CJ164" i="329"/>
  <c r="CJ177" i="329"/>
  <c r="ES176" i="329"/>
  <c r="CB177" i="329"/>
  <c r="CB152" i="329"/>
  <c r="BH105" i="329"/>
  <c r="BH106" i="329" s="1"/>
  <c r="BH107" i="329"/>
  <c r="BL110" i="329" s="1"/>
  <c r="BL122" i="329" s="1"/>
  <c r="AZ126" i="329"/>
  <c r="AZ105" i="329"/>
  <c r="AZ106" i="329" s="1"/>
  <c r="N102" i="329"/>
  <c r="N103" i="329"/>
  <c r="BA107" i="329"/>
  <c r="BE110" i="329" s="1"/>
  <c r="BE122" i="329" s="1"/>
  <c r="U50" i="329"/>
  <c r="U92" i="329"/>
  <c r="V94" i="329" s="1"/>
  <c r="U374" i="329"/>
  <c r="BV88" i="3"/>
  <c r="BT56" i="3"/>
  <c r="BU55" i="3"/>
  <c r="AI107" i="329"/>
  <c r="AM108" i="329" s="1"/>
  <c r="AM95" i="329"/>
  <c r="AM123" i="329" s="1"/>
  <c r="EI187" i="2"/>
  <c r="EJ210" i="2" s="1"/>
  <c r="EJ227" i="2"/>
  <c r="EI155" i="2"/>
  <c r="BJ161" i="329"/>
  <c r="BN161" i="329"/>
  <c r="EH79" i="4"/>
  <c r="BR95" i="2"/>
  <c r="CQ175" i="2"/>
  <c r="CK336" i="329"/>
  <c r="EE122" i="2"/>
  <c r="ED122" i="2"/>
  <c r="ED118" i="2"/>
  <c r="EC122" i="2"/>
  <c r="EC118" i="2"/>
  <c r="EV148" i="329"/>
  <c r="CF156" i="329"/>
  <c r="CF157" i="329" s="1"/>
  <c r="CF177" i="329"/>
  <c r="CF152" i="329"/>
  <c r="CF187" i="329"/>
  <c r="CF160" i="329"/>
  <c r="ER176" i="329"/>
  <c r="CF164" i="329"/>
  <c r="ER164" i="329" s="1"/>
  <c r="CF168" i="329"/>
  <c r="CF169" i="329" s="1"/>
  <c r="EP148" i="329"/>
  <c r="BT156" i="329"/>
  <c r="BT177" i="329"/>
  <c r="BT168" i="329"/>
  <c r="BT160" i="329"/>
  <c r="BT164" i="329"/>
  <c r="BT152" i="329"/>
  <c r="BL126" i="329"/>
  <c r="BL123" i="329" s="1"/>
  <c r="EM125" i="329"/>
  <c r="BL116" i="329"/>
  <c r="BL118" i="329"/>
  <c r="BH117" i="329"/>
  <c r="BL117" i="329"/>
  <c r="BD117" i="329"/>
  <c r="BD116" i="329"/>
  <c r="BD118" i="329"/>
  <c r="DY126" i="329"/>
  <c r="DA21" i="329"/>
  <c r="DB21" i="329" s="1"/>
  <c r="DC21" i="329" s="1"/>
  <c r="DD21" i="329" s="1"/>
  <c r="DE21" i="329" s="1"/>
  <c r="AJ49" i="329"/>
  <c r="AJ371" i="329"/>
  <c r="AJ372" i="329" s="1"/>
  <c r="CU331" i="329"/>
  <c r="CY331" i="329"/>
  <c r="EV125" i="329"/>
  <c r="AP94" i="329"/>
  <c r="AT95" i="329" s="1"/>
  <c r="AT123" i="329" s="1"/>
  <c r="BS59" i="3"/>
  <c r="EN223" i="329"/>
  <c r="EN224" i="329"/>
  <c r="EN221" i="329"/>
  <c r="DY102" i="329"/>
  <c r="AY390" i="329"/>
  <c r="AY112" i="4"/>
  <c r="AY383" i="329"/>
  <c r="AY142" i="2" s="1"/>
  <c r="EM223" i="329"/>
  <c r="EM224" i="329"/>
  <c r="EM221" i="329"/>
  <c r="EI223" i="329"/>
  <c r="BL107" i="329"/>
  <c r="BP95" i="329"/>
  <c r="EK224" i="329"/>
  <c r="EK223" i="329"/>
  <c r="EJ224" i="329"/>
  <c r="EO224" i="329"/>
  <c r="EO223" i="329"/>
  <c r="CQ168" i="2"/>
  <c r="EP214" i="2"/>
  <c r="EL224" i="329"/>
  <c r="ET223" i="329"/>
  <c r="EJ223" i="329"/>
  <c r="CR55" i="3"/>
  <c r="CR57" i="3"/>
  <c r="CQ55" i="3"/>
  <c r="BX175" i="2"/>
  <c r="AA107" i="329"/>
  <c r="AE110" i="329" s="1"/>
  <c r="AE122" i="329" s="1"/>
  <c r="CF306" i="329"/>
  <c r="CF307" i="329" s="1"/>
  <c r="CF301" i="329"/>
  <c r="AM20" i="2"/>
  <c r="AM84" i="2" s="1"/>
  <c r="BR157" i="329"/>
  <c r="BV157" i="329"/>
  <c r="ER342" i="329"/>
  <c r="CF339" i="329"/>
  <c r="CJ339" i="329"/>
  <c r="CT350" i="329"/>
  <c r="EV342" i="329"/>
  <c r="EV362" i="329" s="1"/>
  <c r="CX343" i="329"/>
  <c r="DB344" i="329" s="1"/>
  <c r="CT343" i="329"/>
  <c r="EA83" i="4"/>
  <c r="EA80" i="4"/>
  <c r="BY94" i="2"/>
  <c r="BD383" i="329"/>
  <c r="BD142" i="2" s="1"/>
  <c r="BD112" i="4"/>
  <c r="BD113" i="4" s="1"/>
  <c r="BD390" i="329"/>
  <c r="BZ170" i="2"/>
  <c r="BZ201" i="2" s="1"/>
  <c r="BZ187" i="2"/>
  <c r="BZ210" i="2" s="1"/>
  <c r="BJ94" i="2"/>
  <c r="BF94" i="2"/>
  <c r="DD175" i="2"/>
  <c r="DD221" i="2"/>
  <c r="DD153" i="2"/>
  <c r="DD177" i="2" s="1"/>
  <c r="CY223" i="2"/>
  <c r="BG168" i="2"/>
  <c r="BG199" i="2" s="1"/>
  <c r="AX189" i="2"/>
  <c r="BN176" i="2"/>
  <c r="BN222" i="2"/>
  <c r="BZ222" i="2"/>
  <c r="BR222" i="2"/>
  <c r="CX175" i="2"/>
  <c r="CX221" i="2"/>
  <c r="CX153" i="2"/>
  <c r="CX177" i="2" s="1"/>
  <c r="EL183" i="2"/>
  <c r="BJ253" i="329"/>
  <c r="BK253" i="329" s="1"/>
  <c r="BL253" i="329" s="1"/>
  <c r="BM253" i="329" s="1"/>
  <c r="EM253" i="329"/>
  <c r="BN253" i="329" s="1"/>
  <c r="BO253" i="329" s="1"/>
  <c r="BP253" i="329" s="1"/>
  <c r="BQ267" i="329" s="1"/>
  <c r="EN267" i="329" s="1"/>
  <c r="EF31" i="329"/>
  <c r="EF29" i="329"/>
  <c r="CI161" i="329"/>
  <c r="AZ110" i="329"/>
  <c r="AZ122" i="329" s="1"/>
  <c r="CC335" i="329"/>
  <c r="BU335" i="329"/>
  <c r="BY336" i="329" s="1"/>
  <c r="CU81" i="2"/>
  <c r="CU412" i="329"/>
  <c r="EV7" i="2"/>
  <c r="CI100" i="3"/>
  <c r="CY107" i="2"/>
  <c r="CI103" i="4"/>
  <c r="CU77" i="2"/>
  <c r="CY92" i="2" s="1"/>
  <c r="CU78" i="2"/>
  <c r="CU85" i="2"/>
  <c r="CY99" i="2" s="1"/>
  <c r="CU107" i="2"/>
  <c r="CM172" i="329"/>
  <c r="CJ331" i="329"/>
  <c r="EM187" i="2"/>
  <c r="EC83" i="4"/>
  <c r="EC77" i="4"/>
  <c r="EF77" i="4" s="1"/>
  <c r="EF76" i="4" s="1"/>
  <c r="EC80" i="4"/>
  <c r="BG350" i="329"/>
  <c r="CC347" i="329"/>
  <c r="CG348" i="329" s="1"/>
  <c r="BU347" i="329"/>
  <c r="BY348" i="329" s="1"/>
  <c r="EN365" i="329"/>
  <c r="EQ355" i="329"/>
  <c r="EN355" i="329"/>
  <c r="DF348" i="329"/>
  <c r="DB348" i="329"/>
  <c r="Z93" i="329"/>
  <c r="BZ378" i="329"/>
  <c r="BZ388" i="329" s="1"/>
  <c r="V382" i="329"/>
  <c r="V105" i="329"/>
  <c r="CK348" i="329"/>
  <c r="CJ309" i="329"/>
  <c r="DB356" i="329"/>
  <c r="AX309" i="329"/>
  <c r="AT309" i="329"/>
  <c r="BW139" i="329"/>
  <c r="CA138" i="329" s="1"/>
  <c r="CA137" i="329" s="1"/>
  <c r="CA111" i="329" s="1"/>
  <c r="BS128" i="329"/>
  <c r="BW125" i="329"/>
  <c r="O105" i="329"/>
  <c r="O96" i="329"/>
  <c r="O382" i="329"/>
  <c r="DB332" i="329"/>
  <c r="EG70" i="329"/>
  <c r="AO72" i="329"/>
  <c r="AO71" i="329"/>
  <c r="AN128" i="2"/>
  <c r="CR336" i="329"/>
  <c r="CF350" i="329"/>
  <c r="CN343" i="329"/>
  <c r="CJ343" i="329"/>
  <c r="DZ135" i="2"/>
  <c r="DZ136" i="2" s="1"/>
  <c r="BY356" i="329"/>
  <c r="BU356" i="329"/>
  <c r="CQ153" i="329"/>
  <c r="AH372" i="329"/>
  <c r="Z382" i="329"/>
  <c r="BR109" i="3"/>
  <c r="BR388" i="329"/>
  <c r="CA139" i="329"/>
  <c r="CE138" i="329" s="1"/>
  <c r="CE137" i="329" s="1"/>
  <c r="CE111" i="329" s="1"/>
  <c r="CI116" i="329" s="1"/>
  <c r="CA125" i="329"/>
  <c r="ED49" i="329"/>
  <c r="ED83" i="329" s="1"/>
  <c r="EC49" i="329"/>
  <c r="EC83" i="329" s="1"/>
  <c r="EC82" i="329"/>
  <c r="EC371" i="329" s="1"/>
  <c r="DB222" i="2"/>
  <c r="CX169" i="2"/>
  <c r="CX176" i="2"/>
  <c r="CK209" i="2"/>
  <c r="CG209" i="2"/>
  <c r="CK239" i="2"/>
  <c r="CK169" i="2"/>
  <c r="CK201" i="2"/>
  <c r="CK218" i="2" s="1"/>
  <c r="CP356" i="329"/>
  <c r="AK83" i="329"/>
  <c r="AK90" i="329"/>
  <c r="AP310" i="329"/>
  <c r="AT313" i="329" s="1"/>
  <c r="AT320" i="329" s="1"/>
  <c r="AT298" i="329"/>
  <c r="ES355" i="329"/>
  <c r="CC89" i="329"/>
  <c r="EQ87" i="329"/>
  <c r="EG48" i="329"/>
  <c r="EG26" i="329"/>
  <c r="CT153" i="329"/>
  <c r="CL350" i="329"/>
  <c r="CL347" i="329"/>
  <c r="ER338" i="329"/>
  <c r="CT15" i="2"/>
  <c r="CH102" i="3"/>
  <c r="CT80" i="2"/>
  <c r="CT79" i="2"/>
  <c r="AL83" i="329"/>
  <c r="AL90" i="329"/>
  <c r="CZ339" i="329"/>
  <c r="DD340" i="329" s="1"/>
  <c r="EV338" i="329"/>
  <c r="CV339" i="329"/>
  <c r="CV340" i="329" s="1"/>
  <c r="CV335" i="329"/>
  <c r="CV336" i="329" s="1"/>
  <c r="CZ335" i="329"/>
  <c r="EV334" i="329"/>
  <c r="AR40" i="329"/>
  <c r="AS13" i="329"/>
  <c r="AS309" i="329"/>
  <c r="BB92" i="2"/>
  <c r="BB128" i="2" s="1"/>
  <c r="BN151" i="2"/>
  <c r="BR221" i="2" s="1"/>
  <c r="CY199" i="2"/>
  <c r="DC216" i="2" s="1"/>
  <c r="CY237" i="2"/>
  <c r="CI336" i="329"/>
  <c r="CE348" i="329"/>
  <c r="EI118" i="2"/>
  <c r="EI122" i="2"/>
  <c r="EJ122" i="2"/>
  <c r="CP331" i="329"/>
  <c r="N135" i="2"/>
  <c r="N136" i="2" s="1"/>
  <c r="N389" i="329"/>
  <c r="CZ331" i="329"/>
  <c r="EV330" i="329"/>
  <c r="CV331" i="329"/>
  <c r="CV332" i="329" s="1"/>
  <c r="EV346" i="329"/>
  <c r="CZ347" i="329"/>
  <c r="DD348" i="329" s="1"/>
  <c r="CV347" i="329"/>
  <c r="CG139" i="329"/>
  <c r="CK138" i="329" s="1"/>
  <c r="CK137" i="329" s="1"/>
  <c r="CK111" i="329" s="1"/>
  <c r="CW118" i="329" s="1"/>
  <c r="CC128" i="329"/>
  <c r="BY128" i="329"/>
  <c r="CG125" i="329"/>
  <c r="DC311" i="329"/>
  <c r="AO298" i="329"/>
  <c r="AO310" i="329"/>
  <c r="AS313" i="329" s="1"/>
  <c r="AS320" i="329" s="1"/>
  <c r="CG165" i="2"/>
  <c r="CK298" i="329"/>
  <c r="CK321" i="329" s="1"/>
  <c r="CG310" i="329"/>
  <c r="CK313" i="329" s="1"/>
  <c r="CK320" i="329" s="1"/>
  <c r="CG298" i="329"/>
  <c r="CG321" i="329" s="1"/>
  <c r="BU109" i="3"/>
  <c r="BU388" i="329"/>
  <c r="AG141" i="2"/>
  <c r="AG391" i="329"/>
  <c r="AG108" i="3"/>
  <c r="AG95" i="3" s="1"/>
  <c r="CH350" i="329"/>
  <c r="CY208" i="2"/>
  <c r="CY242" i="2" s="1"/>
  <c r="DC208" i="2"/>
  <c r="CI306" i="329"/>
  <c r="CI307" i="329" s="1"/>
  <c r="CI301" i="329"/>
  <c r="BJ126" i="329"/>
  <c r="BF105" i="329"/>
  <c r="BJ106" i="329" s="1"/>
  <c r="EL125" i="329"/>
  <c r="EF48" i="329"/>
  <c r="EF26" i="329"/>
  <c r="ET197" i="2"/>
  <c r="ET231" i="2"/>
  <c r="ET342" i="329"/>
  <c r="ET362" i="329" s="1"/>
  <c r="CP343" i="329"/>
  <c r="CL339" i="329"/>
  <c r="CP200" i="2"/>
  <c r="CT217" i="2" s="1"/>
  <c r="CT238" i="2"/>
  <c r="CM350" i="329"/>
  <c r="CV356" i="329"/>
  <c r="CZ356" i="329"/>
  <c r="DA118" i="329"/>
  <c r="CW117" i="329"/>
  <c r="CS116" i="329"/>
  <c r="DD124" i="2"/>
  <c r="DD120" i="2"/>
  <c r="AW313" i="329"/>
  <c r="AW320" i="329" s="1"/>
  <c r="AK106" i="329"/>
  <c r="BT229" i="2"/>
  <c r="BV170" i="2"/>
  <c r="DE141" i="329"/>
  <c r="CZ217" i="2"/>
  <c r="CV197" i="2"/>
  <c r="CV231" i="2"/>
  <c r="EV162" i="2"/>
  <c r="CZ231" i="2"/>
  <c r="CV16" i="2"/>
  <c r="CX99" i="2"/>
  <c r="BG179" i="2"/>
  <c r="BG225" i="2"/>
  <c r="BB225" i="2"/>
  <c r="AX168" i="2"/>
  <c r="CT214" i="2"/>
  <c r="CP214" i="2"/>
  <c r="BB179" i="2"/>
  <c r="BF208" i="2" s="1"/>
  <c r="CV212" i="2"/>
  <c r="CZ212" i="2"/>
  <c r="CZ243" i="2" s="1"/>
  <c r="BF92" i="2"/>
  <c r="BF128" i="2" s="1"/>
  <c r="ES208" i="2"/>
  <c r="ES242" i="2" s="1"/>
  <c r="ET208" i="2"/>
  <c r="ET242" i="2" s="1"/>
  <c r="CU208" i="2"/>
  <c r="CQ208" i="2"/>
  <c r="DA231" i="2"/>
  <c r="CW231" i="2"/>
  <c r="CW197" i="2"/>
  <c r="BB76" i="2"/>
  <c r="BB108" i="2"/>
  <c r="BB17" i="2"/>
  <c r="BB88" i="3"/>
  <c r="AX88" i="3"/>
  <c r="BK93" i="2"/>
  <c r="BF93" i="2"/>
  <c r="CP237" i="2"/>
  <c r="CP199" i="2"/>
  <c r="CP216" i="2" s="1"/>
  <c r="BK76" i="2"/>
  <c r="BK108" i="2"/>
  <c r="BK17" i="2"/>
  <c r="BB160" i="2"/>
  <c r="BB230" i="2"/>
  <c r="BB193" i="2"/>
  <c r="BB213" i="2" s="1"/>
  <c r="BK88" i="3"/>
  <c r="BV189" i="2"/>
  <c r="BF230" i="2"/>
  <c r="BF160" i="2"/>
  <c r="BJ230" i="2"/>
  <c r="CR231" i="2"/>
  <c r="CR16" i="2"/>
  <c r="CR80" i="2" s="1"/>
  <c r="CR197" i="2"/>
  <c r="CR214" i="2" s="1"/>
  <c r="AX128" i="2"/>
  <c r="CT109" i="2"/>
  <c r="BB99" i="2"/>
  <c r="BN160" i="2"/>
  <c r="BN193" i="2"/>
  <c r="BZ230" i="2"/>
  <c r="BN230" i="2"/>
  <c r="EN161" i="2"/>
  <c r="CJ157" i="2"/>
  <c r="CJ8" i="2"/>
  <c r="CJ177" i="2"/>
  <c r="CQ16" i="2"/>
  <c r="CQ197" i="2"/>
  <c r="CQ231" i="2"/>
  <c r="CU231" i="2"/>
  <c r="AX108" i="2"/>
  <c r="AX76" i="2"/>
  <c r="AX17" i="2"/>
  <c r="AV93" i="2"/>
  <c r="AR93" i="2"/>
  <c r="DB197" i="2"/>
  <c r="DB16" i="2"/>
  <c r="K94" i="3"/>
  <c r="EP226" i="2"/>
  <c r="FH119" i="2"/>
  <c r="BJ108" i="2"/>
  <c r="ER153" i="2"/>
  <c r="ER177" i="2" s="1"/>
  <c r="BE212" i="2"/>
  <c r="DD217" i="2"/>
  <c r="CG8" i="2"/>
  <c r="CG9" i="2" s="1"/>
  <c r="CG76" i="2" s="1"/>
  <c r="CH17" i="2"/>
  <c r="CH111" i="2" s="1"/>
  <c r="CG223" i="2"/>
  <c r="AP111" i="2"/>
  <c r="BQ108" i="2"/>
  <c r="AP83" i="2"/>
  <c r="DC221" i="2"/>
  <c r="EL155" i="2"/>
  <c r="AP20" i="2"/>
  <c r="AP84" i="2" s="1"/>
  <c r="ET151" i="2"/>
  <c r="ET221" i="2" s="1"/>
  <c r="AP104" i="4"/>
  <c r="AP106" i="4" s="1"/>
  <c r="AT111" i="2"/>
  <c r="CB208" i="2"/>
  <c r="AP111" i="3"/>
  <c r="CF223" i="2"/>
  <c r="CR127" i="3"/>
  <c r="BM59" i="3"/>
  <c r="BL60" i="3"/>
  <c r="CQ59" i="3"/>
  <c r="AZ170" i="2"/>
  <c r="AZ201" i="2" s="1"/>
  <c r="CL223" i="2"/>
  <c r="AS42" i="329"/>
  <c r="EH42" i="329" s="1"/>
  <c r="EH15" i="329"/>
  <c r="AT15" i="329" s="1"/>
  <c r="FF123" i="2"/>
  <c r="CR56" i="3"/>
  <c r="BM56" i="3"/>
  <c r="BM55" i="3"/>
  <c r="BL57" i="3"/>
  <c r="BL50" i="3"/>
  <c r="BL81" i="3" s="1"/>
  <c r="BL56" i="3"/>
  <c r="BJ88" i="3"/>
  <c r="CQ50" i="3"/>
  <c r="CQ81" i="3" s="1"/>
  <c r="CQ56" i="3"/>
  <c r="BZ130" i="3"/>
  <c r="EF130" i="3" s="1"/>
  <c r="CL177" i="2"/>
  <c r="BN111" i="2"/>
  <c r="BX374" i="329"/>
  <c r="CF382" i="329" s="1"/>
  <c r="CD94" i="2"/>
  <c r="CM93" i="2"/>
  <c r="EG35" i="329"/>
  <c r="EG390" i="329"/>
  <c r="DU112" i="4"/>
  <c r="CQ102" i="3"/>
  <c r="DC80" i="2"/>
  <c r="DC79" i="2"/>
  <c r="CY210" i="2"/>
  <c r="AQ43" i="329"/>
  <c r="AR16" i="329"/>
  <c r="EP338" i="329"/>
  <c r="CH343" i="329"/>
  <c r="ES342" i="329"/>
  <c r="ES362" i="329" s="1"/>
  <c r="BR165" i="329"/>
  <c r="DH340" i="329"/>
  <c r="EL338" i="329"/>
  <c r="EM355" i="329"/>
  <c r="EN356" i="329" s="1"/>
  <c r="BV347" i="329"/>
  <c r="EP346" i="329"/>
  <c r="ES330" i="329"/>
  <c r="CH339" i="329"/>
  <c r="ES338" i="329"/>
  <c r="BV153" i="329"/>
  <c r="BR153" i="329"/>
  <c r="EN51" i="329"/>
  <c r="DH348" i="329"/>
  <c r="CU118" i="329"/>
  <c r="CU117" i="329"/>
  <c r="CQ116" i="329"/>
  <c r="CY118" i="329"/>
  <c r="CQ117" i="329"/>
  <c r="CM116" i="329"/>
  <c r="CH347" i="329"/>
  <c r="ES346" i="329"/>
  <c r="ES363" i="329" s="1"/>
  <c r="AY309" i="329"/>
  <c r="DD305" i="329"/>
  <c r="BD126" i="329"/>
  <c r="BH126" i="329"/>
  <c r="DB340" i="329"/>
  <c r="CN339" i="329"/>
  <c r="ET338" i="329"/>
  <c r="EP342" i="329"/>
  <c r="ES334" i="329"/>
  <c r="BV169" i="329"/>
  <c r="BR169" i="329"/>
  <c r="BR172" i="329"/>
  <c r="BR186" i="329" s="1"/>
  <c r="BR187" i="329" s="1"/>
  <c r="BQ111" i="2"/>
  <c r="BM108" i="2"/>
  <c r="EV151" i="2"/>
  <c r="CZ221" i="2"/>
  <c r="CV221" i="2"/>
  <c r="CV153" i="2"/>
  <c r="CV168" i="2"/>
  <c r="CV175" i="2"/>
  <c r="CN221" i="2"/>
  <c r="CN153" i="2"/>
  <c r="CN175" i="2"/>
  <c r="BM76" i="2"/>
  <c r="DA153" i="2"/>
  <c r="DA175" i="2"/>
  <c r="DA221" i="2"/>
  <c r="CO175" i="2"/>
  <c r="CO221" i="2"/>
  <c r="CO153" i="2"/>
  <c r="CS223" i="2" s="1"/>
  <c r="CR153" i="2"/>
  <c r="CR168" i="2"/>
  <c r="CR203" i="2" s="1"/>
  <c r="EU151" i="2"/>
  <c r="EU175" i="2" s="1"/>
  <c r="CR221" i="2"/>
  <c r="CR175" i="2"/>
  <c r="CY221" i="2"/>
  <c r="CY175" i="2"/>
  <c r="EW151" i="2"/>
  <c r="DB175" i="2"/>
  <c r="DB153" i="2"/>
  <c r="BJ95" i="2"/>
  <c r="CE93" i="2"/>
  <c r="BK130" i="3"/>
  <c r="BJ52" i="3"/>
  <c r="BJ83" i="3" s="1"/>
  <c r="BJ58" i="3"/>
  <c r="BI51" i="3"/>
  <c r="BI82" i="3" s="1"/>
  <c r="BL52" i="3"/>
  <c r="BL83" i="3" s="1"/>
  <c r="BJ51" i="3"/>
  <c r="BJ82" i="3" s="1"/>
  <c r="BL51" i="3"/>
  <c r="BL82" i="3" s="1"/>
  <c r="BK52" i="3"/>
  <c r="BK83" i="3" s="1"/>
  <c r="BK58" i="3"/>
  <c r="BI58" i="3"/>
  <c r="BJ130" i="3"/>
  <c r="BI130" i="3"/>
  <c r="BL58" i="3"/>
  <c r="BK51" i="3"/>
  <c r="BK82" i="3" s="1"/>
  <c r="BF58" i="3"/>
  <c r="BG58" i="3"/>
  <c r="BH58" i="3"/>
  <c r="EO109" i="2"/>
  <c r="EC102" i="3"/>
  <c r="EH78" i="2"/>
  <c r="BD76" i="2"/>
  <c r="BD17" i="2"/>
  <c r="BD108" i="2"/>
  <c r="J81" i="2"/>
  <c r="N110" i="2"/>
  <c r="J20" i="2"/>
  <c r="ED102" i="3"/>
  <c r="EF102" i="3" s="1"/>
  <c r="EP109" i="2"/>
  <c r="DX102" i="3"/>
  <c r="DX58" i="3" s="1"/>
  <c r="EJ109" i="2"/>
  <c r="DX130" i="3"/>
  <c r="DX51" i="3"/>
  <c r="DX82" i="3" s="1"/>
  <c r="DX52" i="3"/>
  <c r="DX83" i="3" s="1"/>
  <c r="BH179" i="2"/>
  <c r="BH225" i="2"/>
  <c r="BE58" i="3"/>
  <c r="BD58" i="3"/>
  <c r="BC58" i="3"/>
  <c r="BM104" i="4"/>
  <c r="BM25" i="2"/>
  <c r="BM111" i="3"/>
  <c r="BM82" i="2"/>
  <c r="CQ92" i="2"/>
  <c r="DY51" i="3"/>
  <c r="DY82" i="3" s="1"/>
  <c r="DY52" i="3"/>
  <c r="DY83" i="3" s="1"/>
  <c r="DY130" i="3"/>
  <c r="BT58" i="3"/>
  <c r="BU58" i="3"/>
  <c r="EB102" i="3"/>
  <c r="EB58" i="3" s="1"/>
  <c r="EN109" i="2"/>
  <c r="BB94" i="2"/>
  <c r="CM92" i="2"/>
  <c r="CM128" i="2" s="1"/>
  <c r="EA20" i="2"/>
  <c r="EA72" i="2" s="1"/>
  <c r="BZ51" i="3"/>
  <c r="BZ82" i="3" s="1"/>
  <c r="FD123" i="2"/>
  <c r="BZ52" i="3"/>
  <c r="BZ83" i="3" s="1"/>
  <c r="BP45" i="3"/>
  <c r="CH92" i="2"/>
  <c r="CH128" i="2" s="1"/>
  <c r="AV86" i="2"/>
  <c r="AV30" i="2"/>
  <c r="AV87" i="2"/>
  <c r="C112" i="3"/>
  <c r="C114" i="3" s="1"/>
  <c r="ET107" i="2"/>
  <c r="BF17" i="2"/>
  <c r="BF108" i="2"/>
  <c r="BF76" i="2"/>
  <c r="FB213" i="2"/>
  <c r="FB246" i="2" s="1"/>
  <c r="H112" i="3"/>
  <c r="H114" i="3" s="1"/>
  <c r="DQ114" i="2"/>
  <c r="DE105" i="3"/>
  <c r="DQ88" i="2"/>
  <c r="DQ37" i="2"/>
  <c r="DQ34" i="2"/>
  <c r="DU30" i="2"/>
  <c r="DU113" i="2"/>
  <c r="DU86" i="2"/>
  <c r="DU100" i="2" s="1"/>
  <c r="DR84" i="3"/>
  <c r="E112" i="3"/>
  <c r="E30" i="2"/>
  <c r="DX111" i="2"/>
  <c r="DL111" i="3"/>
  <c r="DL104" i="4"/>
  <c r="DL106" i="4" s="1"/>
  <c r="DX132" i="2"/>
  <c r="DX82" i="2"/>
  <c r="CT59" i="2"/>
  <c r="DY60" i="2"/>
  <c r="EB60" i="2"/>
  <c r="CT68" i="2"/>
  <c r="EB95" i="2"/>
  <c r="BN83" i="2"/>
  <c r="CE8" i="2"/>
  <c r="CE9" i="2" s="1"/>
  <c r="CE17" i="2" s="1"/>
  <c r="CL92" i="2"/>
  <c r="CL128" i="2" s="1"/>
  <c r="AP82" i="2"/>
  <c r="AP25" i="2"/>
  <c r="EU169" i="2"/>
  <c r="BV221" i="2"/>
  <c r="EG56" i="3"/>
  <c r="ES153" i="2"/>
  <c r="ES177" i="2" s="1"/>
  <c r="AP81" i="2"/>
  <c r="AP96" i="2" s="1"/>
  <c r="AP110" i="2"/>
  <c r="CD93" i="2"/>
  <c r="CL93" i="2"/>
  <c r="CU238" i="2"/>
  <c r="AT110" i="2"/>
  <c r="CI92" i="2"/>
  <c r="CI128" i="2" s="1"/>
  <c r="BS221" i="2"/>
  <c r="AM111" i="3"/>
  <c r="EP193" i="2"/>
  <c r="BM60" i="3"/>
  <c r="BK50" i="3"/>
  <c r="BK81" i="3" s="1"/>
  <c r="BL55" i="3"/>
  <c r="AV112" i="3"/>
  <c r="AV114" i="3" s="1"/>
  <c r="FC119" i="2"/>
  <c r="BT111" i="3"/>
  <c r="CE99" i="2"/>
  <c r="BW168" i="2"/>
  <c r="BW189" i="2"/>
  <c r="CA171" i="2"/>
  <c r="K112" i="3"/>
  <c r="K114" i="3" s="1"/>
  <c r="U112" i="3"/>
  <c r="U114" i="3" s="1"/>
  <c r="F96" i="2"/>
  <c r="CL8" i="2"/>
  <c r="CL9" i="2" s="1"/>
  <c r="CI223" i="2"/>
  <c r="CE223" i="2"/>
  <c r="CG93" i="2"/>
  <c r="CY177" i="2"/>
  <c r="CY8" i="2"/>
  <c r="CB8" i="2"/>
  <c r="CB157" i="2"/>
  <c r="CB177" i="2"/>
  <c r="CB223" i="2"/>
  <c r="CK93" i="2"/>
  <c r="CR60" i="2"/>
  <c r="EU59" i="2"/>
  <c r="CI99" i="2"/>
  <c r="ER412" i="329"/>
  <c r="ER85" i="2"/>
  <c r="ER77" i="2"/>
  <c r="ER107" i="2"/>
  <c r="CG92" i="2"/>
  <c r="CG128" i="2" s="1"/>
  <c r="CO92" i="2"/>
  <c r="CO128" i="2" s="1"/>
  <c r="EW68" i="2"/>
  <c r="CU9" i="2"/>
  <c r="CY81" i="2"/>
  <c r="DC110" i="2"/>
  <c r="BT111" i="2"/>
  <c r="CM99" i="2"/>
  <c r="CK92" i="2"/>
  <c r="CK128" i="2" s="1"/>
  <c r="BO81" i="2"/>
  <c r="BO110" i="2"/>
  <c r="CE88" i="3"/>
  <c r="EW59" i="2"/>
  <c r="CY60" i="2"/>
  <c r="CQ60" i="3"/>
  <c r="CR59" i="3"/>
  <c r="CQ57" i="3"/>
  <c r="CR50" i="3"/>
  <c r="ER176" i="2"/>
  <c r="ER183" i="2"/>
  <c r="ES222" i="2"/>
  <c r="CL170" i="2"/>
  <c r="CL187" i="2"/>
  <c r="CL227" i="2"/>
  <c r="F98" i="2"/>
  <c r="BU111" i="3"/>
  <c r="BU25" i="2"/>
  <c r="BU104" i="4"/>
  <c r="BU82" i="2"/>
  <c r="BD81" i="2"/>
  <c r="DB96" i="2"/>
  <c r="CX96" i="2"/>
  <c r="BP94" i="2"/>
  <c r="AD96" i="2"/>
  <c r="AH96" i="2"/>
  <c r="BV87" i="2"/>
  <c r="BV86" i="2"/>
  <c r="BV30" i="2"/>
  <c r="CG177" i="2"/>
  <c r="CK223" i="2"/>
  <c r="BR173" i="329"/>
  <c r="BQ15" i="4"/>
  <c r="BQ29" i="4" s="1"/>
  <c r="BQ42" i="4" s="1"/>
  <c r="BQ98" i="4" s="1"/>
  <c r="CS12" i="2"/>
  <c r="CG29" i="4"/>
  <c r="CG42" i="4" s="1"/>
  <c r="CG98" i="4" s="1"/>
  <c r="CG99" i="4" s="1"/>
  <c r="CL81" i="2"/>
  <c r="CP110" i="2"/>
  <c r="EE46" i="4"/>
  <c r="EE118" i="4"/>
  <c r="EB20" i="2"/>
  <c r="R114" i="3"/>
  <c r="BM17" i="4"/>
  <c r="BM29" i="4" s="1"/>
  <c r="BM42" i="4" s="1"/>
  <c r="BM98" i="4" s="1"/>
  <c r="CG12" i="2"/>
  <c r="AV99" i="4"/>
  <c r="CF12" i="2"/>
  <c r="BX19" i="2"/>
  <c r="BX80" i="2"/>
  <c r="EP12" i="2"/>
  <c r="BX15" i="2"/>
  <c r="CI60" i="2"/>
  <c r="EH10" i="4"/>
  <c r="U96" i="2"/>
  <c r="Y96" i="2"/>
  <c r="EA84" i="2"/>
  <c r="EJ67" i="3"/>
  <c r="EJ66" i="3"/>
  <c r="EJ68" i="3" s="1"/>
  <c r="AG45" i="3"/>
  <c r="DX71" i="3"/>
  <c r="DX45" i="3"/>
  <c r="DY123" i="3"/>
  <c r="DX123" i="3"/>
  <c r="EF68" i="3"/>
  <c r="BR123" i="3"/>
  <c r="D116" i="4"/>
  <c r="D119" i="4"/>
  <c r="D107" i="4"/>
  <c r="ES175" i="2"/>
  <c r="ES221" i="2"/>
  <c r="CO107" i="3"/>
  <c r="CO78" i="3" s="1"/>
  <c r="DB58" i="2"/>
  <c r="DB60" i="2" s="1"/>
  <c r="EX60" i="2" s="1"/>
  <c r="DA60" i="2"/>
  <c r="BM83" i="2"/>
  <c r="D108" i="4"/>
  <c r="D51" i="2"/>
  <c r="D54" i="2" s="1"/>
  <c r="BR175" i="2"/>
  <c r="EU213" i="2"/>
  <c r="ES213" i="2"/>
  <c r="ES246" i="2" s="1"/>
  <c r="BN25" i="2"/>
  <c r="BN20" i="2"/>
  <c r="BN82" i="2"/>
  <c r="BN111" i="3"/>
  <c r="BN104" i="4"/>
  <c r="BN106" i="4" s="1"/>
  <c r="BJ208" i="2"/>
  <c r="CZ201" i="2"/>
  <c r="CQ124" i="3"/>
  <c r="ED60" i="3"/>
  <c r="CM124" i="3"/>
  <c r="CF124" i="3"/>
  <c r="CP124" i="3"/>
  <c r="ED124" i="3"/>
  <c r="CA124" i="3"/>
  <c r="CH124" i="3"/>
  <c r="CL124" i="3"/>
  <c r="BZ124" i="3"/>
  <c r="CO124" i="3"/>
  <c r="CI124" i="3"/>
  <c r="CC124" i="3"/>
  <c r="ED56" i="3"/>
  <c r="CD124" i="3"/>
  <c r="BY124" i="3"/>
  <c r="DZ374" i="329"/>
  <c r="DZ50" i="329"/>
  <c r="EF32" i="329"/>
  <c r="EF30" i="329"/>
  <c r="EF33" i="329"/>
  <c r="DH344" i="329"/>
  <c r="BY332" i="329"/>
  <c r="EF374" i="329"/>
  <c r="EG245" i="329"/>
  <c r="DE142" i="329"/>
  <c r="DE394" i="329"/>
  <c r="CG332" i="329"/>
  <c r="DH336" i="329"/>
  <c r="DD336" i="329"/>
  <c r="FB119" i="2"/>
  <c r="DV92" i="329"/>
  <c r="DV374" i="329"/>
  <c r="BT30" i="329"/>
  <c r="BT29" i="329"/>
  <c r="BT34" i="329"/>
  <c r="BT35" i="329"/>
  <c r="CB92" i="329"/>
  <c r="BT33" i="329"/>
  <c r="BT92" i="329"/>
  <c r="BT32" i="329"/>
  <c r="BT31" i="329"/>
  <c r="BH156" i="329"/>
  <c r="BH168" i="329"/>
  <c r="BH164" i="329"/>
  <c r="BH152" i="329"/>
  <c r="BH160" i="329"/>
  <c r="CT306" i="329"/>
  <c r="CX307" i="329" s="1"/>
  <c r="CT301" i="329"/>
  <c r="AN33" i="329"/>
  <c r="AN30" i="329"/>
  <c r="AN29" i="329"/>
  <c r="AN34" i="329"/>
  <c r="AN50" i="329"/>
  <c r="AO50" i="329"/>
  <c r="AO51" i="329" s="1"/>
  <c r="AN32" i="329"/>
  <c r="AN31" i="329"/>
  <c r="CW355" i="329"/>
  <c r="DA356" i="329" s="1"/>
  <c r="CS365" i="329"/>
  <c r="DT105" i="329"/>
  <c r="DT96" i="329"/>
  <c r="AX126" i="329"/>
  <c r="EJ125" i="329"/>
  <c r="EJ126" i="329" s="1"/>
  <c r="CD139" i="329"/>
  <c r="CH138" i="329" s="1"/>
  <c r="CH137" i="329" s="1"/>
  <c r="CH111" i="329" s="1"/>
  <c r="CT118" i="329" s="1"/>
  <c r="BV128" i="329"/>
  <c r="CD125" i="329"/>
  <c r="BZ128" i="329"/>
  <c r="CW99" i="2"/>
  <c r="CS99" i="2"/>
  <c r="BS380" i="329"/>
  <c r="EW343" i="329"/>
  <c r="BR245" i="329"/>
  <c r="BN245" i="329"/>
  <c r="BN374" i="329"/>
  <c r="FE119" i="2"/>
  <c r="FG123" i="2"/>
  <c r="AJ382" i="329"/>
  <c r="AJ375" i="329"/>
  <c r="DY374" i="329"/>
  <c r="DY375" i="329" s="1"/>
  <c r="DY50" i="329"/>
  <c r="DY92" i="329"/>
  <c r="AE50" i="329"/>
  <c r="AE51" i="329" s="1"/>
  <c r="AF50" i="329"/>
  <c r="AT107" i="329"/>
  <c r="CX118" i="329"/>
  <c r="CP116" i="329"/>
  <c r="CT117" i="329"/>
  <c r="EU326" i="329"/>
  <c r="EU324" i="329"/>
  <c r="CG88" i="3"/>
  <c r="CH60" i="3"/>
  <c r="DF344" i="329"/>
  <c r="EF308" i="329"/>
  <c r="EG296" i="329"/>
  <c r="EG297" i="329"/>
  <c r="BN308" i="329"/>
  <c r="BR296" i="329"/>
  <c r="BN296" i="329"/>
  <c r="BZ296" i="329"/>
  <c r="CI169" i="2"/>
  <c r="CI201" i="2"/>
  <c r="CU93" i="4"/>
  <c r="CU95" i="4" s="1"/>
  <c r="CT95" i="4"/>
  <c r="BK233" i="2"/>
  <c r="AP382" i="329"/>
  <c r="P92" i="329"/>
  <c r="P374" i="329"/>
  <c r="T375" i="329" s="1"/>
  <c r="P50" i="329"/>
  <c r="Q50" i="329"/>
  <c r="BW371" i="329"/>
  <c r="BW87" i="329"/>
  <c r="BU34" i="329"/>
  <c r="BU33" i="329"/>
  <c r="BU30" i="329"/>
  <c r="BU31" i="329"/>
  <c r="BU35" i="329"/>
  <c r="BU29" i="329"/>
  <c r="BU32" i="329"/>
  <c r="EO44" i="329"/>
  <c r="AC371" i="329"/>
  <c r="AC372" i="329" s="1"/>
  <c r="AC49" i="329"/>
  <c r="AC83" i="329" s="1"/>
  <c r="AD49" i="329"/>
  <c r="AO107" i="329"/>
  <c r="AU107" i="329"/>
  <c r="AB92" i="329"/>
  <c r="AB374" i="329"/>
  <c r="AB50" i="329"/>
  <c r="AC50" i="329"/>
  <c r="AY95" i="329"/>
  <c r="AY123" i="329" s="1"/>
  <c r="AY107" i="329"/>
  <c r="W371" i="329"/>
  <c r="X49" i="329"/>
  <c r="W49" i="329"/>
  <c r="EV35" i="329"/>
  <c r="EO39" i="329"/>
  <c r="BV21" i="329"/>
  <c r="EP21" i="329" s="1"/>
  <c r="EP12" i="329" s="1"/>
  <c r="P49" i="329"/>
  <c r="O49" i="329"/>
  <c r="O371" i="329"/>
  <c r="BZ390" i="329"/>
  <c r="BZ385" i="329"/>
  <c r="BZ383" i="329"/>
  <c r="BD107" i="329"/>
  <c r="BH110" i="329" s="1"/>
  <c r="BH122" i="329" s="1"/>
  <c r="BH95" i="329"/>
  <c r="BD95" i="329"/>
  <c r="AN107" i="329"/>
  <c r="AR110" i="329" s="1"/>
  <c r="EG94" i="329"/>
  <c r="EW49" i="329"/>
  <c r="X50" i="329"/>
  <c r="Y50" i="329"/>
  <c r="X374" i="329"/>
  <c r="X375" i="329" s="1"/>
  <c r="X92" i="329"/>
  <c r="AX95" i="329"/>
  <c r="BC95" i="329"/>
  <c r="BC123" i="329" s="1"/>
  <c r="BC107" i="329"/>
  <c r="BW90" i="329"/>
  <c r="CE90" i="329"/>
  <c r="AW107" i="329"/>
  <c r="BR33" i="329"/>
  <c r="BR34" i="329"/>
  <c r="BZ92" i="329"/>
  <c r="BR35" i="329"/>
  <c r="BR29" i="329"/>
  <c r="BR92" i="329"/>
  <c r="BR31" i="329"/>
  <c r="BR30" i="329"/>
  <c r="BR32" i="329"/>
  <c r="AN49" i="329"/>
  <c r="AM49" i="329"/>
  <c r="AN106" i="329"/>
  <c r="BO95" i="329"/>
  <c r="EM94" i="329"/>
  <c r="BK95" i="329"/>
  <c r="BK123" i="329" s="1"/>
  <c r="BK107" i="329"/>
  <c r="BO110" i="329" s="1"/>
  <c r="W382" i="329"/>
  <c r="AA93" i="329"/>
  <c r="W105" i="329"/>
  <c r="W94" i="329"/>
  <c r="AH32" i="329"/>
  <c r="AH50" i="329"/>
  <c r="AH29" i="329"/>
  <c r="AH31" i="329"/>
  <c r="AH33" i="329"/>
  <c r="AH30" i="329"/>
  <c r="AI50" i="329"/>
  <c r="S374" i="329"/>
  <c r="S375" i="329" s="1"/>
  <c r="S50" i="329"/>
  <c r="S92" i="329"/>
  <c r="T50" i="329"/>
  <c r="AX106" i="329"/>
  <c r="BM107" i="329"/>
  <c r="BQ110" i="329" s="1"/>
  <c r="BQ122" i="329" s="1"/>
  <c r="BR112" i="4"/>
  <c r="BR390" i="329"/>
  <c r="BR385" i="329"/>
  <c r="BR383" i="329"/>
  <c r="BR142" i="2" s="1"/>
  <c r="AW106" i="329"/>
  <c r="EI105" i="329"/>
  <c r="BA106" i="329"/>
  <c r="EW44" i="329"/>
  <c r="CU29" i="329"/>
  <c r="CU32" i="329"/>
  <c r="CU35" i="329"/>
  <c r="CU30" i="329"/>
  <c r="CU34" i="329"/>
  <c r="CU33" i="329"/>
  <c r="CV44" i="329"/>
  <c r="CU31" i="329"/>
  <c r="CU50" i="329"/>
  <c r="CY51" i="329" s="1"/>
  <c r="EO11" i="329"/>
  <c r="EO26" i="329"/>
  <c r="AG371" i="329"/>
  <c r="AG372" i="329" s="1"/>
  <c r="AG49" i="329"/>
  <c r="AH49" i="329"/>
  <c r="BG107" i="329"/>
  <c r="BG95" i="329"/>
  <c r="BG123" i="329" s="1"/>
  <c r="CV64" i="329"/>
  <c r="AE382" i="329"/>
  <c r="AE375" i="329"/>
  <c r="EE92" i="329"/>
  <c r="EE374" i="329"/>
  <c r="AS94" i="329"/>
  <c r="AR105" i="329"/>
  <c r="AR93" i="329"/>
  <c r="AV93" i="329"/>
  <c r="CN299" i="329"/>
  <c r="CR291" i="329"/>
  <c r="CR304" i="329"/>
  <c r="CV305" i="329" s="1"/>
  <c r="CV291" i="329"/>
  <c r="CS292" i="329"/>
  <c r="CS306" i="329" s="1"/>
  <c r="CW307" i="329" s="1"/>
  <c r="CS293" i="329"/>
  <c r="EM297" i="329"/>
  <c r="EM296" i="329"/>
  <c r="EM308" i="329"/>
  <c r="EM309" i="329" s="1"/>
  <c r="BN297" i="329"/>
  <c r="AT382" i="329"/>
  <c r="AX375" i="329"/>
  <c r="AT375" i="329"/>
  <c r="CN308" i="329"/>
  <c r="CN296" i="329"/>
  <c r="CN297" i="329"/>
  <c r="CO297" i="329"/>
  <c r="CO301" i="329" s="1"/>
  <c r="BX297" i="329"/>
  <c r="BX299" i="329"/>
  <c r="BX300" i="329" s="1"/>
  <c r="BX308" i="329"/>
  <c r="BX309" i="329" s="1"/>
  <c r="BY297" i="329"/>
  <c r="BX296" i="329"/>
  <c r="BL308" i="329"/>
  <c r="BL296" i="329"/>
  <c r="BL297" i="329"/>
  <c r="AZ245" i="329"/>
  <c r="BD245" i="329"/>
  <c r="AZ374" i="329"/>
  <c r="BJ390" i="329"/>
  <c r="BK383" i="329"/>
  <c r="BK142" i="2" s="1"/>
  <c r="BJ112" i="4"/>
  <c r="BK113" i="4" s="1"/>
  <c r="BJ383" i="329"/>
  <c r="BJ142" i="2" s="1"/>
  <c r="CR296" i="329"/>
  <c r="CR297" i="329"/>
  <c r="CR308" i="329"/>
  <c r="CV309" i="329" s="1"/>
  <c r="CR299" i="329"/>
  <c r="CV300" i="329" s="1"/>
  <c r="CS297" i="329"/>
  <c r="AZ297" i="329"/>
  <c r="AZ308" i="329"/>
  <c r="AZ296" i="329"/>
  <c r="BA297" i="329"/>
  <c r="BX245" i="329"/>
  <c r="CV245" i="329"/>
  <c r="BL245" i="329"/>
  <c r="BL374" i="329"/>
  <c r="BH308" i="329"/>
  <c r="BH296" i="329"/>
  <c r="BI297" i="329"/>
  <c r="AV374" i="329"/>
  <c r="AV245" i="329"/>
  <c r="BN313" i="329"/>
  <c r="BN320" i="329" s="1"/>
  <c r="AU310" i="329"/>
  <c r="AY298" i="329"/>
  <c r="BH245" i="329"/>
  <c r="BH374" i="329"/>
  <c r="DC234" i="2"/>
  <c r="BX305" i="329"/>
  <c r="CN304" i="329"/>
  <c r="CN293" i="329"/>
  <c r="CN292" i="329"/>
  <c r="CN306" i="329" s="1"/>
  <c r="BR293" i="329"/>
  <c r="BQ304" i="329"/>
  <c r="BU305" i="329" s="1"/>
  <c r="BR292" i="329"/>
  <c r="BR306" i="329" s="1"/>
  <c r="BZ293" i="329"/>
  <c r="CC291" i="329"/>
  <c r="BQ299" i="329"/>
  <c r="BU300" i="329" s="1"/>
  <c r="BZ292" i="329"/>
  <c r="BZ306" i="329" s="1"/>
  <c r="CD307" i="329" s="1"/>
  <c r="EW295" i="329"/>
  <c r="DA296" i="329"/>
  <c r="DA297" i="329"/>
  <c r="BD296" i="329"/>
  <c r="AV297" i="329"/>
  <c r="AV308" i="329"/>
  <c r="AW297" i="329"/>
  <c r="AV296" i="329"/>
  <c r="CI305" i="329"/>
  <c r="CE305" i="329"/>
  <c r="BM374" i="329"/>
  <c r="BM245" i="329"/>
  <c r="BQ245" i="329"/>
  <c r="EO248" i="329"/>
  <c r="EO273" i="329"/>
  <c r="EO243" i="329" s="1"/>
  <c r="CU245" i="329"/>
  <c r="CU374" i="329"/>
  <c r="AO309" i="329"/>
  <c r="AJ297" i="329"/>
  <c r="AI297" i="329"/>
  <c r="CJ292" i="329"/>
  <c r="CJ306" i="329" s="1"/>
  <c r="CJ293" i="329"/>
  <c r="CK293" i="329"/>
  <c r="CK292" i="329"/>
  <c r="CJ291" i="329"/>
  <c r="CJ304" i="329"/>
  <c r="CJ305" i="329" s="1"/>
  <c r="CJ299" i="329"/>
  <c r="CJ300" i="329" s="1"/>
  <c r="EJ245" i="329"/>
  <c r="EI245" i="329"/>
  <c r="BG308" i="329"/>
  <c r="BG297" i="329"/>
  <c r="BH297" i="329"/>
  <c r="BG296" i="329"/>
  <c r="BK296" i="329"/>
  <c r="CX245" i="329"/>
  <c r="DA305" i="329"/>
  <c r="CW305" i="329"/>
  <c r="CM292" i="329"/>
  <c r="CM306" i="329" s="1"/>
  <c r="CL291" i="329"/>
  <c r="CL304" i="329"/>
  <c r="CL292" i="329"/>
  <c r="CL306" i="329" s="1"/>
  <c r="CL293" i="329"/>
  <c r="BA309" i="329"/>
  <c r="EI308" i="329"/>
  <c r="AW309" i="329"/>
  <c r="BE382" i="329"/>
  <c r="BI375" i="329"/>
  <c r="DB245" i="329"/>
  <c r="CG305" i="329"/>
  <c r="BW298" i="329"/>
  <c r="BW321" i="329" s="1"/>
  <c r="BS310" i="329"/>
  <c r="EH297" i="329"/>
  <c r="EH296" i="329"/>
  <c r="EV248" i="329"/>
  <c r="EV276" i="329" s="1"/>
  <c r="EV273" i="329"/>
  <c r="EK244" i="329"/>
  <c r="EK295" i="329"/>
  <c r="CZ273" i="329"/>
  <c r="DA245" i="329"/>
  <c r="BW245" i="329"/>
  <c r="BS374" i="329"/>
  <c r="CX310" i="329"/>
  <c r="CX301" i="329"/>
  <c r="CX298" i="329"/>
  <c r="CX321" i="329" s="1"/>
  <c r="CL308" i="329"/>
  <c r="CL299" i="329"/>
  <c r="CM297" i="329"/>
  <c r="CL296" i="329"/>
  <c r="CL297" i="329"/>
  <c r="BJ254" i="329"/>
  <c r="BK254" i="329" s="1"/>
  <c r="BL254" i="329" s="1"/>
  <c r="BM254" i="329" s="1"/>
  <c r="EM254" i="329"/>
  <c r="BN254" i="329" s="1"/>
  <c r="BO254" i="329" s="1"/>
  <c r="BP254" i="329" s="1"/>
  <c r="BQ268" i="329" s="1"/>
  <c r="EN268" i="329" s="1"/>
  <c r="CJ165" i="2"/>
  <c r="CJ310" i="329"/>
  <c r="CJ298" i="329"/>
  <c r="CJ321" i="329" s="1"/>
  <c r="EV308" i="329"/>
  <c r="EV296" i="329"/>
  <c r="EV297" i="329"/>
  <c r="BY300" i="329"/>
  <c r="EO245" i="329"/>
  <c r="EN245" i="329"/>
  <c r="EN374" i="329"/>
  <c r="EN382" i="329" s="1"/>
  <c r="CQ304" i="329"/>
  <c r="CQ293" i="329"/>
  <c r="CQ291" i="329"/>
  <c r="CR292" i="329"/>
  <c r="CQ299" i="329"/>
  <c r="CR293" i="329"/>
  <c r="EU248" i="329"/>
  <c r="EU273" i="329"/>
  <c r="EU243" i="329" s="1"/>
  <c r="CD382" i="329"/>
  <c r="BV375" i="329"/>
  <c r="BM296" i="329"/>
  <c r="BM297" i="329"/>
  <c r="BM308" i="329"/>
  <c r="BQ296" i="329"/>
  <c r="BI296" i="329"/>
  <c r="BE308" i="329"/>
  <c r="BE297" i="329"/>
  <c r="BE296" i="329"/>
  <c r="BF297" i="329"/>
  <c r="CY273" i="329"/>
  <c r="DB310" i="329"/>
  <c r="DF313" i="329" s="1"/>
  <c r="DF320" i="329" s="1"/>
  <c r="DB301" i="329"/>
  <c r="DB298" i="329"/>
  <c r="DB321" i="329" s="1"/>
  <c r="BU380" i="329"/>
  <c r="CJ245" i="329"/>
  <c r="CO306" i="329"/>
  <c r="DC374" i="329"/>
  <c r="DC245" i="329"/>
  <c r="CT245" i="329"/>
  <c r="CT374" i="329"/>
  <c r="CP245" i="329"/>
  <c r="CD296" i="329"/>
  <c r="CE297" i="329"/>
  <c r="CD308" i="329"/>
  <c r="CH296" i="329"/>
  <c r="CD299" i="329"/>
  <c r="CD297" i="329"/>
  <c r="AL259" i="329"/>
  <c r="AL242" i="329" s="1"/>
  <c r="AL371" i="329" s="1"/>
  <c r="AL372" i="329" s="1"/>
  <c r="AM249" i="329"/>
  <c r="AX310" i="329"/>
  <c r="AX298" i="329"/>
  <c r="CD305" i="329"/>
  <c r="BY309" i="329"/>
  <c r="BU309" i="329"/>
  <c r="DD382" i="329"/>
  <c r="DA313" i="329"/>
  <c r="DA320" i="329" s="1"/>
  <c r="EU298" i="329"/>
  <c r="EU310" i="329"/>
  <c r="CX165" i="2"/>
  <c r="EP248" i="329"/>
  <c r="EP273" i="329"/>
  <c r="EP243" i="329" s="1"/>
  <c r="CU165" i="2"/>
  <c r="CY234" i="2" s="1"/>
  <c r="CU310" i="329"/>
  <c r="CY313" i="329" s="1"/>
  <c r="CY298" i="329"/>
  <c r="CY321" i="329" s="1"/>
  <c r="CU301" i="329"/>
  <c r="CU291" i="329"/>
  <c r="CW245" i="329"/>
  <c r="AI382" i="329"/>
  <c r="AI375" i="329"/>
  <c r="BV304" i="329"/>
  <c r="BV305" i="329" s="1"/>
  <c r="BW292" i="329"/>
  <c r="BW293" i="329"/>
  <c r="BV292" i="329"/>
  <c r="BV293" i="329"/>
  <c r="BV299" i="329"/>
  <c r="BV300" i="329" s="1"/>
  <c r="BV291" i="329"/>
  <c r="BV378" i="329"/>
  <c r="EI296" i="329"/>
  <c r="EI297" i="329"/>
  <c r="BG245" i="329"/>
  <c r="BG374" i="329"/>
  <c r="CX309" i="329"/>
  <c r="CX300" i="329"/>
  <c r="CP308" i="329"/>
  <c r="CQ297" i="329"/>
  <c r="CP299" i="329"/>
  <c r="CP296" i="329"/>
  <c r="CT291" i="329"/>
  <c r="CQ292" i="329"/>
  <c r="CQ306" i="329" s="1"/>
  <c r="CP292" i="329"/>
  <c r="CP291" i="329"/>
  <c r="CP293" i="329"/>
  <c r="CP304" i="329"/>
  <c r="AK242" i="329"/>
  <c r="EF259" i="329"/>
  <c r="ES248" i="329"/>
  <c r="ES273" i="329"/>
  <c r="ES243" i="329" s="1"/>
  <c r="CY245" i="329"/>
  <c r="BT301" i="329"/>
  <c r="BT310" i="329"/>
  <c r="CG382" i="329"/>
  <c r="BY382" i="329"/>
  <c r="CC379" i="329"/>
  <c r="CC250" i="2" s="1"/>
  <c r="CC380" i="329"/>
  <c r="CC388" i="329"/>
  <c r="CG300" i="329"/>
  <c r="CB382" i="329"/>
  <c r="BX375" i="329"/>
  <c r="BT382" i="329"/>
  <c r="DD324" i="329"/>
  <c r="DD395" i="329"/>
  <c r="DD396" i="329" s="1"/>
  <c r="EQ297" i="329"/>
  <c r="EN296" i="329"/>
  <c r="BR297" i="329"/>
  <c r="EO296" i="329"/>
  <c r="EN308" i="329"/>
  <c r="EN297" i="329"/>
  <c r="BZ297" i="329"/>
  <c r="EQ296" i="329"/>
  <c r="EO297" i="329"/>
  <c r="FE77" i="2"/>
  <c r="FD92" i="2"/>
  <c r="BA28" i="4"/>
  <c r="BU27" i="4"/>
  <c r="BU28" i="4"/>
  <c r="X101" i="2"/>
  <c r="AM112" i="4"/>
  <c r="AM390" i="329"/>
  <c r="ET85" i="2"/>
  <c r="AC34" i="2"/>
  <c r="AC105" i="3"/>
  <c r="AC37" i="2"/>
  <c r="AC88" i="2"/>
  <c r="CS339" i="329"/>
  <c r="CS340" i="329" s="1"/>
  <c r="CW339" i="329"/>
  <c r="G84" i="2"/>
  <c r="K112" i="2"/>
  <c r="G112" i="3"/>
  <c r="G112" i="2"/>
  <c r="CK227" i="2"/>
  <c r="CG187" i="2"/>
  <c r="CG227" i="2"/>
  <c r="AL4" i="4"/>
  <c r="DT5" i="4"/>
  <c r="CS8" i="2"/>
  <c r="CS177" i="2"/>
  <c r="CW223" i="2"/>
  <c r="CZ165" i="2"/>
  <c r="CZ234" i="2" s="1"/>
  <c r="CZ301" i="329"/>
  <c r="DD298" i="329"/>
  <c r="DD321" i="329" s="1"/>
  <c r="CZ298" i="329"/>
  <c r="CZ321" i="329" s="1"/>
  <c r="CZ310" i="329"/>
  <c r="EE68" i="3"/>
  <c r="CM9" i="2"/>
  <c r="EC143" i="329"/>
  <c r="EE142" i="329"/>
  <c r="ED143" i="329"/>
  <c r="EC141" i="329"/>
  <c r="EE143" i="329"/>
  <c r="ED141" i="329"/>
  <c r="EC142" i="329"/>
  <c r="ED142" i="329"/>
  <c r="AS14" i="329"/>
  <c r="AR41" i="329"/>
  <c r="EA82" i="3"/>
  <c r="BJ175" i="2"/>
  <c r="BJ221" i="2"/>
  <c r="EL230" i="2"/>
  <c r="BL213" i="2"/>
  <c r="BP213" i="2"/>
  <c r="EJ141" i="329"/>
  <c r="EJ143" i="329"/>
  <c r="EJ142" i="329"/>
  <c r="BD42" i="4"/>
  <c r="BD98" i="4" s="1"/>
  <c r="BD63" i="4"/>
  <c r="EJ103" i="3"/>
  <c r="EW85" i="2"/>
  <c r="BB276" i="329"/>
  <c r="BB287" i="329" s="1"/>
  <c r="BC248" i="329"/>
  <c r="EQ16" i="2"/>
  <c r="EQ254" i="2" s="1"/>
  <c r="CC79" i="2"/>
  <c r="CG94" i="2" s="1"/>
  <c r="CC109" i="2"/>
  <c r="CG109" i="2"/>
  <c r="BT117" i="4"/>
  <c r="BT54" i="4"/>
  <c r="BX42" i="4"/>
  <c r="BX98" i="4" s="1"/>
  <c r="BX63" i="4"/>
  <c r="EX83" i="329"/>
  <c r="EX90" i="329" s="1"/>
  <c r="DC90" i="329"/>
  <c r="BI118" i="329"/>
  <c r="BQ118" i="329"/>
  <c r="BM116" i="329"/>
  <c r="BM117" i="329"/>
  <c r="BM118" i="329"/>
  <c r="BI116" i="329"/>
  <c r="BI117" i="329"/>
  <c r="BQ117" i="329"/>
  <c r="EA374" i="329"/>
  <c r="EA92" i="329"/>
  <c r="BY8" i="4"/>
  <c r="BY29" i="4" s="1"/>
  <c r="BQ34" i="4"/>
  <c r="BQ40" i="4" s="1"/>
  <c r="CZ227" i="2"/>
  <c r="DD227" i="2"/>
  <c r="EW157" i="2"/>
  <c r="CK90" i="329"/>
  <c r="CO90" i="329"/>
  <c r="DP71" i="3"/>
  <c r="DP127" i="3"/>
  <c r="F100" i="2"/>
  <c r="BF248" i="329"/>
  <c r="EK276" i="329"/>
  <c r="EL248" i="329"/>
  <c r="CS331" i="329"/>
  <c r="CS332" i="329" s="1"/>
  <c r="EU355" i="329"/>
  <c r="EV355" i="329"/>
  <c r="DM123" i="3"/>
  <c r="DL124" i="3"/>
  <c r="BA175" i="2"/>
  <c r="BE221" i="2"/>
  <c r="CH68" i="3"/>
  <c r="CY305" i="329"/>
  <c r="DC305" i="329"/>
  <c r="CY300" i="329"/>
  <c r="DC300" i="329"/>
  <c r="EK193" i="2"/>
  <c r="EK230" i="2"/>
  <c r="BL86" i="2"/>
  <c r="BL87" i="2"/>
  <c r="BL30" i="2"/>
  <c r="CC108" i="2"/>
  <c r="CC76" i="2"/>
  <c r="CC17" i="2"/>
  <c r="AR91" i="2"/>
  <c r="AR127" i="2" s="1"/>
  <c r="AV91" i="2"/>
  <c r="AV127" i="2" s="1"/>
  <c r="CU201" i="2"/>
  <c r="BJ87" i="2"/>
  <c r="BJ30" i="2"/>
  <c r="BJ86" i="2"/>
  <c r="BW20" i="2"/>
  <c r="CY239" i="2"/>
  <c r="BH213" i="2"/>
  <c r="EI142" i="329"/>
  <c r="EI141" i="329"/>
  <c r="EI143" i="329"/>
  <c r="BF126" i="329"/>
  <c r="BB105" i="329"/>
  <c r="BB126" i="329"/>
  <c r="EK125" i="329"/>
  <c r="CE109" i="2"/>
  <c r="CM109" i="2"/>
  <c r="ER16" i="2"/>
  <c r="ER254" i="2" s="1"/>
  <c r="CE79" i="2"/>
  <c r="CE80" i="2"/>
  <c r="CE15" i="2"/>
  <c r="BE16" i="4"/>
  <c r="BE29" i="4" s="1"/>
  <c r="BY27" i="4"/>
  <c r="BY28" i="4"/>
  <c r="CS356" i="329"/>
  <c r="BT27" i="4"/>
  <c r="BT28" i="4"/>
  <c r="BT29" i="4"/>
  <c r="BB214" i="2"/>
  <c r="BF214" i="2"/>
  <c r="ET16" i="2"/>
  <c r="ET254" i="2" s="1"/>
  <c r="CS109" i="2"/>
  <c r="CO79" i="2"/>
  <c r="CO109" i="2"/>
  <c r="BJ213" i="2"/>
  <c r="BE53" i="4"/>
  <c r="BE54" i="4" s="1"/>
  <c r="EL176" i="329"/>
  <c r="BK177" i="329"/>
  <c r="BG152" i="329"/>
  <c r="BG164" i="329"/>
  <c r="BG160" i="329"/>
  <c r="BG168" i="329"/>
  <c r="BG156" i="329"/>
  <c r="CF139" i="329"/>
  <c r="CJ138" i="329" s="1"/>
  <c r="CJ137" i="329" s="1"/>
  <c r="CJ111" i="329" s="1"/>
  <c r="CV118" i="329" s="1"/>
  <c r="CF125" i="329"/>
  <c r="CB128" i="329"/>
  <c r="BX128" i="329"/>
  <c r="ER128" i="329"/>
  <c r="BM53" i="4"/>
  <c r="BM54" i="4" s="1"/>
  <c r="EQ79" i="329"/>
  <c r="EO80" i="329"/>
  <c r="AH101" i="2"/>
  <c r="AW105" i="4"/>
  <c r="EI11" i="2"/>
  <c r="AW80" i="2"/>
  <c r="AW15" i="2"/>
  <c r="EI15" i="2" s="1"/>
  <c r="AW19" i="2"/>
  <c r="CL99" i="2"/>
  <c r="F123" i="3"/>
  <c r="E124" i="3"/>
  <c r="AD37" i="2"/>
  <c r="AD105" i="3"/>
  <c r="AD34" i="2"/>
  <c r="AD88" i="2"/>
  <c r="CS350" i="329"/>
  <c r="CW335" i="329"/>
  <c r="CS335" i="329"/>
  <c r="CS336" i="329" s="1"/>
  <c r="EU334" i="329"/>
  <c r="CF99" i="4"/>
  <c r="O96" i="2"/>
  <c r="DT98" i="329"/>
  <c r="AQ382" i="329"/>
  <c r="AU375" i="329"/>
  <c r="AQ375" i="329"/>
  <c r="DD307" i="329"/>
  <c r="CZ307" i="329"/>
  <c r="EG143" i="329"/>
  <c r="EG142" i="329"/>
  <c r="EG141" i="329"/>
  <c r="AR82" i="2"/>
  <c r="AR111" i="2"/>
  <c r="AR111" i="3"/>
  <c r="AR25" i="2"/>
  <c r="AV83" i="2"/>
  <c r="AV111" i="2"/>
  <c r="AR104" i="4"/>
  <c r="AR83" i="2"/>
  <c r="CW92" i="2"/>
  <c r="CY217" i="2"/>
  <c r="BH164" i="2"/>
  <c r="BH168" i="2"/>
  <c r="BH229" i="2"/>
  <c r="BH189" i="2"/>
  <c r="BL164" i="2"/>
  <c r="BP229" i="2"/>
  <c r="BL229" i="2"/>
  <c r="BL168" i="2"/>
  <c r="BL189" i="2"/>
  <c r="BH29" i="4"/>
  <c r="BH28" i="4"/>
  <c r="BH27" i="4"/>
  <c r="BI126" i="329"/>
  <c r="BE105" i="329"/>
  <c r="BE126" i="329"/>
  <c r="BU117" i="4"/>
  <c r="BU54" i="4"/>
  <c r="EH103" i="3"/>
  <c r="EM176" i="329"/>
  <c r="BL177" i="329"/>
  <c r="BL160" i="329"/>
  <c r="BP177" i="329"/>
  <c r="BL168" i="329"/>
  <c r="BL152" i="329"/>
  <c r="BL156" i="329"/>
  <c r="BL164" i="329"/>
  <c r="CR40" i="4"/>
  <c r="AZ29" i="4"/>
  <c r="AZ28" i="4"/>
  <c r="BL63" i="4"/>
  <c r="BL42" i="4"/>
  <c r="BL98" i="4" s="1"/>
  <c r="AR297" i="329"/>
  <c r="AQ296" i="329"/>
  <c r="AQ297" i="329"/>
  <c r="AQ308" i="329"/>
  <c r="AU296" i="329"/>
  <c r="CW15" i="2"/>
  <c r="CW109" i="2"/>
  <c r="CK102" i="3"/>
  <c r="CW80" i="2"/>
  <c r="CW79" i="2"/>
  <c r="DA109" i="2"/>
  <c r="AS52" i="4"/>
  <c r="AS54" i="4" s="1"/>
  <c r="AS63" i="4" s="1"/>
  <c r="BK116" i="329"/>
  <c r="BK117" i="329"/>
  <c r="BK118" i="329"/>
  <c r="BO116" i="329"/>
  <c r="BO117" i="329"/>
  <c r="BO118" i="329"/>
  <c r="BK110" i="329"/>
  <c r="CZ118" i="329"/>
  <c r="CV117" i="329"/>
  <c r="AW53" i="4"/>
  <c r="AW54" i="4" s="1"/>
  <c r="BI24" i="4"/>
  <c r="EF63" i="2"/>
  <c r="EF64" i="2" s="1"/>
  <c r="DT110" i="4"/>
  <c r="DO45" i="3"/>
  <c r="DO71" i="3"/>
  <c r="DO127" i="3"/>
  <c r="BU85" i="329"/>
  <c r="BU374" i="329" s="1"/>
  <c r="CC92" i="329"/>
  <c r="BU92" i="329"/>
  <c r="DN84" i="3"/>
  <c r="DB336" i="329"/>
  <c r="AH34" i="2"/>
  <c r="AH88" i="2"/>
  <c r="AH114" i="2"/>
  <c r="AH105" i="3"/>
  <c r="AH37" i="2"/>
  <c r="EH39" i="4"/>
  <c r="U37" i="2"/>
  <c r="U105" i="3"/>
  <c r="U34" i="2"/>
  <c r="U88" i="2"/>
  <c r="AJ114" i="3"/>
  <c r="CS343" i="329"/>
  <c r="CS344" i="329" s="1"/>
  <c r="CW343" i="329"/>
  <c r="CW347" i="329"/>
  <c r="BY344" i="329"/>
  <c r="CA344" i="329"/>
  <c r="BO344" i="329"/>
  <c r="BS344" i="329"/>
  <c r="DS107" i="329"/>
  <c r="DT97" i="329"/>
  <c r="CW237" i="2"/>
  <c r="CS237" i="2"/>
  <c r="CS199" i="2"/>
  <c r="ER363" i="329"/>
  <c r="CR123" i="3"/>
  <c r="AP90" i="329"/>
  <c r="AP83" i="329"/>
  <c r="AU93" i="329"/>
  <c r="AQ105" i="329"/>
  <c r="AQ93" i="329"/>
  <c r="AQ94" i="329"/>
  <c r="AR94" i="329"/>
  <c r="EF142" i="329"/>
  <c r="EF143" i="329"/>
  <c r="EF141" i="329"/>
  <c r="CY306" i="329"/>
  <c r="CY301" i="329"/>
  <c r="EH143" i="329"/>
  <c r="EH142" i="329"/>
  <c r="EH141" i="329"/>
  <c r="CE81" i="2"/>
  <c r="BD164" i="2"/>
  <c r="BD189" i="2"/>
  <c r="BD212" i="2" s="1"/>
  <c r="BD168" i="2"/>
  <c r="BD229" i="2"/>
  <c r="CC158" i="2"/>
  <c r="CC187" i="2"/>
  <c r="CC210" i="2" s="1"/>
  <c r="CC227" i="2"/>
  <c r="CC170" i="2"/>
  <c r="CF9" i="2"/>
  <c r="CF200" i="2"/>
  <c r="ES43" i="329"/>
  <c r="CP25" i="329"/>
  <c r="EU25" i="329" s="1"/>
  <c r="EU16" i="329" s="1"/>
  <c r="EB83" i="3"/>
  <c r="EY128" i="329"/>
  <c r="BW165" i="329" l="1"/>
  <c r="DM68" i="3"/>
  <c r="CE300" i="329"/>
  <c r="BT379" i="329"/>
  <c r="BU379" i="329"/>
  <c r="BT109" i="3"/>
  <c r="BW372" i="329"/>
  <c r="AY113" i="4"/>
  <c r="DT95" i="329"/>
  <c r="BT388" i="329"/>
  <c r="AE90" i="329"/>
  <c r="CH24" i="329"/>
  <c r="ES24" i="329" s="1"/>
  <c r="ES15" i="329" s="1"/>
  <c r="ES42" i="329" s="1"/>
  <c r="BX382" i="329"/>
  <c r="AZ123" i="329"/>
  <c r="EG106" i="329"/>
  <c r="AD93" i="329"/>
  <c r="R105" i="329"/>
  <c r="R93" i="329"/>
  <c r="V93" i="329"/>
  <c r="Z94" i="329"/>
  <c r="Z95" i="329" s="1"/>
  <c r="Z123" i="329" s="1"/>
  <c r="R382" i="329"/>
  <c r="AC105" i="329"/>
  <c r="AG93" i="329"/>
  <c r="AD94" i="329"/>
  <c r="AH95" i="329" s="1"/>
  <c r="AH123" i="329" s="1"/>
  <c r="EN359" i="329"/>
  <c r="CJ356" i="329"/>
  <c r="AQ94" i="2"/>
  <c r="AS79" i="329"/>
  <c r="CS347" i="329"/>
  <c r="CS348" i="329" s="1"/>
  <c r="AK35" i="329"/>
  <c r="BC208" i="2"/>
  <c r="DX30" i="2"/>
  <c r="DX86" i="2"/>
  <c r="Y114" i="2"/>
  <c r="CD81" i="2"/>
  <c r="CH96" i="2" s="1"/>
  <c r="H112" i="2"/>
  <c r="FD182" i="2"/>
  <c r="FD179" i="2" s="1"/>
  <c r="FD208" i="2" s="1"/>
  <c r="EJ183" i="2"/>
  <c r="CZ8" i="2"/>
  <c r="CN101" i="3" s="1"/>
  <c r="CN97" i="3" s="1"/>
  <c r="DW97" i="2"/>
  <c r="AB113" i="2"/>
  <c r="BT91" i="2"/>
  <c r="BT127" i="2" s="1"/>
  <c r="DM119" i="2"/>
  <c r="CL110" i="2"/>
  <c r="EJ176" i="2"/>
  <c r="H84" i="2"/>
  <c r="EM151" i="2"/>
  <c r="P97" i="2"/>
  <c r="CT177" i="2"/>
  <c r="ED111" i="2"/>
  <c r="L112" i="2"/>
  <c r="BC225" i="2"/>
  <c r="DC120" i="2"/>
  <c r="AS298" i="329"/>
  <c r="AD375" i="329"/>
  <c r="O94" i="329"/>
  <c r="DU94" i="329"/>
  <c r="DU95" i="329" s="1"/>
  <c r="T112" i="4"/>
  <c r="DU105" i="329"/>
  <c r="DU106" i="329" s="1"/>
  <c r="AH375" i="329"/>
  <c r="DU93" i="329"/>
  <c r="CD95" i="2"/>
  <c r="EB81" i="2"/>
  <c r="CH95" i="2"/>
  <c r="EB110" i="2"/>
  <c r="DU71" i="3"/>
  <c r="DA216" i="2"/>
  <c r="AU92" i="2"/>
  <c r="CO60" i="3"/>
  <c r="CN50" i="3"/>
  <c r="CN81" i="3" s="1"/>
  <c r="CN57" i="3"/>
  <c r="CP56" i="3"/>
  <c r="CQ88" i="3"/>
  <c r="CO59" i="3"/>
  <c r="CO55" i="3"/>
  <c r="BW95" i="2"/>
  <c r="CN56" i="3"/>
  <c r="DY20" i="2"/>
  <c r="AS80" i="2"/>
  <c r="CO57" i="3"/>
  <c r="CO50" i="3"/>
  <c r="CN59" i="3"/>
  <c r="CP59" i="3"/>
  <c r="CP127" i="3"/>
  <c r="CF310" i="329"/>
  <c r="CF165" i="2"/>
  <c r="R5" i="2"/>
  <c r="AQ88" i="3"/>
  <c r="Y101" i="2"/>
  <c r="FF69" i="2"/>
  <c r="ET222" i="2"/>
  <c r="CJ94" i="2"/>
  <c r="BP164" i="2"/>
  <c r="BJ123" i="329"/>
  <c r="BD233" i="2"/>
  <c r="BE107" i="329"/>
  <c r="BM95" i="329"/>
  <c r="BM123" i="329" s="1"/>
  <c r="BD166" i="2"/>
  <c r="AZ108" i="329"/>
  <c r="BF107" i="329"/>
  <c r="CV157" i="329"/>
  <c r="CD331" i="329"/>
  <c r="CQ350" i="329"/>
  <c r="AD112" i="4"/>
  <c r="AD390" i="329"/>
  <c r="AD383" i="329"/>
  <c r="EM230" i="2"/>
  <c r="BY225" i="2"/>
  <c r="DD216" i="2"/>
  <c r="DA14" i="4"/>
  <c r="EM14" i="4" s="1"/>
  <c r="DD70" i="2"/>
  <c r="EO34" i="3"/>
  <c r="EP34" i="3" s="1"/>
  <c r="EH71" i="3"/>
  <c r="EH45" i="3"/>
  <c r="DX68" i="3"/>
  <c r="ED71" i="3"/>
  <c r="ED45" i="3"/>
  <c r="ES347" i="329"/>
  <c r="BI25" i="2"/>
  <c r="BI104" i="4"/>
  <c r="ET346" i="329"/>
  <c r="ET363" i="329" s="1"/>
  <c r="EO151" i="2"/>
  <c r="EO175" i="2" s="1"/>
  <c r="CN356" i="329"/>
  <c r="EO334" i="329"/>
  <c r="EO360" i="329" s="1"/>
  <c r="DH119" i="2"/>
  <c r="DL123" i="2"/>
  <c r="EU342" i="329"/>
  <c r="BS301" i="329"/>
  <c r="CJ307" i="329"/>
  <c r="BI82" i="2"/>
  <c r="BV339" i="329"/>
  <c r="CV348" i="329"/>
  <c r="CL331" i="329"/>
  <c r="EO355" i="329"/>
  <c r="AU94" i="2"/>
  <c r="BM111" i="2"/>
  <c r="BR339" i="329"/>
  <c r="CE178" i="329"/>
  <c r="BW161" i="329"/>
  <c r="DD214" i="2"/>
  <c r="CZ343" i="329"/>
  <c r="DD344" i="329" s="1"/>
  <c r="CV350" i="329"/>
  <c r="BJ172" i="329"/>
  <c r="CP300" i="329"/>
  <c r="BH309" i="329"/>
  <c r="CN340" i="329"/>
  <c r="EM126" i="329"/>
  <c r="CX356" i="329"/>
  <c r="AL82" i="2"/>
  <c r="AL97" i="2" s="1"/>
  <c r="CX332" i="329"/>
  <c r="BT335" i="329"/>
  <c r="CE309" i="329"/>
  <c r="EO19" i="3"/>
  <c r="EP19" i="3" s="1"/>
  <c r="EN39" i="4"/>
  <c r="CT335" i="329"/>
  <c r="CX336" i="329" s="1"/>
  <c r="CP335" i="329"/>
  <c r="CU157" i="329"/>
  <c r="CQ157" i="329"/>
  <c r="EU156" i="329"/>
  <c r="CF88" i="3"/>
  <c r="CH59" i="3"/>
  <c r="AI304" i="329"/>
  <c r="AI292" i="329"/>
  <c r="AK107" i="329"/>
  <c r="AO110" i="329" s="1"/>
  <c r="EF94" i="329"/>
  <c r="EG95" i="329" s="1"/>
  <c r="EG123" i="329" s="1"/>
  <c r="EK94" i="329"/>
  <c r="BF95" i="329"/>
  <c r="BF123" i="329" s="1"/>
  <c r="AE105" i="329"/>
  <c r="AI106" i="329" s="1"/>
  <c r="AI93" i="329"/>
  <c r="AU11" i="329"/>
  <c r="AT38" i="329"/>
  <c r="EG127" i="3"/>
  <c r="EG60" i="3"/>
  <c r="AN132" i="2"/>
  <c r="AM132" i="2"/>
  <c r="CN331" i="329"/>
  <c r="ET330" i="329"/>
  <c r="EZ128" i="329"/>
  <c r="BI123" i="329"/>
  <c r="EQ223" i="2"/>
  <c r="BB107" i="329"/>
  <c r="BF110" i="329" s="1"/>
  <c r="CC300" i="329"/>
  <c r="CX302" i="329"/>
  <c r="AI299" i="329"/>
  <c r="EL94" i="329"/>
  <c r="EM95" i="329" s="1"/>
  <c r="EM123" i="329" s="1"/>
  <c r="BI107" i="329"/>
  <c r="BM110" i="329" s="1"/>
  <c r="BM122" i="329" s="1"/>
  <c r="CH50" i="3"/>
  <c r="CH81" i="3" s="1"/>
  <c r="EO183" i="2"/>
  <c r="EP209" i="2" s="1"/>
  <c r="EP230" i="2"/>
  <c r="AM83" i="2"/>
  <c r="AK95" i="329"/>
  <c r="AK123" i="329" s="1"/>
  <c r="CG301" i="329"/>
  <c r="ET334" i="329"/>
  <c r="ET335" i="329" s="1"/>
  <c r="AJ290" i="329"/>
  <c r="ER362" i="329"/>
  <c r="ET343" i="329"/>
  <c r="CU87" i="329"/>
  <c r="CU101" i="329" s="1"/>
  <c r="DC223" i="2"/>
  <c r="DC8" i="2"/>
  <c r="AN382" i="329"/>
  <c r="AN383" i="329" s="1"/>
  <c r="AN142" i="2" s="1"/>
  <c r="AN375" i="329"/>
  <c r="EQ330" i="329"/>
  <c r="BZ331" i="329"/>
  <c r="CD332" i="329" s="1"/>
  <c r="ER330" i="329"/>
  <c r="ER359" i="329" s="1"/>
  <c r="CH331" i="329"/>
  <c r="CH332" i="329" s="1"/>
  <c r="CD343" i="329"/>
  <c r="CH344" i="329" s="1"/>
  <c r="CL343" i="329"/>
  <c r="CP344" i="329" s="1"/>
  <c r="EI94" i="329"/>
  <c r="EI164" i="2" s="1"/>
  <c r="BA95" i="329"/>
  <c r="BA123" i="329" s="1"/>
  <c r="BU83" i="2"/>
  <c r="BQ83" i="2"/>
  <c r="BU111" i="2"/>
  <c r="BH123" i="329"/>
  <c r="AJ51" i="329"/>
  <c r="AN51" i="329"/>
  <c r="BN113" i="2"/>
  <c r="BB164" i="2"/>
  <c r="BB233" i="2" s="1"/>
  <c r="ES350" i="329"/>
  <c r="ES364" i="329" s="1"/>
  <c r="CR344" i="329"/>
  <c r="V106" i="329"/>
  <c r="CI55" i="3"/>
  <c r="CU332" i="329"/>
  <c r="ER177" i="329"/>
  <c r="EV156" i="329"/>
  <c r="EV182" i="329" s="1"/>
  <c r="EW217" i="329" s="1"/>
  <c r="CR157" i="329"/>
  <c r="CA161" i="329"/>
  <c r="CP94" i="2"/>
  <c r="BE95" i="329"/>
  <c r="BE123" i="329" s="1"/>
  <c r="BL335" i="329"/>
  <c r="EN346" i="329"/>
  <c r="EP58" i="2"/>
  <c r="EP61" i="2" s="1"/>
  <c r="EP62" i="2" s="1"/>
  <c r="ED130" i="3"/>
  <c r="FD180" i="2"/>
  <c r="DU97" i="2"/>
  <c r="EK222" i="2"/>
  <c r="EM85" i="2"/>
  <c r="EM77" i="2"/>
  <c r="EM410" i="329"/>
  <c r="EA100" i="3"/>
  <c r="EA124" i="3" s="1"/>
  <c r="CU110" i="2"/>
  <c r="AQ99" i="2"/>
  <c r="DX20" i="2"/>
  <c r="DS30" i="2"/>
  <c r="EF25" i="2"/>
  <c r="BW225" i="2"/>
  <c r="BC94" i="2"/>
  <c r="EO155" i="2"/>
  <c r="EO179" i="2" s="1"/>
  <c r="EZ23" i="2"/>
  <c r="FA23" i="2" s="1"/>
  <c r="FB23" i="2" s="1"/>
  <c r="FC23" i="2" s="1"/>
  <c r="FD23" i="2" s="1"/>
  <c r="FE23" i="2" s="1"/>
  <c r="FF23" i="2" s="1"/>
  <c r="FG23" i="2" s="1"/>
  <c r="FH23" i="2" s="1"/>
  <c r="Q30" i="2"/>
  <c r="AB87" i="2"/>
  <c r="AQ17" i="2"/>
  <c r="AQ111" i="3" s="1"/>
  <c r="DH125" i="3"/>
  <c r="DY110" i="2"/>
  <c r="EU68" i="2"/>
  <c r="CU96" i="2"/>
  <c r="AE106" i="4"/>
  <c r="EA95" i="2"/>
  <c r="DU45" i="3"/>
  <c r="CH22" i="329"/>
  <c r="ES22" i="329" s="1"/>
  <c r="ES13" i="329" s="1"/>
  <c r="EP40" i="329"/>
  <c r="BL343" i="329"/>
  <c r="BT343" i="329"/>
  <c r="CB343" i="329"/>
  <c r="BS89" i="329"/>
  <c r="CA87" i="329"/>
  <c r="BT89" i="329"/>
  <c r="BD310" i="329"/>
  <c r="BD165" i="2"/>
  <c r="BW310" i="329"/>
  <c r="BW311" i="329" s="1"/>
  <c r="BW165" i="2"/>
  <c r="CA234" i="2" s="1"/>
  <c r="BC309" i="329"/>
  <c r="ET296" i="329"/>
  <c r="CH297" i="329"/>
  <c r="CH298" i="329" s="1"/>
  <c r="CH321" i="329" s="1"/>
  <c r="ER296" i="329"/>
  <c r="ER297" i="329"/>
  <c r="ER298" i="329" s="1"/>
  <c r="ER321" i="329" s="1"/>
  <c r="ER308" i="329"/>
  <c r="ER309" i="329" s="1"/>
  <c r="CE336" i="329"/>
  <c r="AQ91" i="2"/>
  <c r="AQ127" i="2" s="1"/>
  <c r="AU128" i="2"/>
  <c r="BP91" i="2"/>
  <c r="BP127" i="2" s="1"/>
  <c r="CR124" i="3"/>
  <c r="EM160" i="2"/>
  <c r="EM189" i="2" s="1"/>
  <c r="C105" i="3"/>
  <c r="DB234" i="2"/>
  <c r="CH57" i="3"/>
  <c r="CH56" i="3"/>
  <c r="CH55" i="3"/>
  <c r="CH127" i="3"/>
  <c r="EF100" i="3"/>
  <c r="EF50" i="3" s="1"/>
  <c r="EF81" i="3" s="1"/>
  <c r="BV124" i="3"/>
  <c r="BW124" i="3"/>
  <c r="ED55" i="3"/>
  <c r="ED50" i="3"/>
  <c r="ED81" i="3" s="1"/>
  <c r="ED57" i="3"/>
  <c r="CE124" i="3"/>
  <c r="CG124" i="3"/>
  <c r="CB124" i="3"/>
  <c r="EG124" i="3"/>
  <c r="ED59" i="3"/>
  <c r="EH124" i="3"/>
  <c r="ED127" i="3"/>
  <c r="CK124" i="3"/>
  <c r="CN124" i="3"/>
  <c r="ED58" i="3"/>
  <c r="BT86" i="2"/>
  <c r="BY19" i="2"/>
  <c r="BF221" i="2"/>
  <c r="AM25" i="2"/>
  <c r="AM113" i="2" s="1"/>
  <c r="AM104" i="4"/>
  <c r="AM106" i="4" s="1"/>
  <c r="AM111" i="2"/>
  <c r="CA221" i="2"/>
  <c r="CK177" i="2"/>
  <c r="EU222" i="2"/>
  <c r="AM82" i="2"/>
  <c r="AQ92" i="2"/>
  <c r="AQ128" i="2" s="1"/>
  <c r="CF56" i="3"/>
  <c r="EF101" i="3"/>
  <c r="EF52" i="3" s="1"/>
  <c r="Y98" i="2"/>
  <c r="ED51" i="3"/>
  <c r="ED82" i="3" s="1"/>
  <c r="AS105" i="4"/>
  <c r="BP97" i="2"/>
  <c r="BC168" i="2"/>
  <c r="BC170" i="2" s="1"/>
  <c r="BC201" i="2" s="1"/>
  <c r="AQ108" i="2"/>
  <c r="AL25" i="2"/>
  <c r="AF113" i="2"/>
  <c r="AB30" i="2"/>
  <c r="AF114" i="2" s="1"/>
  <c r="AK113" i="2"/>
  <c r="AL112" i="2"/>
  <c r="AL84" i="2"/>
  <c r="AL98" i="2" s="1"/>
  <c r="AL112" i="3"/>
  <c r="AL114" i="3" s="1"/>
  <c r="BA29" i="4"/>
  <c r="BA42" i="4" s="1"/>
  <c r="BA98" i="4" s="1"/>
  <c r="AJ100" i="2"/>
  <c r="EE82" i="3"/>
  <c r="AL104" i="4"/>
  <c r="AL106" i="4" s="1"/>
  <c r="AL111" i="2"/>
  <c r="Q97" i="2"/>
  <c r="CN94" i="2"/>
  <c r="AB97" i="2"/>
  <c r="AF97" i="2"/>
  <c r="M112" i="3"/>
  <c r="M114" i="3" s="1"/>
  <c r="M112" i="2"/>
  <c r="M84" i="2"/>
  <c r="M98" i="2" s="1"/>
  <c r="ES356" i="329"/>
  <c r="ET356" i="329"/>
  <c r="EQ156" i="329"/>
  <c r="EQ182" i="329" s="1"/>
  <c r="ER217" i="329" s="1"/>
  <c r="CI172" i="329"/>
  <c r="BY340" i="329"/>
  <c r="DZ104" i="329"/>
  <c r="BS340" i="329"/>
  <c r="CB331" i="329"/>
  <c r="CF332" i="329" s="1"/>
  <c r="EU330" i="329"/>
  <c r="EU359" i="329" s="1"/>
  <c r="BZ339" i="329"/>
  <c r="BS172" i="329"/>
  <c r="BS186" i="329" s="1"/>
  <c r="BS187" i="329" s="1"/>
  <c r="BP356" i="329"/>
  <c r="CB335" i="329"/>
  <c r="AB101" i="2"/>
  <c r="EG88" i="3"/>
  <c r="EG59" i="3"/>
  <c r="BB221" i="2"/>
  <c r="EG50" i="3"/>
  <c r="EG81" i="3" s="1"/>
  <c r="DY111" i="2"/>
  <c r="FF189" i="2"/>
  <c r="FF212" i="2" s="1"/>
  <c r="DV100" i="3"/>
  <c r="DV60" i="3" s="1"/>
  <c r="EH77" i="2"/>
  <c r="BI221" i="2"/>
  <c r="EL151" i="2"/>
  <c r="EL175" i="2" s="1"/>
  <c r="DR73" i="2"/>
  <c r="DS112" i="2"/>
  <c r="EH407" i="329"/>
  <c r="EH106" i="2" s="1"/>
  <c r="C37" i="2"/>
  <c r="C51" i="2" s="1"/>
  <c r="C54" i="2" s="1"/>
  <c r="EG57" i="3"/>
  <c r="EH410" i="329"/>
  <c r="EH79" i="2"/>
  <c r="EG58" i="3"/>
  <c r="BC86" i="2"/>
  <c r="DR84" i="2"/>
  <c r="EG55" i="3"/>
  <c r="DV103" i="4"/>
  <c r="CH158" i="2"/>
  <c r="BM221" i="2"/>
  <c r="AJ101" i="2"/>
  <c r="BW83" i="2"/>
  <c r="EU346" i="329"/>
  <c r="EU363" i="329" s="1"/>
  <c r="CW331" i="329"/>
  <c r="CW332" i="329" s="1"/>
  <c r="CW63" i="329"/>
  <c r="EV64" i="329" s="1"/>
  <c r="BD108" i="3"/>
  <c r="BD95" i="3" s="1"/>
  <c r="BS109" i="3"/>
  <c r="BS91" i="3" s="1"/>
  <c r="ES343" i="329"/>
  <c r="BT221" i="2"/>
  <c r="BW175" i="2"/>
  <c r="BP199" i="2"/>
  <c r="CB216" i="2" s="1"/>
  <c r="CM117" i="329"/>
  <c r="EL334" i="329"/>
  <c r="BI334" i="329" s="1"/>
  <c r="EP330" i="329"/>
  <c r="EP331" i="329" s="1"/>
  <c r="CP339" i="329"/>
  <c r="CT340" i="329" s="1"/>
  <c r="CD350" i="329"/>
  <c r="ER350" i="329" s="1"/>
  <c r="ER364" i="329" s="1"/>
  <c r="CT172" i="329"/>
  <c r="CT173" i="329" s="1"/>
  <c r="AQ82" i="2"/>
  <c r="EO331" i="329"/>
  <c r="ES41" i="329"/>
  <c r="EQ338" i="329"/>
  <c r="EQ361" i="329" s="1"/>
  <c r="EP177" i="329"/>
  <c r="BS157" i="329"/>
  <c r="AQ25" i="2"/>
  <c r="AQ86" i="2" s="1"/>
  <c r="BP170" i="2"/>
  <c r="BP201" i="2" s="1"/>
  <c r="BZ356" i="329"/>
  <c r="CH170" i="329"/>
  <c r="BL331" i="329"/>
  <c r="BL339" i="329"/>
  <c r="BX343" i="329"/>
  <c r="BX344" i="329" s="1"/>
  <c r="CN350" i="329"/>
  <c r="BH350" i="329"/>
  <c r="EU245" i="329"/>
  <c r="ES245" i="329"/>
  <c r="DG356" i="329"/>
  <c r="EH224" i="329"/>
  <c r="EG224" i="329"/>
  <c r="EG223" i="329"/>
  <c r="EH223" i="329"/>
  <c r="BP343" i="329"/>
  <c r="CF356" i="329"/>
  <c r="BC210" i="2"/>
  <c r="BG210" i="2"/>
  <c r="BL347" i="329"/>
  <c r="BL350" i="329"/>
  <c r="AR309" i="329"/>
  <c r="AU76" i="2"/>
  <c r="AU91" i="2" s="1"/>
  <c r="AU127" i="2" s="1"/>
  <c r="AU17" i="2"/>
  <c r="AN309" i="329"/>
  <c r="ES296" i="329"/>
  <c r="ES308" i="329"/>
  <c r="ES297" i="329"/>
  <c r="EB49" i="329"/>
  <c r="EB83" i="329" s="1"/>
  <c r="EA82" i="329"/>
  <c r="EA371" i="329" s="1"/>
  <c r="EA49" i="329"/>
  <c r="EA83" i="329" s="1"/>
  <c r="AH107" i="329"/>
  <c r="BP347" i="329"/>
  <c r="EU356" i="329"/>
  <c r="EU338" i="329"/>
  <c r="EJ296" i="329"/>
  <c r="CV82" i="329"/>
  <c r="CV371" i="329" s="1"/>
  <c r="EJ105" i="329"/>
  <c r="EJ106" i="329" s="1"/>
  <c r="EJ94" i="329"/>
  <c r="BS388" i="329"/>
  <c r="CB221" i="2"/>
  <c r="BT30" i="2"/>
  <c r="BT34" i="2" s="1"/>
  <c r="BT107" i="4" s="1"/>
  <c r="ER99" i="2"/>
  <c r="BK124" i="3"/>
  <c r="EL342" i="329"/>
  <c r="BI354" i="329"/>
  <c r="BM355" i="329" s="1"/>
  <c r="BQ356" i="329" s="1"/>
  <c r="CD339" i="329"/>
  <c r="CD340" i="329" s="1"/>
  <c r="EN156" i="329"/>
  <c r="EN182" i="329" s="1"/>
  <c r="EO217" i="329" s="1"/>
  <c r="EN164" i="329"/>
  <c r="EN184" i="329" s="1"/>
  <c r="EO219" i="329" s="1"/>
  <c r="CQ340" i="329"/>
  <c r="BM168" i="2"/>
  <c r="BM170" i="2" s="1"/>
  <c r="BM201" i="2" s="1"/>
  <c r="BO340" i="329"/>
  <c r="CQ335" i="329"/>
  <c r="CQ336" i="329" s="1"/>
  <c r="CI165" i="329"/>
  <c r="CM166" i="329" s="1"/>
  <c r="CD335" i="329"/>
  <c r="CD336" i="329" s="1"/>
  <c r="BX335" i="329"/>
  <c r="AQ83" i="2"/>
  <c r="AU108" i="2"/>
  <c r="BX350" i="329"/>
  <c r="EP350" i="329" s="1"/>
  <c r="EP364" i="329" s="1"/>
  <c r="BX347" i="329"/>
  <c r="CN348" i="329"/>
  <c r="EQ334" i="329"/>
  <c r="EQ360" i="329" s="1"/>
  <c r="ET165" i="2"/>
  <c r="EU234" i="2" s="1"/>
  <c r="ET310" i="329"/>
  <c r="EU311" i="329" s="1"/>
  <c r="BP331" i="329"/>
  <c r="CB332" i="329" s="1"/>
  <c r="BP339" i="329"/>
  <c r="BT331" i="329"/>
  <c r="CB347" i="329"/>
  <c r="CB350" i="329"/>
  <c r="CB339" i="329"/>
  <c r="CB340" i="329" s="1"/>
  <c r="CP297" i="329"/>
  <c r="CP301" i="329" s="1"/>
  <c r="EJ297" i="329"/>
  <c r="BT380" i="329"/>
  <c r="AX107" i="329"/>
  <c r="BB110" i="329" s="1"/>
  <c r="BB122" i="329" s="1"/>
  <c r="BD391" i="329"/>
  <c r="BD123" i="329"/>
  <c r="AR375" i="329"/>
  <c r="BP175" i="2"/>
  <c r="BW221" i="2"/>
  <c r="CH335" i="329"/>
  <c r="EL346" i="329"/>
  <c r="BV331" i="329"/>
  <c r="CM336" i="329"/>
  <c r="ER356" i="329"/>
  <c r="CF335" i="329"/>
  <c r="CN336" i="329" s="1"/>
  <c r="BZ350" i="329"/>
  <c r="EQ342" i="329"/>
  <c r="EQ362" i="329" s="1"/>
  <c r="EO156" i="329"/>
  <c r="EO182" i="329" s="1"/>
  <c r="EP217" i="329" s="1"/>
  <c r="CB169" i="329"/>
  <c r="BM106" i="329"/>
  <c r="BW157" i="329"/>
  <c r="CG307" i="329"/>
  <c r="BT350" i="329"/>
  <c r="AQ20" i="2"/>
  <c r="AQ112" i="3" s="1"/>
  <c r="AQ114" i="3" s="1"/>
  <c r="AN310" i="329"/>
  <c r="CF343" i="329"/>
  <c r="CJ348" i="329"/>
  <c r="BP350" i="329"/>
  <c r="BP335" i="329"/>
  <c r="BT356" i="329"/>
  <c r="BT347" i="329"/>
  <c r="CB356" i="329"/>
  <c r="AU93" i="2"/>
  <c r="AQ93" i="2"/>
  <c r="EE130" i="3"/>
  <c r="AK86" i="2"/>
  <c r="AK100" i="2" s="1"/>
  <c r="CV203" i="2"/>
  <c r="CZ203" i="2"/>
  <c r="CQ237" i="2"/>
  <c r="CQ203" i="2"/>
  <c r="CU203" i="2"/>
  <c r="CX237" i="2"/>
  <c r="CX203" i="2"/>
  <c r="DB203" i="2"/>
  <c r="DC217" i="2"/>
  <c r="CA87" i="2"/>
  <c r="EP222" i="2"/>
  <c r="DZ110" i="2"/>
  <c r="CQ128" i="2"/>
  <c r="ET214" i="2"/>
  <c r="AS19" i="2"/>
  <c r="CY201" i="2"/>
  <c r="DC218" i="2" s="1"/>
  <c r="EC59" i="3"/>
  <c r="EE83" i="3"/>
  <c r="DA15" i="2"/>
  <c r="EK213" i="2"/>
  <c r="EK246" i="2" s="1"/>
  <c r="EA110" i="2"/>
  <c r="EH11" i="2"/>
  <c r="N112" i="3"/>
  <c r="N114" i="3" s="1"/>
  <c r="CR128" i="2"/>
  <c r="DW123" i="3"/>
  <c r="EC71" i="3"/>
  <c r="EC45" i="3"/>
  <c r="DV68" i="3"/>
  <c r="EF123" i="3"/>
  <c r="EP99" i="2"/>
  <c r="EP94" i="2"/>
  <c r="R112" i="2"/>
  <c r="AF100" i="2"/>
  <c r="DC177" i="2"/>
  <c r="CV110" i="2"/>
  <c r="FF181" i="2"/>
  <c r="FG181" i="2" s="1"/>
  <c r="CU223" i="2"/>
  <c r="BT113" i="2"/>
  <c r="DB223" i="2"/>
  <c r="EU208" i="2"/>
  <c r="BZ158" i="2"/>
  <c r="BY111" i="3"/>
  <c r="J97" i="2"/>
  <c r="U100" i="2"/>
  <c r="AZ83" i="2"/>
  <c r="AZ25" i="2"/>
  <c r="S97" i="2"/>
  <c r="EM183" i="2"/>
  <c r="EM209" i="2" s="1"/>
  <c r="EM245" i="2" s="1"/>
  <c r="DX113" i="2"/>
  <c r="EC56" i="3"/>
  <c r="CF50" i="3"/>
  <c r="CF81" i="3" s="1"/>
  <c r="I113" i="2"/>
  <c r="U113" i="2"/>
  <c r="DV112" i="2"/>
  <c r="AZ82" i="2"/>
  <c r="AZ97" i="2" s="1"/>
  <c r="AF101" i="2"/>
  <c r="EM222" i="2"/>
  <c r="BC84" i="2"/>
  <c r="BU124" i="3"/>
  <c r="CX8" i="2"/>
  <c r="CX9" i="2" s="1"/>
  <c r="EN78" i="2"/>
  <c r="EQ93" i="2" s="1"/>
  <c r="EJ55" i="3"/>
  <c r="AB106" i="4"/>
  <c r="AZ111" i="3"/>
  <c r="AZ111" i="2"/>
  <c r="Q34" i="2"/>
  <c r="Q119" i="4" s="1"/>
  <c r="AZ104" i="4"/>
  <c r="L97" i="2"/>
  <c r="N84" i="2"/>
  <c r="R98" i="2" s="1"/>
  <c r="ET153" i="2"/>
  <c r="ET177" i="2" s="1"/>
  <c r="DT73" i="2"/>
  <c r="DT72" i="2"/>
  <c r="DT84" i="2"/>
  <c r="DS104" i="4"/>
  <c r="EE82" i="2"/>
  <c r="DS111" i="3"/>
  <c r="EF83" i="2"/>
  <c r="EF111" i="2"/>
  <c r="L30" i="2"/>
  <c r="L86" i="2"/>
  <c r="P100" i="2" s="1"/>
  <c r="P113" i="2"/>
  <c r="L113" i="2"/>
  <c r="L87" i="2"/>
  <c r="ED88" i="3"/>
  <c r="CQ8" i="2"/>
  <c r="CE101" i="3" s="1"/>
  <c r="EC127" i="3"/>
  <c r="EE100" i="3"/>
  <c r="EE57" i="3" s="1"/>
  <c r="BS124" i="3"/>
  <c r="AT112" i="3"/>
  <c r="AT114" i="3" s="1"/>
  <c r="EC107" i="3"/>
  <c r="EC78" i="3" s="1"/>
  <c r="BR20" i="2"/>
  <c r="BR84" i="2" s="1"/>
  <c r="EL160" i="2"/>
  <c r="CP177" i="2"/>
  <c r="CH187" i="2"/>
  <c r="CL210" i="2" s="1"/>
  <c r="Q113" i="2"/>
  <c r="EE111" i="2"/>
  <c r="Q88" i="2"/>
  <c r="BJ112" i="3"/>
  <c r="BJ114" i="3" s="1"/>
  <c r="Q87" i="2"/>
  <c r="U101" i="2" s="1"/>
  <c r="N86" i="2"/>
  <c r="R100" i="2" s="1"/>
  <c r="N87" i="2"/>
  <c r="N30" i="2"/>
  <c r="R114" i="2" s="1"/>
  <c r="AL83" i="2"/>
  <c r="AL111" i="3"/>
  <c r="AL132" i="2"/>
  <c r="EE83" i="2"/>
  <c r="AB34" i="2"/>
  <c r="AB119" i="4" s="1"/>
  <c r="AB88" i="2"/>
  <c r="EJ151" i="2"/>
  <c r="EJ221" i="2" s="1"/>
  <c r="AK42" i="4"/>
  <c r="CQ223" i="2"/>
  <c r="CQ177" i="2"/>
  <c r="EC60" i="3"/>
  <c r="EC50" i="3"/>
  <c r="EC81" i="3" s="1"/>
  <c r="EC84" i="3" s="1"/>
  <c r="EC57" i="3"/>
  <c r="ER222" i="2"/>
  <c r="N96" i="2"/>
  <c r="BG91" i="2"/>
  <c r="BG127" i="2" s="1"/>
  <c r="EQ176" i="2"/>
  <c r="CU79" i="2"/>
  <c r="CY94" i="2" s="1"/>
  <c r="EV253" i="2"/>
  <c r="BA168" i="2"/>
  <c r="BA199" i="2" s="1"/>
  <c r="AI97" i="2"/>
  <c r="Q105" i="3"/>
  <c r="T37" i="2"/>
  <c r="T105" i="3"/>
  <c r="T88" i="2"/>
  <c r="T34" i="2"/>
  <c r="AL91" i="2"/>
  <c r="AL127" i="2" s="1"/>
  <c r="Y100" i="2"/>
  <c r="BT124" i="3"/>
  <c r="EC55" i="3"/>
  <c r="EC124" i="3"/>
  <c r="V96" i="2"/>
  <c r="BQ97" i="2"/>
  <c r="CT223" i="2"/>
  <c r="EJ155" i="2"/>
  <c r="EJ179" i="2" s="1"/>
  <c r="EV16" i="2"/>
  <c r="EV254" i="2" s="1"/>
  <c r="CU80" i="2"/>
  <c r="CY95" i="2" s="1"/>
  <c r="EU253" i="2"/>
  <c r="BE225" i="2"/>
  <c r="CD108" i="2"/>
  <c r="S106" i="4"/>
  <c r="H86" i="2"/>
  <c r="H100" i="2" s="1"/>
  <c r="H113" i="2"/>
  <c r="H87" i="2"/>
  <c r="H101" i="2" s="1"/>
  <c r="H30" i="2"/>
  <c r="W95" i="2"/>
  <c r="S95" i="2"/>
  <c r="T100" i="2"/>
  <c r="Q84" i="2"/>
  <c r="Q112" i="3"/>
  <c r="Q114" i="3" s="1"/>
  <c r="Q112" i="2"/>
  <c r="S110" i="2"/>
  <c r="S81" i="2"/>
  <c r="W110" i="2"/>
  <c r="S20" i="2"/>
  <c r="EW79" i="2"/>
  <c r="EW254" i="2"/>
  <c r="DZ25" i="2"/>
  <c r="DZ86" i="2" s="1"/>
  <c r="T101" i="2"/>
  <c r="DS72" i="2"/>
  <c r="T114" i="2"/>
  <c r="P37" i="2"/>
  <c r="P105" i="3"/>
  <c r="P34" i="2"/>
  <c r="P88" i="2"/>
  <c r="AK105" i="3"/>
  <c r="AK37" i="2"/>
  <c r="AK88" i="2"/>
  <c r="AK34" i="2"/>
  <c r="DX73" i="2"/>
  <c r="EJ160" i="2"/>
  <c r="EJ189" i="2" s="1"/>
  <c r="EJ212" i="2" s="1"/>
  <c r="EJ243" i="2" s="1"/>
  <c r="BQ87" i="2"/>
  <c r="BX221" i="2"/>
  <c r="DS84" i="2"/>
  <c r="BQ30" i="2"/>
  <c r="BQ105" i="3" s="1"/>
  <c r="EJ213" i="2"/>
  <c r="EJ246" i="2" s="1"/>
  <c r="Y112" i="3"/>
  <c r="Y114" i="3" s="1"/>
  <c r="DT112" i="2"/>
  <c r="AF119" i="4"/>
  <c r="AF107" i="4"/>
  <c r="AF116" i="4"/>
  <c r="G87" i="2"/>
  <c r="G30" i="2"/>
  <c r="G86" i="2"/>
  <c r="G100" i="2" s="1"/>
  <c r="AF51" i="2"/>
  <c r="AF54" i="2" s="1"/>
  <c r="AF108" i="4"/>
  <c r="BM132" i="2"/>
  <c r="BV91" i="2"/>
  <c r="BV127" i="2" s="1"/>
  <c r="Y112" i="2"/>
  <c r="BJ91" i="2"/>
  <c r="BJ127" i="2" s="1"/>
  <c r="EU85" i="2"/>
  <c r="EU99" i="2" s="1"/>
  <c r="BN91" i="2"/>
  <c r="BN127" i="2" s="1"/>
  <c r="CH91" i="2"/>
  <c r="CH127" i="2" s="1"/>
  <c r="BW91" i="2"/>
  <c r="BW127" i="2" s="1"/>
  <c r="ED91" i="2"/>
  <c r="ED127" i="2" s="1"/>
  <c r="EA111" i="2"/>
  <c r="EE91" i="2"/>
  <c r="EE127" i="2" s="1"/>
  <c r="BM91" i="2"/>
  <c r="BM127" i="2" s="1"/>
  <c r="EN407" i="329"/>
  <c r="EN106" i="2" s="1"/>
  <c r="BC91" i="2"/>
  <c r="BC127" i="2" s="1"/>
  <c r="EP82" i="2"/>
  <c r="CY214" i="2"/>
  <c r="I87" i="2"/>
  <c r="M101" i="2" s="1"/>
  <c r="I30" i="2"/>
  <c r="DY25" i="2"/>
  <c r="I86" i="2"/>
  <c r="I100" i="2" s="1"/>
  <c r="AK101" i="2"/>
  <c r="EV238" i="2"/>
  <c r="BS95" i="2"/>
  <c r="DV97" i="2"/>
  <c r="DA19" i="2"/>
  <c r="DA81" i="2" s="1"/>
  <c r="AG105" i="3"/>
  <c r="AG34" i="2"/>
  <c r="AG88" i="2"/>
  <c r="AG37" i="2"/>
  <c r="AK114" i="2"/>
  <c r="DQ72" i="2"/>
  <c r="DQ112" i="2"/>
  <c r="DQ84" i="2"/>
  <c r="DQ98" i="2" s="1"/>
  <c r="DQ73" i="2"/>
  <c r="AA84" i="2"/>
  <c r="AA112" i="3"/>
  <c r="AA114" i="3" s="1"/>
  <c r="ET209" i="2"/>
  <c r="ET245" i="2" s="1"/>
  <c r="BP106" i="4"/>
  <c r="O97" i="2"/>
  <c r="M97" i="2"/>
  <c r="DY132" i="2"/>
  <c r="DM111" i="3"/>
  <c r="DM104" i="4"/>
  <c r="DM106" i="4" s="1"/>
  <c r="DY82" i="2"/>
  <c r="DY97" i="2" s="1"/>
  <c r="ES92" i="2"/>
  <c r="DU72" i="2"/>
  <c r="BC112" i="3"/>
  <c r="BC114" i="3" s="1"/>
  <c r="DU112" i="2"/>
  <c r="DU73" i="2"/>
  <c r="DB243" i="2"/>
  <c r="S86" i="2"/>
  <c r="S87" i="2"/>
  <c r="S113" i="2"/>
  <c r="S30" i="2"/>
  <c r="W97" i="2"/>
  <c r="DC243" i="2"/>
  <c r="W112" i="3"/>
  <c r="W114" i="3" s="1"/>
  <c r="W84" i="2"/>
  <c r="AA112" i="2"/>
  <c r="DG105" i="3"/>
  <c r="DS37" i="2"/>
  <c r="DT115" i="2" s="1"/>
  <c r="DS34" i="2"/>
  <c r="DT114" i="2"/>
  <c r="DS88" i="2"/>
  <c r="DT101" i="2" s="1"/>
  <c r="W30" i="2"/>
  <c r="AA114" i="2" s="1"/>
  <c r="W86" i="2"/>
  <c r="AA100" i="2" s="1"/>
  <c r="W87" i="2"/>
  <c r="W113" i="2"/>
  <c r="AE30" i="2"/>
  <c r="AE86" i="2"/>
  <c r="AE100" i="2" s="1"/>
  <c r="AE87" i="2"/>
  <c r="AE113" i="2"/>
  <c r="O87" i="2"/>
  <c r="O113" i="2"/>
  <c r="O30" i="2"/>
  <c r="O86" i="2"/>
  <c r="AA113" i="2"/>
  <c r="AI112" i="3"/>
  <c r="AI114" i="3" s="1"/>
  <c r="AI84" i="2"/>
  <c r="AM98" i="2" s="1"/>
  <c r="F105" i="3"/>
  <c r="F34" i="2"/>
  <c r="F88" i="2"/>
  <c r="F37" i="2"/>
  <c r="DW86" i="2"/>
  <c r="DX100" i="2" s="1"/>
  <c r="DW30" i="2"/>
  <c r="AA34" i="2"/>
  <c r="AA88" i="2"/>
  <c r="AA105" i="3"/>
  <c r="AA37" i="2"/>
  <c r="AI113" i="2"/>
  <c r="AI87" i="2"/>
  <c r="AI30" i="2"/>
  <c r="AI86" i="2"/>
  <c r="F101" i="2"/>
  <c r="K86" i="2"/>
  <c r="K100" i="2" s="1"/>
  <c r="K30" i="2"/>
  <c r="K87" i="2"/>
  <c r="K113" i="2"/>
  <c r="DW73" i="2"/>
  <c r="DW84" i="2"/>
  <c r="DW72" i="2"/>
  <c r="DX95" i="2"/>
  <c r="DY95" i="2"/>
  <c r="BQ19" i="2"/>
  <c r="BQ105" i="4"/>
  <c r="BQ106" i="4" s="1"/>
  <c r="EN11" i="2"/>
  <c r="EB88" i="4" s="1"/>
  <c r="EB84" i="4" s="1"/>
  <c r="BQ15" i="2"/>
  <c r="EN15" i="2" s="1"/>
  <c r="DX81" i="2"/>
  <c r="DX96" i="2" s="1"/>
  <c r="DX110" i="2"/>
  <c r="DD79" i="2"/>
  <c r="DD94" i="2" s="1"/>
  <c r="DD128" i="2" s="1"/>
  <c r="CR102" i="3"/>
  <c r="DB214" i="2"/>
  <c r="R4" i="329"/>
  <c r="EB5" i="329" s="1"/>
  <c r="R4" i="3"/>
  <c r="V5" i="2"/>
  <c r="EG408" i="329"/>
  <c r="EG106" i="2"/>
  <c r="BX84" i="3"/>
  <c r="EJ408" i="329"/>
  <c r="EI106" i="2"/>
  <c r="CT310" i="329"/>
  <c r="CX313" i="329" s="1"/>
  <c r="CT165" i="2"/>
  <c r="CX234" i="2" s="1"/>
  <c r="AK390" i="329"/>
  <c r="AK112" i="4"/>
  <c r="EI40" i="3"/>
  <c r="EI42" i="3" s="1"/>
  <c r="DS123" i="3"/>
  <c r="EU41" i="329"/>
  <c r="AF94" i="329"/>
  <c r="AF107" i="329" s="1"/>
  <c r="AJ110" i="329" s="1"/>
  <c r="AJ122" i="329" s="1"/>
  <c r="AE94" i="329"/>
  <c r="AE95" i="329" s="1"/>
  <c r="AE123" i="329" s="1"/>
  <c r="AE93" i="329"/>
  <c r="EC390" i="329"/>
  <c r="FD162" i="329"/>
  <c r="FE161" i="329"/>
  <c r="BI56" i="329"/>
  <c r="BH58" i="329"/>
  <c r="BH57" i="329"/>
  <c r="BX340" i="329"/>
  <c r="EN87" i="329"/>
  <c r="EQ89" i="329" s="1"/>
  <c r="BU88" i="329"/>
  <c r="FC208" i="2"/>
  <c r="FE182" i="2"/>
  <c r="FE179" i="2" s="1"/>
  <c r="CL348" i="329"/>
  <c r="EI123" i="3"/>
  <c r="EJ123" i="3"/>
  <c r="DP44" i="3"/>
  <c r="DP45" i="3" s="1"/>
  <c r="U45" i="3"/>
  <c r="DN44" i="3"/>
  <c r="DN45" i="3" s="1"/>
  <c r="M45" i="3"/>
  <c r="DM44" i="3"/>
  <c r="DM45" i="3" s="1"/>
  <c r="I45" i="3"/>
  <c r="EN334" i="329"/>
  <c r="CC11" i="2"/>
  <c r="EQ11" i="2" s="1"/>
  <c r="EO11" i="2"/>
  <c r="EC88" i="4" s="1"/>
  <c r="EC84" i="4" s="1"/>
  <c r="EN342" i="329"/>
  <c r="BN350" i="329"/>
  <c r="EN350" i="329" s="1"/>
  <c r="EN364" i="329" s="1"/>
  <c r="DN123" i="3"/>
  <c r="BZ347" i="329"/>
  <c r="CD348" i="329" s="1"/>
  <c r="EQ346" i="329"/>
  <c r="EQ347" i="329" s="1"/>
  <c r="AT77" i="329"/>
  <c r="EH79" i="329"/>
  <c r="EH78" i="329"/>
  <c r="CH348" i="329"/>
  <c r="DR44" i="3"/>
  <c r="DR45" i="3" s="1"/>
  <c r="AC45" i="3"/>
  <c r="EA68" i="3"/>
  <c r="DE69" i="2"/>
  <c r="CS117" i="4"/>
  <c r="EF118" i="4"/>
  <c r="EF46" i="4"/>
  <c r="EB76" i="3"/>
  <c r="EB35" i="3"/>
  <c r="EB44" i="3" s="1"/>
  <c r="EB45" i="3" s="1"/>
  <c r="EB77" i="3"/>
  <c r="EB74" i="3"/>
  <c r="EB122" i="3" s="1"/>
  <c r="EC123" i="3" s="1"/>
  <c r="BX170" i="2"/>
  <c r="BX201" i="2" s="1"/>
  <c r="BX199" i="2"/>
  <c r="CJ57" i="3"/>
  <c r="BS25" i="2"/>
  <c r="BS30" i="2" s="1"/>
  <c r="CA83" i="2"/>
  <c r="BW104" i="4"/>
  <c r="BW106" i="4" s="1"/>
  <c r="CK101" i="3"/>
  <c r="CP223" i="2"/>
  <c r="CP157" i="2"/>
  <c r="CP227" i="2" s="1"/>
  <c r="CD227" i="2"/>
  <c r="BB59" i="3"/>
  <c r="BQ225" i="2"/>
  <c r="BM213" i="2"/>
  <c r="BS104" i="4"/>
  <c r="BS106" i="4" s="1"/>
  <c r="EQ157" i="2"/>
  <c r="EQ187" i="2" s="1"/>
  <c r="BW132" i="2"/>
  <c r="BW82" i="2"/>
  <c r="EU153" i="2"/>
  <c r="EU177" i="2" s="1"/>
  <c r="ER214" i="2"/>
  <c r="BB127" i="3"/>
  <c r="BQ179" i="2"/>
  <c r="CC208" i="2" s="1"/>
  <c r="BW111" i="3"/>
  <c r="BW25" i="2"/>
  <c r="BW30" i="2" s="1"/>
  <c r="CP81" i="3"/>
  <c r="BY111" i="2"/>
  <c r="BY25" i="2"/>
  <c r="BY29" i="2" s="1"/>
  <c r="EP29" i="2" s="1"/>
  <c r="CC225" i="2"/>
  <c r="BC221" i="2"/>
  <c r="BY84" i="3"/>
  <c r="EM193" i="2"/>
  <c r="EM213" i="2" s="1"/>
  <c r="EM246" i="2" s="1"/>
  <c r="BV132" i="2"/>
  <c r="BU132" i="2"/>
  <c r="CP99" i="2"/>
  <c r="BX237" i="2"/>
  <c r="EK151" i="2"/>
  <c r="EK175" i="2" s="1"/>
  <c r="EK155" i="2"/>
  <c r="EK179" i="2" s="1"/>
  <c r="AY189" i="2"/>
  <c r="BC212" i="2" s="1"/>
  <c r="AY168" i="2"/>
  <c r="BS189" i="2"/>
  <c r="BS168" i="2"/>
  <c r="BW237" i="2" s="1"/>
  <c r="BI189" i="2"/>
  <c r="BI212" i="2" s="1"/>
  <c r="BI229" i="2"/>
  <c r="BI168" i="2"/>
  <c r="BS82" i="2"/>
  <c r="CG108" i="2"/>
  <c r="BW111" i="2"/>
  <c r="BG37" i="2"/>
  <c r="CG158" i="2"/>
  <c r="BG87" i="2"/>
  <c r="BG101" i="2" s="1"/>
  <c r="BG221" i="2"/>
  <c r="BX76" i="2"/>
  <c r="BX17" i="2"/>
  <c r="BX108" i="2"/>
  <c r="BW229" i="2"/>
  <c r="BT132" i="2"/>
  <c r="BS111" i="3"/>
  <c r="CG17" i="2"/>
  <c r="CG111" i="2" s="1"/>
  <c r="CM239" i="2"/>
  <c r="BI164" i="2"/>
  <c r="BM233" i="2" s="1"/>
  <c r="CA30" i="2"/>
  <c r="CA34" i="2" s="1"/>
  <c r="BC175" i="2"/>
  <c r="CV99" i="2"/>
  <c r="DB210" i="2"/>
  <c r="CX210" i="2"/>
  <c r="BC199" i="2"/>
  <c r="BG216" i="2" s="1"/>
  <c r="BM189" i="2"/>
  <c r="BM229" i="2"/>
  <c r="EL222" i="2"/>
  <c r="EK183" i="2"/>
  <c r="EL209" i="2" s="1"/>
  <c r="EL245" i="2" s="1"/>
  <c r="EK176" i="2"/>
  <c r="AY164" i="2"/>
  <c r="BC233" i="2" s="1"/>
  <c r="BX158" i="2"/>
  <c r="CD157" i="329"/>
  <c r="CH158" i="329" s="1"/>
  <c r="BZ157" i="329"/>
  <c r="BN169" i="329"/>
  <c r="BJ169" i="329"/>
  <c r="CL178" i="329"/>
  <c r="CP178" i="329"/>
  <c r="BX179" i="2"/>
  <c r="EP155" i="2"/>
  <c r="BX225" i="2"/>
  <c r="BZ161" i="329"/>
  <c r="CD161" i="329"/>
  <c r="BJ165" i="329"/>
  <c r="BF172" i="329"/>
  <c r="CP165" i="329"/>
  <c r="CL165" i="329"/>
  <c r="CL166" i="329" s="1"/>
  <c r="CP153" i="329"/>
  <c r="CT154" i="329" s="1"/>
  <c r="CL153" i="329"/>
  <c r="CD153" i="329"/>
  <c r="CH154" i="329" s="1"/>
  <c r="BZ153" i="329"/>
  <c r="BV172" i="329"/>
  <c r="CP157" i="329"/>
  <c r="CT158" i="329" s="1"/>
  <c r="CL157" i="329"/>
  <c r="CL158" i="329" s="1"/>
  <c r="CL161" i="329"/>
  <c r="CL162" i="329" s="1"/>
  <c r="CP161" i="329"/>
  <c r="EP227" i="2"/>
  <c r="EP187" i="2"/>
  <c r="EP210" i="2" s="1"/>
  <c r="BZ169" i="329"/>
  <c r="CD170" i="329" s="1"/>
  <c r="BZ172" i="329"/>
  <c r="BZ165" i="329"/>
  <c r="CD165" i="329"/>
  <c r="CU15" i="2"/>
  <c r="CI102" i="3"/>
  <c r="CL172" i="329"/>
  <c r="CL169" i="329"/>
  <c r="CL170" i="329" s="1"/>
  <c r="CP169" i="329"/>
  <c r="FA56" i="329"/>
  <c r="FA57" i="329" s="1"/>
  <c r="CV72" i="329"/>
  <c r="CW70" i="329"/>
  <c r="CV71" i="329"/>
  <c r="BU153" i="329"/>
  <c r="BJ339" i="329"/>
  <c r="BN340" i="329" s="1"/>
  <c r="F107" i="329"/>
  <c r="J110" i="329" s="1"/>
  <c r="J122" i="329" s="1"/>
  <c r="BG114" i="2"/>
  <c r="DD239" i="2"/>
  <c r="BN208" i="2"/>
  <c r="AZ127" i="3"/>
  <c r="AO57" i="3"/>
  <c r="EV213" i="2"/>
  <c r="DA201" i="2"/>
  <c r="BS83" i="2"/>
  <c r="BP84" i="2"/>
  <c r="CR15" i="2"/>
  <c r="DD8" i="2"/>
  <c r="CR101" i="3" s="1"/>
  <c r="CR97" i="3" s="1"/>
  <c r="AY60" i="3"/>
  <c r="CM169" i="2"/>
  <c r="CM238" i="2" s="1"/>
  <c r="BQ88" i="2"/>
  <c r="BG86" i="2"/>
  <c r="BG106" i="4"/>
  <c r="CD170" i="2"/>
  <c r="CD239" i="2" s="1"/>
  <c r="CD187" i="2"/>
  <c r="CD210" i="2" s="1"/>
  <c r="BZ17" i="2"/>
  <c r="BZ76" i="2"/>
  <c r="CH227" i="2"/>
  <c r="BG97" i="2"/>
  <c r="CJ127" i="3"/>
  <c r="AY127" i="3"/>
  <c r="BS132" i="2"/>
  <c r="ER223" i="2"/>
  <c r="CH20" i="2"/>
  <c r="CH112" i="2" s="1"/>
  <c r="BT237" i="2"/>
  <c r="BG105" i="3"/>
  <c r="CJ50" i="3"/>
  <c r="CJ81" i="3" s="1"/>
  <c r="BP132" i="2"/>
  <c r="CU99" i="2"/>
  <c r="AX96" i="2"/>
  <c r="CI88" i="3"/>
  <c r="CT93" i="2"/>
  <c r="BO93" i="2"/>
  <c r="AR95" i="2"/>
  <c r="CA238" i="2"/>
  <c r="BT199" i="2"/>
  <c r="AY111" i="2"/>
  <c r="CG60" i="3"/>
  <c r="AY57" i="3"/>
  <c r="AS92" i="2"/>
  <c r="AS128" i="2" s="1"/>
  <c r="BG88" i="2"/>
  <c r="EU231" i="2"/>
  <c r="BV229" i="2"/>
  <c r="AZ59" i="3"/>
  <c r="BS111" i="2"/>
  <c r="AY83" i="2"/>
  <c r="CG59" i="3"/>
  <c r="BG113" i="2"/>
  <c r="EU221" i="2"/>
  <c r="EP213" i="2"/>
  <c r="EU168" i="2"/>
  <c r="BO132" i="2"/>
  <c r="EN230" i="2"/>
  <c r="AZ55" i="3"/>
  <c r="AY55" i="3"/>
  <c r="BR168" i="2"/>
  <c r="BR199" i="2" s="1"/>
  <c r="BC55" i="3"/>
  <c r="AO59" i="3"/>
  <c r="BT97" i="2"/>
  <c r="DC242" i="2"/>
  <c r="CH171" i="2"/>
  <c r="DD246" i="2"/>
  <c r="BZ169" i="2"/>
  <c r="BZ238" i="2" s="1"/>
  <c r="EK160" i="2"/>
  <c r="BZ111" i="3"/>
  <c r="BU29" i="4"/>
  <c r="BU42" i="4" s="1"/>
  <c r="BU98" i="4" s="1"/>
  <c r="CI59" i="3"/>
  <c r="CI50" i="3"/>
  <c r="CI81" i="3" s="1"/>
  <c r="CI56" i="3"/>
  <c r="DO112" i="3"/>
  <c r="DO69" i="3" s="1"/>
  <c r="EJ60" i="3"/>
  <c r="EV59" i="2"/>
  <c r="EV68" i="2"/>
  <c r="AO56" i="3"/>
  <c r="EN108" i="2"/>
  <c r="O98" i="2"/>
  <c r="EJ209" i="2"/>
  <c r="EJ245" i="2" s="1"/>
  <c r="AR106" i="4"/>
  <c r="CH82" i="2"/>
  <c r="CH25" i="2"/>
  <c r="CH87" i="2" s="1"/>
  <c r="CJ55" i="3"/>
  <c r="CI60" i="3"/>
  <c r="CI57" i="3"/>
  <c r="CI127" i="3"/>
  <c r="CD20" i="2"/>
  <c r="CD84" i="2" s="1"/>
  <c r="EJ58" i="3"/>
  <c r="EW168" i="2"/>
  <c r="CD25" i="2"/>
  <c r="CD86" i="2" s="1"/>
  <c r="AP60" i="3"/>
  <c r="AO60" i="3"/>
  <c r="BZ104" i="4"/>
  <c r="BZ106" i="4" s="1"/>
  <c r="CH83" i="2"/>
  <c r="CJ59" i="3"/>
  <c r="CJ60" i="3"/>
  <c r="CJ56" i="3"/>
  <c r="DB237" i="2"/>
  <c r="EN183" i="2"/>
  <c r="EQ209" i="2" s="1"/>
  <c r="EQ245" i="2" s="1"/>
  <c r="EQ222" i="2"/>
  <c r="AO55" i="3"/>
  <c r="AO127" i="3"/>
  <c r="CK63" i="4"/>
  <c r="CA213" i="2"/>
  <c r="BO213" i="2"/>
  <c r="CA52" i="3"/>
  <c r="CA83" i="3" s="1"/>
  <c r="CA84" i="3" s="1"/>
  <c r="BS229" i="2"/>
  <c r="BO164" i="2"/>
  <c r="BO233" i="2" s="1"/>
  <c r="BO189" i="2"/>
  <c r="CA229" i="2"/>
  <c r="BO229" i="2"/>
  <c r="ER8" i="2"/>
  <c r="EU200" i="2"/>
  <c r="EV217" i="2" s="1"/>
  <c r="BF213" i="2"/>
  <c r="BS20" i="2"/>
  <c r="BS112" i="3" s="1"/>
  <c r="AN112" i="2"/>
  <c r="CG55" i="3"/>
  <c r="BJ199" i="2"/>
  <c r="CE57" i="3"/>
  <c r="EJ57" i="3"/>
  <c r="CX199" i="2"/>
  <c r="CX216" i="2" s="1"/>
  <c r="AM112" i="2"/>
  <c r="BK127" i="3"/>
  <c r="BY82" i="2"/>
  <c r="BY97" i="2" s="1"/>
  <c r="EJ59" i="3"/>
  <c r="CA130" i="3"/>
  <c r="CA58" i="3"/>
  <c r="AZ57" i="3"/>
  <c r="AZ56" i="3"/>
  <c r="AY59" i="3"/>
  <c r="BY104" i="4"/>
  <c r="BB57" i="3"/>
  <c r="BC111" i="2"/>
  <c r="CR63" i="4"/>
  <c r="EN222" i="2"/>
  <c r="EO222" i="2"/>
  <c r="EA73" i="2"/>
  <c r="BY91" i="2"/>
  <c r="BY127" i="2" s="1"/>
  <c r="BY83" i="2"/>
  <c r="CE60" i="3"/>
  <c r="EJ50" i="3"/>
  <c r="EJ81" i="3" s="1"/>
  <c r="CD82" i="2"/>
  <c r="AZ50" i="3"/>
  <c r="AZ81" i="3" s="1"/>
  <c r="AZ84" i="3" s="1"/>
  <c r="AZ60" i="3"/>
  <c r="AY50" i="3"/>
  <c r="AY81" i="3" s="1"/>
  <c r="AY84" i="3" s="1"/>
  <c r="EJ56" i="3"/>
  <c r="CX170" i="2"/>
  <c r="BE233" i="2"/>
  <c r="DA80" i="2"/>
  <c r="DA95" i="2" s="1"/>
  <c r="BE19" i="2"/>
  <c r="BE81" i="2" s="1"/>
  <c r="BE15" i="2"/>
  <c r="EK15" i="2" s="1"/>
  <c r="BE105" i="4"/>
  <c r="EK11" i="2"/>
  <c r="CE127" i="3"/>
  <c r="CE56" i="3"/>
  <c r="CE59" i="3"/>
  <c r="CF55" i="3"/>
  <c r="BK59" i="3"/>
  <c r="BK60" i="3"/>
  <c r="BJ127" i="3"/>
  <c r="BK55" i="3"/>
  <c r="CE158" i="2"/>
  <c r="CT95" i="2"/>
  <c r="EO17" i="2"/>
  <c r="BE179" i="2"/>
  <c r="BE208" i="2" s="1"/>
  <c r="EP158" i="2"/>
  <c r="AY111" i="3"/>
  <c r="CG50" i="3"/>
  <c r="CG81" i="3" s="1"/>
  <c r="CF127" i="3"/>
  <c r="CE55" i="3"/>
  <c r="EO107" i="2"/>
  <c r="CF57" i="3"/>
  <c r="BJ55" i="3"/>
  <c r="BJ59" i="3"/>
  <c r="BK56" i="3"/>
  <c r="BJ50" i="3"/>
  <c r="BJ81" i="3" s="1"/>
  <c r="BJ84" i="3" s="1"/>
  <c r="AP112" i="2"/>
  <c r="AM112" i="3"/>
  <c r="AM114" i="3" s="1"/>
  <c r="EH15" i="2"/>
  <c r="AY82" i="2"/>
  <c r="BC97" i="2" s="1"/>
  <c r="CG127" i="3"/>
  <c r="CG56" i="3"/>
  <c r="CG57" i="3"/>
  <c r="CT201" i="2"/>
  <c r="CF60" i="3"/>
  <c r="CE50" i="3"/>
  <c r="CE81" i="3" s="1"/>
  <c r="EB100" i="3"/>
  <c r="BQ124" i="3" s="1"/>
  <c r="CE187" i="2"/>
  <c r="CI210" i="2" s="1"/>
  <c r="BK57" i="3"/>
  <c r="BJ56" i="3"/>
  <c r="BJ57" i="3"/>
  <c r="EP108" i="2"/>
  <c r="AP112" i="3"/>
  <c r="AP114" i="3" s="1"/>
  <c r="EP140" i="2"/>
  <c r="EP76" i="2"/>
  <c r="BR229" i="2"/>
  <c r="CT94" i="2"/>
  <c r="CT128" i="2" s="1"/>
  <c r="BQ132" i="2"/>
  <c r="BO20" i="2"/>
  <c r="AY25" i="2"/>
  <c r="AY104" i="4"/>
  <c r="AY106" i="4" s="1"/>
  <c r="BC83" i="2"/>
  <c r="DT112" i="3"/>
  <c r="EF73" i="2"/>
  <c r="EF84" i="2"/>
  <c r="EF72" i="2"/>
  <c r="AC101" i="2"/>
  <c r="V30" i="2"/>
  <c r="V87" i="2"/>
  <c r="V86" i="2"/>
  <c r="V100" i="2" s="1"/>
  <c r="DZ91" i="2"/>
  <c r="DZ127" i="2" s="1"/>
  <c r="EA91" i="2"/>
  <c r="EA127" i="2" s="1"/>
  <c r="J87" i="2"/>
  <c r="J30" i="2"/>
  <c r="N113" i="2"/>
  <c r="J86" i="2"/>
  <c r="J113" i="2"/>
  <c r="EB91" i="2"/>
  <c r="EB127" i="2" s="1"/>
  <c r="Y88" i="2"/>
  <c r="Y105" i="3"/>
  <c r="Y34" i="2"/>
  <c r="Y37" i="2"/>
  <c r="DR97" i="2"/>
  <c r="DS97" i="2"/>
  <c r="DW113" i="2"/>
  <c r="DV30" i="2"/>
  <c r="DV86" i="2"/>
  <c r="Z84" i="2"/>
  <c r="Z112" i="3"/>
  <c r="Z112" i="2"/>
  <c r="AD112" i="2"/>
  <c r="EC91" i="2"/>
  <c r="EC127" i="2" s="1"/>
  <c r="B112" i="3"/>
  <c r="B114" i="3" s="1"/>
  <c r="F112" i="2"/>
  <c r="AT30" i="2"/>
  <c r="AT86" i="2"/>
  <c r="AT87" i="2"/>
  <c r="EF30" i="2"/>
  <c r="EF87" i="2"/>
  <c r="EF86" i="2"/>
  <c r="EA86" i="2"/>
  <c r="EA30" i="2"/>
  <c r="EZ5" i="329"/>
  <c r="EM5" i="3"/>
  <c r="FA6" i="2"/>
  <c r="EM5" i="4"/>
  <c r="R105" i="3"/>
  <c r="R88" i="2"/>
  <c r="R34" i="2"/>
  <c r="R37" i="2"/>
  <c r="DY91" i="2"/>
  <c r="DY127" i="2" s="1"/>
  <c r="DX91" i="2"/>
  <c r="DX127" i="2" s="1"/>
  <c r="EF91" i="2"/>
  <c r="EF127" i="2" s="1"/>
  <c r="EC25" i="2"/>
  <c r="EC111" i="2"/>
  <c r="DQ111" i="3"/>
  <c r="EC83" i="2"/>
  <c r="EC82" i="2"/>
  <c r="EC97" i="2" s="1"/>
  <c r="DQ104" i="4"/>
  <c r="DQ106" i="4" s="1"/>
  <c r="EC132" i="2"/>
  <c r="EC20" i="2"/>
  <c r="EC112" i="2" s="1"/>
  <c r="B30" i="2"/>
  <c r="F113" i="2"/>
  <c r="V97" i="2"/>
  <c r="Z97" i="2"/>
  <c r="V113" i="2"/>
  <c r="DN111" i="3"/>
  <c r="DN104" i="4"/>
  <c r="DN106" i="4" s="1"/>
  <c r="DZ82" i="2"/>
  <c r="DZ97" i="2" s="1"/>
  <c r="DZ132" i="2"/>
  <c r="DZ111" i="2"/>
  <c r="DZ20" i="2"/>
  <c r="DZ112" i="2" s="1"/>
  <c r="EB97" i="2"/>
  <c r="DS113" i="2"/>
  <c r="DR30" i="2"/>
  <c r="DR86" i="2"/>
  <c r="DR113" i="2"/>
  <c r="DV72" i="2"/>
  <c r="DV84" i="2"/>
  <c r="DW98" i="2" s="1"/>
  <c r="DW112" i="2"/>
  <c r="DV73" i="2"/>
  <c r="AR110" i="2"/>
  <c r="AR81" i="2"/>
  <c r="AV110" i="2"/>
  <c r="V112" i="3"/>
  <c r="V84" i="2"/>
  <c r="V98" i="2" s="1"/>
  <c r="V112" i="2"/>
  <c r="Z86" i="2"/>
  <c r="AD100" i="2" s="1"/>
  <c r="Z30" i="2"/>
  <c r="Z87" i="2"/>
  <c r="Z113" i="2"/>
  <c r="AD113" i="2"/>
  <c r="AJ37" i="2"/>
  <c r="AJ88" i="2"/>
  <c r="AJ105" i="3"/>
  <c r="AJ114" i="2"/>
  <c r="AJ34" i="2"/>
  <c r="EA83" i="2"/>
  <c r="X88" i="2"/>
  <c r="X105" i="3"/>
  <c r="X34" i="2"/>
  <c r="X37" i="2"/>
  <c r="X114" i="2"/>
  <c r="R101" i="2"/>
  <c r="FF190" i="2"/>
  <c r="CE20" i="2"/>
  <c r="CE84" i="2" s="1"/>
  <c r="CZ9" i="2"/>
  <c r="CZ76" i="2" s="1"/>
  <c r="CI227" i="2"/>
  <c r="BO95" i="2"/>
  <c r="EO108" i="2"/>
  <c r="EO158" i="2"/>
  <c r="ES58" i="2"/>
  <c r="EM76" i="2"/>
  <c r="AW63" i="4"/>
  <c r="AN84" i="2"/>
  <c r="AN98" i="2" s="1"/>
  <c r="CE170" i="2"/>
  <c r="CE201" i="2" s="1"/>
  <c r="CE218" i="2" s="1"/>
  <c r="FG191" i="2"/>
  <c r="ED111" i="3"/>
  <c r="EF111" i="3" s="1"/>
  <c r="ED104" i="4"/>
  <c r="EM17" i="2"/>
  <c r="ER157" i="2"/>
  <c r="EP132" i="2"/>
  <c r="EA88" i="4"/>
  <c r="EA84" i="4" s="1"/>
  <c r="EM80" i="2"/>
  <c r="EA105" i="4"/>
  <c r="EM19" i="2"/>
  <c r="CR124" i="4"/>
  <c r="BP110" i="2"/>
  <c r="BL81" i="2"/>
  <c r="BP96" i="2" s="1"/>
  <c r="BL20" i="2"/>
  <c r="CG11" i="2"/>
  <c r="ER11" i="2" s="1"/>
  <c r="BY80" i="2"/>
  <c r="EP11" i="2"/>
  <c r="EP19" i="2" s="1"/>
  <c r="EP20" i="2" s="1"/>
  <c r="BY105" i="4"/>
  <c r="AS110" i="2"/>
  <c r="AS81" i="2"/>
  <c r="AS96" i="2" s="1"/>
  <c r="BM80" i="2"/>
  <c r="BQ95" i="2" s="1"/>
  <c r="BM15" i="2"/>
  <c r="EM15" i="2" s="1"/>
  <c r="BM105" i="4"/>
  <c r="BM106" i="4" s="1"/>
  <c r="BM19" i="2"/>
  <c r="CR105" i="4"/>
  <c r="DD80" i="2"/>
  <c r="DD95" i="2" s="1"/>
  <c r="DD19" i="2"/>
  <c r="EI95" i="4"/>
  <c r="EJ95" i="4"/>
  <c r="AC80" i="2"/>
  <c r="AC95" i="2" s="1"/>
  <c r="AC105" i="4"/>
  <c r="AC106" i="4" s="1"/>
  <c r="AC15" i="2"/>
  <c r="ED15" i="2" s="1"/>
  <c r="ED11" i="2"/>
  <c r="AC19" i="2"/>
  <c r="EG95" i="4"/>
  <c r="EH95" i="4"/>
  <c r="AZ19" i="2"/>
  <c r="AZ15" i="2"/>
  <c r="AZ80" i="2"/>
  <c r="AZ105" i="4"/>
  <c r="CK11" i="2"/>
  <c r="CC29" i="4"/>
  <c r="CC42" i="4" s="1"/>
  <c r="CC98" i="4" s="1"/>
  <c r="CC99" i="4" s="1"/>
  <c r="BY54" i="4"/>
  <c r="F64" i="4"/>
  <c r="G62" i="4" s="1"/>
  <c r="G64" i="4" s="1"/>
  <c r="H62" i="4" s="1"/>
  <c r="H64" i="4" s="1"/>
  <c r="I62" i="4" s="1"/>
  <c r="I64" i="4" s="1"/>
  <c r="J62" i="4" s="1"/>
  <c r="DN62" i="4" s="1"/>
  <c r="DN64" i="4" s="1"/>
  <c r="DM62" i="4"/>
  <c r="DM64" i="4" s="1"/>
  <c r="DV105" i="4"/>
  <c r="EH19" i="2"/>
  <c r="EH80" i="2"/>
  <c r="BG95" i="2"/>
  <c r="BK95" i="2"/>
  <c r="BG81" i="2"/>
  <c r="BK110" i="2"/>
  <c r="BG110" i="2"/>
  <c r="BG20" i="2"/>
  <c r="CI81" i="2"/>
  <c r="CI96" i="2" s="1"/>
  <c r="CI110" i="2"/>
  <c r="P96" i="2"/>
  <c r="L96" i="2"/>
  <c r="T96" i="2"/>
  <c r="X96" i="2"/>
  <c r="CB47" i="4"/>
  <c r="CA118" i="4"/>
  <c r="AF15" i="2"/>
  <c r="AF19" i="2"/>
  <c r="AF105" i="4"/>
  <c r="AF106" i="4" s="1"/>
  <c r="AF80" i="2"/>
  <c r="AY95" i="2"/>
  <c r="BC95" i="2"/>
  <c r="AC123" i="4"/>
  <c r="AC40" i="4"/>
  <c r="AE20" i="2"/>
  <c r="AI110" i="2"/>
  <c r="AE110" i="2"/>
  <c r="AE81" i="2"/>
  <c r="AB110" i="2"/>
  <c r="AB20" i="2"/>
  <c r="AB81" i="2"/>
  <c r="AU95" i="2"/>
  <c r="AQ95" i="2"/>
  <c r="BQ54" i="4"/>
  <c r="BQ63" i="4" s="1"/>
  <c r="BQ117" i="4"/>
  <c r="CO54" i="4"/>
  <c r="CO63" i="4" s="1"/>
  <c r="CZ110" i="2"/>
  <c r="CZ81" i="2"/>
  <c r="CZ96" i="2" s="1"/>
  <c r="EI124" i="4"/>
  <c r="EI99" i="4"/>
  <c r="BA11" i="2"/>
  <c r="EJ11" i="2" s="1"/>
  <c r="CJ80" i="2"/>
  <c r="CN11" i="2"/>
  <c r="CJ15" i="2"/>
  <c r="CJ19" i="2"/>
  <c r="CJ81" i="2" s="1"/>
  <c r="CB105" i="4"/>
  <c r="CN67" i="2"/>
  <c r="ET69" i="2"/>
  <c r="P84" i="2"/>
  <c r="P112" i="2"/>
  <c r="P112" i="3"/>
  <c r="AG11" i="2"/>
  <c r="AG29" i="4"/>
  <c r="AU110" i="2"/>
  <c r="AQ81" i="2"/>
  <c r="AQ110" i="2"/>
  <c r="CM19" i="2"/>
  <c r="CM80" i="2"/>
  <c r="CM95" i="2" s="1"/>
  <c r="CM15" i="2"/>
  <c r="T112" i="3"/>
  <c r="X112" i="2"/>
  <c r="T112" i="2"/>
  <c r="T84" i="2"/>
  <c r="BI11" i="2"/>
  <c r="BU80" i="2"/>
  <c r="BU15" i="2"/>
  <c r="CC12" i="2"/>
  <c r="BU105" i="4"/>
  <c r="BU106" i="4" s="1"/>
  <c r="BU19" i="2"/>
  <c r="BY110" i="2" s="1"/>
  <c r="AC29" i="4"/>
  <c r="AC27" i="4"/>
  <c r="AC28" i="4"/>
  <c r="AK54" i="4"/>
  <c r="AK63" i="4" s="1"/>
  <c r="CO59" i="2"/>
  <c r="CO60" i="2" s="1"/>
  <c r="CO68" i="2"/>
  <c r="I69" i="3"/>
  <c r="J96" i="2"/>
  <c r="AC54" i="4"/>
  <c r="AC117" i="4"/>
  <c r="AE95" i="2"/>
  <c r="AI95" i="2"/>
  <c r="BS81" i="2"/>
  <c r="BW96" i="2" s="1"/>
  <c r="BW110" i="2"/>
  <c r="CA19" i="2"/>
  <c r="CA15" i="2"/>
  <c r="CA80" i="2"/>
  <c r="CE95" i="2" s="1"/>
  <c r="CJ67" i="2"/>
  <c r="ES69" i="2"/>
  <c r="BM27" i="4"/>
  <c r="BM28" i="4"/>
  <c r="CO95" i="4"/>
  <c r="CK95" i="4"/>
  <c r="L84" i="2"/>
  <c r="L98" i="2" s="1"/>
  <c r="L112" i="3"/>
  <c r="BZ54" i="4"/>
  <c r="BZ63" i="4" s="1"/>
  <c r="CA49" i="4"/>
  <c r="CB49" i="4" s="1"/>
  <c r="CC49" i="4" s="1"/>
  <c r="AY20" i="2"/>
  <c r="AY110" i="2"/>
  <c r="AY81" i="2"/>
  <c r="BC110" i="2"/>
  <c r="BH105" i="4"/>
  <c r="BH15" i="2"/>
  <c r="BH19" i="2"/>
  <c r="EH20" i="4"/>
  <c r="EH27" i="4" s="1"/>
  <c r="CG27" i="4"/>
  <c r="BT105" i="4"/>
  <c r="BT106" i="4" s="1"/>
  <c r="BT15" i="2"/>
  <c r="BT19" i="2"/>
  <c r="BX110" i="2" s="1"/>
  <c r="BT80" i="2"/>
  <c r="BT95" i="2" s="1"/>
  <c r="CB12" i="2"/>
  <c r="EO12" i="2"/>
  <c r="CK59" i="2"/>
  <c r="CK60" i="2" s="1"/>
  <c r="CK68" i="2"/>
  <c r="BW68" i="3"/>
  <c r="AN37" i="2"/>
  <c r="AN114" i="2"/>
  <c r="AN34" i="2"/>
  <c r="AN107" i="4" s="1"/>
  <c r="AN88" i="2"/>
  <c r="AN105" i="3"/>
  <c r="EN76" i="2"/>
  <c r="CX223" i="2"/>
  <c r="EN77" i="2"/>
  <c r="EN85" i="2"/>
  <c r="EO99" i="2" s="1"/>
  <c r="ET175" i="2"/>
  <c r="BR25" i="2"/>
  <c r="BV113" i="2" s="1"/>
  <c r="EW153" i="2"/>
  <c r="EW177" i="2" s="1"/>
  <c r="DA239" i="2"/>
  <c r="AN86" i="2"/>
  <c r="AN100" i="2" s="1"/>
  <c r="BO94" i="2"/>
  <c r="BA56" i="3"/>
  <c r="BA60" i="3"/>
  <c r="BA50" i="3"/>
  <c r="BA81" i="3" s="1"/>
  <c r="BA84" i="3" s="1"/>
  <c r="BC50" i="3"/>
  <c r="BC81" i="3" s="1"/>
  <c r="BC84" i="3" s="1"/>
  <c r="BB56" i="3"/>
  <c r="BC56" i="3"/>
  <c r="EW222" i="2"/>
  <c r="DA217" i="2"/>
  <c r="DZ30" i="2"/>
  <c r="EA113" i="2"/>
  <c r="ED86" i="2"/>
  <c r="ED113" i="2"/>
  <c r="ED87" i="2"/>
  <c r="ED30" i="2"/>
  <c r="EE30" i="2"/>
  <c r="EE87" i="2"/>
  <c r="EF113" i="2"/>
  <c r="EE86" i="2"/>
  <c r="EE113" i="2"/>
  <c r="EB113" i="2"/>
  <c r="EB87" i="2"/>
  <c r="EB30" i="2"/>
  <c r="EB86" i="2"/>
  <c r="Q101" i="2"/>
  <c r="BR83" i="2"/>
  <c r="EQ107" i="2"/>
  <c r="EB103" i="4"/>
  <c r="EN107" i="2"/>
  <c r="BR82" i="2"/>
  <c r="BV97" i="2" s="1"/>
  <c r="BV111" i="2"/>
  <c r="DD223" i="2"/>
  <c r="BA57" i="3"/>
  <c r="BA55" i="3"/>
  <c r="BC57" i="3"/>
  <c r="BC127" i="3"/>
  <c r="BB50" i="3"/>
  <c r="BB81" i="3" s="1"/>
  <c r="BB84" i="3" s="1"/>
  <c r="BB55" i="3"/>
  <c r="M34" i="2"/>
  <c r="M88" i="2"/>
  <c r="M114" i="2"/>
  <c r="Q114" i="2"/>
  <c r="M105" i="3"/>
  <c r="M37" i="2"/>
  <c r="DR98" i="2"/>
  <c r="DF58" i="2"/>
  <c r="DF60" i="2" s="1"/>
  <c r="CS107" i="3"/>
  <c r="CW239" i="2"/>
  <c r="BR111" i="2"/>
  <c r="EN79" i="2"/>
  <c r="EO94" i="2" s="1"/>
  <c r="EO128" i="2" s="1"/>
  <c r="BR104" i="4"/>
  <c r="BR106" i="4" s="1"/>
  <c r="BR111" i="3"/>
  <c r="BA59" i="3"/>
  <c r="BA127" i="3"/>
  <c r="BC60" i="3"/>
  <c r="BB60" i="3"/>
  <c r="M100" i="2"/>
  <c r="Q100" i="2"/>
  <c r="AH100" i="2"/>
  <c r="BL132" i="2"/>
  <c r="DE104" i="2"/>
  <c r="DE122" i="2" s="1"/>
  <c r="BP30" i="2"/>
  <c r="BP86" i="2"/>
  <c r="BP100" i="2" s="1"/>
  <c r="BP87" i="2"/>
  <c r="BT101" i="2" s="1"/>
  <c r="BD20" i="2"/>
  <c r="BD112" i="3" s="1"/>
  <c r="BD114" i="3" s="1"/>
  <c r="BC105" i="3"/>
  <c r="BC88" i="2"/>
  <c r="BC34" i="2"/>
  <c r="BC37" i="2"/>
  <c r="EH54" i="4"/>
  <c r="EH117" i="4"/>
  <c r="DQ45" i="3"/>
  <c r="DQ127" i="3"/>
  <c r="DQ71" i="3"/>
  <c r="DQ124" i="3"/>
  <c r="DQ123" i="3"/>
  <c r="DR123" i="3"/>
  <c r="DT123" i="3"/>
  <c r="DU123" i="3"/>
  <c r="DT124" i="3"/>
  <c r="EA123" i="3"/>
  <c r="EB123" i="3"/>
  <c r="CW356" i="329"/>
  <c r="BM97" i="2"/>
  <c r="CJ344" i="329"/>
  <c r="EV350" i="329"/>
  <c r="EV364" i="329" s="1"/>
  <c r="EO168" i="329"/>
  <c r="EO185" i="329" s="1"/>
  <c r="EP220" i="329" s="1"/>
  <c r="CO81" i="3"/>
  <c r="CA225" i="2"/>
  <c r="BS225" i="2"/>
  <c r="BO168" i="2"/>
  <c r="EN155" i="2"/>
  <c r="BO179" i="2"/>
  <c r="CA208" i="2" s="1"/>
  <c r="AN113" i="2"/>
  <c r="AN87" i="2"/>
  <c r="AN101" i="2" s="1"/>
  <c r="BI225" i="2"/>
  <c r="BE168" i="2"/>
  <c r="CI158" i="2"/>
  <c r="CI17" i="2"/>
  <c r="CI76" i="2"/>
  <c r="CI108" i="2"/>
  <c r="CK15" i="3"/>
  <c r="EI15" i="3" s="1"/>
  <c r="EI14" i="3"/>
  <c r="CL14" i="3"/>
  <c r="CO99" i="4"/>
  <c r="CO124" i="4"/>
  <c r="AG123" i="4"/>
  <c r="AK123" i="4"/>
  <c r="EH32" i="4"/>
  <c r="EH40" i="4" s="1"/>
  <c r="CG40" i="4"/>
  <c r="CG63" i="4" s="1"/>
  <c r="AG40" i="4"/>
  <c r="EI88" i="4"/>
  <c r="EI90" i="4" s="1"/>
  <c r="EI105" i="4"/>
  <c r="CW81" i="2"/>
  <c r="EV19" i="2"/>
  <c r="EV81" i="2" s="1"/>
  <c r="DZ51" i="329"/>
  <c r="CO332" i="329"/>
  <c r="CK332" i="329"/>
  <c r="EK63" i="329"/>
  <c r="BE64" i="329"/>
  <c r="BE65" i="329"/>
  <c r="EK65" i="329" s="1"/>
  <c r="DC94" i="2"/>
  <c r="EH122" i="4"/>
  <c r="BR91" i="2"/>
  <c r="BR127" i="2" s="1"/>
  <c r="DC95" i="2"/>
  <c r="EI122" i="4"/>
  <c r="D107" i="329"/>
  <c r="H110" i="329" s="1"/>
  <c r="H122" i="329" s="1"/>
  <c r="D98" i="329"/>
  <c r="CN301" i="329"/>
  <c r="ET350" i="329"/>
  <c r="ET364" i="329" s="1"/>
  <c r="ES125" i="329"/>
  <c r="EU126" i="329" s="1"/>
  <c r="EC375" i="329"/>
  <c r="CU172" i="329"/>
  <c r="EK142" i="329"/>
  <c r="EK143" i="329"/>
  <c r="EL143" i="329"/>
  <c r="EK141" i="329"/>
  <c r="EL141" i="329"/>
  <c r="EL142" i="329"/>
  <c r="CP309" i="329"/>
  <c r="BC108" i="329"/>
  <c r="AT112" i="2"/>
  <c r="BN132" i="2"/>
  <c r="CM118" i="329"/>
  <c r="CQ118" i="329"/>
  <c r="CT344" i="329"/>
  <c r="ED93" i="329"/>
  <c r="CQ172" i="329"/>
  <c r="CQ173" i="329" s="1"/>
  <c r="BA92" i="2"/>
  <c r="BA128" i="2" s="1"/>
  <c r="BA93" i="2"/>
  <c r="BR331" i="329"/>
  <c r="BH108" i="2"/>
  <c r="AS93" i="2"/>
  <c r="DX104" i="329"/>
  <c r="DY104" i="329"/>
  <c r="B92" i="329"/>
  <c r="C105" i="329"/>
  <c r="C96" i="329"/>
  <c r="BZ137" i="2"/>
  <c r="BZ142" i="2"/>
  <c r="BV310" i="329"/>
  <c r="BV165" i="2"/>
  <c r="E98" i="329"/>
  <c r="E107" i="329"/>
  <c r="I110" i="329" s="1"/>
  <c r="I122" i="329" s="1"/>
  <c r="EL76" i="2"/>
  <c r="EL17" i="2"/>
  <c r="EM108" i="2"/>
  <c r="EL108" i="2"/>
  <c r="BA94" i="2"/>
  <c r="BA99" i="2"/>
  <c r="AS99" i="2"/>
  <c r="AS95" i="2"/>
  <c r="BV83" i="2"/>
  <c r="BR132" i="2"/>
  <c r="BO104" i="4"/>
  <c r="BO106" i="4" s="1"/>
  <c r="BO82" i="2"/>
  <c r="BO25" i="2"/>
  <c r="CA111" i="2"/>
  <c r="BO111" i="3"/>
  <c r="BI210" i="2"/>
  <c r="BE210" i="2"/>
  <c r="BS91" i="2"/>
  <c r="BS127" i="2" s="1"/>
  <c r="BF350" i="329"/>
  <c r="AW94" i="2"/>
  <c r="AO128" i="2"/>
  <c r="BO153" i="329"/>
  <c r="EP356" i="329"/>
  <c r="BL94" i="2"/>
  <c r="BR335" i="329"/>
  <c r="CU162" i="329"/>
  <c r="BF91" i="2"/>
  <c r="BF127" i="2" s="1"/>
  <c r="BD91" i="2"/>
  <c r="BD127" i="2" s="1"/>
  <c r="BO91" i="2"/>
  <c r="BO127" i="2" s="1"/>
  <c r="BS99" i="2"/>
  <c r="BO99" i="2"/>
  <c r="CE169" i="329"/>
  <c r="CI170" i="329" s="1"/>
  <c r="CA172" i="329"/>
  <c r="CA169" i="329"/>
  <c r="EQ168" i="329"/>
  <c r="EQ185" i="329" s="1"/>
  <c r="ER220" i="329" s="1"/>
  <c r="EM334" i="329"/>
  <c r="EM335" i="329" s="1"/>
  <c r="EM346" i="329"/>
  <c r="BM346" i="329" s="1"/>
  <c r="EM330" i="329"/>
  <c r="EM331" i="329" s="1"/>
  <c r="EM338" i="329"/>
  <c r="EM342" i="329"/>
  <c r="EM343" i="329" s="1"/>
  <c r="BN335" i="329"/>
  <c r="BJ335" i="329"/>
  <c r="BK179" i="2"/>
  <c r="BK208" i="2" s="1"/>
  <c r="BO225" i="2"/>
  <c r="EM155" i="2"/>
  <c r="EM225" i="2" s="1"/>
  <c r="BK168" i="2"/>
  <c r="EM168" i="2" s="1"/>
  <c r="BL108" i="2"/>
  <c r="BH17" i="2"/>
  <c r="BH76" i="2"/>
  <c r="BL99" i="2"/>
  <c r="BH99" i="2"/>
  <c r="EL107" i="2"/>
  <c r="EL85" i="2"/>
  <c r="EM107" i="2"/>
  <c r="EL79" i="2"/>
  <c r="EL78" i="2"/>
  <c r="EL410" i="329"/>
  <c r="DZ103" i="4"/>
  <c r="EL77" i="2"/>
  <c r="DZ100" i="3"/>
  <c r="BH93" i="2"/>
  <c r="BL93" i="2"/>
  <c r="AW93" i="2"/>
  <c r="AW92" i="2"/>
  <c r="AW128" i="2" s="1"/>
  <c r="AW88" i="3"/>
  <c r="AW127" i="3"/>
  <c r="AW59" i="3"/>
  <c r="AW50" i="3"/>
  <c r="AW81" i="3" s="1"/>
  <c r="AW84" i="3" s="1"/>
  <c r="AX57" i="3"/>
  <c r="AX55" i="3"/>
  <c r="AX59" i="3"/>
  <c r="AW56" i="3"/>
  <c r="AX127" i="3"/>
  <c r="AW60" i="3"/>
  <c r="AX50" i="3"/>
  <c r="AX81" i="3" s="1"/>
  <c r="AX84" i="3" s="1"/>
  <c r="AX60" i="3"/>
  <c r="AW57" i="3"/>
  <c r="AX56" i="3"/>
  <c r="AW55" i="3"/>
  <c r="BE99" i="2"/>
  <c r="BI99" i="2"/>
  <c r="BE88" i="3"/>
  <c r="BF57" i="3"/>
  <c r="BF60" i="3"/>
  <c r="BG57" i="3"/>
  <c r="BF127" i="3"/>
  <c r="BF50" i="3"/>
  <c r="BF81" i="3" s="1"/>
  <c r="BF84" i="3" s="1"/>
  <c r="BE127" i="3"/>
  <c r="BE60" i="3"/>
  <c r="BF56" i="3"/>
  <c r="BE50" i="3"/>
  <c r="BE81" i="3" s="1"/>
  <c r="BE84" i="3" s="1"/>
  <c r="BG59" i="3"/>
  <c r="BG50" i="3"/>
  <c r="BG81" i="3" s="1"/>
  <c r="BG84" i="3" s="1"/>
  <c r="BE57" i="3"/>
  <c r="BF59" i="3"/>
  <c r="BF55" i="3"/>
  <c r="BE55" i="3"/>
  <c r="BG55" i="3"/>
  <c r="BG60" i="3"/>
  <c r="BG127" i="3"/>
  <c r="BG56" i="3"/>
  <c r="BI88" i="3"/>
  <c r="BE56" i="3"/>
  <c r="BE59" i="3"/>
  <c r="BK221" i="2"/>
  <c r="BK175" i="2"/>
  <c r="AW375" i="329"/>
  <c r="AW382" i="329"/>
  <c r="AQ127" i="3"/>
  <c r="AR57" i="3"/>
  <c r="AR127" i="3"/>
  <c r="AQ55" i="3"/>
  <c r="AR60" i="3"/>
  <c r="AQ57" i="3"/>
  <c r="AR56" i="3"/>
  <c r="AQ60" i="3"/>
  <c r="AR59" i="3"/>
  <c r="AO88" i="3"/>
  <c r="AQ59" i="3"/>
  <c r="AQ50" i="3"/>
  <c r="AQ81" i="3" s="1"/>
  <c r="AQ84" i="3" s="1"/>
  <c r="AQ56" i="3"/>
  <c r="AR55" i="3"/>
  <c r="AR50" i="3"/>
  <c r="AR81" i="3" s="1"/>
  <c r="AR84" i="3" s="1"/>
  <c r="AP59" i="3"/>
  <c r="AP127" i="3"/>
  <c r="AP55" i="3"/>
  <c r="AP57" i="3"/>
  <c r="AP56" i="3"/>
  <c r="AP50" i="3"/>
  <c r="AP81" i="3" s="1"/>
  <c r="AP84" i="3" s="1"/>
  <c r="BQ91" i="2"/>
  <c r="BQ127" i="2" s="1"/>
  <c r="CD344" i="329"/>
  <c r="BQ56" i="3"/>
  <c r="BO60" i="3"/>
  <c r="BO50" i="3"/>
  <c r="BO81" i="3" s="1"/>
  <c r="BO84" i="3" s="1"/>
  <c r="BO127" i="3"/>
  <c r="BO55" i="3"/>
  <c r="BR56" i="3"/>
  <c r="BR127" i="3"/>
  <c r="BP60" i="3"/>
  <c r="BP50" i="3"/>
  <c r="BP81" i="3" s="1"/>
  <c r="BP84" i="3" s="1"/>
  <c r="BS88" i="3"/>
  <c r="BO59" i="3"/>
  <c r="BR50" i="3"/>
  <c r="BR81" i="3" s="1"/>
  <c r="BR84" i="3" s="1"/>
  <c r="BP59" i="3"/>
  <c r="BP56" i="3"/>
  <c r="BP127" i="3"/>
  <c r="BR55" i="3"/>
  <c r="BO57" i="3"/>
  <c r="BQ60" i="3"/>
  <c r="BQ57" i="3"/>
  <c r="BQ50" i="3"/>
  <c r="BQ81" i="3" s="1"/>
  <c r="BQ84" i="3" s="1"/>
  <c r="BR57" i="3"/>
  <c r="BR60" i="3"/>
  <c r="BQ127" i="3"/>
  <c r="BR59" i="3"/>
  <c r="BP57" i="3"/>
  <c r="BQ59" i="3"/>
  <c r="BO56" i="3"/>
  <c r="BQ55" i="3"/>
  <c r="BP55" i="3"/>
  <c r="CE165" i="329"/>
  <c r="CI166" i="329" s="1"/>
  <c r="CA165" i="329"/>
  <c r="EQ164" i="329"/>
  <c r="EQ184" i="329" s="1"/>
  <c r="ER219" i="329" s="1"/>
  <c r="BJ347" i="329"/>
  <c r="BJ350" i="329"/>
  <c r="BN347" i="329"/>
  <c r="BN331" i="329"/>
  <c r="BJ331" i="329"/>
  <c r="EJ85" i="2"/>
  <c r="EJ77" i="2"/>
  <c r="DX100" i="3"/>
  <c r="EJ78" i="2"/>
  <c r="EJ107" i="2"/>
  <c r="EJ79" i="2"/>
  <c r="DX103" i="4"/>
  <c r="EJ410" i="329"/>
  <c r="EB83" i="4"/>
  <c r="EB77" i="4"/>
  <c r="EB80" i="4"/>
  <c r="CE161" i="329"/>
  <c r="CE162" i="329" s="1"/>
  <c r="CM161" i="329"/>
  <c r="CM162" i="329" s="1"/>
  <c r="CI153" i="329"/>
  <c r="CM154" i="329" s="1"/>
  <c r="CE153" i="329"/>
  <c r="CE154" i="329" s="1"/>
  <c r="BL92" i="2"/>
  <c r="BL128" i="2" s="1"/>
  <c r="BH92" i="2"/>
  <c r="BH128" i="2" s="1"/>
  <c r="BA382" i="329"/>
  <c r="BA375" i="329"/>
  <c r="EO361" i="329"/>
  <c r="EO339" i="329"/>
  <c r="AS17" i="2"/>
  <c r="AS76" i="2"/>
  <c r="AS108" i="2"/>
  <c r="EH9" i="2"/>
  <c r="DU133" i="3" s="1"/>
  <c r="AW76" i="2"/>
  <c r="AW17" i="2"/>
  <c r="AW108" i="2"/>
  <c r="EI9" i="2"/>
  <c r="DV133" i="3" s="1"/>
  <c r="BI93" i="2"/>
  <c r="BE93" i="2"/>
  <c r="BO157" i="329"/>
  <c r="BO161" i="329"/>
  <c r="BS161" i="329"/>
  <c r="BS165" i="329"/>
  <c r="BO165" i="329"/>
  <c r="CU165" i="329"/>
  <c r="CU166" i="329" s="1"/>
  <c r="BN343" i="329"/>
  <c r="BJ343" i="329"/>
  <c r="CP350" i="329"/>
  <c r="EU350" i="329" s="1"/>
  <c r="EU364" i="329" s="1"/>
  <c r="CT347" i="329"/>
  <c r="BA76" i="2"/>
  <c r="BA17" i="2"/>
  <c r="BA108" i="2"/>
  <c r="EN187" i="2"/>
  <c r="EO210" i="2" s="1"/>
  <c r="EO227" i="2"/>
  <c r="BK210" i="2"/>
  <c r="BO210" i="2"/>
  <c r="CE157" i="329"/>
  <c r="CE158" i="329" s="1"/>
  <c r="CM157" i="329"/>
  <c r="CQ158" i="329" s="1"/>
  <c r="EO342" i="329"/>
  <c r="BR343" i="329"/>
  <c r="BV344" i="329" s="1"/>
  <c r="AS88" i="3"/>
  <c r="AV55" i="3"/>
  <c r="AT55" i="3"/>
  <c r="AT50" i="3"/>
  <c r="AT81" i="3" s="1"/>
  <c r="AT84" i="3" s="1"/>
  <c r="AT127" i="3"/>
  <c r="AT59" i="3"/>
  <c r="AU57" i="3"/>
  <c r="AU56" i="3"/>
  <c r="AV127" i="3"/>
  <c r="AS50" i="3"/>
  <c r="AS81" i="3" s="1"/>
  <c r="AS84" i="3" s="1"/>
  <c r="AT56" i="3"/>
  <c r="AU59" i="3"/>
  <c r="AT57" i="3"/>
  <c r="AU50" i="3"/>
  <c r="AU81" i="3" s="1"/>
  <c r="AU84" i="3" s="1"/>
  <c r="AV57" i="3"/>
  <c r="AU55" i="3"/>
  <c r="AU60" i="3"/>
  <c r="AS57" i="3"/>
  <c r="AS60" i="3"/>
  <c r="AT60" i="3"/>
  <c r="AV56" i="3"/>
  <c r="AU127" i="3"/>
  <c r="AS59" i="3"/>
  <c r="AS56" i="3"/>
  <c r="AS55" i="3"/>
  <c r="AS127" i="3"/>
  <c r="AV60" i="3"/>
  <c r="AV59" i="3"/>
  <c r="AV50" i="3"/>
  <c r="AV81" i="3" s="1"/>
  <c r="AV84" i="3" s="1"/>
  <c r="AM297" i="329"/>
  <c r="AQ298" i="329" s="1"/>
  <c r="AP296" i="329"/>
  <c r="AL297" i="329"/>
  <c r="AL308" i="329"/>
  <c r="EK78" i="2"/>
  <c r="DY103" i="4"/>
  <c r="DY100" i="3"/>
  <c r="EK410" i="329"/>
  <c r="EK107" i="2"/>
  <c r="EK85" i="2"/>
  <c r="EK79" i="2"/>
  <c r="EK77" i="2"/>
  <c r="BE108" i="2"/>
  <c r="BE17" i="2"/>
  <c r="BI108" i="2"/>
  <c r="BE76" i="2"/>
  <c r="BS169" i="329"/>
  <c r="BO172" i="329"/>
  <c r="EG85" i="2"/>
  <c r="EG99" i="2" s="1"/>
  <c r="DU100" i="3"/>
  <c r="EG410" i="329"/>
  <c r="EG81" i="2"/>
  <c r="EG96" i="2" s="1"/>
  <c r="EG107" i="2"/>
  <c r="EG77" i="2"/>
  <c r="EG92" i="2" s="1"/>
  <c r="EG78" i="2"/>
  <c r="EG93" i="2" s="1"/>
  <c r="EG79" i="2"/>
  <c r="DU103" i="4"/>
  <c r="EG80" i="2"/>
  <c r="CI157" i="329"/>
  <c r="AX91" i="2"/>
  <c r="AX127" i="2" s="1"/>
  <c r="EL210" i="2"/>
  <c r="BS92" i="2"/>
  <c r="BS128" i="2" s="1"/>
  <c r="BO92" i="2"/>
  <c r="BO128" i="2" s="1"/>
  <c r="CU169" i="329"/>
  <c r="CU170" i="329" s="1"/>
  <c r="BV356" i="329"/>
  <c r="BA88" i="3"/>
  <c r="BD57" i="3"/>
  <c r="BD59" i="3"/>
  <c r="BD50" i="3"/>
  <c r="BD81" i="3" s="1"/>
  <c r="BD84" i="3" s="1"/>
  <c r="BD60" i="3"/>
  <c r="BD56" i="3"/>
  <c r="BD55" i="3"/>
  <c r="BD127" i="3"/>
  <c r="EQ160" i="329"/>
  <c r="EQ183" i="329" s="1"/>
  <c r="ER218" i="329" s="1"/>
  <c r="BO221" i="2"/>
  <c r="BW172" i="329"/>
  <c r="BW169" i="329"/>
  <c r="CE172" i="329"/>
  <c r="CM169" i="329"/>
  <c r="CM170" i="329" s="1"/>
  <c r="BH95" i="2"/>
  <c r="BL95" i="2"/>
  <c r="BH57" i="3"/>
  <c r="BH59" i="3"/>
  <c r="BI57" i="3"/>
  <c r="BI60" i="3"/>
  <c r="BH56" i="3"/>
  <c r="BI127" i="3"/>
  <c r="BI55" i="3"/>
  <c r="BH88" i="3"/>
  <c r="BH50" i="3"/>
  <c r="BH81" i="3" s="1"/>
  <c r="BH84" i="3" s="1"/>
  <c r="BI56" i="3"/>
  <c r="BH55" i="3"/>
  <c r="BH60" i="3"/>
  <c r="BI59" i="3"/>
  <c r="BI50" i="3"/>
  <c r="BI81" i="3" s="1"/>
  <c r="BI84" i="3" s="1"/>
  <c r="BH127" i="3"/>
  <c r="BL88" i="3"/>
  <c r="BR347" i="329"/>
  <c r="EO346" i="329"/>
  <c r="EO363" i="329" s="1"/>
  <c r="BR350" i="329"/>
  <c r="AS94" i="2"/>
  <c r="DW103" i="4"/>
  <c r="EI107" i="2"/>
  <c r="EI78" i="2"/>
  <c r="EI93" i="2" s="1"/>
  <c r="EI410" i="329"/>
  <c r="DW100" i="3"/>
  <c r="EI79" i="2"/>
  <c r="EI94" i="2" s="1"/>
  <c r="EI77" i="2"/>
  <c r="EI85" i="2"/>
  <c r="EI99" i="2" s="1"/>
  <c r="AW99" i="2"/>
  <c r="AH383" i="329"/>
  <c r="AH142" i="2" s="1"/>
  <c r="AH112" i="4"/>
  <c r="AH390" i="329"/>
  <c r="AP245" i="329"/>
  <c r="AL374" i="329"/>
  <c r="BE94" i="2"/>
  <c r="BI94" i="2"/>
  <c r="BE92" i="2"/>
  <c r="BE128" i="2" s="1"/>
  <c r="BI92" i="2"/>
  <c r="BI128" i="2" s="1"/>
  <c r="BV335" i="329"/>
  <c r="AO108" i="2"/>
  <c r="AO17" i="2"/>
  <c r="AO76" i="2"/>
  <c r="EG9" i="2"/>
  <c r="DT133" i="3" s="1"/>
  <c r="EH107" i="2"/>
  <c r="CT60" i="2"/>
  <c r="EV60" i="2" s="1"/>
  <c r="FD184" i="2"/>
  <c r="FD183" i="2"/>
  <c r="FD209" i="2" s="1"/>
  <c r="FD245" i="2" s="1"/>
  <c r="FE185" i="2"/>
  <c r="FD186" i="2"/>
  <c r="FF180" i="2"/>
  <c r="FD194" i="2"/>
  <c r="FE195" i="2"/>
  <c r="FD196" i="2"/>
  <c r="FD193" i="2" s="1"/>
  <c r="FD213" i="2" s="1"/>
  <c r="FD246" i="2" s="1"/>
  <c r="CQ356" i="329"/>
  <c r="CU356" i="329"/>
  <c r="CV92" i="2"/>
  <c r="CZ92" i="2"/>
  <c r="BL106" i="329"/>
  <c r="CQ343" i="329"/>
  <c r="CQ344" i="329" s="1"/>
  <c r="CU343" i="329"/>
  <c r="EW350" i="329"/>
  <c r="EW364" i="329" s="1"/>
  <c r="EW365" i="329" s="1"/>
  <c r="CN88" i="3"/>
  <c r="CM50" i="3"/>
  <c r="CM81" i="3" s="1"/>
  <c r="CM55" i="3"/>
  <c r="CM56" i="3"/>
  <c r="CM60" i="3"/>
  <c r="CM59" i="3"/>
  <c r="CJ88" i="3"/>
  <c r="CM57" i="3"/>
  <c r="CM127" i="3"/>
  <c r="CV93" i="2"/>
  <c r="CZ93" i="2"/>
  <c r="CV344" i="329"/>
  <c r="CZ344" i="329"/>
  <c r="CK178" i="329"/>
  <c r="BU161" i="329"/>
  <c r="ET152" i="329"/>
  <c r="ET181" i="329" s="1"/>
  <c r="EU216" i="329" s="1"/>
  <c r="CK153" i="329"/>
  <c r="CK154" i="329" s="1"/>
  <c r="CO165" i="329"/>
  <c r="CV165" i="329"/>
  <c r="CV166" i="329" s="1"/>
  <c r="EQ356" i="329"/>
  <c r="BU175" i="2"/>
  <c r="BY221" i="2"/>
  <c r="DX94" i="329"/>
  <c r="DW96" i="329"/>
  <c r="DX97" i="329" s="1"/>
  <c r="DW105" i="329"/>
  <c r="DW382" i="329"/>
  <c r="DW385" i="329" s="1"/>
  <c r="DX93" i="329"/>
  <c r="AI83" i="329"/>
  <c r="AI90" i="329"/>
  <c r="CD87" i="329"/>
  <c r="CD101" i="329" s="1"/>
  <c r="BV88" i="329"/>
  <c r="BV89" i="329"/>
  <c r="CR172" i="329"/>
  <c r="BM169" i="329"/>
  <c r="BI172" i="329"/>
  <c r="CW178" i="329"/>
  <c r="ET156" i="329"/>
  <c r="ET182" i="329" s="1"/>
  <c r="EU217" i="329" s="1"/>
  <c r="BK84" i="3"/>
  <c r="BK91" i="2"/>
  <c r="BK127" i="2" s="1"/>
  <c r="BL84" i="3"/>
  <c r="CQ199" i="2"/>
  <c r="CU237" i="2"/>
  <c r="EL152" i="329"/>
  <c r="CB165" i="329"/>
  <c r="BY172" i="329"/>
  <c r="BY186" i="329" s="1"/>
  <c r="BT157" i="329"/>
  <c r="BQ165" i="329"/>
  <c r="CS178" i="329"/>
  <c r="ER156" i="329"/>
  <c r="EN152" i="329"/>
  <c r="EN181" i="329" s="1"/>
  <c r="EO216" i="329" s="1"/>
  <c r="ET164" i="329"/>
  <c r="ET184" i="329" s="1"/>
  <c r="EU219" i="329" s="1"/>
  <c r="BM157" i="329"/>
  <c r="BU157" i="329"/>
  <c r="EW21" i="329"/>
  <c r="ER184" i="329"/>
  <c r="ES219" i="329" s="1"/>
  <c r="CC165" i="2"/>
  <c r="CG234" i="2" s="1"/>
  <c r="CC301" i="329"/>
  <c r="CC310" i="329"/>
  <c r="CG313" i="329" s="1"/>
  <c r="CG320" i="329" s="1"/>
  <c r="CU89" i="329"/>
  <c r="BM161" i="329"/>
  <c r="BM165" i="329"/>
  <c r="BU169" i="329"/>
  <c r="BU172" i="329"/>
  <c r="CS165" i="329"/>
  <c r="CW165" i="329"/>
  <c r="F390" i="329"/>
  <c r="F385" i="329"/>
  <c r="F112" i="4"/>
  <c r="F113" i="4" s="1"/>
  <c r="CV92" i="329"/>
  <c r="CV85" i="329"/>
  <c r="BY189" i="2"/>
  <c r="BY229" i="2"/>
  <c r="BY168" i="2"/>
  <c r="EP168" i="2" s="1"/>
  <c r="EP160" i="2"/>
  <c r="CI332" i="329"/>
  <c r="CE332" i="329"/>
  <c r="CG165" i="329"/>
  <c r="CG166" i="329" s="1"/>
  <c r="CK165" i="329"/>
  <c r="CO153" i="329"/>
  <c r="BX78" i="329"/>
  <c r="BY77" i="329"/>
  <c r="BX82" i="329"/>
  <c r="CB301" i="329"/>
  <c r="CF302" i="329" s="1"/>
  <c r="CB310" i="329"/>
  <c r="CB165" i="2"/>
  <c r="CF234" i="2" s="1"/>
  <c r="CF298" i="329"/>
  <c r="CF321" i="329" s="1"/>
  <c r="BU189" i="2"/>
  <c r="BU229" i="2"/>
  <c r="BU168" i="2"/>
  <c r="EO160" i="2"/>
  <c r="EO189" i="2" s="1"/>
  <c r="CU388" i="329"/>
  <c r="CU380" i="329"/>
  <c r="CI109" i="3"/>
  <c r="CU379" i="329"/>
  <c r="CU389" i="329" s="1"/>
  <c r="BM172" i="329"/>
  <c r="BQ213" i="2"/>
  <c r="CC213" i="2"/>
  <c r="CW153" i="329"/>
  <c r="CS153" i="329"/>
  <c r="CS157" i="329"/>
  <c r="CW157" i="329"/>
  <c r="BC313" i="329"/>
  <c r="BC320" i="329" s="1"/>
  <c r="EH103" i="4"/>
  <c r="EH100" i="3"/>
  <c r="EU77" i="2"/>
  <c r="EU78" i="2"/>
  <c r="EU93" i="2" s="1"/>
  <c r="EU107" i="2"/>
  <c r="EU412" i="329"/>
  <c r="CD88" i="3"/>
  <c r="CD60" i="3"/>
  <c r="CD56" i="3"/>
  <c r="CD50" i="3"/>
  <c r="CD81" i="3" s="1"/>
  <c r="CH88" i="3"/>
  <c r="CD59" i="3"/>
  <c r="CD55" i="3"/>
  <c r="CD57" i="3"/>
  <c r="CD127" i="3"/>
  <c r="CC221" i="2"/>
  <c r="BQ221" i="2"/>
  <c r="BQ175" i="2"/>
  <c r="BU221" i="2"/>
  <c r="BY157" i="329"/>
  <c r="CG172" i="329"/>
  <c r="CG173" i="329" s="1"/>
  <c r="CG169" i="329"/>
  <c r="CO169" i="329"/>
  <c r="CO170" i="329" s="1"/>
  <c r="CF59" i="3"/>
  <c r="BW112" i="4"/>
  <c r="BW390" i="329"/>
  <c r="BM199" i="2"/>
  <c r="BY165" i="329"/>
  <c r="BU165" i="329"/>
  <c r="CS161" i="329"/>
  <c r="CW161" i="329"/>
  <c r="EU160" i="329"/>
  <c r="EU183" i="329" s="1"/>
  <c r="EV218" i="329" s="1"/>
  <c r="G105" i="329"/>
  <c r="G382" i="329"/>
  <c r="G94" i="329"/>
  <c r="G96" i="329"/>
  <c r="H92" i="329"/>
  <c r="G93" i="329"/>
  <c r="CE340" i="329"/>
  <c r="CI340" i="329"/>
  <c r="AQ39" i="329"/>
  <c r="AQ44" i="329" s="1"/>
  <c r="AR12" i="329"/>
  <c r="CK157" i="329"/>
  <c r="CK158" i="329" s="1"/>
  <c r="CK172" i="329"/>
  <c r="AF83" i="329"/>
  <c r="AF90" i="329"/>
  <c r="CP92" i="2"/>
  <c r="CP128" i="2" s="1"/>
  <c r="CT92" i="2"/>
  <c r="BQ153" i="329"/>
  <c r="BQ157" i="329"/>
  <c r="BY169" i="329"/>
  <c r="CO161" i="329"/>
  <c r="CG161" i="329"/>
  <c r="CG162" i="329" s="1"/>
  <c r="CK161" i="329"/>
  <c r="CO157" i="329"/>
  <c r="CO178" i="329"/>
  <c r="BQ229" i="2"/>
  <c r="CC229" i="2"/>
  <c r="BQ168" i="2"/>
  <c r="BQ189" i="2"/>
  <c r="CS172" i="329"/>
  <c r="CW169" i="329"/>
  <c r="CS169" i="329"/>
  <c r="CW80" i="329"/>
  <c r="CW78" i="329"/>
  <c r="EV77" i="329"/>
  <c r="CX77" i="329"/>
  <c r="BZ90" i="329"/>
  <c r="BR90" i="329"/>
  <c r="BQ161" i="329"/>
  <c r="BQ169" i="329"/>
  <c r="BQ172" i="329"/>
  <c r="BY161" i="329"/>
  <c r="BY153" i="329"/>
  <c r="CG178" i="329"/>
  <c r="CO172" i="329"/>
  <c r="CC153" i="329"/>
  <c r="CG154" i="329" s="1"/>
  <c r="EF35" i="329"/>
  <c r="AS311" i="329"/>
  <c r="CJ336" i="329"/>
  <c r="CF178" i="329"/>
  <c r="AM110" i="329"/>
  <c r="AM122" i="329" s="1"/>
  <c r="CB157" i="329"/>
  <c r="CF158" i="329" s="1"/>
  <c r="N96" i="329"/>
  <c r="N105" i="329"/>
  <c r="R106" i="329" s="1"/>
  <c r="N382" i="329"/>
  <c r="O383" i="329" s="1"/>
  <c r="O142" i="2" s="1"/>
  <c r="N94" i="329"/>
  <c r="R95" i="329" s="1"/>
  <c r="R123" i="329" s="1"/>
  <c r="AJ35" i="329"/>
  <c r="BJ250" i="329"/>
  <c r="BK250" i="329" s="1"/>
  <c r="BL250" i="329" s="1"/>
  <c r="BM250" i="329" s="1"/>
  <c r="EM250" i="329"/>
  <c r="BN250" i="329" s="1"/>
  <c r="BO250" i="329" s="1"/>
  <c r="BP250" i="329" s="1"/>
  <c r="BQ264" i="329" s="1"/>
  <c r="EN264" i="329" s="1"/>
  <c r="EB382" i="329"/>
  <c r="EC93" i="329"/>
  <c r="EM141" i="329"/>
  <c r="EN141" i="329"/>
  <c r="EM143" i="329"/>
  <c r="EN142" i="329"/>
  <c r="EN143" i="329"/>
  <c r="EM142" i="329"/>
  <c r="DB302" i="329"/>
  <c r="CJ301" i="329"/>
  <c r="CJ302" i="329" s="1"/>
  <c r="BD141" i="2"/>
  <c r="CZ336" i="329"/>
  <c r="CY332" i="329"/>
  <c r="DC332" i="329"/>
  <c r="AJ90" i="329"/>
  <c r="AJ83" i="329"/>
  <c r="BT169" i="329"/>
  <c r="BT172" i="329"/>
  <c r="ER168" i="329"/>
  <c r="CF172" i="329"/>
  <c r="U382" i="329"/>
  <c r="V383" i="329" s="1"/>
  <c r="V142" i="2" s="1"/>
  <c r="Y93" i="329"/>
  <c r="U105" i="329"/>
  <c r="U93" i="329"/>
  <c r="U94" i="329"/>
  <c r="U107" i="329" s="1"/>
  <c r="Y110" i="329" s="1"/>
  <c r="Y122" i="329" s="1"/>
  <c r="CJ161" i="329"/>
  <c r="ES156" i="329"/>
  <c r="CJ157" i="329"/>
  <c r="CJ158" i="329" s="1"/>
  <c r="BR340" i="329"/>
  <c r="ED375" i="329"/>
  <c r="ED382" i="329"/>
  <c r="P88" i="329"/>
  <c r="Q87" i="329"/>
  <c r="Q96" i="329" s="1"/>
  <c r="Q97" i="329" s="1"/>
  <c r="P378" i="329"/>
  <c r="P89" i="329"/>
  <c r="P103" i="329" s="1"/>
  <c r="P104" i="329" s="1"/>
  <c r="P101" i="329"/>
  <c r="P102" i="329" s="1"/>
  <c r="EV152" i="329"/>
  <c r="CV153" i="329"/>
  <c r="CU348" i="329"/>
  <c r="EW26" i="329"/>
  <c r="CN178" i="329"/>
  <c r="CR178" i="329"/>
  <c r="CN157" i="329"/>
  <c r="EV177" i="329"/>
  <c r="R107" i="329"/>
  <c r="EO152" i="329"/>
  <c r="BT153" i="329"/>
  <c r="ER152" i="329"/>
  <c r="CF153" i="329"/>
  <c r="N104" i="329"/>
  <c r="ES177" i="329"/>
  <c r="EU177" i="329"/>
  <c r="CJ169" i="329"/>
  <c r="CJ170" i="329" s="1"/>
  <c r="CJ172" i="329"/>
  <c r="ES168" i="329"/>
  <c r="EN168" i="329"/>
  <c r="EO169" i="329" s="1"/>
  <c r="BP172" i="329"/>
  <c r="CV169" i="329"/>
  <c r="CV172" i="329"/>
  <c r="EV168" i="329"/>
  <c r="CU340" i="329"/>
  <c r="CY340" i="329"/>
  <c r="BX153" i="329"/>
  <c r="EP152" i="329"/>
  <c r="BX161" i="329"/>
  <c r="EP160" i="329"/>
  <c r="CR161" i="329"/>
  <c r="CN161" i="329"/>
  <c r="ET160" i="329"/>
  <c r="CN165" i="329"/>
  <c r="BB123" i="329"/>
  <c r="BN221" i="2"/>
  <c r="CS307" i="329"/>
  <c r="AX123" i="329"/>
  <c r="ER343" i="329"/>
  <c r="EN151" i="2"/>
  <c r="EQ221" i="2" s="1"/>
  <c r="BZ340" i="329"/>
  <c r="AP107" i="329"/>
  <c r="AT108" i="329" s="1"/>
  <c r="AP95" i="329"/>
  <c r="AP123" i="329" s="1"/>
  <c r="EO164" i="329"/>
  <c r="BT165" i="329"/>
  <c r="EI179" i="2"/>
  <c r="EI168" i="2"/>
  <c r="CJ178" i="329"/>
  <c r="CJ153" i="329"/>
  <c r="ES152" i="329"/>
  <c r="DC336" i="329"/>
  <c r="CY336" i="329"/>
  <c r="O388" i="329"/>
  <c r="O109" i="3"/>
  <c r="O379" i="329"/>
  <c r="O380" i="329"/>
  <c r="O102" i="329"/>
  <c r="CB161" i="329"/>
  <c r="EN160" i="329"/>
  <c r="CY348" i="329"/>
  <c r="DC348" i="329"/>
  <c r="BX169" i="329"/>
  <c r="BX172" i="329"/>
  <c r="EP168" i="329"/>
  <c r="EP164" i="329"/>
  <c r="BX165" i="329"/>
  <c r="CN153" i="329"/>
  <c r="ET168" i="329"/>
  <c r="CN172" i="329"/>
  <c r="CN169" i="329"/>
  <c r="CR153" i="329"/>
  <c r="CR154" i="329" s="1"/>
  <c r="EU152" i="329"/>
  <c r="CF165" i="329"/>
  <c r="EV126" i="329"/>
  <c r="R383" i="329"/>
  <c r="R142" i="2" s="1"/>
  <c r="R390" i="329"/>
  <c r="R112" i="4"/>
  <c r="BT161" i="329"/>
  <c r="EO160" i="329"/>
  <c r="CF161" i="329"/>
  <c r="ER160" i="329"/>
  <c r="ES161" i="329" s="1"/>
  <c r="U375" i="329"/>
  <c r="Y375" i="329"/>
  <c r="CB153" i="329"/>
  <c r="CB172" i="329"/>
  <c r="EQ152" i="329"/>
  <c r="CJ165" i="329"/>
  <c r="ES164" i="329"/>
  <c r="EQ177" i="329"/>
  <c r="EO177" i="329"/>
  <c r="EV184" i="329"/>
  <c r="EW219" i="329" s="1"/>
  <c r="EV160" i="329"/>
  <c r="CV161" i="329"/>
  <c r="AS106" i="329"/>
  <c r="AO106" i="329"/>
  <c r="Q382" i="329"/>
  <c r="Q105" i="329"/>
  <c r="Q106" i="329" s="1"/>
  <c r="Q93" i="329"/>
  <c r="BX157" i="329"/>
  <c r="EP156" i="329"/>
  <c r="ET177" i="329"/>
  <c r="EU168" i="329"/>
  <c r="CR169" i="329"/>
  <c r="BD106" i="329"/>
  <c r="DE223" i="329"/>
  <c r="DE224" i="329" s="1"/>
  <c r="DE221" i="329"/>
  <c r="CX94" i="2"/>
  <c r="CJ340" i="329"/>
  <c r="BL108" i="329"/>
  <c r="BP110" i="329"/>
  <c r="BP122" i="329" s="1"/>
  <c r="EQ339" i="329"/>
  <c r="AY108" i="3"/>
  <c r="AY95" i="3" s="1"/>
  <c r="AY141" i="2"/>
  <c r="AY391" i="329"/>
  <c r="AY166" i="2"/>
  <c r="EU16" i="2"/>
  <c r="EU254" i="2" s="1"/>
  <c r="BR93" i="3"/>
  <c r="BR91" i="3"/>
  <c r="CU154" i="329"/>
  <c r="CQ154" i="329"/>
  <c r="AI306" i="329"/>
  <c r="EG71" i="329"/>
  <c r="EG72" i="329"/>
  <c r="AP70" i="329"/>
  <c r="O390" i="329"/>
  <c r="O112" i="4"/>
  <c r="O385" i="329"/>
  <c r="V107" i="329"/>
  <c r="Z110" i="329" s="1"/>
  <c r="Z122" i="329" s="1"/>
  <c r="V95" i="329"/>
  <c r="V123" i="329" s="1"/>
  <c r="CN332" i="329"/>
  <c r="CK59" i="3"/>
  <c r="CL59" i="3"/>
  <c r="CL50" i="3"/>
  <c r="CL81" i="3" s="1"/>
  <c r="CK57" i="3"/>
  <c r="CM88" i="3"/>
  <c r="CL60" i="3"/>
  <c r="CK60" i="3"/>
  <c r="CL56" i="3"/>
  <c r="CL127" i="3"/>
  <c r="CK56" i="3"/>
  <c r="CL57" i="3"/>
  <c r="CK55" i="3"/>
  <c r="CK50" i="3"/>
  <c r="CK81" i="3" s="1"/>
  <c r="CL55" i="3"/>
  <c r="CK127" i="3"/>
  <c r="BG170" i="2"/>
  <c r="CX344" i="329"/>
  <c r="BB208" i="2"/>
  <c r="CA105" i="329"/>
  <c r="CE126" i="329"/>
  <c r="BS139" i="329"/>
  <c r="BW138" i="329" s="1"/>
  <c r="BW137" i="329" s="1"/>
  <c r="BW111" i="329" s="1"/>
  <c r="CI118" i="329" s="1"/>
  <c r="BS125" i="329"/>
  <c r="BO128" i="329"/>
  <c r="CF170" i="329"/>
  <c r="V112" i="4"/>
  <c r="V390" i="329"/>
  <c r="Z107" i="329"/>
  <c r="EM210" i="2"/>
  <c r="EV85" i="2"/>
  <c r="EW99" i="2" s="1"/>
  <c r="EI103" i="4"/>
  <c r="EV412" i="329"/>
  <c r="EI100" i="3"/>
  <c r="EV107" i="2"/>
  <c r="EV78" i="2"/>
  <c r="EW107" i="2"/>
  <c r="EV77" i="2"/>
  <c r="EV165" i="329"/>
  <c r="EU184" i="329"/>
  <c r="EV219" i="329" s="1"/>
  <c r="AY108" i="329"/>
  <c r="CZ348" i="329"/>
  <c r="EC372" i="329"/>
  <c r="ED372" i="329"/>
  <c r="CE116" i="329"/>
  <c r="Z383" i="329"/>
  <c r="Z142" i="2" s="1"/>
  <c r="AA383" i="329"/>
  <c r="AA142" i="2" s="1"/>
  <c r="Z112" i="4"/>
  <c r="Z390" i="329"/>
  <c r="CA116" i="329"/>
  <c r="CI117" i="329"/>
  <c r="EU182" i="329"/>
  <c r="EV217" i="329" s="1"/>
  <c r="Z106" i="329"/>
  <c r="AD106" i="329"/>
  <c r="EO356" i="329"/>
  <c r="CJ332" i="329"/>
  <c r="CR332" i="329"/>
  <c r="CU92" i="2"/>
  <c r="CY93" i="2"/>
  <c r="CU93" i="2"/>
  <c r="CG336" i="329"/>
  <c r="ES183" i="329"/>
  <c r="ET218" i="329" s="1"/>
  <c r="CR340" i="329"/>
  <c r="CQ166" i="329"/>
  <c r="EN363" i="329"/>
  <c r="AJ292" i="329"/>
  <c r="AJ301" i="329" s="1"/>
  <c r="AJ299" i="329"/>
  <c r="AK290" i="329"/>
  <c r="AJ304" i="329"/>
  <c r="O98" i="329"/>
  <c r="O107" i="329"/>
  <c r="S110" i="329" s="1"/>
  <c r="S122" i="329" s="1"/>
  <c r="CH201" i="2"/>
  <c r="CH169" i="2"/>
  <c r="CH200" i="2" s="1"/>
  <c r="DB238" i="2"/>
  <c r="CX238" i="2"/>
  <c r="EW169" i="2"/>
  <c r="CX200" i="2"/>
  <c r="CK234" i="2"/>
  <c r="CC139" i="329"/>
  <c r="CG138" i="329" s="1"/>
  <c r="CG137" i="329" s="1"/>
  <c r="CG111" i="329" s="1"/>
  <c r="CK116" i="329" s="1"/>
  <c r="CC125" i="329"/>
  <c r="CG126" i="329" s="1"/>
  <c r="EV363" i="329"/>
  <c r="EW347" i="329"/>
  <c r="CP332" i="329"/>
  <c r="CT332" i="329"/>
  <c r="AT311" i="329"/>
  <c r="CP336" i="329"/>
  <c r="CK238" i="2"/>
  <c r="CK200" i="2"/>
  <c r="CK217" i="2" s="1"/>
  <c r="EF49" i="329"/>
  <c r="EF83" i="329" s="1"/>
  <c r="EF82" i="329"/>
  <c r="EF371" i="329" s="1"/>
  <c r="EF372" i="329" s="1"/>
  <c r="CO313" i="329"/>
  <c r="CO320" i="329" s="1"/>
  <c r="CK311" i="329"/>
  <c r="CS117" i="329"/>
  <c r="CY216" i="2"/>
  <c r="ET360" i="329"/>
  <c r="CP340" i="329"/>
  <c r="AO311" i="329"/>
  <c r="CK126" i="329"/>
  <c r="CO126" i="329"/>
  <c r="EV359" i="329"/>
  <c r="EW331" i="329"/>
  <c r="ET359" i="329"/>
  <c r="BZ221" i="2"/>
  <c r="BN175" i="2"/>
  <c r="EW335" i="329"/>
  <c r="EV360" i="329"/>
  <c r="EW339" i="329"/>
  <c r="EV361" i="329"/>
  <c r="ER361" i="329"/>
  <c r="ER339" i="329"/>
  <c r="CP348" i="329"/>
  <c r="CX95" i="2"/>
  <c r="AT321" i="329"/>
  <c r="CR313" i="329"/>
  <c r="CR320" i="329" s="1"/>
  <c r="CL344" i="329"/>
  <c r="BU93" i="3"/>
  <c r="BU91" i="3"/>
  <c r="BY139" i="329"/>
  <c r="CC138" i="329" s="1"/>
  <c r="CC137" i="329" s="1"/>
  <c r="CC111" i="329" s="1"/>
  <c r="BY125" i="329"/>
  <c r="BU128" i="329"/>
  <c r="CZ332" i="329"/>
  <c r="DD332" i="329"/>
  <c r="CL332" i="329"/>
  <c r="AS40" i="329"/>
  <c r="EH40" i="329" s="1"/>
  <c r="EH13" i="329"/>
  <c r="AT13" i="329" s="1"/>
  <c r="CZ340" i="329"/>
  <c r="EG82" i="329"/>
  <c r="EG49" i="329"/>
  <c r="EG83" i="329" s="1"/>
  <c r="BV201" i="2"/>
  <c r="BV171" i="2"/>
  <c r="DB80" i="2"/>
  <c r="DB79" i="2"/>
  <c r="CP102" i="3"/>
  <c r="DB109" i="2"/>
  <c r="EJ17" i="2"/>
  <c r="EJ76" i="2"/>
  <c r="CR109" i="2"/>
  <c r="CF102" i="3"/>
  <c r="CR79" i="2"/>
  <c r="CR94" i="2" s="1"/>
  <c r="BK104" i="4"/>
  <c r="BK106" i="4" s="1"/>
  <c r="BK20" i="2"/>
  <c r="BK82" i="2"/>
  <c r="BK111" i="3"/>
  <c r="BO111" i="2"/>
  <c r="BK83" i="2"/>
  <c r="BO83" i="2"/>
  <c r="BK25" i="2"/>
  <c r="BK111" i="2"/>
  <c r="BB111" i="3"/>
  <c r="BB83" i="2"/>
  <c r="BB82" i="2"/>
  <c r="BB25" i="2"/>
  <c r="BB111" i="2"/>
  <c r="BB104" i="4"/>
  <c r="BB106" i="4" s="1"/>
  <c r="BB20" i="2"/>
  <c r="CT216" i="2"/>
  <c r="CZ109" i="2"/>
  <c r="CV109" i="2"/>
  <c r="CV79" i="2"/>
  <c r="CV15" i="2"/>
  <c r="CV80" i="2"/>
  <c r="CZ95" i="2" s="1"/>
  <c r="CJ102" i="3"/>
  <c r="CZ214" i="2"/>
  <c r="CV214" i="2"/>
  <c r="AX20" i="2"/>
  <c r="AX82" i="2"/>
  <c r="AX97" i="2" s="1"/>
  <c r="AX25" i="2"/>
  <c r="AX111" i="2"/>
  <c r="AX111" i="3"/>
  <c r="AX83" i="2"/>
  <c r="AX104" i="4"/>
  <c r="AX106" i="4" s="1"/>
  <c r="CJ9" i="2"/>
  <c r="CB101" i="3"/>
  <c r="CT9" i="2"/>
  <c r="CH101" i="3"/>
  <c r="CQ214" i="2"/>
  <c r="CU214" i="2"/>
  <c r="CJ187" i="2"/>
  <c r="CJ210" i="2" s="1"/>
  <c r="CJ227" i="2"/>
  <c r="ES157" i="2"/>
  <c r="ES187" i="2" s="1"/>
  <c r="CJ170" i="2"/>
  <c r="BZ213" i="2"/>
  <c r="BN213" i="2"/>
  <c r="BB91" i="2"/>
  <c r="BB127" i="2" s="1"/>
  <c r="CD101" i="3"/>
  <c r="CP9" i="2"/>
  <c r="CP108" i="2" s="1"/>
  <c r="EV197" i="2"/>
  <c r="EW214" i="2" s="1"/>
  <c r="EW231" i="2"/>
  <c r="EV231" i="2"/>
  <c r="CQ80" i="2"/>
  <c r="CQ109" i="2"/>
  <c r="CE102" i="3"/>
  <c r="CU109" i="2"/>
  <c r="CQ79" i="2"/>
  <c r="CQ15" i="2"/>
  <c r="EQ230" i="2"/>
  <c r="EN193" i="2"/>
  <c r="EO230" i="2"/>
  <c r="BN189" i="2"/>
  <c r="BN229" i="2"/>
  <c r="BZ229" i="2"/>
  <c r="BN168" i="2"/>
  <c r="EN160" i="2"/>
  <c r="BJ229" i="2"/>
  <c r="BF164" i="2"/>
  <c r="BJ233" i="2" s="1"/>
  <c r="BF168" i="2"/>
  <c r="BF229" i="2"/>
  <c r="BF189" i="2"/>
  <c r="BB189" i="2"/>
  <c r="BB212" i="2" s="1"/>
  <c r="BB229" i="2"/>
  <c r="CW214" i="2"/>
  <c r="DA214" i="2"/>
  <c r="BB168" i="2"/>
  <c r="AX170" i="2"/>
  <c r="AX201" i="2" s="1"/>
  <c r="AX199" i="2"/>
  <c r="BG208" i="2"/>
  <c r="AM97" i="2"/>
  <c r="EL179" i="2"/>
  <c r="AT42" i="329"/>
  <c r="AU15" i="329"/>
  <c r="AS16" i="329"/>
  <c r="AR43" i="329"/>
  <c r="AP32" i="329"/>
  <c r="AP33" i="329"/>
  <c r="AP31" i="329"/>
  <c r="AP30" i="329"/>
  <c r="AP50" i="329"/>
  <c r="AP51" i="329" s="1"/>
  <c r="AP29" i="329"/>
  <c r="AO122" i="329"/>
  <c r="EP343" i="329"/>
  <c r="EP362" i="329"/>
  <c r="ES331" i="329"/>
  <c r="ES359" i="329"/>
  <c r="EP359" i="329"/>
  <c r="ET361" i="329"/>
  <c r="ET339" i="329"/>
  <c r="BI338" i="329"/>
  <c r="EM339" i="329"/>
  <c r="EP361" i="329"/>
  <c r="EP339" i="329"/>
  <c r="AK108" i="329"/>
  <c r="ES335" i="329"/>
  <c r="ES360" i="329"/>
  <c r="ES339" i="329"/>
  <c r="ES361" i="329"/>
  <c r="EP363" i="329"/>
  <c r="BI342" i="329"/>
  <c r="CG158" i="329"/>
  <c r="AX110" i="329"/>
  <c r="AX122" i="329" s="1"/>
  <c r="EM347" i="329"/>
  <c r="BI346" i="329"/>
  <c r="BI330" i="329"/>
  <c r="CO8" i="2"/>
  <c r="CO9" i="2" s="1"/>
  <c r="CO223" i="2"/>
  <c r="CO177" i="2"/>
  <c r="CO157" i="2"/>
  <c r="CN8" i="2"/>
  <c r="CN9" i="2" s="1"/>
  <c r="CN108" i="2" s="1"/>
  <c r="CN223" i="2"/>
  <c r="CN177" i="2"/>
  <c r="CN157" i="2"/>
  <c r="CV223" i="2"/>
  <c r="CZ223" i="2"/>
  <c r="CV8" i="2"/>
  <c r="CV177" i="2"/>
  <c r="EV153" i="2"/>
  <c r="EV177" i="2" s="1"/>
  <c r="DB177" i="2"/>
  <c r="DB8" i="2"/>
  <c r="CR237" i="2"/>
  <c r="CR199" i="2"/>
  <c r="CR216" i="2" s="1"/>
  <c r="DA8" i="2"/>
  <c r="DA177" i="2"/>
  <c r="DA223" i="2"/>
  <c r="CR157" i="2"/>
  <c r="CR223" i="2"/>
  <c r="CR8" i="2"/>
  <c r="CR177" i="2"/>
  <c r="EW175" i="2"/>
  <c r="EW221" i="2"/>
  <c r="CZ237" i="2"/>
  <c r="EV168" i="2"/>
  <c r="CV170" i="2"/>
  <c r="CV199" i="2"/>
  <c r="CV237" i="2"/>
  <c r="EV175" i="2"/>
  <c r="EV221" i="2"/>
  <c r="DV59" i="3"/>
  <c r="DV127" i="3"/>
  <c r="DV124" i="3"/>
  <c r="EE102" i="3"/>
  <c r="EC58" i="3"/>
  <c r="BL208" i="2"/>
  <c r="BH208" i="2"/>
  <c r="BM86" i="2"/>
  <c r="BQ100" i="2" s="1"/>
  <c r="BM87" i="2"/>
  <c r="BQ113" i="2"/>
  <c r="BM30" i="2"/>
  <c r="J112" i="3"/>
  <c r="J84" i="2"/>
  <c r="J112" i="2"/>
  <c r="N112" i="2"/>
  <c r="BD25" i="2"/>
  <c r="BD111" i="3"/>
  <c r="BD82" i="2"/>
  <c r="BD83" i="2"/>
  <c r="BD111" i="2"/>
  <c r="BD104" i="4"/>
  <c r="BD106" i="4" s="1"/>
  <c r="EK17" i="2"/>
  <c r="EK76" i="2"/>
  <c r="EK108" i="2"/>
  <c r="BZ84" i="3"/>
  <c r="AV37" i="2"/>
  <c r="AV34" i="2"/>
  <c r="AV105" i="3"/>
  <c r="AV88" i="2"/>
  <c r="EU214" i="2"/>
  <c r="E37" i="2"/>
  <c r="E105" i="3"/>
  <c r="I114" i="2"/>
  <c r="E34" i="2"/>
  <c r="DQ115" i="2"/>
  <c r="DE125" i="3"/>
  <c r="DE126" i="3"/>
  <c r="DU98" i="2"/>
  <c r="H98" i="2"/>
  <c r="DX97" i="2"/>
  <c r="E114" i="3"/>
  <c r="F69" i="3"/>
  <c r="DU34" i="2"/>
  <c r="DU88" i="2"/>
  <c r="DU101" i="2" s="1"/>
  <c r="DU114" i="2"/>
  <c r="DU37" i="2"/>
  <c r="DU115" i="2" s="1"/>
  <c r="DI105" i="3"/>
  <c r="DQ101" i="2"/>
  <c r="BF111" i="3"/>
  <c r="BF111" i="2"/>
  <c r="BF104" i="4"/>
  <c r="BF106" i="4" s="1"/>
  <c r="BF82" i="2"/>
  <c r="BF25" i="2"/>
  <c r="BF20" i="2"/>
  <c r="BF83" i="2"/>
  <c r="BJ111" i="2"/>
  <c r="BJ83" i="2"/>
  <c r="AT98" i="2"/>
  <c r="AT96" i="2"/>
  <c r="CE76" i="2"/>
  <c r="CE108" i="2"/>
  <c r="AP30" i="2"/>
  <c r="AT113" i="2"/>
  <c r="AP87" i="2"/>
  <c r="AP86" i="2"/>
  <c r="BN97" i="2"/>
  <c r="CK9" i="2"/>
  <c r="ES8" i="2"/>
  <c r="EG101" i="3" s="1"/>
  <c r="CC101" i="3"/>
  <c r="AT97" i="2"/>
  <c r="ES223" i="2"/>
  <c r="BM63" i="4"/>
  <c r="BU97" i="2"/>
  <c r="AM87" i="2"/>
  <c r="EP80" i="2"/>
  <c r="BW170" i="2"/>
  <c r="BW199" i="2"/>
  <c r="CM218" i="2"/>
  <c r="ET99" i="2"/>
  <c r="CL17" i="2"/>
  <c r="CL158" i="2"/>
  <c r="CL108" i="2"/>
  <c r="CL76" i="2"/>
  <c r="CB187" i="2"/>
  <c r="CB227" i="2"/>
  <c r="CB170" i="2"/>
  <c r="CF227" i="2"/>
  <c r="CB9" i="2"/>
  <c r="CB158" i="2" s="1"/>
  <c r="EQ8" i="2"/>
  <c r="CM101" i="3"/>
  <c r="CY9" i="2"/>
  <c r="ET223" i="2"/>
  <c r="CD96" i="2"/>
  <c r="BO96" i="2"/>
  <c r="EW60" i="2"/>
  <c r="DC96" i="2"/>
  <c r="CY96" i="2"/>
  <c r="CU17" i="2"/>
  <c r="CU76" i="2"/>
  <c r="CU158" i="2"/>
  <c r="ES99" i="2"/>
  <c r="ER92" i="2"/>
  <c r="ET92" i="2"/>
  <c r="BU30" i="2"/>
  <c r="BU113" i="2"/>
  <c r="BU86" i="2"/>
  <c r="BU87" i="2"/>
  <c r="CW158" i="2"/>
  <c r="CW76" i="2"/>
  <c r="CW17" i="2"/>
  <c r="BV37" i="2"/>
  <c r="BV88" i="2"/>
  <c r="BV34" i="2"/>
  <c r="BV107" i="4" s="1"/>
  <c r="BV100" i="4" s="1"/>
  <c r="BV105" i="3"/>
  <c r="ES209" i="2"/>
  <c r="ES245" i="2" s="1"/>
  <c r="ER209" i="2"/>
  <c r="ER245" i="2" s="1"/>
  <c r="CR81" i="3"/>
  <c r="CL201" i="2"/>
  <c r="CL169" i="2"/>
  <c r="CL239" i="2"/>
  <c r="BL172" i="329"/>
  <c r="BH172" i="329"/>
  <c r="EH29" i="4"/>
  <c r="EE54" i="4"/>
  <c r="EE63" i="4" s="1"/>
  <c r="EE117" i="4"/>
  <c r="DZ96" i="2"/>
  <c r="EP15" i="2"/>
  <c r="CG105" i="4"/>
  <c r="CS80" i="2"/>
  <c r="CW95" i="2" s="1"/>
  <c r="CS19" i="2"/>
  <c r="CS15" i="2"/>
  <c r="BX81" i="2"/>
  <c r="BY81" i="2"/>
  <c r="BY20" i="2"/>
  <c r="EB96" i="2"/>
  <c r="EC96" i="2"/>
  <c r="EU12" i="2"/>
  <c r="CF80" i="2"/>
  <c r="CF19" i="2"/>
  <c r="CF15" i="2"/>
  <c r="ER12" i="2"/>
  <c r="DM112" i="3"/>
  <c r="DY73" i="2"/>
  <c r="DY84" i="2"/>
  <c r="DY72" i="2"/>
  <c r="DP112" i="3"/>
  <c r="EB84" i="2"/>
  <c r="EB98" i="2" s="1"/>
  <c r="EB73" i="2"/>
  <c r="EB112" i="2"/>
  <c r="EB72" i="2"/>
  <c r="CL96" i="2"/>
  <c r="CP96" i="2"/>
  <c r="DD218" i="2"/>
  <c r="EF97" i="3"/>
  <c r="CQ9" i="2"/>
  <c r="CQ158" i="2" s="1"/>
  <c r="BJ201" i="2"/>
  <c r="BT88" i="2"/>
  <c r="BT37" i="2"/>
  <c r="CW218" i="2"/>
  <c r="BN112" i="3"/>
  <c r="BN112" i="2"/>
  <c r="BN84" i="2"/>
  <c r="BI87" i="2"/>
  <c r="BM113" i="2"/>
  <c r="BI30" i="2"/>
  <c r="BI86" i="2"/>
  <c r="CQ187" i="2"/>
  <c r="CQ227" i="2"/>
  <c r="CU227" i="2"/>
  <c r="CQ170" i="2"/>
  <c r="EN82" i="2"/>
  <c r="EN25" i="2"/>
  <c r="EB111" i="3"/>
  <c r="EN140" i="2"/>
  <c r="EB104" i="4"/>
  <c r="EN132" i="2"/>
  <c r="BN30" i="2"/>
  <c r="BN114" i="2" s="1"/>
  <c r="BN87" i="2"/>
  <c r="BN86" i="2"/>
  <c r="BG172" i="329"/>
  <c r="CI200" i="2"/>
  <c r="DY382" i="329"/>
  <c r="DZ93" i="329"/>
  <c r="J92" i="329"/>
  <c r="I92" i="329"/>
  <c r="DY96" i="329"/>
  <c r="DY93" i="329"/>
  <c r="CL126" i="329"/>
  <c r="CH126" i="329"/>
  <c r="AN35" i="329"/>
  <c r="BT93" i="329"/>
  <c r="BT96" i="329"/>
  <c r="BT94" i="329"/>
  <c r="DW94" i="329"/>
  <c r="DV382" i="329"/>
  <c r="DV94" i="329"/>
  <c r="DV96" i="329"/>
  <c r="DW93" i="329"/>
  <c r="DV93" i="329"/>
  <c r="DV105" i="329"/>
  <c r="DZ375" i="329"/>
  <c r="AH35" i="329"/>
  <c r="BR309" i="329"/>
  <c r="BN309" i="329"/>
  <c r="BZ309" i="329"/>
  <c r="AJ390" i="329"/>
  <c r="AJ112" i="4"/>
  <c r="AK383" i="329"/>
  <c r="AK142" i="2" s="1"/>
  <c r="BV139" i="329"/>
  <c r="BZ138" i="329" s="1"/>
  <c r="BZ137" i="329" s="1"/>
  <c r="BZ111" i="329" s="1"/>
  <c r="BR128" i="329"/>
  <c r="BV125" i="329"/>
  <c r="EG375" i="329"/>
  <c r="EF382" i="329"/>
  <c r="CT300" i="329"/>
  <c r="BS93" i="3"/>
  <c r="CP117" i="329"/>
  <c r="CB96" i="329"/>
  <c r="CB93" i="329"/>
  <c r="CB94" i="329"/>
  <c r="DT106" i="329"/>
  <c r="BR375" i="329"/>
  <c r="BN375" i="329"/>
  <c r="BN382" i="329"/>
  <c r="BZ139" i="329"/>
  <c r="CD138" i="329" s="1"/>
  <c r="CD137" i="329" s="1"/>
  <c r="CD111" i="329" s="1"/>
  <c r="CH116" i="329" s="1"/>
  <c r="BZ125" i="329"/>
  <c r="BZ105" i="329" s="1"/>
  <c r="DT107" i="329"/>
  <c r="DT108" i="329" s="1"/>
  <c r="DU97" i="329"/>
  <c r="DW375" i="329"/>
  <c r="DV375" i="329"/>
  <c r="CV93" i="4"/>
  <c r="CH21" i="329"/>
  <c r="ES21" i="329" s="1"/>
  <c r="ES12" i="329" s="1"/>
  <c r="EP39" i="329"/>
  <c r="AS95" i="329"/>
  <c r="AS123" i="329" s="1"/>
  <c r="AS107" i="329"/>
  <c r="AW108" i="329" s="1"/>
  <c r="AE112" i="4"/>
  <c r="AE390" i="329"/>
  <c r="AE383" i="329"/>
  <c r="AE142" i="2" s="1"/>
  <c r="AF383" i="329"/>
  <c r="AF142" i="2" s="1"/>
  <c r="AH83" i="329"/>
  <c r="AH90" i="329"/>
  <c r="BV20" i="329"/>
  <c r="EO17" i="329"/>
  <c r="EO48" i="329" s="1"/>
  <c r="EO38" i="329"/>
  <c r="EO29" i="329" s="1"/>
  <c r="CV33" i="329"/>
  <c r="CV29" i="329"/>
  <c r="CV31" i="329"/>
  <c r="CV30" i="329"/>
  <c r="CV32" i="329"/>
  <c r="CW44" i="329"/>
  <c r="CW50" i="329" s="1"/>
  <c r="DA51" i="329" s="1"/>
  <c r="CV35" i="329"/>
  <c r="CV34" i="329"/>
  <c r="AA106" i="329"/>
  <c r="EM164" i="2"/>
  <c r="EM120" i="329"/>
  <c r="EM107" i="329"/>
  <c r="AN90" i="329"/>
  <c r="AN83" i="329"/>
  <c r="AW95" i="329"/>
  <c r="AW123" i="329" s="1"/>
  <c r="AR122" i="329"/>
  <c r="BZ391" i="329"/>
  <c r="BZ166" i="2"/>
  <c r="EO30" i="329"/>
  <c r="BC110" i="329"/>
  <c r="BC122" i="329" s="1"/>
  <c r="AB51" i="329"/>
  <c r="AF51" i="329"/>
  <c r="EI107" i="329"/>
  <c r="AS110" i="329"/>
  <c r="AS122" i="329" s="1"/>
  <c r="AP383" i="329"/>
  <c r="AP142" i="2" s="1"/>
  <c r="AP112" i="4"/>
  <c r="AP113" i="4" s="1"/>
  <c r="AP390" i="329"/>
  <c r="EE382" i="329"/>
  <c r="EE375" i="329"/>
  <c r="EF375" i="329"/>
  <c r="CV87" i="329"/>
  <c r="AG90" i="329"/>
  <c r="AG83" i="329"/>
  <c r="AI51" i="329"/>
  <c r="AM51" i="329"/>
  <c r="BO122" i="329"/>
  <c r="BZ93" i="329"/>
  <c r="CA94" i="329"/>
  <c r="BZ96" i="329"/>
  <c r="AA372" i="329"/>
  <c r="W372" i="329"/>
  <c r="AB382" i="329"/>
  <c r="AF375" i="329"/>
  <c r="AB375" i="329"/>
  <c r="EO35" i="329"/>
  <c r="EO31" i="329"/>
  <c r="EO34" i="329"/>
  <c r="EO33" i="329"/>
  <c r="EO32" i="329"/>
  <c r="CE87" i="329"/>
  <c r="BW88" i="329"/>
  <c r="BW89" i="329"/>
  <c r="BW103" i="329" s="1"/>
  <c r="BW101" i="329"/>
  <c r="CA88" i="329"/>
  <c r="BW378" i="329"/>
  <c r="BW379" i="329" s="1"/>
  <c r="EF93" i="329"/>
  <c r="EE93" i="329"/>
  <c r="S105" i="329"/>
  <c r="S94" i="329"/>
  <c r="W95" i="329" s="1"/>
  <c r="W123" i="329" s="1"/>
  <c r="S382" i="329"/>
  <c r="S93" i="329"/>
  <c r="T94" i="329"/>
  <c r="AH51" i="329"/>
  <c r="AL51" i="329"/>
  <c r="W93" i="329"/>
  <c r="W112" i="4"/>
  <c r="W390" i="329"/>
  <c r="W383" i="329"/>
  <c r="W142" i="2" s="1"/>
  <c r="BK108" i="329"/>
  <c r="BS94" i="329"/>
  <c r="BR93" i="329"/>
  <c r="BR96" i="329"/>
  <c r="BA108" i="329"/>
  <c r="BA110" i="329"/>
  <c r="BA122" i="329" s="1"/>
  <c r="W375" i="329"/>
  <c r="BG110" i="329"/>
  <c r="BG122" i="329" s="1"/>
  <c r="X382" i="329"/>
  <c r="X93" i="329"/>
  <c r="X105" i="329"/>
  <c r="Y94" i="329"/>
  <c r="X94" i="329"/>
  <c r="AN108" i="329"/>
  <c r="EG107" i="329"/>
  <c r="AB94" i="329"/>
  <c r="AF95" i="329" s="1"/>
  <c r="AF123" i="329" s="1"/>
  <c r="AB105" i="329"/>
  <c r="AF93" i="329"/>
  <c r="AC94" i="329"/>
  <c r="AB93" i="329"/>
  <c r="AD83" i="329"/>
  <c r="AD90" i="329"/>
  <c r="P382" i="329"/>
  <c r="P105" i="329"/>
  <c r="P96" i="329"/>
  <c r="P94" i="329"/>
  <c r="T93" i="329"/>
  <c r="Q94" i="329"/>
  <c r="EV41" i="329"/>
  <c r="EV32" i="329" s="1"/>
  <c r="EW14" i="329"/>
  <c r="EW41" i="329" s="1"/>
  <c r="EW32" i="329" s="1"/>
  <c r="AR106" i="329"/>
  <c r="AV106" i="329"/>
  <c r="BG108" i="329"/>
  <c r="CV50" i="329"/>
  <c r="CZ51" i="329" s="1"/>
  <c r="EW35" i="329"/>
  <c r="BR166" i="2"/>
  <c r="BR391" i="329"/>
  <c r="BR108" i="3"/>
  <c r="BR95" i="3" s="1"/>
  <c r="BR141" i="2"/>
  <c r="W107" i="329"/>
  <c r="AA110" i="329" s="1"/>
  <c r="AA95" i="329"/>
  <c r="AA123" i="329" s="1"/>
  <c r="AM90" i="329"/>
  <c r="AM83" i="329"/>
  <c r="BD108" i="329"/>
  <c r="BH108" i="329"/>
  <c r="O372" i="329"/>
  <c r="S372" i="329"/>
  <c r="AR390" i="329"/>
  <c r="AR112" i="4"/>
  <c r="AS113" i="4" s="1"/>
  <c r="AS383" i="329"/>
  <c r="AS142" i="2" s="1"/>
  <c r="AC51" i="329"/>
  <c r="AG51" i="329"/>
  <c r="AY110" i="329"/>
  <c r="AV310" i="329"/>
  <c r="EW244" i="329"/>
  <c r="EW299" i="329"/>
  <c r="EW308" i="329"/>
  <c r="EW309" i="329" s="1"/>
  <c r="BH382" i="329"/>
  <c r="BH375" i="329"/>
  <c r="AY321" i="329"/>
  <c r="BA310" i="329"/>
  <c r="BA298" i="329"/>
  <c r="BA165" i="2"/>
  <c r="AZ298" i="329"/>
  <c r="AZ310" i="329"/>
  <c r="BD298" i="329"/>
  <c r="AZ165" i="2"/>
  <c r="BD234" i="2" s="1"/>
  <c r="CR165" i="2"/>
  <c r="CR298" i="329"/>
  <c r="CR321" i="329" s="1"/>
  <c r="CV298" i="329"/>
  <c r="CV321" i="329" s="1"/>
  <c r="CR310" i="329"/>
  <c r="BX310" i="329"/>
  <c r="BX311" i="329" s="1"/>
  <c r="BX301" i="329"/>
  <c r="BX302" i="329" s="1"/>
  <c r="BX165" i="2"/>
  <c r="CF390" i="329"/>
  <c r="CF383" i="329"/>
  <c r="BX298" i="329"/>
  <c r="BX321" i="329" s="1"/>
  <c r="AY311" i="329"/>
  <c r="AV382" i="329"/>
  <c r="AV375" i="329"/>
  <c r="CS298" i="329"/>
  <c r="CS321" i="329" s="1"/>
  <c r="CS301" i="329"/>
  <c r="CW302" i="329" s="1"/>
  <c r="CS310" i="329"/>
  <c r="CS165" i="2"/>
  <c r="CW298" i="329"/>
  <c r="CW321" i="329" s="1"/>
  <c r="BJ166" i="2"/>
  <c r="BJ391" i="329"/>
  <c r="BJ108" i="3"/>
  <c r="BJ95" i="3" s="1"/>
  <c r="BJ141" i="2"/>
  <c r="BL310" i="329"/>
  <c r="BP313" i="329" s="1"/>
  <c r="BP320" i="329" s="1"/>
  <c r="BL165" i="2"/>
  <c r="BY301" i="329"/>
  <c r="BY302" i="329" s="1"/>
  <c r="BY310" i="329"/>
  <c r="BY311" i="329" s="1"/>
  <c r="BY165" i="2"/>
  <c r="BY298" i="329"/>
  <c r="BY321" i="329" s="1"/>
  <c r="CO165" i="2"/>
  <c r="CO234" i="2" s="1"/>
  <c r="CO298" i="329"/>
  <c r="CO321" i="329" s="1"/>
  <c r="CO310" i="329"/>
  <c r="CS313" i="329" s="1"/>
  <c r="CS320" i="329" s="1"/>
  <c r="AT112" i="4"/>
  <c r="AU113" i="4" s="1"/>
  <c r="AT383" i="329"/>
  <c r="AT142" i="2" s="1"/>
  <c r="AU383" i="329"/>
  <c r="AU142" i="2" s="1"/>
  <c r="AT390" i="329"/>
  <c r="EM165" i="2"/>
  <c r="EM310" i="329"/>
  <c r="CR300" i="329"/>
  <c r="BX390" i="329"/>
  <c r="BX112" i="4"/>
  <c r="BX383" i="329"/>
  <c r="EW296" i="329"/>
  <c r="EW297" i="329"/>
  <c r="EW310" i="329" s="1"/>
  <c r="BW313" i="329"/>
  <c r="BW320" i="329" s="1"/>
  <c r="AW310" i="329"/>
  <c r="AW298" i="329"/>
  <c r="DA165" i="2"/>
  <c r="DA234" i="2" s="1"/>
  <c r="DA301" i="329"/>
  <c r="DA310" i="329"/>
  <c r="DA311" i="329" s="1"/>
  <c r="DA298" i="329"/>
  <c r="DA321" i="329" s="1"/>
  <c r="BR380" i="329"/>
  <c r="BQ388" i="329"/>
  <c r="BZ380" i="329"/>
  <c r="BQ385" i="329"/>
  <c r="BQ109" i="3"/>
  <c r="BZ379" i="329"/>
  <c r="BR379" i="329"/>
  <c r="AY313" i="329"/>
  <c r="BI310" i="329"/>
  <c r="BI165" i="2"/>
  <c r="BL382" i="329"/>
  <c r="BL375" i="329"/>
  <c r="AZ309" i="329"/>
  <c r="EJ308" i="329"/>
  <c r="BD309" i="329"/>
  <c r="AZ382" i="329"/>
  <c r="AZ375" i="329"/>
  <c r="BD375" i="329"/>
  <c r="CN165" i="2"/>
  <c r="CN234" i="2" s="1"/>
  <c r="CN310" i="329"/>
  <c r="CN298" i="329"/>
  <c r="CN321" i="329" s="1"/>
  <c r="BN310" i="329"/>
  <c r="BN298" i="329"/>
  <c r="BN321" i="329" s="1"/>
  <c r="BN165" i="2"/>
  <c r="BN234" i="2" s="1"/>
  <c r="AV309" i="329"/>
  <c r="BK166" i="2"/>
  <c r="BK391" i="329"/>
  <c r="BK141" i="2"/>
  <c r="BK108" i="3"/>
  <c r="BK95" i="3" s="1"/>
  <c r="BL309" i="329"/>
  <c r="CC305" i="329"/>
  <c r="EQ309" i="329"/>
  <c r="EN309" i="329"/>
  <c r="EO309" i="329"/>
  <c r="BV379" i="329"/>
  <c r="BV135" i="2" s="1"/>
  <c r="BV109" i="3"/>
  <c r="BV380" i="329"/>
  <c r="BV388" i="329"/>
  <c r="CD300" i="329"/>
  <c r="CH300" i="329"/>
  <c r="CK306" i="329"/>
  <c r="CK307" i="329" s="1"/>
  <c r="CK301" i="329"/>
  <c r="BZ165" i="2"/>
  <c r="BZ298" i="329"/>
  <c r="BZ321" i="329" s="1"/>
  <c r="BZ301" i="329"/>
  <c r="BZ310" i="329"/>
  <c r="BR301" i="329"/>
  <c r="BR310" i="329"/>
  <c r="BV298" i="329"/>
  <c r="BV321" i="329" s="1"/>
  <c r="BR298" i="329"/>
  <c r="BR321" i="329" s="1"/>
  <c r="BR165" i="2"/>
  <c r="CC389" i="329"/>
  <c r="ES276" i="329"/>
  <c r="ES259" i="329"/>
  <c r="AK371" i="329"/>
  <c r="AK372" i="329" s="1"/>
  <c r="EF242" i="329"/>
  <c r="CP306" i="329"/>
  <c r="CT307" i="329" s="1"/>
  <c r="BW306" i="329"/>
  <c r="BW307" i="329" s="1"/>
  <c r="BW301" i="329"/>
  <c r="CD309" i="329"/>
  <c r="CH309" i="329"/>
  <c r="DC382" i="329"/>
  <c r="EB112" i="4"/>
  <c r="BR113" i="4" s="1"/>
  <c r="EN390" i="329"/>
  <c r="EV259" i="329"/>
  <c r="EV243" i="329"/>
  <c r="BH298" i="329"/>
  <c r="BH165" i="2"/>
  <c r="BH310" i="329"/>
  <c r="BL298" i="329"/>
  <c r="BL321" i="329" s="1"/>
  <c r="EO259" i="329"/>
  <c r="EO276" i="329"/>
  <c r="EQ165" i="2"/>
  <c r="EQ298" i="329"/>
  <c r="EQ321" i="329" s="1"/>
  <c r="EQ310" i="329"/>
  <c r="EJ165" i="2"/>
  <c r="EJ298" i="329"/>
  <c r="BV306" i="329"/>
  <c r="BV307" i="329" s="1"/>
  <c r="BV301" i="329"/>
  <c r="CY320" i="329"/>
  <c r="DC323" i="329"/>
  <c r="EW313" i="329"/>
  <c r="EW314" i="329" s="1"/>
  <c r="BM309" i="329"/>
  <c r="BQ309" i="329"/>
  <c r="EK297" i="329"/>
  <c r="EK296" i="329"/>
  <c r="EL296" i="329"/>
  <c r="EL297" i="329"/>
  <c r="EH298" i="329"/>
  <c r="BG309" i="329"/>
  <c r="BK309" i="329"/>
  <c r="AI301" i="329"/>
  <c r="EF297" i="329"/>
  <c r="EN165" i="2"/>
  <c r="EN310" i="329"/>
  <c r="EN298" i="329"/>
  <c r="EN321" i="329" s="1"/>
  <c r="BT390" i="329"/>
  <c r="BT385" i="329"/>
  <c r="BT112" i="4"/>
  <c r="BX313" i="329"/>
  <c r="BX320" i="329" s="1"/>
  <c r="CT305" i="329"/>
  <c r="CP305" i="329"/>
  <c r="CQ307" i="329"/>
  <c r="CU307" i="329"/>
  <c r="CQ301" i="329"/>
  <c r="CU302" i="329" s="1"/>
  <c r="CQ310" i="329"/>
  <c r="CU313" i="329" s="1"/>
  <c r="CQ298" i="329"/>
  <c r="CQ321" i="329" s="1"/>
  <c r="CQ165" i="2"/>
  <c r="BG382" i="329"/>
  <c r="BG375" i="329"/>
  <c r="BK375" i="329"/>
  <c r="CY311" i="329"/>
  <c r="AX311" i="329"/>
  <c r="BB313" i="329"/>
  <c r="CD165" i="2"/>
  <c r="CD301" i="329"/>
  <c r="CD310" i="329"/>
  <c r="CD298" i="329"/>
  <c r="CD321" i="329" s="1"/>
  <c r="CE165" i="2"/>
  <c r="CE310" i="329"/>
  <c r="CI313" i="329" s="1"/>
  <c r="CI320" i="329" s="1"/>
  <c r="CI298" i="329"/>
  <c r="CI321" i="329" s="1"/>
  <c r="CE301" i="329"/>
  <c r="CE298" i="329"/>
  <c r="CE321" i="329" s="1"/>
  <c r="CT382" i="329"/>
  <c r="BU389" i="329"/>
  <c r="BT389" i="329"/>
  <c r="BU135" i="2"/>
  <c r="BT135" i="2"/>
  <c r="DB311" i="329"/>
  <c r="BJ298" i="329"/>
  <c r="BF310" i="329"/>
  <c r="BJ313" i="329" s="1"/>
  <c r="BF165" i="2"/>
  <c r="BJ234" i="2" s="1"/>
  <c r="BE309" i="329"/>
  <c r="BI309" i="329"/>
  <c r="CD390" i="329"/>
  <c r="CE383" i="329"/>
  <c r="CE142" i="2" s="1"/>
  <c r="CU300" i="329"/>
  <c r="CQ300" i="329"/>
  <c r="CQ305" i="329"/>
  <c r="CU305" i="329"/>
  <c r="EV310" i="329"/>
  <c r="EV311" i="329" s="1"/>
  <c r="EV298" i="329"/>
  <c r="EV165" i="2"/>
  <c r="EV234" i="2" s="1"/>
  <c r="CJ234" i="2"/>
  <c r="CL165" i="2"/>
  <c r="CL301" i="329"/>
  <c r="CL298" i="329"/>
  <c r="CL321" i="329" s="1"/>
  <c r="CL310" i="329"/>
  <c r="CP313" i="329" s="1"/>
  <c r="BS382" i="329"/>
  <c r="CA382" i="329"/>
  <c r="CB383" i="329" s="1"/>
  <c r="BW375" i="329"/>
  <c r="BG310" i="329"/>
  <c r="BK313" i="329" s="1"/>
  <c r="BK320" i="329" s="1"/>
  <c r="BK298" i="329"/>
  <c r="BG165" i="2"/>
  <c r="BK234" i="2" s="1"/>
  <c r="CU382" i="329"/>
  <c r="EO165" i="2"/>
  <c r="EP298" i="329"/>
  <c r="EO310" i="329"/>
  <c r="EO298" i="329"/>
  <c r="EO321" i="329" s="1"/>
  <c r="BY390" i="329"/>
  <c r="BY383" i="329"/>
  <c r="BY112" i="4"/>
  <c r="EP259" i="329"/>
  <c r="EP276" i="329"/>
  <c r="BT93" i="3"/>
  <c r="BT91" i="3"/>
  <c r="CR301" i="329"/>
  <c r="CR306" i="329"/>
  <c r="CV307" i="329" s="1"/>
  <c r="DD234" i="2"/>
  <c r="CB385" i="329"/>
  <c r="CB390" i="329"/>
  <c r="CG383" i="329"/>
  <c r="CG390" i="329"/>
  <c r="CP310" i="329"/>
  <c r="CT313" i="329" s="1"/>
  <c r="CT320" i="329" s="1"/>
  <c r="CT298" i="329"/>
  <c r="CT321" i="329" s="1"/>
  <c r="EI165" i="2"/>
  <c r="EI298" i="329"/>
  <c r="AI112" i="4"/>
  <c r="AI390" i="329"/>
  <c r="AJ383" i="329"/>
  <c r="AJ142" i="2" s="1"/>
  <c r="AI383" i="329"/>
  <c r="AI142" i="2" s="1"/>
  <c r="CU298" i="329"/>
  <c r="CU321" i="329" s="1"/>
  <c r="DD390" i="329"/>
  <c r="CR112" i="4"/>
  <c r="AX321" i="329"/>
  <c r="AN249" i="329"/>
  <c r="AM259" i="329"/>
  <c r="AM242" i="329" s="1"/>
  <c r="AM371" i="329" s="1"/>
  <c r="AM372" i="329" s="1"/>
  <c r="BE310" i="329"/>
  <c r="BI313" i="329" s="1"/>
  <c r="BI320" i="329" s="1"/>
  <c r="BI298" i="329"/>
  <c r="BE165" i="2"/>
  <c r="BE298" i="329"/>
  <c r="BM298" i="329"/>
  <c r="BM321" i="329" s="1"/>
  <c r="BM310" i="329"/>
  <c r="BM165" i="2"/>
  <c r="BV112" i="4"/>
  <c r="BV385" i="329"/>
  <c r="BV390" i="329"/>
  <c r="BW383" i="329"/>
  <c r="EU259" i="329"/>
  <c r="EU276" i="329"/>
  <c r="EV309" i="329"/>
  <c r="CM165" i="2"/>
  <c r="CM234" i="2" s="1"/>
  <c r="CM298" i="329"/>
  <c r="CM321" i="329" s="1"/>
  <c r="CM310" i="329"/>
  <c r="CQ313" i="329" s="1"/>
  <c r="CQ320" i="329" s="1"/>
  <c r="CM301" i="329"/>
  <c r="DB313" i="329"/>
  <c r="DB320" i="329" s="1"/>
  <c r="EK245" i="329"/>
  <c r="EL245" i="329"/>
  <c r="BE383" i="329"/>
  <c r="BE142" i="2" s="1"/>
  <c r="BE112" i="4"/>
  <c r="BE113" i="4" s="1"/>
  <c r="BE390" i="329"/>
  <c r="BF383" i="329"/>
  <c r="BF142" i="2" s="1"/>
  <c r="CT309" i="329"/>
  <c r="AJ310" i="329"/>
  <c r="AN298" i="329"/>
  <c r="BM375" i="329"/>
  <c r="BM382" i="329"/>
  <c r="BQ375" i="329"/>
  <c r="FE92" i="2"/>
  <c r="FF77" i="2"/>
  <c r="AQ90" i="329"/>
  <c r="AQ83" i="329"/>
  <c r="CC169" i="2"/>
  <c r="CC201" i="2"/>
  <c r="CG239" i="2"/>
  <c r="CC171" i="2"/>
  <c r="AV95" i="329"/>
  <c r="AV123" i="329" s="1"/>
  <c r="AR95" i="329"/>
  <c r="AR123" i="329" s="1"/>
  <c r="AR107" i="329"/>
  <c r="CK44" i="3"/>
  <c r="CK45" i="3" s="1"/>
  <c r="CK66" i="3"/>
  <c r="CK67" i="3"/>
  <c r="CK71" i="3"/>
  <c r="CK78" i="3"/>
  <c r="DA344" i="329"/>
  <c r="CW344" i="329"/>
  <c r="CC94" i="329"/>
  <c r="CC96" i="329"/>
  <c r="AR298" i="329"/>
  <c r="AR310" i="329"/>
  <c r="AV298" i="329"/>
  <c r="BP165" i="329"/>
  <c r="EM164" i="329"/>
  <c r="BL165" i="329"/>
  <c r="BP169" i="329"/>
  <c r="BL169" i="329"/>
  <c r="EM168" i="329"/>
  <c r="EM177" i="329"/>
  <c r="EN177" i="329"/>
  <c r="BE106" i="329"/>
  <c r="BI106" i="329"/>
  <c r="CA217" i="2"/>
  <c r="BL170" i="2"/>
  <c r="BL199" i="2"/>
  <c r="BP237" i="2"/>
  <c r="BL237" i="2"/>
  <c r="BH212" i="2"/>
  <c r="BH233" i="2"/>
  <c r="AR87" i="2"/>
  <c r="AR30" i="2"/>
  <c r="AV113" i="2"/>
  <c r="AR113" i="2"/>
  <c r="AR86" i="2"/>
  <c r="DE244" i="329"/>
  <c r="DE296" i="329"/>
  <c r="DE297" i="329"/>
  <c r="EX295" i="329"/>
  <c r="AD108" i="4"/>
  <c r="AD51" i="2"/>
  <c r="AD54" i="2" s="1"/>
  <c r="EI19" i="2"/>
  <c r="DW105" i="4"/>
  <c r="EI80" i="2"/>
  <c r="DW88" i="4"/>
  <c r="DW84" i="4" s="1"/>
  <c r="CB139" i="329"/>
  <c r="CF138" i="329" s="1"/>
  <c r="CF137" i="329" s="1"/>
  <c r="CF111" i="329" s="1"/>
  <c r="CB125" i="329"/>
  <c r="CF126" i="329" s="1"/>
  <c r="EQ128" i="329"/>
  <c r="ER129" i="329" s="1"/>
  <c r="EL164" i="329"/>
  <c r="BK165" i="329"/>
  <c r="CS94" i="2"/>
  <c r="CO94" i="2"/>
  <c r="BE63" i="4"/>
  <c r="BE42" i="4"/>
  <c r="BE98" i="4" s="1"/>
  <c r="EL126" i="329"/>
  <c r="EK126" i="329"/>
  <c r="EV331" i="329"/>
  <c r="EW227" i="2"/>
  <c r="EW187" i="2"/>
  <c r="EW210" i="2" s="1"/>
  <c r="CZ210" i="2"/>
  <c r="DD210" i="2"/>
  <c r="BG119" i="4"/>
  <c r="BG107" i="4"/>
  <c r="BG100" i="4" s="1"/>
  <c r="BG116" i="4"/>
  <c r="BD248" i="329"/>
  <c r="AS41" i="329"/>
  <c r="EH14" i="329"/>
  <c r="CM76" i="2"/>
  <c r="CM108" i="2"/>
  <c r="CM17" i="2"/>
  <c r="CM158" i="2"/>
  <c r="BQ99" i="4"/>
  <c r="DD311" i="329"/>
  <c r="CZ311" i="329"/>
  <c r="CZ302" i="329"/>
  <c r="DD302" i="329"/>
  <c r="DX114" i="2"/>
  <c r="DX88" i="2"/>
  <c r="DL105" i="3"/>
  <c r="DX34" i="2"/>
  <c r="DL107" i="4" s="1"/>
  <c r="CW216" i="2"/>
  <c r="CS216" i="2"/>
  <c r="EU362" i="329"/>
  <c r="EU343" i="329"/>
  <c r="EV343" i="329"/>
  <c r="DT42" i="4"/>
  <c r="DT63" i="4"/>
  <c r="CW94" i="2"/>
  <c r="CW128" i="2" s="1"/>
  <c r="DA94" i="2"/>
  <c r="AQ309" i="329"/>
  <c r="AU309" i="329"/>
  <c r="EH308" i="329"/>
  <c r="AZ42" i="4"/>
  <c r="AZ98" i="4" s="1"/>
  <c r="AZ63" i="4"/>
  <c r="BH42" i="4"/>
  <c r="BH98" i="4" s="1"/>
  <c r="BH63" i="4"/>
  <c r="AR112" i="2"/>
  <c r="AV112" i="2"/>
  <c r="AR112" i="3"/>
  <c r="AR84" i="2"/>
  <c r="AR97" i="2"/>
  <c r="AV97" i="2"/>
  <c r="EU360" i="329"/>
  <c r="EV335" i="329"/>
  <c r="AD119" i="4"/>
  <c r="AD107" i="4"/>
  <c r="AD116" i="4"/>
  <c r="AW81" i="2"/>
  <c r="AW110" i="2"/>
  <c r="CN126" i="329"/>
  <c r="CJ126" i="329"/>
  <c r="ER125" i="329"/>
  <c r="BK157" i="329"/>
  <c r="EL156" i="329"/>
  <c r="CE25" i="2"/>
  <c r="CE82" i="2"/>
  <c r="CE111" i="2"/>
  <c r="CE83" i="2"/>
  <c r="BJ88" i="2"/>
  <c r="BJ105" i="3"/>
  <c r="BJ37" i="2"/>
  <c r="BJ34" i="2"/>
  <c r="CC82" i="2"/>
  <c r="CC83" i="2"/>
  <c r="CC25" i="2"/>
  <c r="CC111" i="2"/>
  <c r="C108" i="4"/>
  <c r="DA332" i="329"/>
  <c r="BJ248" i="329"/>
  <c r="EM248" i="329"/>
  <c r="EA382" i="329"/>
  <c r="EB93" i="329"/>
  <c r="EA93" i="329"/>
  <c r="EQ109" i="2"/>
  <c r="EQ79" i="2"/>
  <c r="BB244" i="329"/>
  <c r="BB295" i="329"/>
  <c r="AN114" i="3"/>
  <c r="DD313" i="329"/>
  <c r="DU5" i="4"/>
  <c r="AP4" i="4"/>
  <c r="EU339" i="329"/>
  <c r="EU361" i="329"/>
  <c r="EV339" i="329"/>
  <c r="AC51" i="2"/>
  <c r="AC54" i="2" s="1"/>
  <c r="AG115" i="2"/>
  <c r="AC115" i="2"/>
  <c r="AC108" i="4"/>
  <c r="EV16" i="329"/>
  <c r="EU43" i="329"/>
  <c r="EM82" i="2"/>
  <c r="AU95" i="329"/>
  <c r="AU123" i="329" s="1"/>
  <c r="EH94" i="329"/>
  <c r="AQ107" i="329"/>
  <c r="AU110" i="329" s="1"/>
  <c r="AQ95" i="329"/>
  <c r="AQ123" i="329" s="1"/>
  <c r="BU382" i="329"/>
  <c r="CC382" i="329"/>
  <c r="BU375" i="329"/>
  <c r="BY375" i="329"/>
  <c r="DC302" i="329"/>
  <c r="CY302" i="329"/>
  <c r="U107" i="4"/>
  <c r="U119" i="4"/>
  <c r="U116" i="4"/>
  <c r="U51" i="2"/>
  <c r="U54" i="2" s="1"/>
  <c r="U108" i="4"/>
  <c r="BK122" i="329"/>
  <c r="AQ310" i="329"/>
  <c r="AU313" i="329" s="1"/>
  <c r="AU298" i="329"/>
  <c r="BL99" i="4"/>
  <c r="BL157" i="329"/>
  <c r="EM156" i="329"/>
  <c r="BP157" i="329"/>
  <c r="BP161" i="329"/>
  <c r="EM160" i="329"/>
  <c r="BL161" i="329"/>
  <c r="BI110" i="329"/>
  <c r="BI122" i="329" s="1"/>
  <c r="BE108" i="329"/>
  <c r="BI108" i="329"/>
  <c r="AQ112" i="4"/>
  <c r="AR383" i="329"/>
  <c r="AR142" i="2" s="1"/>
  <c r="AQ383" i="329"/>
  <c r="AQ142" i="2" s="1"/>
  <c r="AQ390" i="329"/>
  <c r="DT99" i="329"/>
  <c r="EQ92" i="329"/>
  <c r="EQ374" i="329" s="1"/>
  <c r="EQ375" i="329" s="1"/>
  <c r="EO85" i="329"/>
  <c r="EO374" i="329" s="1"/>
  <c r="EO92" i="329"/>
  <c r="EQ80" i="329"/>
  <c r="ER139" i="329"/>
  <c r="ES138" i="329" s="1"/>
  <c r="ES140" i="329" s="1"/>
  <c r="CR117" i="329"/>
  <c r="CR116" i="329"/>
  <c r="EL168" i="329"/>
  <c r="BK169" i="329"/>
  <c r="ET109" i="2"/>
  <c r="ET79" i="2"/>
  <c r="BM99" i="4"/>
  <c r="BT42" i="4"/>
  <c r="BT98" i="4" s="1"/>
  <c r="BT63" i="4"/>
  <c r="CE94" i="2"/>
  <c r="CM94" i="2"/>
  <c r="CI94" i="2"/>
  <c r="BW112" i="3"/>
  <c r="BW84" i="2"/>
  <c r="C116" i="4"/>
  <c r="C107" i="4"/>
  <c r="C119" i="4"/>
  <c r="EV356" i="329"/>
  <c r="EW356" i="329"/>
  <c r="BY42" i="4"/>
  <c r="BY98" i="4" s="1"/>
  <c r="BY63" i="4"/>
  <c r="EA375" i="329"/>
  <c r="EB375" i="329"/>
  <c r="BX99" i="4"/>
  <c r="EM175" i="2"/>
  <c r="CK210" i="2"/>
  <c r="CG210" i="2"/>
  <c r="G98" i="2"/>
  <c r="K98" i="2"/>
  <c r="CW340" i="329"/>
  <c r="DA340" i="329"/>
  <c r="BA63" i="4"/>
  <c r="AH119" i="4"/>
  <c r="AH107" i="4"/>
  <c r="AH116" i="4"/>
  <c r="DA348" i="329"/>
  <c r="CW348" i="329"/>
  <c r="CF17" i="2"/>
  <c r="CF76" i="2"/>
  <c r="ER9" i="2"/>
  <c r="CF158" i="2"/>
  <c r="BD199" i="2"/>
  <c r="BD216" i="2" s="1"/>
  <c r="BD237" i="2"/>
  <c r="BD170" i="2"/>
  <c r="CY307" i="329"/>
  <c r="DC307" i="329"/>
  <c r="AQ106" i="329"/>
  <c r="AU106" i="329"/>
  <c r="EH105" i="329"/>
  <c r="J64" i="4"/>
  <c r="K62" i="4" s="1"/>
  <c r="K64" i="4" s="1"/>
  <c r="L62" i="4" s="1"/>
  <c r="L64" i="4" s="1"/>
  <c r="M62" i="4" s="1"/>
  <c r="M64" i="4" s="1"/>
  <c r="N62" i="4" s="1"/>
  <c r="DS108" i="329"/>
  <c r="CG91" i="2"/>
  <c r="CG127" i="2" s="1"/>
  <c r="AH51" i="2"/>
  <c r="AH54" i="2" s="1"/>
  <c r="AH108" i="4"/>
  <c r="AH115" i="2"/>
  <c r="BU94" i="329"/>
  <c r="BU96" i="329"/>
  <c r="BI28" i="4"/>
  <c r="BI27" i="4"/>
  <c r="BI29" i="4"/>
  <c r="EV80" i="2"/>
  <c r="EV15" i="2"/>
  <c r="BP153" i="329"/>
  <c r="EM152" i="329"/>
  <c r="BL212" i="2"/>
  <c r="BP212" i="2"/>
  <c r="BL233" i="2"/>
  <c r="BP233" i="2"/>
  <c r="BH199" i="2"/>
  <c r="BH170" i="2"/>
  <c r="BH237" i="2"/>
  <c r="EQ227" i="2"/>
  <c r="CW336" i="329"/>
  <c r="DA336" i="329"/>
  <c r="EP81" i="2"/>
  <c r="AW95" i="2"/>
  <c r="BX139" i="329"/>
  <c r="CB138" i="329" s="1"/>
  <c r="CB137" i="329" s="1"/>
  <c r="CB111" i="329" s="1"/>
  <c r="BX125" i="329"/>
  <c r="BT128" i="329"/>
  <c r="EP128" i="329"/>
  <c r="BK161" i="329"/>
  <c r="EL160" i="329"/>
  <c r="CV96" i="2"/>
  <c r="CI95" i="2"/>
  <c r="ER109" i="2"/>
  <c r="ER79" i="2"/>
  <c r="BF106" i="329"/>
  <c r="BB106" i="329"/>
  <c r="EK105" i="329"/>
  <c r="BT201" i="2"/>
  <c r="BT171" i="2"/>
  <c r="BL105" i="3"/>
  <c r="BL37" i="2"/>
  <c r="BL34" i="2"/>
  <c r="BL88" i="2"/>
  <c r="BG248" i="329"/>
  <c r="BD99" i="4"/>
  <c r="EL213" i="2"/>
  <c r="EL246" i="2" s="1"/>
  <c r="CG101" i="3"/>
  <c r="CS9" i="2"/>
  <c r="G114" i="3"/>
  <c r="G69" i="3"/>
  <c r="H69" i="3"/>
  <c r="AC119" i="4"/>
  <c r="AC116" i="4"/>
  <c r="AC107" i="4"/>
  <c r="EY129" i="329"/>
  <c r="DY112" i="2" l="1"/>
  <c r="FE208" i="2"/>
  <c r="EU170" i="2"/>
  <c r="EU203" i="2"/>
  <c r="CV158" i="329"/>
  <c r="ET347" i="329"/>
  <c r="BP348" i="329"/>
  <c r="EE107" i="3"/>
  <c r="EE78" i="3" s="1"/>
  <c r="EL95" i="329"/>
  <c r="AD95" i="329"/>
  <c r="AD123" i="329" s="1"/>
  <c r="CP24" i="329"/>
  <c r="EU24" i="329" s="1"/>
  <c r="EU15" i="329" s="1"/>
  <c r="AD107" i="329"/>
  <c r="AH110" i="329" s="1"/>
  <c r="AH122" i="329" s="1"/>
  <c r="EL120" i="329"/>
  <c r="EK95" i="329"/>
  <c r="BM108" i="329"/>
  <c r="AI95" i="329"/>
  <c r="AI123" i="329" s="1"/>
  <c r="AG106" i="329"/>
  <c r="AC106" i="329"/>
  <c r="EO157" i="329"/>
  <c r="EQ157" i="329"/>
  <c r="ET157" i="329"/>
  <c r="BV336" i="329"/>
  <c r="G106" i="329"/>
  <c r="EP335" i="329"/>
  <c r="BV340" i="329"/>
  <c r="EA56" i="3"/>
  <c r="BH313" i="329"/>
  <c r="BH320" i="329" s="1"/>
  <c r="AS321" i="329"/>
  <c r="EG120" i="329"/>
  <c r="AJ95" i="329"/>
  <c r="AJ123" i="329" s="1"/>
  <c r="DU107" i="329"/>
  <c r="DU108" i="329" s="1"/>
  <c r="G97" i="329"/>
  <c r="DU98" i="329"/>
  <c r="DU99" i="329" s="1"/>
  <c r="DX72" i="2"/>
  <c r="DL112" i="3"/>
  <c r="DL69" i="3" s="1"/>
  <c r="DX84" i="2"/>
  <c r="DX98" i="2" s="1"/>
  <c r="DX112" i="2"/>
  <c r="BR112" i="2"/>
  <c r="CG80" i="2"/>
  <c r="AQ112" i="2"/>
  <c r="CN313" i="329"/>
  <c r="CN320" i="329" s="1"/>
  <c r="CJ313" i="329"/>
  <c r="CJ320" i="329" s="1"/>
  <c r="CJ311" i="329"/>
  <c r="FG69" i="2"/>
  <c r="ES46" i="4"/>
  <c r="ES117" i="4" s="1"/>
  <c r="EK107" i="329"/>
  <c r="AX108" i="329"/>
  <c r="BF108" i="329"/>
  <c r="AK113" i="4"/>
  <c r="EF107" i="329"/>
  <c r="BJ108" i="329"/>
  <c r="BJ110" i="329"/>
  <c r="ET331" i="329"/>
  <c r="AD108" i="3"/>
  <c r="AD95" i="3" s="1"/>
  <c r="AD141" i="2"/>
  <c r="AD391" i="329"/>
  <c r="AD142" i="2"/>
  <c r="EL350" i="329"/>
  <c r="BI350" i="329" s="1"/>
  <c r="Q107" i="4"/>
  <c r="EE50" i="3"/>
  <c r="EE81" i="3" s="1"/>
  <c r="EE84" i="3" s="1"/>
  <c r="EF51" i="3"/>
  <c r="EF127" i="3"/>
  <c r="AN391" i="329"/>
  <c r="BT239" i="2"/>
  <c r="EV347" i="329"/>
  <c r="EW348" i="329" s="1"/>
  <c r="CY218" i="2"/>
  <c r="EU331" i="329"/>
  <c r="EV332" i="329" s="1"/>
  <c r="EJ120" i="329"/>
  <c r="EN93" i="2"/>
  <c r="AM86" i="2"/>
  <c r="EV203" i="2"/>
  <c r="BS113" i="2"/>
  <c r="AR313" i="329"/>
  <c r="AR320" i="329" s="1"/>
  <c r="BP340" i="329"/>
  <c r="AN390" i="329"/>
  <c r="AN141" i="2"/>
  <c r="BW302" i="329"/>
  <c r="CK302" i="329"/>
  <c r="EP221" i="2"/>
  <c r="AM30" i="2"/>
  <c r="ER331" i="329"/>
  <c r="EV157" i="329"/>
  <c r="CG302" i="329"/>
  <c r="AO383" i="329"/>
  <c r="AO142" i="2" s="1"/>
  <c r="AN108" i="3"/>
  <c r="AN95" i="3" s="1"/>
  <c r="EU344" i="329"/>
  <c r="EJ95" i="329"/>
  <c r="EJ123" i="329" s="1"/>
  <c r="ET344" i="329"/>
  <c r="EQ350" i="329"/>
  <c r="EQ364" i="329" s="1"/>
  <c r="AN112" i="4"/>
  <c r="AQ97" i="2"/>
  <c r="EW199" i="2"/>
  <c r="EW203" i="2"/>
  <c r="X69" i="3"/>
  <c r="EK120" i="329"/>
  <c r="CT336" i="329"/>
  <c r="EP332" i="329"/>
  <c r="ED84" i="3"/>
  <c r="EM221" i="2"/>
  <c r="BB108" i="329"/>
  <c r="EU335" i="329"/>
  <c r="EU336" i="329" s="1"/>
  <c r="CH84" i="2"/>
  <c r="CH98" i="2" s="1"/>
  <c r="CP165" i="2"/>
  <c r="CP298" i="329"/>
  <c r="CP321" i="329" s="1"/>
  <c r="CP307" i="329"/>
  <c r="CX63" i="329"/>
  <c r="CX64" i="329" s="1"/>
  <c r="EL107" i="329"/>
  <c r="AO108" i="329"/>
  <c r="EJ107" i="329"/>
  <c r="BT105" i="3"/>
  <c r="EF124" i="3"/>
  <c r="EO93" i="2"/>
  <c r="AP97" i="2"/>
  <c r="ET178" i="329"/>
  <c r="ER178" i="329"/>
  <c r="ES178" i="329"/>
  <c r="CR158" i="329"/>
  <c r="CU96" i="329"/>
  <c r="EI92" i="2"/>
  <c r="AP98" i="2"/>
  <c r="BT114" i="2"/>
  <c r="AQ84" i="2"/>
  <c r="AQ98" i="2" s="1"/>
  <c r="EH408" i="329"/>
  <c r="EI408" i="329"/>
  <c r="EA127" i="3"/>
  <c r="AQ104" i="4"/>
  <c r="AQ106" i="4" s="1"/>
  <c r="EA50" i="3"/>
  <c r="EA81" i="3" s="1"/>
  <c r="EA84" i="3" s="1"/>
  <c r="BJ124" i="3"/>
  <c r="BX336" i="329"/>
  <c r="AQ111" i="2"/>
  <c r="EO39" i="4"/>
  <c r="EP39" i="4"/>
  <c r="EQ19" i="3"/>
  <c r="CQ101" i="3"/>
  <c r="CQ97" i="3" s="1"/>
  <c r="DC9" i="2"/>
  <c r="EN408" i="329"/>
  <c r="ER157" i="329"/>
  <c r="BA170" i="2"/>
  <c r="EN92" i="2"/>
  <c r="AY91" i="2"/>
  <c r="AY127" i="2" s="1"/>
  <c r="BG100" i="2"/>
  <c r="BM237" i="2"/>
  <c r="BT340" i="329"/>
  <c r="EH120" i="2"/>
  <c r="EL164" i="2"/>
  <c r="BT348" i="329"/>
  <c r="CB336" i="329"/>
  <c r="CF344" i="329"/>
  <c r="CF336" i="329"/>
  <c r="EA55" i="3"/>
  <c r="ES309" i="329"/>
  <c r="EA59" i="3"/>
  <c r="EA60" i="3"/>
  <c r="BL124" i="3"/>
  <c r="EQ359" i="329"/>
  <c r="EQ331" i="329"/>
  <c r="ER332" i="329" s="1"/>
  <c r="EZ129" i="329"/>
  <c r="FA135" i="329" s="1"/>
  <c r="AV11" i="329"/>
  <c r="AU38" i="329"/>
  <c r="AE106" i="329"/>
  <c r="EE105" i="329"/>
  <c r="EF106" i="329" s="1"/>
  <c r="CU158" i="329"/>
  <c r="BM124" i="3"/>
  <c r="EA57" i="3"/>
  <c r="Q37" i="2"/>
  <c r="Q115" i="2" s="1"/>
  <c r="U114" i="2"/>
  <c r="CP22" i="329"/>
  <c r="EU22" i="329" s="1"/>
  <c r="EU13" i="329" s="1"/>
  <c r="ES40" i="329"/>
  <c r="CB89" i="329"/>
  <c r="CB98" i="329" s="1"/>
  <c r="CA96" i="329"/>
  <c r="CA89" i="329"/>
  <c r="CA103" i="329" s="1"/>
  <c r="CA378" i="329"/>
  <c r="CA101" i="329"/>
  <c r="ET298" i="329"/>
  <c r="ET321" i="329" s="1"/>
  <c r="ER165" i="2"/>
  <c r="ER310" i="329"/>
  <c r="CH165" i="2"/>
  <c r="CL234" i="2" s="1"/>
  <c r="CH301" i="329"/>
  <c r="CH302" i="329" s="1"/>
  <c r="CH310" i="329"/>
  <c r="CH311" i="329" s="1"/>
  <c r="BW234" i="2"/>
  <c r="AL87" i="2"/>
  <c r="AL101" i="2" s="1"/>
  <c r="AL86" i="2"/>
  <c r="AL100" i="2" s="1"/>
  <c r="AL113" i="2"/>
  <c r="AL30" i="2"/>
  <c r="AP113" i="2"/>
  <c r="EU8" i="2"/>
  <c r="EH101" i="3" s="1"/>
  <c r="EH52" i="3" s="1"/>
  <c r="EE59" i="3"/>
  <c r="EB55" i="3"/>
  <c r="AQ113" i="2"/>
  <c r="ED107" i="3"/>
  <c r="ED78" i="3" s="1"/>
  <c r="AS124" i="3"/>
  <c r="DV50" i="3"/>
  <c r="DV81" i="3" s="1"/>
  <c r="DV84" i="3" s="1"/>
  <c r="DV55" i="3"/>
  <c r="EN229" i="2"/>
  <c r="BG237" i="2"/>
  <c r="BE237" i="2"/>
  <c r="AQ87" i="2"/>
  <c r="AB114" i="2"/>
  <c r="Q116" i="4"/>
  <c r="AB37" i="2"/>
  <c r="AF115" i="2" s="1"/>
  <c r="AB105" i="3"/>
  <c r="AD126" i="3" s="1"/>
  <c r="ED110" i="4"/>
  <c r="EP63" i="2"/>
  <c r="EP64" i="2" s="1"/>
  <c r="EW109" i="2"/>
  <c r="EI102" i="3"/>
  <c r="EV79" i="2"/>
  <c r="EI71" i="3"/>
  <c r="BS87" i="2"/>
  <c r="EN221" i="2"/>
  <c r="EN175" i="2"/>
  <c r="EO408" i="329"/>
  <c r="EQ408" i="329"/>
  <c r="DV57" i="3"/>
  <c r="AR124" i="3"/>
  <c r="AP124" i="3"/>
  <c r="DV56" i="3"/>
  <c r="AQ124" i="3"/>
  <c r="DW88" i="3"/>
  <c r="AQ30" i="2"/>
  <c r="AQ88" i="2" s="1"/>
  <c r="CN344" i="329"/>
  <c r="CW65" i="329"/>
  <c r="EE56" i="3"/>
  <c r="EE124" i="3"/>
  <c r="EO347" i="329"/>
  <c r="EO350" i="329"/>
  <c r="EO364" i="329" s="1"/>
  <c r="CL340" i="329"/>
  <c r="BT332" i="329"/>
  <c r="BX332" i="329"/>
  <c r="CF340" i="329"/>
  <c r="EA372" i="329"/>
  <c r="EB372" i="329"/>
  <c r="CB344" i="329"/>
  <c r="BP344" i="329"/>
  <c r="CH340" i="329"/>
  <c r="ER335" i="329"/>
  <c r="BP336" i="329"/>
  <c r="BP114" i="2"/>
  <c r="AN119" i="4"/>
  <c r="EU347" i="329"/>
  <c r="EU348" i="329" s="1"/>
  <c r="CW82" i="329"/>
  <c r="CW64" i="329"/>
  <c r="EE60" i="3"/>
  <c r="EE97" i="3"/>
  <c r="EE127" i="3"/>
  <c r="BQ101" i="2"/>
  <c r="BR112" i="3"/>
  <c r="BR114" i="3" s="1"/>
  <c r="ES340" i="329"/>
  <c r="BV332" i="329"/>
  <c r="CU336" i="329"/>
  <c r="ES310" i="329"/>
  <c r="ES298" i="329"/>
  <c r="ES321" i="329" s="1"/>
  <c r="ES165" i="2"/>
  <c r="BP332" i="329"/>
  <c r="BT344" i="329"/>
  <c r="AH108" i="329"/>
  <c r="AL108" i="329"/>
  <c r="AL110" i="329"/>
  <c r="AL122" i="329" s="1"/>
  <c r="EG122" i="329" s="1"/>
  <c r="EV15" i="329"/>
  <c r="EU42" i="329"/>
  <c r="EV63" i="329"/>
  <c r="EE58" i="3"/>
  <c r="EE55" i="3"/>
  <c r="BD97" i="2"/>
  <c r="BV112" i="2"/>
  <c r="EP347" i="329"/>
  <c r="CH336" i="329"/>
  <c r="CF348" i="329"/>
  <c r="CB348" i="329"/>
  <c r="BX348" i="329"/>
  <c r="AU111" i="3"/>
  <c r="AU83" i="2"/>
  <c r="AU111" i="2"/>
  <c r="AU82" i="2"/>
  <c r="AU97" i="2" s="1"/>
  <c r="AU104" i="4"/>
  <c r="AU106" i="4" s="1"/>
  <c r="AU20" i="2"/>
  <c r="AU25" i="2"/>
  <c r="BT336" i="329"/>
  <c r="CL336" i="329"/>
  <c r="AA98" i="2"/>
  <c r="FF182" i="2"/>
  <c r="FF179" i="2" s="1"/>
  <c r="FF208" i="2" s="1"/>
  <c r="EJ175" i="2"/>
  <c r="BU63" i="4"/>
  <c r="DY96" i="2"/>
  <c r="CL101" i="3"/>
  <c r="CN58" i="3" s="1"/>
  <c r="EJ229" i="2"/>
  <c r="AZ106" i="4"/>
  <c r="EL225" i="2"/>
  <c r="EJ225" i="2"/>
  <c r="EL229" i="2"/>
  <c r="CZ17" i="2"/>
  <c r="CZ25" i="2" s="1"/>
  <c r="EW8" i="2"/>
  <c r="EJ101" i="3" s="1"/>
  <c r="EJ51" i="3" s="1"/>
  <c r="EM229" i="2"/>
  <c r="EL189" i="2"/>
  <c r="EM212" i="2" s="1"/>
  <c r="EM243" i="2" s="1"/>
  <c r="EJ164" i="2"/>
  <c r="EK225" i="2"/>
  <c r="AZ86" i="2"/>
  <c r="AZ100" i="2" s="1"/>
  <c r="AZ113" i="2"/>
  <c r="AZ30" i="2"/>
  <c r="AZ87" i="2"/>
  <c r="AZ101" i="2" s="1"/>
  <c r="L101" i="2"/>
  <c r="EJ168" i="2"/>
  <c r="EJ199" i="2" s="1"/>
  <c r="BG108" i="4"/>
  <c r="BG94" i="4" s="1"/>
  <c r="DT98" i="2"/>
  <c r="P101" i="2"/>
  <c r="H105" i="3"/>
  <c r="H88" i="2"/>
  <c r="H114" i="2"/>
  <c r="H37" i="2"/>
  <c r="H34" i="2"/>
  <c r="N105" i="3"/>
  <c r="N37" i="2"/>
  <c r="R115" i="2" s="1"/>
  <c r="N88" i="2"/>
  <c r="N34" i="2"/>
  <c r="AB116" i="4"/>
  <c r="AB107" i="4"/>
  <c r="L100" i="2"/>
  <c r="T51" i="2"/>
  <c r="T54" i="2" s="1"/>
  <c r="T108" i="4"/>
  <c r="L88" i="2"/>
  <c r="L105" i="3"/>
  <c r="L34" i="2"/>
  <c r="L37" i="2"/>
  <c r="L114" i="2"/>
  <c r="EF97" i="2"/>
  <c r="EE97" i="2"/>
  <c r="P114" i="2"/>
  <c r="T107" i="4"/>
  <c r="T119" i="4"/>
  <c r="T116" i="4"/>
  <c r="EI66" i="3"/>
  <c r="BS86" i="2"/>
  <c r="BW112" i="2"/>
  <c r="DA110" i="2"/>
  <c r="EW19" i="2"/>
  <c r="EW81" i="2" s="1"/>
  <c r="EW96" i="2" s="1"/>
  <c r="AK51" i="2"/>
  <c r="AK54" i="2" s="1"/>
  <c r="AK108" i="4"/>
  <c r="P107" i="4"/>
  <c r="P116" i="4"/>
  <c r="P119" i="4"/>
  <c r="W112" i="2"/>
  <c r="S112" i="2"/>
  <c r="S84" i="2"/>
  <c r="S98" i="2" s="1"/>
  <c r="S112" i="3"/>
  <c r="S114" i="3" s="1"/>
  <c r="EN209" i="2"/>
  <c r="EN245" i="2" s="1"/>
  <c r="EI44" i="3"/>
  <c r="EI45" i="3" s="1"/>
  <c r="BG51" i="2"/>
  <c r="BG54" i="2" s="1"/>
  <c r="EL168" i="2"/>
  <c r="EL199" i="2" s="1"/>
  <c r="DA96" i="2"/>
  <c r="DS98" i="2"/>
  <c r="EA100" i="2"/>
  <c r="Q98" i="2"/>
  <c r="U98" i="2"/>
  <c r="EI67" i="3"/>
  <c r="AK107" i="4"/>
  <c r="AK116" i="4"/>
  <c r="P51" i="2"/>
  <c r="P54" i="2" s="1"/>
  <c r="T115" i="2"/>
  <c r="P108" i="4"/>
  <c r="P115" i="2"/>
  <c r="W96" i="2"/>
  <c r="S96" i="2"/>
  <c r="AK119" i="4"/>
  <c r="BQ37" i="2"/>
  <c r="BQ34" i="2"/>
  <c r="G101" i="2"/>
  <c r="G37" i="2"/>
  <c r="G105" i="3"/>
  <c r="G125" i="3" s="1"/>
  <c r="G34" i="2"/>
  <c r="G88" i="2"/>
  <c r="G114" i="2"/>
  <c r="AW20" i="2"/>
  <c r="AW112" i="3" s="1"/>
  <c r="BH91" i="2"/>
  <c r="BH127" i="2" s="1"/>
  <c r="BZ141" i="2"/>
  <c r="BY132" i="2"/>
  <c r="Y115" i="2"/>
  <c r="EO111" i="2"/>
  <c r="AN108" i="4"/>
  <c r="I101" i="2"/>
  <c r="AG107" i="4"/>
  <c r="AG119" i="4"/>
  <c r="AG116" i="4"/>
  <c r="DZ113" i="2"/>
  <c r="DY30" i="2"/>
  <c r="DY86" i="2"/>
  <c r="DY100" i="2" s="1"/>
  <c r="DY113" i="2"/>
  <c r="AG108" i="4"/>
  <c r="AG51" i="2"/>
  <c r="AG54" i="2" s="1"/>
  <c r="AK115" i="2"/>
  <c r="I37" i="2"/>
  <c r="I105" i="3"/>
  <c r="I34" i="2"/>
  <c r="I88" i="2"/>
  <c r="AI100" i="2"/>
  <c r="AL69" i="3"/>
  <c r="AK69" i="3"/>
  <c r="AI101" i="2"/>
  <c r="EM25" i="2"/>
  <c r="EM86" i="2" s="1"/>
  <c r="EB105" i="4"/>
  <c r="EB106" i="4" s="1"/>
  <c r="F51" i="2"/>
  <c r="F54" i="2" s="1"/>
  <c r="F108" i="4"/>
  <c r="S100" i="2"/>
  <c r="O100" i="2"/>
  <c r="S101" i="2"/>
  <c r="AE101" i="2"/>
  <c r="W105" i="3"/>
  <c r="W34" i="2"/>
  <c r="W37" i="2"/>
  <c r="W88" i="2"/>
  <c r="W114" i="2"/>
  <c r="EM140" i="2"/>
  <c r="BZ234" i="2"/>
  <c r="F126" i="3"/>
  <c r="EU157" i="2"/>
  <c r="EV227" i="2" s="1"/>
  <c r="EN80" i="2"/>
  <c r="EN95" i="2" s="1"/>
  <c r="EN19" i="2"/>
  <c r="EN20" i="2" s="1"/>
  <c r="O101" i="2"/>
  <c r="K101" i="2"/>
  <c r="AA51" i="2"/>
  <c r="AA54" i="2" s="1"/>
  <c r="AA108" i="4"/>
  <c r="AA116" i="4"/>
  <c r="AA107" i="4"/>
  <c r="AA119" i="4"/>
  <c r="O88" i="2"/>
  <c r="O34" i="2"/>
  <c r="O114" i="2"/>
  <c r="O37" i="2"/>
  <c r="O105" i="3"/>
  <c r="R126" i="3" s="1"/>
  <c r="AE34" i="2"/>
  <c r="AE105" i="3"/>
  <c r="AE114" i="2"/>
  <c r="AE88" i="2"/>
  <c r="AE37" i="2"/>
  <c r="W101" i="2"/>
  <c r="AA101" i="2"/>
  <c r="DG126" i="3"/>
  <c r="DG125" i="3"/>
  <c r="CM200" i="2"/>
  <c r="CM217" i="2" s="1"/>
  <c r="EL25" i="2"/>
  <c r="EL30" i="2" s="1"/>
  <c r="BW113" i="2"/>
  <c r="DV98" i="2"/>
  <c r="FH191" i="2"/>
  <c r="FH190" i="2" s="1"/>
  <c r="K34" i="2"/>
  <c r="K88" i="2"/>
  <c r="K37" i="2"/>
  <c r="K105" i="3"/>
  <c r="K114" i="2"/>
  <c r="AI37" i="2"/>
  <c r="AI88" i="2"/>
  <c r="AI34" i="2"/>
  <c r="AI105" i="3"/>
  <c r="AK126" i="3" s="1"/>
  <c r="AI114" i="2"/>
  <c r="DW88" i="2"/>
  <c r="DX101" i="2" s="1"/>
  <c r="DW37" i="2"/>
  <c r="DW34" i="2"/>
  <c r="DK105" i="3"/>
  <c r="F107" i="4"/>
  <c r="F119" i="4"/>
  <c r="F116" i="4"/>
  <c r="W100" i="2"/>
  <c r="S88" i="2"/>
  <c r="S34" i="2"/>
  <c r="S114" i="2"/>
  <c r="S37" i="2"/>
  <c r="S105" i="3"/>
  <c r="T125" i="3" s="1"/>
  <c r="CG83" i="2"/>
  <c r="CG25" i="2"/>
  <c r="CG113" i="2" s="1"/>
  <c r="DO114" i="3"/>
  <c r="EV237" i="2"/>
  <c r="BQ208" i="2"/>
  <c r="BQ81" i="2"/>
  <c r="BQ20" i="2"/>
  <c r="CG171" i="2"/>
  <c r="AN51" i="2"/>
  <c r="AN54" i="2" s="1"/>
  <c r="CG82" i="2"/>
  <c r="CG97" i="2" s="1"/>
  <c r="CG141" i="2"/>
  <c r="BW97" i="2"/>
  <c r="BZ200" i="2"/>
  <c r="BZ217" i="2" s="1"/>
  <c r="CG19" i="2"/>
  <c r="CG20" i="2" s="1"/>
  <c r="CG84" i="2" s="1"/>
  <c r="DB239" i="2"/>
  <c r="BY87" i="2"/>
  <c r="BY101" i="2" s="1"/>
  <c r="CP187" i="2"/>
  <c r="CT210" i="2" s="1"/>
  <c r="FG192" i="2"/>
  <c r="FG189" i="2" s="1"/>
  <c r="FG212" i="2" s="1"/>
  <c r="EI128" i="2"/>
  <c r="BW86" i="2"/>
  <c r="CG15" i="2"/>
  <c r="ER15" i="2" s="1"/>
  <c r="ER80" i="2"/>
  <c r="FG190" i="2"/>
  <c r="BW87" i="2"/>
  <c r="BY113" i="2"/>
  <c r="CH239" i="2"/>
  <c r="V4" i="3"/>
  <c r="V4" i="329"/>
  <c r="EC5" i="329" s="1"/>
  <c r="Z5" i="2"/>
  <c r="EJ124" i="2"/>
  <c r="EI124" i="2"/>
  <c r="EI120" i="2"/>
  <c r="EK124" i="2"/>
  <c r="EJ120" i="2"/>
  <c r="EG120" i="2"/>
  <c r="EG124" i="2"/>
  <c r="BM212" i="2"/>
  <c r="EH124" i="2"/>
  <c r="DB323" i="329"/>
  <c r="CX320" i="329"/>
  <c r="EW320" i="329" s="1"/>
  <c r="CX311" i="329"/>
  <c r="EE94" i="329"/>
  <c r="EF120" i="329" s="1"/>
  <c r="AE107" i="329"/>
  <c r="AI110" i="329" s="1"/>
  <c r="CC105" i="329"/>
  <c r="BY86" i="2"/>
  <c r="BY100" i="2" s="1"/>
  <c r="CG311" i="329"/>
  <c r="BR348" i="329"/>
  <c r="BS97" i="2"/>
  <c r="BI58" i="329"/>
  <c r="EL58" i="329" s="1"/>
  <c r="EL56" i="329"/>
  <c r="BI57" i="329"/>
  <c r="EL57" i="329" s="1"/>
  <c r="BJ56" i="329"/>
  <c r="BX113" i="4"/>
  <c r="EB57" i="3"/>
  <c r="CT227" i="2"/>
  <c r="BI233" i="2"/>
  <c r="BZ89" i="329"/>
  <c r="BZ103" i="329" s="1"/>
  <c r="BR89" i="329"/>
  <c r="EO88" i="329"/>
  <c r="EO89" i="329"/>
  <c r="FE162" i="329"/>
  <c r="FF161" i="329"/>
  <c r="AN116" i="4"/>
  <c r="BW113" i="4"/>
  <c r="CD30" i="2"/>
  <c r="CD88" i="2" s="1"/>
  <c r="EE88" i="3"/>
  <c r="EP340" i="329"/>
  <c r="EK168" i="2"/>
  <c r="EN213" i="2"/>
  <c r="EN246" i="2" s="1"/>
  <c r="CP170" i="2"/>
  <c r="CP239" i="2" s="1"/>
  <c r="EQ88" i="329"/>
  <c r="EN347" i="329"/>
  <c r="EN348" i="329" s="1"/>
  <c r="EP91" i="2"/>
  <c r="BG115" i="2"/>
  <c r="BX239" i="2"/>
  <c r="CD158" i="329"/>
  <c r="CJ166" i="329"/>
  <c r="DE70" i="2"/>
  <c r="EX69" i="2"/>
  <c r="AU77" i="329"/>
  <c r="AT78" i="329"/>
  <c r="AT79" i="329"/>
  <c r="CD154" i="329"/>
  <c r="EF54" i="4"/>
  <c r="EF63" i="4" s="1"/>
  <c r="EF117" i="4"/>
  <c r="EQ363" i="329"/>
  <c r="ER347" i="329"/>
  <c r="ER348" i="329" s="1"/>
  <c r="CP158" i="329"/>
  <c r="EN362" i="329"/>
  <c r="EQ343" i="329"/>
  <c r="ER344" i="329" s="1"/>
  <c r="EO335" i="329"/>
  <c r="EP336" i="329" s="1"/>
  <c r="EN360" i="329"/>
  <c r="EQ335" i="329"/>
  <c r="CH97" i="2"/>
  <c r="EK209" i="2"/>
  <c r="EK245" i="2" s="1"/>
  <c r="BZ112" i="3"/>
  <c r="BZ114" i="3" s="1"/>
  <c r="EU237" i="2"/>
  <c r="EK164" i="2"/>
  <c r="EL221" i="2"/>
  <c r="EK221" i="2"/>
  <c r="EU223" i="2"/>
  <c r="EU199" i="2"/>
  <c r="EU216" i="2" s="1"/>
  <c r="W113" i="4"/>
  <c r="CA88" i="2"/>
  <c r="ER227" i="2"/>
  <c r="CD111" i="2"/>
  <c r="CH113" i="2"/>
  <c r="EN94" i="2"/>
  <c r="EN128" i="2" s="1"/>
  <c r="EC111" i="3"/>
  <c r="EE111" i="3" s="1"/>
  <c r="BZ171" i="2"/>
  <c r="CA37" i="2"/>
  <c r="DD9" i="2"/>
  <c r="DD76" i="2" s="1"/>
  <c r="BX91" i="2"/>
  <c r="BX127" i="2" s="1"/>
  <c r="AY170" i="2"/>
  <c r="AY199" i="2"/>
  <c r="BC216" i="2" s="1"/>
  <c r="BC237" i="2"/>
  <c r="BX82" i="2"/>
  <c r="BX97" i="2" s="1"/>
  <c r="BX104" i="4"/>
  <c r="BX106" i="4" s="1"/>
  <c r="BX83" i="2"/>
  <c r="BX111" i="2"/>
  <c r="BX25" i="2"/>
  <c r="BX132" i="2"/>
  <c r="BX111" i="3"/>
  <c r="AN69" i="3"/>
  <c r="BS84" i="2"/>
  <c r="BW98" i="2" s="1"/>
  <c r="EO221" i="2"/>
  <c r="BX20" i="2"/>
  <c r="BX84" i="2" s="1"/>
  <c r="BS170" i="2"/>
  <c r="BW239" i="2" s="1"/>
  <c r="BS199" i="2"/>
  <c r="AM69" i="3"/>
  <c r="BI199" i="2"/>
  <c r="BM216" i="2" s="1"/>
  <c r="BI170" i="2"/>
  <c r="BX171" i="2"/>
  <c r="CD171" i="2"/>
  <c r="CL173" i="329"/>
  <c r="CL174" i="329" s="1"/>
  <c r="CP173" i="329"/>
  <c r="CP166" i="329"/>
  <c r="CT166" i="329"/>
  <c r="CD173" i="329"/>
  <c r="BZ173" i="329"/>
  <c r="CP154" i="329"/>
  <c r="CL154" i="329"/>
  <c r="CP170" i="329"/>
  <c r="CT170" i="329"/>
  <c r="CP162" i="329"/>
  <c r="CT162" i="329"/>
  <c r="BV186" i="329"/>
  <c r="BV173" i="329"/>
  <c r="EP179" i="2"/>
  <c r="EP208" i="2" s="1"/>
  <c r="EP225" i="2"/>
  <c r="CD166" i="329"/>
  <c r="CH166" i="329"/>
  <c r="CH162" i="329"/>
  <c r="CD162" i="329"/>
  <c r="DE118" i="2"/>
  <c r="DB216" i="2"/>
  <c r="EC88" i="3"/>
  <c r="BN124" i="3"/>
  <c r="EB127" i="3"/>
  <c r="EB60" i="3"/>
  <c r="ER182" i="329"/>
  <c r="ES217" i="329" s="1"/>
  <c r="ER165" i="329"/>
  <c r="EQ165" i="329"/>
  <c r="CI158" i="329"/>
  <c r="BW380" i="329"/>
  <c r="BD84" i="2"/>
  <c r="EB59" i="3"/>
  <c r="EB124" i="3"/>
  <c r="BP124" i="3"/>
  <c r="EB88" i="3"/>
  <c r="BI208" i="2"/>
  <c r="CX201" i="2"/>
  <c r="DB218" i="2" s="1"/>
  <c r="EQ99" i="2"/>
  <c r="BO124" i="3"/>
  <c r="EB50" i="3"/>
  <c r="EB81" i="3" s="1"/>
  <c r="EB84" i="3" s="1"/>
  <c r="EB56" i="3"/>
  <c r="CX239" i="2"/>
  <c r="ES332" i="329"/>
  <c r="BV237" i="2"/>
  <c r="CE210" i="2"/>
  <c r="CD83" i="2"/>
  <c r="EV70" i="329"/>
  <c r="EV72" i="329" s="1"/>
  <c r="CX70" i="329"/>
  <c r="CX71" i="329" s="1"/>
  <c r="CW72" i="329"/>
  <c r="CW71" i="329"/>
  <c r="DE313" i="329"/>
  <c r="DE320" i="329" s="1"/>
  <c r="EV71" i="329"/>
  <c r="FB56" i="329"/>
  <c r="FB57" i="329" s="1"/>
  <c r="CH210" i="2"/>
  <c r="CH86" i="2"/>
  <c r="CH100" i="2" s="1"/>
  <c r="EA111" i="3"/>
  <c r="EM132" i="2"/>
  <c r="BR170" i="2"/>
  <c r="BR201" i="2" s="1"/>
  <c r="BY106" i="4"/>
  <c r="EP111" i="2"/>
  <c r="CD201" i="2"/>
  <c r="CD218" i="2" s="1"/>
  <c r="CD169" i="2"/>
  <c r="CH238" i="2" s="1"/>
  <c r="CH30" i="2"/>
  <c r="CH37" i="2" s="1"/>
  <c r="EM111" i="2"/>
  <c r="EN111" i="2"/>
  <c r="ES227" i="2"/>
  <c r="BR113" i="2"/>
  <c r="DA218" i="2"/>
  <c r="EO140" i="2"/>
  <c r="EO132" i="2"/>
  <c r="CD91" i="2"/>
  <c r="CD127" i="2" s="1"/>
  <c r="EN83" i="2"/>
  <c r="EA104" i="4"/>
  <c r="EA106" i="4" s="1"/>
  <c r="EO209" i="2"/>
  <c r="EO245" i="2" s="1"/>
  <c r="BZ25" i="2"/>
  <c r="CD113" i="2" s="1"/>
  <c r="CA132" i="2"/>
  <c r="BZ82" i="2"/>
  <c r="CD97" i="2" s="1"/>
  <c r="BZ20" i="2"/>
  <c r="BZ83" i="2"/>
  <c r="BZ111" i="2"/>
  <c r="BZ132" i="2"/>
  <c r="CX128" i="2"/>
  <c r="DA128" i="2"/>
  <c r="DC128" i="2"/>
  <c r="DE243" i="2"/>
  <c r="DE242" i="2"/>
  <c r="CY128" i="2"/>
  <c r="EV223" i="2"/>
  <c r="ER158" i="2"/>
  <c r="ER170" i="2"/>
  <c r="ER201" i="2" s="1"/>
  <c r="ET9" i="2"/>
  <c r="ET108" i="2" s="1"/>
  <c r="EK189" i="2"/>
  <c r="EK212" i="2" s="1"/>
  <c r="EK243" i="2" s="1"/>
  <c r="BS112" i="2"/>
  <c r="EW237" i="2"/>
  <c r="ER187" i="2"/>
  <c r="ES210" i="2" s="1"/>
  <c r="EK229" i="2"/>
  <c r="CD87" i="2"/>
  <c r="CH101" i="2" s="1"/>
  <c r="EH102" i="3"/>
  <c r="EM20" i="2"/>
  <c r="W69" i="3"/>
  <c r="CA212" i="2"/>
  <c r="BO212" i="2"/>
  <c r="DY88" i="4"/>
  <c r="DY84" i="4" s="1"/>
  <c r="DY105" i="4"/>
  <c r="EK19" i="2"/>
  <c r="EK81" i="2" s="1"/>
  <c r="EK80" i="2"/>
  <c r="EQ210" i="2"/>
  <c r="EN99" i="2"/>
  <c r="CI239" i="2"/>
  <c r="CE169" i="2"/>
  <c r="CI238" i="2" s="1"/>
  <c r="EN210" i="2"/>
  <c r="EO25" i="2"/>
  <c r="EO113" i="2" s="1"/>
  <c r="EO82" i="2"/>
  <c r="EP97" i="2" s="1"/>
  <c r="EC104" i="4"/>
  <c r="ED105" i="4"/>
  <c r="ED106" i="4" s="1"/>
  <c r="EO91" i="2"/>
  <c r="EO127" i="2" s="1"/>
  <c r="CE239" i="2"/>
  <c r="EN91" i="2"/>
  <c r="EN127" i="2" s="1"/>
  <c r="CE171" i="2"/>
  <c r="BP101" i="2"/>
  <c r="BO84" i="2"/>
  <c r="BO112" i="3"/>
  <c r="BO114" i="3" s="1"/>
  <c r="AY30" i="2"/>
  <c r="AY87" i="2"/>
  <c r="BC101" i="2" s="1"/>
  <c r="BC113" i="2"/>
  <c r="AY86" i="2"/>
  <c r="BC100" i="2" s="1"/>
  <c r="AN115" i="2"/>
  <c r="CJ110" i="2"/>
  <c r="CZ158" i="2"/>
  <c r="EQ94" i="2"/>
  <c r="EQ128" i="2" s="1"/>
  <c r="BE132" i="2"/>
  <c r="EV99" i="2"/>
  <c r="EM91" i="2"/>
  <c r="EM127" i="2" s="1"/>
  <c r="EH93" i="2"/>
  <c r="BH83" i="2"/>
  <c r="BR30" i="2"/>
  <c r="BR34" i="2" s="1"/>
  <c r="BR107" i="4" s="1"/>
  <c r="BR100" i="4" s="1"/>
  <c r="BB132" i="2"/>
  <c r="E69" i="3"/>
  <c r="AJ107" i="4"/>
  <c r="AJ116" i="4"/>
  <c r="AJ108" i="4"/>
  <c r="AJ115" i="2"/>
  <c r="AJ51" i="2"/>
  <c r="AJ54" i="2" s="1"/>
  <c r="Z34" i="2"/>
  <c r="Z37" i="2"/>
  <c r="Z114" i="2"/>
  <c r="Z88" i="2"/>
  <c r="Z105" i="3"/>
  <c r="AD114" i="2"/>
  <c r="EC86" i="2"/>
  <c r="ED100" i="2" s="1"/>
  <c r="EC87" i="2"/>
  <c r="EB134" i="2" s="1"/>
  <c r="EC30" i="2"/>
  <c r="ED114" i="2" s="1"/>
  <c r="R119" i="4"/>
  <c r="R107" i="4"/>
  <c r="R116" i="4"/>
  <c r="DO105" i="3"/>
  <c r="EA88" i="2"/>
  <c r="EA34" i="2"/>
  <c r="DO107" i="4" s="1"/>
  <c r="Z114" i="3"/>
  <c r="Z69" i="3"/>
  <c r="AA69" i="3"/>
  <c r="DT69" i="3"/>
  <c r="DT114" i="3"/>
  <c r="EH92" i="2"/>
  <c r="BC132" i="2"/>
  <c r="BR97" i="2"/>
  <c r="X108" i="4"/>
  <c r="X115" i="2"/>
  <c r="X51" i="2"/>
  <c r="X54" i="2" s="1"/>
  <c r="Z100" i="2"/>
  <c r="V114" i="3"/>
  <c r="Y69" i="3"/>
  <c r="DZ72" i="2"/>
  <c r="EA112" i="2"/>
  <c r="DZ73" i="2"/>
  <c r="DN112" i="3"/>
  <c r="DZ84" i="2"/>
  <c r="EA98" i="2" s="1"/>
  <c r="B34" i="2"/>
  <c r="B105" i="3"/>
  <c r="F114" i="2"/>
  <c r="B37" i="2"/>
  <c r="DX37" i="2" s="1"/>
  <c r="AT34" i="2"/>
  <c r="AT88" i="2"/>
  <c r="AT37" i="2"/>
  <c r="AT105" i="3"/>
  <c r="AD98" i="2"/>
  <c r="Z98" i="2"/>
  <c r="Y107" i="4"/>
  <c r="Y116" i="4"/>
  <c r="Y119" i="4"/>
  <c r="J37" i="2"/>
  <c r="N114" i="2"/>
  <c r="J105" i="3"/>
  <c r="J34" i="2"/>
  <c r="J88" i="2"/>
  <c r="J114" i="2"/>
  <c r="V101" i="2"/>
  <c r="ED97" i="2"/>
  <c r="CN133" i="3"/>
  <c r="BS96" i="2"/>
  <c r="BA132" i="2"/>
  <c r="EC113" i="2"/>
  <c r="DR100" i="2"/>
  <c r="DS100" i="2"/>
  <c r="AJ119" i="4"/>
  <c r="FB6" i="2"/>
  <c r="FA5" i="329"/>
  <c r="EN5" i="3"/>
  <c r="EN5" i="4"/>
  <c r="EF37" i="2"/>
  <c r="DT105" i="3"/>
  <c r="EF34" i="2"/>
  <c r="EF88" i="2"/>
  <c r="DV100" i="2"/>
  <c r="DW100" i="2"/>
  <c r="N101" i="2"/>
  <c r="J101" i="2"/>
  <c r="V34" i="2"/>
  <c r="V37" i="2"/>
  <c r="V105" i="3"/>
  <c r="V114" i="2"/>
  <c r="V88" i="2"/>
  <c r="BD132" i="2"/>
  <c r="X107" i="4"/>
  <c r="X119" i="4"/>
  <c r="X116" i="4"/>
  <c r="Z101" i="2"/>
  <c r="AD101" i="2"/>
  <c r="AV96" i="2"/>
  <c r="AR96" i="2"/>
  <c r="DF105" i="3"/>
  <c r="DR34" i="2"/>
  <c r="DR37" i="2"/>
  <c r="DR88" i="2"/>
  <c r="DS114" i="2"/>
  <c r="DR114" i="2"/>
  <c r="EC72" i="2"/>
  <c r="EC84" i="2"/>
  <c r="EC98" i="2" s="1"/>
  <c r="EC73" i="2"/>
  <c r="DQ112" i="3"/>
  <c r="R51" i="2"/>
  <c r="R54" i="2" s="1"/>
  <c r="R108" i="4"/>
  <c r="EA97" i="2"/>
  <c r="DV37" i="2"/>
  <c r="DV88" i="2"/>
  <c r="DV34" i="2"/>
  <c r="DJ105" i="3"/>
  <c r="DW114" i="2"/>
  <c r="DV114" i="2"/>
  <c r="Y51" i="2"/>
  <c r="Y54" i="2" s="1"/>
  <c r="Y108" i="4"/>
  <c r="N100" i="2"/>
  <c r="J100" i="2"/>
  <c r="EV109" i="2"/>
  <c r="EU109" i="2"/>
  <c r="DZ111" i="3"/>
  <c r="F125" i="3"/>
  <c r="BT100" i="2"/>
  <c r="BG132" i="2"/>
  <c r="EU79" i="2"/>
  <c r="EL82" i="2"/>
  <c r="EM97" i="2" s="1"/>
  <c r="DZ104" i="4"/>
  <c r="CI83" i="2"/>
  <c r="EU15" i="2"/>
  <c r="EO92" i="2"/>
  <c r="BR86" i="2"/>
  <c r="BV100" i="2" s="1"/>
  <c r="EL111" i="2"/>
  <c r="EL83" i="2"/>
  <c r="EL132" i="2"/>
  <c r="EM83" i="2"/>
  <c r="EQ92" i="2"/>
  <c r="BF132" i="2"/>
  <c r="BR87" i="2"/>
  <c r="BV101" i="2" s="1"/>
  <c r="EM81" i="2"/>
  <c r="DD81" i="2"/>
  <c r="DD110" i="2"/>
  <c r="BM81" i="2"/>
  <c r="BQ110" i="2"/>
  <c r="BM20" i="2"/>
  <c r="BL112" i="3"/>
  <c r="BL114" i="3" s="1"/>
  <c r="BL84" i="2"/>
  <c r="BP98" i="2" s="1"/>
  <c r="BP112" i="2"/>
  <c r="DX88" i="4"/>
  <c r="DX84" i="4" s="1"/>
  <c r="EJ19" i="2"/>
  <c r="EJ20" i="2" s="1"/>
  <c r="DX105" i="4"/>
  <c r="EJ80" i="2"/>
  <c r="CB15" i="2"/>
  <c r="CB80" i="2"/>
  <c r="CF95" i="2" s="1"/>
  <c r="CB19" i="2"/>
  <c r="CF110" i="2" s="1"/>
  <c r="EQ12" i="2"/>
  <c r="DR29" i="4"/>
  <c r="AC42" i="4"/>
  <c r="EO15" i="2"/>
  <c r="P114" i="3"/>
  <c r="P69" i="3"/>
  <c r="R69" i="3"/>
  <c r="Q69" i="3"/>
  <c r="AE112" i="2"/>
  <c r="AE112" i="3"/>
  <c r="AI112" i="2"/>
  <c r="AE84" i="2"/>
  <c r="BX95" i="2"/>
  <c r="AJ95" i="2"/>
  <c r="AF95" i="2"/>
  <c r="BK96" i="2"/>
  <c r="BG96" i="2"/>
  <c r="EH81" i="2"/>
  <c r="EH96" i="2" s="1"/>
  <c r="EH110" i="2"/>
  <c r="EH28" i="4"/>
  <c r="AY112" i="3"/>
  <c r="AY114" i="3" s="1"/>
  <c r="AY84" i="2"/>
  <c r="BC98" i="2" s="1"/>
  <c r="BC112" i="2"/>
  <c r="L114" i="3"/>
  <c r="O69" i="3"/>
  <c r="CA81" i="2"/>
  <c r="CE96" i="2" s="1"/>
  <c r="CE110" i="2"/>
  <c r="CA110" i="2"/>
  <c r="CA20" i="2"/>
  <c r="BU81" i="2"/>
  <c r="BU110" i="2"/>
  <c r="BU20" i="2"/>
  <c r="BY112" i="2" s="1"/>
  <c r="BU95" i="2"/>
  <c r="BY95" i="2"/>
  <c r="CM81" i="2"/>
  <c r="CM110" i="2"/>
  <c r="CQ110" i="2"/>
  <c r="DS29" i="4"/>
  <c r="AG42" i="4"/>
  <c r="CN68" i="2"/>
  <c r="CN59" i="2"/>
  <c r="ET67" i="2"/>
  <c r="BA105" i="4"/>
  <c r="BA19" i="2"/>
  <c r="BA20" i="2" s="1"/>
  <c r="BA15" i="2"/>
  <c r="EJ15" i="2" s="1"/>
  <c r="BA80" i="2"/>
  <c r="AE96" i="2"/>
  <c r="AI96" i="2"/>
  <c r="CB54" i="4"/>
  <c r="CB63" i="4" s="1"/>
  <c r="CB118" i="4"/>
  <c r="CC47" i="4"/>
  <c r="BG112" i="3"/>
  <c r="BG114" i="3" s="1"/>
  <c r="BG84" i="2"/>
  <c r="BG98" i="2" s="1"/>
  <c r="BG112" i="2"/>
  <c r="CK15" i="2"/>
  <c r="ES15" i="2" s="1"/>
  <c r="CO11" i="2"/>
  <c r="ET11" i="2" s="1"/>
  <c r="CK80" i="2"/>
  <c r="CK19" i="2"/>
  <c r="CC105" i="4"/>
  <c r="AZ81" i="2"/>
  <c r="AZ20" i="2"/>
  <c r="AZ110" i="2"/>
  <c r="BD110" i="2"/>
  <c r="N69" i="3"/>
  <c r="AG63" i="4"/>
  <c r="BT110" i="2"/>
  <c r="BT20" i="2"/>
  <c r="BT81" i="2"/>
  <c r="BT96" i="2" s="1"/>
  <c r="CJ68" i="2"/>
  <c r="CJ59" i="2"/>
  <c r="ES67" i="2"/>
  <c r="T98" i="2"/>
  <c r="X98" i="2"/>
  <c r="T114" i="3"/>
  <c r="ES11" i="2"/>
  <c r="CN80" i="2"/>
  <c r="CR95" i="2" s="1"/>
  <c r="CN19" i="2"/>
  <c r="CN110" i="2" s="1"/>
  <c r="CN15" i="2"/>
  <c r="AB96" i="2"/>
  <c r="AF81" i="2"/>
  <c r="AJ96" i="2" s="1"/>
  <c r="AF20" i="2"/>
  <c r="AJ110" i="2"/>
  <c r="AF110" i="2"/>
  <c r="CA54" i="4"/>
  <c r="CA63" i="4" s="1"/>
  <c r="AC20" i="2"/>
  <c r="AC81" i="2"/>
  <c r="AC96" i="2" s="1"/>
  <c r="AC110" i="2"/>
  <c r="EO19" i="2"/>
  <c r="EC105" i="4"/>
  <c r="EO80" i="2"/>
  <c r="BL110" i="2"/>
  <c r="BH110" i="2"/>
  <c r="BH81" i="2"/>
  <c r="AY96" i="2"/>
  <c r="BC96" i="2"/>
  <c r="CC19" i="2"/>
  <c r="CC15" i="2"/>
  <c r="CC80" i="2"/>
  <c r="BI105" i="4"/>
  <c r="BI106" i="4" s="1"/>
  <c r="BI80" i="2"/>
  <c r="BI15" i="2"/>
  <c r="EL15" i="2" s="1"/>
  <c r="BI19" i="2"/>
  <c r="EL11" i="2"/>
  <c r="AU96" i="2"/>
  <c r="AQ96" i="2"/>
  <c r="EE11" i="2"/>
  <c r="AG105" i="4"/>
  <c r="AG106" i="4" s="1"/>
  <c r="AG19" i="2"/>
  <c r="AG80" i="2"/>
  <c r="AG15" i="2"/>
  <c r="EE15" i="2" s="1"/>
  <c r="P98" i="2"/>
  <c r="AB112" i="2"/>
  <c r="AB84" i="2"/>
  <c r="AB98" i="2" s="1"/>
  <c r="AB112" i="3"/>
  <c r="AC63" i="4"/>
  <c r="BD95" i="2"/>
  <c r="AZ95" i="2"/>
  <c r="ED19" i="2"/>
  <c r="DR105" i="4"/>
  <c r="DR106" i="4" s="1"/>
  <c r="ED80" i="2"/>
  <c r="BO208" i="2"/>
  <c r="M107" i="4"/>
  <c r="M119" i="4"/>
  <c r="M116" i="4"/>
  <c r="DR105" i="3"/>
  <c r="ED88" i="2"/>
  <c r="ED34" i="2"/>
  <c r="ED134" i="2"/>
  <c r="DZ88" i="2"/>
  <c r="EA114" i="2"/>
  <c r="DN105" i="3"/>
  <c r="DZ34" i="2"/>
  <c r="DN107" i="4" s="1"/>
  <c r="CS110" i="4"/>
  <c r="EX62" i="2"/>
  <c r="EK110" i="4" s="1"/>
  <c r="EB100" i="2"/>
  <c r="DE53" i="2"/>
  <c r="CS109" i="4"/>
  <c r="DE49" i="2"/>
  <c r="EB114" i="2"/>
  <c r="DP105" i="3"/>
  <c r="EB88" i="2"/>
  <c r="EB34" i="2"/>
  <c r="EE37" i="2"/>
  <c r="EE88" i="2"/>
  <c r="EE114" i="2"/>
  <c r="EE34" i="2"/>
  <c r="DS105" i="3"/>
  <c r="EF114" i="2"/>
  <c r="EE134" i="2"/>
  <c r="M108" i="4"/>
  <c r="M51" i="2"/>
  <c r="M54" i="2" s="1"/>
  <c r="EE100" i="2"/>
  <c r="EF100" i="2"/>
  <c r="CG132" i="2"/>
  <c r="BC108" i="4"/>
  <c r="BC94" i="4" s="1"/>
  <c r="BC51" i="2"/>
  <c r="BC54" i="2" s="1"/>
  <c r="BP34" i="2"/>
  <c r="BP37" i="2"/>
  <c r="BP88" i="2"/>
  <c r="BP105" i="3"/>
  <c r="BC119" i="4"/>
  <c r="BC107" i="4"/>
  <c r="BC100" i="4" s="1"/>
  <c r="BC116" i="4"/>
  <c r="CW20" i="2"/>
  <c r="CK112" i="3" s="1"/>
  <c r="AY132" i="2"/>
  <c r="EH63" i="4"/>
  <c r="AN384" i="329"/>
  <c r="CQ108" i="2"/>
  <c r="EG108" i="329"/>
  <c r="ER340" i="329"/>
  <c r="CR173" i="329"/>
  <c r="CI20" i="2"/>
  <c r="CA111" i="3"/>
  <c r="CI82" i="2"/>
  <c r="CI97" i="2" s="1"/>
  <c r="CI171" i="2"/>
  <c r="CA104" i="4"/>
  <c r="CA106" i="4" s="1"/>
  <c r="CI25" i="2"/>
  <c r="CI111" i="2"/>
  <c r="BE170" i="2"/>
  <c r="BE199" i="2"/>
  <c r="BI237" i="2"/>
  <c r="AQ37" i="2"/>
  <c r="AQ34" i="2"/>
  <c r="EQ225" i="2"/>
  <c r="EN179" i="2"/>
  <c r="EO225" i="2"/>
  <c r="BO199" i="2"/>
  <c r="CA216" i="2" s="1"/>
  <c r="CA237" i="2"/>
  <c r="BS237" i="2"/>
  <c r="BO170" i="2"/>
  <c r="EI123" i="4"/>
  <c r="EH123" i="4"/>
  <c r="CM14" i="3"/>
  <c r="CL15" i="3"/>
  <c r="EK64" i="329"/>
  <c r="EK66" i="329" s="1"/>
  <c r="BF63" i="329"/>
  <c r="DD383" i="329"/>
  <c r="DD137" i="2" s="1"/>
  <c r="BV98" i="2"/>
  <c r="DB94" i="2"/>
  <c r="EU92" i="2"/>
  <c r="CY108" i="2"/>
  <c r="DB95" i="2"/>
  <c r="ET332" i="329"/>
  <c r="EY135" i="329"/>
  <c r="EY134" i="329"/>
  <c r="CB137" i="2"/>
  <c r="CB142" i="2"/>
  <c r="BX137" i="2"/>
  <c r="BX142" i="2"/>
  <c r="CO154" i="329"/>
  <c r="EK92" i="2"/>
  <c r="CE166" i="329"/>
  <c r="CU173" i="329"/>
  <c r="BW137" i="2"/>
  <c r="BW142" i="2"/>
  <c r="CG137" i="2"/>
  <c r="CG142" i="2"/>
  <c r="BY137" i="2"/>
  <c r="BY142" i="2"/>
  <c r="CF137" i="2"/>
  <c r="CF142" i="2"/>
  <c r="C94" i="329"/>
  <c r="G95" i="329" s="1"/>
  <c r="G123" i="329" s="1"/>
  <c r="B96" i="329"/>
  <c r="F97" i="329" s="1"/>
  <c r="F93" i="329"/>
  <c r="B94" i="329"/>
  <c r="B105" i="329"/>
  <c r="EK94" i="2"/>
  <c r="EK128" i="2" s="1"/>
  <c r="BA201" i="2"/>
  <c r="BO87" i="2"/>
  <c r="BO86" i="2"/>
  <c r="BO30" i="2"/>
  <c r="CA113" i="2"/>
  <c r="CM158" i="329"/>
  <c r="CI154" i="329"/>
  <c r="EM350" i="329"/>
  <c r="BM350" i="329" s="1"/>
  <c r="EM170" i="2"/>
  <c r="EM201" i="2" s="1"/>
  <c r="EM199" i="2"/>
  <c r="EK91" i="2"/>
  <c r="EK127" i="2" s="1"/>
  <c r="AS83" i="2"/>
  <c r="AO111" i="2"/>
  <c r="AO25" i="2"/>
  <c r="AO111" i="3"/>
  <c r="AO141" i="2"/>
  <c r="AO82" i="2"/>
  <c r="AO97" i="2" s="1"/>
  <c r="AO20" i="2"/>
  <c r="AO104" i="4"/>
  <c r="AO106" i="4" s="1"/>
  <c r="AO83" i="2"/>
  <c r="AQ132" i="2"/>
  <c r="EG17" i="2"/>
  <c r="AO132" i="2"/>
  <c r="AP132" i="2"/>
  <c r="AR132" i="2"/>
  <c r="AT124" i="3"/>
  <c r="DW56" i="3"/>
  <c r="DW127" i="3"/>
  <c r="DW59" i="3"/>
  <c r="AU124" i="3"/>
  <c r="DW55" i="3"/>
  <c r="DW60" i="3"/>
  <c r="AV124" i="3"/>
  <c r="DW57" i="3"/>
  <c r="DW50" i="3"/>
  <c r="DW81" i="3" s="1"/>
  <c r="DW84" i="3" s="1"/>
  <c r="DW124" i="3"/>
  <c r="AW124" i="3"/>
  <c r="BV348" i="329"/>
  <c r="DU57" i="3"/>
  <c r="DU55" i="3"/>
  <c r="AM124" i="3"/>
  <c r="DU127" i="3"/>
  <c r="DU59" i="3"/>
  <c r="AL124" i="3"/>
  <c r="DU56" i="3"/>
  <c r="DU124" i="3"/>
  <c r="DU60" i="3"/>
  <c r="DU50" i="3"/>
  <c r="DU81" i="3" s="1"/>
  <c r="DU84" i="3" s="1"/>
  <c r="DU88" i="3"/>
  <c r="DV88" i="3"/>
  <c r="AN124" i="3"/>
  <c r="AO124" i="3"/>
  <c r="BO186" i="329"/>
  <c r="BO187" i="329" s="1"/>
  <c r="BS173" i="329"/>
  <c r="BE25" i="2"/>
  <c r="EK25" i="2" s="1"/>
  <c r="BE83" i="2"/>
  <c r="BE82" i="2"/>
  <c r="BE111" i="3"/>
  <c r="BE104" i="4"/>
  <c r="BE106" i="4" s="1"/>
  <c r="BE111" i="2"/>
  <c r="BE20" i="2"/>
  <c r="BI111" i="2"/>
  <c r="BI83" i="2"/>
  <c r="CQ170" i="329"/>
  <c r="EO362" i="329"/>
  <c r="EO343" i="329"/>
  <c r="BA111" i="3"/>
  <c r="BA82" i="2"/>
  <c r="BA104" i="4"/>
  <c r="BA25" i="2"/>
  <c r="EJ25" i="2" s="1"/>
  <c r="BA111" i="2"/>
  <c r="BA83" i="2"/>
  <c r="EH108" i="2"/>
  <c r="EH76" i="2"/>
  <c r="EJ92" i="2"/>
  <c r="BN332" i="329"/>
  <c r="BZ332" i="329"/>
  <c r="BQ347" i="329"/>
  <c r="BM363" i="329"/>
  <c r="CA173" i="329"/>
  <c r="CE173" i="329"/>
  <c r="CI173" i="329"/>
  <c r="CM173" i="329"/>
  <c r="EG94" i="2"/>
  <c r="EG128" i="2" s="1"/>
  <c r="EH94" i="2"/>
  <c r="EH128" i="2" s="1"/>
  <c r="BD124" i="3"/>
  <c r="DY59" i="3"/>
  <c r="DY57" i="3"/>
  <c r="DY60" i="3"/>
  <c r="DY50" i="3"/>
  <c r="DY81" i="3" s="1"/>
  <c r="DY84" i="3" s="1"/>
  <c r="BC124" i="3"/>
  <c r="DY56" i="3"/>
  <c r="DY127" i="3"/>
  <c r="DY55" i="3"/>
  <c r="BB124" i="3"/>
  <c r="DY124" i="3"/>
  <c r="BE124" i="3"/>
  <c r="DY88" i="3"/>
  <c r="EG308" i="329"/>
  <c r="EH309" i="329" s="1"/>
  <c r="AP309" i="329"/>
  <c r="AM310" i="329"/>
  <c r="AQ311" i="329" s="1"/>
  <c r="BA91" i="2"/>
  <c r="BA127" i="2" s="1"/>
  <c r="BN344" i="329"/>
  <c r="BZ344" i="329"/>
  <c r="AW83" i="2"/>
  <c r="AW82" i="2"/>
  <c r="AX132" i="2"/>
  <c r="AW104" i="4"/>
  <c r="AW106" i="4" s="1"/>
  <c r="AW111" i="2"/>
  <c r="AW111" i="3"/>
  <c r="AW132" i="2"/>
  <c r="AZ132" i="2"/>
  <c r="AW25" i="2"/>
  <c r="EI17" i="2"/>
  <c r="EJ99" i="2"/>
  <c r="BZ348" i="329"/>
  <c r="BN348" i="329"/>
  <c r="CI162" i="329"/>
  <c r="DZ127" i="3"/>
  <c r="BG124" i="3"/>
  <c r="DZ55" i="3"/>
  <c r="EA88" i="3"/>
  <c r="DZ88" i="3"/>
  <c r="DZ50" i="3"/>
  <c r="DZ81" i="3" s="1"/>
  <c r="DZ84" i="3" s="1"/>
  <c r="DZ124" i="3"/>
  <c r="DZ56" i="3"/>
  <c r="DZ57" i="3"/>
  <c r="DZ60" i="3"/>
  <c r="BF124" i="3"/>
  <c r="BI124" i="3"/>
  <c r="BH124" i="3"/>
  <c r="DZ59" i="3"/>
  <c r="EL93" i="2"/>
  <c r="EM93" i="2"/>
  <c r="EM99" i="2"/>
  <c r="EL99" i="2"/>
  <c r="BL91" i="2"/>
  <c r="BL127" i="2" s="1"/>
  <c r="BO237" i="2"/>
  <c r="BK199" i="2"/>
  <c r="BK170" i="2"/>
  <c r="BK237" i="2"/>
  <c r="BR332" i="329"/>
  <c r="BM342" i="329"/>
  <c r="BM343" i="329" s="1"/>
  <c r="EN343" i="329"/>
  <c r="BM334" i="329"/>
  <c r="EN335" i="329"/>
  <c r="CQ162" i="329"/>
  <c r="CE141" i="2"/>
  <c r="CE137" i="2"/>
  <c r="EG108" i="2"/>
  <c r="EG76" i="2"/>
  <c r="BE91" i="2"/>
  <c r="BE127" i="2" s="1"/>
  <c r="BI91" i="2"/>
  <c r="BI127" i="2" s="1"/>
  <c r="EK99" i="2"/>
  <c r="AP298" i="329"/>
  <c r="AL310" i="329"/>
  <c r="CX348" i="329"/>
  <c r="CT348" i="329"/>
  <c r="AW91" i="2"/>
  <c r="AW127" i="2" s="1"/>
  <c r="AS91" i="2"/>
  <c r="AS127" i="2" s="1"/>
  <c r="EK93" i="2"/>
  <c r="EJ93" i="2"/>
  <c r="EM92" i="2"/>
  <c r="EL92" i="2"/>
  <c r="EL94" i="2"/>
  <c r="EL128" i="2" s="1"/>
  <c r="EM94" i="2"/>
  <c r="EM128" i="2" s="1"/>
  <c r="BH111" i="2"/>
  <c r="BH82" i="2"/>
  <c r="BI132" i="2"/>
  <c r="BH104" i="4"/>
  <c r="BH106" i="4" s="1"/>
  <c r="BH111" i="3"/>
  <c r="BH25" i="2"/>
  <c r="BJ132" i="2"/>
  <c r="BH132" i="2"/>
  <c r="BH20" i="2"/>
  <c r="BK132" i="2"/>
  <c r="BL111" i="2"/>
  <c r="BL83" i="2"/>
  <c r="EM179" i="2"/>
  <c r="EN225" i="2"/>
  <c r="BM338" i="329"/>
  <c r="EN339" i="329"/>
  <c r="EN340" i="329" s="1"/>
  <c r="AO91" i="2"/>
  <c r="AO127" i="2" s="1"/>
  <c r="AL382" i="329"/>
  <c r="AP375" i="329"/>
  <c r="AL375" i="329"/>
  <c r="AH108" i="3"/>
  <c r="AH95" i="3" s="1"/>
  <c r="AH391" i="329"/>
  <c r="AH384" i="329"/>
  <c r="AH141" i="2"/>
  <c r="BW186" i="329"/>
  <c r="BW173" i="329"/>
  <c r="EG95" i="2"/>
  <c r="EH95" i="2"/>
  <c r="BR344" i="329"/>
  <c r="EI108" i="2"/>
  <c r="EI76" i="2"/>
  <c r="EJ108" i="2"/>
  <c r="AS111" i="3"/>
  <c r="AS82" i="2"/>
  <c r="AS25" i="2"/>
  <c r="AS104" i="4"/>
  <c r="AS106" i="4" s="1"/>
  <c r="AS111" i="2"/>
  <c r="AS20" i="2"/>
  <c r="AS132" i="2"/>
  <c r="AV132" i="2"/>
  <c r="AU132" i="2"/>
  <c r="EH17" i="2"/>
  <c r="AT132" i="2"/>
  <c r="BA390" i="329"/>
  <c r="BA112" i="4"/>
  <c r="EJ94" i="2"/>
  <c r="EJ128" i="2" s="1"/>
  <c r="AX124" i="3"/>
  <c r="DX55" i="3"/>
  <c r="AY124" i="3"/>
  <c r="DX50" i="3"/>
  <c r="DX81" i="3" s="1"/>
  <c r="DX84" i="3" s="1"/>
  <c r="DX124" i="3"/>
  <c r="DX56" i="3"/>
  <c r="BA124" i="3"/>
  <c r="AZ124" i="3"/>
  <c r="DX88" i="3"/>
  <c r="DX59" i="3"/>
  <c r="DX60" i="3"/>
  <c r="DX57" i="3"/>
  <c r="DX127" i="3"/>
  <c r="AW390" i="329"/>
  <c r="AW112" i="4"/>
  <c r="AX383" i="329"/>
  <c r="AX142" i="2" s="1"/>
  <c r="BR336" i="329"/>
  <c r="BZ336" i="329"/>
  <c r="BN336" i="329"/>
  <c r="BM330" i="329"/>
  <c r="BM331" i="329" s="1"/>
  <c r="EN331" i="329"/>
  <c r="EN332" i="329" s="1"/>
  <c r="CE170" i="329"/>
  <c r="EH99" i="2"/>
  <c r="FE184" i="2"/>
  <c r="FE186" i="2"/>
  <c r="FE183" i="2" s="1"/>
  <c r="FE209" i="2" s="1"/>
  <c r="FE245" i="2" s="1"/>
  <c r="FF185" i="2"/>
  <c r="FG180" i="2"/>
  <c r="FG182" i="2"/>
  <c r="FE194" i="2"/>
  <c r="FE196" i="2"/>
  <c r="FF195" i="2"/>
  <c r="FE193" i="2"/>
  <c r="FE213" i="2" s="1"/>
  <c r="FE246" i="2" s="1"/>
  <c r="CU344" i="329"/>
  <c r="CY344" i="329"/>
  <c r="CO173" i="329"/>
  <c r="ET153" i="329"/>
  <c r="BY173" i="329"/>
  <c r="CS166" i="329"/>
  <c r="EK123" i="329"/>
  <c r="EN122" i="329"/>
  <c r="CV95" i="2"/>
  <c r="EN153" i="329"/>
  <c r="EW165" i="2"/>
  <c r="EW234" i="2" s="1"/>
  <c r="CS302" i="329"/>
  <c r="ET8" i="2"/>
  <c r="ET365" i="329"/>
  <c r="DC108" i="2"/>
  <c r="EU340" i="329"/>
  <c r="BF233" i="2"/>
  <c r="EN110" i="329"/>
  <c r="EF90" i="329"/>
  <c r="EW223" i="2"/>
  <c r="CD378" i="329"/>
  <c r="CD88" i="329"/>
  <c r="CD89" i="329"/>
  <c r="CD103" i="329" s="1"/>
  <c r="DX107" i="329"/>
  <c r="DX98" i="329"/>
  <c r="CO158" i="329"/>
  <c r="ET165" i="329"/>
  <c r="CS170" i="329"/>
  <c r="CK162" i="329"/>
  <c r="CW158" i="329"/>
  <c r="EM172" i="329"/>
  <c r="CV162" i="329"/>
  <c r="CF166" i="329"/>
  <c r="EF83" i="3"/>
  <c r="CQ216" i="2"/>
  <c r="CU216" i="2"/>
  <c r="CK173" i="329"/>
  <c r="CK174" i="329" s="1"/>
  <c r="CW162" i="329"/>
  <c r="EU178" i="329"/>
  <c r="AQ30" i="329"/>
  <c r="AQ33" i="329"/>
  <c r="AQ32" i="329"/>
  <c r="AQ50" i="329"/>
  <c r="AQ51" i="329" s="1"/>
  <c r="AQ29" i="329"/>
  <c r="AQ31" i="329"/>
  <c r="AQ34" i="329"/>
  <c r="CR170" i="329"/>
  <c r="CN154" i="329"/>
  <c r="CN158" i="329"/>
  <c r="CS173" i="329"/>
  <c r="CW173" i="329"/>
  <c r="EU172" i="329"/>
  <c r="EU186" i="329" s="1"/>
  <c r="CO162" i="329"/>
  <c r="AR39" i="329"/>
  <c r="AR44" i="329" s="1"/>
  <c r="AR31" i="329" s="1"/>
  <c r="AS12" i="329"/>
  <c r="AR17" i="329"/>
  <c r="AR48" i="329" s="1"/>
  <c r="AR49" i="329" s="1"/>
  <c r="AR83" i="329" s="1"/>
  <c r="G385" i="329"/>
  <c r="G383" i="329"/>
  <c r="G142" i="2" s="1"/>
  <c r="G112" i="4"/>
  <c r="G113" i="4" s="1"/>
  <c r="G390" i="329"/>
  <c r="CS162" i="329"/>
  <c r="EU161" i="329"/>
  <c r="EU162" i="329" s="1"/>
  <c r="EH59" i="3"/>
  <c r="EH56" i="3"/>
  <c r="EH57" i="3"/>
  <c r="EH50" i="3"/>
  <c r="EH81" i="3" s="1"/>
  <c r="EH127" i="3"/>
  <c r="EH60" i="3"/>
  <c r="EH58" i="3"/>
  <c r="EH88" i="3"/>
  <c r="EH55" i="3"/>
  <c r="BX87" i="329"/>
  <c r="BX371" i="329"/>
  <c r="BX372" i="329" s="1"/>
  <c r="CU103" i="329"/>
  <c r="CU98" i="329"/>
  <c r="BQ186" i="329"/>
  <c r="BQ187" i="329" s="1"/>
  <c r="CC173" i="329"/>
  <c r="CG174" i="329" s="1"/>
  <c r="CW92" i="329"/>
  <c r="CW85" i="329"/>
  <c r="CC212" i="2"/>
  <c r="BQ212" i="2"/>
  <c r="H382" i="329"/>
  <c r="H93" i="329"/>
  <c r="H96" i="329"/>
  <c r="H97" i="329" s="1"/>
  <c r="H94" i="329"/>
  <c r="H105" i="329"/>
  <c r="H106" i="329" s="1"/>
  <c r="CI93" i="3"/>
  <c r="CI91" i="3"/>
  <c r="BU199" i="2"/>
  <c r="BU237" i="2"/>
  <c r="BU170" i="2"/>
  <c r="EO168" i="2"/>
  <c r="EP237" i="2" s="1"/>
  <c r="BY82" i="329"/>
  <c r="BY78" i="329"/>
  <c r="EP78" i="329" s="1"/>
  <c r="ER78" i="329" s="1"/>
  <c r="EP77" i="329"/>
  <c r="CV105" i="329"/>
  <c r="CV94" i="329"/>
  <c r="CV374" i="329"/>
  <c r="CV382" i="329" s="1"/>
  <c r="CV383" i="329" s="1"/>
  <c r="CW166" i="329"/>
  <c r="ER365" i="329"/>
  <c r="CY77" i="329"/>
  <c r="CX78" i="329"/>
  <c r="CX80" i="329"/>
  <c r="BQ199" i="2"/>
  <c r="BQ237" i="2"/>
  <c r="CC237" i="2"/>
  <c r="BQ170" i="2"/>
  <c r="CG170" i="329"/>
  <c r="CK170" i="329"/>
  <c r="CS158" i="329"/>
  <c r="CF313" i="329"/>
  <c r="CF320" i="329" s="1"/>
  <c r="CF311" i="329"/>
  <c r="CK166" i="329"/>
  <c r="CO166" i="329"/>
  <c r="EP189" i="2"/>
  <c r="EP229" i="2"/>
  <c r="EV78" i="329"/>
  <c r="EV80" i="329"/>
  <c r="EV85" i="329" s="1"/>
  <c r="EV374" i="329" s="1"/>
  <c r="EV382" i="329" s="1"/>
  <c r="CW170" i="329"/>
  <c r="G107" i="329"/>
  <c r="K110" i="329" s="1"/>
  <c r="K122" i="329" s="1"/>
  <c r="G98" i="329"/>
  <c r="CW154" i="329"/>
  <c r="CS154" i="329"/>
  <c r="BY170" i="2"/>
  <c r="BY199" i="2"/>
  <c r="BY237" i="2"/>
  <c r="BU173" i="329"/>
  <c r="BU186" i="329"/>
  <c r="BU187" i="329" s="1"/>
  <c r="EV214" i="2"/>
  <c r="CJ154" i="329"/>
  <c r="CV170" i="329"/>
  <c r="EV178" i="329"/>
  <c r="EB390" i="329"/>
  <c r="DP112" i="4"/>
  <c r="DQ113" i="4" s="1"/>
  <c r="EB383" i="329"/>
  <c r="EB137" i="2" s="1"/>
  <c r="EC383" i="329"/>
  <c r="EC137" i="2" s="1"/>
  <c r="N107" i="329"/>
  <c r="R110" i="329" s="1"/>
  <c r="R122" i="329" s="1"/>
  <c r="N98" i="329"/>
  <c r="N390" i="329"/>
  <c r="N383" i="329"/>
  <c r="N142" i="2" s="1"/>
  <c r="N112" i="4"/>
  <c r="N113" i="4" s="1"/>
  <c r="N385" i="329"/>
  <c r="EU169" i="329"/>
  <c r="EU185" i="329"/>
  <c r="EV220" i="329" s="1"/>
  <c r="EV183" i="329"/>
  <c r="EW218" i="329" s="1"/>
  <c r="EV161" i="329"/>
  <c r="CB173" i="329"/>
  <c r="EQ172" i="329"/>
  <c r="R141" i="2"/>
  <c r="R108" i="3"/>
  <c r="R95" i="3" s="1"/>
  <c r="R391" i="329"/>
  <c r="BX186" i="329"/>
  <c r="BX173" i="329"/>
  <c r="EP172" i="329"/>
  <c r="CN162" i="329"/>
  <c r="EP181" i="329"/>
  <c r="EQ216" i="329" s="1"/>
  <c r="EP153" i="329"/>
  <c r="EV185" i="329"/>
  <c r="EW220" i="329" s="1"/>
  <c r="EV169" i="329"/>
  <c r="EN185" i="329"/>
  <c r="EO220" i="329" s="1"/>
  <c r="EQ169" i="329"/>
  <c r="CF154" i="329"/>
  <c r="Q101" i="329"/>
  <c r="Q88" i="329"/>
  <c r="R87" i="329"/>
  <c r="Q378" i="329"/>
  <c r="Q385" i="329" s="1"/>
  <c r="Q89" i="329"/>
  <c r="Q103" i="329" s="1"/>
  <c r="Q104" i="329" s="1"/>
  <c r="EA87" i="329"/>
  <c r="U112" i="4"/>
  <c r="U113" i="4" s="1"/>
  <c r="U390" i="329"/>
  <c r="U383" i="329"/>
  <c r="U142" i="2" s="1"/>
  <c r="ES344" i="329"/>
  <c r="V108" i="329"/>
  <c r="ES184" i="329"/>
  <c r="ET219" i="329" s="1"/>
  <c r="EU165" i="329"/>
  <c r="EV166" i="329" s="1"/>
  <c r="ES165" i="329"/>
  <c r="ER183" i="329"/>
  <c r="ES218" i="329" s="1"/>
  <c r="ER161" i="329"/>
  <c r="CN170" i="329"/>
  <c r="EN183" i="329"/>
  <c r="EO218" i="329" s="1"/>
  <c r="EO221" i="329" s="1"/>
  <c r="EQ161" i="329"/>
  <c r="EO165" i="329"/>
  <c r="EO184" i="329"/>
  <c r="EP219" i="329" s="1"/>
  <c r="CR162" i="329"/>
  <c r="CV173" i="329"/>
  <c r="EV172" i="329"/>
  <c r="ES169" i="329"/>
  <c r="ES185" i="329"/>
  <c r="ET220" i="329" s="1"/>
  <c r="ER153" i="329"/>
  <c r="ER181" i="329"/>
  <c r="ES216" i="329" s="1"/>
  <c r="CV154" i="329"/>
  <c r="CF173" i="329"/>
  <c r="ER172" i="329"/>
  <c r="EP182" i="329"/>
  <c r="EQ217" i="329" s="1"/>
  <c r="EP157" i="329"/>
  <c r="Q390" i="329"/>
  <c r="Q112" i="4"/>
  <c r="CJ162" i="329"/>
  <c r="CF162" i="329"/>
  <c r="CN173" i="329"/>
  <c r="ET172" i="329"/>
  <c r="EP184" i="329"/>
  <c r="EQ219" i="329" s="1"/>
  <c r="EP165" i="329"/>
  <c r="O389" i="329"/>
  <c r="O135" i="2"/>
  <c r="O136" i="2" s="1"/>
  <c r="EI199" i="2"/>
  <c r="EI170" i="2"/>
  <c r="EI201" i="2" s="1"/>
  <c r="CN166" i="329"/>
  <c r="EP161" i="329"/>
  <c r="EP183" i="329"/>
  <c r="EQ218" i="329" s="1"/>
  <c r="CJ173" i="329"/>
  <c r="ES172" i="329"/>
  <c r="V110" i="329"/>
  <c r="V122" i="329" s="1"/>
  <c r="EV153" i="329"/>
  <c r="EV181" i="329"/>
  <c r="ED390" i="329"/>
  <c r="DR112" i="4"/>
  <c r="ED383" i="329"/>
  <c r="ED137" i="2" s="1"/>
  <c r="ES157" i="329"/>
  <c r="EU157" i="329"/>
  <c r="ES182" i="329"/>
  <c r="ET217" i="329" s="1"/>
  <c r="Y106" i="329"/>
  <c r="U106" i="329"/>
  <c r="ER185" i="329"/>
  <c r="ES220" i="329" s="1"/>
  <c r="ER169" i="329"/>
  <c r="EQ181" i="329"/>
  <c r="ER216" i="329" s="1"/>
  <c r="EQ153" i="329"/>
  <c r="EO183" i="329"/>
  <c r="EP218" i="329" s="1"/>
  <c r="EO161" i="329"/>
  <c r="EU181" i="329"/>
  <c r="EV216" i="329" s="1"/>
  <c r="EU153" i="329"/>
  <c r="ET169" i="329"/>
  <c r="ET185" i="329"/>
  <c r="EU220" i="329" s="1"/>
  <c r="EP185" i="329"/>
  <c r="EQ220" i="329" s="1"/>
  <c r="EP169" i="329"/>
  <c r="O91" i="3"/>
  <c r="O92" i="3" s="1"/>
  <c r="O93" i="3"/>
  <c r="O94" i="3" s="1"/>
  <c r="ES181" i="329"/>
  <c r="ES153" i="329"/>
  <c r="AT110" i="329"/>
  <c r="AT122" i="329" s="1"/>
  <c r="AP108" i="329"/>
  <c r="ET183" i="329"/>
  <c r="EU218" i="329" s="1"/>
  <c r="ET161" i="329"/>
  <c r="BP186" i="329"/>
  <c r="BP187" i="329" s="1"/>
  <c r="EN172" i="329"/>
  <c r="EN186" i="329" s="1"/>
  <c r="EO181" i="329"/>
  <c r="EP216" i="329" s="1"/>
  <c r="EO153" i="329"/>
  <c r="CR166" i="329"/>
  <c r="P109" i="3"/>
  <c r="P380" i="329"/>
  <c r="P388" i="329"/>
  <c r="P379" i="329"/>
  <c r="P135" i="2" s="1"/>
  <c r="P136" i="2" s="1"/>
  <c r="EO172" i="329"/>
  <c r="BT186" i="329"/>
  <c r="BT187" i="329" s="1"/>
  <c r="BT173" i="329"/>
  <c r="EC94" i="329"/>
  <c r="AJ306" i="329"/>
  <c r="Z108" i="3"/>
  <c r="Z95" i="3" s="1"/>
  <c r="Z391" i="329"/>
  <c r="Z141" i="2"/>
  <c r="Z384" i="329"/>
  <c r="AD384" i="329"/>
  <c r="BO125" i="329"/>
  <c r="BO139" i="329"/>
  <c r="BS138" i="329" s="1"/>
  <c r="BS137" i="329" s="1"/>
  <c r="BS111" i="329" s="1"/>
  <c r="BW118" i="329" s="1"/>
  <c r="O141" i="2"/>
  <c r="O391" i="329"/>
  <c r="O108" i="3"/>
  <c r="O95" i="3" s="1"/>
  <c r="O386" i="329"/>
  <c r="AL290" i="329"/>
  <c r="AK292" i="329"/>
  <c r="EF292" i="329" s="1"/>
  <c r="EF290" i="329"/>
  <c r="AK304" i="329"/>
  <c r="AK299" i="329"/>
  <c r="BS105" i="329"/>
  <c r="BS103" i="329"/>
  <c r="BW104" i="329" s="1"/>
  <c r="BS101" i="329"/>
  <c r="BW102" i="329" s="1"/>
  <c r="BW126" i="329"/>
  <c r="Z113" i="4"/>
  <c r="AA113" i="4"/>
  <c r="AD110" i="329"/>
  <c r="AD122" i="329" s="1"/>
  <c r="Z108" i="329"/>
  <c r="CE117" i="329"/>
  <c r="BG201" i="2"/>
  <c r="BG218" i="2" s="1"/>
  <c r="BG239" i="2"/>
  <c r="AP71" i="329"/>
  <c r="AP72" i="329"/>
  <c r="AQ70" i="329"/>
  <c r="AP87" i="329"/>
  <c r="AA141" i="2"/>
  <c r="AA108" i="3"/>
  <c r="AA95" i="3" s="1"/>
  <c r="AA391" i="329"/>
  <c r="EV92" i="2"/>
  <c r="EW92" i="2"/>
  <c r="EW93" i="2"/>
  <c r="EV93" i="2"/>
  <c r="EI58" i="3"/>
  <c r="EI60" i="3"/>
  <c r="EI50" i="3"/>
  <c r="EI81" i="3" s="1"/>
  <c r="EI55" i="3"/>
  <c r="EI127" i="3"/>
  <c r="EI59" i="3"/>
  <c r="EI57" i="3"/>
  <c r="EI56" i="3"/>
  <c r="EI88" i="3"/>
  <c r="EJ88" i="3"/>
  <c r="V391" i="329"/>
  <c r="V141" i="2"/>
  <c r="V108" i="3"/>
  <c r="V95" i="3" s="1"/>
  <c r="V384" i="329"/>
  <c r="CX217" i="2"/>
  <c r="DB217" i="2"/>
  <c r="EW200" i="2"/>
  <c r="EW217" i="2" s="1"/>
  <c r="EW238" i="2"/>
  <c r="EW170" i="2"/>
  <c r="CC101" i="329"/>
  <c r="CC103" i="329"/>
  <c r="BQ128" i="329"/>
  <c r="BU139" i="329"/>
  <c r="BY138" i="329" s="1"/>
  <c r="BY137" i="329" s="1"/>
  <c r="BY111" i="329" s="1"/>
  <c r="BU125" i="329"/>
  <c r="BY126" i="329" s="1"/>
  <c r="CG116" i="329"/>
  <c r="CO117" i="329"/>
  <c r="CS118" i="329"/>
  <c r="CO116" i="329"/>
  <c r="EG90" i="329"/>
  <c r="EE90" i="329"/>
  <c r="ET340" i="329"/>
  <c r="EV365" i="329"/>
  <c r="EP365" i="329"/>
  <c r="AU13" i="329"/>
  <c r="AT40" i="329"/>
  <c r="CC116" i="329"/>
  <c r="CK117" i="329"/>
  <c r="CO118" i="329"/>
  <c r="EQ229" i="2"/>
  <c r="EN189" i="2"/>
  <c r="EN212" i="2" s="1"/>
  <c r="EN243" i="2" s="1"/>
  <c r="EO229" i="2"/>
  <c r="BZ212" i="2"/>
  <c r="BN212" i="2"/>
  <c r="CJ239" i="2"/>
  <c r="CJ201" i="2"/>
  <c r="CJ218" i="2" s="1"/>
  <c r="CJ169" i="2"/>
  <c r="AX30" i="2"/>
  <c r="AX87" i="2"/>
  <c r="AX86" i="2"/>
  <c r="AX100" i="2" s="1"/>
  <c r="AX113" i="2"/>
  <c r="BB86" i="2"/>
  <c r="BB87" i="2"/>
  <c r="BB30" i="2"/>
  <c r="BB113" i="2"/>
  <c r="BF170" i="2"/>
  <c r="BJ237" i="2"/>
  <c r="BF199" i="2"/>
  <c r="BF237" i="2"/>
  <c r="BN199" i="2"/>
  <c r="BN170" i="2"/>
  <c r="EN168" i="2"/>
  <c r="BZ237" i="2"/>
  <c r="BN237" i="2"/>
  <c r="CQ94" i="2"/>
  <c r="CU94" i="2"/>
  <c r="CU128" i="2" s="1"/>
  <c r="CU95" i="2"/>
  <c r="CQ95" i="2"/>
  <c r="BR237" i="2"/>
  <c r="CZ94" i="2"/>
  <c r="CV94" i="2"/>
  <c r="CV128" i="2" s="1"/>
  <c r="EJ208" i="2"/>
  <c r="EJ242" i="2" s="1"/>
  <c r="EK208" i="2"/>
  <c r="EK242" i="2" s="1"/>
  <c r="BB97" i="2"/>
  <c r="BK30" i="2"/>
  <c r="BK86" i="2"/>
  <c r="BK113" i="2"/>
  <c r="BK87" i="2"/>
  <c r="BO113" i="2"/>
  <c r="DX111" i="3"/>
  <c r="EJ132" i="2"/>
  <c r="DX104" i="4"/>
  <c r="EJ82" i="2"/>
  <c r="BB170" i="2"/>
  <c r="BB199" i="2"/>
  <c r="BB216" i="2" s="1"/>
  <c r="BB237" i="2"/>
  <c r="EO213" i="2"/>
  <c r="EO246" i="2" s="1"/>
  <c r="EQ213" i="2"/>
  <c r="EQ246" i="2" s="1"/>
  <c r="CT76" i="2"/>
  <c r="CT158" i="2"/>
  <c r="CT17" i="2"/>
  <c r="CT108" i="2"/>
  <c r="CB130" i="3"/>
  <c r="CB52" i="3"/>
  <c r="CB83" i="3" s="1"/>
  <c r="CB58" i="3"/>
  <c r="CB51" i="3"/>
  <c r="CB82" i="3" s="1"/>
  <c r="AX112" i="3"/>
  <c r="AX84" i="2"/>
  <c r="AX98" i="2" s="1"/>
  <c r="AX112" i="2"/>
  <c r="BK97" i="2"/>
  <c r="BO97" i="2"/>
  <c r="BF212" i="2"/>
  <c r="BJ212" i="2"/>
  <c r="CP17" i="2"/>
  <c r="CP76" i="2"/>
  <c r="CP158" i="2"/>
  <c r="CJ158" i="2"/>
  <c r="CJ17" i="2"/>
  <c r="CJ76" i="2"/>
  <c r="CJ108" i="2"/>
  <c r="BB112" i="2"/>
  <c r="BB112" i="3"/>
  <c r="BB84" i="2"/>
  <c r="BK112" i="3"/>
  <c r="BK84" i="2"/>
  <c r="BO112" i="2"/>
  <c r="BK112" i="2"/>
  <c r="EL208" i="2"/>
  <c r="EL242" i="2" s="1"/>
  <c r="AV15" i="329"/>
  <c r="AU42" i="329"/>
  <c r="AP35" i="329"/>
  <c r="AS43" i="329"/>
  <c r="EH43" i="329" s="1"/>
  <c r="EH16" i="329"/>
  <c r="AT16" i="329" s="1"/>
  <c r="BI359" i="329"/>
  <c r="BI362" i="329"/>
  <c r="BM339" i="329"/>
  <c r="BI361" i="329"/>
  <c r="BI363" i="329"/>
  <c r="BM347" i="329"/>
  <c r="BI360" i="329"/>
  <c r="CL118" i="329"/>
  <c r="ES365" i="329"/>
  <c r="EV199" i="2"/>
  <c r="EW216" i="2" s="1"/>
  <c r="EV170" i="2"/>
  <c r="EV239" i="2" s="1"/>
  <c r="CV9" i="2"/>
  <c r="CJ101" i="3"/>
  <c r="EV8" i="2"/>
  <c r="EI101" i="3" s="1"/>
  <c r="CR9" i="2"/>
  <c r="EU9" i="2" s="1"/>
  <c r="CF101" i="3"/>
  <c r="CF58" i="3" s="1"/>
  <c r="CZ216" i="2"/>
  <c r="CV216" i="2"/>
  <c r="CN17" i="2"/>
  <c r="CN76" i="2"/>
  <c r="CO76" i="2"/>
  <c r="CO17" i="2"/>
  <c r="CO108" i="2"/>
  <c r="CV201" i="2"/>
  <c r="CZ239" i="2"/>
  <c r="CR170" i="2"/>
  <c r="CR227" i="2"/>
  <c r="CR187" i="2"/>
  <c r="CV227" i="2"/>
  <c r="CO101" i="3"/>
  <c r="CO97" i="3" s="1"/>
  <c r="DA9" i="2"/>
  <c r="CO133" i="3" s="1"/>
  <c r="CP101" i="3"/>
  <c r="DB9" i="2"/>
  <c r="CN227" i="2"/>
  <c r="CN158" i="2"/>
  <c r="CN170" i="2"/>
  <c r="CN187" i="2"/>
  <c r="CN210" i="2" s="1"/>
  <c r="ET157" i="2"/>
  <c r="CS227" i="2"/>
  <c r="CO170" i="2"/>
  <c r="CO158" i="2"/>
  <c r="CO187" i="2"/>
  <c r="CO227" i="2"/>
  <c r="EL91" i="2"/>
  <c r="EL127" i="2" s="1"/>
  <c r="BD86" i="2"/>
  <c r="BD30" i="2"/>
  <c r="BD87" i="2"/>
  <c r="BD113" i="2"/>
  <c r="N98" i="2"/>
  <c r="J98" i="2"/>
  <c r="J114" i="3"/>
  <c r="L69" i="3"/>
  <c r="M69" i="3"/>
  <c r="J69" i="3"/>
  <c r="K69" i="3"/>
  <c r="EK82" i="2"/>
  <c r="EK111" i="2"/>
  <c r="EK132" i="2"/>
  <c r="DY111" i="3"/>
  <c r="DY104" i="4"/>
  <c r="EK83" i="2"/>
  <c r="BM88" i="2"/>
  <c r="BM34" i="2"/>
  <c r="BM37" i="2"/>
  <c r="BM105" i="3"/>
  <c r="BQ114" i="2"/>
  <c r="AV108" i="4"/>
  <c r="AV94" i="4" s="1"/>
  <c r="AV51" i="2"/>
  <c r="AV54" i="2" s="1"/>
  <c r="AV116" i="4"/>
  <c r="AV107" i="4"/>
  <c r="AV100" i="4" s="1"/>
  <c r="AV119" i="4"/>
  <c r="BF84" i="2"/>
  <c r="BJ112" i="2"/>
  <c r="BF112" i="3"/>
  <c r="BF112" i="2"/>
  <c r="BF97" i="2"/>
  <c r="BJ97" i="2"/>
  <c r="BF87" i="2"/>
  <c r="BF30" i="2"/>
  <c r="BF86" i="2"/>
  <c r="BF113" i="2"/>
  <c r="BJ113" i="2"/>
  <c r="DI125" i="3"/>
  <c r="DI126" i="3"/>
  <c r="E107" i="4"/>
  <c r="E119" i="4"/>
  <c r="E116" i="4"/>
  <c r="E51" i="2"/>
  <c r="E54" i="2" s="1"/>
  <c r="E108" i="4"/>
  <c r="EG51" i="3"/>
  <c r="EG52" i="3"/>
  <c r="EG130" i="3"/>
  <c r="AT101" i="2"/>
  <c r="CD52" i="3"/>
  <c r="CD83" i="3" s="1"/>
  <c r="CC51" i="3"/>
  <c r="CC82" i="3" s="1"/>
  <c r="CD51" i="3"/>
  <c r="CD82" i="3" s="1"/>
  <c r="CC58" i="3"/>
  <c r="CD58" i="3"/>
  <c r="CC130" i="3"/>
  <c r="CD130" i="3"/>
  <c r="CC52" i="3"/>
  <c r="CC83" i="3" s="1"/>
  <c r="AT100" i="2"/>
  <c r="AP100" i="2"/>
  <c r="CW25" i="2"/>
  <c r="BN100" i="2"/>
  <c r="ES9" i="2"/>
  <c r="CK108" i="2"/>
  <c r="CK158" i="2"/>
  <c r="CK17" i="2"/>
  <c r="CK76" i="2"/>
  <c r="CI91" i="2"/>
  <c r="CI127" i="2" s="1"/>
  <c r="CE91" i="2"/>
  <c r="CE127" i="2" s="1"/>
  <c r="CK104" i="4"/>
  <c r="CK106" i="4" s="1"/>
  <c r="CF108" i="2"/>
  <c r="AP105" i="3"/>
  <c r="AT114" i="2"/>
  <c r="AP34" i="2"/>
  <c r="AP88" i="2"/>
  <c r="AP37" i="2"/>
  <c r="AM37" i="2"/>
  <c r="AM34" i="2"/>
  <c r="AM88" i="2"/>
  <c r="AM114" i="2"/>
  <c r="AM105" i="3"/>
  <c r="AM100" i="2"/>
  <c r="AQ100" i="2"/>
  <c r="BY30" i="2"/>
  <c r="BY114" i="2" s="1"/>
  <c r="CL132" i="2"/>
  <c r="AM101" i="2"/>
  <c r="AQ101" i="2"/>
  <c r="EP199" i="2"/>
  <c r="EP170" i="2"/>
  <c r="BW201" i="2"/>
  <c r="BW171" i="2"/>
  <c r="CY158" i="2"/>
  <c r="CY17" i="2"/>
  <c r="CY76" i="2"/>
  <c r="CM97" i="3"/>
  <c r="CB210" i="2"/>
  <c r="CF210" i="2"/>
  <c r="CB108" i="2"/>
  <c r="CB17" i="2"/>
  <c r="CB76" i="2"/>
  <c r="EQ9" i="2"/>
  <c r="ER108" i="2" s="1"/>
  <c r="CL91" i="2"/>
  <c r="CL127" i="2" s="1"/>
  <c r="CL20" i="2"/>
  <c r="CL25" i="2"/>
  <c r="CL82" i="2"/>
  <c r="CL83" i="2"/>
  <c r="CL171" i="2"/>
  <c r="CL111" i="2"/>
  <c r="CF239" i="2"/>
  <c r="CB169" i="2"/>
  <c r="EQ169" i="2" s="1"/>
  <c r="CB239" i="2"/>
  <c r="CB201" i="2"/>
  <c r="CU25" i="2"/>
  <c r="CU82" i="2"/>
  <c r="CI104" i="4"/>
  <c r="CI106" i="4" s="1"/>
  <c r="CI111" i="3"/>
  <c r="CU20" i="2"/>
  <c r="CU171" i="2"/>
  <c r="EQ124" i="2"/>
  <c r="EO120" i="2"/>
  <c r="EN120" i="2"/>
  <c r="EQ120" i="2"/>
  <c r="EN124" i="2"/>
  <c r="ER124" i="2"/>
  <c r="EO124" i="2"/>
  <c r="CI218" i="2"/>
  <c r="BV108" i="4"/>
  <c r="BV94" i="4" s="1"/>
  <c r="BV51" i="2"/>
  <c r="BV54" i="2" s="1"/>
  <c r="BN101" i="2"/>
  <c r="CW171" i="2"/>
  <c r="CL238" i="2"/>
  <c r="CL200" i="2"/>
  <c r="CP238" i="2"/>
  <c r="BU101" i="2"/>
  <c r="BU88" i="2"/>
  <c r="BU105" i="3"/>
  <c r="BU37" i="2"/>
  <c r="BU34" i="2"/>
  <c r="BU107" i="4" s="1"/>
  <c r="BU100" i="4" s="1"/>
  <c r="BU114" i="2"/>
  <c r="BH216" i="2"/>
  <c r="CW82" i="2"/>
  <c r="CK111" i="3"/>
  <c r="CL218" i="2"/>
  <c r="EJ97" i="3"/>
  <c r="BU100" i="2"/>
  <c r="CI132" i="2"/>
  <c r="CX108" i="2"/>
  <c r="CX158" i="2"/>
  <c r="CX17" i="2"/>
  <c r="CX76" i="2"/>
  <c r="EL172" i="329"/>
  <c r="DM69" i="3"/>
  <c r="DM114" i="3"/>
  <c r="CJ95" i="2"/>
  <c r="EH42" i="4"/>
  <c r="EH98" i="4" s="1"/>
  <c r="DP114" i="3"/>
  <c r="DP69" i="3"/>
  <c r="EF105" i="4"/>
  <c r="ER19" i="2"/>
  <c r="BY112" i="3"/>
  <c r="BY114" i="3" s="1"/>
  <c r="BY84" i="2"/>
  <c r="EU19" i="2"/>
  <c r="EH105" i="4"/>
  <c r="EU80" i="2"/>
  <c r="CF81" i="2"/>
  <c r="CS81" i="2"/>
  <c r="CW96" i="2" s="1"/>
  <c r="CW110" i="2"/>
  <c r="EN86" i="2"/>
  <c r="EN30" i="2"/>
  <c r="EN87" i="2"/>
  <c r="BM100" i="2"/>
  <c r="BT51" i="2"/>
  <c r="BT54" i="2" s="1"/>
  <c r="BT108" i="4"/>
  <c r="CE51" i="3"/>
  <c r="CE82" i="3" s="1"/>
  <c r="CE130" i="3"/>
  <c r="CE52" i="3"/>
  <c r="CE83" i="3" s="1"/>
  <c r="CE58" i="3"/>
  <c r="BN88" i="2"/>
  <c r="BN105" i="3"/>
  <c r="BN37" i="2"/>
  <c r="BN34" i="2"/>
  <c r="BI105" i="3"/>
  <c r="BI34" i="2"/>
  <c r="BI37" i="2"/>
  <c r="BM114" i="2"/>
  <c r="BI88" i="2"/>
  <c r="CQ17" i="2"/>
  <c r="CQ76" i="2"/>
  <c r="CU108" i="2"/>
  <c r="CU210" i="2"/>
  <c r="CQ210" i="2"/>
  <c r="BN114" i="3"/>
  <c r="BM234" i="2"/>
  <c r="CQ201" i="2"/>
  <c r="CQ239" i="2"/>
  <c r="CU239" i="2"/>
  <c r="BM101" i="2"/>
  <c r="BR98" i="2"/>
  <c r="BN98" i="2"/>
  <c r="CM313" i="329"/>
  <c r="CM320" i="329" s="1"/>
  <c r="BZ101" i="329"/>
  <c r="CD102" i="329" s="1"/>
  <c r="BR125" i="329"/>
  <c r="BV126" i="329" s="1"/>
  <c r="BN128" i="329"/>
  <c r="BR139" i="329"/>
  <c r="BV138" i="329" s="1"/>
  <c r="BV137" i="329" s="1"/>
  <c r="BV111" i="329" s="1"/>
  <c r="CH118" i="329" s="1"/>
  <c r="AK108" i="3"/>
  <c r="AK95" i="3" s="1"/>
  <c r="AK384" i="329"/>
  <c r="AK141" i="2"/>
  <c r="AK391" i="329"/>
  <c r="DV385" i="329"/>
  <c r="DV383" i="329"/>
  <c r="DV137" i="2" s="1"/>
  <c r="DW383" i="329"/>
  <c r="DW137" i="2" s="1"/>
  <c r="CD126" i="329"/>
  <c r="J382" i="329"/>
  <c r="N93" i="329"/>
  <c r="J96" i="329"/>
  <c r="J105" i="329"/>
  <c r="J94" i="329"/>
  <c r="K92" i="329"/>
  <c r="J93" i="329"/>
  <c r="CL117" i="329"/>
  <c r="CD116" i="329"/>
  <c r="CL116" i="329"/>
  <c r="CH117" i="329"/>
  <c r="BZ116" i="329"/>
  <c r="DX95" i="329"/>
  <c r="DW98" i="329"/>
  <c r="DW95" i="329"/>
  <c r="DW107" i="329"/>
  <c r="EJ309" i="329"/>
  <c r="BN112" i="4"/>
  <c r="BN390" i="329"/>
  <c r="DV97" i="329"/>
  <c r="DW97" i="329"/>
  <c r="BT164" i="2"/>
  <c r="BT233" i="2" s="1"/>
  <c r="BT95" i="329"/>
  <c r="BT98" i="329"/>
  <c r="BT120" i="329"/>
  <c r="BS116" i="4"/>
  <c r="BS119" i="4"/>
  <c r="DZ97" i="329"/>
  <c r="DY97" i="329"/>
  <c r="DY390" i="329"/>
  <c r="DY385" i="329"/>
  <c r="DM112" i="4"/>
  <c r="DZ383" i="329"/>
  <c r="DZ137" i="2" s="1"/>
  <c r="EN311" i="329"/>
  <c r="BM313" i="329"/>
  <c r="BM320" i="329" s="1"/>
  <c r="EK110" i="329"/>
  <c r="CB164" i="2"/>
  <c r="CB120" i="329"/>
  <c r="CB95" i="329"/>
  <c r="EF390" i="329"/>
  <c r="DT112" i="4"/>
  <c r="EG383" i="329"/>
  <c r="EG137" i="2" s="1"/>
  <c r="BV101" i="329"/>
  <c r="BV103" i="329"/>
  <c r="DW106" i="329"/>
  <c r="DV106" i="329"/>
  <c r="DV107" i="329"/>
  <c r="DV95" i="329"/>
  <c r="DV98" i="329"/>
  <c r="DV99" i="329" s="1"/>
  <c r="I105" i="329"/>
  <c r="M93" i="329"/>
  <c r="I382" i="329"/>
  <c r="I96" i="329"/>
  <c r="I94" i="329"/>
  <c r="I93" i="329"/>
  <c r="CP118" i="329"/>
  <c r="CW93" i="4"/>
  <c r="CV95" i="4"/>
  <c r="W391" i="329"/>
  <c r="W108" i="3"/>
  <c r="W95" i="3" s="1"/>
  <c r="W141" i="2"/>
  <c r="AA384" i="329"/>
  <c r="AA108" i="329"/>
  <c r="EV65" i="329"/>
  <c r="P98" i="329"/>
  <c r="P107" i="329"/>
  <c r="T110" i="329" s="1"/>
  <c r="EA94" i="329"/>
  <c r="X95" i="329"/>
  <c r="X123" i="329" s="1"/>
  <c r="X107" i="329"/>
  <c r="AB110" i="329" s="1"/>
  <c r="AB122" i="329" s="1"/>
  <c r="Y383" i="329"/>
  <c r="Y142" i="2" s="1"/>
  <c r="X390" i="329"/>
  <c r="X112" i="4"/>
  <c r="X383" i="329"/>
  <c r="X142" i="2" s="1"/>
  <c r="T107" i="329"/>
  <c r="T108" i="329" s="1"/>
  <c r="T95" i="329"/>
  <c r="T123" i="329" s="1"/>
  <c r="S106" i="329"/>
  <c r="EB105" i="329"/>
  <c r="CE378" i="329"/>
  <c r="CE101" i="329"/>
  <c r="CE102" i="329" s="1"/>
  <c r="CE88" i="329"/>
  <c r="CE89" i="329"/>
  <c r="CE103" i="329" s="1"/>
  <c r="AB383" i="329"/>
  <c r="AB112" i="4"/>
  <c r="AB390" i="329"/>
  <c r="AC383" i="329"/>
  <c r="AC142" i="2" s="1"/>
  <c r="AJ108" i="329"/>
  <c r="EH122" i="329"/>
  <c r="EM108" i="329"/>
  <c r="AE113" i="4"/>
  <c r="AF113" i="4"/>
  <c r="P390" i="329"/>
  <c r="P112" i="4"/>
  <c r="Q383" i="329"/>
  <c r="Q142" i="2" s="1"/>
  <c r="P385" i="329"/>
  <c r="P383" i="329"/>
  <c r="P142" i="2" s="1"/>
  <c r="AG95" i="329"/>
  <c r="AG123" i="329" s="1"/>
  <c r="AC107" i="329"/>
  <c r="AG110" i="329" s="1"/>
  <c r="AG122" i="329" s="1"/>
  <c r="AC95" i="329"/>
  <c r="AC123" i="329" s="1"/>
  <c r="CA164" i="2"/>
  <c r="CA120" i="329"/>
  <c r="CA107" i="329"/>
  <c r="CA95" i="329"/>
  <c r="BY113" i="4"/>
  <c r="AY122" i="329"/>
  <c r="EJ122" i="329" s="1"/>
  <c r="EJ110" i="329"/>
  <c r="AA122" i="329"/>
  <c r="U95" i="329"/>
  <c r="U123" i="329" s="1"/>
  <c r="Q98" i="329"/>
  <c r="Q107" i="329"/>
  <c r="ED105" i="329"/>
  <c r="AF106" i="329"/>
  <c r="AB106" i="329"/>
  <c r="Y107" i="329"/>
  <c r="Y108" i="329" s="1"/>
  <c r="Y95" i="329"/>
  <c r="Y123" i="329" s="1"/>
  <c r="BS120" i="329"/>
  <c r="BS98" i="329"/>
  <c r="BS95" i="329"/>
  <c r="BS107" i="329"/>
  <c r="BS164" i="2"/>
  <c r="BS233" i="2" s="1"/>
  <c r="CV378" i="329"/>
  <c r="DS112" i="4"/>
  <c r="EE390" i="329"/>
  <c r="EE383" i="329"/>
  <c r="EE137" i="2" s="1"/>
  <c r="EF383" i="329"/>
  <c r="EF137" i="2" s="1"/>
  <c r="AP391" i="329"/>
  <c r="AP108" i="3"/>
  <c r="AP95" i="3" s="1"/>
  <c r="AP141" i="2"/>
  <c r="EK122" i="329"/>
  <c r="EJ108" i="329"/>
  <c r="W106" i="329"/>
  <c r="CW31" i="329"/>
  <c r="CX44" i="329"/>
  <c r="CW35" i="329"/>
  <c r="CW30" i="329"/>
  <c r="CW33" i="329"/>
  <c r="CW29" i="329"/>
  <c r="CW32" i="329"/>
  <c r="CW34" i="329"/>
  <c r="BV49" i="329"/>
  <c r="BV83" i="329" s="1"/>
  <c r="EO49" i="329"/>
  <c r="EO83" i="329" s="1"/>
  <c r="EO82" i="329"/>
  <c r="EQ82" i="329" s="1"/>
  <c r="AF141" i="2"/>
  <c r="AF108" i="3"/>
  <c r="AF95" i="3" s="1"/>
  <c r="AF391" i="329"/>
  <c r="AW110" i="329"/>
  <c r="AW122" i="329" s="1"/>
  <c r="AS108" i="329"/>
  <c r="CW371" i="329"/>
  <c r="CW87" i="329"/>
  <c r="S107" i="329"/>
  <c r="W110" i="329" s="1"/>
  <c r="EB94" i="329"/>
  <c r="S95" i="329"/>
  <c r="S123" i="329" s="1"/>
  <c r="EH110" i="329"/>
  <c r="EL123" i="329"/>
  <c r="AS108" i="3"/>
  <c r="AS95" i="3" s="1"/>
  <c r="AS391" i="329"/>
  <c r="AS141" i="2"/>
  <c r="T106" i="329"/>
  <c r="EA105" i="329"/>
  <c r="AB107" i="329"/>
  <c r="AB95" i="329"/>
  <c r="AB123" i="329" s="1"/>
  <c r="ED94" i="329"/>
  <c r="EC105" i="329"/>
  <c r="X106" i="329"/>
  <c r="S383" i="329"/>
  <c r="S112" i="4"/>
  <c r="S390" i="329"/>
  <c r="T383" i="329"/>
  <c r="T142" i="2" s="1"/>
  <c r="BW388" i="329"/>
  <c r="BW109" i="3"/>
  <c r="BW385" i="329"/>
  <c r="CV101" i="329"/>
  <c r="CV89" i="329"/>
  <c r="CV96" i="329"/>
  <c r="EP20" i="329"/>
  <c r="BV44" i="329"/>
  <c r="BV26" i="329"/>
  <c r="AE141" i="2"/>
  <c r="AE391" i="329"/>
  <c r="AE108" i="3"/>
  <c r="AE95" i="3" s="1"/>
  <c r="AE384" i="329"/>
  <c r="CP21" i="329"/>
  <c r="EU21" i="329" s="1"/>
  <c r="EU12" i="329" s="1"/>
  <c r="ES39" i="329"/>
  <c r="BR313" i="329"/>
  <c r="BR320" i="329" s="1"/>
  <c r="BN311" i="329"/>
  <c r="AZ112" i="4"/>
  <c r="AZ383" i="329"/>
  <c r="AZ142" i="2" s="1"/>
  <c r="BA383" i="329"/>
  <c r="BA142" i="2" s="1"/>
  <c r="AZ390" i="329"/>
  <c r="CF391" i="329"/>
  <c r="CF166" i="2"/>
  <c r="CR234" i="2"/>
  <c r="CV234" i="2"/>
  <c r="BD311" i="329"/>
  <c r="AZ311" i="329"/>
  <c r="EJ310" i="329"/>
  <c r="BZ311" i="329"/>
  <c r="AY320" i="329"/>
  <c r="AT108" i="3"/>
  <c r="AT95" i="3" s="1"/>
  <c r="AT141" i="2"/>
  <c r="AT384" i="329"/>
  <c r="AT391" i="329"/>
  <c r="AX384" i="329"/>
  <c r="BD313" i="329"/>
  <c r="BD320" i="329" s="1"/>
  <c r="BA311" i="329"/>
  <c r="BR389" i="329"/>
  <c r="BR386" i="329"/>
  <c r="BS135" i="2"/>
  <c r="EW298" i="329"/>
  <c r="EW321" i="329" s="1"/>
  <c r="CD313" i="329"/>
  <c r="CD320" i="329" s="1"/>
  <c r="ER320" i="329" s="1"/>
  <c r="BZ389" i="329"/>
  <c r="BZ386" i="329"/>
  <c r="AW321" i="329"/>
  <c r="BY234" i="2"/>
  <c r="CC234" i="2"/>
  <c r="CS234" i="2"/>
  <c r="CW234" i="2"/>
  <c r="EI310" i="329"/>
  <c r="CV313" i="329"/>
  <c r="CV311" i="329"/>
  <c r="AZ321" i="329"/>
  <c r="BE313" i="329"/>
  <c r="BE320" i="329" s="1"/>
  <c r="EW245" i="329"/>
  <c r="AW311" i="329"/>
  <c r="BZ313" i="329"/>
  <c r="BZ320" i="329" s="1"/>
  <c r="BL112" i="4"/>
  <c r="BL113" i="4" s="1"/>
  <c r="BL390" i="329"/>
  <c r="BL383" i="329"/>
  <c r="BL142" i="2" s="1"/>
  <c r="BQ93" i="3"/>
  <c r="BU94" i="3" s="1"/>
  <c r="BQ91" i="3"/>
  <c r="BU92" i="3" s="1"/>
  <c r="DA302" i="329"/>
  <c r="BA313" i="329"/>
  <c r="BA320" i="329" s="1"/>
  <c r="BX108" i="3"/>
  <c r="BX95" i="3" s="1"/>
  <c r="BX141" i="2"/>
  <c r="BX391" i="329"/>
  <c r="BX166" i="2"/>
  <c r="AU108" i="3"/>
  <c r="AU95" i="3" s="1"/>
  <c r="AY384" i="329"/>
  <c r="AU391" i="329"/>
  <c r="AU141" i="2"/>
  <c r="CW313" i="329"/>
  <c r="CS311" i="329"/>
  <c r="CW311" i="329"/>
  <c r="AV390" i="329"/>
  <c r="AV112" i="4"/>
  <c r="AV383" i="329"/>
  <c r="AV142" i="2" s="1"/>
  <c r="AW383" i="329"/>
  <c r="AW142" i="2" s="1"/>
  <c r="CB234" i="2"/>
  <c r="BX234" i="2"/>
  <c r="BD321" i="329"/>
  <c r="BA321" i="329"/>
  <c r="BH390" i="329"/>
  <c r="BI383" i="329"/>
  <c r="BI142" i="2" s="1"/>
  <c r="BH112" i="4"/>
  <c r="BI113" i="4" s="1"/>
  <c r="AZ313" i="329"/>
  <c r="AZ320" i="329" s="1"/>
  <c r="CP320" i="329"/>
  <c r="EU320" i="329" s="1"/>
  <c r="EU313" i="329"/>
  <c r="EU314" i="329" s="1"/>
  <c r="CY323" i="329"/>
  <c r="CU320" i="329"/>
  <c r="BM390" i="329"/>
  <c r="BM112" i="4"/>
  <c r="BN383" i="329"/>
  <c r="BN142" i="2" s="1"/>
  <c r="BM383" i="329"/>
  <c r="BM142" i="2" s="1"/>
  <c r="CP311" i="329"/>
  <c r="CT311" i="329"/>
  <c r="CR302" i="329"/>
  <c r="CV302" i="329"/>
  <c r="ER290" i="329"/>
  <c r="EP242" i="329"/>
  <c r="EP290" i="329"/>
  <c r="BY166" i="2"/>
  <c r="BY108" i="3"/>
  <c r="BY95" i="3" s="1"/>
  <c r="BY391" i="329"/>
  <c r="BY141" i="2"/>
  <c r="BS390" i="329"/>
  <c r="BS112" i="4"/>
  <c r="BS113" i="4" s="1"/>
  <c r="BS383" i="329"/>
  <c r="BS142" i="2" s="1"/>
  <c r="BS385" i="329"/>
  <c r="BJ320" i="329"/>
  <c r="CI311" i="329"/>
  <c r="CE311" i="329"/>
  <c r="BB320" i="329"/>
  <c r="CU311" i="329"/>
  <c r="EF310" i="329"/>
  <c r="EG298" i="329"/>
  <c r="EO290" i="329"/>
  <c r="EQ290" i="329"/>
  <c r="EO242" i="329"/>
  <c r="BH321" i="329"/>
  <c r="EW311" i="329"/>
  <c r="CQ112" i="4"/>
  <c r="CR113" i="4" s="1"/>
  <c r="DC390" i="329"/>
  <c r="CP302" i="329"/>
  <c r="CT302" i="329"/>
  <c r="BV313" i="329"/>
  <c r="BR311" i="329"/>
  <c r="BV311" i="329"/>
  <c r="BW135" i="2"/>
  <c r="BV389" i="329"/>
  <c r="AN311" i="329"/>
  <c r="BE166" i="2"/>
  <c r="BE108" i="3"/>
  <c r="BE95" i="3" s="1"/>
  <c r="BE391" i="329"/>
  <c r="BE141" i="2"/>
  <c r="EU242" i="329"/>
  <c r="ET290" i="329"/>
  <c r="EU290" i="329"/>
  <c r="BE321" i="329"/>
  <c r="BI321" i="329"/>
  <c r="AJ113" i="4"/>
  <c r="AI113" i="4"/>
  <c r="CP234" i="2"/>
  <c r="CT234" i="2"/>
  <c r="CB391" i="329"/>
  <c r="CB166" i="2"/>
  <c r="CI234" i="2"/>
  <c r="CE234" i="2"/>
  <c r="CL313" i="329"/>
  <c r="CL320" i="329" s="1"/>
  <c r="CD311" i="329"/>
  <c r="BG390" i="329"/>
  <c r="BG112" i="4"/>
  <c r="BH383" i="329"/>
  <c r="BH142" i="2" s="1"/>
  <c r="BG383" i="329"/>
  <c r="BG142" i="2" s="1"/>
  <c r="CQ311" i="329"/>
  <c r="BT383" i="329"/>
  <c r="BT142" i="2" s="1"/>
  <c r="EL165" i="2"/>
  <c r="EL298" i="329"/>
  <c r="EM298" i="329"/>
  <c r="EM321" i="329" s="1"/>
  <c r="EL310" i="329"/>
  <c r="EK165" i="2"/>
  <c r="EK298" i="329"/>
  <c r="EW399" i="329"/>
  <c r="EW105" i="2" s="1"/>
  <c r="EV242" i="329"/>
  <c r="EV290" i="329"/>
  <c r="BV234" i="2"/>
  <c r="BR234" i="2"/>
  <c r="BV302" i="329"/>
  <c r="BW389" i="329"/>
  <c r="BF166" i="2"/>
  <c r="BJ235" i="2" s="1"/>
  <c r="BF108" i="3"/>
  <c r="BF95" i="3" s="1"/>
  <c r="BJ384" i="329"/>
  <c r="BF391" i="329"/>
  <c r="BF141" i="2"/>
  <c r="BW166" i="2"/>
  <c r="BW108" i="3"/>
  <c r="BW95" i="3" s="1"/>
  <c r="BW391" i="329"/>
  <c r="BW386" i="329"/>
  <c r="BW141" i="2"/>
  <c r="BI234" i="2"/>
  <c r="BE234" i="2"/>
  <c r="BI311" i="329"/>
  <c r="BE311" i="329"/>
  <c r="AO249" i="329"/>
  <c r="AN259" i="329"/>
  <c r="AN242" i="329" s="1"/>
  <c r="AN371" i="329" s="1"/>
  <c r="AN372" i="329" s="1"/>
  <c r="DD391" i="329"/>
  <c r="DD166" i="2"/>
  <c r="AI391" i="329"/>
  <c r="AI384" i="329"/>
  <c r="AI141" i="2"/>
  <c r="AI108" i="3"/>
  <c r="AI95" i="3" s="1"/>
  <c r="EI321" i="329"/>
  <c r="CG391" i="329"/>
  <c r="CG166" i="2"/>
  <c r="CU383" i="329"/>
  <c r="CI112" i="4"/>
  <c r="CU390" i="329"/>
  <c r="CU385" i="329"/>
  <c r="BK321" i="329"/>
  <c r="CE391" i="329"/>
  <c r="CE166" i="2"/>
  <c r="BJ311" i="329"/>
  <c r="CT385" i="329"/>
  <c r="CH112" i="4"/>
  <c r="CT390" i="329"/>
  <c r="CI302" i="329"/>
  <c r="CE302" i="329"/>
  <c r="CH313" i="329"/>
  <c r="CH320" i="329" s="1"/>
  <c r="ES320" i="329" s="1"/>
  <c r="CQ234" i="2"/>
  <c r="CU234" i="2"/>
  <c r="CQ302" i="329"/>
  <c r="EH321" i="329"/>
  <c r="BH311" i="329"/>
  <c r="BL311" i="329"/>
  <c r="BL313" i="329"/>
  <c r="BL320" i="329" s="1"/>
  <c r="BQ313" i="329"/>
  <c r="BM311" i="329"/>
  <c r="AJ108" i="3"/>
  <c r="AJ95" i="3" s="1"/>
  <c r="AJ391" i="329"/>
  <c r="AJ384" i="329"/>
  <c r="AJ141" i="2"/>
  <c r="EO311" i="329"/>
  <c r="EP311" i="329"/>
  <c r="BK311" i="329"/>
  <c r="CA383" i="329"/>
  <c r="CA390" i="329"/>
  <c r="CA385" i="329"/>
  <c r="BJ321" i="329"/>
  <c r="CD234" i="2"/>
  <c r="DC395" i="329"/>
  <c r="DC324" i="329"/>
  <c r="EX323" i="329"/>
  <c r="EJ321" i="329"/>
  <c r="ER311" i="329"/>
  <c r="EQ311" i="329"/>
  <c r="BL234" i="2"/>
  <c r="BH234" i="2"/>
  <c r="ES290" i="329"/>
  <c r="ES242" i="329"/>
  <c r="CD302" i="329"/>
  <c r="BV91" i="3"/>
  <c r="BV93" i="3"/>
  <c r="FG179" i="2"/>
  <c r="FH181" i="2"/>
  <c r="FG77" i="2"/>
  <c r="FF92" i="2"/>
  <c r="EQ34" i="3"/>
  <c r="AU320" i="329"/>
  <c r="AR391" i="329"/>
  <c r="AR108" i="3"/>
  <c r="AR95" i="3" s="1"/>
  <c r="AR384" i="329"/>
  <c r="AR141" i="2"/>
  <c r="EH95" i="329"/>
  <c r="EH123" i="329" s="1"/>
  <c r="EI120" i="329"/>
  <c r="EI95" i="329"/>
  <c r="EI123" i="329" s="1"/>
  <c r="EH120" i="329"/>
  <c r="BC297" i="329"/>
  <c r="BF296" i="329"/>
  <c r="BB297" i="329"/>
  <c r="BB308" i="329"/>
  <c r="BB296" i="329"/>
  <c r="BF122" i="329"/>
  <c r="EL122" i="329" s="1"/>
  <c r="EL110" i="329"/>
  <c r="BH248" i="329"/>
  <c r="EP139" i="329"/>
  <c r="BH201" i="2"/>
  <c r="BH239" i="2"/>
  <c r="EH106" i="329"/>
  <c r="EI106" i="329"/>
  <c r="CF141" i="2"/>
  <c r="CF25" i="2"/>
  <c r="CF82" i="2"/>
  <c r="CF20" i="2"/>
  <c r="CF132" i="2"/>
  <c r="CF171" i="2"/>
  <c r="BS37" i="2"/>
  <c r="BS105" i="3"/>
  <c r="BS88" i="2"/>
  <c r="BS34" i="2"/>
  <c r="BS107" i="4" s="1"/>
  <c r="BS100" i="4" s="1"/>
  <c r="BW114" i="3"/>
  <c r="BT99" i="4"/>
  <c r="BT100" i="4"/>
  <c r="ET94" i="2"/>
  <c r="ET128" i="2" s="1"/>
  <c r="EQ96" i="329"/>
  <c r="AQ108" i="3"/>
  <c r="AQ95" i="3" s="1"/>
  <c r="AQ391" i="329"/>
  <c r="AU384" i="329"/>
  <c r="AQ141" i="2"/>
  <c r="CH132" i="2"/>
  <c r="BU390" i="329"/>
  <c r="BU385" i="329"/>
  <c r="BU112" i="4"/>
  <c r="BU113" i="4" s="1"/>
  <c r="BU383" i="329"/>
  <c r="BU142" i="2" s="1"/>
  <c r="BV383" i="329"/>
  <c r="AQ108" i="329"/>
  <c r="EH107" i="329"/>
  <c r="AU108" i="329"/>
  <c r="EA390" i="329"/>
  <c r="EA383" i="329"/>
  <c r="EA137" i="2" s="1"/>
  <c r="DO112" i="4"/>
  <c r="BN248" i="329"/>
  <c r="CC113" i="2"/>
  <c r="CC30" i="2"/>
  <c r="CC87" i="2"/>
  <c r="CC86" i="2"/>
  <c r="EL108" i="329"/>
  <c r="EW336" i="329"/>
  <c r="EV336" i="329"/>
  <c r="AR98" i="2"/>
  <c r="AV98" i="2"/>
  <c r="EI309" i="329"/>
  <c r="EW344" i="329"/>
  <c r="EV344" i="329"/>
  <c r="CM91" i="2"/>
  <c r="CM127" i="2" s="1"/>
  <c r="CB105" i="329"/>
  <c r="CB103" i="329"/>
  <c r="CB107" i="329"/>
  <c r="CB101" i="329"/>
  <c r="EQ125" i="329"/>
  <c r="ER126" i="329" s="1"/>
  <c r="EX244" i="329"/>
  <c r="EX296" i="329"/>
  <c r="EX297" i="329"/>
  <c r="AR100" i="2"/>
  <c r="AV100" i="2"/>
  <c r="AR114" i="2"/>
  <c r="AR37" i="2"/>
  <c r="AR34" i="2"/>
  <c r="AV114" i="2"/>
  <c r="AR88" i="2"/>
  <c r="AR105" i="3"/>
  <c r="BL201" i="2"/>
  <c r="BL239" i="2"/>
  <c r="BP239" i="2"/>
  <c r="CG218" i="2"/>
  <c r="BS114" i="3"/>
  <c r="BI42" i="4"/>
  <c r="BI98" i="4" s="1"/>
  <c r="BI63" i="4"/>
  <c r="EN97" i="2"/>
  <c r="BK248" i="329"/>
  <c r="CM20" i="2"/>
  <c r="CM111" i="2"/>
  <c r="CM25" i="2"/>
  <c r="CM83" i="2"/>
  <c r="CM82" i="2"/>
  <c r="CM132" i="2"/>
  <c r="CM171" i="2"/>
  <c r="EW332" i="329"/>
  <c r="CF116" i="329"/>
  <c r="CN117" i="329"/>
  <c r="CR118" i="329"/>
  <c r="CN118" i="329"/>
  <c r="CN116" i="329"/>
  <c r="EI95" i="2"/>
  <c r="DE245" i="329"/>
  <c r="AV101" i="2"/>
  <c r="AR101" i="2"/>
  <c r="AV321" i="329"/>
  <c r="AR321" i="329"/>
  <c r="CC164" i="2"/>
  <c r="CC98" i="329"/>
  <c r="CC107" i="329"/>
  <c r="CK68" i="3"/>
  <c r="AV108" i="329"/>
  <c r="AR108" i="329"/>
  <c r="CC238" i="2"/>
  <c r="CC200" i="2"/>
  <c r="CG238" i="2"/>
  <c r="ER94" i="2"/>
  <c r="ER128" i="2" s="1"/>
  <c r="ES94" i="2"/>
  <c r="ES128" i="2" s="1"/>
  <c r="EW94" i="2"/>
  <c r="BU98" i="329"/>
  <c r="BU164" i="2"/>
  <c r="ER17" i="2"/>
  <c r="ER76" i="2"/>
  <c r="AU321" i="329"/>
  <c r="AT4" i="4"/>
  <c r="DV5" i="4"/>
  <c r="BJ116" i="4"/>
  <c r="BJ107" i="4"/>
  <c r="BJ100" i="4" s="1"/>
  <c r="BJ119" i="4"/>
  <c r="CE97" i="2"/>
  <c r="BH99" i="4"/>
  <c r="BU99" i="4"/>
  <c r="BL108" i="4"/>
  <c r="BL51" i="2"/>
  <c r="BL54" i="2" s="1"/>
  <c r="EP125" i="329"/>
  <c r="BX101" i="329"/>
  <c r="DO62" i="4"/>
  <c r="DO64" i="4" s="1"/>
  <c r="DP62" i="4" s="1"/>
  <c r="DP64" i="4" s="1"/>
  <c r="N64" i="4"/>
  <c r="O62" i="4" s="1"/>
  <c r="O64" i="4" s="1"/>
  <c r="P62" i="4" s="1"/>
  <c r="P64" i="4" s="1"/>
  <c r="Q62" i="4" s="1"/>
  <c r="Q64" i="4" s="1"/>
  <c r="R62" i="4" s="1"/>
  <c r="R64" i="4" s="1"/>
  <c r="EK170" i="2"/>
  <c r="ET141" i="329"/>
  <c r="EO96" i="329"/>
  <c r="AQ113" i="4"/>
  <c r="AR113" i="4"/>
  <c r="EN157" i="329"/>
  <c r="EM157" i="329"/>
  <c r="AU311" i="329"/>
  <c r="EH310" i="329"/>
  <c r="AU122" i="329"/>
  <c r="EV340" i="329"/>
  <c r="EW340" i="329"/>
  <c r="BF245" i="329"/>
  <c r="BB374" i="329"/>
  <c r="BB245" i="329"/>
  <c r="BJ108" i="4"/>
  <c r="BJ51" i="2"/>
  <c r="BJ54" i="2" s="1"/>
  <c r="BW114" i="2"/>
  <c r="BW105" i="3"/>
  <c r="BW34" i="2"/>
  <c r="BW37" i="2"/>
  <c r="BW88" i="2"/>
  <c r="CE30" i="2"/>
  <c r="CE87" i="2"/>
  <c r="CE86" i="2"/>
  <c r="CE113" i="2"/>
  <c r="AW96" i="2"/>
  <c r="AT14" i="329"/>
  <c r="EU365" i="329"/>
  <c r="BE99" i="4"/>
  <c r="DE298" i="329"/>
  <c r="EN169" i="329"/>
  <c r="EM169" i="329"/>
  <c r="EN165" i="329"/>
  <c r="EM165" i="329"/>
  <c r="AV311" i="329"/>
  <c r="AR311" i="329"/>
  <c r="EU201" i="2"/>
  <c r="EH130" i="3"/>
  <c r="EH51" i="3"/>
  <c r="EL106" i="329"/>
  <c r="EK106" i="329"/>
  <c r="BT139" i="329"/>
  <c r="BX138" i="329" s="1"/>
  <c r="BX137" i="329" s="1"/>
  <c r="BX111" i="329" s="1"/>
  <c r="BT125" i="329"/>
  <c r="BP128" i="329"/>
  <c r="EO128" i="329"/>
  <c r="AR114" i="3"/>
  <c r="CW108" i="2"/>
  <c r="CS158" i="2"/>
  <c r="CS108" i="2"/>
  <c r="CS17" i="2"/>
  <c r="CS76" i="2"/>
  <c r="BL107" i="4"/>
  <c r="BL100" i="4" s="1"/>
  <c r="BL119" i="4"/>
  <c r="BL116" i="4"/>
  <c r="CB116" i="329"/>
  <c r="CJ117" i="329"/>
  <c r="EP73" i="2"/>
  <c r="ED112" i="3"/>
  <c r="EP84" i="2"/>
  <c r="EP72" i="2"/>
  <c r="BD201" i="2"/>
  <c r="BD218" i="2" s="1"/>
  <c r="BD239" i="2"/>
  <c r="BA99" i="4"/>
  <c r="AR90" i="329"/>
  <c r="BY99" i="4"/>
  <c r="CJ116" i="329"/>
  <c r="EO382" i="329"/>
  <c r="EQ382" i="329"/>
  <c r="EO375" i="329"/>
  <c r="EN161" i="329"/>
  <c r="EM161" i="329"/>
  <c r="AQ321" i="329"/>
  <c r="CC390" i="329"/>
  <c r="CD383" i="329"/>
  <c r="CC385" i="329"/>
  <c r="CC383" i="329"/>
  <c r="EW16" i="329"/>
  <c r="EW43" i="329" s="1"/>
  <c r="EW34" i="329" s="1"/>
  <c r="EV43" i="329"/>
  <c r="EV34" i="329" s="1"/>
  <c r="DD320" i="329"/>
  <c r="ES126" i="329"/>
  <c r="ET126" i="329"/>
  <c r="AZ99" i="4"/>
  <c r="EH41" i="329"/>
  <c r="BE248" i="329"/>
  <c r="EQ139" i="329"/>
  <c r="ER138" i="329" s="1"/>
  <c r="EI81" i="2"/>
  <c r="EI110" i="2"/>
  <c r="BL216" i="2"/>
  <c r="BP216" i="2"/>
  <c r="AV313" i="329"/>
  <c r="AV320" i="329" s="1"/>
  <c r="AV110" i="329"/>
  <c r="AV122" i="329" s="1"/>
  <c r="FA128" i="329"/>
  <c r="G126" i="3" l="1"/>
  <c r="EF107" i="3"/>
  <c r="EF78" i="3" s="1"/>
  <c r="AB115" i="2"/>
  <c r="DL114" i="3"/>
  <c r="FG208" i="2"/>
  <c r="BW101" i="2"/>
  <c r="ER158" i="329"/>
  <c r="ER336" i="329"/>
  <c r="EU332" i="329"/>
  <c r="ES311" i="329"/>
  <c r="AD108" i="329"/>
  <c r="AI108" i="329"/>
  <c r="DV108" i="329"/>
  <c r="CK95" i="2"/>
  <c r="DY98" i="2"/>
  <c r="CG95" i="2"/>
  <c r="EF82" i="3"/>
  <c r="EK108" i="329"/>
  <c r="ET46" i="4"/>
  <c r="ET117" i="4" s="1"/>
  <c r="FH69" i="2"/>
  <c r="EU46" i="4" s="1"/>
  <c r="EU117" i="4" s="1"/>
  <c r="T69" i="3"/>
  <c r="BJ122" i="329"/>
  <c r="EM122" i="329" s="1"/>
  <c r="EM110" i="329"/>
  <c r="AO391" i="329"/>
  <c r="AO108" i="3"/>
  <c r="AO95" i="3" s="1"/>
  <c r="AO384" i="329"/>
  <c r="AS384" i="329"/>
  <c r="AB108" i="4"/>
  <c r="CD104" i="329"/>
  <c r="AB51" i="2"/>
  <c r="AB54" i="2" s="1"/>
  <c r="CX95" i="4"/>
  <c r="CX65" i="329"/>
  <c r="AR30" i="329"/>
  <c r="AR32" i="329"/>
  <c r="CE104" i="329"/>
  <c r="BQ348" i="329"/>
  <c r="EO365" i="329"/>
  <c r="EQ365" i="329"/>
  <c r="EK237" i="2"/>
  <c r="BW100" i="2"/>
  <c r="AO113" i="4"/>
  <c r="AN113" i="4"/>
  <c r="EV348" i="329"/>
  <c r="BI384" i="329"/>
  <c r="EV82" i="329"/>
  <c r="EV87" i="329" s="1"/>
  <c r="EV101" i="329" s="1"/>
  <c r="CH234" i="2"/>
  <c r="CR108" i="3"/>
  <c r="CR95" i="3" s="1"/>
  <c r="EQ371" i="329"/>
  <c r="CY63" i="329"/>
  <c r="CY64" i="329" s="1"/>
  <c r="CA98" i="329"/>
  <c r="CZ171" i="2"/>
  <c r="CN51" i="3"/>
  <c r="CN82" i="3" s="1"/>
  <c r="ES158" i="329"/>
  <c r="ET158" i="329"/>
  <c r="EE120" i="329"/>
  <c r="EF95" i="329"/>
  <c r="EF123" i="329" s="1"/>
  <c r="EJ216" i="2"/>
  <c r="ET166" i="329"/>
  <c r="AY97" i="2"/>
  <c r="EQ39" i="4"/>
  <c r="ER19" i="3"/>
  <c r="AW11" i="329"/>
  <c r="AV38" i="329"/>
  <c r="EZ135" i="329"/>
  <c r="EZ134" i="329"/>
  <c r="FA134" i="329"/>
  <c r="FB135" i="329"/>
  <c r="DC158" i="2"/>
  <c r="DC17" i="2"/>
  <c r="DC76" i="2"/>
  <c r="Q108" i="4"/>
  <c r="U115" i="2"/>
  <c r="Q51" i="2"/>
  <c r="Q54" i="2" s="1"/>
  <c r="EP348" i="329"/>
  <c r="EU40" i="329"/>
  <c r="EV13" i="329"/>
  <c r="ET313" i="329"/>
  <c r="ES313" i="329"/>
  <c r="CA380" i="329"/>
  <c r="CB379" i="329"/>
  <c r="CA388" i="329"/>
  <c r="CA379" i="329"/>
  <c r="CA386" i="329" s="1"/>
  <c r="CB380" i="329"/>
  <c r="AP101" i="2"/>
  <c r="AD125" i="3"/>
  <c r="AL114" i="2"/>
  <c r="AL105" i="3"/>
  <c r="AL125" i="3" s="1"/>
  <c r="AL34" i="2"/>
  <c r="AL37" i="2"/>
  <c r="AP115" i="2" s="1"/>
  <c r="AL88" i="2"/>
  <c r="AP114" i="2"/>
  <c r="BD100" i="2"/>
  <c r="EK20" i="2"/>
  <c r="EK73" i="2" s="1"/>
  <c r="AW84" i="2"/>
  <c r="CZ82" i="2"/>
  <c r="DZ98" i="2"/>
  <c r="AQ114" i="2"/>
  <c r="BS100" i="2"/>
  <c r="AQ105" i="3"/>
  <c r="U69" i="3"/>
  <c r="S69" i="3"/>
  <c r="EV94" i="2"/>
  <c r="EO348" i="329"/>
  <c r="AU30" i="2"/>
  <c r="AU113" i="2"/>
  <c r="AU86" i="2"/>
  <c r="AU100" i="2" s="1"/>
  <c r="AU87" i="2"/>
  <c r="AU101" i="2" s="1"/>
  <c r="EK199" i="2"/>
  <c r="EK216" i="2" s="1"/>
  <c r="AR33" i="329"/>
  <c r="CX82" i="329"/>
  <c r="CX87" i="329" s="1"/>
  <c r="CZ20" i="2"/>
  <c r="CN104" i="4"/>
  <c r="CN106" i="4" s="1"/>
  <c r="EQ348" i="329"/>
  <c r="CV174" i="329"/>
  <c r="EJ237" i="2"/>
  <c r="EJ170" i="2"/>
  <c r="EJ201" i="2" s="1"/>
  <c r="EG110" i="329"/>
  <c r="AU112" i="2"/>
  <c r="AU112" i="3"/>
  <c r="AU114" i="3" s="1"/>
  <c r="AU84" i="2"/>
  <c r="AU98" i="2" s="1"/>
  <c r="ES336" i="329"/>
  <c r="ET336" i="329"/>
  <c r="AY112" i="2"/>
  <c r="AR29" i="329"/>
  <c r="AR34" i="329"/>
  <c r="AR50" i="329"/>
  <c r="AR51" i="329" s="1"/>
  <c r="CN111" i="3"/>
  <c r="CR174" i="329"/>
  <c r="DD108" i="2"/>
  <c r="AY114" i="2"/>
  <c r="AY113" i="2"/>
  <c r="EW15" i="329"/>
  <c r="EW42" i="329" s="1"/>
  <c r="EW33" i="329" s="1"/>
  <c r="EV42" i="329"/>
  <c r="EV33" i="329" s="1"/>
  <c r="H126" i="3"/>
  <c r="EJ130" i="3"/>
  <c r="CN130" i="3"/>
  <c r="H125" i="3"/>
  <c r="EJ52" i="3"/>
  <c r="EJ83" i="3" s="1"/>
  <c r="CL97" i="3"/>
  <c r="EL170" i="2"/>
  <c r="EL201" i="2" s="1"/>
  <c r="CN52" i="3"/>
  <c r="CN83" i="3" s="1"/>
  <c r="CM130" i="3"/>
  <c r="EI68" i="3"/>
  <c r="I126" i="3"/>
  <c r="AZ37" i="2"/>
  <c r="AZ114" i="2"/>
  <c r="AZ88" i="2"/>
  <c r="AZ34" i="2"/>
  <c r="AZ105" i="3"/>
  <c r="S125" i="3"/>
  <c r="I125" i="3"/>
  <c r="EW11" i="2"/>
  <c r="EW80" i="2" s="1"/>
  <c r="EW95" i="2" s="1"/>
  <c r="V69" i="3"/>
  <c r="L119" i="4"/>
  <c r="L107" i="4"/>
  <c r="L116" i="4"/>
  <c r="N108" i="4"/>
  <c r="N51" i="2"/>
  <c r="N54" i="2" s="1"/>
  <c r="H119" i="4"/>
  <c r="H116" i="4"/>
  <c r="H107" i="4"/>
  <c r="H108" i="4"/>
  <c r="H115" i="2"/>
  <c r="H51" i="2"/>
  <c r="H54" i="2" s="1"/>
  <c r="CW84" i="2"/>
  <c r="EU187" i="2"/>
  <c r="EU210" i="2" s="1"/>
  <c r="CP210" i="2"/>
  <c r="M126" i="3"/>
  <c r="N119" i="4"/>
  <c r="N107" i="4"/>
  <c r="N116" i="4"/>
  <c r="EL87" i="2"/>
  <c r="I115" i="2"/>
  <c r="M115" i="2"/>
  <c r="N125" i="3"/>
  <c r="L51" i="2"/>
  <c r="L54" i="2" s="1"/>
  <c r="L108" i="4"/>
  <c r="L115" i="2"/>
  <c r="N126" i="3"/>
  <c r="DZ100" i="2"/>
  <c r="EL237" i="2"/>
  <c r="ER210" i="2"/>
  <c r="EM237" i="2"/>
  <c r="EW110" i="2"/>
  <c r="AJ125" i="3"/>
  <c r="CD34" i="2"/>
  <c r="BV116" i="4" s="1"/>
  <c r="W98" i="2"/>
  <c r="EM84" i="2"/>
  <c r="AW112" i="2"/>
  <c r="EO95" i="2"/>
  <c r="T126" i="3"/>
  <c r="FH192" i="2"/>
  <c r="FH189" i="2" s="1"/>
  <c r="FH212" i="2" s="1"/>
  <c r="BQ116" i="4"/>
  <c r="BQ119" i="4"/>
  <c r="BQ107" i="4"/>
  <c r="BQ100" i="4" s="1"/>
  <c r="BA112" i="2"/>
  <c r="BQ51" i="2"/>
  <c r="BQ54" i="2" s="1"/>
  <c r="BQ108" i="4"/>
  <c r="BQ94" i="4" s="1"/>
  <c r="G51" i="2"/>
  <c r="G54" i="2" s="1"/>
  <c r="G108" i="4"/>
  <c r="G115" i="2"/>
  <c r="U125" i="3"/>
  <c r="G107" i="4"/>
  <c r="G116" i="4"/>
  <c r="G119" i="4"/>
  <c r="CP83" i="2"/>
  <c r="DZ37" i="2"/>
  <c r="DN108" i="4" s="1"/>
  <c r="DD91" i="2"/>
  <c r="DD127" i="2" s="1"/>
  <c r="BN115" i="2"/>
  <c r="BP115" i="2"/>
  <c r="CA51" i="2"/>
  <c r="CA54" i="2" s="1"/>
  <c r="AA115" i="2"/>
  <c r="EM113" i="2"/>
  <c r="I107" i="4"/>
  <c r="I116" i="4"/>
  <c r="I119" i="4"/>
  <c r="DY114" i="2"/>
  <c r="DY88" i="2"/>
  <c r="DY101" i="2" s="1"/>
  <c r="DY34" i="2"/>
  <c r="DM107" i="4" s="1"/>
  <c r="DM105" i="3"/>
  <c r="DZ114" i="2"/>
  <c r="I108" i="4"/>
  <c r="I51" i="2"/>
  <c r="I54" i="2" s="1"/>
  <c r="DY37" i="2"/>
  <c r="EB112" i="3"/>
  <c r="EB69" i="3" s="1"/>
  <c r="EN73" i="2"/>
  <c r="EN112" i="2"/>
  <c r="CG30" i="2"/>
  <c r="CG88" i="2" s="1"/>
  <c r="EM87" i="2"/>
  <c r="EN113" i="2"/>
  <c r="EU227" i="2"/>
  <c r="BV239" i="2"/>
  <c r="CP201" i="2"/>
  <c r="CT218" i="2" s="1"/>
  <c r="CQ217" i="2"/>
  <c r="EM30" i="2"/>
  <c r="EM37" i="2" s="1"/>
  <c r="CN95" i="2"/>
  <c r="BR171" i="2"/>
  <c r="CT239" i="2"/>
  <c r="BR239" i="2"/>
  <c r="EC114" i="2"/>
  <c r="EC134" i="2"/>
  <c r="EN110" i="2"/>
  <c r="U126" i="3"/>
  <c r="EM72" i="2"/>
  <c r="EM73" i="2"/>
  <c r="EN72" i="2"/>
  <c r="BQ96" i="2"/>
  <c r="EA112" i="3"/>
  <c r="EA69" i="3" s="1"/>
  <c r="EN84" i="2"/>
  <c r="BU96" i="2"/>
  <c r="K107" i="4"/>
  <c r="K116" i="4"/>
  <c r="K119" i="4"/>
  <c r="W51" i="2"/>
  <c r="W54" i="2" s="1"/>
  <c r="W108" i="4"/>
  <c r="W115" i="2"/>
  <c r="CG86" i="2"/>
  <c r="CG100" i="2" s="1"/>
  <c r="EL86" i="2"/>
  <c r="EM100" i="2" s="1"/>
  <c r="CG81" i="2"/>
  <c r="BX112" i="3"/>
  <c r="BX114" i="3" s="1"/>
  <c r="EL113" i="2"/>
  <c r="BI216" i="2"/>
  <c r="EC100" i="2"/>
  <c r="P125" i="3"/>
  <c r="S126" i="3"/>
  <c r="AI126" i="3"/>
  <c r="AK125" i="3"/>
  <c r="AI125" i="3"/>
  <c r="AJ126" i="3"/>
  <c r="AF125" i="3"/>
  <c r="AG126" i="3"/>
  <c r="AH126" i="3"/>
  <c r="AF126" i="3"/>
  <c r="AG125" i="3"/>
  <c r="AH125" i="3"/>
  <c r="AE125" i="3"/>
  <c r="AE126" i="3"/>
  <c r="O108" i="4"/>
  <c r="O51" i="2"/>
  <c r="O54" i="2" s="1"/>
  <c r="O115" i="2"/>
  <c r="EA37" i="2"/>
  <c r="W116" i="4"/>
  <c r="W119" i="4"/>
  <c r="W107" i="4"/>
  <c r="S116" i="4"/>
  <c r="S107" i="4"/>
  <c r="S119" i="4"/>
  <c r="Q126" i="3"/>
  <c r="Q125" i="3"/>
  <c r="CG87" i="2"/>
  <c r="CG101" i="2" s="1"/>
  <c r="CM52" i="3"/>
  <c r="CM83" i="3" s="1"/>
  <c r="O126" i="3"/>
  <c r="EC106" i="4"/>
  <c r="BX112" i="2"/>
  <c r="R125" i="3"/>
  <c r="K108" i="4"/>
  <c r="K51" i="2"/>
  <c r="K54" i="2" s="1"/>
  <c r="K115" i="2"/>
  <c r="AE51" i="2"/>
  <c r="AE54" i="2" s="1"/>
  <c r="AE115" i="2"/>
  <c r="AE108" i="4"/>
  <c r="AE107" i="4"/>
  <c r="AE116" i="4"/>
  <c r="AE119" i="4"/>
  <c r="EN81" i="2"/>
  <c r="EN96" i="2" s="1"/>
  <c r="EJ110" i="2"/>
  <c r="ER25" i="2"/>
  <c r="BR37" i="2"/>
  <c r="P126" i="3"/>
  <c r="O125" i="3"/>
  <c r="CG110" i="2"/>
  <c r="S108" i="4"/>
  <c r="S51" i="2"/>
  <c r="S54" i="2" s="1"/>
  <c r="S115" i="2"/>
  <c r="DK125" i="3"/>
  <c r="DK126" i="3"/>
  <c r="AI119" i="4"/>
  <c r="AI116" i="4"/>
  <c r="AI107" i="4"/>
  <c r="AI115" i="2"/>
  <c r="AI51" i="2"/>
  <c r="AI54" i="2" s="1"/>
  <c r="AI108" i="4"/>
  <c r="O116" i="4"/>
  <c r="O107" i="4"/>
  <c r="O119" i="4"/>
  <c r="EB37" i="2"/>
  <c r="BQ84" i="2"/>
  <c r="BQ112" i="3"/>
  <c r="BR69" i="3" s="1"/>
  <c r="CD37" i="2"/>
  <c r="CD51" i="2" s="1"/>
  <c r="CD54" i="2" s="1"/>
  <c r="DY106" i="4"/>
  <c r="BS114" i="2"/>
  <c r="Z4" i="3"/>
  <c r="Z4" i="329"/>
  <c r="AD5" i="2"/>
  <c r="DB324" i="329"/>
  <c r="DB395" i="329"/>
  <c r="DB396" i="329" s="1"/>
  <c r="ER166" i="329"/>
  <c r="ET320" i="329"/>
  <c r="EE107" i="329"/>
  <c r="AE108" i="329"/>
  <c r="FF162" i="329"/>
  <c r="FG161" i="329"/>
  <c r="BK56" i="329"/>
  <c r="BJ57" i="329"/>
  <c r="BJ58" i="329"/>
  <c r="AV77" i="329"/>
  <c r="AU78" i="329"/>
  <c r="AU79" i="329"/>
  <c r="EX70" i="2"/>
  <c r="ES348" i="329"/>
  <c r="ET348" i="329"/>
  <c r="EV216" i="2"/>
  <c r="ET17" i="2"/>
  <c r="CX218" i="2"/>
  <c r="BS201" i="2"/>
  <c r="BS171" i="2"/>
  <c r="BX86" i="2"/>
  <c r="BX100" i="2" s="1"/>
  <c r="BX87" i="2"/>
  <c r="BX101" i="2" s="1"/>
  <c r="BX113" i="2"/>
  <c r="BX30" i="2"/>
  <c r="EP30" i="2" s="1"/>
  <c r="EP25" i="2"/>
  <c r="ET76" i="2"/>
  <c r="BI201" i="2"/>
  <c r="BM218" i="2" s="1"/>
  <c r="BM239" i="2"/>
  <c r="BC239" i="2"/>
  <c r="AY201" i="2"/>
  <c r="BC218" i="2" s="1"/>
  <c r="CH34" i="2"/>
  <c r="BZ107" i="4" s="1"/>
  <c r="BZ100" i="4" s="1"/>
  <c r="ET158" i="2"/>
  <c r="EJ218" i="2"/>
  <c r="BS98" i="2"/>
  <c r="DD17" i="2"/>
  <c r="DD158" i="2"/>
  <c r="CT174" i="329"/>
  <c r="CP174" i="329"/>
  <c r="CH174" i="329"/>
  <c r="CD174" i="329"/>
  <c r="AQ35" i="329"/>
  <c r="R384" i="329"/>
  <c r="CY65" i="329"/>
  <c r="FC56" i="329"/>
  <c r="FC57" i="329" s="1"/>
  <c r="CX72" i="329"/>
  <c r="CY70" i="329"/>
  <c r="CY71" i="329" s="1"/>
  <c r="BZ105" i="3"/>
  <c r="BZ112" i="2"/>
  <c r="BZ84" i="2"/>
  <c r="CD98" i="2" s="1"/>
  <c r="CD112" i="2"/>
  <c r="CF91" i="2"/>
  <c r="CF127" i="2" s="1"/>
  <c r="CH114" i="2"/>
  <c r="CH88" i="2"/>
  <c r="CH218" i="2"/>
  <c r="CD200" i="2"/>
  <c r="CD238" i="2"/>
  <c r="CE238" i="2"/>
  <c r="BZ87" i="2"/>
  <c r="BZ113" i="2"/>
  <c r="BZ86" i="2"/>
  <c r="CD100" i="2" s="1"/>
  <c r="BZ30" i="2"/>
  <c r="CG51" i="3"/>
  <c r="CG82" i="3" s="1"/>
  <c r="EO97" i="2"/>
  <c r="BU107" i="329"/>
  <c r="BY110" i="329" s="1"/>
  <c r="BY122" i="329" s="1"/>
  <c r="CH52" i="3"/>
  <c r="CH83" i="3" s="1"/>
  <c r="CE200" i="2"/>
  <c r="CE217" i="2" s="1"/>
  <c r="CZ128" i="2"/>
  <c r="EW245" i="2"/>
  <c r="EW246" i="2"/>
  <c r="DB128" i="2"/>
  <c r="CJ83" i="2"/>
  <c r="EL212" i="2"/>
  <c r="EL243" i="2" s="1"/>
  <c r="CF130" i="3"/>
  <c r="CF51" i="3"/>
  <c r="CF82" i="3" s="1"/>
  <c r="ER169" i="2"/>
  <c r="ER238" i="2" s="1"/>
  <c r="AS97" i="2"/>
  <c r="EN208" i="2"/>
  <c r="EN242" i="2" s="1"/>
  <c r="CN111" i="2"/>
  <c r="CI52" i="3"/>
  <c r="CI83" i="3" s="1"/>
  <c r="BR101" i="2"/>
  <c r="BR100" i="2"/>
  <c r="EJ239" i="2"/>
  <c r="DX106" i="4"/>
  <c r="EK95" i="2"/>
  <c r="EO87" i="2"/>
  <c r="EO30" i="2"/>
  <c r="EO114" i="2" s="1"/>
  <c r="EO86" i="2"/>
  <c r="AY105" i="3"/>
  <c r="AY34" i="2"/>
  <c r="BC114" i="2"/>
  <c r="AY37" i="2"/>
  <c r="AY88" i="2"/>
  <c r="BV114" i="2"/>
  <c r="BR88" i="2"/>
  <c r="EM208" i="2"/>
  <c r="EM242" i="2" s="1"/>
  <c r="BR114" i="2"/>
  <c r="BR105" i="3"/>
  <c r="BS126" i="3" s="1"/>
  <c r="BA106" i="4"/>
  <c r="EM216" i="2"/>
  <c r="CJ58" i="3"/>
  <c r="BX96" i="2"/>
  <c r="BS101" i="2"/>
  <c r="W125" i="3"/>
  <c r="V126" i="3"/>
  <c r="X125" i="3"/>
  <c r="X126" i="3"/>
  <c r="V125" i="3"/>
  <c r="W126" i="3"/>
  <c r="EU94" i="2"/>
  <c r="CP91" i="2"/>
  <c r="CP127" i="2" s="1"/>
  <c r="DV115" i="2"/>
  <c r="DW115" i="2"/>
  <c r="DF125" i="3"/>
  <c r="DF126" i="3"/>
  <c r="V107" i="4"/>
  <c r="V116" i="4"/>
  <c r="V119" i="4"/>
  <c r="DT116" i="4"/>
  <c r="DS119" i="4"/>
  <c r="DT107" i="4"/>
  <c r="J107" i="4"/>
  <c r="J116" i="4"/>
  <c r="J119" i="4"/>
  <c r="AT119" i="4"/>
  <c r="AT107" i="4"/>
  <c r="AT100" i="4" s="1"/>
  <c r="AT116" i="4"/>
  <c r="DN114" i="3"/>
  <c r="DN69" i="3"/>
  <c r="EC34" i="2"/>
  <c r="EC88" i="2"/>
  <c r="ED101" i="2" s="1"/>
  <c r="DQ105" i="3"/>
  <c r="Z108" i="4"/>
  <c r="Z115" i="2"/>
  <c r="Z51" i="2"/>
  <c r="Z54" i="2" s="1"/>
  <c r="AD115" i="2"/>
  <c r="ED37" i="2"/>
  <c r="EE115" i="2" s="1"/>
  <c r="DJ125" i="3"/>
  <c r="DJ126" i="3"/>
  <c r="DQ114" i="3"/>
  <c r="DQ69" i="3"/>
  <c r="DS101" i="2"/>
  <c r="DR101" i="2"/>
  <c r="B116" i="4"/>
  <c r="B107" i="4"/>
  <c r="AA125" i="3"/>
  <c r="Z126" i="3"/>
  <c r="AB125" i="3"/>
  <c r="AB126" i="3"/>
  <c r="Z125" i="3"/>
  <c r="AA126" i="3"/>
  <c r="AC125" i="3"/>
  <c r="AC126" i="3"/>
  <c r="CJ91" i="2"/>
  <c r="CJ127" i="2" s="1"/>
  <c r="CO132" i="2"/>
  <c r="DS115" i="2"/>
  <c r="DR115" i="2"/>
  <c r="Y126" i="3"/>
  <c r="AT51" i="2"/>
  <c r="AT54" i="2" s="1"/>
  <c r="AT108" i="4"/>
  <c r="AT94" i="4" s="1"/>
  <c r="B51" i="2"/>
  <c r="B54" i="2" s="1"/>
  <c r="F115" i="2"/>
  <c r="B108" i="4"/>
  <c r="DO126" i="3"/>
  <c r="DO125" i="3"/>
  <c r="DT125" i="3"/>
  <c r="DT126" i="3"/>
  <c r="FB5" i="329"/>
  <c r="EO5" i="4"/>
  <c r="EO5" i="3"/>
  <c r="FC6" i="2"/>
  <c r="L125" i="3"/>
  <c r="L126" i="3"/>
  <c r="J126" i="3"/>
  <c r="K125" i="3"/>
  <c r="J125" i="3"/>
  <c r="K126" i="3"/>
  <c r="Z107" i="4"/>
  <c r="Z119" i="4"/>
  <c r="Z116" i="4"/>
  <c r="EI20" i="2"/>
  <c r="EI73" i="2" s="1"/>
  <c r="EA101" i="2"/>
  <c r="M125" i="3"/>
  <c r="DW101" i="2"/>
  <c r="DV101" i="2"/>
  <c r="V108" i="4"/>
  <c r="V51" i="2"/>
  <c r="V54" i="2" s="1"/>
  <c r="V115" i="2"/>
  <c r="EC37" i="2"/>
  <c r="Y125" i="3"/>
  <c r="EF51" i="2"/>
  <c r="EF54" i="2" s="1"/>
  <c r="DT108" i="4"/>
  <c r="J108" i="4"/>
  <c r="J115" i="2"/>
  <c r="N115" i="2"/>
  <c r="J51" i="2"/>
  <c r="J54" i="2" s="1"/>
  <c r="EQ15" i="2"/>
  <c r="DD96" i="2"/>
  <c r="EK97" i="2"/>
  <c r="CN91" i="2"/>
  <c r="CN127" i="2" s="1"/>
  <c r="CI51" i="3"/>
  <c r="CI82" i="3" s="1"/>
  <c r="CH58" i="3"/>
  <c r="CG130" i="3"/>
  <c r="BT115" i="2"/>
  <c r="EW9" i="2"/>
  <c r="EJ133" i="3" s="1"/>
  <c r="CP58" i="3"/>
  <c r="BY96" i="2"/>
  <c r="BG96" i="4"/>
  <c r="CH130" i="3"/>
  <c r="CI130" i="3"/>
  <c r="CG52" i="3"/>
  <c r="CG83" i="3" s="1"/>
  <c r="CF52" i="3"/>
  <c r="CF83" i="3" s="1"/>
  <c r="BM84" i="2"/>
  <c r="BQ112" i="2"/>
  <c r="BM112" i="3"/>
  <c r="BM69" i="3" s="1"/>
  <c r="EJ95" i="2"/>
  <c r="CI58" i="3"/>
  <c r="CG58" i="3"/>
  <c r="CH51" i="3"/>
  <c r="CH82" i="3" s="1"/>
  <c r="EX320" i="329"/>
  <c r="ED95" i="2"/>
  <c r="AK95" i="2"/>
  <c r="AG95" i="2"/>
  <c r="BL96" i="2"/>
  <c r="BH96" i="2"/>
  <c r="CN81" i="2"/>
  <c r="CR96" i="2" s="1"/>
  <c r="CR110" i="2"/>
  <c r="ES68" i="2"/>
  <c r="BT112" i="2"/>
  <c r="BT84" i="2"/>
  <c r="BT98" i="2" s="1"/>
  <c r="BT112" i="3"/>
  <c r="AZ112" i="2"/>
  <c r="AZ84" i="2"/>
  <c r="AZ112" i="3"/>
  <c r="AZ114" i="3" s="1"/>
  <c r="BE95" i="2"/>
  <c r="BA95" i="2"/>
  <c r="ET68" i="2"/>
  <c r="DS63" i="4"/>
  <c r="DS42" i="4"/>
  <c r="AE98" i="2"/>
  <c r="AI98" i="2"/>
  <c r="ET70" i="2"/>
  <c r="EE105" i="4"/>
  <c r="EQ80" i="2"/>
  <c r="EQ19" i="2"/>
  <c r="ER110" i="2" s="1"/>
  <c r="EP95" i="2"/>
  <c r="AG20" i="2"/>
  <c r="AG81" i="2"/>
  <c r="AK110" i="2"/>
  <c r="BM95" i="2"/>
  <c r="BI95" i="2"/>
  <c r="CC81" i="2"/>
  <c r="CC110" i="2"/>
  <c r="CC20" i="2"/>
  <c r="EO81" i="2"/>
  <c r="EO20" i="2"/>
  <c r="EP110" i="2"/>
  <c r="EO110" i="2"/>
  <c r="AC84" i="2"/>
  <c r="AC98" i="2" s="1"/>
  <c r="AC112" i="2"/>
  <c r="AC112" i="3"/>
  <c r="AF96" i="2"/>
  <c r="CJ60" i="2"/>
  <c r="ES60" i="2" s="1"/>
  <c r="ES59" i="2"/>
  <c r="AZ96" i="2"/>
  <c r="BD96" i="2"/>
  <c r="CO80" i="2"/>
  <c r="CO15" i="2"/>
  <c r="ET15" i="2" s="1"/>
  <c r="CO19" i="2"/>
  <c r="CO20" i="2" s="1"/>
  <c r="CN60" i="2"/>
  <c r="ET60" i="2" s="1"/>
  <c r="ET59" i="2"/>
  <c r="CA84" i="2"/>
  <c r="CE98" i="2" s="1"/>
  <c r="CE112" i="2"/>
  <c r="CA112" i="2"/>
  <c r="ES70" i="2"/>
  <c r="BD112" i="2"/>
  <c r="DR42" i="4"/>
  <c r="DR63" i="4"/>
  <c r="CB110" i="2"/>
  <c r="CB81" i="2"/>
  <c r="CF96" i="2" s="1"/>
  <c r="EJ81" i="2"/>
  <c r="EK96" i="2" s="1"/>
  <c r="EK110" i="2"/>
  <c r="ED20" i="2"/>
  <c r="ED110" i="2"/>
  <c r="ED81" i="2"/>
  <c r="ED96" i="2" s="1"/>
  <c r="AB114" i="3"/>
  <c r="AB69" i="3"/>
  <c r="DZ88" i="4"/>
  <c r="DZ84" i="4" s="1"/>
  <c r="EL80" i="2"/>
  <c r="EL19" i="2"/>
  <c r="DZ105" i="4"/>
  <c r="DZ106" i="4" s="1"/>
  <c r="AG110" i="2"/>
  <c r="AJ112" i="2"/>
  <c r="AF112" i="3"/>
  <c r="AF84" i="2"/>
  <c r="AF112" i="2"/>
  <c r="ET19" i="2"/>
  <c r="ET81" i="2" s="1"/>
  <c r="ET80" i="2"/>
  <c r="EF88" i="4"/>
  <c r="ES80" i="2"/>
  <c r="ES95" i="2" s="1"/>
  <c r="ES19" i="2"/>
  <c r="EG105" i="4"/>
  <c r="BA81" i="2"/>
  <c r="BE110" i="2"/>
  <c r="BA110" i="2"/>
  <c r="BU112" i="2"/>
  <c r="BU112" i="3"/>
  <c r="BU84" i="2"/>
  <c r="AE114" i="3"/>
  <c r="EE19" i="2"/>
  <c r="EE110" i="2" s="1"/>
  <c r="DS105" i="4"/>
  <c r="DS106" i="4" s="1"/>
  <c r="EE80" i="2"/>
  <c r="EF95" i="2" s="1"/>
  <c r="BI81" i="2"/>
  <c r="BM110" i="2"/>
  <c r="BI110" i="2"/>
  <c r="BI20" i="2"/>
  <c r="BI112" i="2" s="1"/>
  <c r="CK81" i="2"/>
  <c r="CK110" i="2"/>
  <c r="CC118" i="4"/>
  <c r="CC54" i="4"/>
  <c r="CC63" i="4" s="1"/>
  <c r="CQ96" i="2"/>
  <c r="CM96" i="2"/>
  <c r="EN14" i="4"/>
  <c r="CS118" i="4"/>
  <c r="EE101" i="2"/>
  <c r="EF101" i="2"/>
  <c r="DR126" i="3"/>
  <c r="DR125" i="3"/>
  <c r="DS126" i="3"/>
  <c r="DS125" i="3"/>
  <c r="DS108" i="4"/>
  <c r="EE51" i="2"/>
  <c r="EE54" i="2" s="1"/>
  <c r="EF115" i="2"/>
  <c r="DP107" i="4"/>
  <c r="DP116" i="4"/>
  <c r="EB101" i="2"/>
  <c r="DS116" i="4"/>
  <c r="DS107" i="4"/>
  <c r="DR119" i="4"/>
  <c r="DP126" i="3"/>
  <c r="DP125" i="3"/>
  <c r="EK109" i="4"/>
  <c r="DN125" i="3"/>
  <c r="DN126" i="3"/>
  <c r="DR116" i="4"/>
  <c r="DR107" i="4"/>
  <c r="DQ119" i="4"/>
  <c r="CB141" i="2"/>
  <c r="CP111" i="2"/>
  <c r="BP108" i="4"/>
  <c r="BP94" i="4" s="1"/>
  <c r="BP51" i="2"/>
  <c r="BP54" i="2" s="1"/>
  <c r="CQ171" i="2"/>
  <c r="BP107" i="4"/>
  <c r="BP100" i="4" s="1"/>
  <c r="BP116" i="4"/>
  <c r="BP119" i="4"/>
  <c r="CY83" i="2"/>
  <c r="BE216" i="2"/>
  <c r="BW384" i="329"/>
  <c r="CA239" i="2"/>
  <c r="BO201" i="2"/>
  <c r="CA218" i="2" s="1"/>
  <c r="BS239" i="2"/>
  <c r="EQ208" i="2"/>
  <c r="EQ242" i="2" s="1"/>
  <c r="EO208" i="2"/>
  <c r="EO242" i="2" s="1"/>
  <c r="AQ116" i="4"/>
  <c r="AQ107" i="4"/>
  <c r="AQ100" i="4" s="1"/>
  <c r="AQ119" i="4"/>
  <c r="AQ108" i="4"/>
  <c r="AQ94" i="4" s="1"/>
  <c r="AQ51" i="2"/>
  <c r="AQ54" i="2" s="1"/>
  <c r="BE201" i="2"/>
  <c r="BI239" i="2"/>
  <c r="CI30" i="2"/>
  <c r="CI87" i="2"/>
  <c r="CI101" i="2" s="1"/>
  <c r="CI86" i="2"/>
  <c r="CI100" i="2" s="1"/>
  <c r="CI113" i="2"/>
  <c r="BE239" i="2"/>
  <c r="CA112" i="3"/>
  <c r="CA114" i="3" s="1"/>
  <c r="CI84" i="2"/>
  <c r="CI98" i="2" s="1"/>
  <c r="CI112" i="2"/>
  <c r="CN14" i="3"/>
  <c r="CM15" i="3"/>
  <c r="EH99" i="4"/>
  <c r="EH124" i="4"/>
  <c r="BF65" i="329"/>
  <c r="BF64" i="329"/>
  <c r="BG63" i="329"/>
  <c r="EC106" i="329"/>
  <c r="EH133" i="3"/>
  <c r="EV95" i="2"/>
  <c r="DB108" i="2"/>
  <c r="CR133" i="3"/>
  <c r="CQ133" i="3"/>
  <c r="CM133" i="3"/>
  <c r="CL133" i="3"/>
  <c r="CP133" i="3"/>
  <c r="CB171" i="2"/>
  <c r="CC137" i="2"/>
  <c r="CC142" i="2"/>
  <c r="CD137" i="2"/>
  <c r="CD142" i="2"/>
  <c r="BV137" i="2"/>
  <c r="BV142" i="2"/>
  <c r="CV137" i="2"/>
  <c r="CV142" i="2"/>
  <c r="CU137" i="2"/>
  <c r="CU142" i="2"/>
  <c r="CO58" i="3"/>
  <c r="F95" i="329"/>
  <c r="F123" i="329" s="1"/>
  <c r="B107" i="329"/>
  <c r="B98" i="329"/>
  <c r="F99" i="329" s="1"/>
  <c r="CU174" i="329"/>
  <c r="CA137" i="2"/>
  <c r="CA142" i="2"/>
  <c r="W384" i="329"/>
  <c r="S142" i="2"/>
  <c r="AF384" i="329"/>
  <c r="AB142" i="2"/>
  <c r="F106" i="329"/>
  <c r="DX105" i="329"/>
  <c r="DX106" i="329" s="1"/>
  <c r="C107" i="329"/>
  <c r="G110" i="329" s="1"/>
  <c r="G122" i="329" s="1"/>
  <c r="C98" i="329"/>
  <c r="G99" i="329" s="1"/>
  <c r="BO88" i="2"/>
  <c r="CA114" i="2"/>
  <c r="BO37" i="2"/>
  <c r="BO34" i="2"/>
  <c r="BO105" i="3"/>
  <c r="BP126" i="3" s="1"/>
  <c r="CE174" i="329"/>
  <c r="CI174" i="329"/>
  <c r="CY91" i="2"/>
  <c r="BM359" i="329"/>
  <c r="BQ331" i="329"/>
  <c r="BQ332" i="329" s="1"/>
  <c r="AX166" i="2"/>
  <c r="AX108" i="3"/>
  <c r="AX95" i="3" s="1"/>
  <c r="AX391" i="329"/>
  <c r="AX141" i="2"/>
  <c r="AM383" i="329"/>
  <c r="AM142" i="2" s="1"/>
  <c r="AL383" i="329"/>
  <c r="AL142" i="2" s="1"/>
  <c r="AL112" i="4"/>
  <c r="AM113" i="4" s="1"/>
  <c r="AL390" i="329"/>
  <c r="BL113" i="2"/>
  <c r="BH86" i="2"/>
  <c r="BH87" i="2"/>
  <c r="BH30" i="2"/>
  <c r="BH114" i="2" s="1"/>
  <c r="BH113" i="2"/>
  <c r="BH97" i="2"/>
  <c r="BL97" i="2"/>
  <c r="EG91" i="2"/>
  <c r="EG127" i="2" s="1"/>
  <c r="BM360" i="329"/>
  <c r="BQ335" i="329"/>
  <c r="AQ313" i="329"/>
  <c r="AQ320" i="329" s="1"/>
  <c r="BE112" i="3"/>
  <c r="BE114" i="3" s="1"/>
  <c r="BE84" i="2"/>
  <c r="BE112" i="2"/>
  <c r="BE97" i="2"/>
  <c r="BI97" i="2"/>
  <c r="DU104" i="4"/>
  <c r="DU106" i="4" s="1"/>
  <c r="EG111" i="2"/>
  <c r="EG20" i="2"/>
  <c r="EG83" i="2"/>
  <c r="EG82" i="2"/>
  <c r="EG97" i="2" s="1"/>
  <c r="DU111" i="3"/>
  <c r="EG132" i="2"/>
  <c r="AO112" i="3"/>
  <c r="AO112" i="2"/>
  <c r="AO84" i="2"/>
  <c r="AO98" i="2" s="1"/>
  <c r="AS113" i="2"/>
  <c r="AO30" i="2"/>
  <c r="AO87" i="2"/>
  <c r="AO86" i="2"/>
  <c r="AO100" i="2" s="1"/>
  <c r="AO113" i="2"/>
  <c r="EG25" i="2"/>
  <c r="CO91" i="2"/>
  <c r="CO127" i="2" s="1"/>
  <c r="EA103" i="329"/>
  <c r="EA104" i="329" s="1"/>
  <c r="BL112" i="2"/>
  <c r="BH112" i="3"/>
  <c r="BH112" i="2"/>
  <c r="BH84" i="2"/>
  <c r="EN344" i="329"/>
  <c r="EQ344" i="329"/>
  <c r="BO239" i="2"/>
  <c r="BK239" i="2"/>
  <c r="BK201" i="2"/>
  <c r="EI82" i="2"/>
  <c r="EJ83" i="2"/>
  <c r="EJ111" i="2"/>
  <c r="EI83" i="2"/>
  <c r="DW111" i="3"/>
  <c r="EI111" i="2"/>
  <c r="DW104" i="4"/>
  <c r="DW106" i="4" s="1"/>
  <c r="EI132" i="2"/>
  <c r="AW97" i="2"/>
  <c r="BU348" i="329"/>
  <c r="CC348" i="329"/>
  <c r="EO340" i="329"/>
  <c r="BA97" i="2"/>
  <c r="CK91" i="2"/>
  <c r="CK127" i="2" s="1"/>
  <c r="EF84" i="3"/>
  <c r="AS87" i="2"/>
  <c r="AS86" i="2"/>
  <c r="AS30" i="2"/>
  <c r="EH25" i="2"/>
  <c r="EI91" i="2"/>
  <c r="EI127" i="2" s="1"/>
  <c r="EJ91" i="2"/>
  <c r="EJ127" i="2" s="1"/>
  <c r="EG310" i="329"/>
  <c r="AP311" i="329"/>
  <c r="AP313" i="329"/>
  <c r="BM362" i="329"/>
  <c r="BQ343" i="329"/>
  <c r="BQ344" i="329" s="1"/>
  <c r="BO216" i="2"/>
  <c r="BK216" i="2"/>
  <c r="AW86" i="2"/>
  <c r="AW113" i="2"/>
  <c r="AW87" i="2"/>
  <c r="EI25" i="2"/>
  <c r="AW30" i="2"/>
  <c r="EQ340" i="329"/>
  <c r="EH91" i="2"/>
  <c r="EH127" i="2" s="1"/>
  <c r="BA112" i="3"/>
  <c r="BA114" i="3" s="1"/>
  <c r="BA84" i="2"/>
  <c r="BE30" i="2"/>
  <c r="BE86" i="2"/>
  <c r="BE87" i="2"/>
  <c r="BE113" i="2"/>
  <c r="BI113" i="2"/>
  <c r="CU91" i="2"/>
  <c r="CU127" i="2" s="1"/>
  <c r="CM58" i="3"/>
  <c r="BM335" i="329"/>
  <c r="EO332" i="329"/>
  <c r="EQ332" i="329"/>
  <c r="EH20" i="2"/>
  <c r="EH111" i="2"/>
  <c r="DV104" i="4"/>
  <c r="DV106" i="4" s="1"/>
  <c r="EH132" i="2"/>
  <c r="DV111" i="3"/>
  <c r="EH83" i="2"/>
  <c r="EH82" i="2"/>
  <c r="AS84" i="2"/>
  <c r="AS112" i="3"/>
  <c r="AS112" i="2"/>
  <c r="BM361" i="329"/>
  <c r="BQ339" i="329"/>
  <c r="AP321" i="329"/>
  <c r="EO336" i="329"/>
  <c r="EQ336" i="329"/>
  <c r="EG309" i="329"/>
  <c r="CM174" i="329"/>
  <c r="CQ174" i="329"/>
  <c r="BA30" i="2"/>
  <c r="BA86" i="2"/>
  <c r="BA87" i="2"/>
  <c r="BA113" i="2"/>
  <c r="EP344" i="329"/>
  <c r="EO344" i="329"/>
  <c r="EN336" i="329"/>
  <c r="EN187" i="329"/>
  <c r="FF184" i="2"/>
  <c r="FF183" i="2"/>
  <c r="FF209" i="2" s="1"/>
  <c r="FF245" i="2" s="1"/>
  <c r="FF186" i="2"/>
  <c r="FG185" i="2"/>
  <c r="FH180" i="2"/>
  <c r="FH182" i="2"/>
  <c r="FF194" i="2"/>
  <c r="FG195" i="2"/>
  <c r="FF196" i="2"/>
  <c r="FF193" i="2"/>
  <c r="FF213" i="2" s="1"/>
  <c r="FF246" i="2" s="1"/>
  <c r="EF301" i="329"/>
  <c r="CE118" i="329"/>
  <c r="R108" i="329"/>
  <c r="CS174" i="329"/>
  <c r="CD388" i="329"/>
  <c r="CD380" i="329"/>
  <c r="CD379" i="329"/>
  <c r="CD386" i="329" s="1"/>
  <c r="CD385" i="329"/>
  <c r="EV162" i="329"/>
  <c r="CW174" i="329"/>
  <c r="CJ51" i="3"/>
  <c r="CJ82" i="3" s="1"/>
  <c r="CL51" i="3"/>
  <c r="CL52" i="3"/>
  <c r="CL83" i="3" s="1"/>
  <c r="CJ130" i="3"/>
  <c r="CM51" i="3"/>
  <c r="CJ52" i="3"/>
  <c r="CJ83" i="3" s="1"/>
  <c r="CL130" i="3"/>
  <c r="DE324" i="329"/>
  <c r="DE308" i="329"/>
  <c r="DE309" i="329" s="1"/>
  <c r="DE334" i="329"/>
  <c r="EX334" i="329" s="1"/>
  <c r="EX335" i="329" s="1"/>
  <c r="EX336" i="329" s="1"/>
  <c r="DE346" i="329"/>
  <c r="EX346" i="329" s="1"/>
  <c r="DE350" i="329"/>
  <c r="EX350" i="329" s="1"/>
  <c r="DE326" i="329"/>
  <c r="DE321" i="329" s="1"/>
  <c r="DE310" i="329"/>
  <c r="DE338" i="329"/>
  <c r="EX338" i="329" s="1"/>
  <c r="EX339" i="329" s="1"/>
  <c r="EX340" i="329" s="1"/>
  <c r="EX325" i="329"/>
  <c r="DE354" i="329"/>
  <c r="EX354" i="329" s="1"/>
  <c r="DE342" i="329"/>
  <c r="EX342" i="329" s="1"/>
  <c r="EX343" i="329" s="1"/>
  <c r="EX344" i="329" s="1"/>
  <c r="EX313" i="329"/>
  <c r="EX314" i="329" s="1"/>
  <c r="CO174" i="329"/>
  <c r="BW116" i="329"/>
  <c r="ET162" i="329"/>
  <c r="ES154" i="329"/>
  <c r="BY201" i="2"/>
  <c r="BY171" i="2"/>
  <c r="BY239" i="2"/>
  <c r="BQ216" i="2"/>
  <c r="CC216" i="2"/>
  <c r="ER77" i="329"/>
  <c r="CH77" i="329"/>
  <c r="EP80" i="329"/>
  <c r="BU239" i="2"/>
  <c r="BU171" i="2"/>
  <c r="BU201" i="2"/>
  <c r="CF87" i="329"/>
  <c r="CB88" i="329"/>
  <c r="BX378" i="329"/>
  <c r="BX88" i="329"/>
  <c r="BX89" i="329"/>
  <c r="BX103" i="329" s="1"/>
  <c r="ES221" i="329"/>
  <c r="CC239" i="2"/>
  <c r="BQ201" i="2"/>
  <c r="BQ239" i="2"/>
  <c r="CX85" i="329"/>
  <c r="CX92" i="329"/>
  <c r="CV390" i="329"/>
  <c r="CJ112" i="4"/>
  <c r="H385" i="329"/>
  <c r="H383" i="329"/>
  <c r="H142" i="2" s="1"/>
  <c r="H390" i="329"/>
  <c r="H112" i="4"/>
  <c r="H113" i="4" s="1"/>
  <c r="CW94" i="329"/>
  <c r="CW105" i="329"/>
  <c r="CW374" i="329"/>
  <c r="CW382" i="329" s="1"/>
  <c r="EI112" i="4"/>
  <c r="EV390" i="329"/>
  <c r="CV107" i="329"/>
  <c r="CZ110" i="329" s="1"/>
  <c r="CV164" i="2"/>
  <c r="BY87" i="329"/>
  <c r="BY371" i="329"/>
  <c r="BY372" i="329" s="1"/>
  <c r="H98" i="329"/>
  <c r="H99" i="329" s="1"/>
  <c r="H95" i="329"/>
  <c r="H123" i="329" s="1"/>
  <c r="H107" i="329"/>
  <c r="AS17" i="329"/>
  <c r="AS48" i="329" s="1"/>
  <c r="AS49" i="329" s="1"/>
  <c r="AS39" i="329"/>
  <c r="EH12" i="329"/>
  <c r="O113" i="4"/>
  <c r="CZ77" i="329"/>
  <c r="CY80" i="329"/>
  <c r="CY78" i="329"/>
  <c r="EO199" i="2"/>
  <c r="EO170" i="2"/>
  <c r="G386" i="329"/>
  <c r="G391" i="329"/>
  <c r="G384" i="329"/>
  <c r="G141" i="2"/>
  <c r="EC391" i="329"/>
  <c r="DQ108" i="3"/>
  <c r="DQ95" i="3" s="1"/>
  <c r="EC384" i="329"/>
  <c r="N108" i="3"/>
  <c r="N95" i="3" s="1"/>
  <c r="N391" i="329"/>
  <c r="N141" i="2"/>
  <c r="N386" i="329"/>
  <c r="EB391" i="329"/>
  <c r="DP108" i="3"/>
  <c r="DP95" i="3" s="1"/>
  <c r="V113" i="4"/>
  <c r="EO186" i="329"/>
  <c r="EO187" i="329" s="1"/>
  <c r="EO173" i="329"/>
  <c r="P91" i="3"/>
  <c r="P92" i="3" s="1"/>
  <c r="P93" i="3"/>
  <c r="P94" i="3" s="1"/>
  <c r="ET170" i="329"/>
  <c r="ER170" i="329"/>
  <c r="AD113" i="4"/>
  <c r="DR113" i="4"/>
  <c r="CF174" i="329"/>
  <c r="EU166" i="329"/>
  <c r="ES166" i="329"/>
  <c r="EA88" i="329"/>
  <c r="EA89" i="329"/>
  <c r="EA96" i="329"/>
  <c r="EA97" i="329" s="1"/>
  <c r="EQ221" i="329"/>
  <c r="EU170" i="329"/>
  <c r="P389" i="329"/>
  <c r="EU158" i="329"/>
  <c r="EV158" i="329"/>
  <c r="EU187" i="329"/>
  <c r="ES170" i="329"/>
  <c r="U108" i="3"/>
  <c r="U95" i="3" s="1"/>
  <c r="U391" i="329"/>
  <c r="U141" i="2"/>
  <c r="Q102" i="329"/>
  <c r="EA101" i="329"/>
  <c r="EA102" i="329" s="1"/>
  <c r="EV170" i="329"/>
  <c r="EU154" i="329"/>
  <c r="EW216" i="329"/>
  <c r="ES186" i="329"/>
  <c r="ES187" i="329" s="1"/>
  <c r="ES173" i="329"/>
  <c r="EU173" i="329"/>
  <c r="ET186" i="329"/>
  <c r="ET187" i="329" s="1"/>
  <c r="ET173" i="329"/>
  <c r="EV186" i="329"/>
  <c r="EV187" i="329" s="1"/>
  <c r="EV173" i="329"/>
  <c r="ER162" i="329"/>
  <c r="ES162" i="329"/>
  <c r="Q379" i="329"/>
  <c r="Q135" i="2" s="1"/>
  <c r="Q136" i="2" s="1"/>
  <c r="Q388" i="329"/>
  <c r="Q109" i="3"/>
  <c r="Q380" i="329"/>
  <c r="EA380" i="329" s="1"/>
  <c r="EA378" i="329"/>
  <c r="EP186" i="329"/>
  <c r="EP187" i="329" s="1"/>
  <c r="EP173" i="329"/>
  <c r="EQ173" i="329"/>
  <c r="EQ186" i="329"/>
  <c r="EQ187" i="329" s="1"/>
  <c r="ET216" i="329"/>
  <c r="ET221" i="329" s="1"/>
  <c r="ED384" i="329"/>
  <c r="ED142" i="2"/>
  <c r="DR108" i="3"/>
  <c r="DR95" i="3" s="1"/>
  <c r="ED391" i="329"/>
  <c r="EV154" i="329"/>
  <c r="CN174" i="329"/>
  <c r="CJ174" i="329"/>
  <c r="ER173" i="329"/>
  <c r="ER186" i="329"/>
  <c r="ER187" i="329" s="1"/>
  <c r="ET154" i="329"/>
  <c r="ER154" i="329"/>
  <c r="R378" i="329"/>
  <c r="R88" i="329"/>
  <c r="R101" i="329"/>
  <c r="S87" i="329"/>
  <c r="R89" i="329"/>
  <c r="R96" i="329"/>
  <c r="R97" i="329" s="1"/>
  <c r="BS118" i="329"/>
  <c r="BS117" i="329"/>
  <c r="BW117" i="329"/>
  <c r="CA118" i="329"/>
  <c r="BS116" i="329"/>
  <c r="CA117" i="329"/>
  <c r="AP101" i="329"/>
  <c r="AP96" i="329"/>
  <c r="AK306" i="329"/>
  <c r="AK301" i="329"/>
  <c r="AQ71" i="329"/>
  <c r="AQ72" i="329"/>
  <c r="AR70" i="329"/>
  <c r="AQ87" i="329"/>
  <c r="AM290" i="329"/>
  <c r="AL304" i="329"/>
  <c r="AL292" i="329"/>
  <c r="AL291" i="329"/>
  <c r="AL299" i="329"/>
  <c r="BS126" i="329"/>
  <c r="BS123" i="329" s="1"/>
  <c r="BO105" i="329"/>
  <c r="BO107" i="329"/>
  <c r="BS108" i="329" s="1"/>
  <c r="CA126" i="329"/>
  <c r="CA123" i="329" s="1"/>
  <c r="BO126" i="329"/>
  <c r="BO123" i="329" s="1"/>
  <c r="EF304" i="329"/>
  <c r="EF299" i="329"/>
  <c r="EW201" i="2"/>
  <c r="BU103" i="329"/>
  <c r="BU101" i="329"/>
  <c r="BU105" i="329"/>
  <c r="AV13" i="329"/>
  <c r="AU40" i="329"/>
  <c r="CG117" i="329"/>
  <c r="CK118" i="329"/>
  <c r="BQ139" i="329"/>
  <c r="BU138" i="329" s="1"/>
  <c r="BU137" i="329" s="1"/>
  <c r="BU111" i="329" s="1"/>
  <c r="BY118" i="329" s="1"/>
  <c r="BQ125" i="329"/>
  <c r="BU126" i="329" s="1"/>
  <c r="BK98" i="2"/>
  <c r="BO98" i="2"/>
  <c r="BB114" i="3"/>
  <c r="CT91" i="2"/>
  <c r="CT127" i="2" s="1"/>
  <c r="CB84" i="3"/>
  <c r="EJ84" i="2"/>
  <c r="EJ72" i="2"/>
  <c r="DX112" i="3"/>
  <c r="EJ73" i="2"/>
  <c r="BZ239" i="2"/>
  <c r="BN201" i="2"/>
  <c r="BN239" i="2"/>
  <c r="AX37" i="2"/>
  <c r="AX105" i="3"/>
  <c r="AX34" i="2"/>
  <c r="AX88" i="2"/>
  <c r="AX114" i="2"/>
  <c r="CJ171" i="2"/>
  <c r="CJ25" i="2"/>
  <c r="CJ111" i="2"/>
  <c r="CB104" i="4"/>
  <c r="CB106" i="4" s="1"/>
  <c r="CB111" i="3"/>
  <c r="CJ20" i="2"/>
  <c r="CJ132" i="2"/>
  <c r="CJ82" i="2"/>
  <c r="CJ97" i="2" s="1"/>
  <c r="CP171" i="2"/>
  <c r="CP82" i="2"/>
  <c r="CP97" i="2" s="1"/>
  <c r="CP20" i="2"/>
  <c r="CP112" i="2" s="1"/>
  <c r="CD111" i="3"/>
  <c r="CD104" i="4"/>
  <c r="CD106" i="4" s="1"/>
  <c r="CP25" i="2"/>
  <c r="CP113" i="2" s="1"/>
  <c r="CH104" i="4"/>
  <c r="CH106" i="4" s="1"/>
  <c r="CT20" i="2"/>
  <c r="CT82" i="2"/>
  <c r="CT97" i="2" s="1"/>
  <c r="CT171" i="2"/>
  <c r="CT25" i="2"/>
  <c r="CT83" i="2"/>
  <c r="CT111" i="2"/>
  <c r="CH111" i="3"/>
  <c r="BO100" i="2"/>
  <c r="BK100" i="2"/>
  <c r="BZ216" i="2"/>
  <c r="BN216" i="2"/>
  <c r="BF201" i="2"/>
  <c r="BF239" i="2"/>
  <c r="BJ239" i="2"/>
  <c r="BB114" i="2"/>
  <c r="BB105" i="3"/>
  <c r="BB88" i="2"/>
  <c r="BB34" i="2"/>
  <c r="BB37" i="2"/>
  <c r="EJ86" i="2"/>
  <c r="EJ87" i="2"/>
  <c r="EJ30" i="2"/>
  <c r="CJ200" i="2"/>
  <c r="CJ217" i="2" s="1"/>
  <c r="ES169" i="2"/>
  <c r="CJ238" i="2"/>
  <c r="BK114" i="3"/>
  <c r="BK88" i="2"/>
  <c r="BK34" i="2"/>
  <c r="BK37" i="2"/>
  <c r="BK114" i="2"/>
  <c r="BK105" i="3"/>
  <c r="BO114" i="2"/>
  <c r="BB101" i="2"/>
  <c r="BB98" i="2"/>
  <c r="AX114" i="3"/>
  <c r="BB201" i="2"/>
  <c r="BB218" i="2" s="1"/>
  <c r="BB239" i="2"/>
  <c r="BO101" i="2"/>
  <c r="BK101" i="2"/>
  <c r="EN199" i="2"/>
  <c r="EN216" i="2" s="1"/>
  <c r="EO237" i="2"/>
  <c r="EN237" i="2"/>
  <c r="EN170" i="2"/>
  <c r="EQ237" i="2"/>
  <c r="BF216" i="2"/>
  <c r="BJ216" i="2"/>
  <c r="BB100" i="2"/>
  <c r="AX101" i="2"/>
  <c r="CP132" i="2"/>
  <c r="CQ111" i="2"/>
  <c r="CN132" i="2"/>
  <c r="CO51" i="3"/>
  <c r="CQ83" i="2"/>
  <c r="CO52" i="3"/>
  <c r="CO83" i="3" s="1"/>
  <c r="CO130" i="3"/>
  <c r="CP130" i="3"/>
  <c r="AW15" i="329"/>
  <c r="AV42" i="329"/>
  <c r="CP51" i="3"/>
  <c r="BV119" i="4"/>
  <c r="AU16" i="329"/>
  <c r="AT43" i="329"/>
  <c r="EJ311" i="329"/>
  <c r="DB158" i="2"/>
  <c r="DB76" i="2"/>
  <c r="DB17" i="2"/>
  <c r="CK52" i="3"/>
  <c r="CK83" i="3" s="1"/>
  <c r="CK130" i="3"/>
  <c r="CK51" i="3"/>
  <c r="CK82" i="3" s="1"/>
  <c r="CK58" i="3"/>
  <c r="CL58" i="3"/>
  <c r="CO171" i="2"/>
  <c r="CO239" i="2"/>
  <c r="CO201" i="2"/>
  <c r="CO169" i="2"/>
  <c r="CS239" i="2"/>
  <c r="CN201" i="2"/>
  <c r="CN218" i="2" s="1"/>
  <c r="CN171" i="2"/>
  <c r="CN239" i="2"/>
  <c r="CN169" i="2"/>
  <c r="CP97" i="3"/>
  <c r="CR51" i="3"/>
  <c r="CQ51" i="3"/>
  <c r="CR52" i="3"/>
  <c r="CR83" i="3" s="1"/>
  <c r="CQ130" i="3"/>
  <c r="CR130" i="3"/>
  <c r="CQ52" i="3"/>
  <c r="CQ83" i="3" s="1"/>
  <c r="CR58" i="3"/>
  <c r="CQ58" i="3"/>
  <c r="CR210" i="2"/>
  <c r="CV210" i="2"/>
  <c r="CV158" i="2"/>
  <c r="CV76" i="2"/>
  <c r="CV108" i="2"/>
  <c r="CV17" i="2"/>
  <c r="CZ108" i="2"/>
  <c r="EV9" i="2"/>
  <c r="EV108" i="2" s="1"/>
  <c r="DA76" i="2"/>
  <c r="DA158" i="2"/>
  <c r="DA17" i="2"/>
  <c r="DA108" i="2"/>
  <c r="CZ218" i="2"/>
  <c r="CN25" i="2"/>
  <c r="CN113" i="2" s="1"/>
  <c r="CN20" i="2"/>
  <c r="CN112" i="2" s="1"/>
  <c r="CN83" i="2"/>
  <c r="CN82" i="2"/>
  <c r="CN97" i="2" s="1"/>
  <c r="CR108" i="2"/>
  <c r="CR17" i="2"/>
  <c r="CR158" i="2"/>
  <c r="CR76" i="2"/>
  <c r="EW239" i="2"/>
  <c r="EV201" i="2"/>
  <c r="CP52" i="3"/>
  <c r="CP83" i="3" s="1"/>
  <c r="CS210" i="2"/>
  <c r="CO210" i="2"/>
  <c r="ET187" i="2"/>
  <c r="ET210" i="2" s="1"/>
  <c r="ET227" i="2"/>
  <c r="CR201" i="2"/>
  <c r="CR239" i="2"/>
  <c r="CV239" i="2"/>
  <c r="CO25" i="2"/>
  <c r="CO82" i="2"/>
  <c r="CO97" i="2" s="1"/>
  <c r="CO111" i="2"/>
  <c r="EI130" i="3"/>
  <c r="EI52" i="3"/>
  <c r="EI97" i="3"/>
  <c r="EI51" i="3"/>
  <c r="CQ91" i="2"/>
  <c r="CQ127" i="2" s="1"/>
  <c r="BD88" i="2"/>
  <c r="BD105" i="3"/>
  <c r="BD34" i="2"/>
  <c r="BD37" i="2"/>
  <c r="BD114" i="2"/>
  <c r="EK113" i="2"/>
  <c r="EK87" i="2"/>
  <c r="EK30" i="2"/>
  <c r="EL114" i="2" s="1"/>
  <c r="EK86" i="2"/>
  <c r="BM108" i="4"/>
  <c r="BM51" i="2"/>
  <c r="BM54" i="2" s="1"/>
  <c r="BQ115" i="2"/>
  <c r="EL97" i="2"/>
  <c r="BM116" i="4"/>
  <c r="BM107" i="4"/>
  <c r="BM100" i="4" s="1"/>
  <c r="BM119" i="4"/>
  <c r="BD101" i="2"/>
  <c r="DL108" i="4"/>
  <c r="DX51" i="2"/>
  <c r="DX54" i="2" s="1"/>
  <c r="DX115" i="2"/>
  <c r="BF100" i="2"/>
  <c r="BJ100" i="2"/>
  <c r="BF101" i="2"/>
  <c r="BJ101" i="2"/>
  <c r="BF114" i="3"/>
  <c r="BJ98" i="2"/>
  <c r="BF98" i="2"/>
  <c r="BF37" i="2"/>
  <c r="BF105" i="3"/>
  <c r="BF88" i="2"/>
  <c r="BF114" i="2"/>
  <c r="BF34" i="2"/>
  <c r="BJ114" i="2"/>
  <c r="CW30" i="2"/>
  <c r="CW88" i="2" s="1"/>
  <c r="CC84" i="3"/>
  <c r="CW86" i="2"/>
  <c r="CW87" i="2"/>
  <c r="DC111" i="2"/>
  <c r="CF111" i="2"/>
  <c r="AP116" i="4"/>
  <c r="AP107" i="4"/>
  <c r="AP100" i="4" s="1"/>
  <c r="AP119" i="4"/>
  <c r="CD84" i="3"/>
  <c r="EG83" i="3"/>
  <c r="ES108" i="2"/>
  <c r="ES158" i="2"/>
  <c r="ES76" i="2"/>
  <c r="ES17" i="2"/>
  <c r="EG82" i="3"/>
  <c r="DC83" i="2"/>
  <c r="BZ69" i="3"/>
  <c r="AP108" i="4"/>
  <c r="AP51" i="2"/>
  <c r="AP54" i="2" s="1"/>
  <c r="AT115" i="2"/>
  <c r="CO83" i="2"/>
  <c r="CK132" i="2"/>
  <c r="CC111" i="3"/>
  <c r="CK82" i="2"/>
  <c r="CK97" i="2" s="1"/>
  <c r="CK83" i="2"/>
  <c r="CK25" i="2"/>
  <c r="CC104" i="4"/>
  <c r="CC106" i="4" s="1"/>
  <c r="CK111" i="2"/>
  <c r="CK20" i="2"/>
  <c r="CK171" i="2"/>
  <c r="CF83" i="2"/>
  <c r="CY111" i="2"/>
  <c r="BY37" i="2"/>
  <c r="BY88" i="2"/>
  <c r="BY32" i="2"/>
  <c r="BY105" i="3"/>
  <c r="AM107" i="4"/>
  <c r="AM119" i="4"/>
  <c r="AM116" i="4"/>
  <c r="AM125" i="3"/>
  <c r="AM126" i="3"/>
  <c r="AN125" i="3"/>
  <c r="AN126" i="3"/>
  <c r="AM108" i="4"/>
  <c r="AM51" i="2"/>
  <c r="AM54" i="2" s="1"/>
  <c r="AM115" i="2"/>
  <c r="AQ115" i="2"/>
  <c r="EP201" i="2"/>
  <c r="EP171" i="2"/>
  <c r="CB82" i="2"/>
  <c r="CF97" i="2" s="1"/>
  <c r="CB83" i="2"/>
  <c r="CB111" i="2"/>
  <c r="CB25" i="2"/>
  <c r="CF113" i="2" s="1"/>
  <c r="CB132" i="2"/>
  <c r="CB20" i="2"/>
  <c r="CF112" i="2" s="1"/>
  <c r="CD132" i="2"/>
  <c r="CE132" i="2"/>
  <c r="CC132" i="2"/>
  <c r="DC91" i="2"/>
  <c r="CL97" i="2"/>
  <c r="CF238" i="2"/>
  <c r="CB200" i="2"/>
  <c r="CB238" i="2"/>
  <c r="CL30" i="2"/>
  <c r="CL86" i="2"/>
  <c r="CL113" i="2"/>
  <c r="CL87" i="2"/>
  <c r="EQ76" i="2"/>
  <c r="EQ17" i="2"/>
  <c r="EQ108" i="2"/>
  <c r="EQ158" i="2"/>
  <c r="CY171" i="2"/>
  <c r="CM111" i="3"/>
  <c r="CY20" i="2"/>
  <c r="CY112" i="2" s="1"/>
  <c r="CY82" i="2"/>
  <c r="CM104" i="4"/>
  <c r="CM106" i="4" s="1"/>
  <c r="CY25" i="2"/>
  <c r="CY113" i="2" s="1"/>
  <c r="CF218" i="2"/>
  <c r="CB218" i="2"/>
  <c r="CL84" i="2"/>
  <c r="CL112" i="2"/>
  <c r="ER200" i="2"/>
  <c r="CU87" i="2"/>
  <c r="CU86" i="2"/>
  <c r="CU30" i="2"/>
  <c r="CU84" i="2"/>
  <c r="CI112" i="3"/>
  <c r="CI114" i="3" s="1"/>
  <c r="CX91" i="2"/>
  <c r="CX111" i="2"/>
  <c r="CX83" i="2"/>
  <c r="CX82" i="2"/>
  <c r="CX20" i="2"/>
  <c r="CL111" i="3"/>
  <c r="CL104" i="4"/>
  <c r="CL106" i="4" s="1"/>
  <c r="CX171" i="2"/>
  <c r="CX25" i="2"/>
  <c r="CE84" i="3"/>
  <c r="CZ132" i="2"/>
  <c r="EJ82" i="3"/>
  <c r="BU51" i="2"/>
  <c r="BU54" i="2" s="1"/>
  <c r="BU108" i="4"/>
  <c r="BU115" i="2"/>
  <c r="CL217" i="2"/>
  <c r="CP217" i="2"/>
  <c r="EV110" i="2"/>
  <c r="EU81" i="2"/>
  <c r="EU20" i="2"/>
  <c r="CJ96" i="2"/>
  <c r="ER81" i="2"/>
  <c r="EL216" i="2"/>
  <c r="BN107" i="4"/>
  <c r="BN100" i="4" s="1"/>
  <c r="BN119" i="4"/>
  <c r="BN116" i="4"/>
  <c r="CU218" i="2"/>
  <c r="CQ218" i="2"/>
  <c r="CZ84" i="2"/>
  <c r="BM115" i="2"/>
  <c r="BI108" i="4"/>
  <c r="BI51" i="2"/>
  <c r="BI54" i="2" s="1"/>
  <c r="BN108" i="4"/>
  <c r="BN96" i="4" s="1"/>
  <c r="BN51" i="2"/>
  <c r="BN54" i="2" s="1"/>
  <c r="CE104" i="4"/>
  <c r="CE106" i="4" s="1"/>
  <c r="CQ20" i="2"/>
  <c r="CQ112" i="2" s="1"/>
  <c r="CQ25" i="2"/>
  <c r="CQ113" i="2" s="1"/>
  <c r="CQ82" i="2"/>
  <c r="CU97" i="2" s="1"/>
  <c r="CE111" i="3"/>
  <c r="CU83" i="2"/>
  <c r="CU111" i="2"/>
  <c r="CQ132" i="2"/>
  <c r="BI119" i="4"/>
  <c r="BI107" i="4"/>
  <c r="BI100" i="4" s="1"/>
  <c r="BI116" i="4"/>
  <c r="EN37" i="2"/>
  <c r="EN34" i="2"/>
  <c r="EN88" i="2"/>
  <c r="EB105" i="3"/>
  <c r="EN134" i="2"/>
  <c r="CZ86" i="2"/>
  <c r="CZ87" i="2"/>
  <c r="CZ30" i="2"/>
  <c r="BT94" i="4"/>
  <c r="BT113" i="4"/>
  <c r="CE110" i="329"/>
  <c r="CE122" i="329" s="1"/>
  <c r="DY94" i="329"/>
  <c r="I107" i="329"/>
  <c r="I108" i="329" s="1"/>
  <c r="I98" i="329"/>
  <c r="I99" i="329" s="1"/>
  <c r="I95" i="329"/>
  <c r="I123" i="329" s="1"/>
  <c r="M106" i="329"/>
  <c r="I106" i="329"/>
  <c r="DY105" i="329"/>
  <c r="DY106" i="329" s="1"/>
  <c r="EG142" i="2"/>
  <c r="EG391" i="329"/>
  <c r="DU108" i="3"/>
  <c r="DU95" i="3" s="1"/>
  <c r="DN108" i="3"/>
  <c r="DN95" i="3" s="1"/>
  <c r="DZ391" i="329"/>
  <c r="DZ386" i="329"/>
  <c r="DZ384" i="329"/>
  <c r="J98" i="329"/>
  <c r="J107" i="329"/>
  <c r="N95" i="329"/>
  <c r="N123" i="329" s="1"/>
  <c r="J95" i="329"/>
  <c r="J123" i="329" s="1"/>
  <c r="J112" i="4"/>
  <c r="J113" i="4" s="1"/>
  <c r="J385" i="329"/>
  <c r="J383" i="329"/>
  <c r="J142" i="2" s="1"/>
  <c r="J390" i="329"/>
  <c r="M97" i="329"/>
  <c r="I97" i="329"/>
  <c r="DU113" i="4"/>
  <c r="DN113" i="4"/>
  <c r="DM113" i="4"/>
  <c r="DW99" i="329"/>
  <c r="DX99" i="329"/>
  <c r="J106" i="329"/>
  <c r="N106" i="329"/>
  <c r="DW384" i="329"/>
  <c r="DX384" i="329"/>
  <c r="DW386" i="329"/>
  <c r="CD117" i="329"/>
  <c r="I385" i="329"/>
  <c r="I390" i="329"/>
  <c r="I112" i="4"/>
  <c r="I113" i="4" s="1"/>
  <c r="I383" i="329"/>
  <c r="I142" i="2" s="1"/>
  <c r="J97" i="329"/>
  <c r="N97" i="329"/>
  <c r="DV386" i="329"/>
  <c r="DV384" i="329"/>
  <c r="BN125" i="329"/>
  <c r="BR126" i="329" s="1"/>
  <c r="BN139" i="329"/>
  <c r="BR138" i="329" s="1"/>
  <c r="BR137" i="329" s="1"/>
  <c r="BR111" i="329" s="1"/>
  <c r="BV118" i="329" s="1"/>
  <c r="DW108" i="329"/>
  <c r="DX108" i="329"/>
  <c r="K96" i="329"/>
  <c r="K105" i="329"/>
  <c r="L92" i="329"/>
  <c r="K382" i="329"/>
  <c r="O93" i="329"/>
  <c r="K94" i="329"/>
  <c r="K93" i="329"/>
  <c r="BR101" i="329"/>
  <c r="BV102" i="329" s="1"/>
  <c r="BR103" i="329"/>
  <c r="BR105" i="329"/>
  <c r="EL93" i="4"/>
  <c r="CW95" i="4"/>
  <c r="EV12" i="329"/>
  <c r="EU39" i="329"/>
  <c r="CD92" i="329"/>
  <c r="BV32" i="329"/>
  <c r="BV92" i="329"/>
  <c r="BV33" i="329"/>
  <c r="BV34" i="329"/>
  <c r="BV29" i="329"/>
  <c r="BV35" i="329"/>
  <c r="BV31" i="329"/>
  <c r="BW44" i="329"/>
  <c r="BV50" i="329"/>
  <c r="BV51" i="329" s="1"/>
  <c r="BV30" i="329"/>
  <c r="ED107" i="329"/>
  <c r="EE108" i="329" s="1"/>
  <c r="AB108" i="329"/>
  <c r="EB95" i="329"/>
  <c r="EB123" i="329" s="1"/>
  <c r="EB120" i="329"/>
  <c r="BV90" i="329"/>
  <c r="CD90" i="329"/>
  <c r="P113" i="4"/>
  <c r="Q113" i="4"/>
  <c r="EF108" i="329"/>
  <c r="EB106" i="329"/>
  <c r="X108" i="3"/>
  <c r="X95" i="3" s="1"/>
  <c r="X384" i="329"/>
  <c r="X141" i="2"/>
  <c r="X391" i="329"/>
  <c r="T122" i="329"/>
  <c r="EC107" i="329"/>
  <c r="EO371" i="329"/>
  <c r="EQ378" i="329" s="1"/>
  <c r="EQ388" i="329" s="1"/>
  <c r="BM113" i="4"/>
  <c r="EP26" i="329"/>
  <c r="EP11" i="329"/>
  <c r="CV103" i="329"/>
  <c r="CV98" i="329"/>
  <c r="S113" i="4"/>
  <c r="T113" i="4"/>
  <c r="ED95" i="329"/>
  <c r="ED123" i="329" s="1"/>
  <c r="ED120" i="329"/>
  <c r="S108" i="329"/>
  <c r="EB107" i="329"/>
  <c r="CW101" i="329"/>
  <c r="CW96" i="329"/>
  <c r="EV96" i="329" s="1"/>
  <c r="CW89" i="329"/>
  <c r="DS113" i="4"/>
  <c r="AH113" i="4"/>
  <c r="DT113" i="4"/>
  <c r="BW110" i="329"/>
  <c r="BW122" i="329" s="1"/>
  <c r="P141" i="2"/>
  <c r="P108" i="3"/>
  <c r="P95" i="3" s="1"/>
  <c r="P386" i="329"/>
  <c r="P391" i="329"/>
  <c r="AB113" i="4"/>
  <c r="AC113" i="4"/>
  <c r="X113" i="4"/>
  <c r="Y113" i="4"/>
  <c r="X108" i="329"/>
  <c r="EA107" i="329"/>
  <c r="W108" i="329"/>
  <c r="S108" i="3"/>
  <c r="S95" i="3" s="1"/>
  <c r="S391" i="329"/>
  <c r="S141" i="2"/>
  <c r="S384" i="329"/>
  <c r="AF110" i="329"/>
  <c r="CZ63" i="329"/>
  <c r="W122" i="329"/>
  <c r="CW378" i="329"/>
  <c r="EV371" i="329"/>
  <c r="EV378" i="329" s="1"/>
  <c r="DT108" i="3"/>
  <c r="DT95" i="3" s="1"/>
  <c r="EF384" i="329"/>
  <c r="EF391" i="329"/>
  <c r="EF142" i="2"/>
  <c r="EG384" i="329"/>
  <c r="AC110" i="329"/>
  <c r="AC122" i="329" s="1"/>
  <c r="ED122" i="329" s="1"/>
  <c r="AF108" i="329"/>
  <c r="AB141" i="2"/>
  <c r="AB391" i="329"/>
  <c r="AB108" i="3"/>
  <c r="AB95" i="3" s="1"/>
  <c r="AB384" i="329"/>
  <c r="X110" i="329"/>
  <c r="X122" i="329" s="1"/>
  <c r="EC120" i="329"/>
  <c r="BW93" i="3"/>
  <c r="BW94" i="3" s="1"/>
  <c r="BW91" i="3"/>
  <c r="BW92" i="3" s="1"/>
  <c r="T384" i="329"/>
  <c r="T108" i="3"/>
  <c r="T95" i="3" s="1"/>
  <c r="T391" i="329"/>
  <c r="T141" i="2"/>
  <c r="EO90" i="329"/>
  <c r="EQ83" i="329"/>
  <c r="EQ90" i="329"/>
  <c r="CY44" i="329"/>
  <c r="CX35" i="329"/>
  <c r="CX30" i="329"/>
  <c r="CX29" i="329"/>
  <c r="CX32" i="329"/>
  <c r="CX31" i="329"/>
  <c r="CX34" i="329"/>
  <c r="CX33" i="329"/>
  <c r="DS108" i="3"/>
  <c r="DS95" i="3" s="1"/>
  <c r="EE142" i="2"/>
  <c r="EE391" i="329"/>
  <c r="EE384" i="329"/>
  <c r="CW379" i="329"/>
  <c r="CW250" i="2" s="1"/>
  <c r="CV388" i="329"/>
  <c r="CV380" i="329"/>
  <c r="CJ109" i="3"/>
  <c r="CV379" i="329"/>
  <c r="CV386" i="329" s="1"/>
  <c r="CV385" i="329"/>
  <c r="ED106" i="329"/>
  <c r="EE106" i="329"/>
  <c r="U110" i="329"/>
  <c r="U122" i="329" s="1"/>
  <c r="U108" i="329"/>
  <c r="EE95" i="329"/>
  <c r="EE123" i="329" s="1"/>
  <c r="AG108" i="329"/>
  <c r="AC108" i="329"/>
  <c r="Q386" i="329"/>
  <c r="Q141" i="2"/>
  <c r="Q391" i="329"/>
  <c r="Q108" i="3"/>
  <c r="Q95" i="3" s="1"/>
  <c r="U384" i="329"/>
  <c r="AI122" i="329"/>
  <c r="EF122" i="329" s="1"/>
  <c r="EF110" i="329"/>
  <c r="AC391" i="329"/>
  <c r="AC141" i="2"/>
  <c r="AC108" i="3"/>
  <c r="AC95" i="3" s="1"/>
  <c r="AG384" i="329"/>
  <c r="AC384" i="329"/>
  <c r="CE388" i="329"/>
  <c r="CE385" i="329"/>
  <c r="CE380" i="329"/>
  <c r="CE379" i="329"/>
  <c r="Y141" i="2"/>
  <c r="Y384" i="329"/>
  <c r="Y391" i="329"/>
  <c r="Y108" i="3"/>
  <c r="Y95" i="3" s="1"/>
  <c r="EA98" i="329"/>
  <c r="EC95" i="329"/>
  <c r="EC123" i="329" s="1"/>
  <c r="EK320" i="329"/>
  <c r="EM320" i="329"/>
  <c r="AV113" i="4"/>
  <c r="AW113" i="4"/>
  <c r="DA323" i="329"/>
  <c r="CW320" i="329"/>
  <c r="BA108" i="3"/>
  <c r="BA95" i="3" s="1"/>
  <c r="BA166" i="2"/>
  <c r="BE235" i="2" s="1"/>
  <c r="BA141" i="2"/>
  <c r="BA391" i="329"/>
  <c r="BA384" i="329"/>
  <c r="BE384" i="329"/>
  <c r="ER313" i="329"/>
  <c r="EK313" i="329"/>
  <c r="BI166" i="2"/>
  <c r="BI235" i="2" s="1"/>
  <c r="BI108" i="3"/>
  <c r="BI95" i="3" s="1"/>
  <c r="BI141" i="2"/>
  <c r="BI391" i="329"/>
  <c r="BL166" i="2"/>
  <c r="BL391" i="329"/>
  <c r="BL108" i="3"/>
  <c r="BL95" i="3" s="1"/>
  <c r="BL141" i="2"/>
  <c r="CZ323" i="329"/>
  <c r="CV320" i="329"/>
  <c r="EJ313" i="329"/>
  <c r="AZ166" i="2"/>
  <c r="BD235" i="2" s="1"/>
  <c r="AZ384" i="329"/>
  <c r="AZ391" i="329"/>
  <c r="AZ108" i="3"/>
  <c r="AZ95" i="3" s="1"/>
  <c r="AZ141" i="2"/>
  <c r="BD384" i="329"/>
  <c r="AV391" i="329"/>
  <c r="AV141" i="2"/>
  <c r="AV108" i="3"/>
  <c r="AV95" i="3" s="1"/>
  <c r="AV384" i="329"/>
  <c r="EV313" i="329"/>
  <c r="EV314" i="329" s="1"/>
  <c r="AW141" i="2"/>
  <c r="AW384" i="329"/>
  <c r="AW391" i="329"/>
  <c r="AW108" i="3"/>
  <c r="AW95" i="3" s="1"/>
  <c r="EJ320" i="329"/>
  <c r="AZ113" i="4"/>
  <c r="BA113" i="4"/>
  <c r="DC396" i="329"/>
  <c r="CV391" i="329"/>
  <c r="CJ108" i="3"/>
  <c r="CJ95" i="3" s="1"/>
  <c r="CV166" i="2"/>
  <c r="BH166" i="2"/>
  <c r="BH384" i="329"/>
  <c r="BH391" i="329"/>
  <c r="BH108" i="3"/>
  <c r="BH95" i="3" s="1"/>
  <c r="BL384" i="329"/>
  <c r="BH141" i="2"/>
  <c r="EU292" i="329"/>
  <c r="ET299" i="329"/>
  <c r="ET291" i="329"/>
  <c r="ET293" i="329"/>
  <c r="ET304" i="329"/>
  <c r="EP313" i="329"/>
  <c r="EP314" i="329" s="1"/>
  <c r="BV320" i="329"/>
  <c r="EP320" i="329" s="1"/>
  <c r="EO304" i="329"/>
  <c r="EO299" i="329"/>
  <c r="ET292" i="329"/>
  <c r="ER299" i="329"/>
  <c r="ER304" i="329"/>
  <c r="ER291" i="329"/>
  <c r="ES292" i="329"/>
  <c r="ER293" i="329"/>
  <c r="ES291" i="329"/>
  <c r="ES293" i="329"/>
  <c r="ES304" i="329"/>
  <c r="ES299" i="329"/>
  <c r="BQ320" i="329"/>
  <c r="EN320" i="329" s="1"/>
  <c r="EN313" i="329"/>
  <c r="CJ113" i="4"/>
  <c r="CI113" i="4"/>
  <c r="EV292" i="329"/>
  <c r="EW292" i="329"/>
  <c r="EV304" i="329"/>
  <c r="EV293" i="329"/>
  <c r="EW291" i="329"/>
  <c r="EW293" i="329"/>
  <c r="EW243" i="329" s="1"/>
  <c r="EV291" i="329"/>
  <c r="EV299" i="329"/>
  <c r="EL321" i="329"/>
  <c r="BT166" i="2"/>
  <c r="BX235" i="2" s="1"/>
  <c r="BT108" i="3"/>
  <c r="BT95" i="3" s="1"/>
  <c r="BT386" i="329"/>
  <c r="BT141" i="2"/>
  <c r="BT391" i="329"/>
  <c r="BX384" i="329"/>
  <c r="BG113" i="4"/>
  <c r="BH113" i="4"/>
  <c r="CB235" i="2"/>
  <c r="CF235" i="2"/>
  <c r="BS166" i="2"/>
  <c r="BW235" i="2" s="1"/>
  <c r="BS108" i="3"/>
  <c r="BS95" i="3" s="1"/>
  <c r="BS391" i="329"/>
  <c r="BS386" i="329"/>
  <c r="BS141" i="2"/>
  <c r="EP293" i="329"/>
  <c r="EP299" i="329"/>
  <c r="EP292" i="329"/>
  <c r="EP304" i="329"/>
  <c r="EP291" i="329"/>
  <c r="BM166" i="2"/>
  <c r="BM141" i="2"/>
  <c r="BM391" i="329"/>
  <c r="BM108" i="3"/>
  <c r="BM95" i="3" s="1"/>
  <c r="BM384" i="329"/>
  <c r="CY395" i="329"/>
  <c r="CY396" i="329" s="1"/>
  <c r="CY324" i="329"/>
  <c r="BV94" i="3"/>
  <c r="CA391" i="329"/>
  <c r="CA141" i="2"/>
  <c r="CA166" i="2"/>
  <c r="CA235" i="2" s="1"/>
  <c r="CU391" i="329"/>
  <c r="CI108" i="3"/>
  <c r="CI95" i="3" s="1"/>
  <c r="CU386" i="329"/>
  <c r="CU166" i="2"/>
  <c r="CU141" i="2"/>
  <c r="AO259" i="329"/>
  <c r="EG249" i="329"/>
  <c r="AP249" i="329" s="1"/>
  <c r="EU293" i="329"/>
  <c r="EU304" i="329"/>
  <c r="EU299" i="329"/>
  <c r="EU291" i="329"/>
  <c r="EQ304" i="329"/>
  <c r="EQ299" i="329"/>
  <c r="ER292" i="329"/>
  <c r="BN166" i="2"/>
  <c r="BN141" i="2"/>
  <c r="BR384" i="329"/>
  <c r="BN391" i="329"/>
  <c r="BN384" i="329"/>
  <c r="BN108" i="3"/>
  <c r="BN95" i="3" s="1"/>
  <c r="EU321" i="329"/>
  <c r="EU399" i="329"/>
  <c r="EU105" i="2" s="1"/>
  <c r="EU318" i="329"/>
  <c r="BV92" i="3"/>
  <c r="EK321" i="329"/>
  <c r="EM311" i="329"/>
  <c r="BG166" i="2"/>
  <c r="BK235" i="2" s="1"/>
  <c r="BG391" i="329"/>
  <c r="BG108" i="3"/>
  <c r="BG95" i="3" s="1"/>
  <c r="BG141" i="2"/>
  <c r="BK384" i="329"/>
  <c r="BW136" i="2"/>
  <c r="EM313" i="329"/>
  <c r="FH179" i="2"/>
  <c r="FH208" i="2" s="1"/>
  <c r="FH77" i="2"/>
  <c r="FH92" i="2" s="1"/>
  <c r="FG92" i="2"/>
  <c r="ER34" i="3"/>
  <c r="CC391" i="329"/>
  <c r="CC386" i="329"/>
  <c r="CC166" i="2"/>
  <c r="CC141" i="2"/>
  <c r="BP139" i="329"/>
  <c r="BT138" i="329" s="1"/>
  <c r="BT137" i="329" s="1"/>
  <c r="BT111" i="329" s="1"/>
  <c r="BX118" i="329" s="1"/>
  <c r="BP125" i="329"/>
  <c r="BT126" i="329" s="1"/>
  <c r="EN128" i="329"/>
  <c r="EO129" i="329" s="1"/>
  <c r="ER86" i="2"/>
  <c r="ER87" i="2"/>
  <c r="BJ94" i="4"/>
  <c r="BF375" i="329"/>
  <c r="BB382" i="329"/>
  <c r="BB375" i="329"/>
  <c r="R65" i="4"/>
  <c r="S62" i="4"/>
  <c r="S64" i="4" s="1"/>
  <c r="BL248" i="329"/>
  <c r="BI99" i="4"/>
  <c r="EX245" i="329"/>
  <c r="CC34" i="2"/>
  <c r="CC114" i="2"/>
  <c r="CC37" i="2"/>
  <c r="CC88" i="2"/>
  <c r="BO248" i="329"/>
  <c r="DO108" i="3"/>
  <c r="DO95" i="3" s="1"/>
  <c r="EB384" i="329"/>
  <c r="EA391" i="329"/>
  <c r="EA384" i="329"/>
  <c r="BV166" i="2"/>
  <c r="BV384" i="329"/>
  <c r="BV391" i="329"/>
  <c r="BV386" i="329"/>
  <c r="BV108" i="3"/>
  <c r="BV95" i="3" s="1"/>
  <c r="BV141" i="2"/>
  <c r="CF84" i="2"/>
  <c r="CK114" i="3"/>
  <c r="BB298" i="329"/>
  <c r="BF298" i="329"/>
  <c r="BB310" i="329"/>
  <c r="BB165" i="2"/>
  <c r="EI96" i="2"/>
  <c r="EF112" i="3"/>
  <c r="EF69" i="3" s="1"/>
  <c r="ED114" i="3"/>
  <c r="EF114" i="3" s="1"/>
  <c r="ED69" i="3"/>
  <c r="CW91" i="2"/>
  <c r="CW127" i="2" s="1"/>
  <c r="CS91" i="2"/>
  <c r="CS127" i="2" s="1"/>
  <c r="BT107" i="329"/>
  <c r="BT101" i="329"/>
  <c r="BT103" i="329"/>
  <c r="BX104" i="329" s="1"/>
  <c r="BT105" i="329"/>
  <c r="EO125" i="329"/>
  <c r="EP126" i="329" s="1"/>
  <c r="CE100" i="2"/>
  <c r="BW108" i="4"/>
  <c r="BW115" i="2"/>
  <c r="BW51" i="2"/>
  <c r="BW54" i="2" s="1"/>
  <c r="EN100" i="2"/>
  <c r="EI110" i="329"/>
  <c r="EI311" i="329"/>
  <c r="EK201" i="2"/>
  <c r="EK218" i="2" s="1"/>
  <c r="EK239" i="2"/>
  <c r="DP65" i="4"/>
  <c r="DQ62" i="4"/>
  <c r="DQ64" i="4" s="1"/>
  <c r="DW5" i="4"/>
  <c r="DX5" i="4" s="1"/>
  <c r="DY5" i="4" s="1"/>
  <c r="AX4" i="4"/>
  <c r="DZ105" i="3"/>
  <c r="EL37" i="2"/>
  <c r="EL88" i="2"/>
  <c r="EL34" i="2"/>
  <c r="EX161" i="2"/>
  <c r="DE400" i="329"/>
  <c r="DE402" i="329" s="1"/>
  <c r="DE396" i="329"/>
  <c r="EX398" i="329"/>
  <c r="DE148" i="2"/>
  <c r="DE152" i="2" s="1"/>
  <c r="CM84" i="2"/>
  <c r="CM112" i="2"/>
  <c r="AR116" i="4"/>
  <c r="AR107" i="4"/>
  <c r="AR100" i="4" s="1"/>
  <c r="AR119" i="4"/>
  <c r="EX298" i="329"/>
  <c r="CF110" i="329"/>
  <c r="CF122" i="329" s="1"/>
  <c r="ET140" i="2"/>
  <c r="ET82" i="2"/>
  <c r="ET132" i="2"/>
  <c r="ET111" i="2"/>
  <c r="BU166" i="2"/>
  <c r="BU391" i="329"/>
  <c r="BY384" i="329"/>
  <c r="BU108" i="3"/>
  <c r="BU95" i="3" s="1"/>
  <c r="BU386" i="329"/>
  <c r="BU141" i="2"/>
  <c r="BS51" i="2"/>
  <c r="BS54" i="2" s="1"/>
  <c r="BS108" i="4"/>
  <c r="EI313" i="329"/>
  <c r="CG34" i="2"/>
  <c r="CD391" i="329"/>
  <c r="CD141" i="2"/>
  <c r="CD166" i="2"/>
  <c r="EE112" i="4"/>
  <c r="EQ390" i="329"/>
  <c r="EQ383" i="329"/>
  <c r="EU108" i="2"/>
  <c r="EU17" i="2"/>
  <c r="EU76" i="2"/>
  <c r="EU158" i="2"/>
  <c r="CF117" i="329"/>
  <c r="CJ118" i="329"/>
  <c r="EH82" i="3"/>
  <c r="CE101" i="2"/>
  <c r="BW107" i="4"/>
  <c r="BW100" i="4" s="1"/>
  <c r="EM114" i="2"/>
  <c r="EI122" i="329"/>
  <c r="ER82" i="2"/>
  <c r="ER132" i="2"/>
  <c r="EF104" i="4"/>
  <c r="EF106" i="4" s="1"/>
  <c r="ER140" i="2"/>
  <c r="ER20" i="2"/>
  <c r="CG110" i="329"/>
  <c r="CG122" i="329" s="1"/>
  <c r="DE330" i="329"/>
  <c r="EX330" i="329" s="1"/>
  <c r="EX324" i="329"/>
  <c r="AS83" i="329"/>
  <c r="AS90" i="329"/>
  <c r="CM30" i="2"/>
  <c r="CM87" i="2"/>
  <c r="CM113" i="2"/>
  <c r="CM86" i="2"/>
  <c r="ER171" i="2"/>
  <c r="AY69" i="3"/>
  <c r="AW114" i="3"/>
  <c r="AX69" i="3"/>
  <c r="EH108" i="329"/>
  <c r="EI108" i="329"/>
  <c r="BC298" i="329"/>
  <c r="BC310" i="329"/>
  <c r="BG313" i="329" s="1"/>
  <c r="BG320" i="329" s="1"/>
  <c r="BG298" i="329"/>
  <c r="BC165" i="2"/>
  <c r="EI320" i="329"/>
  <c r="EO390" i="329"/>
  <c r="EO383" i="329"/>
  <c r="EC112" i="4"/>
  <c r="CS111" i="2"/>
  <c r="CG111" i="3"/>
  <c r="CS20" i="2"/>
  <c r="CG104" i="4"/>
  <c r="CG106" i="4" s="1"/>
  <c r="CS83" i="2"/>
  <c r="CS171" i="2"/>
  <c r="CS25" i="2"/>
  <c r="CS82" i="2"/>
  <c r="CW111" i="2"/>
  <c r="CW83" i="2"/>
  <c r="EO139" i="329"/>
  <c r="EH83" i="3"/>
  <c r="EQ200" i="2"/>
  <c r="EQ170" i="2"/>
  <c r="EQ238" i="2"/>
  <c r="AU14" i="329"/>
  <c r="AT41" i="329"/>
  <c r="CE34" i="2"/>
  <c r="CE37" i="2"/>
  <c r="CE88" i="2"/>
  <c r="CE114" i="2"/>
  <c r="BW125" i="3"/>
  <c r="BW126" i="3"/>
  <c r="BZ108" i="4"/>
  <c r="CH51" i="2"/>
  <c r="CH54" i="2" s="1"/>
  <c r="CH115" i="2"/>
  <c r="BX126" i="329"/>
  <c r="BL94" i="4"/>
  <c r="CC217" i="2"/>
  <c r="CG217" i="2"/>
  <c r="CM97" i="2"/>
  <c r="BL218" i="2"/>
  <c r="BP218" i="2"/>
  <c r="AR108" i="4"/>
  <c r="AV115" i="2"/>
  <c r="AR51" i="2"/>
  <c r="AR54" i="2" s="1"/>
  <c r="AR115" i="2"/>
  <c r="EQ105" i="329"/>
  <c r="EQ103" i="329"/>
  <c r="EQ101" i="329"/>
  <c r="R113" i="4"/>
  <c r="DO113" i="4"/>
  <c r="DP113" i="4"/>
  <c r="BV125" i="3"/>
  <c r="BV126" i="3"/>
  <c r="CF86" i="2"/>
  <c r="CF87" i="2"/>
  <c r="CF30" i="2"/>
  <c r="BH218" i="2"/>
  <c r="EP129" i="329"/>
  <c r="BI248" i="329"/>
  <c r="EK308" i="329"/>
  <c r="BB309" i="329"/>
  <c r="BF309" i="329"/>
  <c r="EA114" i="3"/>
  <c r="FB128" i="329"/>
  <c r="CY82" i="329" l="1"/>
  <c r="DE311" i="329"/>
  <c r="DI313" i="329"/>
  <c r="AW69" i="3"/>
  <c r="BA98" i="2"/>
  <c r="CK96" i="2"/>
  <c r="CG96" i="2"/>
  <c r="EO378" i="329"/>
  <c r="EC109" i="3" s="1"/>
  <c r="DY112" i="3"/>
  <c r="DY114" i="3" s="1"/>
  <c r="EK112" i="2"/>
  <c r="CY95" i="4"/>
  <c r="BS125" i="3"/>
  <c r="AY101" i="2"/>
  <c r="EX395" i="329"/>
  <c r="AY98" i="2"/>
  <c r="EX308" i="329"/>
  <c r="EX309" i="329" s="1"/>
  <c r="AL126" i="3"/>
  <c r="CP218" i="2"/>
  <c r="EK72" i="2"/>
  <c r="EK84" i="2"/>
  <c r="EK98" i="2" s="1"/>
  <c r="ER39" i="4"/>
  <c r="ES19" i="3"/>
  <c r="CQ111" i="3"/>
  <c r="CQ104" i="4"/>
  <c r="CQ106" i="4" s="1"/>
  <c r="DC171" i="2"/>
  <c r="DC82" i="2"/>
  <c r="DC97" i="2" s="1"/>
  <c r="DC25" i="2"/>
  <c r="DC20" i="2"/>
  <c r="DC112" i="2" s="1"/>
  <c r="AW38" i="329"/>
  <c r="EI38" i="329" s="1"/>
  <c r="EI11" i="329"/>
  <c r="AX11" i="329" s="1"/>
  <c r="EW13" i="329"/>
  <c r="EW40" i="329" s="1"/>
  <c r="EW31" i="329" s="1"/>
  <c r="EV40" i="329"/>
  <c r="EV31" i="329" s="1"/>
  <c r="AR35" i="329"/>
  <c r="CA389" i="329"/>
  <c r="CA135" i="2"/>
  <c r="CA136" i="2" s="1"/>
  <c r="CB135" i="2"/>
  <c r="CC135" i="2"/>
  <c r="CB386" i="329"/>
  <c r="CB389" i="329"/>
  <c r="AL115" i="2"/>
  <c r="AL108" i="4"/>
  <c r="AP96" i="4" s="1"/>
  <c r="AL51" i="2"/>
  <c r="AL54" i="2" s="1"/>
  <c r="AL116" i="4"/>
  <c r="AL119" i="4"/>
  <c r="AL107" i="4"/>
  <c r="BU125" i="3"/>
  <c r="EL239" i="2"/>
  <c r="CN112" i="3"/>
  <c r="CN114" i="3" s="1"/>
  <c r="EG311" i="329"/>
  <c r="CX371" i="329"/>
  <c r="CX378" i="329" s="1"/>
  <c r="EV210" i="2"/>
  <c r="AY100" i="2"/>
  <c r="EH311" i="329"/>
  <c r="AU105" i="3"/>
  <c r="AU37" i="2"/>
  <c r="AY115" i="2" s="1"/>
  <c r="AU34" i="2"/>
  <c r="AU88" i="2"/>
  <c r="AU114" i="2"/>
  <c r="EM239" i="2"/>
  <c r="EJ88" i="4"/>
  <c r="EJ90" i="4" s="1"/>
  <c r="BI218" i="2"/>
  <c r="BX69" i="3"/>
  <c r="BY69" i="3"/>
  <c r="DZ101" i="2"/>
  <c r="EJ105" i="4"/>
  <c r="EN98" i="2"/>
  <c r="CN84" i="3"/>
  <c r="EL101" i="2"/>
  <c r="EW15" i="2"/>
  <c r="AZ51" i="2"/>
  <c r="AZ54" i="2" s="1"/>
  <c r="AZ115" i="2"/>
  <c r="AZ108" i="4"/>
  <c r="AZ116" i="4"/>
  <c r="AZ119" i="4"/>
  <c r="AZ107" i="4"/>
  <c r="AZ100" i="4" s="1"/>
  <c r="EM34" i="2"/>
  <c r="EA116" i="4" s="1"/>
  <c r="DZ51" i="2"/>
  <c r="DZ54" i="2" s="1"/>
  <c r="ER30" i="2"/>
  <c r="CG37" i="2"/>
  <c r="CG115" i="2" s="1"/>
  <c r="CG114" i="2"/>
  <c r="CI84" i="3"/>
  <c r="EI84" i="2"/>
  <c r="EJ98" i="2" s="1"/>
  <c r="EB114" i="3"/>
  <c r="ES238" i="2"/>
  <c r="EN114" i="2"/>
  <c r="EM134" i="2"/>
  <c r="EA105" i="3"/>
  <c r="EA125" i="3" s="1"/>
  <c r="EL134" i="2"/>
  <c r="EM101" i="2"/>
  <c r="DZ115" i="2"/>
  <c r="EM88" i="2"/>
  <c r="EN101" i="2"/>
  <c r="EA115" i="2"/>
  <c r="BY115" i="2"/>
  <c r="DB83" i="2"/>
  <c r="ES91" i="2"/>
  <c r="ES127" i="2" s="1"/>
  <c r="DB91" i="2"/>
  <c r="DB127" i="2" s="1"/>
  <c r="BS115" i="2"/>
  <c r="BV115" i="2"/>
  <c r="DY115" i="2"/>
  <c r="DM108" i="4"/>
  <c r="DY51" i="2"/>
  <c r="DY54" i="2" s="1"/>
  <c r="DM126" i="3"/>
  <c r="DM125" i="3"/>
  <c r="CI217" i="2"/>
  <c r="DP108" i="4"/>
  <c r="EB51" i="2"/>
  <c r="EB54" i="2" s="1"/>
  <c r="EB115" i="2"/>
  <c r="BR51" i="2"/>
  <c r="BR54" i="2" s="1"/>
  <c r="EO101" i="2"/>
  <c r="EC101" i="2"/>
  <c r="CF84" i="3"/>
  <c r="BR115" i="2"/>
  <c r="BR108" i="4"/>
  <c r="BV96" i="4" s="1"/>
  <c r="BU98" i="2"/>
  <c r="EA51" i="2"/>
  <c r="EA54" i="2" s="1"/>
  <c r="DO108" i="4"/>
  <c r="ET91" i="2"/>
  <c r="ET127" i="2" s="1"/>
  <c r="BQ98" i="2"/>
  <c r="BQ114" i="3"/>
  <c r="BQ69" i="3"/>
  <c r="BS69" i="3"/>
  <c r="AD4" i="329"/>
  <c r="AD4" i="3"/>
  <c r="AH5" i="2"/>
  <c r="EX399" i="329"/>
  <c r="EX105" i="2" s="1"/>
  <c r="EX119" i="2" s="1"/>
  <c r="BK58" i="329"/>
  <c r="BK57" i="329"/>
  <c r="BL56" i="329"/>
  <c r="FG162" i="329"/>
  <c r="FH161" i="329"/>
  <c r="FH162" i="329" s="1"/>
  <c r="AV78" i="329"/>
  <c r="AW77" i="329"/>
  <c r="AV79" i="329"/>
  <c r="DD111" i="2"/>
  <c r="DD171" i="2"/>
  <c r="CR104" i="4"/>
  <c r="CR106" i="4" s="1"/>
  <c r="DD20" i="2"/>
  <c r="DD25" i="2"/>
  <c r="CR111" i="3"/>
  <c r="DD141" i="2"/>
  <c r="DD83" i="2"/>
  <c r="DD82" i="2"/>
  <c r="DD97" i="2" s="1"/>
  <c r="EP87" i="2"/>
  <c r="EP134" i="2" s="1"/>
  <c r="EP86" i="2"/>
  <c r="EP100" i="2" s="1"/>
  <c r="EP113" i="2"/>
  <c r="BQ126" i="3"/>
  <c r="BX34" i="2"/>
  <c r="BX107" i="4" s="1"/>
  <c r="BX100" i="4" s="1"/>
  <c r="BX37" i="2"/>
  <c r="BX114" i="2"/>
  <c r="BX88" i="2"/>
  <c r="BX105" i="3"/>
  <c r="CZ65" i="329"/>
  <c r="FD56" i="329"/>
  <c r="FD57" i="329" s="1"/>
  <c r="CZ64" i="329"/>
  <c r="CY72" i="329"/>
  <c r="CZ70" i="329"/>
  <c r="CZ71" i="329" s="1"/>
  <c r="CD101" i="2"/>
  <c r="CH84" i="3"/>
  <c r="BZ34" i="2"/>
  <c r="BZ114" i="2"/>
  <c r="CD114" i="2"/>
  <c r="BZ37" i="2"/>
  <c r="BZ88" i="2"/>
  <c r="CG84" i="3"/>
  <c r="AQ96" i="4"/>
  <c r="CD217" i="2"/>
  <c r="CH217" i="2"/>
  <c r="AS98" i="2"/>
  <c r="EO100" i="2"/>
  <c r="BR126" i="3"/>
  <c r="BU126" i="3"/>
  <c r="BP96" i="4"/>
  <c r="EJ112" i="2"/>
  <c r="EP114" i="2"/>
  <c r="BT125" i="3"/>
  <c r="BT126" i="3"/>
  <c r="CQ97" i="2"/>
  <c r="BT96" i="4"/>
  <c r="CN96" i="2"/>
  <c r="EU245" i="2"/>
  <c r="EU246" i="2"/>
  <c r="EX347" i="329"/>
  <c r="EX348" i="329" s="1"/>
  <c r="BP125" i="3"/>
  <c r="CA69" i="3"/>
  <c r="BF69" i="3"/>
  <c r="CV141" i="2"/>
  <c r="BQ125" i="3"/>
  <c r="EW17" i="2"/>
  <c r="ET25" i="2"/>
  <c r="ET86" i="2" s="1"/>
  <c r="ET100" i="2" s="1"/>
  <c r="BG69" i="3"/>
  <c r="CJ84" i="3"/>
  <c r="EO88" i="2"/>
  <c r="EO134" i="2"/>
  <c r="EC105" i="3"/>
  <c r="EO37" i="2"/>
  <c r="EO34" i="2"/>
  <c r="EP88" i="2"/>
  <c r="EP37" i="2"/>
  <c r="ED108" i="4" s="1"/>
  <c r="ED105" i="3"/>
  <c r="ED126" i="3" s="1"/>
  <c r="EW108" i="2"/>
  <c r="AY108" i="4"/>
  <c r="BC115" i="2"/>
  <c r="AY51" i="2"/>
  <c r="AY54" i="2" s="1"/>
  <c r="AY107" i="4"/>
  <c r="AY100" i="4" s="1"/>
  <c r="AY119" i="4"/>
  <c r="AY116" i="4"/>
  <c r="ET83" i="2"/>
  <c r="EW158" i="2"/>
  <c r="EW76" i="2"/>
  <c r="ES83" i="2"/>
  <c r="EJ96" i="2"/>
  <c r="EI72" i="2"/>
  <c r="AZ69" i="3"/>
  <c r="BA69" i="3"/>
  <c r="DW112" i="3"/>
  <c r="DW114" i="3" s="1"/>
  <c r="EI112" i="2"/>
  <c r="EC51" i="2"/>
  <c r="EC54" i="2" s="1"/>
  <c r="DQ108" i="4"/>
  <c r="EC115" i="2"/>
  <c r="DR108" i="4"/>
  <c r="ED51" i="2"/>
  <c r="ED54" i="2" s="1"/>
  <c r="ED115" i="2"/>
  <c r="FD6" i="2"/>
  <c r="EP5" i="4"/>
  <c r="EP5" i="3"/>
  <c r="FC5" i="329"/>
  <c r="DQ107" i="4"/>
  <c r="DQ116" i="4"/>
  <c r="DP119" i="4"/>
  <c r="DQ126" i="3"/>
  <c r="DQ125" i="3"/>
  <c r="EK134" i="2"/>
  <c r="ET110" i="2"/>
  <c r="BD69" i="3"/>
  <c r="AW98" i="2"/>
  <c r="CX132" i="2"/>
  <c r="CV132" i="2"/>
  <c r="ET20" i="2"/>
  <c r="ET73" i="2" s="1"/>
  <c r="EU110" i="2"/>
  <c r="CY132" i="2"/>
  <c r="CX127" i="2"/>
  <c r="CY127" i="2"/>
  <c r="ES61" i="2"/>
  <c r="ET58" i="2" s="1"/>
  <c r="ET61" i="2" s="1"/>
  <c r="BM114" i="3"/>
  <c r="BN69" i="3"/>
  <c r="BO69" i="3"/>
  <c r="BP69" i="3"/>
  <c r="DC127" i="2"/>
  <c r="EX310" i="329"/>
  <c r="EX311" i="329" s="1"/>
  <c r="DE165" i="2"/>
  <c r="DE234" i="2" s="1"/>
  <c r="DE230" i="2"/>
  <c r="EX326" i="329"/>
  <c r="EF110" i="2"/>
  <c r="EE81" i="2"/>
  <c r="EE20" i="2"/>
  <c r="EM95" i="2"/>
  <c r="EL95" i="2"/>
  <c r="BY98" i="2"/>
  <c r="CO95" i="2"/>
  <c r="CS95" i="2"/>
  <c r="EC112" i="3"/>
  <c r="EO84" i="2"/>
  <c r="EO73" i="2"/>
  <c r="EO72" i="2"/>
  <c r="EO112" i="2"/>
  <c r="EP112" i="2"/>
  <c r="AK96" i="2"/>
  <c r="AG96" i="2"/>
  <c r="EQ110" i="2"/>
  <c r="EQ81" i="2"/>
  <c r="EQ96" i="2" s="1"/>
  <c r="EO14" i="4"/>
  <c r="BM96" i="2"/>
  <c r="BI96" i="2"/>
  <c r="BU114" i="3"/>
  <c r="BW69" i="3"/>
  <c r="BU69" i="3"/>
  <c r="BV69" i="3"/>
  <c r="BE96" i="2"/>
  <c r="BA96" i="2"/>
  <c r="AF98" i="2"/>
  <c r="AJ98" i="2"/>
  <c r="EO96" i="2"/>
  <c r="EP96" i="2"/>
  <c r="AK112" i="2"/>
  <c r="AG84" i="2"/>
  <c r="AG112" i="3"/>
  <c r="AG112" i="2"/>
  <c r="EQ95" i="2"/>
  <c r="ER95" i="2"/>
  <c r="BT114" i="3"/>
  <c r="BT69" i="3"/>
  <c r="BM112" i="2"/>
  <c r="BI84" i="2"/>
  <c r="BM98" i="2" s="1"/>
  <c r="BI112" i="3"/>
  <c r="BK69" i="3" s="1"/>
  <c r="EU95" i="2"/>
  <c r="ET95" i="2"/>
  <c r="ED73" i="2"/>
  <c r="ED72" i="2"/>
  <c r="ED112" i="2"/>
  <c r="DR112" i="3"/>
  <c r="ED84" i="2"/>
  <c r="ED98" i="2" s="1"/>
  <c r="CO110" i="2"/>
  <c r="CO81" i="2"/>
  <c r="CS110" i="2"/>
  <c r="CC84" i="2"/>
  <c r="CG98" i="2" s="1"/>
  <c r="CC112" i="2"/>
  <c r="CG112" i="2"/>
  <c r="AZ98" i="2"/>
  <c r="BD98" i="2"/>
  <c r="EE95" i="2"/>
  <c r="ES81" i="2"/>
  <c r="ES96" i="2" s="1"/>
  <c r="ES110" i="2"/>
  <c r="AF114" i="3"/>
  <c r="AF69" i="3"/>
  <c r="EM110" i="2"/>
  <c r="EL81" i="2"/>
  <c r="EL110" i="2"/>
  <c r="EL20" i="2"/>
  <c r="AE69" i="3"/>
  <c r="AD69" i="3"/>
  <c r="AC114" i="3"/>
  <c r="AC69" i="3"/>
  <c r="BX98" i="2"/>
  <c r="EK118" i="4"/>
  <c r="EX318" i="329"/>
  <c r="CW37" i="2"/>
  <c r="EB122" i="329"/>
  <c r="G108" i="329"/>
  <c r="EH97" i="2"/>
  <c r="AW100" i="2"/>
  <c r="CR132" i="2"/>
  <c r="EU300" i="329"/>
  <c r="ER83" i="2"/>
  <c r="DB111" i="2"/>
  <c r="BA101" i="2"/>
  <c r="CI37" i="2"/>
  <c r="CI34" i="2"/>
  <c r="CA107" i="4" s="1"/>
  <c r="CA100" i="4" s="1"/>
  <c r="CI88" i="2"/>
  <c r="CA105" i="3"/>
  <c r="CI114" i="2"/>
  <c r="BE218" i="2"/>
  <c r="BC69" i="3"/>
  <c r="CN15" i="3"/>
  <c r="CO14" i="3"/>
  <c r="BB69" i="3"/>
  <c r="BE69" i="3"/>
  <c r="BG65" i="329"/>
  <c r="BG64" i="329"/>
  <c r="BH63" i="329"/>
  <c r="CR82" i="3"/>
  <c r="CR84" i="3" s="1"/>
  <c r="CO82" i="3"/>
  <c r="CM82" i="3"/>
  <c r="EI133" i="3"/>
  <c r="CQ82" i="3"/>
  <c r="CQ84" i="3" s="1"/>
  <c r="CP82" i="3"/>
  <c r="CP84" i="3" s="1"/>
  <c r="CL82" i="3"/>
  <c r="AL113" i="4"/>
  <c r="F108" i="329"/>
  <c r="F110" i="329"/>
  <c r="DE169" i="2"/>
  <c r="AS100" i="2"/>
  <c r="BO51" i="2"/>
  <c r="BO54" i="2" s="1"/>
  <c r="BO108" i="4"/>
  <c r="BO94" i="4" s="1"/>
  <c r="CA115" i="2"/>
  <c r="BO126" i="3"/>
  <c r="BO125" i="3"/>
  <c r="BO116" i="4"/>
  <c r="BO119" i="4"/>
  <c r="BO107" i="4"/>
  <c r="BO100" i="4" s="1"/>
  <c r="BR125" i="3"/>
  <c r="EV320" i="329"/>
  <c r="BM365" i="329"/>
  <c r="BQ336" i="329"/>
  <c r="EO166" i="2"/>
  <c r="EO137" i="2"/>
  <c r="ER91" i="2"/>
  <c r="ER127" i="2" s="1"/>
  <c r="CR91" i="2"/>
  <c r="CR127" i="2" s="1"/>
  <c r="DA91" i="2"/>
  <c r="EH112" i="2"/>
  <c r="EH73" i="2"/>
  <c r="EH84" i="2"/>
  <c r="DV112" i="3"/>
  <c r="EH72" i="2"/>
  <c r="BE37" i="2"/>
  <c r="BE114" i="2"/>
  <c r="BE88" i="2"/>
  <c r="BE34" i="2"/>
  <c r="BE105" i="3"/>
  <c r="BF125" i="3" s="1"/>
  <c r="BI114" i="2"/>
  <c r="EI113" i="2"/>
  <c r="EI86" i="2"/>
  <c r="EJ113" i="2"/>
  <c r="EI30" i="2"/>
  <c r="EJ114" i="2" s="1"/>
  <c r="EI87" i="2"/>
  <c r="EH313" i="329"/>
  <c r="AP320" i="329"/>
  <c r="EH320" i="329" s="1"/>
  <c r="AS105" i="3"/>
  <c r="AS34" i="2"/>
  <c r="AS88" i="2"/>
  <c r="AS37" i="2"/>
  <c r="BL98" i="2"/>
  <c r="BH98" i="2"/>
  <c r="AO114" i="3"/>
  <c r="AQ69" i="3"/>
  <c r="AP69" i="3"/>
  <c r="AO69" i="3"/>
  <c r="AR69" i="3"/>
  <c r="BU336" i="329"/>
  <c r="CC336" i="329"/>
  <c r="BL101" i="2"/>
  <c r="BH101" i="2"/>
  <c r="AW101" i="2"/>
  <c r="EI97" i="2"/>
  <c r="EJ97" i="2"/>
  <c r="BL100" i="2"/>
  <c r="BH100" i="2"/>
  <c r="AL384" i="329"/>
  <c r="AL391" i="329"/>
  <c r="AL141" i="2"/>
  <c r="AL108" i="3"/>
  <c r="AL95" i="3" s="1"/>
  <c r="AP384" i="329"/>
  <c r="EQ166" i="2"/>
  <c r="EQ137" i="2"/>
  <c r="BA100" i="2"/>
  <c r="CC340" i="329"/>
  <c r="BU340" i="329"/>
  <c r="AS114" i="3"/>
  <c r="AV69" i="3"/>
  <c r="AT69" i="3"/>
  <c r="AU69" i="3"/>
  <c r="AS69" i="3"/>
  <c r="BE101" i="2"/>
  <c r="BI101" i="2"/>
  <c r="CC344" i="329"/>
  <c r="BU344" i="329"/>
  <c r="AS101" i="2"/>
  <c r="BH69" i="3"/>
  <c r="BH114" i="3"/>
  <c r="BQ340" i="329"/>
  <c r="AO101" i="2"/>
  <c r="EG84" i="2"/>
  <c r="EG98" i="2" s="1"/>
  <c r="EG112" i="2"/>
  <c r="EG73" i="2"/>
  <c r="EG72" i="2"/>
  <c r="DU112" i="3"/>
  <c r="AM384" i="329"/>
  <c r="AM141" i="2"/>
  <c r="AM391" i="329"/>
  <c r="AM108" i="3"/>
  <c r="AM95" i="3" s="1"/>
  <c r="AQ384" i="329"/>
  <c r="BA88" i="2"/>
  <c r="BA34" i="2"/>
  <c r="BA37" i="2"/>
  <c r="BA105" i="3"/>
  <c r="BB126" i="3" s="1"/>
  <c r="BA114" i="2"/>
  <c r="BE100" i="2"/>
  <c r="BI100" i="2"/>
  <c r="AW114" i="2"/>
  <c r="AW105" i="3"/>
  <c r="AW37" i="2"/>
  <c r="AW88" i="2"/>
  <c r="AW34" i="2"/>
  <c r="EH30" i="2"/>
  <c r="EH113" i="2"/>
  <c r="EH86" i="2"/>
  <c r="EH87" i="2"/>
  <c r="BK218" i="2"/>
  <c r="BO218" i="2"/>
  <c r="EG86" i="2"/>
  <c r="EG100" i="2" s="1"/>
  <c r="EG113" i="2"/>
  <c r="EG30" i="2"/>
  <c r="EG87" i="2"/>
  <c r="AS114" i="2"/>
  <c r="AO34" i="2"/>
  <c r="AO88" i="2"/>
  <c r="AO37" i="2"/>
  <c r="AO105" i="3"/>
  <c r="AO114" i="2"/>
  <c r="BE98" i="2"/>
  <c r="BI98" i="2"/>
  <c r="BL114" i="2"/>
  <c r="BH37" i="2"/>
  <c r="BH105" i="3"/>
  <c r="BI125" i="3" s="1"/>
  <c r="BH88" i="2"/>
  <c r="BH34" i="2"/>
  <c r="CC332" i="329"/>
  <c r="BU332" i="329"/>
  <c r="DE226" i="2"/>
  <c r="FG184" i="2"/>
  <c r="FH185" i="2"/>
  <c r="FG186" i="2"/>
  <c r="FG183" i="2" s="1"/>
  <c r="FG209" i="2" s="1"/>
  <c r="FG245" i="2" s="1"/>
  <c r="EX156" i="2"/>
  <c r="EX183" i="2" s="1"/>
  <c r="EX209" i="2" s="1"/>
  <c r="FG194" i="2"/>
  <c r="FG196" i="2"/>
  <c r="FG193" i="2" s="1"/>
  <c r="FG213" i="2" s="1"/>
  <c r="FG246" i="2" s="1"/>
  <c r="FH195" i="2"/>
  <c r="EP300" i="329"/>
  <c r="EK100" i="2"/>
  <c r="EX361" i="329"/>
  <c r="CD389" i="329"/>
  <c r="CD135" i="2"/>
  <c r="DE355" i="329"/>
  <c r="DE356" i="329" s="1"/>
  <c r="EY313" i="329"/>
  <c r="EY314" i="329" s="1"/>
  <c r="CY92" i="329"/>
  <c r="CY85" i="329"/>
  <c r="EH39" i="329"/>
  <c r="EH44" i="329" s="1"/>
  <c r="EH32" i="329" s="1"/>
  <c r="AS44" i="329"/>
  <c r="CW383" i="329"/>
  <c r="CW386" i="329" s="1"/>
  <c r="CK112" i="4"/>
  <c r="CK113" i="4" s="1"/>
  <c r="CW390" i="329"/>
  <c r="BQ218" i="2"/>
  <c r="CC218" i="2"/>
  <c r="CF378" i="329"/>
  <c r="CF88" i="329"/>
  <c r="CF101" i="329"/>
  <c r="CF102" i="329" s="1"/>
  <c r="CF89" i="329"/>
  <c r="CF103" i="329" s="1"/>
  <c r="CF104" i="329" s="1"/>
  <c r="EP85" i="329"/>
  <c r="EP374" i="329" s="1"/>
  <c r="ER80" i="329"/>
  <c r="EO201" i="2"/>
  <c r="EP218" i="2" s="1"/>
  <c r="EO171" i="2"/>
  <c r="DA77" i="329"/>
  <c r="CZ80" i="329"/>
  <c r="CZ92" i="329" s="1"/>
  <c r="CZ78" i="329"/>
  <c r="H391" i="329"/>
  <c r="H386" i="329"/>
  <c r="H141" i="2"/>
  <c r="H384" i="329"/>
  <c r="CX93" i="329"/>
  <c r="CX94" i="329"/>
  <c r="CX374" i="329"/>
  <c r="CI77" i="329"/>
  <c r="CH80" i="329"/>
  <c r="CH85" i="329" s="1"/>
  <c r="CH374" i="329" s="1"/>
  <c r="CH78" i="329"/>
  <c r="CH82" i="329"/>
  <c r="ER174" i="329"/>
  <c r="L110" i="329"/>
  <c r="L122" i="329" s="1"/>
  <c r="H108" i="329"/>
  <c r="CC88" i="329"/>
  <c r="CG87" i="329"/>
  <c r="BY88" i="329"/>
  <c r="BY89" i="329"/>
  <c r="BY103" i="329" s="1"/>
  <c r="BY104" i="329" s="1"/>
  <c r="BY378" i="329"/>
  <c r="BY101" i="329"/>
  <c r="BY102" i="329" s="1"/>
  <c r="CW107" i="329"/>
  <c r="DA110" i="329" s="1"/>
  <c r="CW164" i="2"/>
  <c r="BX388" i="329"/>
  <c r="BX109" i="3"/>
  <c r="BX385" i="329"/>
  <c r="BX380" i="329"/>
  <c r="BX379" i="329"/>
  <c r="AT12" i="329"/>
  <c r="EH17" i="329"/>
  <c r="EH48" i="329" s="1"/>
  <c r="EH49" i="329" s="1"/>
  <c r="EH83" i="329" s="1"/>
  <c r="EP239" i="2"/>
  <c r="ET174" i="329"/>
  <c r="R103" i="329"/>
  <c r="R98" i="329"/>
  <c r="R99" i="329" s="1"/>
  <c r="R109" i="3"/>
  <c r="R380" i="329"/>
  <c r="R379" i="329"/>
  <c r="R388" i="329"/>
  <c r="R385" i="329"/>
  <c r="DO109" i="3"/>
  <c r="EA388" i="329"/>
  <c r="EA379" i="329"/>
  <c r="EA385" i="329"/>
  <c r="Q389" i="329"/>
  <c r="R135" i="2"/>
  <c r="R136" i="2" s="1"/>
  <c r="EU174" i="329"/>
  <c r="S101" i="329"/>
  <c r="S102" i="329" s="1"/>
  <c r="S378" i="329"/>
  <c r="S89" i="329"/>
  <c r="S88" i="329"/>
  <c r="T87" i="329"/>
  <c r="S96" i="329"/>
  <c r="S97" i="329" s="1"/>
  <c r="ES174" i="329"/>
  <c r="R102" i="329"/>
  <c r="Q93" i="3"/>
  <c r="Q94" i="3" s="1"/>
  <c r="Q91" i="3"/>
  <c r="Q92" i="3" s="1"/>
  <c r="EV174" i="329"/>
  <c r="CA108" i="329"/>
  <c r="EP138" i="329"/>
  <c r="AL305" i="329"/>
  <c r="AS70" i="329"/>
  <c r="AR71" i="329"/>
  <c r="AR72" i="329"/>
  <c r="AR87" i="329"/>
  <c r="EX321" i="329"/>
  <c r="EQ385" i="329"/>
  <c r="DB132" i="2"/>
  <c r="EW218" i="2"/>
  <c r="BS110" i="329"/>
  <c r="BS122" i="329" s="1"/>
  <c r="BO108" i="329"/>
  <c r="BO106" i="329"/>
  <c r="CA106" i="329"/>
  <c r="BS106" i="329"/>
  <c r="AL306" i="329"/>
  <c r="AL301" i="329"/>
  <c r="AQ89" i="329"/>
  <c r="AQ96" i="329"/>
  <c r="AQ101" i="329"/>
  <c r="EF306" i="329"/>
  <c r="AM299" i="329"/>
  <c r="AM304" i="329"/>
  <c r="AM292" i="329"/>
  <c r="AM291" i="329"/>
  <c r="AN290" i="329"/>
  <c r="BQ126" i="329"/>
  <c r="BQ101" i="329"/>
  <c r="CC102" i="329" s="1"/>
  <c r="CC126" i="329"/>
  <c r="AW13" i="329"/>
  <c r="AV40" i="329"/>
  <c r="ES305" i="329"/>
  <c r="BY117" i="329"/>
  <c r="CC117" i="329"/>
  <c r="BU116" i="329"/>
  <c r="BU117" i="329"/>
  <c r="BU118" i="329"/>
  <c r="CG118" i="329"/>
  <c r="BY116" i="329"/>
  <c r="CC118" i="329"/>
  <c r="EN239" i="2"/>
  <c r="EO239" i="2"/>
  <c r="EN201" i="2"/>
  <c r="CT30" i="2"/>
  <c r="CT113" i="2"/>
  <c r="CT87" i="2"/>
  <c r="CT86" i="2"/>
  <c r="AX108" i="4"/>
  <c r="AX115" i="2"/>
  <c r="AX51" i="2"/>
  <c r="AX54" i="2" s="1"/>
  <c r="BK51" i="2"/>
  <c r="BK54" i="2" s="1"/>
  <c r="BK108" i="4"/>
  <c r="BK115" i="2"/>
  <c r="BO115" i="2"/>
  <c r="EJ37" i="2"/>
  <c r="EJ34" i="2"/>
  <c r="EJ88" i="2"/>
  <c r="DX105" i="3"/>
  <c r="BF218" i="2"/>
  <c r="BJ218" i="2"/>
  <c r="CP86" i="2"/>
  <c r="CP100" i="2" s="1"/>
  <c r="CP30" i="2"/>
  <c r="CP114" i="2" s="1"/>
  <c r="CP87" i="2"/>
  <c r="CP101" i="2" s="1"/>
  <c r="CD112" i="3"/>
  <c r="CD114" i="3" s="1"/>
  <c r="CP84" i="2"/>
  <c r="CP98" i="2" s="1"/>
  <c r="AX116" i="4"/>
  <c r="AX107" i="4"/>
  <c r="AX100" i="4" s="1"/>
  <c r="AX119" i="4"/>
  <c r="BK119" i="4"/>
  <c r="BK107" i="4"/>
  <c r="BK100" i="4" s="1"/>
  <c r="BK116" i="4"/>
  <c r="BB51" i="2"/>
  <c r="BB54" i="2" s="1"/>
  <c r="BB108" i="4"/>
  <c r="BB115" i="2"/>
  <c r="CJ112" i="2"/>
  <c r="CB112" i="3"/>
  <c r="CJ84" i="2"/>
  <c r="CJ98" i="2" s="1"/>
  <c r="CJ86" i="2"/>
  <c r="CJ100" i="2" s="1"/>
  <c r="CJ30" i="2"/>
  <c r="CJ113" i="2"/>
  <c r="CJ87" i="2"/>
  <c r="CJ101" i="2" s="1"/>
  <c r="BZ218" i="2"/>
  <c r="BN218" i="2"/>
  <c r="DX69" i="3"/>
  <c r="DX114" i="3"/>
  <c r="BL125" i="3"/>
  <c r="BN125" i="3"/>
  <c r="BL126" i="3"/>
  <c r="BM126" i="3"/>
  <c r="BN126" i="3"/>
  <c r="BM125" i="3"/>
  <c r="ES170" i="2"/>
  <c r="ES200" i="2"/>
  <c r="EU217" i="2" s="1"/>
  <c r="EU238" i="2"/>
  <c r="BB107" i="4"/>
  <c r="BB100" i="4" s="1"/>
  <c r="BB119" i="4"/>
  <c r="BB116" i="4"/>
  <c r="CT112" i="2"/>
  <c r="CT84" i="2"/>
  <c r="CH112" i="3"/>
  <c r="CH114" i="3" s="1"/>
  <c r="CR218" i="2"/>
  <c r="CU132" i="2"/>
  <c r="DA132" i="2"/>
  <c r="CT132" i="2"/>
  <c r="CS132" i="2"/>
  <c r="EI15" i="329"/>
  <c r="AX15" i="329" s="1"/>
  <c r="AW42" i="329"/>
  <c r="EI42" i="329" s="1"/>
  <c r="CK84" i="3"/>
  <c r="BX116" i="329"/>
  <c r="AU43" i="329"/>
  <c r="AV16" i="329"/>
  <c r="BV116" i="329"/>
  <c r="BT123" i="329"/>
  <c r="CY97" i="2"/>
  <c r="CV218" i="2"/>
  <c r="CS218" i="2"/>
  <c r="CO218" i="2"/>
  <c r="EV218" i="2"/>
  <c r="EI83" i="3"/>
  <c r="CR25" i="2"/>
  <c r="EU25" i="2" s="1"/>
  <c r="CR171" i="2"/>
  <c r="CR20" i="2"/>
  <c r="CR111" i="2"/>
  <c r="CR83" i="2"/>
  <c r="CF111" i="3"/>
  <c r="CF104" i="4"/>
  <c r="CF106" i="4" s="1"/>
  <c r="CR82" i="2"/>
  <c r="CR97" i="2" s="1"/>
  <c r="CN84" i="2"/>
  <c r="CN98" i="2" s="1"/>
  <c r="EV17" i="2"/>
  <c r="EV158" i="2"/>
  <c r="EV76" i="2"/>
  <c r="CV91" i="2"/>
  <c r="CV127" i="2" s="1"/>
  <c r="CZ91" i="2"/>
  <c r="CO87" i="2"/>
  <c r="CO101" i="2" s="1"/>
  <c r="CO86" i="2"/>
  <c r="CO100" i="2" s="1"/>
  <c r="CO30" i="2"/>
  <c r="CO113" i="2"/>
  <c r="CN30" i="2"/>
  <c r="CN87" i="2"/>
  <c r="CN86" i="2"/>
  <c r="CN100" i="2" s="1"/>
  <c r="CO104" i="4"/>
  <c r="CO106" i="4" s="1"/>
  <c r="DA171" i="2"/>
  <c r="CO111" i="3"/>
  <c r="DA25" i="2"/>
  <c r="DA20" i="2"/>
  <c r="EW20" i="2" s="1"/>
  <c r="DA82" i="2"/>
  <c r="DA83" i="2"/>
  <c r="DA111" i="2"/>
  <c r="ET169" i="2"/>
  <c r="CN238" i="2"/>
  <c r="CN200" i="2"/>
  <c r="EI82" i="3"/>
  <c r="CO84" i="2"/>
  <c r="CO98" i="2" s="1"/>
  <c r="CO112" i="2"/>
  <c r="CV82" i="2"/>
  <c r="CV111" i="2"/>
  <c r="CV83" i="2"/>
  <c r="CJ104" i="4"/>
  <c r="CJ106" i="4" s="1"/>
  <c r="CV25" i="2"/>
  <c r="CJ111" i="3"/>
  <c r="CV20" i="2"/>
  <c r="CV171" i="2"/>
  <c r="CZ83" i="2"/>
  <c r="CW132" i="2"/>
  <c r="CZ111" i="2"/>
  <c r="CO238" i="2"/>
  <c r="CO200" i="2"/>
  <c r="CS238" i="2"/>
  <c r="DB171" i="2"/>
  <c r="DB20" i="2"/>
  <c r="DB112" i="2" s="1"/>
  <c r="CP111" i="3"/>
  <c r="DB25" i="2"/>
  <c r="CP104" i="4"/>
  <c r="CP106" i="4" s="1"/>
  <c r="DB82" i="2"/>
  <c r="DD132" i="2"/>
  <c r="DC132" i="2"/>
  <c r="CW34" i="2"/>
  <c r="CK107" i="4" s="1"/>
  <c r="CK100" i="4" s="1"/>
  <c r="ER111" i="2"/>
  <c r="CK105" i="3"/>
  <c r="DC113" i="2"/>
  <c r="EK88" i="2"/>
  <c r="DY105" i="3"/>
  <c r="EK34" i="2"/>
  <c r="EK114" i="2"/>
  <c r="EJ134" i="2"/>
  <c r="BD115" i="2"/>
  <c r="BD108" i="4"/>
  <c r="BD51" i="2"/>
  <c r="BD54" i="2" s="1"/>
  <c r="BM94" i="4"/>
  <c r="BQ96" i="4"/>
  <c r="BD107" i="4"/>
  <c r="BD100" i="4" s="1"/>
  <c r="BD119" i="4"/>
  <c r="BD116" i="4"/>
  <c r="EL100" i="2"/>
  <c r="EG84" i="3"/>
  <c r="BF107" i="4"/>
  <c r="BF100" i="4" s="1"/>
  <c r="BF116" i="4"/>
  <c r="BF119" i="4"/>
  <c r="BF115" i="2"/>
  <c r="BF51" i="2"/>
  <c r="BF54" i="2" s="1"/>
  <c r="BF108" i="4"/>
  <c r="BJ115" i="2"/>
  <c r="EL218" i="2"/>
  <c r="EJ84" i="3"/>
  <c r="ES25" i="2"/>
  <c r="CK113" i="2"/>
  <c r="CK30" i="2"/>
  <c r="CK86" i="2"/>
  <c r="CK100" i="2" s="1"/>
  <c r="CK87" i="2"/>
  <c r="CK101" i="2" s="1"/>
  <c r="AP94" i="4"/>
  <c r="AT96" i="4"/>
  <c r="CK112" i="2"/>
  <c r="CK84" i="2"/>
  <c r="CK98" i="2" s="1"/>
  <c r="CC112" i="3"/>
  <c r="EG111" i="3"/>
  <c r="ES82" i="2"/>
  <c r="ES20" i="2"/>
  <c r="ES140" i="2"/>
  <c r="ES132" i="2"/>
  <c r="ES111" i="2"/>
  <c r="EG104" i="4"/>
  <c r="EG106" i="4" s="1"/>
  <c r="BY108" i="4"/>
  <c r="BY94" i="4" s="1"/>
  <c r="BY34" i="2"/>
  <c r="BY49" i="2"/>
  <c r="EP32" i="2"/>
  <c r="EP49" i="2" s="1"/>
  <c r="EQ91" i="2"/>
  <c r="EQ127" i="2" s="1"/>
  <c r="CL100" i="2"/>
  <c r="CL101" i="2"/>
  <c r="CL88" i="2"/>
  <c r="CL34" i="2"/>
  <c r="CL37" i="2"/>
  <c r="CL114" i="2"/>
  <c r="CB84" i="2"/>
  <c r="CF98" i="2" s="1"/>
  <c r="CB112" i="2"/>
  <c r="BM235" i="2"/>
  <c r="CL98" i="2"/>
  <c r="CY84" i="2"/>
  <c r="CM112" i="3"/>
  <c r="CM114" i="3" s="1"/>
  <c r="CY87" i="2"/>
  <c r="CY30" i="2"/>
  <c r="CY114" i="2" s="1"/>
  <c r="CY86" i="2"/>
  <c r="EE104" i="4"/>
  <c r="EE106" i="4" s="1"/>
  <c r="EQ82" i="2"/>
  <c r="ER97" i="2" s="1"/>
  <c r="EQ83" i="2"/>
  <c r="EQ132" i="2"/>
  <c r="EQ20" i="2"/>
  <c r="ER112" i="2" s="1"/>
  <c r="EQ140" i="2"/>
  <c r="EQ111" i="2"/>
  <c r="CB217" i="2"/>
  <c r="CF217" i="2"/>
  <c r="CB113" i="2"/>
  <c r="CB87" i="2"/>
  <c r="CF101" i="2" s="1"/>
  <c r="CB86" i="2"/>
  <c r="CF100" i="2" s="1"/>
  <c r="CB30" i="2"/>
  <c r="CF114" i="2" s="1"/>
  <c r="EQ25" i="2"/>
  <c r="CU88" i="2"/>
  <c r="CU37" i="2"/>
  <c r="CI105" i="3"/>
  <c r="CU34" i="2"/>
  <c r="CX84" i="2"/>
  <c r="CL112" i="3"/>
  <c r="CX112" i="2"/>
  <c r="CX97" i="2"/>
  <c r="BU94" i="4"/>
  <c r="BU96" i="4"/>
  <c r="CX113" i="2"/>
  <c r="CX87" i="2"/>
  <c r="CX86" i="2"/>
  <c r="CX30" i="2"/>
  <c r="ET96" i="2"/>
  <c r="EU73" i="2"/>
  <c r="EU72" i="2"/>
  <c r="EU84" i="2"/>
  <c r="EH112" i="3"/>
  <c r="EV96" i="2"/>
  <c r="EU96" i="2"/>
  <c r="EB108" i="4"/>
  <c r="EB94" i="4" s="1"/>
  <c r="EN51" i="2"/>
  <c r="EN54" i="2" s="1"/>
  <c r="BN94" i="4"/>
  <c r="BM96" i="4"/>
  <c r="BI94" i="4"/>
  <c r="CZ37" i="2"/>
  <c r="CZ88" i="2"/>
  <c r="CZ34" i="2"/>
  <c r="CN105" i="3"/>
  <c r="CQ86" i="2"/>
  <c r="CU100" i="2" s="1"/>
  <c r="CQ30" i="2"/>
  <c r="CQ87" i="2"/>
  <c r="CQ101" i="2" s="1"/>
  <c r="CU113" i="2"/>
  <c r="EB125" i="3"/>
  <c r="EB126" i="3"/>
  <c r="EB116" i="4"/>
  <c r="EA119" i="4"/>
  <c r="EB107" i="4"/>
  <c r="EB100" i="4" s="1"/>
  <c r="CQ84" i="2"/>
  <c r="CU98" i="2" s="1"/>
  <c r="CE112" i="3"/>
  <c r="CU112" i="2"/>
  <c r="O97" i="329"/>
  <c r="K97" i="329"/>
  <c r="BR117" i="329"/>
  <c r="BR118" i="329"/>
  <c r="BR116" i="329"/>
  <c r="BZ117" i="329"/>
  <c r="BV117" i="329"/>
  <c r="BZ118" i="329"/>
  <c r="I384" i="329"/>
  <c r="I386" i="329"/>
  <c r="I391" i="329"/>
  <c r="I141" i="2"/>
  <c r="DY95" i="329"/>
  <c r="DY107" i="329"/>
  <c r="DY108" i="329" s="1"/>
  <c r="DY98" i="329"/>
  <c r="DY99" i="329" s="1"/>
  <c r="EW323" i="329"/>
  <c r="EW324" i="329" s="1"/>
  <c r="K385" i="329"/>
  <c r="K383" i="329"/>
  <c r="K142" i="2" s="1"/>
  <c r="K390" i="329"/>
  <c r="K112" i="4"/>
  <c r="K113" i="4" s="1"/>
  <c r="BN126" i="329"/>
  <c r="BN105" i="329"/>
  <c r="BR106" i="329" s="1"/>
  <c r="BZ126" i="329"/>
  <c r="N108" i="329"/>
  <c r="J108" i="329"/>
  <c r="EC110" i="329"/>
  <c r="EB108" i="329"/>
  <c r="L94" i="329"/>
  <c r="L93" i="329"/>
  <c r="L105" i="329"/>
  <c r="M94" i="329"/>
  <c r="L96" i="329"/>
  <c r="L382" i="329"/>
  <c r="P93" i="329"/>
  <c r="J391" i="329"/>
  <c r="N384" i="329"/>
  <c r="J108" i="3"/>
  <c r="J95" i="3" s="1"/>
  <c r="J141" i="2"/>
  <c r="J386" i="329"/>
  <c r="J384" i="329"/>
  <c r="J99" i="329"/>
  <c r="N99" i="329"/>
  <c r="K107" i="329"/>
  <c r="O95" i="329"/>
  <c r="O123" i="329" s="1"/>
  <c r="K98" i="329"/>
  <c r="K95" i="329"/>
  <c r="K123" i="329" s="1"/>
  <c r="O106" i="329"/>
  <c r="K106" i="329"/>
  <c r="BV104" i="329"/>
  <c r="N110" i="329"/>
  <c r="M110" i="329"/>
  <c r="CD118" i="329"/>
  <c r="EL95" i="4"/>
  <c r="CJ93" i="3"/>
  <c r="CJ91" i="3"/>
  <c r="DA63" i="329"/>
  <c r="EV39" i="329"/>
  <c r="EV30" i="329" s="1"/>
  <c r="EW12" i="329"/>
  <c r="EW39" i="329" s="1"/>
  <c r="EW30" i="329" s="1"/>
  <c r="CE389" i="329"/>
  <c r="CE135" i="2"/>
  <c r="CE386" i="329"/>
  <c r="EC122" i="329"/>
  <c r="ED110" i="329"/>
  <c r="CW103" i="329"/>
  <c r="CW98" i="329"/>
  <c r="EB110" i="329"/>
  <c r="EI109" i="3"/>
  <c r="EV388" i="329"/>
  <c r="EV385" i="329"/>
  <c r="EE110" i="329"/>
  <c r="AF122" i="329"/>
  <c r="EE122" i="329" s="1"/>
  <c r="CH20" i="329"/>
  <c r="EP17" i="329"/>
  <c r="EP48" i="329" s="1"/>
  <c r="EP38" i="329"/>
  <c r="BW50" i="329"/>
  <c r="BW51" i="329" s="1"/>
  <c r="BX44" i="329"/>
  <c r="BX50" i="329" s="1"/>
  <c r="BX51" i="329" s="1"/>
  <c r="BW35" i="329"/>
  <c r="CE92" i="329"/>
  <c r="BW29" i="329"/>
  <c r="BW33" i="329"/>
  <c r="BW30" i="329"/>
  <c r="BW34" i="329"/>
  <c r="BW31" i="329"/>
  <c r="BW92" i="329"/>
  <c r="BW32" i="329"/>
  <c r="CD105" i="329"/>
  <c r="CD106" i="329" s="1"/>
  <c r="CD96" i="329"/>
  <c r="CD97" i="329" s="1"/>
  <c r="CD93" i="329"/>
  <c r="CD94" i="329"/>
  <c r="CV389" i="329"/>
  <c r="CV135" i="2"/>
  <c r="CW135" i="2"/>
  <c r="CW389" i="329"/>
  <c r="CY30" i="329"/>
  <c r="CZ30" i="329" s="1"/>
  <c r="DA30" i="329" s="1"/>
  <c r="DB30" i="329" s="1"/>
  <c r="DC30" i="329" s="1"/>
  <c r="DD30" i="329" s="1"/>
  <c r="DE30" i="329" s="1"/>
  <c r="CY31" i="329"/>
  <c r="CZ31" i="329" s="1"/>
  <c r="DA31" i="329" s="1"/>
  <c r="DB31" i="329" s="1"/>
  <c r="DC31" i="329" s="1"/>
  <c r="DD31" i="329" s="1"/>
  <c r="DE31" i="329" s="1"/>
  <c r="CY35" i="329"/>
  <c r="CZ35" i="329" s="1"/>
  <c r="DA35" i="329" s="1"/>
  <c r="DB35" i="329" s="1"/>
  <c r="DC35" i="329" s="1"/>
  <c r="DD35" i="329" s="1"/>
  <c r="DE35" i="329" s="1"/>
  <c r="CY29" i="329"/>
  <c r="CZ29" i="329" s="1"/>
  <c r="DA29" i="329" s="1"/>
  <c r="DB29" i="329" s="1"/>
  <c r="DC29" i="329" s="1"/>
  <c r="DD29" i="329" s="1"/>
  <c r="DE29" i="329" s="1"/>
  <c r="CY32" i="329"/>
  <c r="CZ32" i="329" s="1"/>
  <c r="DA32" i="329" s="1"/>
  <c r="DB32" i="329" s="1"/>
  <c r="DC32" i="329" s="1"/>
  <c r="DD32" i="329" s="1"/>
  <c r="DE32" i="329" s="1"/>
  <c r="CY34" i="329"/>
  <c r="CZ34" i="329" s="1"/>
  <c r="DA34" i="329" s="1"/>
  <c r="DB34" i="329" s="1"/>
  <c r="DC34" i="329" s="1"/>
  <c r="DD34" i="329" s="1"/>
  <c r="DE34" i="329" s="1"/>
  <c r="CY33" i="329"/>
  <c r="CZ33" i="329" s="1"/>
  <c r="DA33" i="329" s="1"/>
  <c r="DB33" i="329" s="1"/>
  <c r="DC33" i="329" s="1"/>
  <c r="DD33" i="329" s="1"/>
  <c r="DE33" i="329" s="1"/>
  <c r="CZ44" i="329"/>
  <c r="DA44" i="329" s="1"/>
  <c r="DB44" i="329" s="1"/>
  <c r="DC44" i="329" s="1"/>
  <c r="DD44" i="329" s="1"/>
  <c r="DE44" i="329" s="1"/>
  <c r="CK109" i="3"/>
  <c r="CW388" i="329"/>
  <c r="CW380" i="329"/>
  <c r="CW385" i="329"/>
  <c r="CY87" i="329"/>
  <c r="CY371" i="329"/>
  <c r="ED108" i="329"/>
  <c r="EC108" i="329"/>
  <c r="CX89" i="329"/>
  <c r="CX88" i="329"/>
  <c r="CX96" i="329"/>
  <c r="BV96" i="329"/>
  <c r="BV97" i="329" s="1"/>
  <c r="BV105" i="329"/>
  <c r="BV106" i="329" s="1"/>
  <c r="BV94" i="329"/>
  <c r="BV93" i="329"/>
  <c r="EV318" i="329"/>
  <c r="EV321" i="329"/>
  <c r="EW318" i="329"/>
  <c r="EV399" i="329"/>
  <c r="EV105" i="2" s="1"/>
  <c r="EX360" i="329"/>
  <c r="DA324" i="329"/>
  <c r="DA395" i="329"/>
  <c r="DA396" i="329" s="1"/>
  <c r="CE235" i="2"/>
  <c r="EP305" i="329"/>
  <c r="ER300" i="329"/>
  <c r="CZ324" i="329"/>
  <c r="CZ395" i="329"/>
  <c r="AO242" i="329"/>
  <c r="EG259" i="329"/>
  <c r="EG371" i="329" s="1"/>
  <c r="EG372" i="329" s="1"/>
  <c r="EV306" i="329"/>
  <c r="EV301" i="329"/>
  <c r="EO385" i="329"/>
  <c r="EU123" i="2"/>
  <c r="EU119" i="2"/>
  <c r="BN235" i="2"/>
  <c r="BR235" i="2"/>
  <c r="EU305" i="329"/>
  <c r="EV305" i="329"/>
  <c r="EW305" i="329"/>
  <c r="BH235" i="2"/>
  <c r="BL235" i="2"/>
  <c r="AQ249" i="329"/>
  <c r="AP259" i="329"/>
  <c r="AP242" i="329" s="1"/>
  <c r="EP306" i="329"/>
  <c r="EP301" i="329"/>
  <c r="EW306" i="329"/>
  <c r="EW301" i="329"/>
  <c r="ER305" i="329"/>
  <c r="EP321" i="329"/>
  <c r="EP399" i="329"/>
  <c r="EP105" i="2" s="1"/>
  <c r="EU306" i="329"/>
  <c r="EU301" i="329"/>
  <c r="ER306" i="329"/>
  <c r="ER301" i="329"/>
  <c r="EV300" i="329"/>
  <c r="EW300" i="329"/>
  <c r="ES300" i="329"/>
  <c r="ES306" i="329"/>
  <c r="ES301" i="329"/>
  <c r="ET301" i="329"/>
  <c r="ET306" i="329"/>
  <c r="ES34" i="3"/>
  <c r="BW116" i="4"/>
  <c r="BW119" i="4"/>
  <c r="EQ217" i="2"/>
  <c r="ER217" i="2"/>
  <c r="EU83" i="2"/>
  <c r="EH111" i="3"/>
  <c r="EU111" i="2"/>
  <c r="EH104" i="4"/>
  <c r="EH106" i="4" s="1"/>
  <c r="EU82" i="2"/>
  <c r="EU140" i="2"/>
  <c r="EU132" i="2"/>
  <c r="EU171" i="2"/>
  <c r="CD235" i="2"/>
  <c r="EX363" i="329"/>
  <c r="CE51" i="2"/>
  <c r="CE54" i="2" s="1"/>
  <c r="CE115" i="2"/>
  <c r="EQ239" i="2"/>
  <c r="EQ201" i="2"/>
  <c r="EQ171" i="2"/>
  <c r="ER239" i="2"/>
  <c r="CS112" i="2"/>
  <c r="CS84" i="2"/>
  <c r="CG112" i="3"/>
  <c r="CW112" i="2"/>
  <c r="BV113" i="4"/>
  <c r="EC113" i="4"/>
  <c r="BC234" i="2"/>
  <c r="BG234" i="2"/>
  <c r="BC321" i="329"/>
  <c r="CM37" i="2"/>
  <c r="CM114" i="2"/>
  <c r="CM88" i="2"/>
  <c r="CM34" i="2"/>
  <c r="EX331" i="329"/>
  <c r="EX332" i="329" s="1"/>
  <c r="EX359" i="329"/>
  <c r="EN115" i="2"/>
  <c r="EM115" i="2"/>
  <c r="EA108" i="4"/>
  <c r="EM51" i="2"/>
  <c r="EM54" i="2" s="1"/>
  <c r="EU91" i="2"/>
  <c r="EX148" i="2"/>
  <c r="EX396" i="329"/>
  <c r="EL51" i="2"/>
  <c r="EL54" i="2" s="1"/>
  <c r="DZ108" i="4"/>
  <c r="BV235" i="2"/>
  <c r="BZ235" i="2"/>
  <c r="CC115" i="2"/>
  <c r="CC51" i="2"/>
  <c r="CC54" i="2" s="1"/>
  <c r="EX362" i="329"/>
  <c r="BT118" i="329"/>
  <c r="BT117" i="329"/>
  <c r="CB117" i="329"/>
  <c r="BX117" i="329"/>
  <c r="BT116" i="329"/>
  <c r="CB118" i="329"/>
  <c r="BY235" i="2"/>
  <c r="ET97" i="2"/>
  <c r="EM218" i="2"/>
  <c r="EX193" i="2"/>
  <c r="EX213" i="2" s="1"/>
  <c r="EX165" i="2"/>
  <c r="EX234" i="2" s="1"/>
  <c r="EX230" i="2"/>
  <c r="DR62" i="4"/>
  <c r="DR64" i="4" s="1"/>
  <c r="DQ65" i="4"/>
  <c r="EO103" i="329"/>
  <c r="EO101" i="329"/>
  <c r="EO105" i="329"/>
  <c r="EK310" i="329"/>
  <c r="BB311" i="329"/>
  <c r="BF311" i="329"/>
  <c r="BF313" i="329"/>
  <c r="BM248" i="329"/>
  <c r="BX102" i="329"/>
  <c r="CF118" i="329"/>
  <c r="CF88" i="2"/>
  <c r="CF34" i="2"/>
  <c r="ER34" i="2" s="1"/>
  <c r="CF37" i="2"/>
  <c r="AR94" i="4"/>
  <c r="AV96" i="4"/>
  <c r="AR96" i="4"/>
  <c r="CS30" i="2"/>
  <c r="CS87" i="2"/>
  <c r="CS86" i="2"/>
  <c r="CS113" i="2"/>
  <c r="CW113" i="2"/>
  <c r="BG321" i="329"/>
  <c r="ER73" i="2"/>
  <c r="ER84" i="2"/>
  <c r="ER72" i="2"/>
  <c r="EH84" i="3"/>
  <c r="BY119" i="4"/>
  <c r="BY116" i="4"/>
  <c r="CG51" i="2"/>
  <c r="BS94" i="4"/>
  <c r="DZ125" i="3"/>
  <c r="DZ126" i="3"/>
  <c r="BF321" i="329"/>
  <c r="BP248" i="329"/>
  <c r="BO276" i="329"/>
  <c r="BO287" i="329" s="1"/>
  <c r="S65" i="4"/>
  <c r="T62" i="4"/>
  <c r="T64" i="4" s="1"/>
  <c r="EN139" i="329"/>
  <c r="EO138" i="329" s="1"/>
  <c r="EO140" i="329" s="1"/>
  <c r="EQ129" i="329"/>
  <c r="EQ138" i="329" s="1"/>
  <c r="EQ140" i="329" s="1"/>
  <c r="CC235" i="2"/>
  <c r="CG235" i="2"/>
  <c r="EL309" i="329"/>
  <c r="EK309" i="329"/>
  <c r="BZ94" i="4"/>
  <c r="BZ96" i="4"/>
  <c r="AV14" i="329"/>
  <c r="AU41" i="329"/>
  <c r="CS97" i="2"/>
  <c r="CW97" i="2"/>
  <c r="EO391" i="329"/>
  <c r="EC108" i="3"/>
  <c r="EO142" i="2"/>
  <c r="EO141" i="2"/>
  <c r="CM100" i="2"/>
  <c r="EX364" i="329"/>
  <c r="EX355" i="329"/>
  <c r="EX356" i="329" s="1"/>
  <c r="EE113" i="4"/>
  <c r="BC311" i="329"/>
  <c r="BG311" i="329"/>
  <c r="CM101" i="2"/>
  <c r="DZ119" i="4"/>
  <c r="EA107" i="4"/>
  <c r="EA100" i="4" s="1"/>
  <c r="EQ142" i="2"/>
  <c r="EQ391" i="329"/>
  <c r="EQ141" i="2"/>
  <c r="CM98" i="2"/>
  <c r="DE222" i="2"/>
  <c r="EX152" i="2"/>
  <c r="DE176" i="2"/>
  <c r="DY119" i="4"/>
  <c r="DZ107" i="4"/>
  <c r="DZ100" i="4" s="1"/>
  <c r="DZ116" i="4"/>
  <c r="BW94" i="4"/>
  <c r="BW96" i="4"/>
  <c r="BX110" i="329"/>
  <c r="BX122" i="329" s="1"/>
  <c r="BB234" i="2"/>
  <c r="BF234" i="2"/>
  <c r="BB321" i="329"/>
  <c r="BU116" i="4"/>
  <c r="BU119" i="4"/>
  <c r="BB390" i="329"/>
  <c r="BB112" i="4"/>
  <c r="BB383" i="329"/>
  <c r="BB142" i="2" s="1"/>
  <c r="BC383" i="329"/>
  <c r="BC142" i="2" s="1"/>
  <c r="BP126" i="329"/>
  <c r="BP123" i="329" s="1"/>
  <c r="BP105" i="329"/>
  <c r="BT106" i="329" s="1"/>
  <c r="EN125" i="329"/>
  <c r="BP107" i="329"/>
  <c r="BT108" i="329" s="1"/>
  <c r="CB126" i="329"/>
  <c r="CB123" i="329" s="1"/>
  <c r="EF116" i="3"/>
  <c r="FC128" i="329"/>
  <c r="EO388" i="329" l="1"/>
  <c r="EA126" i="3"/>
  <c r="DY69" i="3"/>
  <c r="DA95" i="4"/>
  <c r="CZ95" i="4"/>
  <c r="CX372" i="329"/>
  <c r="CE136" i="2"/>
  <c r="ES39" i="4"/>
  <c r="ET19" i="3"/>
  <c r="DC30" i="2"/>
  <c r="DC87" i="2"/>
  <c r="DC440" i="329" s="1"/>
  <c r="DC86" i="2"/>
  <c r="DC100" i="2" s="1"/>
  <c r="AX38" i="329"/>
  <c r="AY11" i="329"/>
  <c r="CQ112" i="3"/>
  <c r="DC84" i="2"/>
  <c r="EU112" i="2"/>
  <c r="BR94" i="4"/>
  <c r="AU119" i="4"/>
  <c r="AU107" i="4"/>
  <c r="AU100" i="4" s="1"/>
  <c r="AU116" i="4"/>
  <c r="CZ82" i="329"/>
  <c r="CZ371" i="329" s="1"/>
  <c r="BR96" i="4"/>
  <c r="EI98" i="2"/>
  <c r="AU51" i="2"/>
  <c r="AU54" i="2" s="1"/>
  <c r="AU108" i="4"/>
  <c r="AU115" i="2"/>
  <c r="EX246" i="2"/>
  <c r="AZ96" i="4"/>
  <c r="AZ94" i="4"/>
  <c r="ER134" i="2"/>
  <c r="ET84" i="2"/>
  <c r="EU98" i="2" s="1"/>
  <c r="ER37" i="2"/>
  <c r="EF108" i="4" s="1"/>
  <c r="ET112" i="2"/>
  <c r="ER88" i="2"/>
  <c r="EK37" i="2"/>
  <c r="EL115" i="2" s="1"/>
  <c r="EG107" i="3"/>
  <c r="EG78" i="3" s="1"/>
  <c r="ES64" i="2"/>
  <c r="DB113" i="2"/>
  <c r="AL5" i="2"/>
  <c r="AH4" i="3"/>
  <c r="AH4" i="329"/>
  <c r="BM56" i="329"/>
  <c r="BL58" i="329"/>
  <c r="BL57" i="329"/>
  <c r="ET72" i="2"/>
  <c r="EX245" i="2"/>
  <c r="EF105" i="3"/>
  <c r="EF126" i="3" s="1"/>
  <c r="EX169" i="2"/>
  <c r="EX200" i="2" s="1"/>
  <c r="EX217" i="2" s="1"/>
  <c r="EI77" i="329"/>
  <c r="AW79" i="329"/>
  <c r="AW78" i="329"/>
  <c r="DE200" i="2"/>
  <c r="DE217" i="2" s="1"/>
  <c r="ED125" i="3"/>
  <c r="DE238" i="2"/>
  <c r="DF68" i="2"/>
  <c r="EP51" i="2"/>
  <c r="EP54" i="2" s="1"/>
  <c r="DD30" i="2"/>
  <c r="DD87" i="2"/>
  <c r="DD86" i="2"/>
  <c r="DD100" i="2" s="1"/>
  <c r="DD113" i="2"/>
  <c r="BF126" i="3"/>
  <c r="EP101" i="2"/>
  <c r="DD112" i="2"/>
  <c r="DD84" i="2"/>
  <c r="DD98" i="2" s="1"/>
  <c r="CR112" i="3"/>
  <c r="BX126" i="3"/>
  <c r="BX125" i="3"/>
  <c r="CK108" i="4"/>
  <c r="CK94" i="4" s="1"/>
  <c r="DW69" i="3"/>
  <c r="EW132" i="2"/>
  <c r="CA125" i="3"/>
  <c r="BZ126" i="3"/>
  <c r="BY126" i="3"/>
  <c r="BY125" i="3"/>
  <c r="BX51" i="2"/>
  <c r="BX54" i="2" s="1"/>
  <c r="BX108" i="4"/>
  <c r="BX115" i="2"/>
  <c r="BZ125" i="3"/>
  <c r="FE56" i="329"/>
  <c r="FE57" i="329" s="1"/>
  <c r="DA65" i="329"/>
  <c r="EW64" i="329"/>
  <c r="DA64" i="329"/>
  <c r="DA70" i="329"/>
  <c r="EW71" i="329" s="1"/>
  <c r="CZ72" i="329"/>
  <c r="BR116" i="4"/>
  <c r="BR119" i="4"/>
  <c r="BZ115" i="2"/>
  <c r="BZ51" i="2"/>
  <c r="BZ54" i="2" s="1"/>
  <c r="CD115" i="2"/>
  <c r="EW140" i="2"/>
  <c r="EW171" i="2"/>
  <c r="EJ104" i="4"/>
  <c r="EJ106" i="4" s="1"/>
  <c r="EJ111" i="3"/>
  <c r="BS96" i="4"/>
  <c r="EW82" i="2"/>
  <c r="EP115" i="2"/>
  <c r="ET113" i="2"/>
  <c r="EX123" i="2"/>
  <c r="EV245" i="2"/>
  <c r="EV246" i="2"/>
  <c r="ET87" i="2"/>
  <c r="EP246" i="2"/>
  <c r="EP245" i="2"/>
  <c r="EO51" i="2"/>
  <c r="EO54" i="2" s="1"/>
  <c r="EC108" i="4"/>
  <c r="EC94" i="4" s="1"/>
  <c r="EB119" i="4"/>
  <c r="EC107" i="4"/>
  <c r="EC100" i="4" s="1"/>
  <c r="EC125" i="3"/>
  <c r="EC126" i="3"/>
  <c r="EE105" i="3"/>
  <c r="EO115" i="2"/>
  <c r="CW51" i="2"/>
  <c r="CW54" i="2" s="1"/>
  <c r="CA126" i="3"/>
  <c r="BI69" i="3"/>
  <c r="BJ69" i="3"/>
  <c r="AY94" i="4"/>
  <c r="BC96" i="4"/>
  <c r="BA126" i="3"/>
  <c r="BC125" i="3"/>
  <c r="BD126" i="3"/>
  <c r="BC126" i="3"/>
  <c r="BB125" i="3"/>
  <c r="FE6" i="2"/>
  <c r="EQ5" i="3"/>
  <c r="EQ5" i="4"/>
  <c r="FD5" i="329"/>
  <c r="ER96" i="2"/>
  <c r="CK116" i="4"/>
  <c r="BD125" i="3"/>
  <c r="BA125" i="3"/>
  <c r="CZ127" i="2"/>
  <c r="DA127" i="2"/>
  <c r="EL96" i="2"/>
  <c r="EM96" i="2"/>
  <c r="DR69" i="3"/>
  <c r="DR114" i="3"/>
  <c r="CO96" i="2"/>
  <c r="CS96" i="2"/>
  <c r="EO98" i="2"/>
  <c r="EP98" i="2"/>
  <c r="EE73" i="2"/>
  <c r="EF112" i="2"/>
  <c r="EE112" i="2"/>
  <c r="DS112" i="3"/>
  <c r="EE72" i="2"/>
  <c r="EE84" i="2"/>
  <c r="EL84" i="2"/>
  <c r="EL112" i="2"/>
  <c r="EL73" i="2"/>
  <c r="DZ112" i="3"/>
  <c r="EM112" i="2"/>
  <c r="EL72" i="2"/>
  <c r="BI114" i="3"/>
  <c r="BL69" i="3"/>
  <c r="AI69" i="3"/>
  <c r="AJ69" i="3"/>
  <c r="AG114" i="3"/>
  <c r="AH69" i="3"/>
  <c r="AG69" i="3"/>
  <c r="EF96" i="2"/>
  <c r="EE96" i="2"/>
  <c r="EU58" i="2"/>
  <c r="ET64" i="2"/>
  <c r="CP58" i="2"/>
  <c r="CP60" i="2" s="1"/>
  <c r="EU60" i="2" s="1"/>
  <c r="AK98" i="2"/>
  <c r="AG98" i="2"/>
  <c r="EP14" i="4"/>
  <c r="EE112" i="3"/>
  <c r="EE69" i="3" s="1"/>
  <c r="EC114" i="3"/>
  <c r="EE114" i="3" s="1"/>
  <c r="EC69" i="3"/>
  <c r="BE125" i="3"/>
  <c r="EW111" i="2"/>
  <c r="BG125" i="3"/>
  <c r="EW83" i="2"/>
  <c r="BG126" i="3"/>
  <c r="BE126" i="3"/>
  <c r="EW25" i="2"/>
  <c r="EW86" i="2" s="1"/>
  <c r="EY399" i="329"/>
  <c r="EY105" i="2" s="1"/>
  <c r="EV83" i="2"/>
  <c r="CA108" i="4"/>
  <c r="CI51" i="2"/>
  <c r="CI54" i="2" s="1"/>
  <c r="CI115" i="2"/>
  <c r="CP14" i="3"/>
  <c r="EJ14" i="3"/>
  <c r="CO15" i="3"/>
  <c r="EJ15" i="3" s="1"/>
  <c r="BH65" i="329"/>
  <c r="BH64" i="329"/>
  <c r="BI63" i="329"/>
  <c r="CX379" i="329"/>
  <c r="DO132" i="3"/>
  <c r="DB97" i="2"/>
  <c r="DA97" i="2"/>
  <c r="DC98" i="2"/>
  <c r="CL84" i="3"/>
  <c r="CM84" i="3"/>
  <c r="CO84" i="3"/>
  <c r="CW137" i="2"/>
  <c r="CW142" i="2"/>
  <c r="F122" i="329"/>
  <c r="DY122" i="329" s="1"/>
  <c r="DY110" i="329"/>
  <c r="EH90" i="329"/>
  <c r="EH34" i="329"/>
  <c r="EH30" i="329"/>
  <c r="EX226" i="2"/>
  <c r="EH33" i="329"/>
  <c r="ET30" i="2"/>
  <c r="EH374" i="329"/>
  <c r="EH375" i="329" s="1"/>
  <c r="BH116" i="4"/>
  <c r="BH119" i="4"/>
  <c r="BH107" i="4"/>
  <c r="BH100" i="4" s="1"/>
  <c r="EG114" i="2"/>
  <c r="EG34" i="2"/>
  <c r="DU105" i="3"/>
  <c r="EG134" i="2"/>
  <c r="EG37" i="2"/>
  <c r="EG88" i="2"/>
  <c r="EG101" i="2" s="1"/>
  <c r="EH134" i="2"/>
  <c r="EH34" i="2"/>
  <c r="DV105" i="3"/>
  <c r="EH114" i="2"/>
  <c r="EH88" i="2"/>
  <c r="EH37" i="2"/>
  <c r="BA119" i="4"/>
  <c r="BA116" i="4"/>
  <c r="BA107" i="4"/>
  <c r="BA100" i="4" s="1"/>
  <c r="AS51" i="2"/>
  <c r="AS54" i="2" s="1"/>
  <c r="AS108" i="4"/>
  <c r="AS94" i="4" s="1"/>
  <c r="AS115" i="2"/>
  <c r="DV69" i="3"/>
  <c r="DV114" i="3"/>
  <c r="AO119" i="4"/>
  <c r="AO116" i="4"/>
  <c r="AO107" i="4"/>
  <c r="AW115" i="2"/>
  <c r="AW108" i="4"/>
  <c r="AW51" i="2"/>
  <c r="AW54" i="2" s="1"/>
  <c r="DU69" i="3"/>
  <c r="DU114" i="3"/>
  <c r="EI100" i="2"/>
  <c r="EJ100" i="2"/>
  <c r="EH98" i="2"/>
  <c r="BI126" i="3"/>
  <c r="BK126" i="3"/>
  <c r="BH126" i="3"/>
  <c r="BJ126" i="3"/>
  <c r="BJ125" i="3"/>
  <c r="AQ126" i="3"/>
  <c r="AP125" i="3"/>
  <c r="AR125" i="3"/>
  <c r="AR126" i="3"/>
  <c r="AO125" i="3"/>
  <c r="AQ125" i="3"/>
  <c r="AO126" i="3"/>
  <c r="AP126" i="3"/>
  <c r="EH100" i="2"/>
  <c r="AW107" i="4"/>
  <c r="AW100" i="4" s="1"/>
  <c r="AW116" i="4"/>
  <c r="AW119" i="4"/>
  <c r="AZ125" i="3"/>
  <c r="AY126" i="3"/>
  <c r="AX126" i="3"/>
  <c r="AY125" i="3"/>
  <c r="AX125" i="3"/>
  <c r="AZ126" i="3"/>
  <c r="AW126" i="3"/>
  <c r="AW125" i="3"/>
  <c r="BH125" i="3"/>
  <c r="BK125" i="3"/>
  <c r="AS116" i="4"/>
  <c r="AS107" i="4"/>
  <c r="AS100" i="4" s="1"/>
  <c r="AS119" i="4"/>
  <c r="BE51" i="2"/>
  <c r="BE54" i="2" s="1"/>
  <c r="BE115" i="2"/>
  <c r="BE108" i="4"/>
  <c r="BI115" i="2"/>
  <c r="EH31" i="329"/>
  <c r="EH29" i="329"/>
  <c r="BL115" i="2"/>
  <c r="BH108" i="4"/>
  <c r="BH51" i="2"/>
  <c r="BH54" i="2" s="1"/>
  <c r="AO115" i="2"/>
  <c r="AO51" i="2"/>
  <c r="AO54" i="2" s="1"/>
  <c r="AO108" i="4"/>
  <c r="EF134" i="2"/>
  <c r="BA108" i="4"/>
  <c r="BA51" i="2"/>
  <c r="BA54" i="2" s="1"/>
  <c r="BA115" i="2"/>
  <c r="BH115" i="2"/>
  <c r="AT126" i="3"/>
  <c r="AV125" i="3"/>
  <c r="AU126" i="3"/>
  <c r="AS126" i="3"/>
  <c r="AV126" i="3"/>
  <c r="AT125" i="3"/>
  <c r="AU125" i="3"/>
  <c r="AS125" i="3"/>
  <c r="EI37" i="2"/>
  <c r="EI134" i="2"/>
  <c r="EI114" i="2"/>
  <c r="EI34" i="2"/>
  <c r="EI88" i="2"/>
  <c r="DW105" i="3"/>
  <c r="BE116" i="4"/>
  <c r="BE107" i="4"/>
  <c r="BE100" i="4" s="1"/>
  <c r="BE119" i="4"/>
  <c r="FH184" i="2"/>
  <c r="FH186" i="2"/>
  <c r="FH183" i="2" s="1"/>
  <c r="FH209" i="2" s="1"/>
  <c r="FH245" i="2" s="1"/>
  <c r="FH194" i="2"/>
  <c r="FH196" i="2"/>
  <c r="FH193" i="2"/>
  <c r="FH213" i="2" s="1"/>
  <c r="FH246" i="2" s="1"/>
  <c r="CN114" i="2"/>
  <c r="EW307" i="329"/>
  <c r="EV91" i="2"/>
  <c r="CK119" i="4"/>
  <c r="EY318" i="329"/>
  <c r="ES97" i="2"/>
  <c r="EV111" i="2"/>
  <c r="EW91" i="2"/>
  <c r="CI80" i="329"/>
  <c r="CI85" i="329" s="1"/>
  <c r="CI374" i="329" s="1"/>
  <c r="CI82" i="329"/>
  <c r="CJ77" i="329"/>
  <c r="CI78" i="329"/>
  <c r="ER382" i="329"/>
  <c r="EP375" i="329"/>
  <c r="EP382" i="329"/>
  <c r="CF388" i="329"/>
  <c r="CF385" i="329"/>
  <c r="CF379" i="329"/>
  <c r="CF380" i="329"/>
  <c r="AU12" i="329"/>
  <c r="AT39" i="329"/>
  <c r="AT44" i="329" s="1"/>
  <c r="AT32" i="329" s="1"/>
  <c r="AT17" i="329"/>
  <c r="AT48" i="329" s="1"/>
  <c r="AT49" i="329" s="1"/>
  <c r="AT90" i="329" s="1"/>
  <c r="CH87" i="329"/>
  <c r="CH371" i="329"/>
  <c r="CX382" i="329"/>
  <c r="CX375" i="329"/>
  <c r="CW141" i="2"/>
  <c r="CK108" i="3"/>
  <c r="CK95" i="3" s="1"/>
  <c r="CW391" i="329"/>
  <c r="CW166" i="2"/>
  <c r="DC93" i="329"/>
  <c r="CY94" i="329"/>
  <c r="CY374" i="329"/>
  <c r="CY93" i="329"/>
  <c r="BX93" i="3"/>
  <c r="BX94" i="3" s="1"/>
  <c r="BX91" i="3"/>
  <c r="BX92" i="3" s="1"/>
  <c r="CG89" i="329"/>
  <c r="CG103" i="329" s="1"/>
  <c r="CG104" i="329" s="1"/>
  <c r="CG101" i="329"/>
  <c r="CG102" i="329" s="1"/>
  <c r="CG378" i="329"/>
  <c r="ER87" i="329"/>
  <c r="CG88" i="329"/>
  <c r="CX164" i="2"/>
  <c r="EW94" i="329"/>
  <c r="CZ85" i="329"/>
  <c r="CZ93" i="329"/>
  <c r="DD93" i="329"/>
  <c r="CZ374" i="329"/>
  <c r="CZ94" i="329"/>
  <c r="AS32" i="329"/>
  <c r="AS31" i="329"/>
  <c r="AS50" i="329"/>
  <c r="AS51" i="329" s="1"/>
  <c r="AS29" i="329"/>
  <c r="AS34" i="329"/>
  <c r="AS30" i="329"/>
  <c r="AS33" i="329"/>
  <c r="BX386" i="329"/>
  <c r="BX135" i="2"/>
  <c r="BX389" i="329"/>
  <c r="BY379" i="329"/>
  <c r="BY135" i="2" s="1"/>
  <c r="BY388" i="329"/>
  <c r="BY380" i="329"/>
  <c r="BY385" i="329"/>
  <c r="BY109" i="3"/>
  <c r="CH382" i="329"/>
  <c r="CH375" i="329"/>
  <c r="DB77" i="329"/>
  <c r="EW77" i="329"/>
  <c r="DA80" i="329"/>
  <c r="DA78" i="329"/>
  <c r="EW78" i="329" s="1"/>
  <c r="S379" i="329"/>
  <c r="S135" i="2" s="1"/>
  <c r="S136" i="2" s="1"/>
  <c r="S388" i="329"/>
  <c r="S109" i="3"/>
  <c r="S380" i="329"/>
  <c r="S385" i="329"/>
  <c r="DO91" i="3"/>
  <c r="DO92" i="3" s="1"/>
  <c r="DO93" i="3"/>
  <c r="DO94" i="3" s="1"/>
  <c r="T378" i="329"/>
  <c r="T88" i="329"/>
  <c r="T101" i="329"/>
  <c r="U87" i="329"/>
  <c r="T89" i="329"/>
  <c r="T96" i="329"/>
  <c r="T97" i="329" s="1"/>
  <c r="R91" i="3"/>
  <c r="R92" i="3" s="1"/>
  <c r="R93" i="3"/>
  <c r="R94" i="3" s="1"/>
  <c r="EA389" i="329"/>
  <c r="EA135" i="2"/>
  <c r="EA136" i="2" s="1"/>
  <c r="EA386" i="329"/>
  <c r="S103" i="329"/>
  <c r="S104" i="329" s="1"/>
  <c r="S98" i="329"/>
  <c r="S99" i="329" s="1"/>
  <c r="R389" i="329"/>
  <c r="R386" i="329"/>
  <c r="R104" i="329"/>
  <c r="AM306" i="329"/>
  <c r="AM301" i="329"/>
  <c r="AQ103" i="329"/>
  <c r="AQ98" i="329"/>
  <c r="EH70" i="329"/>
  <c r="AS72" i="329"/>
  <c r="AS71" i="329"/>
  <c r="AS87" i="329"/>
  <c r="AR96" i="329"/>
  <c r="AR89" i="329"/>
  <c r="AR101" i="329"/>
  <c r="EK101" i="2"/>
  <c r="AN291" i="329"/>
  <c r="AN292" i="329"/>
  <c r="AN299" i="329"/>
  <c r="AN304" i="329"/>
  <c r="AO290" i="329"/>
  <c r="AM305" i="329"/>
  <c r="AL307" i="329"/>
  <c r="CT98" i="2"/>
  <c r="ES307" i="329"/>
  <c r="EI13" i="329"/>
  <c r="AX13" i="329" s="1"/>
  <c r="AW40" i="329"/>
  <c r="EI40" i="329" s="1"/>
  <c r="BU102" i="329"/>
  <c r="BB96" i="4"/>
  <c r="BB94" i="4"/>
  <c r="EJ51" i="2"/>
  <c r="EJ54" i="2" s="1"/>
  <c r="DX108" i="4"/>
  <c r="DX94" i="4" s="1"/>
  <c r="CT101" i="2"/>
  <c r="CP34" i="2"/>
  <c r="CD105" i="3"/>
  <c r="CP88" i="2"/>
  <c r="CP37" i="2"/>
  <c r="DX107" i="4"/>
  <c r="DX100" i="4" s="1"/>
  <c r="DX116" i="4"/>
  <c r="DW119" i="4"/>
  <c r="AX94" i="4"/>
  <c r="AX96" i="4"/>
  <c r="EO218" i="2"/>
  <c r="EN218" i="2"/>
  <c r="CB114" i="3"/>
  <c r="CB69" i="3"/>
  <c r="ES217" i="2"/>
  <c r="CT114" i="2"/>
  <c r="CT37" i="2"/>
  <c r="CT88" i="2"/>
  <c r="CT34" i="2"/>
  <c r="CH105" i="3"/>
  <c r="EU239" i="2"/>
  <c r="ES171" i="2"/>
  <c r="ES201" i="2"/>
  <c r="ES239" i="2"/>
  <c r="CB105" i="3"/>
  <c r="CJ88" i="2"/>
  <c r="CJ34" i="2"/>
  <c r="CB107" i="4" s="1"/>
  <c r="CB100" i="4" s="1"/>
  <c r="CJ114" i="2"/>
  <c r="CJ37" i="2"/>
  <c r="DX125" i="3"/>
  <c r="DX126" i="3"/>
  <c r="BK94" i="4"/>
  <c r="BK96" i="4"/>
  <c r="BO96" i="4"/>
  <c r="CT100" i="2"/>
  <c r="CN101" i="2"/>
  <c r="EI84" i="3"/>
  <c r="AY15" i="329"/>
  <c r="AX42" i="329"/>
  <c r="AW16" i="329"/>
  <c r="AV43" i="329"/>
  <c r="DB30" i="2"/>
  <c r="DB86" i="2"/>
  <c r="DB100" i="2" s="1"/>
  <c r="DB87" i="2"/>
  <c r="DB101" i="2" s="1"/>
  <c r="CJ112" i="3"/>
  <c r="CM69" i="3" s="1"/>
  <c r="CV84" i="2"/>
  <c r="EV20" i="2"/>
  <c r="EW112" i="2" s="1"/>
  <c r="CZ112" i="2"/>
  <c r="ET238" i="2"/>
  <c r="ET170" i="2"/>
  <c r="ET200" i="2"/>
  <c r="ET217" i="2" s="1"/>
  <c r="DA112" i="2"/>
  <c r="CO112" i="3"/>
  <c r="CO114" i="3" s="1"/>
  <c r="DA84" i="2"/>
  <c r="CR30" i="2"/>
  <c r="CR113" i="2"/>
  <c r="CR86" i="2"/>
  <c r="CR100" i="2" s="1"/>
  <c r="CR87" i="2"/>
  <c r="CR101" i="2" s="1"/>
  <c r="CO217" i="2"/>
  <c r="CS217" i="2"/>
  <c r="DA86" i="2"/>
  <c r="DA100" i="2" s="1"/>
  <c r="DA87" i="2"/>
  <c r="DA30" i="2"/>
  <c r="DA113" i="2"/>
  <c r="CO34" i="2"/>
  <c r="CO88" i="2"/>
  <c r="CO37" i="2"/>
  <c r="CO114" i="2"/>
  <c r="EV140" i="2"/>
  <c r="EV132" i="2"/>
  <c r="EV171" i="2"/>
  <c r="EI104" i="4"/>
  <c r="EI106" i="4" s="1"/>
  <c r="EV82" i="2"/>
  <c r="EI111" i="3"/>
  <c r="CP112" i="3"/>
  <c r="DB84" i="2"/>
  <c r="DB98" i="2" s="1"/>
  <c r="CV113" i="2"/>
  <c r="CZ113" i="2"/>
  <c r="CV86" i="2"/>
  <c r="CV30" i="2"/>
  <c r="CV87" i="2"/>
  <c r="EV25" i="2"/>
  <c r="EV113" i="2" s="1"/>
  <c r="CN217" i="2"/>
  <c r="CR217" i="2"/>
  <c r="CV112" i="2"/>
  <c r="CR84" i="2"/>
  <c r="CR98" i="2" s="1"/>
  <c r="CR112" i="2"/>
  <c r="CF112" i="3"/>
  <c r="CF114" i="3" s="1"/>
  <c r="CV97" i="2"/>
  <c r="CZ97" i="2"/>
  <c r="CN34" i="2"/>
  <c r="CN88" i="2"/>
  <c r="CN37" i="2"/>
  <c r="BD94" i="4"/>
  <c r="BD96" i="4"/>
  <c r="DY126" i="3"/>
  <c r="DY125" i="3"/>
  <c r="DY107" i="4"/>
  <c r="DY100" i="4" s="1"/>
  <c r="DY116" i="4"/>
  <c r="DX119" i="4"/>
  <c r="BY96" i="4"/>
  <c r="BF96" i="4"/>
  <c r="BF94" i="4"/>
  <c r="BJ96" i="4"/>
  <c r="DC114" i="2"/>
  <c r="CQ98" i="2"/>
  <c r="ES112" i="2"/>
  <c r="ES84" i="2"/>
  <c r="ES73" i="2"/>
  <c r="EG112" i="3"/>
  <c r="ES72" i="2"/>
  <c r="ES30" i="2"/>
  <c r="CK88" i="2"/>
  <c r="CK114" i="2"/>
  <c r="CK37" i="2"/>
  <c r="CC105" i="3"/>
  <c r="CK34" i="2"/>
  <c r="CC69" i="3"/>
  <c r="CD69" i="3"/>
  <c r="CC114" i="3"/>
  <c r="ES86" i="2"/>
  <c r="ES100" i="2" s="1"/>
  <c r="ES113" i="2"/>
  <c r="ES87" i="2"/>
  <c r="ES101" i="2" s="1"/>
  <c r="CY98" i="2"/>
  <c r="BY51" i="2"/>
  <c r="BY54" i="2" s="1"/>
  <c r="BY107" i="4"/>
  <c r="BY100" i="4" s="1"/>
  <c r="EP34" i="2"/>
  <c r="ED107" i="4" s="1"/>
  <c r="ED100" i="4" s="1"/>
  <c r="CY101" i="2"/>
  <c r="CY100" i="2"/>
  <c r="CB34" i="2"/>
  <c r="CB37" i="2"/>
  <c r="CB88" i="2"/>
  <c r="CB114" i="2"/>
  <c r="EQ30" i="2"/>
  <c r="CL115" i="2"/>
  <c r="CL51" i="2"/>
  <c r="CL54" i="2" s="1"/>
  <c r="EQ73" i="2"/>
  <c r="EQ84" i="2"/>
  <c r="ER98" i="2" s="1"/>
  <c r="EQ72" i="2"/>
  <c r="EQ112" i="2"/>
  <c r="CM105" i="3"/>
  <c r="CY34" i="2"/>
  <c r="CY88" i="2"/>
  <c r="CY37" i="2"/>
  <c r="BZ116" i="4"/>
  <c r="BZ119" i="4"/>
  <c r="CQ100" i="2"/>
  <c r="EQ87" i="2"/>
  <c r="EQ86" i="2"/>
  <c r="EQ113" i="2"/>
  <c r="ER113" i="2"/>
  <c r="EQ97" i="2"/>
  <c r="CU51" i="2"/>
  <c r="CU54" i="2" s="1"/>
  <c r="CI108" i="4"/>
  <c r="CI94" i="4" s="1"/>
  <c r="CI119" i="4"/>
  <c r="CI116" i="4"/>
  <c r="CI107" i="4"/>
  <c r="CI100" i="4" s="1"/>
  <c r="CX114" i="2"/>
  <c r="CX34" i="2"/>
  <c r="CL105" i="3"/>
  <c r="CX88" i="2"/>
  <c r="CX37" i="2"/>
  <c r="CL114" i="3"/>
  <c r="CN69" i="3"/>
  <c r="CX100" i="2"/>
  <c r="CX98" i="2"/>
  <c r="CX101" i="2"/>
  <c r="EJ112" i="3"/>
  <c r="EW84" i="2"/>
  <c r="EH69" i="3"/>
  <c r="EH114" i="3"/>
  <c r="CU101" i="2"/>
  <c r="CQ37" i="2"/>
  <c r="CQ34" i="2"/>
  <c r="CE105" i="3"/>
  <c r="CQ88" i="2"/>
  <c r="CU114" i="2"/>
  <c r="CZ51" i="2"/>
  <c r="CN108" i="4"/>
  <c r="CN94" i="4" s="1"/>
  <c r="CQ114" i="2"/>
  <c r="CE114" i="3"/>
  <c r="CE69" i="3"/>
  <c r="CN119" i="4"/>
  <c r="CN116" i="4"/>
  <c r="CN107" i="4"/>
  <c r="CN100" i="4" s="1"/>
  <c r="L97" i="329"/>
  <c r="P97" i="329"/>
  <c r="L98" i="329"/>
  <c r="L95" i="329"/>
  <c r="L123" i="329" s="1"/>
  <c r="L107" i="329"/>
  <c r="P95" i="329"/>
  <c r="P123" i="329" s="1"/>
  <c r="O110" i="329"/>
  <c r="O122" i="329" s="1"/>
  <c r="O108" i="329"/>
  <c r="K108" i="329"/>
  <c r="M98" i="329"/>
  <c r="M107" i="329"/>
  <c r="M95" i="329"/>
  <c r="M123" i="329" s="1"/>
  <c r="Q95" i="329"/>
  <c r="Q123" i="329" s="1"/>
  <c r="EU302" i="329"/>
  <c r="M122" i="329"/>
  <c r="DZ122" i="329" s="1"/>
  <c r="DZ110" i="329"/>
  <c r="L106" i="329"/>
  <c r="P106" i="329"/>
  <c r="K391" i="329"/>
  <c r="K384" i="329"/>
  <c r="K386" i="329"/>
  <c r="K141" i="2"/>
  <c r="O384" i="329"/>
  <c r="K108" i="3"/>
  <c r="K95" i="3" s="1"/>
  <c r="DZ105" i="329"/>
  <c r="N122" i="329"/>
  <c r="K99" i="329"/>
  <c r="O99" i="329"/>
  <c r="L390" i="329"/>
  <c r="L112" i="4"/>
  <c r="L383" i="329"/>
  <c r="L142" i="2" s="1"/>
  <c r="L385" i="329"/>
  <c r="M383" i="329"/>
  <c r="M142" i="2" s="1"/>
  <c r="BN106" i="329"/>
  <c r="BZ106" i="329"/>
  <c r="DZ94" i="329"/>
  <c r="CD107" i="329"/>
  <c r="CH110" i="329" s="1"/>
  <c r="CH122" i="329" s="1"/>
  <c r="CD98" i="329"/>
  <c r="CD164" i="2"/>
  <c r="CY372" i="329"/>
  <c r="CY378" i="329"/>
  <c r="EI93" i="3"/>
  <c r="EI91" i="3"/>
  <c r="EW96" i="329"/>
  <c r="EW97" i="329" s="1"/>
  <c r="CX97" i="329"/>
  <c r="CY89" i="329"/>
  <c r="CY88" i="329"/>
  <c r="CY96" i="329"/>
  <c r="CY97" i="329" s="1"/>
  <c r="BW96" i="329"/>
  <c r="BW97" i="329" s="1"/>
  <c r="BW105" i="329"/>
  <c r="BW106" i="329" s="1"/>
  <c r="BW93" i="329"/>
  <c r="BW94" i="329"/>
  <c r="CF92" i="329"/>
  <c r="BX30" i="329"/>
  <c r="BY44" i="329"/>
  <c r="BX34" i="329"/>
  <c r="BX33" i="329"/>
  <c r="BX32" i="329"/>
  <c r="BX31" i="329"/>
  <c r="BX92" i="329"/>
  <c r="BX35" i="329"/>
  <c r="BX29" i="329"/>
  <c r="CH49" i="329"/>
  <c r="CH83" i="329" s="1"/>
  <c r="EP49" i="329"/>
  <c r="EP83" i="329" s="1"/>
  <c r="EP82" i="329"/>
  <c r="EW63" i="329"/>
  <c r="DB63" i="329"/>
  <c r="DB64" i="329" s="1"/>
  <c r="CX98" i="329"/>
  <c r="CX389" i="329"/>
  <c r="CX135" i="2"/>
  <c r="CE105" i="329"/>
  <c r="CE106" i="329" s="1"/>
  <c r="CE96" i="329"/>
  <c r="CE93" i="329"/>
  <c r="CE97" i="329" s="1"/>
  <c r="CE94" i="329"/>
  <c r="BV98" i="329"/>
  <c r="BV107" i="329"/>
  <c r="BZ110" i="329" s="1"/>
  <c r="BZ122" i="329" s="1"/>
  <c r="BV164" i="2"/>
  <c r="CK93" i="3"/>
  <c r="CK91" i="3"/>
  <c r="ES20" i="329"/>
  <c r="CH44" i="329"/>
  <c r="CH26" i="329"/>
  <c r="CL109" i="3"/>
  <c r="CX380" i="329"/>
  <c r="CX388" i="329"/>
  <c r="EW302" i="329"/>
  <c r="CZ396" i="329"/>
  <c r="EW395" i="329"/>
  <c r="EW396" i="329" s="1"/>
  <c r="EV119" i="2"/>
  <c r="EW123" i="2"/>
  <c r="EV123" i="2"/>
  <c r="EW119" i="2"/>
  <c r="EV302" i="329"/>
  <c r="EU307" i="329"/>
  <c r="EP119" i="2"/>
  <c r="EP123" i="2"/>
  <c r="AP371" i="329"/>
  <c r="AP372" i="329" s="1"/>
  <c r="AP290" i="329"/>
  <c r="EV307" i="329"/>
  <c r="AQ259" i="329"/>
  <c r="AQ242" i="329" s="1"/>
  <c r="AR249" i="329"/>
  <c r="ES302" i="329"/>
  <c r="EC91" i="3"/>
  <c r="EC93" i="3"/>
  <c r="EE109" i="3"/>
  <c r="AO371" i="329"/>
  <c r="AO372" i="329" s="1"/>
  <c r="EG242" i="329"/>
  <c r="ET34" i="3"/>
  <c r="EF116" i="4"/>
  <c r="EF107" i="4"/>
  <c r="EF100" i="4" s="1"/>
  <c r="EF119" i="4"/>
  <c r="EN101" i="329"/>
  <c r="EO102" i="329" s="1"/>
  <c r="EN126" i="329"/>
  <c r="EQ126" i="329"/>
  <c r="EX176" i="2"/>
  <c r="EX222" i="2"/>
  <c r="AV41" i="329"/>
  <c r="AW14" i="329"/>
  <c r="BO295" i="329"/>
  <c r="BO244" i="329"/>
  <c r="CS100" i="2"/>
  <c r="CW100" i="2"/>
  <c r="EO126" i="329"/>
  <c r="EB96" i="4"/>
  <c r="EA96" i="4"/>
  <c r="EA94" i="4"/>
  <c r="BC113" i="4"/>
  <c r="BP106" i="329"/>
  <c r="CB106" i="329"/>
  <c r="BC166" i="2"/>
  <c r="BG384" i="329"/>
  <c r="BC391" i="329"/>
  <c r="BC384" i="329"/>
  <c r="BC108" i="3"/>
  <c r="BC95" i="3" s="1"/>
  <c r="BC141" i="2"/>
  <c r="BP276" i="329"/>
  <c r="BP287" i="329" s="1"/>
  <c r="BQ262" i="329"/>
  <c r="CS101" i="2"/>
  <c r="CW101" i="2"/>
  <c r="ED94" i="4"/>
  <c r="CG114" i="3"/>
  <c r="BB166" i="2"/>
  <c r="BB391" i="329"/>
  <c r="BB384" i="329"/>
  <c r="BB141" i="2"/>
  <c r="BF384" i="329"/>
  <c r="BB108" i="3"/>
  <c r="BB95" i="3" s="1"/>
  <c r="EO141" i="329"/>
  <c r="EO142" i="329"/>
  <c r="EO143" i="329"/>
  <c r="EU86" i="2"/>
  <c r="EU113" i="2"/>
  <c r="EU87" i="2"/>
  <c r="CS34" i="2"/>
  <c r="CS114" i="2"/>
  <c r="CS88" i="2"/>
  <c r="CG105" i="3"/>
  <c r="CS37" i="2"/>
  <c r="CW114" i="2"/>
  <c r="AT83" i="329"/>
  <c r="CF51" i="2"/>
  <c r="CF54" i="2" s="1"/>
  <c r="BF320" i="329"/>
  <c r="EL320" i="329" s="1"/>
  <c r="EL313" i="329"/>
  <c r="EK311" i="329"/>
  <c r="EL311" i="329"/>
  <c r="DZ94" i="4"/>
  <c r="CA116" i="4"/>
  <c r="CA119" i="4"/>
  <c r="CS98" i="2"/>
  <c r="CW98" i="2"/>
  <c r="EQ218" i="2"/>
  <c r="ER218" i="2"/>
  <c r="EU97" i="2"/>
  <c r="BP108" i="329"/>
  <c r="BT110" i="329"/>
  <c r="BT122" i="329" s="1"/>
  <c r="CB108" i="329"/>
  <c r="EE108" i="3"/>
  <c r="EE95" i="3" s="1"/>
  <c r="EC95" i="3"/>
  <c r="T65" i="4"/>
  <c r="U62" i="4"/>
  <c r="U64" i="4" s="1"/>
  <c r="BX119" i="4"/>
  <c r="BX116" i="4"/>
  <c r="DR65" i="4"/>
  <c r="DS62" i="4"/>
  <c r="DS64" i="4" s="1"/>
  <c r="EX365" i="329"/>
  <c r="CM115" i="2"/>
  <c r="CM51" i="2"/>
  <c r="CM54" i="2" s="1"/>
  <c r="FD128" i="329"/>
  <c r="EM93" i="4" l="1"/>
  <c r="EM95" i="4" s="1"/>
  <c r="CZ87" i="329"/>
  <c r="DY108" i="4"/>
  <c r="DZ96" i="4" s="1"/>
  <c r="EH382" i="329"/>
  <c r="EH383" i="329" s="1"/>
  <c r="EH137" i="2" s="1"/>
  <c r="ET39" i="4"/>
  <c r="EU19" i="3"/>
  <c r="EU39" i="4" s="1"/>
  <c r="AY38" i="329"/>
  <c r="AZ11" i="329"/>
  <c r="DC101" i="2"/>
  <c r="CQ105" i="3"/>
  <c r="DC88" i="2"/>
  <c r="DC34" i="2"/>
  <c r="DC37" i="2"/>
  <c r="EK115" i="2"/>
  <c r="EK51" i="2"/>
  <c r="EK54" i="2" s="1"/>
  <c r="AU96" i="4"/>
  <c r="AU94" i="4"/>
  <c r="AY96" i="4"/>
  <c r="EF125" i="3"/>
  <c r="ER51" i="2"/>
  <c r="ER54" i="2" s="1"/>
  <c r="ET98" i="2"/>
  <c r="CP115" i="2"/>
  <c r="CF115" i="2"/>
  <c r="CN115" i="2"/>
  <c r="CQ115" i="2"/>
  <c r="CY115" i="2"/>
  <c r="AL4" i="3"/>
  <c r="AL4" i="329"/>
  <c r="AP5" i="2"/>
  <c r="ET88" i="2"/>
  <c r="ED96" i="4"/>
  <c r="EC96" i="4"/>
  <c r="DA82" i="329"/>
  <c r="DA371" i="329" s="1"/>
  <c r="BM57" i="329"/>
  <c r="EM57" i="329" s="1"/>
  <c r="BM58" i="329"/>
  <c r="EM58" i="329" s="1"/>
  <c r="EM56" i="329"/>
  <c r="BN56" i="329" s="1"/>
  <c r="EX238" i="2"/>
  <c r="ET114" i="2"/>
  <c r="ET37" i="2"/>
  <c r="AT30" i="329"/>
  <c r="EI78" i="329"/>
  <c r="EI79" i="329"/>
  <c r="AX77" i="329"/>
  <c r="CJ64" i="3"/>
  <c r="CJ69" i="3" s="1"/>
  <c r="CJ30" i="3"/>
  <c r="BX94" i="4"/>
  <c r="BX96" i="4"/>
  <c r="DD441" i="329"/>
  <c r="DD101" i="2"/>
  <c r="CR105" i="3"/>
  <c r="DD34" i="2"/>
  <c r="DD37" i="2"/>
  <c r="DD88" i="2"/>
  <c r="DD114" i="2"/>
  <c r="EX63" i="329"/>
  <c r="EW65" i="329"/>
  <c r="DB70" i="329"/>
  <c r="DB71" i="329" s="1"/>
  <c r="EW70" i="329"/>
  <c r="EW82" i="329" s="1"/>
  <c r="DB65" i="329"/>
  <c r="DA71" i="329"/>
  <c r="FF56" i="329"/>
  <c r="FF57" i="329" s="1"/>
  <c r="ET101" i="2"/>
  <c r="ET134" i="2"/>
  <c r="EE126" i="3"/>
  <c r="EE125" i="3"/>
  <c r="ER5" i="4"/>
  <c r="ER5" i="3"/>
  <c r="FE5" i="329"/>
  <c r="FF6" i="2"/>
  <c r="CH69" i="3"/>
  <c r="EI101" i="2"/>
  <c r="EY119" i="2"/>
  <c r="EY123" i="2"/>
  <c r="EU61" i="2"/>
  <c r="EF98" i="2"/>
  <c r="EE98" i="2"/>
  <c r="EE116" i="3"/>
  <c r="EQ14" i="4"/>
  <c r="EM98" i="2"/>
  <c r="EL98" i="2"/>
  <c r="DZ114" i="3"/>
  <c r="DZ69" i="3"/>
  <c r="DS114" i="3"/>
  <c r="DS69" i="3"/>
  <c r="EW87" i="2"/>
  <c r="CA94" i="4"/>
  <c r="CA96" i="4"/>
  <c r="CQ14" i="3"/>
  <c r="CP15" i="3"/>
  <c r="EJ16" i="3"/>
  <c r="CY379" i="329"/>
  <c r="CY135" i="2" s="1"/>
  <c r="EL63" i="329"/>
  <c r="BJ63" i="329" s="1"/>
  <c r="BI64" i="329"/>
  <c r="EL64" i="329" s="1"/>
  <c r="BI65" i="329"/>
  <c r="EL65" i="329" s="1"/>
  <c r="CX385" i="329"/>
  <c r="CL132" i="3"/>
  <c r="DA98" i="2"/>
  <c r="AT50" i="329"/>
  <c r="AT51" i="329" s="1"/>
  <c r="AT34" i="329"/>
  <c r="AT33" i="329"/>
  <c r="AT29" i="329"/>
  <c r="EW30" i="2"/>
  <c r="AT31" i="329"/>
  <c r="EH35" i="329"/>
  <c r="DW126" i="3"/>
  <c r="DW125" i="3"/>
  <c r="BA94" i="4"/>
  <c r="BA96" i="4"/>
  <c r="BE96" i="4"/>
  <c r="BE94" i="4"/>
  <c r="BI96" i="4"/>
  <c r="AW96" i="4"/>
  <c r="AW94" i="4"/>
  <c r="EH115" i="2"/>
  <c r="DV108" i="4"/>
  <c r="EH51" i="2"/>
  <c r="EH54" i="2" s="1"/>
  <c r="DV125" i="3"/>
  <c r="DV126" i="3"/>
  <c r="DU126" i="3"/>
  <c r="DU125" i="3"/>
  <c r="BL96" i="4"/>
  <c r="BH96" i="4"/>
  <c r="BH94" i="4"/>
  <c r="EH101" i="2"/>
  <c r="DV116" i="4"/>
  <c r="DV107" i="4"/>
  <c r="DV100" i="4" s="1"/>
  <c r="DU119" i="4"/>
  <c r="EG115" i="2"/>
  <c r="DU108" i="4"/>
  <c r="EG51" i="2"/>
  <c r="EG54" i="2" s="1"/>
  <c r="DT119" i="4"/>
  <c r="DU107" i="4"/>
  <c r="DU8" i="4"/>
  <c r="DU29" i="4" s="1"/>
  <c r="DU116" i="4"/>
  <c r="DW107" i="4"/>
  <c r="DW100" i="4" s="1"/>
  <c r="DV119" i="4"/>
  <c r="DW116" i="4"/>
  <c r="EI51" i="2"/>
  <c r="EI54" i="2" s="1"/>
  <c r="EI115" i="2"/>
  <c r="DW108" i="4"/>
  <c r="DX96" i="4" s="1"/>
  <c r="AS96" i="4"/>
  <c r="EJ101" i="2"/>
  <c r="EJ115" i="2"/>
  <c r="CL69" i="3"/>
  <c r="EU30" i="2"/>
  <c r="EU88" i="2" s="1"/>
  <c r="BY91" i="3"/>
  <c r="BY92" i="3" s="1"/>
  <c r="BY93" i="3"/>
  <c r="BY94" i="3" s="1"/>
  <c r="BY389" i="329"/>
  <c r="BZ135" i="2"/>
  <c r="BY386" i="329"/>
  <c r="AS35" i="329"/>
  <c r="CZ164" i="2"/>
  <c r="DD95" i="329"/>
  <c r="CZ120" i="329"/>
  <c r="CZ95" i="329"/>
  <c r="DD120" i="329"/>
  <c r="CH372" i="329"/>
  <c r="CL378" i="329"/>
  <c r="CL379" i="329" s="1"/>
  <c r="AV12" i="329"/>
  <c r="AU39" i="329"/>
  <c r="AU44" i="329" s="1"/>
  <c r="AU31" i="329" s="1"/>
  <c r="AU17" i="329"/>
  <c r="AU48" i="329" s="1"/>
  <c r="AU49" i="329" s="1"/>
  <c r="AU90" i="329" s="1"/>
  <c r="DB78" i="329"/>
  <c r="DB80" i="329"/>
  <c r="DB92" i="329" s="1"/>
  <c r="DC77" i="329"/>
  <c r="CC136" i="2"/>
  <c r="BY136" i="2"/>
  <c r="DD375" i="329"/>
  <c r="CZ375" i="329"/>
  <c r="CZ382" i="329"/>
  <c r="CY382" i="329"/>
  <c r="DC375" i="329"/>
  <c r="CY375" i="329"/>
  <c r="CH88" i="329"/>
  <c r="CH378" i="329"/>
  <c r="CH385" i="329" s="1"/>
  <c r="CH89" i="329"/>
  <c r="CH103" i="329" s="1"/>
  <c r="CH104" i="329" s="1"/>
  <c r="CL87" i="329"/>
  <c r="CH101" i="329"/>
  <c r="CH102" i="329" s="1"/>
  <c r="EP390" i="329"/>
  <c r="EP383" i="329"/>
  <c r="EP137" i="2" s="1"/>
  <c r="ED112" i="4"/>
  <c r="CJ78" i="329"/>
  <c r="CK77" i="329"/>
  <c r="CJ82" i="329"/>
  <c r="CJ80" i="329"/>
  <c r="CJ85" i="329" s="1"/>
  <c r="CJ374" i="329" s="1"/>
  <c r="EW164" i="2"/>
  <c r="ER88" i="329"/>
  <c r="ER101" i="329"/>
  <c r="ER102" i="329" s="1"/>
  <c r="ER89" i="329"/>
  <c r="ER103" i="329" s="1"/>
  <c r="ER104" i="329" s="1"/>
  <c r="CY95" i="329"/>
  <c r="CY164" i="2"/>
  <c r="CY233" i="2" s="1"/>
  <c r="CY120" i="329"/>
  <c r="CX383" i="329"/>
  <c r="CL112" i="4"/>
  <c r="CX390" i="329"/>
  <c r="CF135" i="2"/>
  <c r="CF136" i="2" s="1"/>
  <c r="CF389" i="329"/>
  <c r="CF386" i="329"/>
  <c r="CI87" i="329"/>
  <c r="CI371" i="329"/>
  <c r="EW80" i="329"/>
  <c r="EW85" i="329" s="1"/>
  <c r="EW374" i="329" s="1"/>
  <c r="DA92" i="329"/>
  <c r="BZ112" i="4"/>
  <c r="CH390" i="329"/>
  <c r="CH383" i="329"/>
  <c r="BX136" i="2"/>
  <c r="CB136" i="2"/>
  <c r="CG385" i="329"/>
  <c r="CG379" i="329"/>
  <c r="CG250" i="2" s="1"/>
  <c r="CG388" i="329"/>
  <c r="CG380" i="329"/>
  <c r="ER383" i="329"/>
  <c r="ER137" i="2" s="1"/>
  <c r="EF112" i="4"/>
  <c r="EF113" i="4" s="1"/>
  <c r="ER390" i="329"/>
  <c r="CI382" i="329"/>
  <c r="CI375" i="329"/>
  <c r="T103" i="329"/>
  <c r="T98" i="329"/>
  <c r="T99" i="329" s="1"/>
  <c r="T379" i="329"/>
  <c r="T135" i="2" s="1"/>
  <c r="T136" i="2" s="1"/>
  <c r="T380" i="329"/>
  <c r="T388" i="329"/>
  <c r="T109" i="3"/>
  <c r="T385" i="329"/>
  <c r="U89" i="329"/>
  <c r="U88" i="329"/>
  <c r="U96" i="329"/>
  <c r="U97" i="329" s="1"/>
  <c r="U378" i="329"/>
  <c r="V87" i="329"/>
  <c r="EB87" i="329"/>
  <c r="U101" i="329"/>
  <c r="U102" i="329" s="1"/>
  <c r="S91" i="3"/>
  <c r="S92" i="3" s="1"/>
  <c r="S93" i="3"/>
  <c r="S94" i="3" s="1"/>
  <c r="T102" i="329"/>
  <c r="EB101" i="329"/>
  <c r="EB102" i="329" s="1"/>
  <c r="S389" i="329"/>
  <c r="S386" i="329"/>
  <c r="AN300" i="329"/>
  <c r="EH71" i="329"/>
  <c r="EH72" i="329"/>
  <c r="AT70" i="329"/>
  <c r="EH82" i="329"/>
  <c r="EH87" i="329"/>
  <c r="EH96" i="329" s="1"/>
  <c r="AM307" i="329"/>
  <c r="AN301" i="329"/>
  <c r="AN306" i="329"/>
  <c r="AS89" i="329"/>
  <c r="AS101" i="329"/>
  <c r="EH101" i="329" s="1"/>
  <c r="AS96" i="329"/>
  <c r="AN305" i="329"/>
  <c r="EG290" i="329"/>
  <c r="AO291" i="329"/>
  <c r="AO292" i="329"/>
  <c r="AO304" i="329"/>
  <c r="AO299" i="329"/>
  <c r="AR98" i="329"/>
  <c r="AR103" i="329"/>
  <c r="AY13" i="329"/>
  <c r="AX40" i="329"/>
  <c r="CH107" i="4"/>
  <c r="CH100" i="4" s="1"/>
  <c r="CH116" i="4"/>
  <c r="CH119" i="4"/>
  <c r="CD108" i="4"/>
  <c r="CP51" i="2"/>
  <c r="CP54" i="2" s="1"/>
  <c r="CD119" i="4"/>
  <c r="CD116" i="4"/>
  <c r="CD107" i="4"/>
  <c r="CD100" i="4" s="1"/>
  <c r="CB108" i="4"/>
  <c r="CJ115" i="2"/>
  <c r="CJ51" i="2"/>
  <c r="CJ54" i="2" s="1"/>
  <c r="CB125" i="3"/>
  <c r="CB126" i="3"/>
  <c r="EU218" i="2"/>
  <c r="ES218" i="2"/>
  <c r="CH108" i="4"/>
  <c r="CT51" i="2"/>
  <c r="CT54" i="2" s="1"/>
  <c r="CT115" i="2"/>
  <c r="EW113" i="2"/>
  <c r="EV97" i="2"/>
  <c r="AY42" i="329"/>
  <c r="AZ15" i="329"/>
  <c r="ET34" i="2"/>
  <c r="EG119" i="4" s="1"/>
  <c r="EI16" i="329"/>
  <c r="AX16" i="329" s="1"/>
  <c r="AW43" i="329"/>
  <c r="EI43" i="329" s="1"/>
  <c r="CQ69" i="3"/>
  <c r="CP69" i="3"/>
  <c r="CR69" i="3"/>
  <c r="DB37" i="2"/>
  <c r="DB34" i="2"/>
  <c r="CP105" i="3"/>
  <c r="DB88" i="2"/>
  <c r="CI69" i="3"/>
  <c r="CG69" i="3"/>
  <c r="CF69" i="3"/>
  <c r="EW97" i="2"/>
  <c r="CN51" i="2"/>
  <c r="CN54" i="2" s="1"/>
  <c r="CV34" i="2"/>
  <c r="CZ114" i="2"/>
  <c r="CJ105" i="3"/>
  <c r="CL125" i="3" s="1"/>
  <c r="CV37" i="2"/>
  <c r="CV114" i="2"/>
  <c r="CV88" i="2"/>
  <c r="EV30" i="2"/>
  <c r="DA101" i="2"/>
  <c r="CK69" i="3"/>
  <c r="CJ114" i="3"/>
  <c r="CV100" i="2"/>
  <c r="CZ100" i="2"/>
  <c r="CC116" i="4"/>
  <c r="CC119" i="4"/>
  <c r="ET171" i="2"/>
  <c r="ET201" i="2"/>
  <c r="ET218" i="2" s="1"/>
  <c r="ET239" i="2"/>
  <c r="CB116" i="4"/>
  <c r="CB119" i="4"/>
  <c r="EV87" i="2"/>
  <c r="EV101" i="2" s="1"/>
  <c r="EV86" i="2"/>
  <c r="EW100" i="2" s="1"/>
  <c r="EV84" i="2"/>
  <c r="EW98" i="2" s="1"/>
  <c r="EI112" i="3"/>
  <c r="EV112" i="2"/>
  <c r="CO69" i="3"/>
  <c r="DB114" i="2"/>
  <c r="CZ101" i="2"/>
  <c r="CV101" i="2"/>
  <c r="CO51" i="2"/>
  <c r="CO54" i="2" s="1"/>
  <c r="CO115" i="2"/>
  <c r="DA34" i="2"/>
  <c r="CO105" i="3"/>
  <c r="CO126" i="3" s="1"/>
  <c r="DA88" i="2"/>
  <c r="DA37" i="2"/>
  <c r="DA114" i="2"/>
  <c r="CR37" i="2"/>
  <c r="CR114" i="2"/>
  <c r="CF105" i="3"/>
  <c r="CF125" i="3" s="1"/>
  <c r="CR34" i="2"/>
  <c r="CR88" i="2"/>
  <c r="CV98" i="2"/>
  <c r="CZ98" i="2"/>
  <c r="CC107" i="4"/>
  <c r="CC100" i="4" s="1"/>
  <c r="ES34" i="2"/>
  <c r="EG107" i="4" s="1"/>
  <c r="EG100" i="4" s="1"/>
  <c r="ES98" i="2"/>
  <c r="CC126" i="3"/>
  <c r="CD125" i="3"/>
  <c r="CC125" i="3"/>
  <c r="CD126" i="3"/>
  <c r="ES37" i="2"/>
  <c r="ES114" i="2"/>
  <c r="ES88" i="2"/>
  <c r="EG105" i="3"/>
  <c r="ES134" i="2"/>
  <c r="DC115" i="2"/>
  <c r="CC108" i="4"/>
  <c r="CK51" i="2"/>
  <c r="CK54" i="2" s="1"/>
  <c r="CK115" i="2"/>
  <c r="EG114" i="3"/>
  <c r="EG69" i="3"/>
  <c r="BT116" i="4"/>
  <c r="BT119" i="4"/>
  <c r="EQ34" i="2"/>
  <c r="EQ100" i="2"/>
  <c r="ER100" i="2"/>
  <c r="CM107" i="4"/>
  <c r="CM100" i="4" s="1"/>
  <c r="CM116" i="4"/>
  <c r="CM119" i="4"/>
  <c r="EQ98" i="2"/>
  <c r="EQ37" i="2"/>
  <c r="ER114" i="2"/>
  <c r="EQ134" i="2"/>
  <c r="EQ88" i="2"/>
  <c r="EQ114" i="2"/>
  <c r="EQ101" i="2"/>
  <c r="ER101" i="2"/>
  <c r="CY51" i="2"/>
  <c r="CY54" i="2" s="1"/>
  <c r="CM108" i="4"/>
  <c r="CB51" i="2"/>
  <c r="CB54" i="2" s="1"/>
  <c r="CB115" i="2"/>
  <c r="EJ114" i="3"/>
  <c r="EJ69" i="3"/>
  <c r="CL116" i="4"/>
  <c r="CL107" i="4"/>
  <c r="CL100" i="4" s="1"/>
  <c r="CL119" i="4"/>
  <c r="CX115" i="2"/>
  <c r="CX51" i="2"/>
  <c r="CX54" i="2" s="1"/>
  <c r="CL108" i="4"/>
  <c r="CN125" i="3"/>
  <c r="CN126" i="3"/>
  <c r="CZ54" i="2"/>
  <c r="CE119" i="4"/>
  <c r="CE116" i="4"/>
  <c r="CE107" i="4"/>
  <c r="CE100" i="4" s="1"/>
  <c r="CE108" i="4"/>
  <c r="CQ51" i="2"/>
  <c r="CQ54" i="2" s="1"/>
  <c r="CU115" i="2"/>
  <c r="CE126" i="3"/>
  <c r="CE125" i="3"/>
  <c r="M141" i="2"/>
  <c r="M108" i="3"/>
  <c r="M95" i="3" s="1"/>
  <c r="M391" i="329"/>
  <c r="M386" i="329"/>
  <c r="M384" i="329"/>
  <c r="Q384" i="329"/>
  <c r="P110" i="329"/>
  <c r="L108" i="329"/>
  <c r="P108" i="329"/>
  <c r="DZ98" i="329"/>
  <c r="DZ95" i="329"/>
  <c r="DZ123" i="329" s="1"/>
  <c r="EA95" i="329"/>
  <c r="EA123" i="329" s="1"/>
  <c r="EA120" i="329"/>
  <c r="L141" i="2"/>
  <c r="L108" i="3"/>
  <c r="L95" i="3" s="1"/>
  <c r="L386" i="329"/>
  <c r="L391" i="329"/>
  <c r="L384" i="329"/>
  <c r="P384" i="329"/>
  <c r="Q110" i="329"/>
  <c r="Q122" i="329" s="1"/>
  <c r="M108" i="329"/>
  <c r="Q108" i="329"/>
  <c r="L99" i="329"/>
  <c r="P99" i="329"/>
  <c r="M113" i="4"/>
  <c r="L113" i="4"/>
  <c r="DZ106" i="329"/>
  <c r="EA106" i="329"/>
  <c r="M99" i="329"/>
  <c r="Q99" i="329"/>
  <c r="DZ107" i="329"/>
  <c r="CE98" i="329"/>
  <c r="CE164" i="2"/>
  <c r="CE233" i="2" s="1"/>
  <c r="CE95" i="329"/>
  <c r="CE107" i="329"/>
  <c r="CE108" i="329" s="1"/>
  <c r="CE120" i="329"/>
  <c r="CH50" i="329"/>
  <c r="CH51" i="329" s="1"/>
  <c r="BY35" i="329"/>
  <c r="BY29" i="329"/>
  <c r="BY34" i="329"/>
  <c r="BY92" i="329"/>
  <c r="EP44" i="329"/>
  <c r="BY30" i="329"/>
  <c r="CG92" i="329"/>
  <c r="BY31" i="329"/>
  <c r="BY32" i="329"/>
  <c r="BY33" i="329"/>
  <c r="CZ88" i="329"/>
  <c r="CZ89" i="329"/>
  <c r="CZ96" i="329"/>
  <c r="CZ97" i="329" s="1"/>
  <c r="ER82" i="329"/>
  <c r="ER371" i="329" s="1"/>
  <c r="ER372" i="329" s="1"/>
  <c r="EP87" i="329"/>
  <c r="EP371" i="329"/>
  <c r="CZ372" i="329"/>
  <c r="CZ378" i="329"/>
  <c r="BY50" i="329"/>
  <c r="CH35" i="329"/>
  <c r="CL92" i="329"/>
  <c r="CH33" i="329"/>
  <c r="CH92" i="329"/>
  <c r="CH31" i="329"/>
  <c r="CH29" i="329"/>
  <c r="CH34" i="329"/>
  <c r="CH32" i="329"/>
  <c r="CI44" i="329"/>
  <c r="CH30" i="329"/>
  <c r="ER90" i="329"/>
  <c r="ER83" i="329"/>
  <c r="EP90" i="329"/>
  <c r="CF94" i="329"/>
  <c r="CF93" i="329"/>
  <c r="CF96" i="329"/>
  <c r="CF97" i="329" s="1"/>
  <c r="CF105" i="329"/>
  <c r="CF106" i="329" s="1"/>
  <c r="CY380" i="329"/>
  <c r="CY388" i="329"/>
  <c r="CY385" i="329"/>
  <c r="CM109" i="3"/>
  <c r="DC63" i="329"/>
  <c r="CY98" i="329"/>
  <c r="CY99" i="329" s="1"/>
  <c r="CL93" i="3"/>
  <c r="CL94" i="3" s="1"/>
  <c r="CL91" i="3"/>
  <c r="CL92" i="3" s="1"/>
  <c r="ES26" i="329"/>
  <c r="ES11" i="329"/>
  <c r="CL90" i="329"/>
  <c r="CH90" i="329"/>
  <c r="BX105" i="329"/>
  <c r="BX106" i="329" s="1"/>
  <c r="BX93" i="329"/>
  <c r="BX94" i="329"/>
  <c r="BX96" i="329"/>
  <c r="BX97" i="329" s="1"/>
  <c r="BW98" i="329"/>
  <c r="BW99" i="329" s="1"/>
  <c r="BW120" i="329"/>
  <c r="BW95" i="329"/>
  <c r="BW123" i="329" s="1"/>
  <c r="BW107" i="329"/>
  <c r="BW108" i="329" s="1"/>
  <c r="BW164" i="2"/>
  <c r="AQ290" i="329"/>
  <c r="AQ371" i="329"/>
  <c r="AQ372" i="329" s="1"/>
  <c r="EE93" i="3"/>
  <c r="EE91" i="3"/>
  <c r="AP378" i="329"/>
  <c r="AP304" i="329"/>
  <c r="AP292" i="329"/>
  <c r="AP291" i="329"/>
  <c r="AP299" i="329"/>
  <c r="AR259" i="329"/>
  <c r="AR242" i="329" s="1"/>
  <c r="AS249" i="329"/>
  <c r="EU34" i="3"/>
  <c r="EU100" i="2"/>
  <c r="BP295" i="329"/>
  <c r="BP244" i="329"/>
  <c r="DT62" i="4"/>
  <c r="DT64" i="4" s="1"/>
  <c r="DS65" i="4"/>
  <c r="CG108" i="4"/>
  <c r="CS115" i="2"/>
  <c r="CS51" i="2"/>
  <c r="CS54" i="2" s="1"/>
  <c r="CW115" i="2"/>
  <c r="BC235" i="2"/>
  <c r="BG235" i="2"/>
  <c r="EQ102" i="329"/>
  <c r="EU101" i="2"/>
  <c r="EF94" i="4"/>
  <c r="BS245" i="329"/>
  <c r="BO374" i="329"/>
  <c r="BO245" i="329"/>
  <c r="V62" i="4"/>
  <c r="V64" i="4" s="1"/>
  <c r="U65" i="4"/>
  <c r="CG107" i="4"/>
  <c r="CG100" i="4" s="1"/>
  <c r="CG119" i="4"/>
  <c r="CG116" i="4"/>
  <c r="BB235" i="2"/>
  <c r="BF235" i="2"/>
  <c r="EN262" i="329"/>
  <c r="BO296" i="329"/>
  <c r="BS296" i="329"/>
  <c r="CA296" i="329"/>
  <c r="BO297" i="329"/>
  <c r="BO308" i="329"/>
  <c r="EI14" i="329"/>
  <c r="AW41" i="329"/>
  <c r="FE128" i="329"/>
  <c r="EN93" i="4" l="1"/>
  <c r="EN95" i="4" s="1"/>
  <c r="AU83" i="329"/>
  <c r="DY94" i="4"/>
  <c r="EH390" i="329"/>
  <c r="DY96" i="4"/>
  <c r="DA87" i="329"/>
  <c r="EG116" i="4"/>
  <c r="DV112" i="4"/>
  <c r="DC51" i="2"/>
  <c r="CQ108" i="4"/>
  <c r="CQ94" i="4" s="1"/>
  <c r="AZ38" i="329"/>
  <c r="BA11" i="329"/>
  <c r="CQ116" i="4"/>
  <c r="CQ107" i="4"/>
  <c r="CQ100" i="4" s="1"/>
  <c r="CQ119" i="4"/>
  <c r="ET115" i="2"/>
  <c r="ET51" i="2"/>
  <c r="ET54" i="2" s="1"/>
  <c r="DB115" i="2"/>
  <c r="CY389" i="329"/>
  <c r="AT5" i="2"/>
  <c r="AP4" i="329"/>
  <c r="AP4" i="3"/>
  <c r="BO56" i="329"/>
  <c r="BN58" i="329"/>
  <c r="BN57" i="329"/>
  <c r="DB82" i="329"/>
  <c r="DB371" i="329" s="1"/>
  <c r="EW37" i="2"/>
  <c r="CT107" i="3"/>
  <c r="AX78" i="329"/>
  <c r="AX79" i="329"/>
  <c r="AY77" i="329"/>
  <c r="AU33" i="329"/>
  <c r="DH59" i="2"/>
  <c r="CJ76" i="3"/>
  <c r="CJ77" i="3"/>
  <c r="CJ35" i="3"/>
  <c r="CJ44" i="3" s="1"/>
  <c r="CJ45" i="3" s="1"/>
  <c r="CJ74" i="3"/>
  <c r="CJ122" i="3" s="1"/>
  <c r="CJ65" i="3"/>
  <c r="CJ66" i="3"/>
  <c r="CJ67" i="3"/>
  <c r="CR116" i="4"/>
  <c r="CR107" i="4"/>
  <c r="CR100" i="4" s="1"/>
  <c r="CR119" i="4"/>
  <c r="DD115" i="2"/>
  <c r="CR108" i="4"/>
  <c r="DD51" i="2"/>
  <c r="FG56" i="329"/>
  <c r="FH56" i="329" s="1"/>
  <c r="FH57" i="329" s="1"/>
  <c r="DC70" i="329"/>
  <c r="DC71" i="329" s="1"/>
  <c r="DC65" i="329"/>
  <c r="DC64" i="329"/>
  <c r="EX70" i="329"/>
  <c r="EW72" i="329"/>
  <c r="EY63" i="329"/>
  <c r="EZ63" i="329" s="1"/>
  <c r="EX65" i="329"/>
  <c r="EJ105" i="3"/>
  <c r="EJ126" i="3" s="1"/>
  <c r="EW34" i="2"/>
  <c r="EJ119" i="4" s="1"/>
  <c r="EW134" i="2"/>
  <c r="EW88" i="2"/>
  <c r="EW114" i="2"/>
  <c r="EU34" i="2"/>
  <c r="EH116" i="4" s="1"/>
  <c r="FG6" i="2"/>
  <c r="ES5" i="4"/>
  <c r="FF5" i="329"/>
  <c r="ES5" i="3"/>
  <c r="EU114" i="2"/>
  <c r="CI126" i="3"/>
  <c r="ER14" i="4"/>
  <c r="EU64" i="2"/>
  <c r="EH107" i="3"/>
  <c r="EH78" i="3" s="1"/>
  <c r="EV58" i="2"/>
  <c r="EV61" i="2" s="1"/>
  <c r="AU32" i="329"/>
  <c r="AU34" i="329"/>
  <c r="AU30" i="329"/>
  <c r="AU29" i="329"/>
  <c r="AU50" i="329"/>
  <c r="AU51" i="329" s="1"/>
  <c r="EJ21" i="3"/>
  <c r="EJ75" i="3"/>
  <c r="CR14" i="3"/>
  <c r="CR15" i="3" s="1"/>
  <c r="CQ15" i="3"/>
  <c r="CZ379" i="329"/>
  <c r="CZ135" i="2" s="1"/>
  <c r="CZ136" i="2" s="1"/>
  <c r="BJ64" i="329"/>
  <c r="BJ65" i="329"/>
  <c r="BK63" i="329"/>
  <c r="CM132" i="3"/>
  <c r="CH137" i="2"/>
  <c r="CH142" i="2"/>
  <c r="CX137" i="2"/>
  <c r="CX142" i="2"/>
  <c r="EU134" i="2"/>
  <c r="EU37" i="2"/>
  <c r="AT35" i="329"/>
  <c r="EV114" i="2"/>
  <c r="EH105" i="3"/>
  <c r="EH126" i="3" s="1"/>
  <c r="DU63" i="4"/>
  <c r="DU42" i="4"/>
  <c r="DW94" i="4"/>
  <c r="DW96" i="4"/>
  <c r="DV96" i="4"/>
  <c r="DV94" i="4"/>
  <c r="EV100" i="2"/>
  <c r="CL389" i="329"/>
  <c r="CI383" i="329"/>
  <c r="CI390" i="329"/>
  <c r="CA112" i="4"/>
  <c r="CA113" i="4" s="1"/>
  <c r="CI88" i="329"/>
  <c r="CI101" i="329"/>
  <c r="CI102" i="329" s="1"/>
  <c r="CI89" i="329"/>
  <c r="CI103" i="329" s="1"/>
  <c r="CI104" i="329" s="1"/>
  <c r="CI378" i="329"/>
  <c r="CM87" i="329"/>
  <c r="CJ375" i="329"/>
  <c r="CJ382" i="329"/>
  <c r="BZ113" i="4"/>
  <c r="ED113" i="4"/>
  <c r="CL89" i="329"/>
  <c r="CL103" i="329" s="1"/>
  <c r="CL104" i="329" s="1"/>
  <c r="CL101" i="329"/>
  <c r="CL102" i="329" s="1"/>
  <c r="CL88" i="329"/>
  <c r="DC80" i="329"/>
  <c r="DC78" i="329"/>
  <c r="DD77" i="329"/>
  <c r="DB94" i="329"/>
  <c r="DA374" i="329"/>
  <c r="DA93" i="329"/>
  <c r="DA94" i="329"/>
  <c r="DA85" i="329"/>
  <c r="CJ371" i="329"/>
  <c r="CJ87" i="329"/>
  <c r="EP166" i="2"/>
  <c r="ED108" i="3"/>
  <c r="EP384" i="329"/>
  <c r="EP142" i="2"/>
  <c r="EP391" i="329"/>
  <c r="EP141" i="2"/>
  <c r="DB85" i="329"/>
  <c r="DC94" i="329"/>
  <c r="DB374" i="329"/>
  <c r="DB93" i="329"/>
  <c r="AV39" i="329"/>
  <c r="AV44" i="329" s="1"/>
  <c r="AV32" i="329" s="1"/>
  <c r="AW12" i="329"/>
  <c r="AV17" i="329"/>
  <c r="AV48" i="329" s="1"/>
  <c r="AV49" i="329" s="1"/>
  <c r="AV83" i="329" s="1"/>
  <c r="CH166" i="2"/>
  <c r="CH235" i="2" s="1"/>
  <c r="CH141" i="2"/>
  <c r="BZ108" i="3"/>
  <c r="BZ95" i="3" s="1"/>
  <c r="EF95" i="3" s="1"/>
  <c r="EF96" i="3" s="1"/>
  <c r="CH384" i="329"/>
  <c r="CH391" i="329"/>
  <c r="EW382" i="329"/>
  <c r="EW375" i="329"/>
  <c r="ES77" i="329"/>
  <c r="ET77" i="329" s="1"/>
  <c r="CK82" i="329"/>
  <c r="CK78" i="329"/>
  <c r="ES78" i="329" s="1"/>
  <c r="ET78" i="329" s="1"/>
  <c r="CP77" i="329"/>
  <c r="CK80" i="329"/>
  <c r="CH380" i="329"/>
  <c r="BZ109" i="3"/>
  <c r="CH388" i="329"/>
  <c r="CH379" i="329"/>
  <c r="CH135" i="2" s="1"/>
  <c r="CH136" i="2" s="1"/>
  <c r="CY390" i="329"/>
  <c r="CM112" i="4"/>
  <c r="CM113" i="4" s="1"/>
  <c r="CY383" i="329"/>
  <c r="CL380" i="329"/>
  <c r="CL388" i="329"/>
  <c r="ER391" i="329"/>
  <c r="ER142" i="2"/>
  <c r="ER141" i="2"/>
  <c r="ER166" i="2"/>
  <c r="ER384" i="329"/>
  <c r="CG386" i="329"/>
  <c r="CG389" i="329"/>
  <c r="CL135" i="2"/>
  <c r="CL136" i="2" s="1"/>
  <c r="CI372" i="329"/>
  <c r="CM378" i="329"/>
  <c r="CG135" i="2"/>
  <c r="CG136" i="2" s="1"/>
  <c r="CX166" i="2"/>
  <c r="CX391" i="329"/>
  <c r="CL108" i="3"/>
  <c r="CL95" i="3" s="1"/>
  <c r="CX141" i="2"/>
  <c r="CX386" i="329"/>
  <c r="CZ383" i="329"/>
  <c r="CZ390" i="329"/>
  <c r="CN112" i="4"/>
  <c r="CZ233" i="2"/>
  <c r="DD233" i="2"/>
  <c r="BZ136" i="2"/>
  <c r="CD136" i="2"/>
  <c r="CM125" i="3"/>
  <c r="V89" i="329"/>
  <c r="W87" i="329"/>
  <c r="V378" i="329"/>
  <c r="V88" i="329"/>
  <c r="V96" i="329"/>
  <c r="V97" i="329" s="1"/>
  <c r="V101" i="329"/>
  <c r="U103" i="329"/>
  <c r="U104" i="329" s="1"/>
  <c r="U98" i="329"/>
  <c r="U99" i="329" s="1"/>
  <c r="U380" i="329"/>
  <c r="EB380" i="329" s="1"/>
  <c r="U385" i="329"/>
  <c r="U379" i="329"/>
  <c r="U109" i="3"/>
  <c r="U388" i="329"/>
  <c r="EB378" i="329"/>
  <c r="T389" i="329"/>
  <c r="T386" i="329"/>
  <c r="T93" i="3"/>
  <c r="T94" i="3" s="1"/>
  <c r="T91" i="3"/>
  <c r="T92" i="3" s="1"/>
  <c r="EB89" i="329"/>
  <c r="EB98" i="329" s="1"/>
  <c r="EB99" i="329" s="1"/>
  <c r="EB88" i="329"/>
  <c r="EB96" i="329"/>
  <c r="EB97" i="329" s="1"/>
  <c r="T104" i="329"/>
  <c r="EB103" i="329"/>
  <c r="EB104" i="329" s="1"/>
  <c r="CM126" i="3"/>
  <c r="AO306" i="329"/>
  <c r="EG306" i="329" s="1"/>
  <c r="AO301" i="329"/>
  <c r="AS103" i="329"/>
  <c r="AS98" i="329"/>
  <c r="AN302" i="329"/>
  <c r="AU70" i="329"/>
  <c r="AT71" i="329"/>
  <c r="AT72" i="329"/>
  <c r="AT87" i="329"/>
  <c r="AO305" i="329"/>
  <c r="AN307" i="329"/>
  <c r="CJ125" i="3"/>
  <c r="CL126" i="3"/>
  <c r="AO300" i="329"/>
  <c r="CJ126" i="3"/>
  <c r="EG304" i="329"/>
  <c r="EG291" i="329"/>
  <c r="EG299" i="329"/>
  <c r="EG292" i="329"/>
  <c r="AY40" i="329"/>
  <c r="AZ13" i="329"/>
  <c r="CB94" i="4"/>
  <c r="CB96" i="4"/>
  <c r="CH96" i="4"/>
  <c r="CH94" i="4"/>
  <c r="CD94" i="4"/>
  <c r="CD96" i="4"/>
  <c r="AZ42" i="329"/>
  <c r="BA15" i="329"/>
  <c r="AY16" i="329"/>
  <c r="AX43" i="329"/>
  <c r="CO125" i="3"/>
  <c r="CF119" i="4"/>
  <c r="CF116" i="4"/>
  <c r="CF107" i="4"/>
  <c r="CF100" i="4" s="1"/>
  <c r="CF108" i="4"/>
  <c r="CR115" i="2"/>
  <c r="CR51" i="2"/>
  <c r="CR54" i="2" s="1"/>
  <c r="DA115" i="2"/>
  <c r="CO108" i="4"/>
  <c r="DA51" i="2"/>
  <c r="EV98" i="2"/>
  <c r="EV37" i="2"/>
  <c r="EV88" i="2"/>
  <c r="EI105" i="3"/>
  <c r="EV134" i="2"/>
  <c r="EV34" i="2"/>
  <c r="CZ115" i="2"/>
  <c r="CJ108" i="4"/>
  <c r="CV51" i="2"/>
  <c r="CV54" i="2" s="1"/>
  <c r="CV115" i="2"/>
  <c r="DB51" i="2"/>
  <c r="CP108" i="4"/>
  <c r="CP94" i="4" s="1"/>
  <c r="CQ126" i="3"/>
  <c r="CR125" i="3"/>
  <c r="CR126" i="3"/>
  <c r="CQ125" i="3"/>
  <c r="CH125" i="3"/>
  <c r="CG126" i="3"/>
  <c r="CI125" i="3"/>
  <c r="CG125" i="3"/>
  <c r="CF126" i="3"/>
  <c r="CP125" i="3"/>
  <c r="CK126" i="3"/>
  <c r="CK125" i="3"/>
  <c r="EI114" i="3"/>
  <c r="EI69" i="3"/>
  <c r="CP126" i="3"/>
  <c r="CH126" i="3"/>
  <c r="CO107" i="4"/>
  <c r="CO100" i="4" s="1"/>
  <c r="CO119" i="4"/>
  <c r="CO116" i="4"/>
  <c r="CJ116" i="4"/>
  <c r="CJ119" i="4"/>
  <c r="CJ107" i="4"/>
  <c r="CJ100" i="4" s="1"/>
  <c r="CP116" i="4"/>
  <c r="CP107" i="4"/>
  <c r="CP100" i="4" s="1"/>
  <c r="CP119" i="4"/>
  <c r="CC96" i="4"/>
  <c r="CC94" i="4"/>
  <c r="EG126" i="3"/>
  <c r="EG125" i="3"/>
  <c r="EG108" i="4"/>
  <c r="ES115" i="2"/>
  <c r="ES51" i="2"/>
  <c r="ES54" i="2" s="1"/>
  <c r="CM94" i="4"/>
  <c r="CM96" i="4"/>
  <c r="EQ115" i="2"/>
  <c r="EQ51" i="2"/>
  <c r="EQ54" i="2" s="1"/>
  <c r="EE108" i="4"/>
  <c r="ER115" i="2"/>
  <c r="EE116" i="4"/>
  <c r="EE107" i="4"/>
  <c r="EE100" i="4" s="1"/>
  <c r="EE119" i="4"/>
  <c r="CL96" i="4"/>
  <c r="CL94" i="4"/>
  <c r="EJ108" i="4"/>
  <c r="EK94" i="4" s="1"/>
  <c r="CE96" i="4"/>
  <c r="CE94" i="4"/>
  <c r="CI96" i="4"/>
  <c r="CI110" i="329"/>
  <c r="CI122" i="329" s="1"/>
  <c r="P122" i="329"/>
  <c r="EA122" i="329" s="1"/>
  <c r="EA110" i="329"/>
  <c r="DZ99" i="329"/>
  <c r="EA99" i="329"/>
  <c r="DZ108" i="329"/>
  <c r="EA108" i="329"/>
  <c r="CA110" i="329"/>
  <c r="DB87" i="329"/>
  <c r="CI50" i="329"/>
  <c r="CI30" i="329"/>
  <c r="CI92" i="329"/>
  <c r="CI29" i="329"/>
  <c r="CM92" i="329"/>
  <c r="CI34" i="329"/>
  <c r="CI32" i="329"/>
  <c r="CJ44" i="329"/>
  <c r="CI31" i="329"/>
  <c r="CI35" i="329"/>
  <c r="CI33" i="329"/>
  <c r="EP101" i="329"/>
  <c r="EP102" i="329" s="1"/>
  <c r="EP88" i="329"/>
  <c r="EP89" i="329"/>
  <c r="EP103" i="329" s="1"/>
  <c r="EP104" i="329" s="1"/>
  <c r="BY96" i="329"/>
  <c r="BY97" i="329" s="1"/>
  <c r="BY93" i="329"/>
  <c r="BY94" i="329"/>
  <c r="EP94" i="329" s="1"/>
  <c r="BY105" i="329"/>
  <c r="BY106" i="329" s="1"/>
  <c r="CE123" i="329"/>
  <c r="CE99" i="329"/>
  <c r="BW233" i="2"/>
  <c r="CA233" i="2"/>
  <c r="CG93" i="329"/>
  <c r="CG96" i="329"/>
  <c r="CG97" i="329" s="1"/>
  <c r="CG94" i="329"/>
  <c r="ER94" i="329" s="1"/>
  <c r="CG105" i="329"/>
  <c r="CG106" i="329" s="1"/>
  <c r="CH96" i="329"/>
  <c r="CH97" i="329" s="1"/>
  <c r="CH93" i="329"/>
  <c r="CH105" i="329"/>
  <c r="CH106" i="329" s="1"/>
  <c r="CP20" i="329"/>
  <c r="ES38" i="329"/>
  <c r="ES17" i="329"/>
  <c r="ES48" i="329" s="1"/>
  <c r="CM93" i="3"/>
  <c r="CM94" i="3" s="1"/>
  <c r="CM91" i="3"/>
  <c r="CM92" i="3" s="1"/>
  <c r="CF95" i="329"/>
  <c r="CF123" i="329" s="1"/>
  <c r="CF120" i="329"/>
  <c r="CF164" i="2"/>
  <c r="CF233" i="2" s="1"/>
  <c r="CF107" i="329"/>
  <c r="CF108" i="329" s="1"/>
  <c r="CF98" i="329"/>
  <c r="CF99" i="329" s="1"/>
  <c r="DA89" i="329"/>
  <c r="DA88" i="329"/>
  <c r="DA96" i="329"/>
  <c r="DA97" i="329" s="1"/>
  <c r="CN109" i="3"/>
  <c r="CZ388" i="329"/>
  <c r="CZ380" i="329"/>
  <c r="CZ385" i="329"/>
  <c r="EW87" i="329"/>
  <c r="EW83" i="329"/>
  <c r="EW90" i="329" s="1"/>
  <c r="BY51" i="329"/>
  <c r="EP50" i="329"/>
  <c r="EP51" i="329" s="1"/>
  <c r="BX98" i="329"/>
  <c r="BX99" i="329" s="1"/>
  <c r="BX120" i="329"/>
  <c r="BX164" i="2"/>
  <c r="BX95" i="329"/>
  <c r="BX123" i="329" s="1"/>
  <c r="BX107" i="329"/>
  <c r="BX108" i="329" s="1"/>
  <c r="DD63" i="329"/>
  <c r="EX64" i="329" s="1"/>
  <c r="DA378" i="329"/>
  <c r="EW371" i="329"/>
  <c r="DA372" i="329"/>
  <c r="CL105" i="329"/>
  <c r="CL106" i="329" s="1"/>
  <c r="CL96" i="329"/>
  <c r="CL97" i="329" s="1"/>
  <c r="CL93" i="329"/>
  <c r="CL94" i="329"/>
  <c r="EP372" i="329"/>
  <c r="ER378" i="329"/>
  <c r="EP378" i="329"/>
  <c r="CZ98" i="329"/>
  <c r="CZ99" i="329" s="1"/>
  <c r="EP31" i="329"/>
  <c r="EP32" i="329"/>
  <c r="EP92" i="329"/>
  <c r="ER92" i="329"/>
  <c r="ER374" i="329" s="1"/>
  <c r="ER375" i="329" s="1"/>
  <c r="EP33" i="329"/>
  <c r="EP30" i="329"/>
  <c r="EP34" i="329"/>
  <c r="EP35" i="329"/>
  <c r="EP29" i="329"/>
  <c r="AP109" i="3"/>
  <c r="AP385" i="329"/>
  <c r="AP388" i="329"/>
  <c r="AS259" i="329"/>
  <c r="EH249" i="329"/>
  <c r="AT249" i="329" s="1"/>
  <c r="AR290" i="329"/>
  <c r="AR371" i="329"/>
  <c r="AR372" i="329" s="1"/>
  <c r="AP301" i="329"/>
  <c r="AP306" i="329"/>
  <c r="AP300" i="329"/>
  <c r="AP305" i="329"/>
  <c r="AQ299" i="329"/>
  <c r="AQ304" i="329"/>
  <c r="AQ292" i="329"/>
  <c r="AQ291" i="329"/>
  <c r="AQ378" i="329"/>
  <c r="EN248" i="329"/>
  <c r="EN259" i="329" s="1"/>
  <c r="EN371" i="329" s="1"/>
  <c r="EQ372" i="329" s="1"/>
  <c r="AX14" i="329"/>
  <c r="V65" i="4"/>
  <c r="W62" i="4"/>
  <c r="W64" i="4" s="1"/>
  <c r="BP245" i="329"/>
  <c r="BP374" i="329"/>
  <c r="BT245" i="329"/>
  <c r="DV113" i="4"/>
  <c r="AT113" i="4"/>
  <c r="DU62" i="4"/>
  <c r="DT65" i="4"/>
  <c r="CB296" i="329"/>
  <c r="BT296" i="329"/>
  <c r="BP296" i="329"/>
  <c r="BQ297" i="329"/>
  <c r="BP308" i="329"/>
  <c r="BP297" i="329"/>
  <c r="BO309" i="329"/>
  <c r="BS309" i="329"/>
  <c r="CA309" i="329"/>
  <c r="CG96" i="4"/>
  <c r="CG94" i="4"/>
  <c r="CK96" i="4"/>
  <c r="BO375" i="329"/>
  <c r="BO382" i="329"/>
  <c r="BS375" i="329"/>
  <c r="EI41" i="329"/>
  <c r="CA298" i="329"/>
  <c r="CA321" i="329" s="1"/>
  <c r="BO310" i="329"/>
  <c r="CA313" i="329" s="1"/>
  <c r="BS298" i="329"/>
  <c r="BS321" i="329" s="1"/>
  <c r="BO298" i="329"/>
  <c r="BO321" i="329" s="1"/>
  <c r="BO165" i="2"/>
  <c r="EH384" i="329"/>
  <c r="DV108" i="3"/>
  <c r="DV95" i="3" s="1"/>
  <c r="EH391" i="329"/>
  <c r="EH142" i="2"/>
  <c r="FF128" i="329"/>
  <c r="EO93" i="4" l="1"/>
  <c r="DD54" i="2"/>
  <c r="EH125" i="3"/>
  <c r="EW51" i="2"/>
  <c r="EW54" i="2" s="1"/>
  <c r="CQ96" i="4"/>
  <c r="DC54" i="2"/>
  <c r="EJ11" i="329"/>
  <c r="BA38" i="329"/>
  <c r="EJ38" i="329" s="1"/>
  <c r="DG95" i="329"/>
  <c r="DG120" i="329"/>
  <c r="EH108" i="4"/>
  <c r="EH94" i="4" s="1"/>
  <c r="EU115" i="2"/>
  <c r="EH119" i="4"/>
  <c r="EU51" i="2"/>
  <c r="EU54" i="2" s="1"/>
  <c r="EW115" i="2"/>
  <c r="DB54" i="2"/>
  <c r="AT4" i="329"/>
  <c r="AT4" i="3"/>
  <c r="CZ389" i="329"/>
  <c r="AU35" i="329"/>
  <c r="BO57" i="329"/>
  <c r="BP56" i="329"/>
  <c r="BO58" i="329"/>
  <c r="DF49" i="2"/>
  <c r="DF53" i="2"/>
  <c r="CT109" i="4"/>
  <c r="DC82" i="329"/>
  <c r="DC371" i="329" s="1"/>
  <c r="DG372" i="329" s="1"/>
  <c r="CT110" i="4"/>
  <c r="DH58" i="2"/>
  <c r="AY79" i="329"/>
  <c r="AY78" i="329"/>
  <c r="AZ77" i="329"/>
  <c r="CJ123" i="3"/>
  <c r="CK123" i="3"/>
  <c r="CJ124" i="3"/>
  <c r="CJ68" i="3"/>
  <c r="CR96" i="4"/>
  <c r="CR94" i="4"/>
  <c r="FG57" i="329"/>
  <c r="EY70" i="329"/>
  <c r="EX72" i="329"/>
  <c r="DD65" i="329"/>
  <c r="DE64" i="329"/>
  <c r="DD64" i="329"/>
  <c r="DD70" i="329"/>
  <c r="DE71" i="329" s="1"/>
  <c r="CZ386" i="329"/>
  <c r="EJ125" i="3"/>
  <c r="EJ107" i="4"/>
  <c r="EJ100" i="4" s="1"/>
  <c r="EH107" i="4"/>
  <c r="EH100" i="4" s="1"/>
  <c r="EJ116" i="4"/>
  <c r="FH6" i="2"/>
  <c r="ET5" i="3"/>
  <c r="FG5" i="329"/>
  <c r="ET5" i="4"/>
  <c r="EW58" i="2"/>
  <c r="EW61" i="2" s="1"/>
  <c r="EI107" i="3"/>
  <c r="EI78" i="3" s="1"/>
  <c r="EV64" i="2"/>
  <c r="ES14" i="4"/>
  <c r="DA54" i="2"/>
  <c r="EJ45" i="3"/>
  <c r="EJ127" i="3"/>
  <c r="EJ71" i="3"/>
  <c r="BK64" i="329"/>
  <c r="BK65" i="329"/>
  <c r="BL63" i="329"/>
  <c r="CN132" i="3"/>
  <c r="CI137" i="2"/>
  <c r="CI142" i="2"/>
  <c r="CZ137" i="2"/>
  <c r="CZ142" i="2"/>
  <c r="CY137" i="2"/>
  <c r="CY142" i="2"/>
  <c r="DU64" i="4"/>
  <c r="DV62" i="4" s="1"/>
  <c r="DV64" i="4" s="1"/>
  <c r="AV31" i="329"/>
  <c r="AV90" i="329"/>
  <c r="CN113" i="4"/>
  <c r="EV115" i="2"/>
  <c r="CJ89" i="329"/>
  <c r="CJ103" i="329" s="1"/>
  <c r="CJ104" i="329" s="1"/>
  <c r="CJ101" i="329"/>
  <c r="CJ102" i="329" s="1"/>
  <c r="CJ88" i="329"/>
  <c r="CJ378" i="329"/>
  <c r="CJ385" i="329" s="1"/>
  <c r="CN87" i="329"/>
  <c r="AV30" i="329"/>
  <c r="AV33" i="329"/>
  <c r="AV50" i="329"/>
  <c r="AV51" i="329" s="1"/>
  <c r="CY391" i="329"/>
  <c r="CY141" i="2"/>
  <c r="CY384" i="329"/>
  <c r="CY166" i="2"/>
  <c r="CY235" i="2" s="1"/>
  <c r="CM108" i="3"/>
  <c r="CM95" i="3" s="1"/>
  <c r="CY386" i="329"/>
  <c r="CP82" i="329"/>
  <c r="CQ77" i="329"/>
  <c r="CP80" i="329"/>
  <c r="CP85" i="329" s="1"/>
  <c r="CP374" i="329" s="1"/>
  <c r="CP78" i="329"/>
  <c r="CN378" i="329"/>
  <c r="CJ372" i="329"/>
  <c r="DA375" i="329"/>
  <c r="DA382" i="329"/>
  <c r="CM89" i="329"/>
  <c r="CM103" i="329" s="1"/>
  <c r="CM104" i="329" s="1"/>
  <c r="CM88" i="329"/>
  <c r="CM101" i="329"/>
  <c r="CM102" i="329" s="1"/>
  <c r="CI166" i="2"/>
  <c r="CI235" i="2" s="1"/>
  <c r="CI391" i="329"/>
  <c r="CA108" i="3"/>
  <c r="CA95" i="3" s="1"/>
  <c r="CI384" i="329"/>
  <c r="CI141" i="2"/>
  <c r="CH389" i="329"/>
  <c r="CH386" i="329"/>
  <c r="AV34" i="329"/>
  <c r="DD384" i="329"/>
  <c r="CZ166" i="2"/>
  <c r="CZ141" i="2"/>
  <c r="CN108" i="3"/>
  <c r="CN95" i="3" s="1"/>
  <c r="CZ391" i="329"/>
  <c r="CZ384" i="329"/>
  <c r="CM379" i="329"/>
  <c r="CM388" i="329"/>
  <c r="CM380" i="329"/>
  <c r="CN379" i="329"/>
  <c r="CN389" i="329" s="1"/>
  <c r="BZ93" i="3"/>
  <c r="BZ91" i="3"/>
  <c r="DB382" i="329"/>
  <c r="DB375" i="329"/>
  <c r="EF108" i="3"/>
  <c r="ED95" i="3"/>
  <c r="DD78" i="329"/>
  <c r="DD80" i="329"/>
  <c r="CJ383" i="329"/>
  <c r="CJ390" i="329"/>
  <c r="CB112" i="4"/>
  <c r="CB113" i="4" s="1"/>
  <c r="CI379" i="329"/>
  <c r="CI388" i="329"/>
  <c r="CA109" i="3"/>
  <c r="CI380" i="329"/>
  <c r="CI385" i="329"/>
  <c r="CK85" i="329"/>
  <c r="CK374" i="329" s="1"/>
  <c r="ES80" i="329"/>
  <c r="ET80" i="329" s="1"/>
  <c r="AV29" i="329"/>
  <c r="CK87" i="329"/>
  <c r="CK371" i="329"/>
  <c r="EJ112" i="4"/>
  <c r="EJ113" i="4" s="1"/>
  <c r="EW390" i="329"/>
  <c r="EW383" i="329"/>
  <c r="EW137" i="2" s="1"/>
  <c r="EI12" i="329"/>
  <c r="AW39" i="329"/>
  <c r="AW17" i="329"/>
  <c r="AW48" i="329" s="1"/>
  <c r="AW49" i="329" s="1"/>
  <c r="AW90" i="329" s="1"/>
  <c r="DC164" i="2"/>
  <c r="DC95" i="329"/>
  <c r="DC120" i="329"/>
  <c r="DA120" i="329"/>
  <c r="DA164" i="2"/>
  <c r="DA233" i="2" s="1"/>
  <c r="DA95" i="329"/>
  <c r="DB120" i="329"/>
  <c r="DB164" i="2"/>
  <c r="DB233" i="2" s="1"/>
  <c r="DB95" i="329"/>
  <c r="CP96" i="4"/>
  <c r="U135" i="2"/>
  <c r="U136" i="2" s="1"/>
  <c r="U386" i="329"/>
  <c r="U389" i="329"/>
  <c r="V379" i="329"/>
  <c r="V385" i="329"/>
  <c r="V109" i="3"/>
  <c r="V380" i="329"/>
  <c r="V388" i="329"/>
  <c r="DP109" i="3"/>
  <c r="EB379" i="329"/>
  <c r="EB388" i="329"/>
  <c r="EB385" i="329"/>
  <c r="V102" i="329"/>
  <c r="W96" i="329"/>
  <c r="W97" i="329" s="1"/>
  <c r="W101" i="329"/>
  <c r="W102" i="329" s="1"/>
  <c r="W378" i="329"/>
  <c r="W88" i="329"/>
  <c r="W89" i="329"/>
  <c r="X87" i="329"/>
  <c r="V103" i="329"/>
  <c r="V98" i="329"/>
  <c r="V99" i="329" s="1"/>
  <c r="U93" i="3"/>
  <c r="U94" i="3" s="1"/>
  <c r="U91" i="3"/>
  <c r="U92" i="3" s="1"/>
  <c r="EG301" i="329"/>
  <c r="EG305" i="329"/>
  <c r="AT89" i="329"/>
  <c r="AT88" i="329"/>
  <c r="AT101" i="329"/>
  <c r="AT102" i="329" s="1"/>
  <c r="AT96" i="329"/>
  <c r="AT97" i="329" s="1"/>
  <c r="AO302" i="329"/>
  <c r="EG300" i="329"/>
  <c r="AO307" i="329"/>
  <c r="EG307" i="329"/>
  <c r="AU71" i="329"/>
  <c r="AU72" i="329"/>
  <c r="AV70" i="329"/>
  <c r="AU87" i="329"/>
  <c r="BS313" i="329"/>
  <c r="BS320" i="329" s="1"/>
  <c r="AZ40" i="329"/>
  <c r="BA13" i="329"/>
  <c r="BA42" i="329"/>
  <c r="EJ42" i="329" s="1"/>
  <c r="EJ15" i="329"/>
  <c r="EW101" i="2"/>
  <c r="AY43" i="329"/>
  <c r="AZ16" i="329"/>
  <c r="EV51" i="2"/>
  <c r="EV54" i="2" s="1"/>
  <c r="EI108" i="4"/>
  <c r="CO96" i="4"/>
  <c r="CO94" i="4"/>
  <c r="CJ94" i="4"/>
  <c r="CN96" i="4"/>
  <c r="CJ96" i="4"/>
  <c r="EI107" i="4"/>
  <c r="EI100" i="4" s="1"/>
  <c r="EI116" i="4"/>
  <c r="EI119" i="4"/>
  <c r="EI125" i="3"/>
  <c r="EI126" i="3"/>
  <c r="CF94" i="4"/>
  <c r="CF96" i="4"/>
  <c r="EG94" i="4"/>
  <c r="EG96" i="4"/>
  <c r="EE94" i="4"/>
  <c r="EE96" i="4"/>
  <c r="EF96" i="4"/>
  <c r="CJ110" i="329"/>
  <c r="CJ122" i="329" s="1"/>
  <c r="EW89" i="329"/>
  <c r="EW88" i="329"/>
  <c r="CI51" i="329"/>
  <c r="DB378" i="329"/>
  <c r="DB372" i="329"/>
  <c r="EW378" i="329"/>
  <c r="EW372" i="329"/>
  <c r="CJ50" i="329"/>
  <c r="CJ51" i="329" s="1"/>
  <c r="CJ34" i="329"/>
  <c r="CJ33" i="329"/>
  <c r="CN92" i="329"/>
  <c r="CJ32" i="329"/>
  <c r="CJ92" i="329"/>
  <c r="CJ30" i="329"/>
  <c r="CJ29" i="329"/>
  <c r="CK44" i="329"/>
  <c r="CK50" i="329" s="1"/>
  <c r="CK51" i="329" s="1"/>
  <c r="CJ35" i="329"/>
  <c r="CJ31" i="329"/>
  <c r="CA122" i="329"/>
  <c r="CL98" i="329"/>
  <c r="CL99" i="329" s="1"/>
  <c r="CL120" i="329"/>
  <c r="CL164" i="2"/>
  <c r="CL95" i="329"/>
  <c r="CL123" i="329" s="1"/>
  <c r="CL107" i="329"/>
  <c r="CL108" i="329" s="1"/>
  <c r="ER164" i="2"/>
  <c r="ER98" i="329"/>
  <c r="ER107" i="329"/>
  <c r="CP49" i="329"/>
  <c r="CP83" i="329" s="1"/>
  <c r="CP90" i="329" s="1"/>
  <c r="ES82" i="329"/>
  <c r="ES49" i="329"/>
  <c r="ES83" i="329" s="1"/>
  <c r="DA379" i="329"/>
  <c r="DA250" i="2" s="1"/>
  <c r="DA380" i="329"/>
  <c r="DA388" i="329"/>
  <c r="CO109" i="3"/>
  <c r="EP164" i="2"/>
  <c r="EP107" i="329"/>
  <c r="EP98" i="329"/>
  <c r="BX233" i="2"/>
  <c r="CB233" i="2"/>
  <c r="DA98" i="329"/>
  <c r="DA99" i="329" s="1"/>
  <c r="EU20" i="329"/>
  <c r="CP26" i="329"/>
  <c r="BY107" i="329"/>
  <c r="BY108" i="329" s="1"/>
  <c r="BY120" i="329"/>
  <c r="BY164" i="2"/>
  <c r="BY98" i="329"/>
  <c r="BY99" i="329" s="1"/>
  <c r="BY95" i="329"/>
  <c r="BY123" i="329" s="1"/>
  <c r="CI93" i="329"/>
  <c r="CI94" i="329"/>
  <c r="CI105" i="329"/>
  <c r="CI106" i="329" s="1"/>
  <c r="CI96" i="329"/>
  <c r="CI97" i="329" s="1"/>
  <c r="EP105" i="329"/>
  <c r="EP106" i="329" s="1"/>
  <c r="EP96" i="329"/>
  <c r="EP97" i="329" s="1"/>
  <c r="EP93" i="329"/>
  <c r="ER380" i="329"/>
  <c r="ER379" i="329"/>
  <c r="ER250" i="2" s="1"/>
  <c r="ER388" i="329"/>
  <c r="ER385" i="329"/>
  <c r="CG120" i="329"/>
  <c r="CG95" i="329"/>
  <c r="CG123" i="329" s="1"/>
  <c r="CG98" i="329"/>
  <c r="CG99" i="329" s="1"/>
  <c r="CG107" i="329"/>
  <c r="CG108" i="329" s="1"/>
  <c r="CG164" i="2"/>
  <c r="CG233" i="2" s="1"/>
  <c r="CM105" i="329"/>
  <c r="CM106" i="329" s="1"/>
  <c r="CM96" i="329"/>
  <c r="CM97" i="329" s="1"/>
  <c r="CM93" i="329"/>
  <c r="CM94" i="329"/>
  <c r="ER105" i="329"/>
  <c r="ER106" i="329" s="1"/>
  <c r="ER96" i="329"/>
  <c r="ER97" i="329" s="1"/>
  <c r="ER93" i="329"/>
  <c r="EP388" i="329"/>
  <c r="EP385" i="329"/>
  <c r="ED109" i="3"/>
  <c r="EP380" i="329"/>
  <c r="EP379" i="329"/>
  <c r="CB110" i="329"/>
  <c r="CB122" i="329" s="1"/>
  <c r="CN93" i="3"/>
  <c r="CN94" i="3" s="1"/>
  <c r="CN91" i="3"/>
  <c r="CN92" i="3" s="1"/>
  <c r="CH94" i="329"/>
  <c r="DB88" i="329"/>
  <c r="DB89" i="329"/>
  <c r="DB96" i="329"/>
  <c r="DB97" i="329" s="1"/>
  <c r="AP307" i="329"/>
  <c r="AR378" i="329"/>
  <c r="AR292" i="329"/>
  <c r="AR291" i="329"/>
  <c r="AR304" i="329"/>
  <c r="AR299" i="329"/>
  <c r="AQ305" i="329"/>
  <c r="AS242" i="329"/>
  <c r="EH259" i="329"/>
  <c r="EH371" i="329" s="1"/>
  <c r="EH372" i="329" s="1"/>
  <c r="AQ109" i="3"/>
  <c r="AQ379" i="329"/>
  <c r="AQ385" i="329"/>
  <c r="AQ388" i="329"/>
  <c r="AQ380" i="329"/>
  <c r="AQ300" i="329"/>
  <c r="AQ301" i="329"/>
  <c r="AQ306" i="329"/>
  <c r="AP302" i="329"/>
  <c r="AU249" i="329"/>
  <c r="AT259" i="329"/>
  <c r="AT242" i="329" s="1"/>
  <c r="AP93" i="3"/>
  <c r="AP91" i="3"/>
  <c r="BO234" i="2"/>
  <c r="BS234" i="2"/>
  <c r="BT298" i="329"/>
  <c r="BT321" i="329" s="1"/>
  <c r="CB298" i="329"/>
  <c r="CB321" i="329" s="1"/>
  <c r="BP298" i="329"/>
  <c r="BP321" i="329" s="1"/>
  <c r="BP310" i="329"/>
  <c r="CB313" i="329" s="1"/>
  <c r="BP165" i="2"/>
  <c r="BP375" i="329"/>
  <c r="BP382" i="329"/>
  <c r="BT375" i="329"/>
  <c r="AX41" i="329"/>
  <c r="AY14" i="329"/>
  <c r="CA320" i="329"/>
  <c r="BP309" i="329"/>
  <c r="BT309" i="329"/>
  <c r="CB309" i="329"/>
  <c r="BS311" i="329"/>
  <c r="CA311" i="329"/>
  <c r="BO311" i="329"/>
  <c r="BO390" i="329"/>
  <c r="BO112" i="4"/>
  <c r="BO113" i="4" s="1"/>
  <c r="BO383" i="329"/>
  <c r="BO142" i="2" s="1"/>
  <c r="BQ298" i="329"/>
  <c r="BQ321" i="329" s="1"/>
  <c r="BU298" i="329"/>
  <c r="BU321" i="329" s="1"/>
  <c r="CC298" i="329"/>
  <c r="CC321" i="329" s="1"/>
  <c r="BQ310" i="329"/>
  <c r="CC313" i="329" s="1"/>
  <c r="CC320" i="329" s="1"/>
  <c r="BQ165" i="2"/>
  <c r="X62" i="4"/>
  <c r="X64" i="4" s="1"/>
  <c r="W65" i="4"/>
  <c r="EN242" i="329"/>
  <c r="EN290" i="329"/>
  <c r="FG128" i="329"/>
  <c r="EI94" i="4" l="1"/>
  <c r="EJ94" i="4"/>
  <c r="EO95" i="4"/>
  <c r="EP93" i="4"/>
  <c r="DD82" i="329"/>
  <c r="EK11" i="329"/>
  <c r="BF11" i="329" s="1"/>
  <c r="BB11" i="329"/>
  <c r="EH96" i="4"/>
  <c r="DC233" i="2"/>
  <c r="DG53" i="2"/>
  <c r="DC87" i="329"/>
  <c r="DG88" i="329" s="1"/>
  <c r="BQ57" i="329"/>
  <c r="BQ55" i="329"/>
  <c r="EN55" i="329" s="1"/>
  <c r="BP57" i="329"/>
  <c r="BP58" i="329"/>
  <c r="CT118" i="4"/>
  <c r="AZ78" i="329"/>
  <c r="AZ79" i="329"/>
  <c r="BA77" i="329"/>
  <c r="DH68" i="2"/>
  <c r="DU65" i="4"/>
  <c r="DD71" i="329"/>
  <c r="EX71" i="329"/>
  <c r="FA63" i="329"/>
  <c r="FA64" i="329" s="1"/>
  <c r="EI96" i="4"/>
  <c r="EU5" i="3"/>
  <c r="FH5" i="329"/>
  <c r="EU5" i="4"/>
  <c r="ET14" i="4"/>
  <c r="EX58" i="2"/>
  <c r="EX61" i="2" s="1"/>
  <c r="EJ107" i="3"/>
  <c r="EJ78" i="3" s="1"/>
  <c r="EW64" i="2"/>
  <c r="DA385" i="329"/>
  <c r="BM63" i="329"/>
  <c r="BL65" i="329"/>
  <c r="BL64" i="329"/>
  <c r="DP132" i="3"/>
  <c r="CM96" i="3"/>
  <c r="CO132" i="3"/>
  <c r="CY138" i="2"/>
  <c r="CZ138" i="2"/>
  <c r="DD138" i="2"/>
  <c r="CJ137" i="2"/>
  <c r="CJ142" i="2"/>
  <c r="AW83" i="329"/>
  <c r="AV35" i="329"/>
  <c r="EW391" i="329"/>
  <c r="EW166" i="2"/>
  <c r="EW142" i="2"/>
  <c r="EW141" i="2"/>
  <c r="EJ108" i="3"/>
  <c r="EJ95" i="3" s="1"/>
  <c r="CI389" i="329"/>
  <c r="CI386" i="329"/>
  <c r="CO112" i="4"/>
  <c r="DA383" i="329"/>
  <c r="DA142" i="2" s="1"/>
  <c r="DA390" i="329"/>
  <c r="DD235" i="2"/>
  <c r="CZ235" i="2"/>
  <c r="CP382" i="329"/>
  <c r="CL382" i="329"/>
  <c r="CP375" i="329"/>
  <c r="CT375" i="329"/>
  <c r="CM389" i="329"/>
  <c r="CN135" i="2"/>
  <c r="CN136" i="2" s="1"/>
  <c r="CM135" i="2"/>
  <c r="CM136" i="2" s="1"/>
  <c r="CJ379" i="329"/>
  <c r="CJ135" i="2" s="1"/>
  <c r="CJ136" i="2" s="1"/>
  <c r="CJ388" i="329"/>
  <c r="CB109" i="3"/>
  <c r="CJ380" i="329"/>
  <c r="EI39" i="329"/>
  <c r="AW44" i="329"/>
  <c r="CA91" i="3"/>
  <c r="CA92" i="3" s="1"/>
  <c r="CA93" i="3"/>
  <c r="CA94" i="3" s="1"/>
  <c r="CP112" i="4"/>
  <c r="CQ113" i="4" s="1"/>
  <c r="DB390" i="329"/>
  <c r="DB383" i="329"/>
  <c r="DB137" i="2" s="1"/>
  <c r="DC383" i="329"/>
  <c r="DC137" i="2" s="1"/>
  <c r="CI135" i="2"/>
  <c r="CI136" i="2" s="1"/>
  <c r="CQ82" i="329"/>
  <c r="CQ80" i="329"/>
  <c r="CQ85" i="329" s="1"/>
  <c r="CQ374" i="329" s="1"/>
  <c r="CQ78" i="329"/>
  <c r="CR77" i="329"/>
  <c r="CO87" i="329"/>
  <c r="CK101" i="329"/>
  <c r="CK102" i="329" s="1"/>
  <c r="CK88" i="329"/>
  <c r="CK89" i="329"/>
  <c r="CK103" i="329" s="1"/>
  <c r="CK104" i="329" s="1"/>
  <c r="CJ384" i="329"/>
  <c r="CJ141" i="2"/>
  <c r="CJ391" i="329"/>
  <c r="CB108" i="3"/>
  <c r="CB95" i="3" s="1"/>
  <c r="CJ166" i="2"/>
  <c r="CJ235" i="2" s="1"/>
  <c r="EF93" i="3"/>
  <c r="BZ94" i="3"/>
  <c r="EF94" i="3" s="1"/>
  <c r="AX12" i="329"/>
  <c r="EI17" i="329"/>
  <c r="EI48" i="329" s="1"/>
  <c r="EI49" i="329" s="1"/>
  <c r="EI90" i="329" s="1"/>
  <c r="CO378" i="329"/>
  <c r="CO379" i="329" s="1"/>
  <c r="CO250" i="2" s="1"/>
  <c r="CK372" i="329"/>
  <c r="CK378" i="329"/>
  <c r="CK382" i="329"/>
  <c r="CK375" i="329"/>
  <c r="EF91" i="3"/>
  <c r="BZ92" i="3"/>
  <c r="EF92" i="3" s="1"/>
  <c r="CN96" i="3"/>
  <c r="CR96" i="3"/>
  <c r="CN388" i="329"/>
  <c r="CN380" i="329"/>
  <c r="CP371" i="329"/>
  <c r="CP87" i="329"/>
  <c r="CN88" i="329"/>
  <c r="CN89" i="329"/>
  <c r="CN103" i="329" s="1"/>
  <c r="CN104" i="329" s="1"/>
  <c r="CN101" i="329"/>
  <c r="CN102" i="329" s="1"/>
  <c r="V104" i="329"/>
  <c r="EB386" i="329"/>
  <c r="EB389" i="329"/>
  <c r="EB135" i="2"/>
  <c r="EB136" i="2" s="1"/>
  <c r="V93" i="3"/>
  <c r="V94" i="3" s="1"/>
  <c r="V91" i="3"/>
  <c r="V92" i="3" s="1"/>
  <c r="W385" i="329"/>
  <c r="W379" i="329"/>
  <c r="W109" i="3"/>
  <c r="W380" i="329"/>
  <c r="W388" i="329"/>
  <c r="DP93" i="3"/>
  <c r="DP94" i="3" s="1"/>
  <c r="DP91" i="3"/>
  <c r="DP92" i="3" s="1"/>
  <c r="X101" i="329"/>
  <c r="X102" i="329" s="1"/>
  <c r="X89" i="329"/>
  <c r="X378" i="329"/>
  <c r="Y87" i="329"/>
  <c r="X88" i="329"/>
  <c r="X96" i="329"/>
  <c r="X97" i="329" s="1"/>
  <c r="V389" i="329"/>
  <c r="V386" i="329"/>
  <c r="W103" i="329"/>
  <c r="W104" i="329" s="1"/>
  <c r="W98" i="329"/>
  <c r="W99" i="329" s="1"/>
  <c r="V135" i="2"/>
  <c r="V136" i="2" s="1"/>
  <c r="AU89" i="329"/>
  <c r="AU96" i="329"/>
  <c r="AU97" i="329" s="1"/>
  <c r="AU88" i="329"/>
  <c r="AU101" i="329"/>
  <c r="AU102" i="329" s="1"/>
  <c r="AV71" i="329"/>
  <c r="AV72" i="329"/>
  <c r="AW70" i="329"/>
  <c r="AV87" i="329"/>
  <c r="AT103" i="329"/>
  <c r="AT98" i="329"/>
  <c r="EG302" i="329"/>
  <c r="BA40" i="329"/>
  <c r="EJ40" i="329" s="1"/>
  <c r="EJ13" i="329"/>
  <c r="BB15" i="329"/>
  <c r="EK15" i="329"/>
  <c r="BF15" i="329" s="1"/>
  <c r="EJ96" i="4"/>
  <c r="AZ43" i="329"/>
  <c r="BA16" i="329"/>
  <c r="CH120" i="329"/>
  <c r="CH98" i="329"/>
  <c r="CH99" i="329" s="1"/>
  <c r="CH107" i="329"/>
  <c r="CH108" i="329" s="1"/>
  <c r="CH95" i="329"/>
  <c r="CH123" i="329" s="1"/>
  <c r="CH164" i="2"/>
  <c r="CH233" i="2" s="1"/>
  <c r="CM164" i="2"/>
  <c r="CM95" i="329"/>
  <c r="CM123" i="329" s="1"/>
  <c r="CM98" i="329"/>
  <c r="CM99" i="329" s="1"/>
  <c r="CM107" i="329"/>
  <c r="CM108" i="329" s="1"/>
  <c r="CM120" i="329"/>
  <c r="CK110" i="329"/>
  <c r="CC233" i="2"/>
  <c r="BY233" i="2"/>
  <c r="DD87" i="329"/>
  <c r="DD371" i="329"/>
  <c r="ET82" i="329"/>
  <c r="ET371" i="329" s="1"/>
  <c r="ET372" i="329" s="1"/>
  <c r="ES87" i="329"/>
  <c r="ET87" i="329"/>
  <c r="ES371" i="329"/>
  <c r="EW98" i="329"/>
  <c r="EW92" i="329" s="1"/>
  <c r="DB98" i="329"/>
  <c r="DB99" i="329" s="1"/>
  <c r="ER386" i="329"/>
  <c r="ER389" i="329"/>
  <c r="CI95" i="329"/>
  <c r="CI123" i="329" s="1"/>
  <c r="CI164" i="2"/>
  <c r="CI233" i="2" s="1"/>
  <c r="CI107" i="329"/>
  <c r="CI108" i="329" s="1"/>
  <c r="CI98" i="329"/>
  <c r="CI99" i="329" s="1"/>
  <c r="CI120" i="329"/>
  <c r="EU26" i="329"/>
  <c r="EU11" i="329"/>
  <c r="CP110" i="329"/>
  <c r="CJ105" i="329"/>
  <c r="CJ106" i="329" s="1"/>
  <c r="CJ94" i="329"/>
  <c r="CJ96" i="329"/>
  <c r="CJ97" i="329" s="1"/>
  <c r="CJ93" i="329"/>
  <c r="DC378" i="329"/>
  <c r="DC372" i="329"/>
  <c r="EW388" i="329"/>
  <c r="EW379" i="329"/>
  <c r="EW250" i="2" s="1"/>
  <c r="EW380" i="329"/>
  <c r="EJ109" i="3"/>
  <c r="EJ132" i="3" s="1"/>
  <c r="EW385" i="329"/>
  <c r="ED93" i="3"/>
  <c r="ED94" i="3" s="1"/>
  <c r="EF109" i="3"/>
  <c r="ED91" i="3"/>
  <c r="ED92" i="3" s="1"/>
  <c r="CC110" i="329"/>
  <c r="DA389" i="329"/>
  <c r="DA135" i="2"/>
  <c r="DA136" i="2" s="1"/>
  <c r="CK29" i="329"/>
  <c r="ES44" i="329"/>
  <c r="CK33" i="329"/>
  <c r="CP44" i="329"/>
  <c r="CO92" i="329"/>
  <c r="CK92" i="329"/>
  <c r="CK30" i="329"/>
  <c r="CK31" i="329"/>
  <c r="CK32" i="329"/>
  <c r="CK34" i="329"/>
  <c r="CK35" i="329"/>
  <c r="DB379" i="329"/>
  <c r="DB135" i="2" s="1"/>
  <c r="DB136" i="2" s="1"/>
  <c r="DB380" i="329"/>
  <c r="DB388" i="329"/>
  <c r="CP109" i="3"/>
  <c r="CP132" i="3" s="1"/>
  <c r="DB385" i="329"/>
  <c r="EP389" i="329"/>
  <c r="ES135" i="2"/>
  <c r="EP386" i="329"/>
  <c r="CO93" i="3"/>
  <c r="CO94" i="3" s="1"/>
  <c r="CO91" i="3"/>
  <c r="CO92" i="3" s="1"/>
  <c r="ET90" i="329"/>
  <c r="ET83" i="329"/>
  <c r="ES90" i="329"/>
  <c r="CN94" i="329"/>
  <c r="CN96" i="329"/>
  <c r="CN97" i="329" s="1"/>
  <c r="CN105" i="329"/>
  <c r="CN106" i="329" s="1"/>
  <c r="CN93" i="329"/>
  <c r="ES50" i="329"/>
  <c r="ES51" i="329" s="1"/>
  <c r="BT313" i="329"/>
  <c r="BT320" i="329" s="1"/>
  <c r="AT290" i="329"/>
  <c r="AT371" i="329"/>
  <c r="AT372" i="329" s="1"/>
  <c r="AQ307" i="329"/>
  <c r="AS290" i="329"/>
  <c r="EH242" i="329"/>
  <c r="EH290" i="329" s="1"/>
  <c r="AS371" i="329"/>
  <c r="AS372" i="329" s="1"/>
  <c r="AR300" i="329"/>
  <c r="AR301" i="329"/>
  <c r="AR306" i="329"/>
  <c r="AV249" i="329"/>
  <c r="AU259" i="329"/>
  <c r="AU242" i="329" s="1"/>
  <c r="AQ386" i="329"/>
  <c r="AQ389" i="329"/>
  <c r="AR305" i="329"/>
  <c r="AR109" i="3"/>
  <c r="AR385" i="329"/>
  <c r="AR388" i="329"/>
  <c r="AR379" i="329"/>
  <c r="AR380" i="329"/>
  <c r="BU313" i="329"/>
  <c r="BU320" i="329" s="1"/>
  <c r="AQ302" i="329"/>
  <c r="AQ93" i="3"/>
  <c r="AQ91" i="3"/>
  <c r="CB320" i="329"/>
  <c r="EQ320" i="329" s="1"/>
  <c r="EQ313" i="329"/>
  <c r="Y62" i="4"/>
  <c r="Y64" i="4" s="1"/>
  <c r="X65" i="4"/>
  <c r="DV65" i="4"/>
  <c r="DW62" i="4"/>
  <c r="DW64" i="4" s="1"/>
  <c r="AY41" i="329"/>
  <c r="AZ14" i="329"/>
  <c r="BQ383" i="329"/>
  <c r="BQ142" i="2" s="1"/>
  <c r="BP390" i="329"/>
  <c r="BP383" i="329"/>
  <c r="BP142" i="2" s="1"/>
  <c r="BP112" i="4"/>
  <c r="BP234" i="2"/>
  <c r="BT234" i="2"/>
  <c r="EQ293" i="329"/>
  <c r="EO291" i="329"/>
  <c r="EO292" i="329"/>
  <c r="EN299" i="329"/>
  <c r="EQ292" i="329"/>
  <c r="EO293" i="329"/>
  <c r="EN304" i="329"/>
  <c r="EQ291" i="329"/>
  <c r="BQ311" i="329"/>
  <c r="BU311" i="329"/>
  <c r="CC311" i="329"/>
  <c r="EN378" i="329"/>
  <c r="EO372" i="329"/>
  <c r="BQ234" i="2"/>
  <c r="BU234" i="2"/>
  <c r="BO166" i="2"/>
  <c r="BO108" i="3"/>
  <c r="BO95" i="3" s="1"/>
  <c r="BO391" i="329"/>
  <c r="BS384" i="329"/>
  <c r="BO384" i="329"/>
  <c r="BO141" i="2"/>
  <c r="CB311" i="329"/>
  <c r="BP311" i="329"/>
  <c r="BT311" i="329"/>
  <c r="FH128" i="329"/>
  <c r="EQ93" i="4" l="1"/>
  <c r="EP95" i="4"/>
  <c r="DC96" i="329"/>
  <c r="DC97" i="329" s="1"/>
  <c r="DC89" i="329"/>
  <c r="DC98" i="329" s="1"/>
  <c r="DC99" i="329" s="1"/>
  <c r="DC88" i="329"/>
  <c r="BC11" i="329"/>
  <c r="BB38" i="329"/>
  <c r="BG11" i="329"/>
  <c r="BF38" i="329"/>
  <c r="EN57" i="329"/>
  <c r="BA79" i="329"/>
  <c r="EJ77" i="329"/>
  <c r="BA78" i="329"/>
  <c r="FB63" i="329"/>
  <c r="FB64" i="329" s="1"/>
  <c r="EX64" i="2"/>
  <c r="EK107" i="3"/>
  <c r="EY58" i="2"/>
  <c r="EU14" i="4"/>
  <c r="EI83" i="329"/>
  <c r="DC379" i="329"/>
  <c r="DC386" i="329" s="1"/>
  <c r="EM63" i="329"/>
  <c r="BN63" i="329" s="1"/>
  <c r="BM64" i="329"/>
  <c r="EM64" i="329" s="1"/>
  <c r="BM65" i="329"/>
  <c r="EM65" i="329" s="1"/>
  <c r="DC138" i="2"/>
  <c r="DB138" i="2"/>
  <c r="DA386" i="329"/>
  <c r="DA137" i="2"/>
  <c r="CJ386" i="329"/>
  <c r="AX39" i="329"/>
  <c r="AX44" i="329" s="1"/>
  <c r="AX33" i="329" s="1"/>
  <c r="AY12" i="329"/>
  <c r="AX17" i="329"/>
  <c r="AX48" i="329" s="1"/>
  <c r="AX49" i="329" s="1"/>
  <c r="AX90" i="329" s="1"/>
  <c r="AW32" i="329"/>
  <c r="AW29" i="329"/>
  <c r="AW34" i="329"/>
  <c r="AW33" i="329"/>
  <c r="AW31" i="329"/>
  <c r="EI44" i="329"/>
  <c r="AW30" i="329"/>
  <c r="AW50" i="329"/>
  <c r="AW51" i="329" s="1"/>
  <c r="CP88" i="329"/>
  <c r="CT88" i="329"/>
  <c r="CP89" i="329"/>
  <c r="CP103" i="329" s="1"/>
  <c r="CP104" i="329" s="1"/>
  <c r="CP101" i="329"/>
  <c r="CR80" i="329"/>
  <c r="CR85" i="329" s="1"/>
  <c r="CR374" i="329" s="1"/>
  <c r="CR82" i="329"/>
  <c r="CR78" i="329"/>
  <c r="CS77" i="329"/>
  <c r="CP390" i="329"/>
  <c r="CP383" i="329"/>
  <c r="CD112" i="4"/>
  <c r="DA384" i="329"/>
  <c r="CO108" i="3"/>
  <c r="CO95" i="3" s="1"/>
  <c r="DA391" i="329"/>
  <c r="DA166" i="2"/>
  <c r="DA235" i="2" s="1"/>
  <c r="DA141" i="2"/>
  <c r="CO101" i="329"/>
  <c r="CO102" i="329" s="1"/>
  <c r="CO88" i="329"/>
  <c r="CO89" i="329"/>
  <c r="CO103" i="329" s="1"/>
  <c r="CO104" i="329" s="1"/>
  <c r="CB91" i="3"/>
  <c r="CB92" i="3" s="1"/>
  <c r="CB93" i="3"/>
  <c r="CB94" i="3" s="1"/>
  <c r="CL385" i="329"/>
  <c r="CL390" i="329"/>
  <c r="CL383" i="329"/>
  <c r="CP378" i="329"/>
  <c r="CP372" i="329"/>
  <c r="CT372" i="329"/>
  <c r="CO388" i="329"/>
  <c r="CO380" i="329"/>
  <c r="ET380" i="329" s="1"/>
  <c r="CT380" i="329"/>
  <c r="CT379" i="329"/>
  <c r="DC391" i="329"/>
  <c r="DC166" i="2"/>
  <c r="DC141" i="2"/>
  <c r="CQ108" i="3"/>
  <c r="CQ95" i="3" s="1"/>
  <c r="DC384" i="329"/>
  <c r="CJ389" i="329"/>
  <c r="CP113" i="4"/>
  <c r="CO113" i="4"/>
  <c r="CK379" i="329"/>
  <c r="CK250" i="2" s="1"/>
  <c r="CC109" i="3"/>
  <c r="CK388" i="329"/>
  <c r="CK380" i="329"/>
  <c r="CQ371" i="329"/>
  <c r="CQ87" i="329"/>
  <c r="CO389" i="329"/>
  <c r="CO135" i="2"/>
  <c r="CO136" i="2" s="1"/>
  <c r="CK383" i="329"/>
  <c r="CK390" i="329"/>
  <c r="CK385" i="329"/>
  <c r="CC112" i="4"/>
  <c r="CC113" i="4" s="1"/>
  <c r="CQ382" i="329"/>
  <c r="CQ375" i="329"/>
  <c r="CM382" i="329"/>
  <c r="CU375" i="329"/>
  <c r="DB166" i="2"/>
  <c r="DB235" i="2" s="1"/>
  <c r="CP108" i="3"/>
  <c r="CP95" i="3" s="1"/>
  <c r="DB391" i="329"/>
  <c r="DB141" i="2"/>
  <c r="DB384" i="329"/>
  <c r="Y101" i="329"/>
  <c r="Z87" i="329"/>
  <c r="Y378" i="329"/>
  <c r="Y89" i="329"/>
  <c r="Y88" i="329"/>
  <c r="EC87" i="329"/>
  <c r="Y96" i="329"/>
  <c r="Y97" i="329" s="1"/>
  <c r="W93" i="3"/>
  <c r="W94" i="3" s="1"/>
  <c r="W91" i="3"/>
  <c r="W92" i="3" s="1"/>
  <c r="X109" i="3"/>
  <c r="X380" i="329"/>
  <c r="X388" i="329"/>
  <c r="X379" i="329"/>
  <c r="X385" i="329"/>
  <c r="W135" i="2"/>
  <c r="W136" i="2" s="1"/>
  <c r="W389" i="329"/>
  <c r="W386" i="329"/>
  <c r="X103" i="329"/>
  <c r="X98" i="329"/>
  <c r="X99" i="329" s="1"/>
  <c r="AV96" i="329"/>
  <c r="AV97" i="329" s="1"/>
  <c r="AV89" i="329"/>
  <c r="AV101" i="329"/>
  <c r="AV88" i="329"/>
  <c r="AW72" i="329"/>
  <c r="AW71" i="329"/>
  <c r="EI70" i="329"/>
  <c r="AW87" i="329"/>
  <c r="AU103" i="329"/>
  <c r="AU104" i="329" s="1"/>
  <c r="AU98" i="329"/>
  <c r="AU99" i="329" s="1"/>
  <c r="EK13" i="329"/>
  <c r="BF13" i="329" s="1"/>
  <c r="BB13" i="329"/>
  <c r="BG15" i="329"/>
  <c r="BF42" i="329"/>
  <c r="BC15" i="329"/>
  <c r="BB42" i="329"/>
  <c r="BA43" i="329"/>
  <c r="EJ43" i="329" s="1"/>
  <c r="EJ16" i="329"/>
  <c r="CM110" i="329"/>
  <c r="CM122" i="329" s="1"/>
  <c r="CL233" i="2"/>
  <c r="CL110" i="329"/>
  <c r="CL122" i="329" s="1"/>
  <c r="EO320" i="329"/>
  <c r="CP91" i="3"/>
  <c r="CP92" i="3" s="1"/>
  <c r="CP93" i="3"/>
  <c r="CP94" i="3" s="1"/>
  <c r="CO93" i="329"/>
  <c r="CO94" i="329"/>
  <c r="CO96" i="329"/>
  <c r="CO97" i="329" s="1"/>
  <c r="CO105" i="329"/>
  <c r="CO106" i="329" s="1"/>
  <c r="CC122" i="329"/>
  <c r="EQ122" i="329" s="1"/>
  <c r="EQ110" i="329"/>
  <c r="EJ91" i="3"/>
  <c r="EJ92" i="3" s="1"/>
  <c r="EJ93" i="3"/>
  <c r="EJ94" i="3" s="1"/>
  <c r="ES88" i="329"/>
  <c r="ES89" i="329"/>
  <c r="ES103" i="329" s="1"/>
  <c r="ES101" i="329"/>
  <c r="ES102" i="329" s="1"/>
  <c r="CP33" i="329"/>
  <c r="CP34" i="329"/>
  <c r="CP32" i="329"/>
  <c r="CQ44" i="329"/>
  <c r="CQ50" i="329" s="1"/>
  <c r="CP30" i="329"/>
  <c r="CP35" i="329"/>
  <c r="CP29" i="329"/>
  <c r="CP31" i="329"/>
  <c r="CP92" i="329"/>
  <c r="CP50" i="329"/>
  <c r="CP51" i="329" s="1"/>
  <c r="EJ68" i="4"/>
  <c r="EJ69" i="4" s="1"/>
  <c r="EJ72" i="4"/>
  <c r="EJ73" i="4" s="1"/>
  <c r="CJ98" i="329"/>
  <c r="CJ99" i="329" s="1"/>
  <c r="CJ164" i="2"/>
  <c r="CJ233" i="2" s="1"/>
  <c r="CJ120" i="329"/>
  <c r="CJ107" i="329"/>
  <c r="CJ108" i="329" s="1"/>
  <c r="CJ95" i="329"/>
  <c r="CJ123" i="329" s="1"/>
  <c r="CP122" i="329"/>
  <c r="DD378" i="329"/>
  <c r="DD372" i="329"/>
  <c r="CK122" i="329"/>
  <c r="ES122" i="329" s="1"/>
  <c r="ES110" i="329"/>
  <c r="CN107" i="329"/>
  <c r="CN108" i="329" s="1"/>
  <c r="CN95" i="329"/>
  <c r="CN123" i="329" s="1"/>
  <c r="CN98" i="329"/>
  <c r="CN99" i="329" s="1"/>
  <c r="CN164" i="2"/>
  <c r="CN120" i="329"/>
  <c r="EW389" i="329"/>
  <c r="EJ89" i="4"/>
  <c r="EW386" i="329"/>
  <c r="CQ109" i="3"/>
  <c r="CQ132" i="3" s="1"/>
  <c r="DC380" i="329"/>
  <c r="DC388" i="329"/>
  <c r="DC385" i="329"/>
  <c r="ET378" i="329"/>
  <c r="ES378" i="329"/>
  <c r="ES372" i="329"/>
  <c r="DD96" i="329"/>
  <c r="DD97" i="329" s="1"/>
  <c r="DD89" i="329"/>
  <c r="DD88" i="329"/>
  <c r="CQ110" i="329"/>
  <c r="CQ122" i="329" s="1"/>
  <c r="DB389" i="329"/>
  <c r="DB386" i="329"/>
  <c r="CK93" i="329"/>
  <c r="CK94" i="329"/>
  <c r="CK105" i="329"/>
  <c r="CK106" i="329" s="1"/>
  <c r="CK96" i="329"/>
  <c r="CK97" i="329" s="1"/>
  <c r="ES92" i="329"/>
  <c r="ET92" i="329"/>
  <c r="ET374" i="329" s="1"/>
  <c r="ET375" i="329" s="1"/>
  <c r="ES85" i="329"/>
  <c r="ES374" i="329" s="1"/>
  <c r="ES375" i="329" s="1"/>
  <c r="ES32" i="329"/>
  <c r="ES33" i="329"/>
  <c r="ES34" i="329"/>
  <c r="ES31" i="329"/>
  <c r="ES35" i="329"/>
  <c r="ES30" i="329"/>
  <c r="ES29" i="329"/>
  <c r="EV11" i="329"/>
  <c r="EU17" i="329"/>
  <c r="EU48" i="329" s="1"/>
  <c r="EU38" i="329"/>
  <c r="ET101" i="329"/>
  <c r="ET102" i="329" s="1"/>
  <c r="ET89" i="329"/>
  <c r="ET103" i="329" s="1"/>
  <c r="ET104" i="329" s="1"/>
  <c r="ET88" i="329"/>
  <c r="DE87" i="329"/>
  <c r="DF48" i="329"/>
  <c r="DG49" i="329" s="1"/>
  <c r="DG83" i="329" s="1"/>
  <c r="DG90" i="329" s="1"/>
  <c r="EX82" i="329"/>
  <c r="CM233" i="2"/>
  <c r="EO313" i="329"/>
  <c r="AR389" i="329"/>
  <c r="AR386" i="329"/>
  <c r="AR302" i="329"/>
  <c r="AU290" i="329"/>
  <c r="AU371" i="329"/>
  <c r="AU372" i="329" s="1"/>
  <c r="EH292" i="329"/>
  <c r="EH299" i="329"/>
  <c r="EH291" i="329"/>
  <c r="AR135" i="2"/>
  <c r="AW249" i="329"/>
  <c r="AV259" i="329"/>
  <c r="AV242" i="329" s="1"/>
  <c r="AS292" i="329"/>
  <c r="AS304" i="329"/>
  <c r="AS299" i="329"/>
  <c r="AS378" i="329"/>
  <c r="AS291" i="329"/>
  <c r="AT304" i="329"/>
  <c r="AT299" i="329"/>
  <c r="AT292" i="329"/>
  <c r="AT291" i="329"/>
  <c r="AT378" i="329"/>
  <c r="AR93" i="3"/>
  <c r="AR91" i="3"/>
  <c r="AR307" i="329"/>
  <c r="EQ300" i="329"/>
  <c r="EO300" i="329"/>
  <c r="BQ166" i="2"/>
  <c r="BQ391" i="329"/>
  <c r="BQ384" i="329"/>
  <c r="BQ108" i="3"/>
  <c r="BQ95" i="3" s="1"/>
  <c r="BQ141" i="2"/>
  <c r="BU384" i="329"/>
  <c r="AX62" i="4"/>
  <c r="AX64" i="4" s="1"/>
  <c r="DX62" i="4"/>
  <c r="DX64" i="4" s="1"/>
  <c r="DW65" i="4"/>
  <c r="BO235" i="2"/>
  <c r="BS235" i="2"/>
  <c r="EO305" i="329"/>
  <c r="EQ305" i="329"/>
  <c r="EO301" i="329"/>
  <c r="EO306" i="329"/>
  <c r="BP113" i="4"/>
  <c r="BQ113" i="4"/>
  <c r="EB109" i="3"/>
  <c r="EN385" i="329"/>
  <c r="EN388" i="329"/>
  <c r="EO379" i="329"/>
  <c r="EQ379" i="329"/>
  <c r="EQ250" i="2" s="1"/>
  <c r="EO380" i="329"/>
  <c r="EQ380" i="329"/>
  <c r="BP166" i="2"/>
  <c r="BP108" i="3"/>
  <c r="BP95" i="3" s="1"/>
  <c r="BP141" i="2"/>
  <c r="BP391" i="329"/>
  <c r="BT384" i="329"/>
  <c r="BP384" i="329"/>
  <c r="BA14" i="329"/>
  <c r="AZ41" i="329"/>
  <c r="EQ306" i="329"/>
  <c r="EQ301" i="329"/>
  <c r="Y65" i="4"/>
  <c r="Z62" i="4"/>
  <c r="Z64" i="4" s="1"/>
  <c r="ER93" i="4" l="1"/>
  <c r="EQ95" i="4"/>
  <c r="DG97" i="329"/>
  <c r="DC389" i="329"/>
  <c r="BG38" i="329"/>
  <c r="BH11" i="329"/>
  <c r="BD11" i="329"/>
  <c r="BC38" i="329"/>
  <c r="DF49" i="329"/>
  <c r="DF83" i="329" s="1"/>
  <c r="DF82" i="329"/>
  <c r="DF87" i="329" s="1"/>
  <c r="DG89" i="329" s="1"/>
  <c r="DG98" i="329" s="1"/>
  <c r="DG99" i="329" s="1"/>
  <c r="DC235" i="2"/>
  <c r="DC135" i="2"/>
  <c r="DC136" i="2" s="1"/>
  <c r="EJ79" i="329"/>
  <c r="EJ78" i="329"/>
  <c r="BB77" i="329"/>
  <c r="EK77" i="329"/>
  <c r="FC63" i="329"/>
  <c r="FC64" i="329" s="1"/>
  <c r="AX32" i="329"/>
  <c r="CQ96" i="3"/>
  <c r="CO96" i="3"/>
  <c r="CP96" i="3"/>
  <c r="BO63" i="329"/>
  <c r="BN65" i="329"/>
  <c r="BN64" i="329"/>
  <c r="DA138" i="2"/>
  <c r="CL137" i="2"/>
  <c r="CL142" i="2"/>
  <c r="CP137" i="2"/>
  <c r="CP142" i="2"/>
  <c r="CK137" i="2"/>
  <c r="CK142" i="2"/>
  <c r="AX34" i="329"/>
  <c r="AX83" i="329"/>
  <c r="AW35" i="329"/>
  <c r="CP380" i="329"/>
  <c r="CP379" i="329"/>
  <c r="CD109" i="3"/>
  <c r="CP388" i="329"/>
  <c r="CP391" i="329"/>
  <c r="CD108" i="3"/>
  <c r="CD95" i="3" s="1"/>
  <c r="CP166" i="2"/>
  <c r="CP384" i="329"/>
  <c r="CP141" i="2"/>
  <c r="AX31" i="329"/>
  <c r="CM390" i="329"/>
  <c r="CM383" i="329"/>
  <c r="CM385" i="329"/>
  <c r="CL141" i="2"/>
  <c r="CL391" i="329"/>
  <c r="CL386" i="329"/>
  <c r="CL166" i="2"/>
  <c r="CL235" i="2" s="1"/>
  <c r="CR375" i="329"/>
  <c r="CR382" i="329"/>
  <c r="CN382" i="329"/>
  <c r="CV375" i="329"/>
  <c r="CK389" i="329"/>
  <c r="CR371" i="329"/>
  <c r="CR87" i="329"/>
  <c r="EI32" i="329"/>
  <c r="EI33" i="329"/>
  <c r="EI29" i="329"/>
  <c r="EI34" i="329"/>
  <c r="EI31" i="329"/>
  <c r="EI374" i="329"/>
  <c r="EI30" i="329"/>
  <c r="AX30" i="329"/>
  <c r="AX50" i="329"/>
  <c r="AX51" i="329" s="1"/>
  <c r="CU135" i="2"/>
  <c r="CY136" i="2" s="1"/>
  <c r="CT389" i="329"/>
  <c r="CP385" i="329"/>
  <c r="CS80" i="329"/>
  <c r="CS85" i="329" s="1"/>
  <c r="CS374" i="329" s="1"/>
  <c r="EU77" i="329"/>
  <c r="EU82" i="329" s="1"/>
  <c r="CS82" i="329"/>
  <c r="CS78" i="329"/>
  <c r="CT102" i="329"/>
  <c r="CP102" i="329"/>
  <c r="CQ372" i="329"/>
  <c r="CQ378" i="329"/>
  <c r="CU372" i="329"/>
  <c r="AX29" i="329"/>
  <c r="CE112" i="4"/>
  <c r="CE113" i="4" s="1"/>
  <c r="CQ383" i="329"/>
  <c r="CQ390" i="329"/>
  <c r="CK384" i="329"/>
  <c r="CK391" i="329"/>
  <c r="CC108" i="3"/>
  <c r="CC95" i="3" s="1"/>
  <c r="CK166" i="2"/>
  <c r="CK235" i="2" s="1"/>
  <c r="CK386" i="329"/>
  <c r="CK141" i="2"/>
  <c r="CQ101" i="329"/>
  <c r="CU88" i="329"/>
  <c r="CQ89" i="329"/>
  <c r="CQ103" i="329" s="1"/>
  <c r="CQ88" i="329"/>
  <c r="CC91" i="3"/>
  <c r="CC92" i="3" s="1"/>
  <c r="CC93" i="3"/>
  <c r="CC94" i="3" s="1"/>
  <c r="CK135" i="2"/>
  <c r="CK136" i="2" s="1"/>
  <c r="AZ12" i="329"/>
  <c r="AY39" i="329"/>
  <c r="AY44" i="329" s="1"/>
  <c r="AY50" i="329" s="1"/>
  <c r="AY51" i="329" s="1"/>
  <c r="AY17" i="329"/>
  <c r="AY48" i="329" s="1"/>
  <c r="AY49" i="329" s="1"/>
  <c r="AY90" i="329" s="1"/>
  <c r="Y103" i="329"/>
  <c r="Y104" i="329" s="1"/>
  <c r="Y98" i="329"/>
  <c r="Y99" i="329" s="1"/>
  <c r="Y388" i="329"/>
  <c r="EC378" i="329"/>
  <c r="Y379" i="329"/>
  <c r="Y135" i="2" s="1"/>
  <c r="Y136" i="2" s="1"/>
  <c r="Y385" i="329"/>
  <c r="Y380" i="329"/>
  <c r="EC380" i="329" s="1"/>
  <c r="Y109" i="3"/>
  <c r="X104" i="329"/>
  <c r="X93" i="3"/>
  <c r="X94" i="3" s="1"/>
  <c r="X91" i="3"/>
  <c r="X92" i="3" s="1"/>
  <c r="EC88" i="329"/>
  <c r="EC96" i="329"/>
  <c r="EC97" i="329" s="1"/>
  <c r="EC89" i="329"/>
  <c r="EC98" i="329" s="1"/>
  <c r="EC99" i="329" s="1"/>
  <c r="AA87" i="329"/>
  <c r="Z89" i="329"/>
  <c r="Z96" i="329"/>
  <c r="Z97" i="329" s="1"/>
  <c r="Z88" i="329"/>
  <c r="Z101" i="329"/>
  <c r="Z378" i="329"/>
  <c r="X135" i="2"/>
  <c r="X136" i="2" s="1"/>
  <c r="X386" i="329"/>
  <c r="X389" i="329"/>
  <c r="Y102" i="329"/>
  <c r="EC101" i="329"/>
  <c r="EC102" i="329" s="1"/>
  <c r="AW96" i="329"/>
  <c r="AW97" i="329" s="1"/>
  <c r="AW89" i="329"/>
  <c r="AW88" i="329"/>
  <c r="AW101" i="329"/>
  <c r="AW102" i="329" s="1"/>
  <c r="EI71" i="329"/>
  <c r="EI72" i="329"/>
  <c r="AX70" i="329"/>
  <c r="EI82" i="329"/>
  <c r="EI87" i="329"/>
  <c r="AV102" i="329"/>
  <c r="AV98" i="329"/>
  <c r="AV99" i="329" s="1"/>
  <c r="AV103" i="329"/>
  <c r="BC13" i="329"/>
  <c r="BB40" i="329"/>
  <c r="BF40" i="329"/>
  <c r="BG13" i="329"/>
  <c r="BC42" i="329"/>
  <c r="BD15" i="329"/>
  <c r="BH15" i="329"/>
  <c r="BG42" i="329"/>
  <c r="CN110" i="329"/>
  <c r="CN122" i="329" s="1"/>
  <c r="EK16" i="329"/>
  <c r="BF16" i="329" s="1"/>
  <c r="BB16" i="329"/>
  <c r="CR110" i="329"/>
  <c r="CT93" i="329"/>
  <c r="CP96" i="329"/>
  <c r="CP93" i="329"/>
  <c r="CP105" i="329"/>
  <c r="CP94" i="329"/>
  <c r="CU51" i="329"/>
  <c r="CQ51" i="329"/>
  <c r="DE88" i="329"/>
  <c r="EX87" i="329"/>
  <c r="DE89" i="329"/>
  <c r="EV49" i="329"/>
  <c r="CT49" i="329"/>
  <c r="CT83" i="329" s="1"/>
  <c r="CT90" i="329" s="1"/>
  <c r="EU49" i="329"/>
  <c r="ES382" i="329"/>
  <c r="DD379" i="329"/>
  <c r="CR109" i="3"/>
  <c r="CR132" i="3" s="1"/>
  <c r="DD380" i="329"/>
  <c r="DD388" i="329"/>
  <c r="DD385" i="329"/>
  <c r="CQ34" i="329"/>
  <c r="CQ92" i="329"/>
  <c r="CQ30" i="329"/>
  <c r="CQ35" i="329"/>
  <c r="CQ32" i="329"/>
  <c r="CQ29" i="329"/>
  <c r="CQ31" i="329"/>
  <c r="CQ33" i="329"/>
  <c r="CR44" i="329"/>
  <c r="CR50" i="329" s="1"/>
  <c r="ET94" i="329"/>
  <c r="CO120" i="329"/>
  <c r="CO107" i="329"/>
  <c r="CO108" i="329" s="1"/>
  <c r="CO95" i="329"/>
  <c r="CO123" i="329" s="1"/>
  <c r="CO164" i="2"/>
  <c r="CO98" i="329"/>
  <c r="CO99" i="329" s="1"/>
  <c r="EV38" i="329"/>
  <c r="EV29" i="329" s="1"/>
  <c r="EV17" i="329"/>
  <c r="EW11" i="329"/>
  <c r="ET105" i="329"/>
  <c r="ET106" i="329" s="1"/>
  <c r="ET93" i="329"/>
  <c r="ET96" i="329"/>
  <c r="ET97" i="329" s="1"/>
  <c r="CK164" i="2"/>
  <c r="CK233" i="2" s="1"/>
  <c r="CK107" i="329"/>
  <c r="CK108" i="329" s="1"/>
  <c r="CK98" i="329"/>
  <c r="CK99" i="329" s="1"/>
  <c r="CK120" i="329"/>
  <c r="CK95" i="329"/>
  <c r="CK123" i="329" s="1"/>
  <c r="ES94" i="329"/>
  <c r="ES380" i="329"/>
  <c r="ES379" i="329"/>
  <c r="ES250" i="2" s="1"/>
  <c r="EG109" i="3"/>
  <c r="ES388" i="329"/>
  <c r="CN233" i="2"/>
  <c r="ES93" i="329"/>
  <c r="ES105" i="329"/>
  <c r="ES106" i="329" s="1"/>
  <c r="ES96" i="329"/>
  <c r="ES97" i="329" s="1"/>
  <c r="DD98" i="329"/>
  <c r="ET388" i="329"/>
  <c r="ET379" i="329"/>
  <c r="ET250" i="2" s="1"/>
  <c r="CQ91" i="3"/>
  <c r="CQ93" i="3"/>
  <c r="ES104" i="329"/>
  <c r="AT305" i="329"/>
  <c r="AS300" i="329"/>
  <c r="EH300" i="329"/>
  <c r="AT385" i="329"/>
  <c r="AT379" i="329"/>
  <c r="AT109" i="3"/>
  <c r="AT380" i="329"/>
  <c r="AT388" i="329"/>
  <c r="AT300" i="329"/>
  <c r="AV290" i="329"/>
  <c r="AV371" i="329"/>
  <c r="AV372" i="329" s="1"/>
  <c r="AU292" i="329"/>
  <c r="AU291" i="329"/>
  <c r="AU304" i="329"/>
  <c r="AU299" i="329"/>
  <c r="AU378" i="329"/>
  <c r="AT301" i="329"/>
  <c r="AT306" i="329"/>
  <c r="AS305" i="329"/>
  <c r="EH304" i="329"/>
  <c r="EH301" i="329"/>
  <c r="EI249" i="329"/>
  <c r="AX249" i="329" s="1"/>
  <c r="AW259" i="329"/>
  <c r="AS379" i="329"/>
  <c r="AS380" i="329"/>
  <c r="AS385" i="329"/>
  <c r="AS388" i="329"/>
  <c r="AS109" i="3"/>
  <c r="EH378" i="329"/>
  <c r="AS301" i="329"/>
  <c r="AS306" i="329"/>
  <c r="ER302" i="329"/>
  <c r="EQ389" i="329"/>
  <c r="EQ386" i="329"/>
  <c r="EP307" i="329"/>
  <c r="AX65" i="4"/>
  <c r="AY62" i="4"/>
  <c r="AY64" i="4" s="1"/>
  <c r="BP235" i="2"/>
  <c r="BT235" i="2"/>
  <c r="Z65" i="4"/>
  <c r="AA62" i="4"/>
  <c r="AA64" i="4" s="1"/>
  <c r="EJ14" i="329"/>
  <c r="BA41" i="329"/>
  <c r="ER307" i="329"/>
  <c r="EO389" i="329"/>
  <c r="EC89" i="4"/>
  <c r="EC85" i="4" s="1"/>
  <c r="EP135" i="2"/>
  <c r="ER135" i="2"/>
  <c r="EO386" i="329"/>
  <c r="EP302" i="329"/>
  <c r="EC68" i="4"/>
  <c r="EC69" i="4" s="1"/>
  <c r="EF69" i="4" s="1"/>
  <c r="EC72" i="4"/>
  <c r="EC73" i="4" s="1"/>
  <c r="EF73" i="4" s="1"/>
  <c r="EB93" i="3"/>
  <c r="EB91" i="3"/>
  <c r="DX65" i="4"/>
  <c r="DY62" i="4"/>
  <c r="DY64" i="4" s="1"/>
  <c r="BB62" i="4"/>
  <c r="BB64" i="4" s="1"/>
  <c r="BQ235" i="2"/>
  <c r="BU235" i="2"/>
  <c r="ER95" i="4" l="1"/>
  <c r="ES93" i="4"/>
  <c r="AY30" i="329"/>
  <c r="AY33" i="329"/>
  <c r="BI11" i="329"/>
  <c r="BH38" i="329"/>
  <c r="BD38" i="329"/>
  <c r="BE11" i="329"/>
  <c r="BE38" i="329" s="1"/>
  <c r="EK38" i="329" s="1"/>
  <c r="CQ92" i="3"/>
  <c r="CU92" i="3"/>
  <c r="CQ94" i="3"/>
  <c r="CU94" i="3"/>
  <c r="DF90" i="329"/>
  <c r="BB78" i="329"/>
  <c r="BC77" i="329"/>
  <c r="BF77" i="329"/>
  <c r="EK78" i="329"/>
  <c r="FD63" i="329"/>
  <c r="FD64" i="329" s="1"/>
  <c r="AY83" i="329"/>
  <c r="AY32" i="329"/>
  <c r="AY34" i="329"/>
  <c r="AY31" i="329"/>
  <c r="AY29" i="329"/>
  <c r="BO65" i="329"/>
  <c r="BO64" i="329"/>
  <c r="BP63" i="329"/>
  <c r="CQ137" i="2"/>
  <c r="CQ142" i="2"/>
  <c r="CM137" i="2"/>
  <c r="CM142" i="2"/>
  <c r="AX35" i="329"/>
  <c r="EC103" i="329"/>
  <c r="EC104" i="329" s="1"/>
  <c r="CO110" i="329"/>
  <c r="CO122" i="329" s="1"/>
  <c r="ET122" i="329" s="1"/>
  <c r="BA12" i="329"/>
  <c r="AZ39" i="329"/>
  <c r="AZ44" i="329" s="1"/>
  <c r="AZ31" i="329" s="1"/>
  <c r="AZ17" i="329"/>
  <c r="AZ48" i="329" s="1"/>
  <c r="AZ49" i="329" s="1"/>
  <c r="AZ90" i="329" s="1"/>
  <c r="CQ388" i="329"/>
  <c r="CE109" i="3"/>
  <c r="CQ380" i="329"/>
  <c r="CU102" i="329"/>
  <c r="CQ102" i="329"/>
  <c r="CQ385" i="329"/>
  <c r="CS375" i="329"/>
  <c r="CO382" i="329"/>
  <c r="CS382" i="329"/>
  <c r="CW375" i="329"/>
  <c r="EI375" i="329"/>
  <c r="EI382" i="329"/>
  <c r="CR383" i="329"/>
  <c r="CF112" i="4"/>
  <c r="CF113" i="4" s="1"/>
  <c r="CR390" i="329"/>
  <c r="CP235" i="2"/>
  <c r="CD91" i="3"/>
  <c r="CD93" i="3"/>
  <c r="CQ104" i="329"/>
  <c r="CU104" i="329"/>
  <c r="CS87" i="329"/>
  <c r="CS371" i="329"/>
  <c r="CR101" i="329"/>
  <c r="CV88" i="329"/>
  <c r="CR89" i="329"/>
  <c r="CR103" i="329" s="1"/>
  <c r="CR88" i="329"/>
  <c r="CP386" i="329"/>
  <c r="CP389" i="329"/>
  <c r="CP135" i="2"/>
  <c r="CP136" i="2" s="1"/>
  <c r="CE108" i="3"/>
  <c r="CE95" i="3" s="1"/>
  <c r="CQ384" i="329"/>
  <c r="CQ141" i="2"/>
  <c r="CU384" i="329"/>
  <c r="CQ166" i="2"/>
  <c r="CQ391" i="329"/>
  <c r="EU78" i="329"/>
  <c r="EU80" i="329"/>
  <c r="EU85" i="329" s="1"/>
  <c r="EU374" i="329" s="1"/>
  <c r="EU375" i="329" s="1"/>
  <c r="EI35" i="329"/>
  <c r="CR378" i="329"/>
  <c r="CR379" i="329" s="1"/>
  <c r="CR372" i="329"/>
  <c r="CV372" i="329"/>
  <c r="CN383" i="329"/>
  <c r="CN390" i="329"/>
  <c r="CN385" i="329"/>
  <c r="CM141" i="2"/>
  <c r="CM386" i="329"/>
  <c r="CM166" i="2"/>
  <c r="CM235" i="2" s="1"/>
  <c r="CM391" i="329"/>
  <c r="CQ379" i="329"/>
  <c r="Z102" i="329"/>
  <c r="AA101" i="329"/>
  <c r="AA102" i="329" s="1"/>
  <c r="AA378" i="329"/>
  <c r="AA88" i="329"/>
  <c r="AB87" i="329"/>
  <c r="AA96" i="329"/>
  <c r="AA97" i="329" s="1"/>
  <c r="AA89" i="329"/>
  <c r="Y91" i="3"/>
  <c r="Y92" i="3" s="1"/>
  <c r="Y93" i="3"/>
  <c r="Y94" i="3" s="1"/>
  <c r="EC385" i="329"/>
  <c r="EC388" i="329"/>
  <c r="EC379" i="329"/>
  <c r="DQ109" i="3"/>
  <c r="Z388" i="329"/>
  <c r="Z380" i="329"/>
  <c r="Z109" i="3"/>
  <c r="Z379" i="329"/>
  <c r="Z135" i="2" s="1"/>
  <c r="Z136" i="2" s="1"/>
  <c r="Z385" i="329"/>
  <c r="Z103" i="329"/>
  <c r="Z98" i="329"/>
  <c r="Z99" i="329" s="1"/>
  <c r="Y386" i="329"/>
  <c r="Y389" i="329"/>
  <c r="EI101" i="329"/>
  <c r="EI102" i="329" s="1"/>
  <c r="AY70" i="329"/>
  <c r="AX72" i="329"/>
  <c r="AX71" i="329"/>
  <c r="AX82" i="329"/>
  <c r="AX87" i="329"/>
  <c r="AW98" i="329"/>
  <c r="AW99" i="329" s="1"/>
  <c r="AW103" i="329"/>
  <c r="AW104" i="329" s="1"/>
  <c r="AV104" i="329"/>
  <c r="EI89" i="329"/>
  <c r="EI98" i="329" s="1"/>
  <c r="EI96" i="329"/>
  <c r="EI97" i="329" s="1"/>
  <c r="EI88" i="329"/>
  <c r="BH13" i="329"/>
  <c r="BG40" i="329"/>
  <c r="BC40" i="329"/>
  <c r="BD13" i="329"/>
  <c r="BI15" i="329"/>
  <c r="BH42" i="329"/>
  <c r="BD42" i="329"/>
  <c r="BE15" i="329"/>
  <c r="BE42" i="329" s="1"/>
  <c r="EK42" i="329" s="1"/>
  <c r="CS110" i="329"/>
  <c r="BB43" i="329"/>
  <c r="BC16" i="329"/>
  <c r="BF43" i="329"/>
  <c r="BG16" i="329"/>
  <c r="CR51" i="329"/>
  <c r="CV51" i="329"/>
  <c r="CP120" i="329"/>
  <c r="CP164" i="2"/>
  <c r="CP233" i="2" s="1"/>
  <c r="CP107" i="329"/>
  <c r="CP108" i="329" s="1"/>
  <c r="CP95" i="329"/>
  <c r="CP123" i="329" s="1"/>
  <c r="CP98" i="329"/>
  <c r="CP99" i="329" s="1"/>
  <c r="EF89" i="4"/>
  <c r="ES389" i="329"/>
  <c r="ES164" i="2"/>
  <c r="ES98" i="329"/>
  <c r="ES99" i="329" s="1"/>
  <c r="ES107" i="329"/>
  <c r="ES108" i="329" s="1"/>
  <c r="ES120" i="329"/>
  <c r="ES95" i="329"/>
  <c r="ES123" i="329" s="1"/>
  <c r="EW17" i="329"/>
  <c r="EW38" i="329"/>
  <c r="EW29" i="329" s="1"/>
  <c r="ES383" i="329"/>
  <c r="ES137" i="2" s="1"/>
  <c r="ES390" i="329"/>
  <c r="ES385" i="329"/>
  <c r="EG112" i="4"/>
  <c r="EX89" i="329"/>
  <c r="EX88" i="329"/>
  <c r="CP106" i="329"/>
  <c r="CT106" i="329"/>
  <c r="CR92" i="329"/>
  <c r="CS44" i="329"/>
  <c r="CS50" i="329" s="1"/>
  <c r="CR32" i="329"/>
  <c r="CR34" i="329"/>
  <c r="CR29" i="329"/>
  <c r="CR31" i="329"/>
  <c r="CR33" i="329"/>
  <c r="CR30" i="329"/>
  <c r="CR35" i="329"/>
  <c r="DD389" i="329"/>
  <c r="DD386" i="329"/>
  <c r="DD135" i="2"/>
  <c r="DD136" i="2" s="1"/>
  <c r="ET389" i="329"/>
  <c r="ET135" i="2"/>
  <c r="ET136" i="2" s="1"/>
  <c r="DD99" i="329"/>
  <c r="DH48" i="329"/>
  <c r="EF68" i="4"/>
  <c r="EF70" i="4" s="1"/>
  <c r="EF72" i="4"/>
  <c r="EF74" i="4" s="1"/>
  <c r="EG93" i="3"/>
  <c r="EG94" i="3" s="1"/>
  <c r="EG91" i="3"/>
  <c r="EG92" i="3" s="1"/>
  <c r="ET164" i="2"/>
  <c r="ET95" i="329"/>
  <c r="ET123" i="329" s="1"/>
  <c r="ET107" i="329"/>
  <c r="ET108" i="329" s="1"/>
  <c r="ET98" i="329"/>
  <c r="ET99" i="329" s="1"/>
  <c r="ET120" i="329"/>
  <c r="DF88" i="329"/>
  <c r="DF89" i="329"/>
  <c r="CO233" i="2"/>
  <c r="CQ94" i="329"/>
  <c r="CQ93" i="329"/>
  <c r="CQ105" i="329"/>
  <c r="CQ96" i="329"/>
  <c r="CU93" i="329"/>
  <c r="CR93" i="3"/>
  <c r="CR94" i="3" s="1"/>
  <c r="CR91" i="3"/>
  <c r="CR92" i="3" s="1"/>
  <c r="EU371" i="329"/>
  <c r="EU372" i="329" s="1"/>
  <c r="EU83" i="329"/>
  <c r="EU90" i="329" s="1"/>
  <c r="EU87" i="329"/>
  <c r="EV83" i="329"/>
  <c r="EV90" i="329" s="1"/>
  <c r="CT97" i="329"/>
  <c r="CP97" i="329"/>
  <c r="AT302" i="329"/>
  <c r="AT386" i="329"/>
  <c r="AT389" i="329"/>
  <c r="EH385" i="329"/>
  <c r="DV109" i="3"/>
  <c r="EH388" i="329"/>
  <c r="AU300" i="329"/>
  <c r="AS302" i="329"/>
  <c r="AS307" i="329"/>
  <c r="EH306" i="329"/>
  <c r="AS93" i="3"/>
  <c r="AS91" i="3"/>
  <c r="AS389" i="329"/>
  <c r="AS386" i="329"/>
  <c r="AT135" i="2"/>
  <c r="AS135" i="2"/>
  <c r="EH302" i="329"/>
  <c r="AT307" i="329"/>
  <c r="AU305" i="329"/>
  <c r="AV291" i="329"/>
  <c r="AV299" i="329"/>
  <c r="AV292" i="329"/>
  <c r="AV304" i="329"/>
  <c r="AV378" i="329"/>
  <c r="AX259" i="329"/>
  <c r="AY249" i="329"/>
  <c r="AU301" i="329"/>
  <c r="AU306" i="329"/>
  <c r="AW242" i="329"/>
  <c r="EI259" i="329"/>
  <c r="EI371" i="329" s="1"/>
  <c r="EH305" i="329"/>
  <c r="AU388" i="329"/>
  <c r="AU379" i="329"/>
  <c r="AU109" i="3"/>
  <c r="AU385" i="329"/>
  <c r="AU380" i="329"/>
  <c r="AT91" i="3"/>
  <c r="AT92" i="3" s="1"/>
  <c r="AT93" i="3"/>
  <c r="AT94" i="3" s="1"/>
  <c r="EH73" i="4"/>
  <c r="ES136" i="2"/>
  <c r="BB65" i="4"/>
  <c r="BC62" i="4"/>
  <c r="BC64" i="4" s="1"/>
  <c r="EC92" i="3"/>
  <c r="EE92" i="3"/>
  <c r="DY65" i="4"/>
  <c r="DZ62" i="4"/>
  <c r="DZ64" i="4" s="1"/>
  <c r="EC94" i="3"/>
  <c r="EE94" i="3"/>
  <c r="EJ41" i="329"/>
  <c r="BB14" i="329"/>
  <c r="EK14" i="329"/>
  <c r="EH69" i="4"/>
  <c r="AA65" i="4"/>
  <c r="AB62" i="4"/>
  <c r="AB64" i="4" s="1"/>
  <c r="AY65" i="4"/>
  <c r="AZ62" i="4"/>
  <c r="AZ64" i="4" s="1"/>
  <c r="ES95" i="4" l="1"/>
  <c r="ET93" i="4"/>
  <c r="DH49" i="329"/>
  <c r="DH83" i="329" s="1"/>
  <c r="DH82" i="329"/>
  <c r="DH87" i="329" s="1"/>
  <c r="BI38" i="329"/>
  <c r="EL11" i="329"/>
  <c r="BG77" i="329"/>
  <c r="BF79" i="329"/>
  <c r="BD77" i="329"/>
  <c r="BC78" i="329"/>
  <c r="BC79" i="329"/>
  <c r="AZ33" i="329"/>
  <c r="FE63" i="329"/>
  <c r="FE64" i="329" s="1"/>
  <c r="ET110" i="329"/>
  <c r="AY35" i="329"/>
  <c r="BQ64" i="329"/>
  <c r="BP64" i="329"/>
  <c r="BP65" i="329"/>
  <c r="BQ62" i="329"/>
  <c r="EN62" i="329" s="1"/>
  <c r="DQ132" i="3"/>
  <c r="CN137" i="2"/>
  <c r="CN142" i="2"/>
  <c r="CR137" i="2"/>
  <c r="CR142" i="2"/>
  <c r="AZ83" i="329"/>
  <c r="AZ30" i="329"/>
  <c r="EI103" i="329"/>
  <c r="CR389" i="329"/>
  <c r="AZ50" i="329"/>
  <c r="AZ51" i="329" s="1"/>
  <c r="AZ34" i="329"/>
  <c r="CQ386" i="329"/>
  <c r="CQ389" i="329"/>
  <c r="CR135" i="2"/>
  <c r="ET382" i="329"/>
  <c r="EU382" i="329"/>
  <c r="EV375" i="329"/>
  <c r="CQ135" i="2"/>
  <c r="CS372" i="329"/>
  <c r="CS378" i="329"/>
  <c r="CS385" i="329" s="1"/>
  <c r="CW372" i="329"/>
  <c r="AZ29" i="329"/>
  <c r="CR385" i="329"/>
  <c r="CR380" i="329"/>
  <c r="CR388" i="329"/>
  <c r="CF109" i="3"/>
  <c r="CD92" i="3"/>
  <c r="CH92" i="3"/>
  <c r="CF108" i="3"/>
  <c r="CF95" i="3" s="1"/>
  <c r="CR166" i="2"/>
  <c r="CV384" i="329"/>
  <c r="CR141" i="2"/>
  <c r="CR384" i="329"/>
  <c r="CR391" i="329"/>
  <c r="CR386" i="329"/>
  <c r="CS383" i="329"/>
  <c r="CS390" i="329"/>
  <c r="CG112" i="4"/>
  <c r="CG113" i="4" s="1"/>
  <c r="CE93" i="3"/>
  <c r="CE91" i="3"/>
  <c r="EJ12" i="329"/>
  <c r="BA39" i="329"/>
  <c r="BA17" i="329"/>
  <c r="BA48" i="329" s="1"/>
  <c r="BA49" i="329" s="1"/>
  <c r="BA90" i="329" s="1"/>
  <c r="CR104" i="329"/>
  <c r="CV104" i="329"/>
  <c r="CS101" i="329"/>
  <c r="CW88" i="329"/>
  <c r="CS88" i="329"/>
  <c r="CS89" i="329"/>
  <c r="CS103" i="329" s="1"/>
  <c r="CT89" i="329"/>
  <c r="CT103" i="329" s="1"/>
  <c r="CD94" i="3"/>
  <c r="CH94" i="3"/>
  <c r="AZ32" i="329"/>
  <c r="CN166" i="2"/>
  <c r="CN235" i="2" s="1"/>
  <c r="CN141" i="2"/>
  <c r="CN391" i="329"/>
  <c r="CN386" i="329"/>
  <c r="CQ235" i="2"/>
  <c r="CU235" i="2"/>
  <c r="CR102" i="329"/>
  <c r="CV102" i="329"/>
  <c r="EI383" i="329"/>
  <c r="EI137" i="2" s="1"/>
  <c r="EI390" i="329"/>
  <c r="DW112" i="4"/>
  <c r="CO385" i="329"/>
  <c r="CO390" i="329"/>
  <c r="CO383" i="329"/>
  <c r="CT383" i="329"/>
  <c r="Z104" i="329"/>
  <c r="AA103" i="329"/>
  <c r="AA104" i="329" s="1"/>
  <c r="AA98" i="329"/>
  <c r="AA99" i="329" s="1"/>
  <c r="AA380" i="329"/>
  <c r="AA385" i="329"/>
  <c r="AA388" i="329"/>
  <c r="AA109" i="3"/>
  <c r="AA379" i="329"/>
  <c r="AA135" i="2" s="1"/>
  <c r="AA136" i="2" s="1"/>
  <c r="Z389" i="329"/>
  <c r="Z386" i="329"/>
  <c r="DQ93" i="3"/>
  <c r="DQ94" i="3" s="1"/>
  <c r="DQ91" i="3"/>
  <c r="DQ92" i="3" s="1"/>
  <c r="AB89" i="329"/>
  <c r="AC87" i="329"/>
  <c r="AB101" i="329"/>
  <c r="AB102" i="329" s="1"/>
  <c r="AB96" i="329"/>
  <c r="AB97" i="329" s="1"/>
  <c r="AB378" i="329"/>
  <c r="AB88" i="329"/>
  <c r="Z91" i="3"/>
  <c r="Z92" i="3" s="1"/>
  <c r="Z93" i="3"/>
  <c r="Z94" i="3" s="1"/>
  <c r="EC389" i="329"/>
  <c r="EC386" i="329"/>
  <c r="EC135" i="2"/>
  <c r="EC136" i="2" s="1"/>
  <c r="AX89" i="329"/>
  <c r="AX101" i="329"/>
  <c r="AX102" i="329" s="1"/>
  <c r="AX96" i="329"/>
  <c r="AX97" i="329" s="1"/>
  <c r="AX88" i="329"/>
  <c r="AY71" i="329"/>
  <c r="AZ70" i="329"/>
  <c r="AY72" i="329"/>
  <c r="AY82" i="329"/>
  <c r="AY87" i="329"/>
  <c r="BE13" i="329"/>
  <c r="BE40" i="329" s="1"/>
  <c r="EK40" i="329" s="1"/>
  <c r="BD40" i="329"/>
  <c r="BI13" i="329"/>
  <c r="BH40" i="329"/>
  <c r="EL15" i="329"/>
  <c r="BI42" i="329"/>
  <c r="CS122" i="329"/>
  <c r="EU122" i="329" s="1"/>
  <c r="EU110" i="329"/>
  <c r="EU111" i="329" s="1"/>
  <c r="BH16" i="329"/>
  <c r="BG43" i="329"/>
  <c r="BC43" i="329"/>
  <c r="BD16" i="329"/>
  <c r="CT110" i="329"/>
  <c r="CT122" i="329" s="1"/>
  <c r="CQ97" i="329"/>
  <c r="CU97" i="329"/>
  <c r="EU101" i="329"/>
  <c r="EU89" i="329"/>
  <c r="EU103" i="329" s="1"/>
  <c r="EV88" i="329"/>
  <c r="EU88" i="329"/>
  <c r="EV89" i="329"/>
  <c r="EV103" i="329" s="1"/>
  <c r="CS51" i="329"/>
  <c r="CW51" i="329"/>
  <c r="CS35" i="329"/>
  <c r="CT50" i="329"/>
  <c r="CS30" i="329"/>
  <c r="CS29" i="329"/>
  <c r="EU44" i="329"/>
  <c r="CS92" i="329"/>
  <c r="CS32" i="329"/>
  <c r="CS31" i="329"/>
  <c r="CS33" i="329"/>
  <c r="CS34" i="329"/>
  <c r="CD113" i="4"/>
  <c r="EG113" i="4"/>
  <c r="CQ95" i="329"/>
  <c r="CQ123" i="329" s="1"/>
  <c r="CQ120" i="329"/>
  <c r="CU120" i="329"/>
  <c r="CQ164" i="2"/>
  <c r="CQ107" i="329"/>
  <c r="CQ98" i="329"/>
  <c r="CU95" i="329"/>
  <c r="CU123" i="329" s="1"/>
  <c r="CV93" i="329"/>
  <c r="CR93" i="329"/>
  <c r="CR96" i="329"/>
  <c r="CR94" i="329"/>
  <c r="CR105" i="329"/>
  <c r="EU50" i="329"/>
  <c r="EV372" i="329"/>
  <c r="EU378" i="329"/>
  <c r="CU106" i="329"/>
  <c r="CQ106" i="329"/>
  <c r="ES166" i="2"/>
  <c r="ES391" i="329"/>
  <c r="EG108" i="3"/>
  <c r="EG95" i="3" s="1"/>
  <c r="ES141" i="2"/>
  <c r="ES384" i="329"/>
  <c r="ES142" i="2"/>
  <c r="ES386" i="329"/>
  <c r="AU93" i="3"/>
  <c r="AU94" i="3" s="1"/>
  <c r="AU91" i="3"/>
  <c r="AU92" i="3" s="1"/>
  <c r="AU302" i="329"/>
  <c r="AZ249" i="329"/>
  <c r="AY259" i="329"/>
  <c r="EH307" i="329"/>
  <c r="AU135" i="2"/>
  <c r="AU386" i="329"/>
  <c r="AU389" i="329"/>
  <c r="EI372" i="329"/>
  <c r="AX242" i="329"/>
  <c r="AX290" i="329" s="1"/>
  <c r="AX371" i="329"/>
  <c r="AX372" i="329" s="1"/>
  <c r="AV301" i="329"/>
  <c r="AV306" i="329"/>
  <c r="AW371" i="329"/>
  <c r="AW372" i="329" s="1"/>
  <c r="AW290" i="329"/>
  <c r="EI242" i="329"/>
  <c r="EI290" i="329" s="1"/>
  <c r="AV109" i="3"/>
  <c r="AV385" i="329"/>
  <c r="AV380" i="329"/>
  <c r="AV379" i="329"/>
  <c r="AV135" i="2" s="1"/>
  <c r="AV136" i="2" s="1"/>
  <c r="AV388" i="329"/>
  <c r="AV300" i="329"/>
  <c r="DV91" i="3"/>
  <c r="DV93" i="3"/>
  <c r="AU307" i="329"/>
  <c r="AV305" i="329"/>
  <c r="AZ65" i="4"/>
  <c r="BA62" i="4"/>
  <c r="BA64" i="4" s="1"/>
  <c r="BA65" i="4" s="1"/>
  <c r="BF14" i="329"/>
  <c r="BD62" i="4"/>
  <c r="BD64" i="4" s="1"/>
  <c r="BC65" i="4"/>
  <c r="BC14" i="329"/>
  <c r="BB41" i="329"/>
  <c r="BA83" i="329"/>
  <c r="EF82" i="4"/>
  <c r="AB65" i="4"/>
  <c r="AC62" i="4"/>
  <c r="AC64" i="4" s="1"/>
  <c r="DZ65" i="4"/>
  <c r="EA62" i="4"/>
  <c r="EA64" i="4" s="1"/>
  <c r="ET95" i="4" l="1"/>
  <c r="EU93" i="4"/>
  <c r="EU95" i="4" s="1"/>
  <c r="DH90" i="329"/>
  <c r="DI48" i="329"/>
  <c r="DI49" i="329" s="1"/>
  <c r="DI83" i="329" s="1"/>
  <c r="EY83" i="329" s="1"/>
  <c r="EY90" i="329" s="1"/>
  <c r="BJ11" i="329"/>
  <c r="EL38" i="329"/>
  <c r="BH77" i="329"/>
  <c r="BG78" i="329"/>
  <c r="BG79" i="329"/>
  <c r="BD79" i="329"/>
  <c r="BE77" i="329"/>
  <c r="BD78" i="329"/>
  <c r="EN64" i="329"/>
  <c r="FF63" i="329"/>
  <c r="FF64" i="329" s="1"/>
  <c r="EU51" i="329"/>
  <c r="EV51" i="329"/>
  <c r="CT137" i="2"/>
  <c r="CX138" i="2" s="1"/>
  <c r="CT142" i="2"/>
  <c r="CS137" i="2"/>
  <c r="CS142" i="2"/>
  <c r="AZ35" i="329"/>
  <c r="CO137" i="2"/>
  <c r="CO142" i="2"/>
  <c r="CS379" i="329"/>
  <c r="EJ39" i="329"/>
  <c r="BA44" i="329"/>
  <c r="BA30" i="329" s="1"/>
  <c r="EJ30" i="329" s="1"/>
  <c r="CO141" i="2"/>
  <c r="CO391" i="329"/>
  <c r="CO166" i="2"/>
  <c r="CO235" i="2" s="1"/>
  <c r="CO386" i="329"/>
  <c r="CI94" i="3"/>
  <c r="CE94" i="3"/>
  <c r="CS141" i="2"/>
  <c r="CS166" i="2"/>
  <c r="CS391" i="329"/>
  <c r="CG108" i="3"/>
  <c r="CG95" i="3" s="1"/>
  <c r="CS384" i="329"/>
  <c r="CW384" i="329"/>
  <c r="CU136" i="2"/>
  <c r="CQ136" i="2"/>
  <c r="ET385" i="329"/>
  <c r="ET390" i="329"/>
  <c r="ET383" i="329"/>
  <c r="ET137" i="2" s="1"/>
  <c r="CT104" i="329"/>
  <c r="CW102" i="329"/>
  <c r="CS102" i="329"/>
  <c r="CV136" i="2"/>
  <c r="CR136" i="2"/>
  <c r="CS104" i="329"/>
  <c r="CW104" i="329"/>
  <c r="BB12" i="329"/>
  <c r="EK12" i="329"/>
  <c r="EJ17" i="329"/>
  <c r="EJ48" i="329" s="1"/>
  <c r="EJ49" i="329" s="1"/>
  <c r="EJ90" i="329" s="1"/>
  <c r="CR235" i="2"/>
  <c r="CV235" i="2"/>
  <c r="CS389" i="329"/>
  <c r="CS380" i="329"/>
  <c r="CS388" i="329"/>
  <c r="CG109" i="3"/>
  <c r="EI166" i="2"/>
  <c r="EI391" i="329"/>
  <c r="EI384" i="329"/>
  <c r="EI142" i="2"/>
  <c r="DW108" i="3"/>
  <c r="DW95" i="3" s="1"/>
  <c r="CX384" i="329"/>
  <c r="CT141" i="2"/>
  <c r="CT386" i="329"/>
  <c r="CT384" i="329"/>
  <c r="CH108" i="3"/>
  <c r="CH95" i="3" s="1"/>
  <c r="CL96" i="3" s="1"/>
  <c r="CT391" i="329"/>
  <c r="CT166" i="2"/>
  <c r="AX113" i="4"/>
  <c r="DW113" i="4"/>
  <c r="CI92" i="3"/>
  <c r="CE92" i="3"/>
  <c r="CF91" i="3"/>
  <c r="CF93" i="3"/>
  <c r="EU390" i="329"/>
  <c r="EH112" i="4"/>
  <c r="EV383" i="329"/>
  <c r="EV137" i="2" s="1"/>
  <c r="EU383" i="329"/>
  <c r="EU137" i="2" s="1"/>
  <c r="AC88" i="329"/>
  <c r="AC101" i="329"/>
  <c r="AD87" i="329"/>
  <c r="AC89" i="329"/>
  <c r="ED87" i="329"/>
  <c r="AC96" i="329"/>
  <c r="AC97" i="329" s="1"/>
  <c r="AC378" i="329"/>
  <c r="AA91" i="3"/>
  <c r="AA92" i="3" s="1"/>
  <c r="AA93" i="3"/>
  <c r="AA94" i="3" s="1"/>
  <c r="AB388" i="329"/>
  <c r="AB379" i="329"/>
  <c r="AB380" i="329"/>
  <c r="AB385" i="329"/>
  <c r="AB109" i="3"/>
  <c r="AB103" i="329"/>
  <c r="AB104" i="329" s="1"/>
  <c r="AB98" i="329"/>
  <c r="AB99" i="329" s="1"/>
  <c r="AA389" i="329"/>
  <c r="AA386" i="329"/>
  <c r="BA70" i="329"/>
  <c r="AZ71" i="329"/>
  <c r="AZ72" i="329"/>
  <c r="AZ87" i="329"/>
  <c r="AZ82" i="329"/>
  <c r="AY101" i="329"/>
  <c r="AY102" i="329" s="1"/>
  <c r="AY96" i="329"/>
  <c r="AY97" i="329" s="1"/>
  <c r="AY89" i="329"/>
  <c r="AY88" i="329"/>
  <c r="AX98" i="329"/>
  <c r="AX99" i="329" s="1"/>
  <c r="AX103" i="329"/>
  <c r="AX104" i="329" s="1"/>
  <c r="EL13" i="329"/>
  <c r="BI40" i="329"/>
  <c r="EL42" i="329"/>
  <c r="BJ15" i="329"/>
  <c r="EU117" i="329"/>
  <c r="EU116" i="329"/>
  <c r="EU137" i="329"/>
  <c r="EU140" i="329" s="1"/>
  <c r="EU407" i="329" s="1"/>
  <c r="BD43" i="329"/>
  <c r="BE16" i="329"/>
  <c r="BE43" i="329" s="1"/>
  <c r="EK43" i="329" s="1"/>
  <c r="BH43" i="329"/>
  <c r="BI16" i="329"/>
  <c r="EU92" i="329"/>
  <c r="EU34" i="329"/>
  <c r="EU31" i="329"/>
  <c r="EU30" i="329"/>
  <c r="EU35" i="329"/>
  <c r="EU29" i="329"/>
  <c r="EU32" i="329"/>
  <c r="EU33" i="329"/>
  <c r="CV106" i="329"/>
  <c r="CR106" i="329"/>
  <c r="CQ108" i="329"/>
  <c r="CU108" i="329"/>
  <c r="DE96" i="329"/>
  <c r="DE93" i="329"/>
  <c r="DE85" i="329"/>
  <c r="EX85" i="329" s="1"/>
  <c r="EX374" i="329" s="1"/>
  <c r="DE94" i="329"/>
  <c r="DE98" i="329" s="1"/>
  <c r="EX92" i="329"/>
  <c r="EX93" i="329" s="1"/>
  <c r="DE374" i="329"/>
  <c r="EV379" i="329"/>
  <c r="EV250" i="2" s="1"/>
  <c r="EU385" i="329"/>
  <c r="EH109" i="3"/>
  <c r="EU380" i="329"/>
  <c r="EV380" i="329"/>
  <c r="EU388" i="329"/>
  <c r="EU379" i="329"/>
  <c r="EU250" i="2" s="1"/>
  <c r="CR95" i="329"/>
  <c r="CR123" i="329" s="1"/>
  <c r="CR164" i="2"/>
  <c r="CV120" i="329"/>
  <c r="CV95" i="329"/>
  <c r="CV123" i="329" s="1"/>
  <c r="CR107" i="329"/>
  <c r="CV110" i="329" s="1"/>
  <c r="CV122" i="329" s="1"/>
  <c r="CR120" i="329"/>
  <c r="CR98" i="329"/>
  <c r="CU110" i="329"/>
  <c r="CU233" i="2"/>
  <c r="CQ233" i="2"/>
  <c r="DH89" i="329"/>
  <c r="DH88" i="329"/>
  <c r="EU104" i="329"/>
  <c r="CU99" i="329"/>
  <c r="CQ99" i="329"/>
  <c r="CV97" i="329"/>
  <c r="CR97" i="329"/>
  <c r="CS94" i="329"/>
  <c r="CS96" i="329"/>
  <c r="CS93" i="329"/>
  <c r="CT94" i="329"/>
  <c r="CW93" i="329"/>
  <c r="CS105" i="329"/>
  <c r="CT51" i="329"/>
  <c r="CX51" i="329"/>
  <c r="EV104" i="329"/>
  <c r="EV102" i="329"/>
  <c r="EU102" i="329"/>
  <c r="AX292" i="329"/>
  <c r="AW378" i="329"/>
  <c r="AW292" i="329"/>
  <c r="AW291" i="329"/>
  <c r="AW299" i="329"/>
  <c r="AW304" i="329"/>
  <c r="AY242" i="329"/>
  <c r="AY290" i="329" s="1"/>
  <c r="AY371" i="329"/>
  <c r="AY372" i="329" s="1"/>
  <c r="BA249" i="329"/>
  <c r="AZ259" i="329"/>
  <c r="AV93" i="3"/>
  <c r="AV94" i="3" s="1"/>
  <c r="AV91" i="3"/>
  <c r="AV92" i="3" s="1"/>
  <c r="AV307" i="329"/>
  <c r="AX299" i="329"/>
  <c r="AX291" i="329"/>
  <c r="AX304" i="329"/>
  <c r="AX378" i="329"/>
  <c r="AV386" i="329"/>
  <c r="AV389" i="329"/>
  <c r="EI299" i="329"/>
  <c r="EI291" i="329"/>
  <c r="EI292" i="329"/>
  <c r="AV302" i="329"/>
  <c r="AC65" i="4"/>
  <c r="AD62" i="4"/>
  <c r="AD64" i="4" s="1"/>
  <c r="EJ83" i="4"/>
  <c r="EJ85" i="4"/>
  <c r="EJ84" i="4"/>
  <c r="EB62" i="4"/>
  <c r="EB64" i="4" s="1"/>
  <c r="EA65" i="4"/>
  <c r="BG14" i="329"/>
  <c r="BF41" i="329"/>
  <c r="EF83" i="4"/>
  <c r="EF85" i="4"/>
  <c r="EF84" i="4"/>
  <c r="BC41" i="329"/>
  <c r="BD14" i="329"/>
  <c r="BD65" i="4"/>
  <c r="BE62" i="4"/>
  <c r="BE64" i="4" s="1"/>
  <c r="DI90" i="329" l="1"/>
  <c r="DI82" i="329"/>
  <c r="EY17" i="329"/>
  <c r="EY48" i="329" s="1"/>
  <c r="BJ38" i="329"/>
  <c r="BJ29" i="329" s="1"/>
  <c r="BK11" i="329"/>
  <c r="CS135" i="2"/>
  <c r="CW136" i="2" s="1"/>
  <c r="CS250" i="2"/>
  <c r="BE79" i="329"/>
  <c r="EK79" i="329" s="1"/>
  <c r="EK80" i="329" s="1"/>
  <c r="BE78" i="329"/>
  <c r="BF78" i="329"/>
  <c r="BH79" i="329"/>
  <c r="BH78" i="329"/>
  <c r="BI77" i="329"/>
  <c r="FG63" i="329"/>
  <c r="FH63" i="329" s="1"/>
  <c r="FH64" i="329" s="1"/>
  <c r="EJ83" i="329"/>
  <c r="DE99" i="329"/>
  <c r="EI132" i="3"/>
  <c r="EH132" i="3"/>
  <c r="EV138" i="2"/>
  <c r="EW138" i="2"/>
  <c r="CS386" i="329"/>
  <c r="CT135" i="2"/>
  <c r="CX136" i="2" s="1"/>
  <c r="BF12" i="329"/>
  <c r="EK17" i="329"/>
  <c r="EK48" i="329" s="1"/>
  <c r="EK49" i="329" s="1"/>
  <c r="EK90" i="329" s="1"/>
  <c r="CH113" i="4"/>
  <c r="EI113" i="4"/>
  <c r="EH113" i="4"/>
  <c r="CT235" i="2"/>
  <c r="CX235" i="2"/>
  <c r="CG91" i="3"/>
  <c r="CG93" i="3"/>
  <c r="EU142" i="2"/>
  <c r="EU141" i="2"/>
  <c r="EU166" i="2"/>
  <c r="EU391" i="329"/>
  <c r="EH108" i="3"/>
  <c r="EH95" i="3" s="1"/>
  <c r="EU384" i="329"/>
  <c r="CF94" i="3"/>
  <c r="CJ94" i="3"/>
  <c r="BB39" i="329"/>
  <c r="BB44" i="329" s="1"/>
  <c r="BB32" i="329" s="1"/>
  <c r="BC12" i="329"/>
  <c r="BB17" i="329"/>
  <c r="BB48" i="329" s="1"/>
  <c r="BB49" i="329" s="1"/>
  <c r="BB83" i="329" s="1"/>
  <c r="BA50" i="329"/>
  <c r="BA51" i="329" s="1"/>
  <c r="BA32" i="329"/>
  <c r="EJ32" i="329" s="1"/>
  <c r="BA31" i="329"/>
  <c r="EJ31" i="329" s="1"/>
  <c r="BA33" i="329"/>
  <c r="EJ33" i="329" s="1"/>
  <c r="EJ44" i="329"/>
  <c r="BA34" i="329"/>
  <c r="EJ34" i="329" s="1"/>
  <c r="BA29" i="329"/>
  <c r="CW235" i="2"/>
  <c r="CS235" i="2"/>
  <c r="EV391" i="329"/>
  <c r="EV141" i="2"/>
  <c r="EV166" i="2"/>
  <c r="EW235" i="2" s="1"/>
  <c r="EW384" i="329"/>
  <c r="EV142" i="2"/>
  <c r="EI108" i="3"/>
  <c r="EI95" i="3" s="1"/>
  <c r="EV384" i="329"/>
  <c r="CF92" i="3"/>
  <c r="CJ92" i="3"/>
  <c r="ET166" i="2"/>
  <c r="ET391" i="329"/>
  <c r="ET384" i="329"/>
  <c r="ET141" i="2"/>
  <c r="ET386" i="329"/>
  <c r="ET142" i="2"/>
  <c r="AC98" i="329"/>
  <c r="AC99" i="329" s="1"/>
  <c r="AC103" i="329"/>
  <c r="AB135" i="2"/>
  <c r="AB136" i="2" s="1"/>
  <c r="AB389" i="329"/>
  <c r="AB386" i="329"/>
  <c r="ED378" i="329"/>
  <c r="AC385" i="329"/>
  <c r="AC109" i="3"/>
  <c r="AC388" i="329"/>
  <c r="AC380" i="329"/>
  <c r="ED380" i="329" s="1"/>
  <c r="AC379" i="329"/>
  <c r="AC135" i="2" s="1"/>
  <c r="AC136" i="2" s="1"/>
  <c r="AD101" i="329"/>
  <c r="AD378" i="329"/>
  <c r="AD96" i="329"/>
  <c r="AD97" i="329" s="1"/>
  <c r="AE87" i="329"/>
  <c r="AD89" i="329"/>
  <c r="AD88" i="329"/>
  <c r="AB93" i="3"/>
  <c r="AB94" i="3" s="1"/>
  <c r="AB91" i="3"/>
  <c r="AB92" i="3" s="1"/>
  <c r="AC102" i="329"/>
  <c r="ED101" i="329"/>
  <c r="ED102" i="329" s="1"/>
  <c r="ED96" i="329"/>
  <c r="ED97" i="329" s="1"/>
  <c r="ED89" i="329"/>
  <c r="ED98" i="329" s="1"/>
  <c r="ED99" i="329" s="1"/>
  <c r="ED88" i="329"/>
  <c r="AY103" i="329"/>
  <c r="AY104" i="329" s="1"/>
  <c r="AY98" i="329"/>
  <c r="AY99" i="329" s="1"/>
  <c r="AZ88" i="329"/>
  <c r="AZ101" i="329"/>
  <c r="AZ89" i="329"/>
  <c r="AZ96" i="329"/>
  <c r="AZ97" i="329" s="1"/>
  <c r="BA72" i="329"/>
  <c r="BA71" i="329"/>
  <c r="EJ70" i="329"/>
  <c r="BA82" i="329"/>
  <c r="BA87" i="329"/>
  <c r="EL40" i="329"/>
  <c r="BJ13" i="329"/>
  <c r="BJ42" i="329"/>
  <c r="BJ33" i="329" s="1"/>
  <c r="BK15" i="329"/>
  <c r="EU222" i="329"/>
  <c r="EU215" i="329" s="1"/>
  <c r="EU142" i="329"/>
  <c r="EU141" i="329"/>
  <c r="EU394" i="329"/>
  <c r="EL16" i="329"/>
  <c r="BI43" i="329"/>
  <c r="EU386" i="329"/>
  <c r="EH89" i="4"/>
  <c r="EU389" i="329"/>
  <c r="EU135" i="2"/>
  <c r="EU136" i="2" s="1"/>
  <c r="CW106" i="329"/>
  <c r="CS106" i="329"/>
  <c r="EH93" i="3"/>
  <c r="EH91" i="3"/>
  <c r="DE375" i="329"/>
  <c r="DE382" i="329"/>
  <c r="CW120" i="329"/>
  <c r="CS164" i="2"/>
  <c r="CS107" i="329"/>
  <c r="CW110" i="329" s="1"/>
  <c r="CW95" i="329"/>
  <c r="CW123" i="329" s="1"/>
  <c r="CS95" i="329"/>
  <c r="CS123" i="329" s="1"/>
  <c r="CS98" i="329"/>
  <c r="CS120" i="329"/>
  <c r="EU94" i="329"/>
  <c r="CU122" i="329"/>
  <c r="CR233" i="2"/>
  <c r="CV233" i="2"/>
  <c r="EH68" i="4"/>
  <c r="EH70" i="4" s="1"/>
  <c r="EH72" i="4"/>
  <c r="EH74" i="4" s="1"/>
  <c r="EX382" i="329"/>
  <c r="EX375" i="329"/>
  <c r="CW97" i="329"/>
  <c r="CS97" i="329"/>
  <c r="CV99" i="329"/>
  <c r="CR99" i="329"/>
  <c r="CX120" i="329"/>
  <c r="CT164" i="2"/>
  <c r="CT95" i="329"/>
  <c r="CT123" i="329" s="1"/>
  <c r="CT98" i="329"/>
  <c r="CX95" i="329"/>
  <c r="CT107" i="329"/>
  <c r="CX110" i="329" s="1"/>
  <c r="EV94" i="329"/>
  <c r="CT120" i="329"/>
  <c r="CV108" i="329"/>
  <c r="CR108" i="329"/>
  <c r="EI68" i="4"/>
  <c r="EI69" i="4" s="1"/>
  <c r="EI72" i="4"/>
  <c r="EI73" i="4" s="1"/>
  <c r="EV389" i="329"/>
  <c r="EV386" i="329"/>
  <c r="EW135" i="2"/>
  <c r="EI89" i="4"/>
  <c r="EV135" i="2"/>
  <c r="DE120" i="329"/>
  <c r="DE95" i="329"/>
  <c r="EX94" i="329"/>
  <c r="EX96" i="329"/>
  <c r="EX97" i="329" s="1"/>
  <c r="DE97" i="329"/>
  <c r="EU105" i="329"/>
  <c r="EU106" i="329" s="1"/>
  <c r="EU96" i="329"/>
  <c r="EU93" i="329"/>
  <c r="EI301" i="329"/>
  <c r="AX380" i="329"/>
  <c r="AX385" i="329"/>
  <c r="AX388" i="329"/>
  <c r="AX109" i="3"/>
  <c r="AX379" i="329"/>
  <c r="AX300" i="329"/>
  <c r="AY299" i="329"/>
  <c r="AY291" i="329"/>
  <c r="AY304" i="329"/>
  <c r="AY292" i="329"/>
  <c r="AY378" i="329"/>
  <c r="AZ242" i="329"/>
  <c r="AZ290" i="329" s="1"/>
  <c r="AZ371" i="329"/>
  <c r="AZ372" i="329" s="1"/>
  <c r="AW305" i="329"/>
  <c r="EI304" i="329"/>
  <c r="AW306" i="329"/>
  <c r="AW301" i="329"/>
  <c r="AX305" i="329"/>
  <c r="EJ249" i="329"/>
  <c r="BA259" i="329"/>
  <c r="AW109" i="3"/>
  <c r="AW380" i="329"/>
  <c r="EI380" i="329" s="1"/>
  <c r="AW388" i="329"/>
  <c r="EI378" i="329"/>
  <c r="AW379" i="329"/>
  <c r="AW385" i="329"/>
  <c r="EI300" i="329"/>
  <c r="AW300" i="329"/>
  <c r="AX301" i="329"/>
  <c r="AX306" i="329"/>
  <c r="BE65" i="4"/>
  <c r="BF62" i="4"/>
  <c r="BF64" i="4" s="1"/>
  <c r="BD41" i="329"/>
  <c r="BE14" i="329"/>
  <c r="BG41" i="329"/>
  <c r="BH14" i="329"/>
  <c r="EB65" i="4"/>
  <c r="EC62" i="4"/>
  <c r="EC64" i="4" s="1"/>
  <c r="EE62" i="4"/>
  <c r="EE64" i="4" s="1"/>
  <c r="EK83" i="329"/>
  <c r="AD65" i="4"/>
  <c r="AE62" i="4"/>
  <c r="AE64" i="4" s="1"/>
  <c r="EY82" i="329" l="1"/>
  <c r="DI87" i="329"/>
  <c r="BL11" i="329"/>
  <c r="BK38" i="329"/>
  <c r="BK29" i="329" s="1"/>
  <c r="CS136" i="2"/>
  <c r="BB50" i="329"/>
  <c r="BB29" i="329"/>
  <c r="BB30" i="329"/>
  <c r="BB31" i="329"/>
  <c r="BB33" i="329"/>
  <c r="BB34" i="329"/>
  <c r="EV143" i="2"/>
  <c r="EW143" i="2"/>
  <c r="EL77" i="329"/>
  <c r="BJ77" i="329" s="1"/>
  <c r="BI79" i="329"/>
  <c r="EL79" i="329" s="1"/>
  <c r="BI78" i="329"/>
  <c r="EL78" i="329" s="1"/>
  <c r="FG64" i="329"/>
  <c r="EY49" i="329"/>
  <c r="EJ96" i="3"/>
  <c r="CT136" i="2"/>
  <c r="EI96" i="3"/>
  <c r="BB90" i="329"/>
  <c r="EJ50" i="329"/>
  <c r="EJ374" i="329"/>
  <c r="CK92" i="3"/>
  <c r="CG92" i="3"/>
  <c r="BA35" i="329"/>
  <c r="EJ35" i="329" s="1"/>
  <c r="EJ29" i="329"/>
  <c r="BD12" i="329"/>
  <c r="BC39" i="329"/>
  <c r="BC44" i="329" s="1"/>
  <c r="BC50" i="329" s="1"/>
  <c r="BC51" i="329" s="1"/>
  <c r="BC17" i="329"/>
  <c r="BC48" i="329" s="1"/>
  <c r="BC49" i="329" s="1"/>
  <c r="BC83" i="329" s="1"/>
  <c r="EV235" i="2"/>
  <c r="EU235" i="2"/>
  <c r="CG94" i="3"/>
  <c r="CK94" i="3"/>
  <c r="BF39" i="329"/>
  <c r="BF44" i="329" s="1"/>
  <c r="BF31" i="329" s="1"/>
  <c r="BG12" i="329"/>
  <c r="BF17" i="329"/>
  <c r="BF48" i="329" s="1"/>
  <c r="AF87" i="329"/>
  <c r="AE101" i="329"/>
  <c r="AE102" i="329" s="1"/>
  <c r="AE96" i="329"/>
  <c r="AE97" i="329" s="1"/>
  <c r="AE378" i="329"/>
  <c r="AE89" i="329"/>
  <c r="AE88" i="329"/>
  <c r="AC386" i="329"/>
  <c r="AC389" i="329"/>
  <c r="ED385" i="329"/>
  <c r="DR109" i="3"/>
  <c r="ED388" i="329"/>
  <c r="ED379" i="329"/>
  <c r="AD380" i="329"/>
  <c r="AD385" i="329"/>
  <c r="AD379" i="329"/>
  <c r="AD388" i="329"/>
  <c r="AD109" i="3"/>
  <c r="AC104" i="329"/>
  <c r="ED103" i="329"/>
  <c r="ED104" i="329" s="1"/>
  <c r="AD98" i="329"/>
  <c r="AD99" i="329" s="1"/>
  <c r="AD103" i="329"/>
  <c r="AD102" i="329"/>
  <c r="AC91" i="3"/>
  <c r="AC92" i="3" s="1"/>
  <c r="AC93" i="3"/>
  <c r="AC94" i="3" s="1"/>
  <c r="EU223" i="329"/>
  <c r="EU224" i="329"/>
  <c r="EU221" i="329"/>
  <c r="AZ102" i="329"/>
  <c r="BA101" i="329"/>
  <c r="BA102" i="329" s="1"/>
  <c r="BA96" i="329"/>
  <c r="BA97" i="329" s="1"/>
  <c r="BA89" i="329"/>
  <c r="BA88" i="329"/>
  <c r="EJ71" i="329"/>
  <c r="EK70" i="329"/>
  <c r="BB70" i="329"/>
  <c r="EJ72" i="329"/>
  <c r="EJ87" i="329"/>
  <c r="EJ82" i="329"/>
  <c r="AZ98" i="329"/>
  <c r="AZ99" i="329" s="1"/>
  <c r="AZ103" i="329"/>
  <c r="BJ40" i="329"/>
  <c r="BJ31" i="329" s="1"/>
  <c r="BK13" i="329"/>
  <c r="BL15" i="329"/>
  <c r="BK42" i="329"/>
  <c r="BK33" i="329" s="1"/>
  <c r="EU104" i="2"/>
  <c r="EL43" i="329"/>
  <c r="BJ16" i="329"/>
  <c r="EW136" i="2"/>
  <c r="EH82" i="4"/>
  <c r="EH83" i="4" s="1"/>
  <c r="CW122" i="329"/>
  <c r="EV122" i="329" s="1"/>
  <c r="EV110" i="329"/>
  <c r="EV111" i="329" s="1"/>
  <c r="EW110" i="329"/>
  <c r="EW111" i="329" s="1"/>
  <c r="EH94" i="3"/>
  <c r="EI94" i="3"/>
  <c r="CX99" i="329"/>
  <c r="CT99" i="329"/>
  <c r="CS99" i="329"/>
  <c r="CW99" i="329"/>
  <c r="EV97" i="329"/>
  <c r="EU97" i="329"/>
  <c r="EV120" i="329"/>
  <c r="EV164" i="2"/>
  <c r="EW120" i="329"/>
  <c r="EV98" i="329"/>
  <c r="EV95" i="329"/>
  <c r="EV107" i="329"/>
  <c r="EW95" i="329"/>
  <c r="CS233" i="2"/>
  <c r="CW233" i="2"/>
  <c r="EK112" i="4"/>
  <c r="EK113" i="4" s="1"/>
  <c r="EX383" i="329"/>
  <c r="CS108" i="329"/>
  <c r="CW108" i="329"/>
  <c r="CS112" i="4"/>
  <c r="CS113" i="4" s="1"/>
  <c r="DE383" i="329"/>
  <c r="EX98" i="329"/>
  <c r="EX99" i="329" s="1"/>
  <c r="EX120" i="329"/>
  <c r="EX95" i="329"/>
  <c r="CT108" i="329"/>
  <c r="CX233" i="2"/>
  <c r="CT233" i="2"/>
  <c r="EU98" i="329"/>
  <c r="EU99" i="329" s="1"/>
  <c r="EU95" i="329"/>
  <c r="EU123" i="329" s="1"/>
  <c r="EU164" i="2"/>
  <c r="EU233" i="2" s="1"/>
  <c r="EU107" i="329"/>
  <c r="EU108" i="329" s="1"/>
  <c r="EU120" i="329"/>
  <c r="EH92" i="3"/>
  <c r="EI92" i="3"/>
  <c r="AX302" i="329"/>
  <c r="AW389" i="329"/>
  <c r="AW386" i="329"/>
  <c r="AX135" i="2"/>
  <c r="AX136" i="2" s="1"/>
  <c r="AW135" i="2"/>
  <c r="AW136" i="2" s="1"/>
  <c r="AW93" i="3"/>
  <c r="AW94" i="3" s="1"/>
  <c r="AW91" i="3"/>
  <c r="AW92" i="3" s="1"/>
  <c r="EI305" i="329"/>
  <c r="AZ291" i="329"/>
  <c r="AZ299" i="329"/>
  <c r="AZ292" i="329"/>
  <c r="AZ304" i="329"/>
  <c r="AZ378" i="329"/>
  <c r="AY305" i="329"/>
  <c r="DW109" i="3"/>
  <c r="EI388" i="329"/>
  <c r="EI379" i="329"/>
  <c r="EI385" i="329"/>
  <c r="BA242" i="329"/>
  <c r="EJ259" i="329"/>
  <c r="BA371" i="329"/>
  <c r="BA372" i="329" s="1"/>
  <c r="AW302" i="329"/>
  <c r="AY109" i="3"/>
  <c r="AY385" i="329"/>
  <c r="AY380" i="329"/>
  <c r="AY379" i="329"/>
  <c r="AY135" i="2" s="1"/>
  <c r="AY136" i="2" s="1"/>
  <c r="AY388" i="329"/>
  <c r="AX386" i="329"/>
  <c r="AX389" i="329"/>
  <c r="EK249" i="329"/>
  <c r="BB249" i="329"/>
  <c r="AY306" i="329"/>
  <c r="AY301" i="329"/>
  <c r="AY300" i="329"/>
  <c r="AX91" i="3"/>
  <c r="AX92" i="3" s="1"/>
  <c r="AX93" i="3"/>
  <c r="AX94" i="3" s="1"/>
  <c r="EI302" i="329"/>
  <c r="AX307" i="329"/>
  <c r="DW68" i="4"/>
  <c r="DW69" i="4" s="1"/>
  <c r="DW72" i="4"/>
  <c r="DW73" i="4" s="1"/>
  <c r="AW307" i="329"/>
  <c r="EI306" i="329"/>
  <c r="BH41" i="329"/>
  <c r="BI14" i="329"/>
  <c r="AE65" i="4"/>
  <c r="AF62" i="4"/>
  <c r="AF64" i="4" s="1"/>
  <c r="EE65" i="4"/>
  <c r="EF62" i="4"/>
  <c r="EF64" i="4" s="1"/>
  <c r="EC65" i="4"/>
  <c r="ED62" i="4"/>
  <c r="ED64" i="4" s="1"/>
  <c r="ED65" i="4" s="1"/>
  <c r="BE41" i="329"/>
  <c r="BF51" i="329"/>
  <c r="BB51" i="329"/>
  <c r="BF65" i="4"/>
  <c r="BG62" i="4"/>
  <c r="BG64" i="4" s="1"/>
  <c r="BC90" i="329" l="1"/>
  <c r="DI88" i="329"/>
  <c r="EY87" i="329"/>
  <c r="DI89" i="329"/>
  <c r="BF35" i="329"/>
  <c r="BL38" i="329"/>
  <c r="BL29" i="329" s="1"/>
  <c r="BM11" i="329"/>
  <c r="BF33" i="329"/>
  <c r="BF30" i="329"/>
  <c r="BF34" i="329"/>
  <c r="BF32" i="329"/>
  <c r="BF29" i="329"/>
  <c r="BB35" i="329"/>
  <c r="BG51" i="329"/>
  <c r="BJ79" i="329"/>
  <c r="BK77" i="329"/>
  <c r="BJ78" i="329"/>
  <c r="EL28" i="3"/>
  <c r="BC33" i="329"/>
  <c r="BC30" i="329"/>
  <c r="EJ371" i="329"/>
  <c r="EJ372" i="329" s="1"/>
  <c r="EU243" i="2"/>
  <c r="EU242" i="2"/>
  <c r="DF96" i="329"/>
  <c r="DF97" i="329" s="1"/>
  <c r="DF85" i="329"/>
  <c r="DF93" i="329"/>
  <c r="DF94" i="329"/>
  <c r="DW132" i="3"/>
  <c r="DR132" i="3"/>
  <c r="EJ382" i="329"/>
  <c r="EJ375" i="329"/>
  <c r="BC34" i="329"/>
  <c r="BC29" i="329"/>
  <c r="BH12" i="329"/>
  <c r="BG39" i="329"/>
  <c r="BG44" i="329" s="1"/>
  <c r="BG32" i="329" s="1"/>
  <c r="BG17" i="329"/>
  <c r="BG48" i="329" s="1"/>
  <c r="BG49" i="329" s="1"/>
  <c r="BG90" i="329" s="1"/>
  <c r="BE12" i="329"/>
  <c r="BD39" i="329"/>
  <c r="BD44" i="329" s="1"/>
  <c r="BD32" i="329" s="1"/>
  <c r="BD17" i="329"/>
  <c r="BD48" i="329" s="1"/>
  <c r="BD49" i="329" s="1"/>
  <c r="BD90" i="329" s="1"/>
  <c r="BC32" i="329"/>
  <c r="BC31" i="329"/>
  <c r="ED389" i="329"/>
  <c r="ED386" i="329"/>
  <c r="ED135" i="2"/>
  <c r="ED136" i="2" s="1"/>
  <c r="AE388" i="329"/>
  <c r="AE109" i="3"/>
  <c r="AE379" i="329"/>
  <c r="AE385" i="329"/>
  <c r="AE380" i="329"/>
  <c r="AD135" i="2"/>
  <c r="AD136" i="2" s="1"/>
  <c r="AD386" i="329"/>
  <c r="AD389" i="329"/>
  <c r="DR93" i="3"/>
  <c r="DR94" i="3" s="1"/>
  <c r="DR91" i="3"/>
  <c r="DR92" i="3" s="1"/>
  <c r="AD104" i="329"/>
  <c r="AD93" i="3"/>
  <c r="AD94" i="3" s="1"/>
  <c r="AD91" i="3"/>
  <c r="AD92" i="3" s="1"/>
  <c r="AE103" i="329"/>
  <c r="AE104" i="329" s="1"/>
  <c r="AE98" i="329"/>
  <c r="AE99" i="329" s="1"/>
  <c r="AF89" i="329"/>
  <c r="AF96" i="329"/>
  <c r="AF97" i="329" s="1"/>
  <c r="AG87" i="329"/>
  <c r="AF378" i="329"/>
  <c r="AF88" i="329"/>
  <c r="AF101" i="329"/>
  <c r="BF70" i="329"/>
  <c r="EK71" i="329"/>
  <c r="EK82" i="329"/>
  <c r="EK87" i="329"/>
  <c r="EJ88" i="329"/>
  <c r="EJ89" i="329"/>
  <c r="EJ98" i="329" s="1"/>
  <c r="EJ99" i="329" s="1"/>
  <c r="EJ96" i="329"/>
  <c r="EJ97" i="329" s="1"/>
  <c r="AZ104" i="329"/>
  <c r="EJ101" i="329"/>
  <c r="EJ102" i="329" s="1"/>
  <c r="BB71" i="329"/>
  <c r="BB72" i="329"/>
  <c r="BC70" i="329"/>
  <c r="BB82" i="329"/>
  <c r="BB87" i="329"/>
  <c r="BA103" i="329"/>
  <c r="BA104" i="329" s="1"/>
  <c r="BA98" i="329"/>
  <c r="BA99" i="329" s="1"/>
  <c r="BK40" i="329"/>
  <c r="BK31" i="329" s="1"/>
  <c r="BL13" i="329"/>
  <c r="EH84" i="4"/>
  <c r="EH85" i="4"/>
  <c r="BL42" i="329"/>
  <c r="BL33" i="329" s="1"/>
  <c r="BM15" i="329"/>
  <c r="EU118" i="2"/>
  <c r="EU122" i="2"/>
  <c r="EU106" i="2"/>
  <c r="EU408" i="329"/>
  <c r="BK16" i="329"/>
  <c r="BJ43" i="329"/>
  <c r="BJ34" i="329" s="1"/>
  <c r="EW117" i="329"/>
  <c r="EW118" i="329"/>
  <c r="EW137" i="329"/>
  <c r="EW140" i="329" s="1"/>
  <c r="EV99" i="329"/>
  <c r="EV92" i="329"/>
  <c r="EW99" i="329"/>
  <c r="CS108" i="3"/>
  <c r="DE384" i="329"/>
  <c r="EV117" i="329"/>
  <c r="EV116" i="329"/>
  <c r="EV118" i="329"/>
  <c r="EV137" i="329"/>
  <c r="EV140" i="329" s="1"/>
  <c r="EV123" i="329"/>
  <c r="EW116" i="329"/>
  <c r="EI85" i="4"/>
  <c r="EI84" i="4"/>
  <c r="EI83" i="4"/>
  <c r="EX384" i="329"/>
  <c r="EK108" i="3"/>
  <c r="EV108" i="329"/>
  <c r="EW233" i="2"/>
  <c r="EV233" i="2"/>
  <c r="BC249" i="329"/>
  <c r="BB259" i="329"/>
  <c r="AY307" i="329"/>
  <c r="AY386" i="329"/>
  <c r="AY389" i="329"/>
  <c r="EJ242" i="329"/>
  <c r="EJ290" i="329" s="1"/>
  <c r="BA290" i="329"/>
  <c r="AZ380" i="329"/>
  <c r="AZ379" i="329"/>
  <c r="AZ109" i="3"/>
  <c r="AZ388" i="329"/>
  <c r="AZ385" i="329"/>
  <c r="AZ305" i="329"/>
  <c r="BF249" i="329"/>
  <c r="EL249" i="329"/>
  <c r="EK259" i="329"/>
  <c r="EI389" i="329"/>
  <c r="DW89" i="4"/>
  <c r="DW85" i="4" s="1"/>
  <c r="EI386" i="329"/>
  <c r="AZ301" i="329"/>
  <c r="AZ306" i="329"/>
  <c r="DW93" i="3"/>
  <c r="DW94" i="3" s="1"/>
  <c r="DW91" i="3"/>
  <c r="DW92" i="3" s="1"/>
  <c r="EI307" i="329"/>
  <c r="AY302" i="329"/>
  <c r="AY93" i="3"/>
  <c r="AY94" i="3" s="1"/>
  <c r="AY91" i="3"/>
  <c r="AY92" i="3" s="1"/>
  <c r="AZ300" i="329"/>
  <c r="EK41" i="329"/>
  <c r="BG65" i="4"/>
  <c r="BH62" i="4"/>
  <c r="BH64" i="4" s="1"/>
  <c r="EF65" i="4"/>
  <c r="EG62" i="4"/>
  <c r="EG64" i="4" s="1"/>
  <c r="BG30" i="329"/>
  <c r="AG62" i="4"/>
  <c r="AG64" i="4" s="1"/>
  <c r="AF65" i="4"/>
  <c r="BI41" i="329"/>
  <c r="EL14" i="329"/>
  <c r="EY89" i="329" l="1"/>
  <c r="EY88" i="329"/>
  <c r="BD83" i="329"/>
  <c r="BG83" i="329"/>
  <c r="DF98" i="329"/>
  <c r="DF99" i="329" s="1"/>
  <c r="EM11" i="329"/>
  <c r="BM38" i="329"/>
  <c r="BM29" i="329" s="1"/>
  <c r="EM29" i="329" s="1"/>
  <c r="EV407" i="329"/>
  <c r="BC35" i="329"/>
  <c r="BD30" i="329"/>
  <c r="BK79" i="329"/>
  <c r="BK78" i="329"/>
  <c r="BL77" i="329"/>
  <c r="BD33" i="329"/>
  <c r="BG33" i="329"/>
  <c r="BD29" i="329"/>
  <c r="EK371" i="329"/>
  <c r="EK372" i="329" s="1"/>
  <c r="BG31" i="329"/>
  <c r="BG29" i="329"/>
  <c r="BG35" i="329"/>
  <c r="BG34" i="329"/>
  <c r="DF50" i="329"/>
  <c r="DF51" i="329" s="1"/>
  <c r="DF46" i="329"/>
  <c r="DF95" i="329"/>
  <c r="DF120" i="329"/>
  <c r="BD31" i="329"/>
  <c r="BD34" i="329"/>
  <c r="BE39" i="329"/>
  <c r="BE17" i="329"/>
  <c r="BE48" i="329" s="1"/>
  <c r="BD50" i="329"/>
  <c r="BI12" i="329"/>
  <c r="BH39" i="329"/>
  <c r="BH44" i="329" s="1"/>
  <c r="BH32" i="329" s="1"/>
  <c r="BH17" i="329"/>
  <c r="BH48" i="329" s="1"/>
  <c r="BH49" i="329" s="1"/>
  <c r="BH83" i="329" s="1"/>
  <c r="EJ390" i="329"/>
  <c r="DX112" i="4"/>
  <c r="EJ383" i="329"/>
  <c r="EJ137" i="2" s="1"/>
  <c r="AF380" i="329"/>
  <c r="AF385" i="329"/>
  <c r="AF379" i="329"/>
  <c r="AF109" i="3"/>
  <c r="AF388" i="329"/>
  <c r="AG88" i="329"/>
  <c r="EE87" i="329"/>
  <c r="AG101" i="329"/>
  <c r="AG102" i="329" s="1"/>
  <c r="AG89" i="329"/>
  <c r="AG96" i="329"/>
  <c r="AG97" i="329" s="1"/>
  <c r="AG378" i="329"/>
  <c r="AH87" i="329"/>
  <c r="AE135" i="2"/>
  <c r="AE136" i="2" s="1"/>
  <c r="AE389" i="329"/>
  <c r="AE386" i="329"/>
  <c r="AF102" i="329"/>
  <c r="AE93" i="3"/>
  <c r="AE94" i="3" s="1"/>
  <c r="AE91" i="3"/>
  <c r="AE92" i="3" s="1"/>
  <c r="AF103" i="329"/>
  <c r="AF104" i="329" s="1"/>
  <c r="AF98" i="329"/>
  <c r="AF99" i="329" s="1"/>
  <c r="EK89" i="329"/>
  <c r="EK98" i="329" s="1"/>
  <c r="EK99" i="329" s="1"/>
  <c r="EK96" i="329"/>
  <c r="EK97" i="329" s="1"/>
  <c r="EK88" i="329"/>
  <c r="BB101" i="329"/>
  <c r="BB102" i="329" s="1"/>
  <c r="BB89" i="329"/>
  <c r="BB96" i="329"/>
  <c r="BB97" i="329" s="1"/>
  <c r="BB88" i="329"/>
  <c r="BC72" i="329"/>
  <c r="BC71" i="329"/>
  <c r="BD70" i="329"/>
  <c r="BC87" i="329"/>
  <c r="BC82" i="329"/>
  <c r="EJ103" i="329"/>
  <c r="EJ104" i="329" s="1"/>
  <c r="BF72" i="329"/>
  <c r="BG70" i="329"/>
  <c r="BF82" i="329"/>
  <c r="BF87" i="329"/>
  <c r="BL40" i="329"/>
  <c r="BL31" i="329" s="1"/>
  <c r="BM13" i="329"/>
  <c r="EM15" i="329"/>
  <c r="BM42" i="329"/>
  <c r="BM33" i="329" s="1"/>
  <c r="EM33" i="329" s="1"/>
  <c r="EU127" i="2"/>
  <c r="EU120" i="2"/>
  <c r="EU124" i="2"/>
  <c r="EU128" i="2"/>
  <c r="BL16" i="329"/>
  <c r="BK43" i="329"/>
  <c r="BK34" i="329" s="1"/>
  <c r="DE168" i="2"/>
  <c r="EX155" i="2"/>
  <c r="DE225" i="2"/>
  <c r="DE157" i="2"/>
  <c r="EV394" i="329"/>
  <c r="EV141" i="329"/>
  <c r="EV222" i="329"/>
  <c r="EV215" i="329" s="1"/>
  <c r="EV143" i="329"/>
  <c r="EV142" i="329"/>
  <c r="EW141" i="329"/>
  <c r="EW143" i="329"/>
  <c r="EW394" i="329"/>
  <c r="EW222" i="329"/>
  <c r="EW215" i="329" s="1"/>
  <c r="EW142" i="329"/>
  <c r="EX393" i="329"/>
  <c r="DE147" i="2"/>
  <c r="DE421" i="329" s="1"/>
  <c r="DE404" i="329"/>
  <c r="DE407" i="329" s="1"/>
  <c r="EV105" i="329"/>
  <c r="EW93" i="329"/>
  <c r="EV93" i="329"/>
  <c r="DE164" i="2"/>
  <c r="DE233" i="2" s="1"/>
  <c r="EX160" i="2"/>
  <c r="DE229" i="2"/>
  <c r="DE162" i="2"/>
  <c r="AZ302" i="329"/>
  <c r="AZ389" i="329"/>
  <c r="AZ386" i="329"/>
  <c r="EL259" i="329"/>
  <c r="EL242" i="329" s="1"/>
  <c r="BJ249" i="329"/>
  <c r="EM249" i="329"/>
  <c r="AZ307" i="329"/>
  <c r="BG249" i="329"/>
  <c r="BF259" i="329"/>
  <c r="BA378" i="329"/>
  <c r="BA292" i="329"/>
  <c r="BA291" i="329"/>
  <c r="BA299" i="329"/>
  <c r="BA304" i="329"/>
  <c r="AZ135" i="2"/>
  <c r="AZ136" i="2" s="1"/>
  <c r="BB242" i="329"/>
  <c r="BB290" i="329" s="1"/>
  <c r="BB371" i="329"/>
  <c r="BB372" i="329" s="1"/>
  <c r="AZ91" i="3"/>
  <c r="AZ92" i="3" s="1"/>
  <c r="AZ93" i="3"/>
  <c r="AZ94" i="3" s="1"/>
  <c r="EJ292" i="329"/>
  <c r="EJ299" i="329"/>
  <c r="EJ291" i="329"/>
  <c r="BD249" i="329"/>
  <c r="BC259" i="329"/>
  <c r="BH90" i="329"/>
  <c r="EL41" i="329"/>
  <c r="BJ14" i="329"/>
  <c r="AH62" i="4"/>
  <c r="AH64" i="4" s="1"/>
  <c r="AG65" i="4"/>
  <c r="EG65" i="4"/>
  <c r="EH62" i="4"/>
  <c r="EH64" i="4" s="1"/>
  <c r="BI62" i="4"/>
  <c r="BI64" i="4" s="1"/>
  <c r="BH65" i="4"/>
  <c r="BD35" i="329" l="1"/>
  <c r="BH34" i="329"/>
  <c r="BN11" i="329"/>
  <c r="EM38" i="329"/>
  <c r="DE203" i="2"/>
  <c r="DG85" i="329"/>
  <c r="BH33" i="329"/>
  <c r="BH29" i="329"/>
  <c r="BH35" i="329"/>
  <c r="BH31" i="329"/>
  <c r="BH30" i="329"/>
  <c r="BL78" i="329"/>
  <c r="BM77" i="329"/>
  <c r="BL79" i="329"/>
  <c r="EE101" i="329"/>
  <c r="EE102" i="329" s="1"/>
  <c r="EJ166" i="2"/>
  <c r="DX108" i="3"/>
  <c r="DX95" i="3" s="1"/>
  <c r="EJ391" i="329"/>
  <c r="EJ142" i="2"/>
  <c r="EJ384" i="329"/>
  <c r="BH51" i="329"/>
  <c r="BD51" i="329"/>
  <c r="DX113" i="4"/>
  <c r="BB113" i="4"/>
  <c r="EL12" i="329"/>
  <c r="BI39" i="329"/>
  <c r="BI44" i="329" s="1"/>
  <c r="BI32" i="329" s="1"/>
  <c r="EL32" i="329" s="1"/>
  <c r="BI17" i="329"/>
  <c r="BE49" i="329"/>
  <c r="BF49" i="329"/>
  <c r="EK39" i="329"/>
  <c r="BE44" i="329"/>
  <c r="AG388" i="329"/>
  <c r="AG109" i="3"/>
  <c r="AG380" i="329"/>
  <c r="EE380" i="329" s="1"/>
  <c r="EE378" i="329"/>
  <c r="AG385" i="329"/>
  <c r="AG379" i="329"/>
  <c r="AG135" i="2" s="1"/>
  <c r="AG136" i="2" s="1"/>
  <c r="EE96" i="329"/>
  <c r="EE97" i="329" s="1"/>
  <c r="EE88" i="329"/>
  <c r="EE89" i="329"/>
  <c r="EE98" i="329" s="1"/>
  <c r="EE99" i="329" s="1"/>
  <c r="AF91" i="3"/>
  <c r="AF92" i="3" s="1"/>
  <c r="AF93" i="3"/>
  <c r="AF94" i="3" s="1"/>
  <c r="AF135" i="2"/>
  <c r="AF136" i="2" s="1"/>
  <c r="AF389" i="329"/>
  <c r="AF386" i="329"/>
  <c r="AG98" i="329"/>
  <c r="AG99" i="329" s="1"/>
  <c r="AG103" i="329"/>
  <c r="AG104" i="329" s="1"/>
  <c r="AH89" i="329"/>
  <c r="AH101" i="329"/>
  <c r="AI87" i="329"/>
  <c r="AH378" i="329"/>
  <c r="AH96" i="329"/>
  <c r="AH97" i="329" s="1"/>
  <c r="AH88" i="329"/>
  <c r="EV223" i="329"/>
  <c r="EV224" i="329"/>
  <c r="EV221" i="329"/>
  <c r="EW224" i="329"/>
  <c r="EW223" i="329"/>
  <c r="EW221" i="329"/>
  <c r="BH70" i="329"/>
  <c r="BG72" i="329"/>
  <c r="BG71" i="329"/>
  <c r="BG87" i="329"/>
  <c r="BG82" i="329"/>
  <c r="BC89" i="329"/>
  <c r="BC88" i="329"/>
  <c r="BC96" i="329"/>
  <c r="BC97" i="329" s="1"/>
  <c r="BC101" i="329"/>
  <c r="BC102" i="329" s="1"/>
  <c r="BE70" i="329"/>
  <c r="BD72" i="329"/>
  <c r="BD71" i="329"/>
  <c r="BD82" i="329"/>
  <c r="BD87" i="329"/>
  <c r="BF88" i="329"/>
  <c r="BF101" i="329"/>
  <c r="BF102" i="329" s="1"/>
  <c r="BF96" i="329"/>
  <c r="BF97" i="329" s="1"/>
  <c r="BB98" i="329"/>
  <c r="BB99" i="329" s="1"/>
  <c r="BB103" i="329"/>
  <c r="BB104" i="329" s="1"/>
  <c r="EM13" i="329"/>
  <c r="BM40" i="329"/>
  <c r="BM31" i="329" s="1"/>
  <c r="EM31" i="329" s="1"/>
  <c r="EM42" i="329"/>
  <c r="BN15" i="329"/>
  <c r="BM16" i="329"/>
  <c r="BL43" i="329"/>
  <c r="BL34" i="329" s="1"/>
  <c r="DE151" i="2"/>
  <c r="EX189" i="2"/>
  <c r="EX212" i="2" s="1"/>
  <c r="EX164" i="2"/>
  <c r="EX233" i="2" s="1"/>
  <c r="EX229" i="2"/>
  <c r="DE197" i="2"/>
  <c r="EX162" i="2"/>
  <c r="DE231" i="2"/>
  <c r="DE16" i="2"/>
  <c r="DE137" i="2" s="1"/>
  <c r="DE166" i="2"/>
  <c r="DE235" i="2" s="1"/>
  <c r="EV106" i="329"/>
  <c r="EW104" i="2"/>
  <c r="EV104" i="2"/>
  <c r="DE199" i="2"/>
  <c r="DE216" i="2" s="1"/>
  <c r="EX168" i="2"/>
  <c r="DE237" i="2"/>
  <c r="DE170" i="2"/>
  <c r="EX147" i="2"/>
  <c r="EX404" i="329"/>
  <c r="DE227" i="2"/>
  <c r="EX157" i="2"/>
  <c r="DE106" i="2"/>
  <c r="DE408" i="329"/>
  <c r="DE405" i="329"/>
  <c r="DE7" i="2"/>
  <c r="DE411" i="329"/>
  <c r="DE390" i="329"/>
  <c r="DE149" i="2"/>
  <c r="DE187" i="2" s="1"/>
  <c r="DE391" i="329"/>
  <c r="EX225" i="2"/>
  <c r="EX179" i="2"/>
  <c r="EX208" i="2" s="1"/>
  <c r="BE249" i="329"/>
  <c r="BE259" i="329" s="1"/>
  <c r="BD259" i="329"/>
  <c r="EJ300" i="329"/>
  <c r="BA385" i="329"/>
  <c r="EJ378" i="329"/>
  <c r="BA380" i="329"/>
  <c r="EJ380" i="329" s="1"/>
  <c r="BA379" i="329"/>
  <c r="BA388" i="329"/>
  <c r="BA109" i="3"/>
  <c r="BK249" i="329"/>
  <c r="BJ259" i="329"/>
  <c r="EJ301" i="329"/>
  <c r="BB291" i="329"/>
  <c r="BB299" i="329"/>
  <c r="BB304" i="329"/>
  <c r="BB292" i="329"/>
  <c r="BB378" i="329"/>
  <c r="BA300" i="329"/>
  <c r="BF242" i="329"/>
  <c r="BF290" i="329" s="1"/>
  <c r="BF371" i="329"/>
  <c r="BF372" i="329" s="1"/>
  <c r="BG259" i="329"/>
  <c r="BH249" i="329"/>
  <c r="BC242" i="329"/>
  <c r="BC290" i="329" s="1"/>
  <c r="BC371" i="329"/>
  <c r="BC372" i="329" s="1"/>
  <c r="BA305" i="329"/>
  <c r="EJ304" i="329"/>
  <c r="BA306" i="329"/>
  <c r="BA301" i="329"/>
  <c r="BN249" i="329"/>
  <c r="EM259" i="329"/>
  <c r="BI31" i="329"/>
  <c r="EL31" i="329" s="1"/>
  <c r="EH65" i="4"/>
  <c r="EI62" i="4"/>
  <c r="EI64" i="4" s="1"/>
  <c r="BK14" i="329"/>
  <c r="BJ41" i="329"/>
  <c r="BJ32" i="329" s="1"/>
  <c r="BJ62" i="4"/>
  <c r="BJ64" i="4" s="1"/>
  <c r="BI65" i="4"/>
  <c r="AH65" i="4"/>
  <c r="AI62" i="4"/>
  <c r="AI64" i="4" s="1"/>
  <c r="DE214" i="2" l="1"/>
  <c r="EX203" i="2"/>
  <c r="EM28" i="3"/>
  <c r="BO11" i="329"/>
  <c r="BN38" i="329"/>
  <c r="BN29" i="329" s="1"/>
  <c r="DE81" i="2"/>
  <c r="DE96" i="2" s="1"/>
  <c r="DG164" i="2"/>
  <c r="BM79" i="329"/>
  <c r="EM79" i="329" s="1"/>
  <c r="BM78" i="329"/>
  <c r="EM78" i="329" s="1"/>
  <c r="EM77" i="329"/>
  <c r="BN77" i="329" s="1"/>
  <c r="BI34" i="329"/>
  <c r="EL34" i="329" s="1"/>
  <c r="BI30" i="329"/>
  <c r="EL30" i="329" s="1"/>
  <c r="BI33" i="329"/>
  <c r="EL33" i="329" s="1"/>
  <c r="BI29" i="329"/>
  <c r="EL29" i="329" s="1"/>
  <c r="BI35" i="329"/>
  <c r="EL35" i="329" s="1"/>
  <c r="EV242" i="2"/>
  <c r="EV243" i="2"/>
  <c r="EW242" i="2"/>
  <c r="EW243" i="2"/>
  <c r="EX151" i="2"/>
  <c r="EX221" i="2" s="1"/>
  <c r="DE210" i="2"/>
  <c r="DE138" i="2"/>
  <c r="BE32" i="329"/>
  <c r="EK32" i="329" s="1"/>
  <c r="BE50" i="329"/>
  <c r="BE33" i="329"/>
  <c r="EK33" i="329" s="1"/>
  <c r="BE30" i="329"/>
  <c r="EK30" i="329" s="1"/>
  <c r="BE31" i="329"/>
  <c r="EK31" i="329" s="1"/>
  <c r="EK44" i="329"/>
  <c r="EK50" i="329" s="1"/>
  <c r="EK51" i="329" s="1"/>
  <c r="BE34" i="329"/>
  <c r="EK34" i="329" s="1"/>
  <c r="BE29" i="329"/>
  <c r="BF83" i="329"/>
  <c r="BF90" i="329"/>
  <c r="BJ12" i="329"/>
  <c r="EL39" i="329"/>
  <c r="EL44" i="329" s="1"/>
  <c r="EL374" i="329" s="1"/>
  <c r="EL382" i="329" s="1"/>
  <c r="DZ112" i="4" s="1"/>
  <c r="BE90" i="329"/>
  <c r="BE83" i="329"/>
  <c r="EL17" i="329"/>
  <c r="EL48" i="329" s="1"/>
  <c r="EL49" i="329" s="1"/>
  <c r="EL83" i="329" s="1"/>
  <c r="BI48" i="329"/>
  <c r="BI49" i="329" s="1"/>
  <c r="BI83" i="329" s="1"/>
  <c r="AH102" i="329"/>
  <c r="EE385" i="329"/>
  <c r="DS109" i="3"/>
  <c r="EE388" i="329"/>
  <c r="EE379" i="329"/>
  <c r="AH103" i="329"/>
  <c r="AH98" i="329"/>
  <c r="AH99" i="329" s="1"/>
  <c r="AH109" i="3"/>
  <c r="AH385" i="329"/>
  <c r="AH380" i="329"/>
  <c r="AH388" i="329"/>
  <c r="AH379" i="329"/>
  <c r="EE103" i="329"/>
  <c r="EE104" i="329" s="1"/>
  <c r="AG386" i="329"/>
  <c r="AG389" i="329"/>
  <c r="AG93" i="3"/>
  <c r="AG94" i="3" s="1"/>
  <c r="AG91" i="3"/>
  <c r="AG92" i="3" s="1"/>
  <c r="AI88" i="329"/>
  <c r="AI101" i="329"/>
  <c r="AI102" i="329" s="1"/>
  <c r="AI89" i="329"/>
  <c r="AI96" i="329"/>
  <c r="AI97" i="329" s="1"/>
  <c r="AJ87" i="329"/>
  <c r="AI378" i="329"/>
  <c r="DE175" i="2"/>
  <c r="BG88" i="329"/>
  <c r="BG96" i="329"/>
  <c r="BG97" i="329" s="1"/>
  <c r="BG89" i="329"/>
  <c r="BG101" i="329"/>
  <c r="BG102" i="329" s="1"/>
  <c r="BD101" i="329"/>
  <c r="BD88" i="329"/>
  <c r="BD89" i="329"/>
  <c r="BD96" i="329"/>
  <c r="BD97" i="329" s="1"/>
  <c r="BE72" i="329"/>
  <c r="EK72" i="329" s="1"/>
  <c r="EK73" i="329" s="1"/>
  <c r="EK374" i="329" s="1"/>
  <c r="EK375" i="329" s="1"/>
  <c r="BE71" i="329"/>
  <c r="BE87" i="329"/>
  <c r="BE82" i="329"/>
  <c r="BE371" i="329" s="1"/>
  <c r="BE372" i="329" s="1"/>
  <c r="BF71" i="329"/>
  <c r="BC103" i="329"/>
  <c r="BC104" i="329" s="1"/>
  <c r="BC98" i="329"/>
  <c r="BC99" i="329" s="1"/>
  <c r="BH72" i="329"/>
  <c r="BI70" i="329"/>
  <c r="BH71" i="329"/>
  <c r="BH87" i="329"/>
  <c r="BH82" i="329"/>
  <c r="BN13" i="329"/>
  <c r="EM40" i="329"/>
  <c r="BO15" i="329"/>
  <c r="BN42" i="329"/>
  <c r="BN33" i="329" s="1"/>
  <c r="EM16" i="329"/>
  <c r="BM43" i="329"/>
  <c r="BM34" i="329" s="1"/>
  <c r="EM34" i="329" s="1"/>
  <c r="DE153" i="2"/>
  <c r="DE8" i="2" s="1"/>
  <c r="DE9" i="2" s="1"/>
  <c r="DE221" i="2"/>
  <c r="EX16" i="2"/>
  <c r="EX254" i="2" s="1"/>
  <c r="DE79" i="2"/>
  <c r="CS102" i="3"/>
  <c r="DE109" i="2"/>
  <c r="DE239" i="2"/>
  <c r="DE201" i="2"/>
  <c r="EV106" i="2"/>
  <c r="EV408" i="329"/>
  <c r="EW122" i="2"/>
  <c r="EW118" i="2"/>
  <c r="EX231" i="2"/>
  <c r="EX197" i="2"/>
  <c r="EX214" i="2" s="1"/>
  <c r="EX166" i="2"/>
  <c r="EX235" i="2" s="1"/>
  <c r="DE412" i="329"/>
  <c r="DE107" i="2"/>
  <c r="CS103" i="4"/>
  <c r="EX7" i="2"/>
  <c r="CS100" i="3"/>
  <c r="DE120" i="2"/>
  <c r="DE124" i="2"/>
  <c r="EX227" i="2"/>
  <c r="EX187" i="2"/>
  <c r="EX210" i="2" s="1"/>
  <c r="EX405" i="329"/>
  <c r="EX149" i="2"/>
  <c r="EX411" i="329"/>
  <c r="EX390" i="329"/>
  <c r="EK87" i="4"/>
  <c r="EX391" i="329"/>
  <c r="EX237" i="2"/>
  <c r="EX199" i="2"/>
  <c r="EX216" i="2" s="1"/>
  <c r="EX170" i="2"/>
  <c r="EV122" i="2"/>
  <c r="EV118" i="2"/>
  <c r="BB380" i="329"/>
  <c r="BB379" i="329"/>
  <c r="BB135" i="2" s="1"/>
  <c r="BB136" i="2" s="1"/>
  <c r="BB388" i="329"/>
  <c r="BB109" i="3"/>
  <c r="BB385" i="329"/>
  <c r="BJ242" i="329"/>
  <c r="BJ290" i="329"/>
  <c r="BA386" i="329"/>
  <c r="BA389" i="329"/>
  <c r="BA135" i="2"/>
  <c r="BA136" i="2" s="1"/>
  <c r="BN259" i="329"/>
  <c r="BO249" i="329"/>
  <c r="EJ305" i="329"/>
  <c r="BC292" i="329"/>
  <c r="BC291" i="329"/>
  <c r="BC299" i="329"/>
  <c r="BC304" i="329"/>
  <c r="BC378" i="329"/>
  <c r="BF291" i="329"/>
  <c r="BF299" i="329"/>
  <c r="BF304" i="329"/>
  <c r="BF378" i="329"/>
  <c r="BB306" i="329"/>
  <c r="BB301" i="329"/>
  <c r="BL249" i="329"/>
  <c r="BK259" i="329"/>
  <c r="DX68" i="4"/>
  <c r="DX69" i="4" s="1"/>
  <c r="DX72" i="4"/>
  <c r="DX73" i="4" s="1"/>
  <c r="EM290" i="329"/>
  <c r="EM242" i="329"/>
  <c r="BB300" i="329"/>
  <c r="BA302" i="329"/>
  <c r="BI249" i="329"/>
  <c r="BI259" i="329" s="1"/>
  <c r="BI242" i="329" s="1"/>
  <c r="BI290" i="329" s="1"/>
  <c r="BH259" i="329"/>
  <c r="EJ302" i="329"/>
  <c r="BA93" i="3"/>
  <c r="BA94" i="3" s="1"/>
  <c r="BA91" i="3"/>
  <c r="BA92" i="3" s="1"/>
  <c r="DX109" i="3"/>
  <c r="EJ379" i="329"/>
  <c r="EJ388" i="329"/>
  <c r="EJ385" i="329"/>
  <c r="BD242" i="329"/>
  <c r="BD290" i="329" s="1"/>
  <c r="BD371" i="329"/>
  <c r="BD372" i="329" s="1"/>
  <c r="BA307" i="329"/>
  <c r="EJ306" i="329"/>
  <c r="BG242" i="329"/>
  <c r="BG290" i="329" s="1"/>
  <c r="BG371" i="329"/>
  <c r="BG372" i="329" s="1"/>
  <c r="BB305" i="329"/>
  <c r="BE242" i="329"/>
  <c r="AJ62" i="4"/>
  <c r="AJ64" i="4" s="1"/>
  <c r="AI65" i="4"/>
  <c r="BK41" i="329"/>
  <c r="BK32" i="329" s="1"/>
  <c r="BL14" i="329"/>
  <c r="EI65" i="4"/>
  <c r="EJ62" i="4"/>
  <c r="EJ64" i="4" s="1"/>
  <c r="BJ65" i="4"/>
  <c r="BK62" i="4"/>
  <c r="BK64" i="4" s="1"/>
  <c r="DE218" i="2" l="1"/>
  <c r="BP11" i="329"/>
  <c r="BO38" i="329"/>
  <c r="BO29" i="329" s="1"/>
  <c r="DG233" i="2"/>
  <c r="EK382" i="329"/>
  <c r="EL383" i="329" s="1"/>
  <c r="EL51" i="329"/>
  <c r="EX253" i="2"/>
  <c r="DH94" i="329"/>
  <c r="DH98" i="329" s="1"/>
  <c r="DH96" i="329"/>
  <c r="DH97" i="329" s="1"/>
  <c r="DH85" i="329"/>
  <c r="DH93" i="329"/>
  <c r="BI90" i="329"/>
  <c r="EL90" i="329" s="1"/>
  <c r="EL390" i="329"/>
  <c r="EK80" i="4"/>
  <c r="EK77" i="4"/>
  <c r="EX78" i="2"/>
  <c r="EX77" i="2"/>
  <c r="EM80" i="329"/>
  <c r="BN78" i="329"/>
  <c r="BO77" i="329"/>
  <c r="BN79" i="329"/>
  <c r="EX137" i="2"/>
  <c r="EX138" i="2" s="1"/>
  <c r="CS59" i="3"/>
  <c r="CS55" i="3"/>
  <c r="CS57" i="3"/>
  <c r="CS60" i="3"/>
  <c r="CS56" i="3"/>
  <c r="CS50" i="3"/>
  <c r="EX175" i="2"/>
  <c r="DX132" i="3"/>
  <c r="DS132" i="3"/>
  <c r="DE94" i="2"/>
  <c r="BK12" i="329"/>
  <c r="BJ39" i="329"/>
  <c r="BJ30" i="329" s="1"/>
  <c r="BJ17" i="329"/>
  <c r="BJ48" i="329" s="1"/>
  <c r="BJ49" i="329" s="1"/>
  <c r="BJ90" i="329" s="1"/>
  <c r="EL375" i="329"/>
  <c r="BI51" i="329"/>
  <c r="BE51" i="329"/>
  <c r="BE35" i="329"/>
  <c r="EK35" i="329" s="1"/>
  <c r="EK29" i="329"/>
  <c r="AJ89" i="329"/>
  <c r="AJ378" i="329"/>
  <c r="AK87" i="329"/>
  <c r="AJ88" i="329"/>
  <c r="AJ96" i="329"/>
  <c r="AJ97" i="329" s="1"/>
  <c r="AJ101" i="329"/>
  <c r="AJ102" i="329" s="1"/>
  <c r="AH104" i="329"/>
  <c r="DS93" i="3"/>
  <c r="DS94" i="3" s="1"/>
  <c r="DS91" i="3"/>
  <c r="DS92" i="3" s="1"/>
  <c r="EE389" i="329"/>
  <c r="EE386" i="329"/>
  <c r="EE135" i="2"/>
  <c r="EE136" i="2" s="1"/>
  <c r="AI98" i="329"/>
  <c r="AI99" i="329" s="1"/>
  <c r="AI103" i="329"/>
  <c r="AI104" i="329" s="1"/>
  <c r="AH135" i="2"/>
  <c r="AH136" i="2" s="1"/>
  <c r="AH386" i="329"/>
  <c r="AH389" i="329"/>
  <c r="AH93" i="3"/>
  <c r="AH94" i="3" s="1"/>
  <c r="AH91" i="3"/>
  <c r="AH92" i="3" s="1"/>
  <c r="AI379" i="329"/>
  <c r="AI385" i="329"/>
  <c r="AI109" i="3"/>
  <c r="AI388" i="329"/>
  <c r="AI380" i="329"/>
  <c r="BH96" i="329"/>
  <c r="BH97" i="329" s="1"/>
  <c r="BH89" i="329"/>
  <c r="BH88" i="329"/>
  <c r="BH101" i="329"/>
  <c r="BH102" i="329" s="1"/>
  <c r="BE96" i="329"/>
  <c r="BE97" i="329" s="1"/>
  <c r="BF89" i="329"/>
  <c r="BE101" i="329"/>
  <c r="BE102" i="329" s="1"/>
  <c r="BE89" i="329"/>
  <c r="BE88" i="329"/>
  <c r="BD103" i="329"/>
  <c r="BD98" i="329"/>
  <c r="BD99" i="329" s="1"/>
  <c r="BG98" i="329"/>
  <c r="BG99" i="329" s="1"/>
  <c r="BG103" i="329"/>
  <c r="BG104" i="329" s="1"/>
  <c r="BI72" i="329"/>
  <c r="BI71" i="329"/>
  <c r="EL71" i="329" s="1"/>
  <c r="EL70" i="329"/>
  <c r="BI87" i="329"/>
  <c r="BI378" i="329" s="1"/>
  <c r="BI388" i="329" s="1"/>
  <c r="BI82" i="329"/>
  <c r="BI371" i="329" s="1"/>
  <c r="BI372" i="329" s="1"/>
  <c r="BD102" i="329"/>
  <c r="BN40" i="329"/>
  <c r="BN31" i="329" s="1"/>
  <c r="BO13" i="329"/>
  <c r="DE177" i="2"/>
  <c r="DE223" i="2"/>
  <c r="EX153" i="2"/>
  <c r="BO42" i="329"/>
  <c r="BO33" i="329" s="1"/>
  <c r="BP15" i="329"/>
  <c r="BN16" i="329"/>
  <c r="EM43" i="329"/>
  <c r="EX239" i="2"/>
  <c r="EX201" i="2"/>
  <c r="EX218" i="2" s="1"/>
  <c r="EX412" i="329"/>
  <c r="EK100" i="3"/>
  <c r="EX107" i="2"/>
  <c r="EK103" i="4"/>
  <c r="DE110" i="2"/>
  <c r="EX19" i="2"/>
  <c r="EV124" i="2"/>
  <c r="EV128" i="2"/>
  <c r="EV127" i="2"/>
  <c r="EV120" i="2"/>
  <c r="DE108" i="2"/>
  <c r="DE76" i="2"/>
  <c r="EX9" i="2"/>
  <c r="DE17" i="2"/>
  <c r="DE158" i="2"/>
  <c r="EX8" i="2"/>
  <c r="CS101" i="3"/>
  <c r="EK27" i="3"/>
  <c r="EK20" i="3"/>
  <c r="EK33" i="3"/>
  <c r="EX79" i="2"/>
  <c r="EX109" i="2"/>
  <c r="EK102" i="3"/>
  <c r="DX91" i="3"/>
  <c r="DX92" i="3" s="1"/>
  <c r="DX93" i="3"/>
  <c r="DX94" i="3" s="1"/>
  <c r="BK242" i="329"/>
  <c r="BK290" i="329"/>
  <c r="BF305" i="329"/>
  <c r="BC305" i="329"/>
  <c r="BC306" i="329"/>
  <c r="BC301" i="329"/>
  <c r="BN242" i="329"/>
  <c r="BN290" i="329"/>
  <c r="BE290" i="329"/>
  <c r="BI291" i="329" s="1"/>
  <c r="EK242" i="329"/>
  <c r="EK290" i="329" s="1"/>
  <c r="BH242" i="329"/>
  <c r="BH290" i="329" s="1"/>
  <c r="BI292" i="329" s="1"/>
  <c r="BH371" i="329"/>
  <c r="BH372" i="329" s="1"/>
  <c r="EN293" i="329"/>
  <c r="EM299" i="329"/>
  <c r="EN292" i="329"/>
  <c r="EN291" i="329"/>
  <c r="EM304" i="329"/>
  <c r="BM249" i="329"/>
  <c r="BM259" i="329" s="1"/>
  <c r="BL259" i="329"/>
  <c r="BF385" i="329"/>
  <c r="BF109" i="3"/>
  <c r="BF388" i="329"/>
  <c r="BF300" i="329"/>
  <c r="BC300" i="329"/>
  <c r="BB93" i="3"/>
  <c r="BB94" i="3" s="1"/>
  <c r="BB91" i="3"/>
  <c r="BB92" i="3" s="1"/>
  <c r="BG304" i="329"/>
  <c r="BG292" i="329"/>
  <c r="BG291" i="329"/>
  <c r="BG299" i="329"/>
  <c r="BG378" i="329"/>
  <c r="BI304" i="329"/>
  <c r="BI299" i="329"/>
  <c r="BB302" i="329"/>
  <c r="BJ304" i="329"/>
  <c r="BJ292" i="329"/>
  <c r="BJ299" i="329"/>
  <c r="BJ291" i="329"/>
  <c r="EJ307" i="329"/>
  <c r="BD292" i="329"/>
  <c r="BD299" i="329"/>
  <c r="BD304" i="329"/>
  <c r="BD291" i="329"/>
  <c r="BD378" i="329"/>
  <c r="EJ389" i="329"/>
  <c r="DX89" i="4"/>
  <c r="DX85" i="4" s="1"/>
  <c r="EJ135" i="2"/>
  <c r="EJ386" i="329"/>
  <c r="BB307" i="329"/>
  <c r="BC109" i="3"/>
  <c r="BC380" i="329"/>
  <c r="BC385" i="329"/>
  <c r="BC379" i="329"/>
  <c r="BC135" i="2" s="1"/>
  <c r="BC136" i="2" s="1"/>
  <c r="BC388" i="329"/>
  <c r="BP249" i="329"/>
  <c r="BO259" i="329"/>
  <c r="BB389" i="329"/>
  <c r="BB386" i="329"/>
  <c r="BK65" i="4"/>
  <c r="BL62" i="4"/>
  <c r="BL64" i="4" s="1"/>
  <c r="EK62" i="4"/>
  <c r="EJ65" i="4"/>
  <c r="BJ113" i="4"/>
  <c r="AJ65" i="4"/>
  <c r="AK62" i="4"/>
  <c r="AK64" i="4" s="1"/>
  <c r="BL41" i="329"/>
  <c r="BL32" i="329" s="1"/>
  <c r="BM14" i="329"/>
  <c r="EK383" i="329" l="1"/>
  <c r="DY112" i="4"/>
  <c r="DZ113" i="4" s="1"/>
  <c r="EK390" i="329"/>
  <c r="BJ83" i="329"/>
  <c r="DH99" i="329"/>
  <c r="BP38" i="329"/>
  <c r="BP29" i="329" s="1"/>
  <c r="BQ20" i="329"/>
  <c r="EN20" i="329" s="1"/>
  <c r="EL166" i="2"/>
  <c r="DZ108" i="3"/>
  <c r="DZ95" i="3" s="1"/>
  <c r="EL137" i="2"/>
  <c r="EL142" i="2"/>
  <c r="EL391" i="329"/>
  <c r="DH95" i="329"/>
  <c r="DH120" i="329"/>
  <c r="EX92" i="2"/>
  <c r="EX93" i="2"/>
  <c r="BO79" i="329"/>
  <c r="BO78" i="329"/>
  <c r="BP77" i="329"/>
  <c r="DE128" i="2"/>
  <c r="CS58" i="3"/>
  <c r="CS52" i="3"/>
  <c r="CS83" i="3" s="1"/>
  <c r="CS51" i="3"/>
  <c r="CS82" i="3" s="1"/>
  <c r="CS81" i="3"/>
  <c r="BI385" i="329"/>
  <c r="DE20" i="2"/>
  <c r="EX94" i="2"/>
  <c r="EK166" i="2"/>
  <c r="EK137" i="2"/>
  <c r="DE91" i="2"/>
  <c r="EK101" i="3"/>
  <c r="BK39" i="329"/>
  <c r="BK30" i="329" s="1"/>
  <c r="BL12" i="329"/>
  <c r="BK17" i="329"/>
  <c r="BK48" i="329" s="1"/>
  <c r="BK49" i="329" s="1"/>
  <c r="BK90" i="329" s="1"/>
  <c r="AK96" i="329"/>
  <c r="AK97" i="329" s="1"/>
  <c r="AK378" i="329"/>
  <c r="AK89" i="329"/>
  <c r="AK88" i="329"/>
  <c r="EF87" i="329"/>
  <c r="AK101" i="329"/>
  <c r="AL87" i="329"/>
  <c r="AI93" i="3"/>
  <c r="AI94" i="3" s="1"/>
  <c r="AI91" i="3"/>
  <c r="AI92" i="3" s="1"/>
  <c r="AI135" i="2"/>
  <c r="AI136" i="2" s="1"/>
  <c r="AI389" i="329"/>
  <c r="AI386" i="329"/>
  <c r="AJ109" i="3"/>
  <c r="AJ385" i="329"/>
  <c r="AJ380" i="329"/>
  <c r="AJ388" i="329"/>
  <c r="AJ379" i="329"/>
  <c r="AJ103" i="329"/>
  <c r="AJ104" i="329" s="1"/>
  <c r="AJ98" i="329"/>
  <c r="AJ99" i="329" s="1"/>
  <c r="EK101" i="329"/>
  <c r="EK102" i="329" s="1"/>
  <c r="EL72" i="329"/>
  <c r="BJ70" i="329"/>
  <c r="EL82" i="329"/>
  <c r="EL371" i="329" s="1"/>
  <c r="EL372" i="329" s="1"/>
  <c r="BE103" i="329"/>
  <c r="BE104" i="329" s="1"/>
  <c r="BE98" i="329"/>
  <c r="BE99" i="329" s="1"/>
  <c r="BD104" i="329"/>
  <c r="BF103" i="329"/>
  <c r="BF104" i="329" s="1"/>
  <c r="BF98" i="329"/>
  <c r="BF99" i="329" s="1"/>
  <c r="BH98" i="329"/>
  <c r="BH99" i="329" s="1"/>
  <c r="BH103" i="329"/>
  <c r="BH104" i="329" s="1"/>
  <c r="BI96" i="329"/>
  <c r="BI97" i="329" s="1"/>
  <c r="BI88" i="329"/>
  <c r="BI101" i="329"/>
  <c r="BI102" i="329" s="1"/>
  <c r="BI89" i="329"/>
  <c r="EL87" i="329"/>
  <c r="BP13" i="329"/>
  <c r="BO40" i="329"/>
  <c r="BO31" i="329" s="1"/>
  <c r="EX177" i="2"/>
  <c r="EK59" i="3"/>
  <c r="EX223" i="2"/>
  <c r="BQ24" i="329"/>
  <c r="EN24" i="329" s="1"/>
  <c r="BP42" i="329"/>
  <c r="BP33" i="329" s="1"/>
  <c r="BO16" i="329"/>
  <c r="BN43" i="329"/>
  <c r="BN34" i="329" s="1"/>
  <c r="BI109" i="3"/>
  <c r="BI91" i="3" s="1"/>
  <c r="EK56" i="3"/>
  <c r="EK11" i="3"/>
  <c r="EK55" i="3" s="1"/>
  <c r="EK9" i="3"/>
  <c r="EX76" i="2"/>
  <c r="EX17" i="2"/>
  <c r="EX108" i="2"/>
  <c r="EX158" i="2"/>
  <c r="EK113" i="3"/>
  <c r="DD13" i="2"/>
  <c r="DD142" i="2" s="1"/>
  <c r="DD143" i="2" s="1"/>
  <c r="DE13" i="2"/>
  <c r="DE142" i="2" s="1"/>
  <c r="DE143" i="2" s="1"/>
  <c r="EX131" i="2"/>
  <c r="DC13" i="2"/>
  <c r="DC142" i="2" s="1"/>
  <c r="DC143" i="2" s="1"/>
  <c r="DB13" i="2"/>
  <c r="DB142" i="2" s="1"/>
  <c r="DB143" i="2" s="1"/>
  <c r="EX142" i="2"/>
  <c r="EX143" i="2" s="1"/>
  <c r="EK60" i="3"/>
  <c r="EK26" i="3"/>
  <c r="EK58" i="3" s="1"/>
  <c r="EK25" i="3"/>
  <c r="DE83" i="2"/>
  <c r="DE82" i="2"/>
  <c r="DE132" i="2"/>
  <c r="CS104" i="4"/>
  <c r="DE111" i="2"/>
  <c r="DE141" i="2"/>
  <c r="CS111" i="3"/>
  <c r="DE171" i="2"/>
  <c r="EX81" i="2"/>
  <c r="EX96" i="2" s="1"/>
  <c r="EX11" i="2"/>
  <c r="EX110" i="2"/>
  <c r="CS105" i="4"/>
  <c r="DE80" i="2"/>
  <c r="DE14" i="2"/>
  <c r="DE78" i="2" s="1"/>
  <c r="DE93" i="2" s="1"/>
  <c r="DD14" i="2"/>
  <c r="DD78" i="2" s="1"/>
  <c r="DD93" i="2" s="1"/>
  <c r="DC14" i="2"/>
  <c r="DC78" i="2" s="1"/>
  <c r="DC93" i="2" s="1"/>
  <c r="DB14" i="2"/>
  <c r="DB78" i="2" s="1"/>
  <c r="DB93" i="2" s="1"/>
  <c r="BQ263" i="329"/>
  <c r="BP259" i="329"/>
  <c r="BO242" i="329"/>
  <c r="BO290" i="329"/>
  <c r="BO292" i="329" s="1"/>
  <c r="BD305" i="329"/>
  <c r="BI306" i="329"/>
  <c r="BI301" i="329"/>
  <c r="BG300" i="329"/>
  <c r="BG305" i="329"/>
  <c r="BE291" i="329"/>
  <c r="BE299" i="329"/>
  <c r="BI300" i="329" s="1"/>
  <c r="BE292" i="329"/>
  <c r="BE304" i="329"/>
  <c r="BI305" i="329" s="1"/>
  <c r="BE378" i="329"/>
  <c r="BF292" i="329"/>
  <c r="BC302" i="329"/>
  <c r="BD300" i="329"/>
  <c r="BJ300" i="329"/>
  <c r="BL290" i="329"/>
  <c r="BL242" i="329"/>
  <c r="BC307" i="329"/>
  <c r="BC93" i="3"/>
  <c r="BC94" i="3" s="1"/>
  <c r="BC91" i="3"/>
  <c r="BC92" i="3" s="1"/>
  <c r="BD388" i="329"/>
  <c r="BD380" i="329"/>
  <c r="BD385" i="329"/>
  <c r="BD109" i="3"/>
  <c r="BD379" i="329"/>
  <c r="BD135" i="2" s="1"/>
  <c r="BD136" i="2" s="1"/>
  <c r="BD306" i="329"/>
  <c r="BD301" i="329"/>
  <c r="BJ306" i="329"/>
  <c r="BJ301" i="329"/>
  <c r="BG301" i="329"/>
  <c r="BG306" i="329"/>
  <c r="BM242" i="329"/>
  <c r="BM290" i="329"/>
  <c r="EN306" i="329"/>
  <c r="EN301" i="329"/>
  <c r="BZ291" i="329"/>
  <c r="BR291" i="329"/>
  <c r="BN299" i="329"/>
  <c r="BN304" i="329"/>
  <c r="BN291" i="329"/>
  <c r="BC389" i="329"/>
  <c r="BC386" i="329"/>
  <c r="BJ305" i="329"/>
  <c r="BG380" i="329"/>
  <c r="BG388" i="329"/>
  <c r="BG379" i="329"/>
  <c r="BG109" i="3"/>
  <c r="BG385" i="329"/>
  <c r="BF93" i="3"/>
  <c r="BF94" i="3" s="1"/>
  <c r="BF91" i="3"/>
  <c r="BF92" i="3" s="1"/>
  <c r="EN305" i="329"/>
  <c r="EN300" i="329"/>
  <c r="BH291" i="329"/>
  <c r="BH304" i="329"/>
  <c r="BH292" i="329"/>
  <c r="BH299" i="329"/>
  <c r="BH378" i="329"/>
  <c r="EK378" i="329"/>
  <c r="EK291" i="329"/>
  <c r="EK292" i="329"/>
  <c r="EL290" i="329"/>
  <c r="EK299" i="329"/>
  <c r="BK292" i="329"/>
  <c r="BK299" i="329"/>
  <c r="BK304" i="329"/>
  <c r="BK291" i="329"/>
  <c r="BL65" i="4"/>
  <c r="BM62" i="4"/>
  <c r="BM64" i="4" s="1"/>
  <c r="EK391" i="329"/>
  <c r="DY108" i="3"/>
  <c r="DY95" i="3" s="1"/>
  <c r="EK142" i="2"/>
  <c r="EK384" i="329"/>
  <c r="BF113" i="4"/>
  <c r="DY113" i="4"/>
  <c r="EM14" i="329"/>
  <c r="BM41" i="329"/>
  <c r="BM32" i="329" s="1"/>
  <c r="EM32" i="329" s="1"/>
  <c r="AK65" i="4"/>
  <c r="AL62" i="4"/>
  <c r="AL64" i="4" s="1"/>
  <c r="EL384" i="329"/>
  <c r="BK83" i="329" l="1"/>
  <c r="BP79" i="329"/>
  <c r="BQ76" i="329"/>
  <c r="EN76" i="329" s="1"/>
  <c r="BQ78" i="329"/>
  <c r="BP78" i="329"/>
  <c r="BI93" i="3"/>
  <c r="DE127" i="2"/>
  <c r="CS84" i="3"/>
  <c r="CS112" i="3"/>
  <c r="DE112" i="2"/>
  <c r="EX20" i="2"/>
  <c r="DE84" i="2"/>
  <c r="DE98" i="2" s="1"/>
  <c r="DE95" i="2"/>
  <c r="CS97" i="3"/>
  <c r="CS133" i="3"/>
  <c r="DE97" i="2"/>
  <c r="BM12" i="329"/>
  <c r="BL39" i="329"/>
  <c r="BL30" i="329" s="1"/>
  <c r="BL17" i="329"/>
  <c r="BL48" i="329" s="1"/>
  <c r="BL49" i="329" s="1"/>
  <c r="BL83" i="329" s="1"/>
  <c r="AL96" i="329"/>
  <c r="AL101" i="329"/>
  <c r="AM87" i="329"/>
  <c r="AL88" i="329"/>
  <c r="AL89" i="329"/>
  <c r="AP88" i="329"/>
  <c r="AL378" i="329"/>
  <c r="AK102" i="329"/>
  <c r="EF101" i="329"/>
  <c r="EF102" i="329" s="1"/>
  <c r="AK380" i="329"/>
  <c r="EF380" i="329" s="1"/>
  <c r="AK385" i="329"/>
  <c r="AK388" i="329"/>
  <c r="AK379" i="329"/>
  <c r="AK109" i="3"/>
  <c r="EF378" i="329"/>
  <c r="AK103" i="329"/>
  <c r="AK104" i="329" s="1"/>
  <c r="AK98" i="329"/>
  <c r="AK99" i="329" s="1"/>
  <c r="AJ135" i="2"/>
  <c r="AJ136" i="2" s="1"/>
  <c r="AJ389" i="329"/>
  <c r="AJ386" i="329"/>
  <c r="AJ91" i="3"/>
  <c r="AJ92" i="3" s="1"/>
  <c r="AJ93" i="3"/>
  <c r="AJ94" i="3" s="1"/>
  <c r="EF89" i="329"/>
  <c r="EF98" i="329" s="1"/>
  <c r="EF99" i="329" s="1"/>
  <c r="EF96" i="329"/>
  <c r="EF97" i="329" s="1"/>
  <c r="EF88" i="329"/>
  <c r="EK103" i="329"/>
  <c r="EK104" i="329" s="1"/>
  <c r="EL96" i="329"/>
  <c r="EL97" i="329" s="1"/>
  <c r="EL101" i="329"/>
  <c r="EL102" i="329" s="1"/>
  <c r="EL89" i="329"/>
  <c r="EL88" i="329"/>
  <c r="BI98" i="329"/>
  <c r="BI99" i="329" s="1"/>
  <c r="BI103" i="329"/>
  <c r="BI104" i="329" s="1"/>
  <c r="BJ71" i="329"/>
  <c r="BK70" i="329"/>
  <c r="BJ72" i="329"/>
  <c r="BJ82" i="329"/>
  <c r="BQ22" i="329"/>
  <c r="EN22" i="329" s="1"/>
  <c r="BP40" i="329"/>
  <c r="BP31" i="329" s="1"/>
  <c r="BO43" i="329"/>
  <c r="BO34" i="329" s="1"/>
  <c r="BP16" i="329"/>
  <c r="DE15" i="2"/>
  <c r="EK57" i="3"/>
  <c r="DC15" i="2"/>
  <c r="DC77" i="2"/>
  <c r="DC131" i="2"/>
  <c r="CQ113" i="3"/>
  <c r="EK88" i="4"/>
  <c r="EK105" i="4"/>
  <c r="EX15" i="2"/>
  <c r="EX80" i="2"/>
  <c r="CS129" i="3"/>
  <c r="CS130" i="3"/>
  <c r="CS30" i="3"/>
  <c r="EK24" i="3"/>
  <c r="DD131" i="2"/>
  <c r="DD15" i="2"/>
  <c r="CR113" i="3"/>
  <c r="DD77" i="2"/>
  <c r="EK104" i="4"/>
  <c r="EX132" i="2"/>
  <c r="EX141" i="2"/>
  <c r="EX111" i="2"/>
  <c r="EX83" i="2"/>
  <c r="EK111" i="3"/>
  <c r="EX82" i="2"/>
  <c r="EX140" i="2"/>
  <c r="EX171" i="2"/>
  <c r="CS106" i="4"/>
  <c r="CS89" i="3"/>
  <c r="CS87" i="3"/>
  <c r="CS95" i="3"/>
  <c r="EK10" i="3"/>
  <c r="DE77" i="2"/>
  <c r="DE131" i="2"/>
  <c r="CS113" i="3"/>
  <c r="EK115" i="3"/>
  <c r="EX91" i="2"/>
  <c r="EK50" i="3"/>
  <c r="EK81" i="3" s="1"/>
  <c r="DB15" i="2"/>
  <c r="DB131" i="2"/>
  <c r="DB77" i="2"/>
  <c r="CP113" i="3"/>
  <c r="EK388" i="329"/>
  <c r="EK380" i="329"/>
  <c r="EK379" i="329"/>
  <c r="DY109" i="3"/>
  <c r="EK385" i="329"/>
  <c r="EO307" i="329"/>
  <c r="EQ307" i="329"/>
  <c r="BK306" i="329"/>
  <c r="BK301" i="329"/>
  <c r="EK301" i="329"/>
  <c r="BH109" i="3"/>
  <c r="BH388" i="329"/>
  <c r="BH380" i="329"/>
  <c r="BH379" i="329"/>
  <c r="BH135" i="2" s="1"/>
  <c r="BH136" i="2" s="1"/>
  <c r="BH385" i="329"/>
  <c r="BI379" i="329"/>
  <c r="BI380" i="329"/>
  <c r="BO306" i="329"/>
  <c r="BO301" i="329"/>
  <c r="BG307" i="329"/>
  <c r="BD307" i="329"/>
  <c r="BE305" i="329"/>
  <c r="EL304" i="329"/>
  <c r="EL299" i="329"/>
  <c r="EL291" i="329"/>
  <c r="EL292" i="329"/>
  <c r="EL378" i="329"/>
  <c r="EM292" i="329"/>
  <c r="EM291" i="329"/>
  <c r="BH305" i="329"/>
  <c r="BD302" i="329"/>
  <c r="BE380" i="329"/>
  <c r="BE379" i="329"/>
  <c r="BE109" i="3"/>
  <c r="BE388" i="329"/>
  <c r="BE385" i="329"/>
  <c r="BF379" i="329"/>
  <c r="BF380" i="329"/>
  <c r="BH300" i="329"/>
  <c r="BG91" i="3"/>
  <c r="BG92" i="3" s="1"/>
  <c r="BG93" i="3"/>
  <c r="BG94" i="3" s="1"/>
  <c r="BN293" i="329"/>
  <c r="BM292" i="329"/>
  <c r="BN292" i="329"/>
  <c r="BM299" i="329"/>
  <c r="BM304" i="329"/>
  <c r="BM291" i="329"/>
  <c r="BQ291" i="329"/>
  <c r="BG302" i="329"/>
  <c r="BE301" i="329"/>
  <c r="BI302" i="329" s="1"/>
  <c r="BE306" i="329"/>
  <c r="BI307" i="329" s="1"/>
  <c r="BP242" i="329"/>
  <c r="BP290" i="329"/>
  <c r="BP292" i="329" s="1"/>
  <c r="BK300" i="329"/>
  <c r="BZ300" i="329"/>
  <c r="BN300" i="329"/>
  <c r="BR300" i="329"/>
  <c r="BD93" i="3"/>
  <c r="BD94" i="3" s="1"/>
  <c r="BD91" i="3"/>
  <c r="BD92" i="3" s="1"/>
  <c r="BL299" i="329"/>
  <c r="BL300" i="329" s="1"/>
  <c r="BL291" i="329"/>
  <c r="BL304" i="329"/>
  <c r="BL305" i="329" s="1"/>
  <c r="BL292" i="329"/>
  <c r="BK305" i="329"/>
  <c r="EK300" i="329"/>
  <c r="BH301" i="329"/>
  <c r="BH306" i="329"/>
  <c r="BG386" i="329"/>
  <c r="BG389" i="329"/>
  <c r="BN305" i="329"/>
  <c r="BZ305" i="329"/>
  <c r="BR305" i="329"/>
  <c r="EO302" i="329"/>
  <c r="EQ302" i="329"/>
  <c r="BD389" i="329"/>
  <c r="BD386" i="329"/>
  <c r="BF301" i="329"/>
  <c r="BF306" i="329"/>
  <c r="BE300" i="329"/>
  <c r="EK304" i="329"/>
  <c r="BO293" i="329"/>
  <c r="BO304" i="329"/>
  <c r="BO291" i="329"/>
  <c r="BO299" i="329"/>
  <c r="BS291" i="329"/>
  <c r="CA291" i="329"/>
  <c r="BQ273" i="329"/>
  <c r="BQ243" i="329" s="1"/>
  <c r="EN263" i="329"/>
  <c r="EN273" i="329" s="1"/>
  <c r="EN243" i="329" s="1"/>
  <c r="BM65" i="4"/>
  <c r="BN62" i="4"/>
  <c r="BN64" i="4" s="1"/>
  <c r="AL65" i="4"/>
  <c r="AM62" i="4"/>
  <c r="AM64" i="4" s="1"/>
  <c r="BN14" i="329"/>
  <c r="EM41" i="329"/>
  <c r="DI93" i="329" l="1"/>
  <c r="EY92" i="329"/>
  <c r="EY93" i="329" s="1"/>
  <c r="DI94" i="329"/>
  <c r="DI98" i="329" s="1"/>
  <c r="DI85" i="329"/>
  <c r="EY85" i="329" s="1"/>
  <c r="DI96" i="329"/>
  <c r="EX112" i="2"/>
  <c r="EN78" i="329"/>
  <c r="EK112" i="3"/>
  <c r="EK114" i="3" s="1"/>
  <c r="EX84" i="2"/>
  <c r="DY132" i="3"/>
  <c r="DB92" i="2"/>
  <c r="DE92" i="2"/>
  <c r="EK133" i="3"/>
  <c r="CS88" i="3"/>
  <c r="EX95" i="2"/>
  <c r="CS96" i="3"/>
  <c r="DD92" i="2"/>
  <c r="DC92" i="2"/>
  <c r="CS32" i="4"/>
  <c r="EK122" i="4"/>
  <c r="EK123" i="4"/>
  <c r="BL90" i="329"/>
  <c r="EK40" i="4"/>
  <c r="EM12" i="329"/>
  <c r="BM39" i="329"/>
  <c r="BM30" i="329" s="1"/>
  <c r="EM30" i="329" s="1"/>
  <c r="BM17" i="329"/>
  <c r="EF103" i="329"/>
  <c r="EF104" i="329" s="1"/>
  <c r="AL385" i="329"/>
  <c r="AL379" i="329"/>
  <c r="AL135" i="2" s="1"/>
  <c r="AL136" i="2" s="1"/>
  <c r="AL380" i="329"/>
  <c r="AL109" i="3"/>
  <c r="AL388" i="329"/>
  <c r="AK135" i="2"/>
  <c r="AK136" i="2" s="1"/>
  <c r="AK386" i="329"/>
  <c r="AK389" i="329"/>
  <c r="AL102" i="329"/>
  <c r="AP102" i="329"/>
  <c r="AK91" i="3"/>
  <c r="AK92" i="3" s="1"/>
  <c r="AK93" i="3"/>
  <c r="AK94" i="3" s="1"/>
  <c r="AM89" i="329"/>
  <c r="AQ88" i="329"/>
  <c r="AN87" i="329"/>
  <c r="AM101" i="329"/>
  <c r="AM96" i="329"/>
  <c r="AM378" i="329"/>
  <c r="AM88" i="329"/>
  <c r="AL98" i="329"/>
  <c r="AL99" i="329" s="1"/>
  <c r="AL103" i="329"/>
  <c r="AL104" i="329" s="1"/>
  <c r="AP97" i="329"/>
  <c r="AL97" i="329"/>
  <c r="EF388" i="329"/>
  <c r="EF385" i="329"/>
  <c r="DT109" i="3"/>
  <c r="EF379" i="329"/>
  <c r="BK71" i="329"/>
  <c r="BK72" i="329"/>
  <c r="BL70" i="329"/>
  <c r="BK82" i="329"/>
  <c r="EL103" i="329"/>
  <c r="EL104" i="329" s="1"/>
  <c r="EL98" i="329"/>
  <c r="EL99" i="329" s="1"/>
  <c r="BJ87" i="329"/>
  <c r="BJ371" i="329"/>
  <c r="BJ372" i="329" s="1"/>
  <c r="BP43" i="329"/>
  <c r="BP34" i="329" s="1"/>
  <c r="BQ25" i="329"/>
  <c r="EN25" i="329" s="1"/>
  <c r="CS27" i="4"/>
  <c r="CS28" i="4"/>
  <c r="EK28" i="4" s="1"/>
  <c r="EK27" i="4"/>
  <c r="EX97" i="2"/>
  <c r="CS115" i="3"/>
  <c r="CS114" i="3"/>
  <c r="EK106" i="4"/>
  <c r="CR114" i="3"/>
  <c r="CR115" i="3"/>
  <c r="EK130" i="3"/>
  <c r="EK129" i="3"/>
  <c r="EK30" i="3"/>
  <c r="EK52" i="3"/>
  <c r="EK90" i="4"/>
  <c r="CP115" i="3"/>
  <c r="CP114" i="3"/>
  <c r="EK87" i="3"/>
  <c r="EK89" i="3"/>
  <c r="EK95" i="3"/>
  <c r="EK51" i="3"/>
  <c r="EK97" i="3"/>
  <c r="CS90" i="3"/>
  <c r="CQ114" i="3"/>
  <c r="CQ115" i="3"/>
  <c r="BP306" i="329"/>
  <c r="BP301" i="329"/>
  <c r="BM301" i="329"/>
  <c r="BM302" i="329" s="1"/>
  <c r="BM306" i="329"/>
  <c r="BM307" i="329" s="1"/>
  <c r="BE91" i="3"/>
  <c r="BE93" i="3"/>
  <c r="EL301" i="329"/>
  <c r="EL306" i="329"/>
  <c r="EL305" i="329"/>
  <c r="EM305" i="329"/>
  <c r="EK389" i="329"/>
  <c r="DY89" i="4"/>
  <c r="DY85" i="4" s="1"/>
  <c r="EK135" i="2"/>
  <c r="EK136" i="2" s="1"/>
  <c r="EK386" i="329"/>
  <c r="BO300" i="329"/>
  <c r="BS300" i="329"/>
  <c r="CA300" i="329"/>
  <c r="BF307" i="329"/>
  <c r="BH307" i="329"/>
  <c r="BL306" i="329"/>
  <c r="BL307" i="329" s="1"/>
  <c r="BL301" i="329"/>
  <c r="BL302" i="329" s="1"/>
  <c r="BQ305" i="329"/>
  <c r="BM305" i="329"/>
  <c r="BE386" i="329"/>
  <c r="BF135" i="2"/>
  <c r="BF136" i="2" s="1"/>
  <c r="BE389" i="329"/>
  <c r="BF302" i="329"/>
  <c r="BE135" i="2"/>
  <c r="BE136" i="2" s="1"/>
  <c r="BH302" i="329"/>
  <c r="BM300" i="329"/>
  <c r="BQ300" i="329"/>
  <c r="EM301" i="329"/>
  <c r="EN302" i="329" s="1"/>
  <c r="EM306" i="329"/>
  <c r="EN307" i="329" s="1"/>
  <c r="BJ302" i="329"/>
  <c r="CA302" i="329"/>
  <c r="BO302" i="329"/>
  <c r="BS302" i="329"/>
  <c r="BH91" i="3"/>
  <c r="BH92" i="3" s="1"/>
  <c r="BH93" i="3"/>
  <c r="BH94" i="3" s="1"/>
  <c r="BK302" i="329"/>
  <c r="DY68" i="4"/>
  <c r="DY69" i="4" s="1"/>
  <c r="DY72" i="4"/>
  <c r="DY73" i="4" s="1"/>
  <c r="EK305" i="329"/>
  <c r="BQ293" i="329"/>
  <c r="BQ292" i="329"/>
  <c r="CB291" i="329"/>
  <c r="BP304" i="329"/>
  <c r="BP299" i="329"/>
  <c r="BT291" i="329"/>
  <c r="BP291" i="329"/>
  <c r="BP293" i="329"/>
  <c r="EK306" i="329"/>
  <c r="BE307" i="329"/>
  <c r="BF386" i="329"/>
  <c r="BG135" i="2"/>
  <c r="BG136" i="2" s="1"/>
  <c r="BF389" i="329"/>
  <c r="BI386" i="329"/>
  <c r="BI389" i="329"/>
  <c r="CA305" i="329"/>
  <c r="BO305" i="329"/>
  <c r="BS305" i="329"/>
  <c r="BE302" i="329"/>
  <c r="BJ307" i="329"/>
  <c r="BN306" i="329"/>
  <c r="BN301" i="329"/>
  <c r="EL380" i="329"/>
  <c r="EL385" i="329"/>
  <c r="EL388" i="329"/>
  <c r="EL379" i="329"/>
  <c r="DZ109" i="3"/>
  <c r="DZ132" i="3" s="1"/>
  <c r="EL300" i="329"/>
  <c r="EM300" i="329"/>
  <c r="BS307" i="329"/>
  <c r="BO307" i="329"/>
  <c r="CA307" i="329"/>
  <c r="BH389" i="329"/>
  <c r="BH386" i="329"/>
  <c r="BI135" i="2"/>
  <c r="EK302" i="329"/>
  <c r="BK307" i="329"/>
  <c r="DY91" i="3"/>
  <c r="DY92" i="3" s="1"/>
  <c r="DY93" i="3"/>
  <c r="DY94" i="3" s="1"/>
  <c r="AM65" i="4"/>
  <c r="AN62" i="4"/>
  <c r="AN64" i="4" s="1"/>
  <c r="BN65" i="4"/>
  <c r="BO62" i="4"/>
  <c r="BO64" i="4" s="1"/>
  <c r="BO14" i="329"/>
  <c r="BN41" i="329"/>
  <c r="BN32" i="329" s="1"/>
  <c r="DI99" i="329" l="1"/>
  <c r="DI95" i="329"/>
  <c r="DI120" i="329"/>
  <c r="EY94" i="329"/>
  <c r="DI97" i="329"/>
  <c r="EY96" i="329"/>
  <c r="EY97" i="329" s="1"/>
  <c r="CS40" i="4"/>
  <c r="CS14" i="3"/>
  <c r="CS15" i="3" s="1"/>
  <c r="EK15" i="3" s="1"/>
  <c r="EX98" i="2"/>
  <c r="DT132" i="3"/>
  <c r="EK88" i="3"/>
  <c r="EK96" i="3"/>
  <c r="CS123" i="4"/>
  <c r="CS122" i="4"/>
  <c r="BM48" i="329"/>
  <c r="EM17" i="329"/>
  <c r="EM48" i="329" s="1"/>
  <c r="EM49" i="329" s="1"/>
  <c r="EM83" i="329" s="1"/>
  <c r="EM39" i="329"/>
  <c r="EM44" i="329" s="1"/>
  <c r="BN12" i="329"/>
  <c r="AN89" i="329"/>
  <c r="AN101" i="329"/>
  <c r="AO87" i="329"/>
  <c r="AN88" i="329"/>
  <c r="AN378" i="329"/>
  <c r="AN96" i="329"/>
  <c r="AR88" i="329"/>
  <c r="AL91" i="3"/>
  <c r="AL93" i="3"/>
  <c r="AM385" i="329"/>
  <c r="AM109" i="3"/>
  <c r="AM380" i="329"/>
  <c r="AM379" i="329"/>
  <c r="AM135" i="2" s="1"/>
  <c r="AM136" i="2" s="1"/>
  <c r="AM388" i="329"/>
  <c r="EF386" i="329"/>
  <c r="EF389" i="329"/>
  <c r="EF135" i="2"/>
  <c r="EF136" i="2" s="1"/>
  <c r="AQ97" i="329"/>
  <c r="AM97" i="329"/>
  <c r="AM103" i="329"/>
  <c r="AM98" i="329"/>
  <c r="AL389" i="329"/>
  <c r="AL386" i="329"/>
  <c r="DT91" i="3"/>
  <c r="DT92" i="3" s="1"/>
  <c r="DT93" i="3"/>
  <c r="DT94" i="3" s="1"/>
  <c r="AM102" i="329"/>
  <c r="AQ102" i="329"/>
  <c r="BI136" i="2"/>
  <c r="BK87" i="329"/>
  <c r="BK371" i="329"/>
  <c r="BK372" i="329" s="1"/>
  <c r="BJ378" i="329"/>
  <c r="BJ101" i="329"/>
  <c r="BJ102" i="329" s="1"/>
  <c r="BJ88" i="329"/>
  <c r="BJ96" i="329"/>
  <c r="BJ97" i="329" s="1"/>
  <c r="BJ89" i="329"/>
  <c r="BL71" i="329"/>
  <c r="BL72" i="329"/>
  <c r="BM70" i="329"/>
  <c r="BL82" i="329"/>
  <c r="EK90" i="3"/>
  <c r="EK83" i="3"/>
  <c r="EK82" i="3"/>
  <c r="CS75" i="3"/>
  <c r="EL135" i="2"/>
  <c r="EL136" i="2" s="1"/>
  <c r="EL386" i="329"/>
  <c r="DZ89" i="4"/>
  <c r="DZ85" i="4" s="1"/>
  <c r="EL389" i="329"/>
  <c r="DZ72" i="4"/>
  <c r="DZ73" i="4" s="1"/>
  <c r="DZ68" i="4"/>
  <c r="DZ69" i="4" s="1"/>
  <c r="BR307" i="329"/>
  <c r="BZ307" i="329"/>
  <c r="BN307" i="329"/>
  <c r="BQ301" i="329"/>
  <c r="BQ306" i="329"/>
  <c r="EK307" i="329"/>
  <c r="BP300" i="329"/>
  <c r="CB300" i="329"/>
  <c r="BT300" i="329"/>
  <c r="EM307" i="329"/>
  <c r="EL307" i="329"/>
  <c r="BE92" i="3"/>
  <c r="BI92" i="3"/>
  <c r="CB302" i="329"/>
  <c r="BP302" i="329"/>
  <c r="BT302" i="329"/>
  <c r="BE94" i="3"/>
  <c r="BI94" i="3"/>
  <c r="DZ93" i="3"/>
  <c r="DZ94" i="3" s="1"/>
  <c r="DZ91" i="3"/>
  <c r="DZ92" i="3" s="1"/>
  <c r="BZ302" i="329"/>
  <c r="BR302" i="329"/>
  <c r="BN302" i="329"/>
  <c r="CB305" i="329"/>
  <c r="BT305" i="329"/>
  <c r="BP305" i="329"/>
  <c r="EM302" i="329"/>
  <c r="EL302" i="329"/>
  <c r="BP307" i="329"/>
  <c r="BT307" i="329"/>
  <c r="CB307" i="329"/>
  <c r="AN65" i="4"/>
  <c r="AO62" i="4"/>
  <c r="AO64" i="4" s="1"/>
  <c r="BP14" i="329"/>
  <c r="BO41" i="329"/>
  <c r="BO32" i="329" s="1"/>
  <c r="BO65" i="4"/>
  <c r="BP62" i="4"/>
  <c r="BP64" i="4" s="1"/>
  <c r="DJ99" i="329" l="1"/>
  <c r="DK98" i="329"/>
  <c r="EY95" i="329"/>
  <c r="EY98" i="329"/>
  <c r="EY99" i="329" s="1"/>
  <c r="EY120" i="329"/>
  <c r="EK14" i="3"/>
  <c r="EK16" i="3" s="1"/>
  <c r="EK75" i="3" s="1"/>
  <c r="BN39" i="329"/>
  <c r="BN30" i="329" s="1"/>
  <c r="BO12" i="329"/>
  <c r="BN17" i="329"/>
  <c r="BN48" i="329" s="1"/>
  <c r="BN49" i="329" s="1"/>
  <c r="BN83" i="329" s="1"/>
  <c r="BN90" i="329" s="1"/>
  <c r="EN49" i="329"/>
  <c r="BM49" i="329"/>
  <c r="AM104" i="329"/>
  <c r="AQ104" i="329"/>
  <c r="AP92" i="3"/>
  <c r="AL92" i="3"/>
  <c r="AM93" i="3"/>
  <c r="AM91" i="3"/>
  <c r="AO88" i="329"/>
  <c r="AS88" i="329"/>
  <c r="AO96" i="329"/>
  <c r="AO378" i="329"/>
  <c r="AO101" i="329"/>
  <c r="EG101" i="329" s="1"/>
  <c r="EG87" i="329"/>
  <c r="AO89" i="329"/>
  <c r="AP89" i="329"/>
  <c r="AN97" i="329"/>
  <c r="AR97" i="329"/>
  <c r="AN102" i="329"/>
  <c r="AR102" i="329"/>
  <c r="AQ99" i="329"/>
  <c r="AM99" i="329"/>
  <c r="AM389" i="329"/>
  <c r="AM386" i="329"/>
  <c r="AL94" i="3"/>
  <c r="AP94" i="3"/>
  <c r="AN380" i="329"/>
  <c r="AN388" i="329"/>
  <c r="AN109" i="3"/>
  <c r="AN379" i="329"/>
  <c r="AN385" i="329"/>
  <c r="AN103" i="329"/>
  <c r="AN98" i="329"/>
  <c r="BL371" i="329"/>
  <c r="BL372" i="329" s="1"/>
  <c r="BL87" i="329"/>
  <c r="BJ103" i="329"/>
  <c r="BJ98" i="329"/>
  <c r="BJ99" i="329" s="1"/>
  <c r="BJ388" i="329"/>
  <c r="BJ379" i="329"/>
  <c r="BJ109" i="3"/>
  <c r="BJ385" i="329"/>
  <c r="BJ380" i="329"/>
  <c r="BK96" i="329"/>
  <c r="BK97" i="329" s="1"/>
  <c r="BK88" i="329"/>
  <c r="BK378" i="329"/>
  <c r="BK89" i="329"/>
  <c r="BK101" i="329"/>
  <c r="BK102" i="329" s="1"/>
  <c r="EM70" i="329"/>
  <c r="BM72" i="329"/>
  <c r="EM72" i="329" s="1"/>
  <c r="BM71" i="329"/>
  <c r="EM71" i="329" s="1"/>
  <c r="BM82" i="329"/>
  <c r="EK84" i="3"/>
  <c r="CC302" i="329"/>
  <c r="BU302" i="329"/>
  <c r="BQ302" i="329"/>
  <c r="BQ307" i="329"/>
  <c r="BU307" i="329"/>
  <c r="CC307" i="329"/>
  <c r="BQ62" i="4"/>
  <c r="BQ64" i="4" s="1"/>
  <c r="BP65" i="4"/>
  <c r="BP41" i="329"/>
  <c r="BP32" i="329" s="1"/>
  <c r="BQ23" i="329"/>
  <c r="AO65" i="4"/>
  <c r="AP62" i="4"/>
  <c r="AP64" i="4" s="1"/>
  <c r="DL98" i="329" l="1"/>
  <c r="DK99" i="329"/>
  <c r="BM83" i="329"/>
  <c r="BM90" i="329"/>
  <c r="EM90" i="329" s="1"/>
  <c r="BO39" i="329"/>
  <c r="BO30" i="329" s="1"/>
  <c r="BP12" i="329"/>
  <c r="BO17" i="329"/>
  <c r="BO48" i="329" s="1"/>
  <c r="BO49" i="329" s="1"/>
  <c r="BO83" i="329" s="1"/>
  <c r="BO90" i="329" s="1"/>
  <c r="AN135" i="2"/>
  <c r="AN389" i="329"/>
  <c r="AN386" i="329"/>
  <c r="AO103" i="329"/>
  <c r="AO98" i="329"/>
  <c r="AO97" i="329"/>
  <c r="AS97" i="329"/>
  <c r="AQ94" i="3"/>
  <c r="AM94" i="3"/>
  <c r="AR99" i="329"/>
  <c r="AN99" i="329"/>
  <c r="AN93" i="3"/>
  <c r="AN91" i="3"/>
  <c r="EG88" i="329"/>
  <c r="EG96" i="329"/>
  <c r="EG89" i="329"/>
  <c r="EG98" i="329" s="1"/>
  <c r="EG99" i="329" s="1"/>
  <c r="EH89" i="329"/>
  <c r="EH98" i="329" s="1"/>
  <c r="EH88" i="329"/>
  <c r="AR104" i="329"/>
  <c r="AN104" i="329"/>
  <c r="EG102" i="329"/>
  <c r="EH102" i="329"/>
  <c r="AO102" i="329"/>
  <c r="AS102" i="329"/>
  <c r="AP98" i="329"/>
  <c r="AP103" i="329"/>
  <c r="AO385" i="329"/>
  <c r="AP380" i="329"/>
  <c r="EH380" i="329" s="1"/>
  <c r="EG378" i="329"/>
  <c r="AO379" i="329"/>
  <c r="AO135" i="2" s="1"/>
  <c r="AP379" i="329"/>
  <c r="AO109" i="3"/>
  <c r="AO388" i="329"/>
  <c r="AO380" i="329"/>
  <c r="EG380" i="329" s="1"/>
  <c r="AM92" i="3"/>
  <c r="AQ92" i="3"/>
  <c r="BJ389" i="329"/>
  <c r="BJ386" i="329"/>
  <c r="BJ135" i="2"/>
  <c r="BJ136" i="2" s="1"/>
  <c r="BL96" i="329"/>
  <c r="BL97" i="329" s="1"/>
  <c r="BL89" i="329"/>
  <c r="BL88" i="329"/>
  <c r="BL378" i="329"/>
  <c r="BL101" i="329"/>
  <c r="BL102" i="329" s="1"/>
  <c r="EM73" i="329"/>
  <c r="EM85" i="329" s="1"/>
  <c r="BK103" i="329"/>
  <c r="BK104" i="329" s="1"/>
  <c r="BK98" i="329"/>
  <c r="BK99" i="329" s="1"/>
  <c r="BN70" i="329"/>
  <c r="EM82" i="329"/>
  <c r="EM371" i="329" s="1"/>
  <c r="BK379" i="329"/>
  <c r="BK385" i="329"/>
  <c r="BK109" i="3"/>
  <c r="BK388" i="329"/>
  <c r="BK380" i="329"/>
  <c r="BM371" i="329"/>
  <c r="BM87" i="329"/>
  <c r="BJ91" i="3"/>
  <c r="BJ92" i="3" s="1"/>
  <c r="BJ93" i="3"/>
  <c r="BJ94" i="3" s="1"/>
  <c r="BJ104" i="329"/>
  <c r="EN23" i="329"/>
  <c r="BQ65" i="4"/>
  <c r="BR62" i="4"/>
  <c r="BR64" i="4" s="1"/>
  <c r="AP65" i="4"/>
  <c r="AQ62" i="4"/>
  <c r="AQ64" i="4" s="1"/>
  <c r="DM98" i="329" l="1"/>
  <c r="DL99" i="329"/>
  <c r="BQ21" i="329"/>
  <c r="BP39" i="329"/>
  <c r="BP30" i="329" s="1"/>
  <c r="BP17" i="329"/>
  <c r="BP48" i="329" s="1"/>
  <c r="AO136" i="2"/>
  <c r="AS136" i="2"/>
  <c r="AP386" i="329"/>
  <c r="AQ135" i="2"/>
  <c r="AP389" i="329"/>
  <c r="EH97" i="329"/>
  <c r="EG97" i="329"/>
  <c r="AO386" i="329"/>
  <c r="AP135" i="2"/>
  <c r="AO389" i="329"/>
  <c r="AT104" i="329"/>
  <c r="AP104" i="329"/>
  <c r="EH103" i="329"/>
  <c r="EG388" i="329"/>
  <c r="EH379" i="329"/>
  <c r="DU109" i="3"/>
  <c r="EG379" i="329"/>
  <c r="EG385" i="329"/>
  <c r="AP99" i="329"/>
  <c r="AT99" i="329"/>
  <c r="EH99" i="329"/>
  <c r="EI99" i="329"/>
  <c r="AN92" i="3"/>
  <c r="AR92" i="3"/>
  <c r="AO99" i="329"/>
  <c r="AS99" i="329"/>
  <c r="AO93" i="3"/>
  <c r="AO91" i="3"/>
  <c r="AN94" i="3"/>
  <c r="AR94" i="3"/>
  <c r="EG103" i="329"/>
  <c r="EG104" i="329" s="1"/>
  <c r="AS104" i="329"/>
  <c r="AO104" i="329"/>
  <c r="AR136" i="2"/>
  <c r="AN136" i="2"/>
  <c r="EM372" i="329"/>
  <c r="EM378" i="329"/>
  <c r="EN372" i="329"/>
  <c r="EM374" i="329"/>
  <c r="EM92" i="329"/>
  <c r="BL98" i="329"/>
  <c r="BL99" i="329" s="1"/>
  <c r="BL103" i="329"/>
  <c r="BL104" i="329" s="1"/>
  <c r="BM378" i="329"/>
  <c r="BM96" i="329"/>
  <c r="BM97" i="329" s="1"/>
  <c r="EM87" i="329"/>
  <c r="BM101" i="329"/>
  <c r="BQ88" i="329"/>
  <c r="BM89" i="329"/>
  <c r="BM88" i="329"/>
  <c r="BK91" i="3"/>
  <c r="BK92" i="3" s="1"/>
  <c r="BK93" i="3"/>
  <c r="BK94" i="3" s="1"/>
  <c r="BN71" i="329"/>
  <c r="BO70" i="329"/>
  <c r="BN72" i="329"/>
  <c r="BN82" i="329"/>
  <c r="BK135" i="2"/>
  <c r="BK136" i="2" s="1"/>
  <c r="BK386" i="329"/>
  <c r="BK389" i="329"/>
  <c r="BQ372" i="329"/>
  <c r="BM372" i="329"/>
  <c r="BL379" i="329"/>
  <c r="BL385" i="329"/>
  <c r="BL109" i="3"/>
  <c r="BL380" i="329"/>
  <c r="BL388" i="329"/>
  <c r="BR65" i="4"/>
  <c r="BS62" i="4"/>
  <c r="BS64" i="4" s="1"/>
  <c r="AQ65" i="4"/>
  <c r="AR62" i="4"/>
  <c r="AR64" i="4" s="1"/>
  <c r="DM99" i="329" l="1"/>
  <c r="DV132" i="3"/>
  <c r="DU132" i="3"/>
  <c r="EN21" i="329"/>
  <c r="EN26" i="329" s="1"/>
  <c r="BQ26" i="329"/>
  <c r="BQ44" i="329"/>
  <c r="BQ49" i="329"/>
  <c r="BP49" i="329"/>
  <c r="BP83" i="329" s="1"/>
  <c r="BP90" i="329" s="1"/>
  <c r="EH389" i="329"/>
  <c r="EI135" i="2"/>
  <c r="EH386" i="329"/>
  <c r="EG386" i="329"/>
  <c r="EG389" i="329"/>
  <c r="EH135" i="2"/>
  <c r="EG135" i="2"/>
  <c r="EG136" i="2" s="1"/>
  <c r="AS92" i="3"/>
  <c r="AO92" i="3"/>
  <c r="EI104" i="329"/>
  <c r="EH104" i="329"/>
  <c r="AT136" i="2"/>
  <c r="AP136" i="2"/>
  <c r="AS94" i="3"/>
  <c r="AO94" i="3"/>
  <c r="DU93" i="3"/>
  <c r="DU91" i="3"/>
  <c r="AQ136" i="2"/>
  <c r="AU136" i="2"/>
  <c r="BN371" i="329"/>
  <c r="BN87" i="329"/>
  <c r="EM105" i="329"/>
  <c r="EM106" i="329" s="1"/>
  <c r="EM93" i="329"/>
  <c r="BN94" i="329"/>
  <c r="EM96" i="329"/>
  <c r="EM97" i="329" s="1"/>
  <c r="BO72" i="329"/>
  <c r="BO71" i="329"/>
  <c r="BP70" i="329"/>
  <c r="BO82" i="329"/>
  <c r="EM88" i="329"/>
  <c r="EN89" i="329"/>
  <c r="EN103" i="329" s="1"/>
  <c r="EM89" i="329"/>
  <c r="EM101" i="329"/>
  <c r="EN88" i="329"/>
  <c r="BL135" i="2"/>
  <c r="BL136" i="2" s="1"/>
  <c r="BL389" i="329"/>
  <c r="BL386" i="329"/>
  <c r="BM98" i="329"/>
  <c r="BM99" i="329" s="1"/>
  <c r="BM103" i="329"/>
  <c r="EA109" i="3"/>
  <c r="EN379" i="329"/>
  <c r="EM388" i="329"/>
  <c r="EN380" i="329"/>
  <c r="EM379" i="329"/>
  <c r="EM380" i="329"/>
  <c r="BM109" i="3"/>
  <c r="BM388" i="329"/>
  <c r="BM385" i="329"/>
  <c r="BM380" i="329"/>
  <c r="BM379" i="329"/>
  <c r="BL93" i="3"/>
  <c r="BL94" i="3" s="1"/>
  <c r="BL91" i="3"/>
  <c r="BL92" i="3" s="1"/>
  <c r="BM102" i="329"/>
  <c r="BQ102" i="329"/>
  <c r="EM382" i="329"/>
  <c r="EM375" i="329"/>
  <c r="EN375" i="329"/>
  <c r="BS65" i="4"/>
  <c r="BT62" i="4"/>
  <c r="BT64" i="4" s="1"/>
  <c r="AR65" i="4"/>
  <c r="AS62" i="4"/>
  <c r="AS64" i="4" s="1"/>
  <c r="BQ35" i="329" l="1"/>
  <c r="EN35" i="329" s="1"/>
  <c r="BQ30" i="329"/>
  <c r="EN30" i="329" s="1"/>
  <c r="EI50" i="329"/>
  <c r="EA50" i="329"/>
  <c r="EE50" i="329"/>
  <c r="BQ29" i="329"/>
  <c r="EN29" i="329" s="1"/>
  <c r="EN44" i="329"/>
  <c r="EN92" i="329" s="1"/>
  <c r="EH50" i="329"/>
  <c r="ED50" i="329"/>
  <c r="BQ31" i="329"/>
  <c r="EN31" i="329" s="1"/>
  <c r="EG50" i="329"/>
  <c r="BQ33" i="329"/>
  <c r="EN33" i="329" s="1"/>
  <c r="BQ92" i="329"/>
  <c r="BQ32" i="329"/>
  <c r="EN32" i="329" s="1"/>
  <c r="EB50" i="329"/>
  <c r="EF50" i="329"/>
  <c r="BQ34" i="329"/>
  <c r="EN34" i="329" s="1"/>
  <c r="EC50" i="329"/>
  <c r="DV92" i="3"/>
  <c r="DU92" i="3"/>
  <c r="EH136" i="2"/>
  <c r="EI136" i="2"/>
  <c r="EJ136" i="2"/>
  <c r="DU94" i="3"/>
  <c r="DV94" i="3"/>
  <c r="EA89" i="4"/>
  <c r="EA85" i="4" s="1"/>
  <c r="EM135" i="2"/>
  <c r="EM136" i="2" s="1"/>
  <c r="EN135" i="2"/>
  <c r="EM389" i="329"/>
  <c r="EB89" i="4"/>
  <c r="EB85" i="4" s="1"/>
  <c r="EO135" i="2"/>
  <c r="EQ135" i="2"/>
  <c r="EN389" i="329"/>
  <c r="EQ104" i="329"/>
  <c r="EO104" i="329"/>
  <c r="BM389" i="329"/>
  <c r="BM135" i="2"/>
  <c r="BM136" i="2" s="1"/>
  <c r="BM386" i="329"/>
  <c r="BM91" i="3"/>
  <c r="BM93" i="3"/>
  <c r="EB72" i="4"/>
  <c r="EB73" i="4" s="1"/>
  <c r="EB68" i="4"/>
  <c r="EB69" i="4" s="1"/>
  <c r="BM104" i="329"/>
  <c r="EN102" i="329"/>
  <c r="EM102" i="329"/>
  <c r="BO371" i="329"/>
  <c r="BO87" i="329"/>
  <c r="BN96" i="329"/>
  <c r="BN101" i="329"/>
  <c r="BN378" i="329"/>
  <c r="BR88" i="329"/>
  <c r="BN89" i="329"/>
  <c r="BN103" i="329" s="1"/>
  <c r="BN88" i="329"/>
  <c r="EA93" i="3"/>
  <c r="EA91" i="3"/>
  <c r="EA112" i="4"/>
  <c r="EM390" i="329"/>
  <c r="EM383" i="329"/>
  <c r="EM137" i="2" s="1"/>
  <c r="EN383" i="329"/>
  <c r="EN137" i="2" s="1"/>
  <c r="EM385" i="329"/>
  <c r="EA68" i="4"/>
  <c r="EA69" i="4" s="1"/>
  <c r="EA72" i="4"/>
  <c r="EA73" i="4" s="1"/>
  <c r="EM103" i="329"/>
  <c r="EM104" i="329" s="1"/>
  <c r="EM98" i="329"/>
  <c r="EM99" i="329" s="1"/>
  <c r="BQ69" i="329"/>
  <c r="BQ71" i="329"/>
  <c r="BP71" i="329"/>
  <c r="BP72" i="329"/>
  <c r="BP82" i="329"/>
  <c r="BN95" i="329"/>
  <c r="BN123" i="329" s="1"/>
  <c r="BN164" i="2"/>
  <c r="BN233" i="2" s="1"/>
  <c r="BN107" i="329"/>
  <c r="BN108" i="329" s="1"/>
  <c r="BR372" i="329"/>
  <c r="BN372" i="329"/>
  <c r="AT62" i="4"/>
  <c r="AT64" i="4" s="1"/>
  <c r="AS65" i="4"/>
  <c r="BT65" i="4"/>
  <c r="BU62" i="4"/>
  <c r="BU64" i="4" s="1"/>
  <c r="ED51" i="329" l="1"/>
  <c r="EN136" i="2"/>
  <c r="EF51" i="329"/>
  <c r="EH51" i="329"/>
  <c r="BN98" i="329"/>
  <c r="BN99" i="329" s="1"/>
  <c r="EG51" i="329"/>
  <c r="EN96" i="329"/>
  <c r="EO93" i="329"/>
  <c r="EQ93" i="329"/>
  <c r="BZ94" i="329"/>
  <c r="EN105" i="329"/>
  <c r="EN93" i="329"/>
  <c r="BR94" i="329"/>
  <c r="EJ51" i="329"/>
  <c r="EI51" i="329"/>
  <c r="BQ96" i="329"/>
  <c r="BU93" i="329"/>
  <c r="BQ94" i="329"/>
  <c r="CC93" i="329"/>
  <c r="BQ93" i="329"/>
  <c r="BQ105" i="329"/>
  <c r="EE51" i="329"/>
  <c r="EN71" i="329"/>
  <c r="EN142" i="2"/>
  <c r="EN391" i="329"/>
  <c r="EN141" i="2"/>
  <c r="EQ384" i="329"/>
  <c r="EN166" i="2"/>
  <c r="EN384" i="329"/>
  <c r="EB108" i="3"/>
  <c r="EB95" i="3" s="1"/>
  <c r="EO384" i="329"/>
  <c r="EN386" i="329"/>
  <c r="EB92" i="3"/>
  <c r="EA92" i="3"/>
  <c r="BO378" i="329"/>
  <c r="BS88" i="329"/>
  <c r="BO88" i="329"/>
  <c r="BO101" i="329"/>
  <c r="BO89" i="329"/>
  <c r="BO96" i="329"/>
  <c r="BQ94" i="3"/>
  <c r="BM94" i="3"/>
  <c r="EM141" i="2"/>
  <c r="EM142" i="2"/>
  <c r="EM166" i="2"/>
  <c r="EM391" i="329"/>
  <c r="EM384" i="329"/>
  <c r="EA108" i="3"/>
  <c r="EA95" i="3" s="1"/>
  <c r="EM386" i="329"/>
  <c r="EB94" i="3"/>
  <c r="EA94" i="3"/>
  <c r="BN380" i="329"/>
  <c r="BN109" i="3"/>
  <c r="BN379" i="329"/>
  <c r="BN388" i="329"/>
  <c r="BN385" i="329"/>
  <c r="BO372" i="329"/>
  <c r="BS372" i="329"/>
  <c r="BM92" i="3"/>
  <c r="BQ92" i="3"/>
  <c r="BR110" i="329"/>
  <c r="BR122" i="329" s="1"/>
  <c r="BP371" i="329"/>
  <c r="BP87" i="329"/>
  <c r="EN69" i="329"/>
  <c r="EN83" i="329" s="1"/>
  <c r="EN90" i="329" s="1"/>
  <c r="BQ83" i="329"/>
  <c r="BQ90" i="329" s="1"/>
  <c r="BN102" i="329"/>
  <c r="BR102" i="329"/>
  <c r="BZ102" i="329"/>
  <c r="EO136" i="2"/>
  <c r="EP136" i="2"/>
  <c r="EQ136" i="2"/>
  <c r="ER136" i="2"/>
  <c r="BN113" i="4"/>
  <c r="EA113" i="4"/>
  <c r="EB113" i="4"/>
  <c r="BZ104" i="329"/>
  <c r="BR104" i="329"/>
  <c r="BN104" i="329"/>
  <c r="BZ97" i="329"/>
  <c r="BN97" i="329"/>
  <c r="BR97" i="329"/>
  <c r="EN104" i="329"/>
  <c r="BV62" i="4"/>
  <c r="BV64" i="4" s="1"/>
  <c r="BU65" i="4"/>
  <c r="AU62" i="4"/>
  <c r="AU64" i="4" s="1"/>
  <c r="AT65" i="4"/>
  <c r="BQ164" i="2" l="1"/>
  <c r="CC95" i="329"/>
  <c r="CC123" i="329" s="1"/>
  <c r="BU95" i="329"/>
  <c r="BU123" i="329" s="1"/>
  <c r="CC120" i="329"/>
  <c r="EN94" i="329"/>
  <c r="BQ107" i="329"/>
  <c r="BQ95" i="329"/>
  <c r="BQ123" i="329" s="1"/>
  <c r="BU120" i="329"/>
  <c r="BU106" i="329"/>
  <c r="CC106" i="329"/>
  <c r="BQ106" i="329"/>
  <c r="EN106" i="329"/>
  <c r="EQ106" i="329"/>
  <c r="EO106" i="329"/>
  <c r="EQ97" i="329"/>
  <c r="EN97" i="329"/>
  <c r="EO97" i="329"/>
  <c r="CC97" i="329"/>
  <c r="BU97" i="329"/>
  <c r="BQ97" i="329"/>
  <c r="BZ120" i="329"/>
  <c r="BZ95" i="329"/>
  <c r="BZ123" i="329" s="1"/>
  <c r="BZ107" i="329"/>
  <c r="CD95" i="329"/>
  <c r="CD123" i="329" s="1"/>
  <c r="BZ164" i="2"/>
  <c r="EQ94" i="329"/>
  <c r="CD120" i="329"/>
  <c r="BZ98" i="329"/>
  <c r="BR120" i="329"/>
  <c r="BV120" i="329"/>
  <c r="BR107" i="329"/>
  <c r="BV95" i="329"/>
  <c r="BV123" i="329" s="1"/>
  <c r="BR164" i="2"/>
  <c r="BR98" i="329"/>
  <c r="BR95" i="329"/>
  <c r="BR123" i="329" s="1"/>
  <c r="EO94" i="329"/>
  <c r="BP372" i="329"/>
  <c r="BT372" i="329"/>
  <c r="BN135" i="2"/>
  <c r="BN136" i="2" s="1"/>
  <c r="BN389" i="329"/>
  <c r="BN386" i="329"/>
  <c r="CA97" i="329"/>
  <c r="BO97" i="329"/>
  <c r="BS97" i="329"/>
  <c r="BO103" i="329"/>
  <c r="BO98" i="329"/>
  <c r="BO379" i="329"/>
  <c r="BO388" i="329"/>
  <c r="BO380" i="329"/>
  <c r="BO385" i="329"/>
  <c r="BO109" i="3"/>
  <c r="BN93" i="3"/>
  <c r="BN91" i="3"/>
  <c r="BP378" i="329"/>
  <c r="BP89" i="329"/>
  <c r="BP96" i="329"/>
  <c r="BT88" i="329"/>
  <c r="BP101" i="329"/>
  <c r="BQ89" i="329"/>
  <c r="BP88" i="329"/>
  <c r="BO102" i="329"/>
  <c r="BS102" i="329"/>
  <c r="CA102" i="329"/>
  <c r="AU65" i="4"/>
  <c r="AV62" i="4"/>
  <c r="AV64" i="4" s="1"/>
  <c r="BV65" i="4"/>
  <c r="BW62" i="4"/>
  <c r="BW64" i="4" s="1"/>
  <c r="BV233" i="2" l="1"/>
  <c r="BR233" i="2"/>
  <c r="BZ233" i="2"/>
  <c r="CD233" i="2"/>
  <c r="EO164" i="2"/>
  <c r="EO107" i="329"/>
  <c r="EP95" i="329"/>
  <c r="EO95" i="329"/>
  <c r="EO123" i="329" s="1"/>
  <c r="EO120" i="329"/>
  <c r="EP120" i="329"/>
  <c r="EO98" i="329"/>
  <c r="BZ99" i="329"/>
  <c r="CD99" i="329"/>
  <c r="BV110" i="329"/>
  <c r="BV108" i="329"/>
  <c r="BR108" i="329"/>
  <c r="CD110" i="329"/>
  <c r="CD108" i="329"/>
  <c r="BZ108" i="329"/>
  <c r="BU110" i="329"/>
  <c r="BQ108" i="329"/>
  <c r="BU108" i="329"/>
  <c r="CC108" i="329"/>
  <c r="BR99" i="329"/>
  <c r="BV99" i="329"/>
  <c r="EQ164" i="2"/>
  <c r="EQ107" i="329"/>
  <c r="EQ98" i="329"/>
  <c r="ER120" i="329"/>
  <c r="EQ95" i="329"/>
  <c r="EQ123" i="329" s="1"/>
  <c r="ER95" i="329"/>
  <c r="EQ120" i="329"/>
  <c r="EN164" i="2"/>
  <c r="EN98" i="329"/>
  <c r="EN99" i="329" s="1"/>
  <c r="EN95" i="329"/>
  <c r="EN123" i="329" s="1"/>
  <c r="EN120" i="329"/>
  <c r="EN107" i="329"/>
  <c r="EN108" i="329" s="1"/>
  <c r="BU233" i="2"/>
  <c r="BQ233" i="2"/>
  <c r="BQ103" i="329"/>
  <c r="BQ98" i="329"/>
  <c r="BP98" i="329"/>
  <c r="BP103" i="329"/>
  <c r="BO91" i="3"/>
  <c r="BO93" i="3"/>
  <c r="BO135" i="2"/>
  <c r="BO389" i="329"/>
  <c r="BO386" i="329"/>
  <c r="CB102" i="329"/>
  <c r="BT102" i="329"/>
  <c r="BP102" i="329"/>
  <c r="BP380" i="329"/>
  <c r="BP388" i="329"/>
  <c r="BQ380" i="329"/>
  <c r="BQ379" i="329"/>
  <c r="BP379" i="329"/>
  <c r="BP109" i="3"/>
  <c r="BP385" i="329"/>
  <c r="BO99" i="329"/>
  <c r="CA99" i="329"/>
  <c r="BS99" i="329"/>
  <c r="BR92" i="3"/>
  <c r="BN92" i="3"/>
  <c r="BO104" i="329"/>
  <c r="CA104" i="329"/>
  <c r="BS104" i="329"/>
  <c r="BP97" i="329"/>
  <c r="CB97" i="329"/>
  <c r="BT97" i="329"/>
  <c r="BN94" i="3"/>
  <c r="BR94" i="3"/>
  <c r="AV65" i="4"/>
  <c r="AW62" i="4"/>
  <c r="AW64" i="4" s="1"/>
  <c r="AW65" i="4" s="1"/>
  <c r="BX62" i="4"/>
  <c r="BX64" i="4" s="1"/>
  <c r="BW65" i="4"/>
  <c r="ER108" i="329" l="1"/>
  <c r="EQ108" i="329"/>
  <c r="EP99" i="329"/>
  <c r="EO99" i="329"/>
  <c r="EP110" i="329"/>
  <c r="EP111" i="329" s="1"/>
  <c r="BV122" i="329"/>
  <c r="EP122" i="329" s="1"/>
  <c r="EP108" i="329"/>
  <c r="EO108" i="329"/>
  <c r="CD122" i="329"/>
  <c r="ER122" i="329" s="1"/>
  <c r="ER110" i="329"/>
  <c r="ER111" i="329" s="1"/>
  <c r="EQ99" i="329"/>
  <c r="ER99" i="329"/>
  <c r="BU122" i="329"/>
  <c r="EO122" i="329" s="1"/>
  <c r="EO110" i="329"/>
  <c r="BP135" i="2"/>
  <c r="BQ135" i="2"/>
  <c r="BP389" i="329"/>
  <c r="BP386" i="329"/>
  <c r="CB104" i="329"/>
  <c r="BT104" i="329"/>
  <c r="BP104" i="329"/>
  <c r="BR135" i="2"/>
  <c r="BQ389" i="329"/>
  <c r="BQ386" i="329"/>
  <c r="BO136" i="2"/>
  <c r="BS136" i="2"/>
  <c r="CB99" i="329"/>
  <c r="BT99" i="329"/>
  <c r="BP99" i="329"/>
  <c r="BS94" i="3"/>
  <c r="BO94" i="3"/>
  <c r="CC99" i="329"/>
  <c r="BU99" i="329"/>
  <c r="BQ99" i="329"/>
  <c r="BP93" i="3"/>
  <c r="BP91" i="3"/>
  <c r="BS92" i="3"/>
  <c r="BO92" i="3"/>
  <c r="BQ104" i="329"/>
  <c r="BU104" i="329"/>
  <c r="CC104" i="329"/>
  <c r="BY62" i="4"/>
  <c r="BY64" i="4" s="1"/>
  <c r="BX65" i="4"/>
  <c r="ER116" i="329" l="1"/>
  <c r="ES118" i="329"/>
  <c r="ER123" i="329"/>
  <c r="ES116" i="329"/>
  <c r="ER117" i="329"/>
  <c r="ER222" i="329"/>
  <c r="ER215" i="329" s="1"/>
  <c r="ET118" i="329"/>
  <c r="ER137" i="329"/>
  <c r="ER140" i="329" s="1"/>
  <c r="ET116" i="329"/>
  <c r="ET117" i="329"/>
  <c r="ER118" i="329"/>
  <c r="ES117" i="329"/>
  <c r="EU118" i="329"/>
  <c r="EP222" i="329"/>
  <c r="EP215" i="329" s="1"/>
  <c r="EP123" i="329"/>
  <c r="EP118" i="329"/>
  <c r="EP116" i="329"/>
  <c r="EP117" i="329"/>
  <c r="EQ117" i="329"/>
  <c r="EP394" i="329"/>
  <c r="EQ118" i="329"/>
  <c r="EP137" i="329"/>
  <c r="EP140" i="329" s="1"/>
  <c r="BP94" i="3"/>
  <c r="BT94" i="3"/>
  <c r="BQ136" i="2"/>
  <c r="BU136" i="2"/>
  <c r="BP92" i="3"/>
  <c r="BT92" i="3"/>
  <c r="BR136" i="2"/>
  <c r="BV136" i="2"/>
  <c r="BP136" i="2"/>
  <c r="BT136" i="2"/>
  <c r="BZ62" i="4"/>
  <c r="BZ64" i="4" s="1"/>
  <c r="BY65" i="4"/>
  <c r="EP104" i="2" l="1"/>
  <c r="EP407" i="329"/>
  <c r="ER142" i="329"/>
  <c r="ET142" i="329"/>
  <c r="ES141" i="329"/>
  <c r="ET143" i="329"/>
  <c r="ER141" i="329"/>
  <c r="ER143" i="329"/>
  <c r="ES142" i="329"/>
  <c r="EU143" i="329"/>
  <c r="ES143" i="329"/>
  <c r="EP142" i="329"/>
  <c r="EQ143" i="329"/>
  <c r="EQ142" i="329"/>
  <c r="EP143" i="329"/>
  <c r="EP141" i="329"/>
  <c r="EQ141" i="329"/>
  <c r="EP223" i="329"/>
  <c r="EP224" i="329"/>
  <c r="EQ223" i="329"/>
  <c r="EP221" i="329"/>
  <c r="EQ224" i="329"/>
  <c r="ER224" i="329"/>
  <c r="ER221" i="329"/>
  <c r="ET224" i="329"/>
  <c r="ES224" i="329"/>
  <c r="ER223" i="329"/>
  <c r="ES223" i="329"/>
  <c r="BZ65" i="4"/>
  <c r="CA62" i="4"/>
  <c r="CA64" i="4" s="1"/>
  <c r="EP243" i="2" l="1"/>
  <c r="EP242" i="2"/>
  <c r="EP408" i="329"/>
  <c r="EP412" i="329"/>
  <c r="EP106" i="2"/>
  <c r="EP122" i="2"/>
  <c r="EP118" i="2"/>
  <c r="CA65" i="4"/>
  <c r="CB62" i="4"/>
  <c r="CB64" i="4" s="1"/>
  <c r="EP120" i="2" l="1"/>
  <c r="EP128" i="2"/>
  <c r="EP127" i="2"/>
  <c r="EP124" i="2"/>
  <c r="CB65" i="4"/>
  <c r="CC62" i="4"/>
  <c r="CC64" i="4" s="1"/>
  <c r="CD62" i="4" l="1"/>
  <c r="CD64" i="4" s="1"/>
  <c r="CC65" i="4"/>
  <c r="CD65" i="4" l="1"/>
  <c r="CE62" i="4"/>
  <c r="CE64" i="4" s="1"/>
  <c r="CF62" i="4" l="1"/>
  <c r="CF64" i="4" s="1"/>
  <c r="CE65" i="4"/>
  <c r="CG62" i="4" l="1"/>
  <c r="CG64" i="4" s="1"/>
  <c r="CF65" i="4"/>
  <c r="CH62" i="4" l="1"/>
  <c r="CH64" i="4" s="1"/>
  <c r="CG65" i="4"/>
  <c r="CH65" i="4" l="1"/>
  <c r="CI62" i="4"/>
  <c r="CI64" i="4" s="1"/>
  <c r="CJ62" i="4" l="1"/>
  <c r="CJ64" i="4" s="1"/>
  <c r="CI65" i="4"/>
  <c r="CK62" i="4" l="1"/>
  <c r="CK64" i="4" s="1"/>
  <c r="CJ65" i="4"/>
  <c r="CL62" i="4" l="1"/>
  <c r="CL64" i="4" s="1"/>
  <c r="CK65" i="4"/>
  <c r="CL65" i="4" l="1"/>
  <c r="CM62" i="4"/>
  <c r="CM64" i="4" s="1"/>
  <c r="CM65" i="4" l="1"/>
  <c r="CN62" i="4"/>
  <c r="CN64" i="4" s="1"/>
  <c r="CO62" i="4" l="1"/>
  <c r="CO64" i="4" s="1"/>
  <c r="CN65" i="4"/>
  <c r="CP62" i="4" l="1"/>
  <c r="CP64" i="4" s="1"/>
  <c r="CO65" i="4"/>
  <c r="CP65" i="4" l="1"/>
  <c r="CQ62" i="4"/>
  <c r="CQ64" i="4" s="1"/>
  <c r="CR62" i="4" l="1"/>
  <c r="CR64" i="4" s="1"/>
  <c r="CQ65" i="4"/>
  <c r="CR65" i="4" l="1"/>
  <c r="CS62" i="4"/>
  <c r="CT64" i="3" l="1"/>
  <c r="CS54" i="4"/>
  <c r="EK54" i="4"/>
  <c r="EX22" i="2"/>
  <c r="DE24" i="2"/>
  <c r="CT54" i="4" l="1"/>
  <c r="DH24" i="2"/>
  <c r="CS35" i="3"/>
  <c r="CS64" i="3"/>
  <c r="EK32" i="3"/>
  <c r="DE85" i="2"/>
  <c r="CS103" i="3"/>
  <c r="EX24" i="2"/>
  <c r="DE25" i="2"/>
  <c r="DI24" i="2" l="1"/>
  <c r="CV103" i="3"/>
  <c r="CV64" i="3"/>
  <c r="DE87" i="2"/>
  <c r="DF24" i="2"/>
  <c r="DE113" i="2"/>
  <c r="DE86" i="2"/>
  <c r="EX25" i="2"/>
  <c r="EK103" i="3"/>
  <c r="EX85" i="2"/>
  <c r="EX99" i="2" s="1"/>
  <c r="DE99" i="2"/>
  <c r="EK35" i="3"/>
  <c r="EK64" i="3"/>
  <c r="CS69" i="3"/>
  <c r="CW103" i="3" l="1"/>
  <c r="EY22" i="2"/>
  <c r="DE101" i="2"/>
  <c r="DE133" i="2"/>
  <c r="CS104" i="3"/>
  <c r="EX27" i="2"/>
  <c r="DE30" i="2"/>
  <c r="EX113" i="2"/>
  <c r="EX86" i="2"/>
  <c r="EX100" i="2" s="1"/>
  <c r="DE100" i="2"/>
  <c r="CT103" i="3"/>
  <c r="EY24" i="2"/>
  <c r="EK69" i="3"/>
  <c r="CX64" i="3" l="1"/>
  <c r="EL32" i="3"/>
  <c r="EL64" i="3" s="1"/>
  <c r="CW64" i="3"/>
  <c r="DE88" i="2"/>
  <c r="DE114" i="2"/>
  <c r="DE37" i="2"/>
  <c r="CS105" i="3"/>
  <c r="EX30" i="2"/>
  <c r="DE34" i="2"/>
  <c r="EK104" i="3"/>
  <c r="EX133" i="2"/>
  <c r="EX87" i="2"/>
  <c r="EL103" i="3"/>
  <c r="DL24" i="2" l="1"/>
  <c r="CZ103" i="3" s="1"/>
  <c r="CY64" i="3"/>
  <c r="DK24" i="2"/>
  <c r="CY103" i="3" s="1"/>
  <c r="CS107" i="4"/>
  <c r="CS116" i="4"/>
  <c r="EX88" i="2"/>
  <c r="EX114" i="2"/>
  <c r="EK105" i="3"/>
  <c r="EX34" i="2"/>
  <c r="EX37" i="2"/>
  <c r="DE115" i="2"/>
  <c r="CS108" i="4"/>
  <c r="DE51" i="2"/>
  <c r="CZ64" i="3" l="1"/>
  <c r="EM53" i="4"/>
  <c r="DJ24" i="2"/>
  <c r="DE54" i="2"/>
  <c r="EK29" i="4"/>
  <c r="CS29" i="4"/>
  <c r="CS94" i="4"/>
  <c r="CS96" i="4"/>
  <c r="EX115" i="2"/>
  <c r="EX51" i="2"/>
  <c r="EX54" i="2" s="1"/>
  <c r="EK108" i="4"/>
  <c r="EL94" i="4" s="1"/>
  <c r="EK107" i="4"/>
  <c r="EK116" i="4"/>
  <c r="EX101" i="2"/>
  <c r="CX103" i="3" l="1"/>
  <c r="EM52" i="4"/>
  <c r="CS42" i="4"/>
  <c r="CS98" i="4" s="1"/>
  <c r="CS124" i="4" s="1"/>
  <c r="CS63" i="4"/>
  <c r="CS64" i="4" s="1"/>
  <c r="EK96" i="4"/>
  <c r="CS42" i="3"/>
  <c r="EK40" i="3"/>
  <c r="EK42" i="3" s="1"/>
  <c r="EK42" i="4"/>
  <c r="EK63" i="4"/>
  <c r="EK64" i="4" s="1"/>
  <c r="DM24" i="2" l="1"/>
  <c r="EZ22" i="2"/>
  <c r="FA24" i="2"/>
  <c r="EM32" i="3"/>
  <c r="EM64" i="3" s="1"/>
  <c r="DA64" i="3"/>
  <c r="CS119" i="4"/>
  <c r="CS78" i="3"/>
  <c r="CS44" i="3"/>
  <c r="CS67" i="3"/>
  <c r="CS66" i="3"/>
  <c r="CS126" i="3"/>
  <c r="CT62" i="4"/>
  <c r="EL62" i="4"/>
  <c r="EK98" i="4"/>
  <c r="EK124" i="4" s="1"/>
  <c r="EK44" i="3"/>
  <c r="EK78" i="3"/>
  <c r="EK119" i="4"/>
  <c r="EK66" i="3"/>
  <c r="EK67" i="3"/>
  <c r="EX134" i="2"/>
  <c r="EK126" i="3"/>
  <c r="CS100" i="4"/>
  <c r="CS99" i="4"/>
  <c r="FB24" i="2" l="1"/>
  <c r="EN64" i="3"/>
  <c r="EN103" i="3"/>
  <c r="DA103" i="3"/>
  <c r="EZ24" i="2"/>
  <c r="EK68" i="3"/>
  <c r="EK99" i="4"/>
  <c r="EK100" i="4"/>
  <c r="CS12" i="3"/>
  <c r="EK7" i="3"/>
  <c r="CS65" i="3"/>
  <c r="CS65" i="4"/>
  <c r="CS68" i="3"/>
  <c r="EO64" i="3" l="1"/>
  <c r="EO103" i="3"/>
  <c r="EM103" i="3"/>
  <c r="FC24" i="2"/>
  <c r="CS77" i="3"/>
  <c r="CS21" i="3"/>
  <c r="CS76" i="3"/>
  <c r="CS74" i="3"/>
  <c r="CS122" i="3" s="1"/>
  <c r="EK12" i="3"/>
  <c r="EK65" i="3"/>
  <c r="EK65" i="4"/>
  <c r="EP64" i="3" l="1"/>
  <c r="EP103" i="3"/>
  <c r="EK77" i="3"/>
  <c r="EK76" i="3"/>
  <c r="EK74" i="3"/>
  <c r="EK122" i="3" s="1"/>
  <c r="EK21" i="3"/>
  <c r="CS123" i="3"/>
  <c r="CS124" i="3"/>
  <c r="CS127" i="3"/>
  <c r="CS71" i="3"/>
  <c r="CS45" i="3"/>
  <c r="CS125" i="3"/>
  <c r="EQ64" i="3" l="1"/>
  <c r="FE24" i="2"/>
  <c r="FD24" i="2"/>
  <c r="EK71" i="3"/>
  <c r="EK45" i="3"/>
  <c r="EK127" i="3"/>
  <c r="EK125" i="3"/>
  <c r="EK124" i="3"/>
  <c r="EK123" i="3"/>
  <c r="EQ103" i="3" l="1"/>
  <c r="ER64" i="3"/>
  <c r="ER103" i="3"/>
  <c r="FF24" i="2" l="1"/>
  <c r="ES64" i="3"/>
  <c r="ES103" i="3" l="1"/>
  <c r="FH24" i="2"/>
  <c r="FG24" i="2"/>
  <c r="ET64" i="3"/>
  <c r="DE243" i="329"/>
  <c r="ET103" i="3" l="1"/>
  <c r="EU64" i="3"/>
  <c r="EU103" i="3"/>
  <c r="DH292" i="329"/>
  <c r="DF242" i="329"/>
  <c r="DF291" i="329"/>
  <c r="DF371" i="329"/>
  <c r="DF292" i="329"/>
  <c r="DE299" i="329"/>
  <c r="DE300" i="329" s="1"/>
  <c r="DE242" i="329"/>
  <c r="DE291" i="329"/>
  <c r="DE304" i="329"/>
  <c r="DE305" i="329" s="1"/>
  <c r="DE292" i="329"/>
  <c r="EX290" i="329"/>
  <c r="DE371" i="329"/>
  <c r="DE372" i="329" l="1"/>
  <c r="DE378" i="329"/>
  <c r="EX371" i="329"/>
  <c r="DF372" i="329"/>
  <c r="DF378" i="329"/>
  <c r="EX291" i="329"/>
  <c r="EX242" i="329"/>
  <c r="EX299" i="329"/>
  <c r="EX300" i="329" s="1"/>
  <c r="EX293" i="329"/>
  <c r="EX243" i="329" s="1"/>
  <c r="EX304" i="329"/>
  <c r="EX305" i="329" s="1"/>
  <c r="EX292" i="329"/>
  <c r="DH242" i="329"/>
  <c r="DH291" i="329"/>
  <c r="DH371" i="329"/>
  <c r="DI290" i="329"/>
  <c r="DE306" i="329"/>
  <c r="DE307" i="329" s="1"/>
  <c r="DE301" i="329"/>
  <c r="DJ290" i="329" l="1"/>
  <c r="DJ292" i="329" s="1"/>
  <c r="DG379" i="329"/>
  <c r="DG389" i="329" s="1"/>
  <c r="DG380" i="329"/>
  <c r="EX306" i="329"/>
  <c r="EX307" i="329" s="1"/>
  <c r="EX301" i="329"/>
  <c r="EX302" i="329" s="1"/>
  <c r="EX372" i="329"/>
  <c r="EX378" i="329"/>
  <c r="DE302" i="329"/>
  <c r="DH372" i="329"/>
  <c r="DH378" i="329"/>
  <c r="DH379" i="329" s="1"/>
  <c r="DI242" i="329"/>
  <c r="DI291" i="329"/>
  <c r="DI371" i="329"/>
  <c r="EY290" i="329"/>
  <c r="DI292" i="329"/>
  <c r="DE380" i="329"/>
  <c r="DE385" i="329"/>
  <c r="DE388" i="329"/>
  <c r="DF379" i="329"/>
  <c r="DE379" i="329"/>
  <c r="DE250" i="2" s="1"/>
  <c r="CS109" i="3"/>
  <c r="DF380" i="329"/>
  <c r="CT109" i="3"/>
  <c r="DJ242" i="329" l="1"/>
  <c r="DK290" i="329"/>
  <c r="DK292" i="329" s="1"/>
  <c r="DJ291" i="329"/>
  <c r="DE386" i="329"/>
  <c r="DE389" i="329"/>
  <c r="DE135" i="2"/>
  <c r="DE136" i="2" s="1"/>
  <c r="DI372" i="329"/>
  <c r="DI378" i="329"/>
  <c r="EY371" i="329"/>
  <c r="CS132" i="3"/>
  <c r="CS91" i="3"/>
  <c r="CS92" i="3" s="1"/>
  <c r="CS93" i="3"/>
  <c r="CS94" i="3" s="1"/>
  <c r="EY242" i="329"/>
  <c r="EY291" i="329"/>
  <c r="EY293" i="329"/>
  <c r="EY243" i="329" s="1"/>
  <c r="EY292" i="329"/>
  <c r="CV109" i="3"/>
  <c r="DH380" i="329"/>
  <c r="EX388" i="329"/>
  <c r="EX385" i="329"/>
  <c r="EX379" i="329"/>
  <c r="EX250" i="2" s="1"/>
  <c r="EX380" i="329"/>
  <c r="EK109" i="3"/>
  <c r="DI379" i="329" l="1"/>
  <c r="DK242" i="329"/>
  <c r="DK291" i="329"/>
  <c r="DL290" i="329"/>
  <c r="DL292" i="329" s="1"/>
  <c r="EK132" i="3"/>
  <c r="EK93" i="3"/>
  <c r="EK94" i="3" s="1"/>
  <c r="EK91" i="3"/>
  <c r="EK92" i="3" s="1"/>
  <c r="EK68" i="4"/>
  <c r="EK69" i="4" s="1"/>
  <c r="EK72" i="4"/>
  <c r="EK73" i="4" s="1"/>
  <c r="EY372" i="329"/>
  <c r="EY378" i="329"/>
  <c r="EX386" i="329"/>
  <c r="EX389" i="329"/>
  <c r="EK89" i="4"/>
  <c r="EX135" i="2"/>
  <c r="EX136" i="2" s="1"/>
  <c r="DF299" i="329"/>
  <c r="DF300" i="329" s="1"/>
  <c r="DF297" i="329"/>
  <c r="DF296" i="329"/>
  <c r="DF244" i="329"/>
  <c r="DI380" i="329"/>
  <c r="CW109" i="3"/>
  <c r="DM290" i="329" l="1"/>
  <c r="DM292" i="329" s="1"/>
  <c r="DL242" i="329"/>
  <c r="DL291" i="329"/>
  <c r="DF298" i="329"/>
  <c r="DF301" i="329"/>
  <c r="EK84" i="4"/>
  <c r="DF245" i="329"/>
  <c r="DF374" i="329"/>
  <c r="EL109" i="3"/>
  <c r="EY379" i="329"/>
  <c r="EL89" i="4" s="1"/>
  <c r="EY380" i="329"/>
  <c r="EZ290" i="329" l="1"/>
  <c r="DM242" i="329"/>
  <c r="DM291" i="329"/>
  <c r="DF302" i="329"/>
  <c r="EK85" i="4"/>
  <c r="EK83" i="4"/>
  <c r="DF308" i="329"/>
  <c r="DF309" i="329" s="1"/>
  <c r="DF324" i="329"/>
  <c r="DF306" i="329"/>
  <c r="DF307" i="329" s="1"/>
  <c r="DF326" i="329"/>
  <c r="DF321" i="329" s="1"/>
  <c r="DF304" i="329"/>
  <c r="DF305" i="329" s="1"/>
  <c r="DF310" i="329"/>
  <c r="DF350" i="329"/>
  <c r="DF338" i="329"/>
  <c r="DF346" i="329"/>
  <c r="DF334" i="329"/>
  <c r="DF342" i="329"/>
  <c r="DF354" i="329"/>
  <c r="EL68" i="4"/>
  <c r="EL72" i="4"/>
  <c r="DF375" i="329"/>
  <c r="DF382" i="329"/>
  <c r="DF311" i="329" l="1"/>
  <c r="DJ313" i="329"/>
  <c r="EZ242" i="329"/>
  <c r="EZ293" i="329"/>
  <c r="EZ243" i="329" s="1"/>
  <c r="EZ291" i="329"/>
  <c r="EZ292" i="329"/>
  <c r="FA290" i="329"/>
  <c r="FA292" i="329" s="1"/>
  <c r="DF165" i="2"/>
  <c r="DF230" i="2"/>
  <c r="DF400" i="329"/>
  <c r="DF402" i="329" s="1"/>
  <c r="DF396" i="329"/>
  <c r="DF148" i="2"/>
  <c r="DF152" i="2" s="1"/>
  <c r="DF355" i="329"/>
  <c r="DF356" i="329" s="1"/>
  <c r="DF330" i="329"/>
  <c r="DF226" i="2"/>
  <c r="DF169" i="2"/>
  <c r="DF385" i="329"/>
  <c r="DF383" i="329"/>
  <c r="CT112" i="4"/>
  <c r="CT113" i="4" s="1"/>
  <c r="FA242" i="329" l="1"/>
  <c r="FA291" i="329"/>
  <c r="FB290" i="329"/>
  <c r="DF234" i="2"/>
  <c r="DF384" i="329"/>
  <c r="DF386" i="329"/>
  <c r="CT108" i="3"/>
  <c r="DF200" i="2"/>
  <c r="DF238" i="2"/>
  <c r="DF176" i="2"/>
  <c r="DF222" i="2"/>
  <c r="FB292" i="329" l="1"/>
  <c r="FB291" i="329"/>
  <c r="FC290" i="329"/>
  <c r="FC292" i="329" s="1"/>
  <c r="FB242" i="329"/>
  <c r="DF217" i="2"/>
  <c r="FC242" i="329" l="1"/>
  <c r="FD290" i="329"/>
  <c r="FD292" i="329" s="1"/>
  <c r="FC291" i="329"/>
  <c r="FE290" i="329" l="1"/>
  <c r="FD242" i="329"/>
  <c r="FD291" i="329"/>
  <c r="FE292" i="329"/>
  <c r="FE242" i="329" l="1"/>
  <c r="FE291" i="329"/>
  <c r="FF290" i="329"/>
  <c r="FF292" i="329" l="1"/>
  <c r="FF242" i="329"/>
  <c r="FG290" i="329"/>
  <c r="FG292" i="329" s="1"/>
  <c r="FF291" i="329"/>
  <c r="FG291" i="329" l="1"/>
  <c r="FH290" i="329"/>
  <c r="FH292" i="329" s="1"/>
  <c r="FG242" i="329"/>
  <c r="FH291" i="329" l="1"/>
  <c r="FH242" i="329"/>
  <c r="EY145" i="329" l="1"/>
  <c r="DC148" i="329"/>
  <c r="DA148" i="329"/>
  <c r="CZ139" i="329"/>
  <c r="DD138" i="329" s="1"/>
  <c r="DD137" i="329" s="1"/>
  <c r="DD111" i="329" s="1"/>
  <c r="CY148" i="329"/>
  <c r="CZ148" i="329"/>
  <c r="CX148" i="329"/>
  <c r="DA139" i="329"/>
  <c r="DE138" i="329" s="1"/>
  <c r="DE137" i="329" s="1"/>
  <c r="DE111" i="329" s="1"/>
  <c r="CX139" i="329"/>
  <c r="DB138" i="329" s="1"/>
  <c r="DB137" i="329" s="1"/>
  <c r="DB111" i="329" s="1"/>
  <c r="DD148" i="329"/>
  <c r="CY139" i="329"/>
  <c r="DC138" i="329" s="1"/>
  <c r="DC137" i="329" s="1"/>
  <c r="DC111" i="329" s="1"/>
  <c r="DE148" i="329"/>
  <c r="DB148" i="329"/>
  <c r="DB139" i="329"/>
  <c r="DF138" i="329" s="1"/>
  <c r="DD139" i="329"/>
  <c r="DH138" i="329" s="1"/>
  <c r="CY176" i="329"/>
  <c r="CY156" i="329" s="1"/>
  <c r="CY157" i="329" s="1"/>
  <c r="CY158" i="329" s="1"/>
  <c r="DC176" i="329"/>
  <c r="DC139" i="329"/>
  <c r="DA125" i="329"/>
  <c r="DE126" i="329" s="1"/>
  <c r="DA176" i="329"/>
  <c r="CX176" i="329"/>
  <c r="CX160" i="329" s="1"/>
  <c r="CX161" i="329" s="1"/>
  <c r="CX162" i="329" s="1"/>
  <c r="CZ125" i="329"/>
  <c r="CZ176" i="329"/>
  <c r="CZ156" i="329" s="1"/>
  <c r="CZ157" i="329" s="1"/>
  <c r="CZ158" i="329" s="1"/>
  <c r="DE139" i="329"/>
  <c r="DI138" i="329" s="1"/>
  <c r="CY125" i="329"/>
  <c r="CY107" i="329" s="1"/>
  <c r="DD176" i="329"/>
  <c r="EX147" i="329"/>
  <c r="DE176" i="329"/>
  <c r="EW147" i="329"/>
  <c r="CX125" i="329"/>
  <c r="DB176" i="329"/>
  <c r="DC125" i="329"/>
  <c r="DC107" i="329" s="1"/>
  <c r="DD125" i="329"/>
  <c r="DD107" i="329" s="1"/>
  <c r="DE107" i="329"/>
  <c r="DB125" i="329"/>
  <c r="DB107" i="329" s="1"/>
  <c r="DE168" i="329" l="1"/>
  <c r="DC152" i="329"/>
  <c r="DG177" i="329"/>
  <c r="DG422" i="329"/>
  <c r="DG429" i="329" s="1"/>
  <c r="DG138" i="329"/>
  <c r="DG137" i="329" s="1"/>
  <c r="DG111" i="329" s="1"/>
  <c r="DF422" i="329"/>
  <c r="DF429" i="329" s="1"/>
  <c r="DF137" i="329"/>
  <c r="EW148" i="329"/>
  <c r="EW407" i="329"/>
  <c r="DE105" i="329"/>
  <c r="DE101" i="329"/>
  <c r="DE123" i="329"/>
  <c r="DE103" i="329"/>
  <c r="DB103" i="329"/>
  <c r="DB101" i="329"/>
  <c r="DB105" i="329"/>
  <c r="DB126" i="329"/>
  <c r="DB123" i="329" s="1"/>
  <c r="EX125" i="329"/>
  <c r="DB177" i="329"/>
  <c r="EX176" i="329"/>
  <c r="DB152" i="329"/>
  <c r="DB160" i="329"/>
  <c r="DB156" i="329"/>
  <c r="DB168" i="329"/>
  <c r="DD103" i="329"/>
  <c r="DD126" i="329"/>
  <c r="DD123" i="329" s="1"/>
  <c r="DD101" i="329"/>
  <c r="DD105" i="329"/>
  <c r="DC108" i="329"/>
  <c r="DC103" i="329"/>
  <c r="DC101" i="329"/>
  <c r="DC105" i="329"/>
  <c r="DC126" i="329"/>
  <c r="DC123" i="329" s="1"/>
  <c r="DB164" i="329"/>
  <c r="CX107" i="329"/>
  <c r="DB108" i="329" s="1"/>
  <c r="CX122" i="329"/>
  <c r="CX101" i="329"/>
  <c r="CX102" i="329" s="1"/>
  <c r="CX105" i="329"/>
  <c r="CX106" i="329" s="1"/>
  <c r="CX103" i="329"/>
  <c r="CX104" i="329" s="1"/>
  <c r="CX126" i="329"/>
  <c r="CX123" i="329" s="1"/>
  <c r="EW125" i="329"/>
  <c r="EW139" i="329"/>
  <c r="EX138" i="329" s="1"/>
  <c r="DE156" i="329"/>
  <c r="DE160" i="329"/>
  <c r="DE177" i="329"/>
  <c r="DE152" i="329"/>
  <c r="DE164" i="329"/>
  <c r="CY108" i="329"/>
  <c r="DC110" i="329"/>
  <c r="EX139" i="329"/>
  <c r="EY138" i="329" s="1"/>
  <c r="EX148" i="329"/>
  <c r="DD168" i="329"/>
  <c r="DD164" i="329"/>
  <c r="DD177" i="329"/>
  <c r="DD152" i="329"/>
  <c r="DD156" i="329"/>
  <c r="CY103" i="329"/>
  <c r="CY104" i="329" s="1"/>
  <c r="CY126" i="329"/>
  <c r="CY123" i="329" s="1"/>
  <c r="CY122" i="329"/>
  <c r="CY105" i="329"/>
  <c r="CY106" i="329" s="1"/>
  <c r="CY101" i="329"/>
  <c r="CY102" i="329" s="1"/>
  <c r="DD160" i="329"/>
  <c r="CZ168" i="329"/>
  <c r="CZ169" i="329" s="1"/>
  <c r="CZ170" i="329" s="1"/>
  <c r="DA177" i="329"/>
  <c r="DA178" i="329" s="1"/>
  <c r="DA160" i="329"/>
  <c r="DA156" i="329"/>
  <c r="DA164" i="329"/>
  <c r="DA168" i="329"/>
  <c r="DE169" i="329" s="1"/>
  <c r="DG104" i="2"/>
  <c r="DA101" i="329"/>
  <c r="DA102" i="329" s="1"/>
  <c r="DA103" i="329"/>
  <c r="DA104" i="329" s="1"/>
  <c r="DA122" i="329"/>
  <c r="DA107" i="329"/>
  <c r="DA105" i="329"/>
  <c r="DA106" i="329" s="1"/>
  <c r="DA126" i="329"/>
  <c r="DA123" i="329" s="1"/>
  <c r="CZ177" i="329"/>
  <c r="CZ178" i="329" s="1"/>
  <c r="CZ164" i="329"/>
  <c r="CZ165" i="329" s="1"/>
  <c r="CZ166" i="329" s="1"/>
  <c r="CZ160" i="329"/>
  <c r="CZ161" i="329" s="1"/>
  <c r="CZ162" i="329" s="1"/>
  <c r="CZ152" i="329"/>
  <c r="CZ153" i="329" s="1"/>
  <c r="CZ154" i="329" s="1"/>
  <c r="CX187" i="329"/>
  <c r="CX177" i="329"/>
  <c r="CX178" i="329" s="1"/>
  <c r="CX156" i="329"/>
  <c r="CX152" i="329"/>
  <c r="EW176" i="329"/>
  <c r="EW177" i="329" s="1"/>
  <c r="EW178" i="329" s="1"/>
  <c r="CX164" i="329"/>
  <c r="CX168" i="329"/>
  <c r="CZ107" i="329"/>
  <c r="DD108" i="329" s="1"/>
  <c r="CZ122" i="329"/>
  <c r="CZ103" i="329"/>
  <c r="CZ104" i="329" s="1"/>
  <c r="CZ126" i="329"/>
  <c r="CZ123" i="329" s="1"/>
  <c r="CZ105" i="329"/>
  <c r="CZ106" i="329" s="1"/>
  <c r="CZ101" i="329"/>
  <c r="CZ102" i="329" s="1"/>
  <c r="DA152" i="329"/>
  <c r="DC156" i="329"/>
  <c r="DC164" i="329"/>
  <c r="DC160" i="329"/>
  <c r="DC177" i="329"/>
  <c r="DC168" i="329"/>
  <c r="CY187" i="329"/>
  <c r="CY164" i="329"/>
  <c r="CY165" i="329" s="1"/>
  <c r="CY166" i="329" s="1"/>
  <c r="CY168" i="329"/>
  <c r="CY169" i="329" s="1"/>
  <c r="CY170" i="329" s="1"/>
  <c r="CY177" i="329"/>
  <c r="CY178" i="329" s="1"/>
  <c r="CY152" i="329"/>
  <c r="CY153" i="329" s="1"/>
  <c r="CY154" i="329" s="1"/>
  <c r="CY160" i="329"/>
  <c r="CY161" i="329" s="1"/>
  <c r="CY162" i="329" s="1"/>
  <c r="DF141" i="329"/>
  <c r="DF143" i="329"/>
  <c r="DF142" i="329"/>
  <c r="DF394" i="329"/>
  <c r="DF222" i="329"/>
  <c r="DC116" i="329"/>
  <c r="DC118" i="329"/>
  <c r="DC117" i="329"/>
  <c r="DE117" i="329"/>
  <c r="DE116" i="329"/>
  <c r="DE118" i="329"/>
  <c r="DB117" i="329"/>
  <c r="DB116" i="329"/>
  <c r="DB118" i="329"/>
  <c r="DD118" i="329"/>
  <c r="DD117" i="329"/>
  <c r="DD116" i="329"/>
  <c r="DD157" i="329" l="1"/>
  <c r="DD158" i="329" s="1"/>
  <c r="DK118" i="329"/>
  <c r="DK116" i="329"/>
  <c r="DK117" i="329"/>
  <c r="DG178" i="329"/>
  <c r="DG118" i="329"/>
  <c r="DG116" i="329"/>
  <c r="DG161" i="329"/>
  <c r="DG110" i="329"/>
  <c r="DG169" i="329"/>
  <c r="DC157" i="329"/>
  <c r="DC158" i="329" s="1"/>
  <c r="DG157" i="329"/>
  <c r="DG165" i="329"/>
  <c r="DG117" i="329"/>
  <c r="DG153" i="329"/>
  <c r="DG122" i="2"/>
  <c r="DG118" i="2"/>
  <c r="DF104" i="2"/>
  <c r="EW408" i="329"/>
  <c r="EW106" i="2"/>
  <c r="DC178" i="329"/>
  <c r="DC172" i="329"/>
  <c r="CZ172" i="329"/>
  <c r="CZ173" i="329" s="1"/>
  <c r="CZ174" i="329" s="1"/>
  <c r="CX172" i="329"/>
  <c r="CX173" i="329" s="1"/>
  <c r="CX174" i="329" s="1"/>
  <c r="DD161" i="329"/>
  <c r="DD162" i="329" s="1"/>
  <c r="DD165" i="329"/>
  <c r="DD166" i="329" s="1"/>
  <c r="DE178" i="329"/>
  <c r="DF221" i="329"/>
  <c r="DF223" i="329"/>
  <c r="DF224" i="329" s="1"/>
  <c r="DA153" i="329"/>
  <c r="DA154" i="329" s="1"/>
  <c r="DC153" i="329"/>
  <c r="DC154" i="329" s="1"/>
  <c r="CX153" i="329"/>
  <c r="CX154" i="329" s="1"/>
  <c r="EW152" i="329"/>
  <c r="DA165" i="329"/>
  <c r="DA166" i="329" s="1"/>
  <c r="DD178" i="329"/>
  <c r="DE153" i="329"/>
  <c r="DE161" i="329"/>
  <c r="EW122" i="329"/>
  <c r="DC104" i="329"/>
  <c r="DD102" i="329"/>
  <c r="DB169" i="329"/>
  <c r="EX168" i="329"/>
  <c r="DB172" i="329"/>
  <c r="EX126" i="329"/>
  <c r="EX101" i="329"/>
  <c r="EX105" i="329"/>
  <c r="EX107" i="329"/>
  <c r="EX103" i="329"/>
  <c r="DB102" i="329"/>
  <c r="DE102" i="329"/>
  <c r="CX169" i="329"/>
  <c r="CX170" i="329" s="1"/>
  <c r="EW168" i="329"/>
  <c r="DA157" i="329"/>
  <c r="DA158" i="329" s="1"/>
  <c r="EW160" i="329"/>
  <c r="DE157" i="329"/>
  <c r="DB110" i="329"/>
  <c r="CX108" i="329"/>
  <c r="DC106" i="329"/>
  <c r="EX156" i="329"/>
  <c r="DB157" i="329"/>
  <c r="EX177" i="329"/>
  <c r="EX178" i="329" s="1"/>
  <c r="DB104" i="329"/>
  <c r="DE104" i="329"/>
  <c r="DE106" i="329"/>
  <c r="CY172" i="329"/>
  <c r="CY173" i="329" s="1"/>
  <c r="CY174" i="329" s="1"/>
  <c r="DC161" i="329"/>
  <c r="DC162" i="329" s="1"/>
  <c r="CX165" i="329"/>
  <c r="CX166" i="329" s="1"/>
  <c r="EW164" i="329"/>
  <c r="DA172" i="329"/>
  <c r="DA161" i="329"/>
  <c r="DA162" i="329" s="1"/>
  <c r="DD169" i="329"/>
  <c r="DD170" i="329" s="1"/>
  <c r="DE172" i="329"/>
  <c r="DB165" i="329"/>
  <c r="EX164" i="329"/>
  <c r="DC102" i="329"/>
  <c r="DD104" i="329"/>
  <c r="DB161" i="329"/>
  <c r="DB162" i="329" s="1"/>
  <c r="EX160" i="329"/>
  <c r="DB178" i="329"/>
  <c r="CX157" i="329"/>
  <c r="CX158" i="329" s="1"/>
  <c r="EW156" i="329"/>
  <c r="DC169" i="329"/>
  <c r="DC170" i="329" s="1"/>
  <c r="DC165" i="329"/>
  <c r="DC166" i="329" s="1"/>
  <c r="DD110" i="329"/>
  <c r="DD122" i="329" s="1"/>
  <c r="CZ108" i="329"/>
  <c r="DE110" i="329"/>
  <c r="DE122" i="329" s="1"/>
  <c r="DA108" i="329"/>
  <c r="DA169" i="329"/>
  <c r="DA170" i="329" s="1"/>
  <c r="DD172" i="329"/>
  <c r="DD153" i="329"/>
  <c r="DD154" i="329" s="1"/>
  <c r="DE165" i="329"/>
  <c r="EW101" i="329"/>
  <c r="EW102" i="329" s="1"/>
  <c r="EW107" i="329"/>
  <c r="EW108" i="329" s="1"/>
  <c r="EW105" i="329"/>
  <c r="EW106" i="329" s="1"/>
  <c r="EW126" i="329"/>
  <c r="EW123" i="329" s="1"/>
  <c r="EW103" i="329"/>
  <c r="DC122" i="329"/>
  <c r="DD106" i="329"/>
  <c r="DB153" i="329"/>
  <c r="EX152" i="329"/>
  <c r="DB106" i="329"/>
  <c r="DE108" i="329"/>
  <c r="DB154" i="329" l="1"/>
  <c r="DF118" i="2"/>
  <c r="DG154" i="329"/>
  <c r="DG166" i="329"/>
  <c r="DG162" i="329"/>
  <c r="DG170" i="329"/>
  <c r="DG173" i="329"/>
  <c r="DG158" i="329"/>
  <c r="DF243" i="2"/>
  <c r="DF242" i="2"/>
  <c r="DF122" i="2"/>
  <c r="EW128" i="2"/>
  <c r="EW120" i="2"/>
  <c r="EW127" i="2"/>
  <c r="EW124" i="2"/>
  <c r="DE166" i="329"/>
  <c r="DD173" i="329"/>
  <c r="DD174" i="329" s="1"/>
  <c r="EX102" i="329"/>
  <c r="DB170" i="329"/>
  <c r="DE162" i="329"/>
  <c r="EX184" i="329"/>
  <c r="EX165" i="329"/>
  <c r="DA173" i="329"/>
  <c r="DA174" i="329" s="1"/>
  <c r="DF126" i="329"/>
  <c r="DF107" i="329"/>
  <c r="DF101" i="329"/>
  <c r="DF102" i="329" s="1"/>
  <c r="DF105" i="329"/>
  <c r="DF106" i="329" s="1"/>
  <c r="DF103" i="329"/>
  <c r="DF104" i="329" s="1"/>
  <c r="EW165" i="329"/>
  <c r="EW166" i="329" s="1"/>
  <c r="EW184" i="329"/>
  <c r="EX219" i="329" s="1"/>
  <c r="DE158" i="329"/>
  <c r="EX106" i="329"/>
  <c r="EX185" i="329"/>
  <c r="EX169" i="329"/>
  <c r="DE154" i="329"/>
  <c r="EW181" i="329"/>
  <c r="EW153" i="329"/>
  <c r="EW154" i="329" s="1"/>
  <c r="EX161" i="329"/>
  <c r="EX183" i="329"/>
  <c r="DE173" i="329"/>
  <c r="EW172" i="329"/>
  <c r="EW185" i="329"/>
  <c r="EX220" i="329" s="1"/>
  <c r="EW169" i="329"/>
  <c r="EW170" i="329" s="1"/>
  <c r="EX181" i="329"/>
  <c r="EX153" i="329"/>
  <c r="EW104" i="329"/>
  <c r="EW157" i="329"/>
  <c r="EW158" i="329" s="1"/>
  <c r="EW182" i="329"/>
  <c r="EX217" i="329" s="1"/>
  <c r="DB166" i="329"/>
  <c r="DB158" i="329"/>
  <c r="EX110" i="329"/>
  <c r="EX111" i="329" s="1"/>
  <c r="DB122" i="329"/>
  <c r="EX122" i="329" s="1"/>
  <c r="EW161" i="329"/>
  <c r="EW162" i="329" s="1"/>
  <c r="EW183" i="329"/>
  <c r="EX218" i="329" s="1"/>
  <c r="EX104" i="329"/>
  <c r="EX182" i="329"/>
  <c r="EX157" i="329"/>
  <c r="DC173" i="329"/>
  <c r="DC174" i="329" s="1"/>
  <c r="EX108" i="329"/>
  <c r="DB173" i="329"/>
  <c r="DB174" i="329" s="1"/>
  <c r="EX172" i="329"/>
  <c r="DE170" i="329"/>
  <c r="DF108" i="329" l="1"/>
  <c r="DJ110" i="329"/>
  <c r="DG174" i="329"/>
  <c r="EX158" i="329"/>
  <c r="EX154" i="329"/>
  <c r="EX162" i="329"/>
  <c r="EX118" i="329"/>
  <c r="EX116" i="329"/>
  <c r="EX117" i="329"/>
  <c r="EX137" i="329"/>
  <c r="EX140" i="329" s="1"/>
  <c r="EX123" i="329"/>
  <c r="EX173" i="329"/>
  <c r="EX186" i="329"/>
  <c r="EX187" i="329" s="1"/>
  <c r="EX216" i="329"/>
  <c r="DF139" i="329"/>
  <c r="DJ138" i="329" s="1"/>
  <c r="DJ140" i="329" s="1"/>
  <c r="DF148" i="329"/>
  <c r="DF176" i="329"/>
  <c r="EX166" i="329"/>
  <c r="EW173" i="329"/>
  <c r="EW174" i="329" s="1"/>
  <c r="EW186" i="329"/>
  <c r="EW187" i="329" s="1"/>
  <c r="CU102" i="3"/>
  <c r="DH225" i="2"/>
  <c r="DH168" i="2"/>
  <c r="DE174" i="329"/>
  <c r="EX170" i="329"/>
  <c r="DH164" i="2"/>
  <c r="DH229" i="2"/>
  <c r="DJ422" i="329" l="1"/>
  <c r="DJ429" i="329" s="1"/>
  <c r="DJ142" i="329"/>
  <c r="DJ143" i="329"/>
  <c r="DJ222" i="329"/>
  <c r="DJ223" i="329" s="1"/>
  <c r="DJ224" i="329" s="1"/>
  <c r="DJ394" i="329"/>
  <c r="DJ104" i="2" s="1"/>
  <c r="DJ141" i="329"/>
  <c r="DH233" i="2"/>
  <c r="DI225" i="2"/>
  <c r="DG135" i="2"/>
  <c r="EX407" i="329"/>
  <c r="DI164" i="2"/>
  <c r="DI229" i="2"/>
  <c r="DI168" i="2"/>
  <c r="DF147" i="2"/>
  <c r="DF404" i="329"/>
  <c r="DF407" i="329" s="1"/>
  <c r="EX143" i="329"/>
  <c r="EX142" i="329"/>
  <c r="EX141" i="329"/>
  <c r="EX222" i="329"/>
  <c r="EX394" i="329"/>
  <c r="DF225" i="2"/>
  <c r="EY155" i="2"/>
  <c r="DF157" i="2"/>
  <c r="DF168" i="2"/>
  <c r="DF177" i="329"/>
  <c r="DF178" i="329" s="1"/>
  <c r="DF152" i="329"/>
  <c r="DF164" i="329"/>
  <c r="DF156" i="329"/>
  <c r="DF168" i="329"/>
  <c r="DF160" i="329"/>
  <c r="EX174" i="329"/>
  <c r="DH237" i="2"/>
  <c r="DF229" i="2"/>
  <c r="DF164" i="2"/>
  <c r="DF162" i="2"/>
  <c r="EY160" i="2"/>
  <c r="DJ243" i="2" l="1"/>
  <c r="DJ242" i="2"/>
  <c r="DJ118" i="2"/>
  <c r="DJ122" i="2"/>
  <c r="DI233" i="2"/>
  <c r="DG136" i="2"/>
  <c r="DF233" i="2"/>
  <c r="DF203" i="2"/>
  <c r="DF421" i="329"/>
  <c r="DI237" i="2"/>
  <c r="EX215" i="329"/>
  <c r="DF172" i="329"/>
  <c r="EY229" i="2"/>
  <c r="EY164" i="2"/>
  <c r="DF157" i="329"/>
  <c r="DF158" i="329" s="1"/>
  <c r="DF231" i="2"/>
  <c r="DF166" i="2"/>
  <c r="DF197" i="2"/>
  <c r="DF16" i="2"/>
  <c r="DF165" i="329"/>
  <c r="DF166" i="329" s="1"/>
  <c r="DG109" i="2"/>
  <c r="DF199" i="2"/>
  <c r="DF237" i="2"/>
  <c r="DF170" i="2"/>
  <c r="EY168" i="2"/>
  <c r="DF149" i="2"/>
  <c r="DF187" i="2" s="1"/>
  <c r="DF390" i="329"/>
  <c r="DF389" i="329"/>
  <c r="DF405" i="329"/>
  <c r="DF411" i="329"/>
  <c r="DF388" i="329"/>
  <c r="DF391" i="329"/>
  <c r="DF7" i="2"/>
  <c r="DF161" i="329"/>
  <c r="DF162" i="329" s="1"/>
  <c r="DF153" i="329"/>
  <c r="DF154" i="329" s="1"/>
  <c r="DF227" i="2"/>
  <c r="EX104" i="2"/>
  <c r="DF151" i="2"/>
  <c r="DF169" i="329"/>
  <c r="DF170" i="329" s="1"/>
  <c r="EY225" i="2"/>
  <c r="EX221" i="329"/>
  <c r="EX224" i="329"/>
  <c r="EX223" i="329"/>
  <c r="DF408" i="329"/>
  <c r="DF106" i="2"/>
  <c r="EY233" i="2" l="1"/>
  <c r="DF235" i="2"/>
  <c r="DF216" i="2"/>
  <c r="DF214" i="2"/>
  <c r="DF412" i="329"/>
  <c r="DF81" i="2"/>
  <c r="DF173" i="329"/>
  <c r="DF174" i="329" s="1"/>
  <c r="DF210" i="2"/>
  <c r="EX118" i="2"/>
  <c r="EX242" i="2"/>
  <c r="EX243" i="2"/>
  <c r="EX122" i="2"/>
  <c r="DF175" i="2"/>
  <c r="DF221" i="2"/>
  <c r="DF153" i="2"/>
  <c r="CT103" i="4"/>
  <c r="DF107" i="2"/>
  <c r="DF85" i="2"/>
  <c r="CT100" i="3"/>
  <c r="EX408" i="329"/>
  <c r="EX106" i="2"/>
  <c r="DG110" i="2"/>
  <c r="EY237" i="2"/>
  <c r="DF124" i="2"/>
  <c r="DF120" i="2"/>
  <c r="DF239" i="2"/>
  <c r="DF201" i="2"/>
  <c r="DF109" i="2"/>
  <c r="CT102" i="3"/>
  <c r="DF137" i="2"/>
  <c r="DF135" i="2"/>
  <c r="DF79" i="2"/>
  <c r="DF94" i="2" l="1"/>
  <c r="DF128" i="2" s="1"/>
  <c r="DF138" i="2"/>
  <c r="DF99" i="2"/>
  <c r="DF136" i="2"/>
  <c r="DF218" i="2"/>
  <c r="DF96" i="2"/>
  <c r="DJ96" i="2"/>
  <c r="CT59" i="3"/>
  <c r="CX59" i="3" s="1"/>
  <c r="CT50" i="3"/>
  <c r="CX50" i="3" s="1"/>
  <c r="CT56" i="3"/>
  <c r="CX56" i="3" s="1"/>
  <c r="CT60" i="3"/>
  <c r="CX60" i="3" s="1"/>
  <c r="CT55" i="3"/>
  <c r="CT57" i="3"/>
  <c r="CX57" i="3" s="1"/>
  <c r="DF177" i="2"/>
  <c r="DF223" i="2"/>
  <c r="DF8" i="2"/>
  <c r="EX127" i="2"/>
  <c r="EX124" i="2"/>
  <c r="EX120" i="2"/>
  <c r="EX128" i="2"/>
  <c r="DF110" i="2"/>
  <c r="CT81" i="3" l="1"/>
  <c r="CX81" i="3"/>
  <c r="CT105" i="4"/>
  <c r="DF80" i="2"/>
  <c r="CT101" i="3"/>
  <c r="DF9" i="2"/>
  <c r="DF95" i="2" l="1"/>
  <c r="CT58" i="3"/>
  <c r="CT52" i="3"/>
  <c r="CT51" i="3"/>
  <c r="CT97" i="3"/>
  <c r="DF108" i="2"/>
  <c r="DF76" i="2"/>
  <c r="DF17" i="2"/>
  <c r="DF158" i="2"/>
  <c r="CT82" i="3" l="1"/>
  <c r="CX51" i="3"/>
  <c r="CX82" i="3" s="1"/>
  <c r="CT83" i="3"/>
  <c r="CX52" i="3"/>
  <c r="CX83" i="3" s="1"/>
  <c r="CT133" i="3"/>
  <c r="CT14" i="3"/>
  <c r="DF111" i="2"/>
  <c r="DF141" i="2"/>
  <c r="DF132" i="2"/>
  <c r="DF83" i="2"/>
  <c r="CT111" i="3"/>
  <c r="CT104" i="4"/>
  <c r="CT106" i="4" s="1"/>
  <c r="DF82" i="2"/>
  <c r="DF25" i="2"/>
  <c r="DF171" i="2"/>
  <c r="DF20" i="2"/>
  <c r="DF91" i="2"/>
  <c r="CT132" i="3"/>
  <c r="CT95" i="3"/>
  <c r="CT96" i="3" s="1"/>
  <c r="CT89" i="3"/>
  <c r="CT87" i="3"/>
  <c r="CT91" i="3"/>
  <c r="CT92" i="3" s="1"/>
  <c r="CT129" i="3"/>
  <c r="CT130" i="3"/>
  <c r="CT30" i="3"/>
  <c r="CT35" i="3" s="1"/>
  <c r="CT84" i="3" l="1"/>
  <c r="CX84" i="3"/>
  <c r="DF97" i="2"/>
  <c r="CT15" i="3"/>
  <c r="CU14" i="3"/>
  <c r="CU15" i="3" s="1"/>
  <c r="DF87" i="2"/>
  <c r="DJ101" i="2" s="1"/>
  <c r="CT88" i="3"/>
  <c r="CT122" i="4"/>
  <c r="CT40" i="4"/>
  <c r="CT123" i="4"/>
  <c r="DF127" i="2"/>
  <c r="DF113" i="2"/>
  <c r="DF86" i="2"/>
  <c r="CT75" i="3"/>
  <c r="CT90" i="3"/>
  <c r="CT93" i="3"/>
  <c r="CT94" i="3" s="1"/>
  <c r="DF112" i="2"/>
  <c r="DF84" i="2"/>
  <c r="CT112" i="3"/>
  <c r="DF98" i="2" l="1"/>
  <c r="DF100" i="2"/>
  <c r="DF101" i="2"/>
  <c r="DF30" i="2"/>
  <c r="CT69" i="3"/>
  <c r="CT104" i="3"/>
  <c r="DF133" i="2"/>
  <c r="DF88" i="2" l="1"/>
  <c r="DF34" i="2"/>
  <c r="CT105" i="3"/>
  <c r="DF37" i="2"/>
  <c r="DF114" i="2"/>
  <c r="CT107" i="4" l="1"/>
  <c r="CT108" i="4"/>
  <c r="DF115" i="2"/>
  <c r="DF51" i="2"/>
  <c r="CT116" i="4"/>
  <c r="CT63" i="4"/>
  <c r="CT64" i="4" s="1"/>
  <c r="CT96" i="4" l="1"/>
  <c r="CT65" i="4"/>
  <c r="CU62" i="4"/>
  <c r="CU64" i="4" s="1"/>
  <c r="CU65" i="4" s="1"/>
  <c r="CT94" i="4"/>
  <c r="DF54" i="2"/>
  <c r="CT42" i="3"/>
  <c r="CT42" i="4"/>
  <c r="CT98" i="4" s="1"/>
  <c r="CT124" i="4" l="1"/>
  <c r="CT99" i="4"/>
  <c r="CT100" i="4"/>
  <c r="CT67" i="3"/>
  <c r="CT78" i="3"/>
  <c r="CT119" i="4"/>
  <c r="CT66" i="3"/>
  <c r="CT44" i="3"/>
  <c r="CT126" i="3"/>
  <c r="CT68" i="3" l="1"/>
  <c r="CT12" i="3"/>
  <c r="CT65" i="3"/>
  <c r="CT77" i="3" l="1"/>
  <c r="CT76" i="3"/>
  <c r="CT21" i="3"/>
  <c r="CT74" i="3"/>
  <c r="CT122" i="3" s="1"/>
  <c r="CT123" i="3" l="1"/>
  <c r="CT124" i="3"/>
  <c r="CT45" i="3"/>
  <c r="CT71" i="3"/>
  <c r="CT127" i="3"/>
  <c r="CT125" i="3"/>
  <c r="DF111" i="329" l="1"/>
  <c r="DF117" i="329" l="1"/>
  <c r="DJ118" i="329"/>
  <c r="DJ116" i="329"/>
  <c r="DJ117" i="329"/>
  <c r="DF123" i="329"/>
  <c r="DF116" i="329"/>
  <c r="DF110" i="329"/>
  <c r="DF118" i="329"/>
  <c r="DF122" i="329" l="1"/>
  <c r="DH46" i="329" l="1"/>
  <c r="DH50" i="329"/>
  <c r="DH51" i="329" s="1"/>
  <c r="DG147" i="2" l="1"/>
  <c r="DG151" i="2" l="1"/>
  <c r="DG203" i="2"/>
  <c r="DG421" i="329"/>
  <c r="DG411" i="329"/>
  <c r="DG197" i="2"/>
  <c r="DG149" i="2"/>
  <c r="DG187" i="2" s="1"/>
  <c r="DG201" i="2"/>
  <c r="DG7" i="2"/>
  <c r="DG199" i="2"/>
  <c r="DG189" i="2"/>
  <c r="DG179" i="2"/>
  <c r="DG212" i="2" l="1"/>
  <c r="DG243" i="2" s="1"/>
  <c r="DK212" i="2"/>
  <c r="DG208" i="2"/>
  <c r="DG242" i="2" s="1"/>
  <c r="DK208" i="2"/>
  <c r="DG216" i="2"/>
  <c r="DG218" i="2"/>
  <c r="DG214" i="2"/>
  <c r="DG210" i="2"/>
  <c r="CU122" i="4"/>
  <c r="CU103" i="4"/>
  <c r="CU100" i="3"/>
  <c r="DG107" i="2"/>
  <c r="DG81" i="2"/>
  <c r="DG80" i="2"/>
  <c r="DG79" i="2"/>
  <c r="DG85" i="2"/>
  <c r="DG221" i="2"/>
  <c r="DG175" i="2"/>
  <c r="DG153" i="2"/>
  <c r="DG408" i="329"/>
  <c r="DG106" i="2"/>
  <c r="DG412" i="329"/>
  <c r="DG99" i="2" l="1"/>
  <c r="DG95" i="2"/>
  <c r="DG94" i="2"/>
  <c r="DG128" i="2" s="1"/>
  <c r="DG96" i="2"/>
  <c r="DK96" i="2"/>
  <c r="CU60" i="3"/>
  <c r="CY60" i="3" s="1"/>
  <c r="CU56" i="3"/>
  <c r="CY56" i="3" s="1"/>
  <c r="CU50" i="3"/>
  <c r="CY50" i="3" s="1"/>
  <c r="CU59" i="3"/>
  <c r="CY59" i="3" s="1"/>
  <c r="CU55" i="3"/>
  <c r="CU57" i="3"/>
  <c r="CY57" i="3" s="1"/>
  <c r="CU88" i="3"/>
  <c r="DG120" i="2"/>
  <c r="DG124" i="2"/>
  <c r="DG223" i="2"/>
  <c r="DG177" i="2"/>
  <c r="DG8" i="2"/>
  <c r="CU101" i="3" s="1"/>
  <c r="CU97" i="3" s="1"/>
  <c r="CU81" i="3" l="1"/>
  <c r="CY81" i="3"/>
  <c r="CU58" i="3"/>
  <c r="CU52" i="3"/>
  <c r="CU51" i="3"/>
  <c r="DG9" i="2"/>
  <c r="CU82" i="3" l="1"/>
  <c r="CY51" i="3"/>
  <c r="CY82" i="3" s="1"/>
  <c r="CU83" i="3"/>
  <c r="CY52" i="3"/>
  <c r="CY83" i="3" s="1"/>
  <c r="DG158" i="2"/>
  <c r="DG108" i="2"/>
  <c r="DG76" i="2"/>
  <c r="DG17" i="2"/>
  <c r="CU133" i="3"/>
  <c r="CY84" i="3" l="1"/>
  <c r="CU84" i="3"/>
  <c r="DG91" i="2"/>
  <c r="DG127" i="2" s="1"/>
  <c r="CU104" i="4"/>
  <c r="CU106" i="4" s="1"/>
  <c r="CU111" i="3"/>
  <c r="CU132" i="3"/>
  <c r="DG171" i="2"/>
  <c r="DG111" i="2"/>
  <c r="DG83" i="2"/>
  <c r="DG20" i="2"/>
  <c r="DG132" i="2"/>
  <c r="DG82" i="2"/>
  <c r="DG25" i="2"/>
  <c r="CU130" i="3"/>
  <c r="CU129" i="3"/>
  <c r="DG97" i="2" l="1"/>
  <c r="CU112" i="3"/>
  <c r="CU69" i="3" s="1"/>
  <c r="DG112" i="2"/>
  <c r="DG84" i="2"/>
  <c r="DG113" i="2"/>
  <c r="DG87" i="2"/>
  <c r="DG86" i="2"/>
  <c r="DG30" i="2"/>
  <c r="DG100" i="2" l="1"/>
  <c r="DG98" i="2"/>
  <c r="DK101" i="2"/>
  <c r="CU105" i="3"/>
  <c r="DG88" i="2"/>
  <c r="DG114" i="2"/>
  <c r="DG37" i="2"/>
  <c r="DG34" i="2"/>
  <c r="DG101" i="2"/>
  <c r="CU116" i="4" l="1"/>
  <c r="CU119" i="4"/>
  <c r="CU107" i="4"/>
  <c r="CU100" i="4" s="1"/>
  <c r="CU108" i="4"/>
  <c r="DG115" i="2"/>
  <c r="DG51" i="2"/>
  <c r="DG54" i="2" l="1"/>
  <c r="CU96" i="4"/>
  <c r="CU94" i="4"/>
  <c r="CU126" i="3" l="1"/>
  <c r="DG139" i="329" l="1"/>
  <c r="DK138" i="329" s="1"/>
  <c r="DK140" i="329" s="1"/>
  <c r="DG125" i="329"/>
  <c r="DG126" i="329" s="1"/>
  <c r="DK422" i="329" l="1"/>
  <c r="DK429" i="329" s="1"/>
  <c r="DK222" i="329"/>
  <c r="DK223" i="329" s="1"/>
  <c r="DK224" i="329" s="1"/>
  <c r="DK394" i="329"/>
  <c r="DK104" i="2" s="1"/>
  <c r="DK141" i="329"/>
  <c r="DK142" i="329"/>
  <c r="DK143" i="329"/>
  <c r="DG105" i="329"/>
  <c r="DG106" i="329" s="1"/>
  <c r="DG101" i="329"/>
  <c r="DG102" i="329" s="1"/>
  <c r="DG107" i="329"/>
  <c r="DG123" i="329"/>
  <c r="DG103" i="329"/>
  <c r="DG104" i="329" s="1"/>
  <c r="DG122" i="329"/>
  <c r="DK118" i="2" l="1"/>
  <c r="DK122" i="2"/>
  <c r="DK243" i="2"/>
  <c r="DK242" i="2"/>
  <c r="DG108" i="329"/>
  <c r="DK110" i="329"/>
  <c r="FB157" i="329" l="1"/>
  <c r="FC157" i="329" l="1"/>
  <c r="FB158" i="329"/>
  <c r="FD157" i="329" l="1"/>
  <c r="FC158" i="329"/>
  <c r="FD158" i="329" l="1"/>
  <c r="FE157" i="329"/>
  <c r="FE158" i="329" l="1"/>
  <c r="FF157" i="329"/>
  <c r="FF158" i="329" l="1"/>
  <c r="FG157" i="329"/>
  <c r="FH157" i="329" l="1"/>
  <c r="FH158" i="329" s="1"/>
  <c r="FG158" i="329"/>
  <c r="DH296" i="329" l="1"/>
  <c r="DG244" i="329"/>
  <c r="DG374" i="329" s="1"/>
  <c r="DG382" i="329" l="1"/>
  <c r="DG375" i="329"/>
  <c r="DH297" i="329"/>
  <c r="DH301" i="329" s="1"/>
  <c r="DH299" i="329"/>
  <c r="DH300" i="329" s="1"/>
  <c r="DH244" i="329"/>
  <c r="DH245" i="329" s="1"/>
  <c r="DG245" i="329"/>
  <c r="DG165" i="2"/>
  <c r="DH302" i="329" l="1"/>
  <c r="DI301" i="329"/>
  <c r="DH298" i="329"/>
  <c r="DG234" i="2"/>
  <c r="DH374" i="329"/>
  <c r="DH382" i="329" s="1"/>
  <c r="CU112" i="4"/>
  <c r="CU113" i="4" s="1"/>
  <c r="DG390" i="329"/>
  <c r="DG383" i="329"/>
  <c r="DG385" i="329"/>
  <c r="DH226" i="2"/>
  <c r="DH157" i="2"/>
  <c r="DH230" i="2"/>
  <c r="DH162" i="2"/>
  <c r="DH16" i="2" s="1"/>
  <c r="DH375" i="329" l="1"/>
  <c r="DJ301" i="329"/>
  <c r="DI302" i="329"/>
  <c r="DH169" i="2"/>
  <c r="DH170" i="2" s="1"/>
  <c r="DH165" i="2"/>
  <c r="DH234" i="2" s="1"/>
  <c r="CU108" i="3"/>
  <c r="CU95" i="3" s="1"/>
  <c r="CU96" i="3" s="1"/>
  <c r="DG384" i="329"/>
  <c r="DG391" i="329"/>
  <c r="DG386" i="329"/>
  <c r="CV112" i="4"/>
  <c r="DH385" i="329"/>
  <c r="DH383" i="329"/>
  <c r="DH227" i="2"/>
  <c r="DH231" i="2"/>
  <c r="DK301" i="329" l="1"/>
  <c r="DJ302" i="329"/>
  <c r="DI244" i="329"/>
  <c r="DI299" i="329"/>
  <c r="DI300" i="329" s="1"/>
  <c r="DI296" i="329"/>
  <c r="EY295" i="329"/>
  <c r="DI297" i="329"/>
  <c r="DI298" i="329" s="1"/>
  <c r="DH238" i="2"/>
  <c r="DH166" i="2"/>
  <c r="DH239" i="2"/>
  <c r="CV102" i="3"/>
  <c r="DH109" i="2"/>
  <c r="DH135" i="2"/>
  <c r="DH137" i="2"/>
  <c r="DH386" i="329"/>
  <c r="CV108" i="3"/>
  <c r="DH384" i="329"/>
  <c r="DG166" i="2"/>
  <c r="DG141" i="2"/>
  <c r="DG137" i="2"/>
  <c r="CV113" i="4"/>
  <c r="EY297" i="329" l="1"/>
  <c r="EY296" i="329"/>
  <c r="EY244" i="329"/>
  <c r="EY299" i="329"/>
  <c r="EY300" i="329" s="1"/>
  <c r="DI245" i="329"/>
  <c r="DI374" i="329"/>
  <c r="DL301" i="329"/>
  <c r="DK302" i="329"/>
  <c r="DJ320" i="329"/>
  <c r="DJ325" i="329" s="1"/>
  <c r="DJ296" i="329"/>
  <c r="DJ297" i="329"/>
  <c r="DJ298" i="329" s="1"/>
  <c r="DJ244" i="329"/>
  <c r="DJ299" i="329"/>
  <c r="DJ300" i="329" s="1"/>
  <c r="DG138" i="2"/>
  <c r="DG235" i="2"/>
  <c r="DH138" i="2"/>
  <c r="DH136" i="2"/>
  <c r="DH235" i="2"/>
  <c r="DI230" i="2"/>
  <c r="DI165" i="2"/>
  <c r="DI162" i="2"/>
  <c r="EY161" i="2"/>
  <c r="EY156" i="2" l="1"/>
  <c r="EY226" i="2" s="1"/>
  <c r="DI157" i="2"/>
  <c r="DI227" i="2" s="1"/>
  <c r="DI169" i="2"/>
  <c r="DI226" i="2"/>
  <c r="DJ245" i="329"/>
  <c r="DM301" i="329"/>
  <c r="DL302" i="329"/>
  <c r="DK297" i="329"/>
  <c r="DK298" i="329" s="1"/>
  <c r="DK299" i="329"/>
  <c r="DK300" i="329" s="1"/>
  <c r="DK296" i="329"/>
  <c r="DK244" i="329"/>
  <c r="EY374" i="329"/>
  <c r="EY245" i="329"/>
  <c r="DJ156" i="2"/>
  <c r="DJ350" i="329"/>
  <c r="DJ324" i="329"/>
  <c r="DJ338" i="329"/>
  <c r="DJ354" i="329"/>
  <c r="DJ161" i="2"/>
  <c r="DJ306" i="329"/>
  <c r="DJ307" i="329" s="1"/>
  <c r="DJ310" i="329"/>
  <c r="DJ311" i="329" s="1"/>
  <c r="DJ308" i="329"/>
  <c r="DJ309" i="329" s="1"/>
  <c r="DJ346" i="329"/>
  <c r="DJ326" i="329"/>
  <c r="DJ398" i="329"/>
  <c r="DJ334" i="329"/>
  <c r="DJ342" i="329"/>
  <c r="DJ304" i="329"/>
  <c r="DJ305" i="329" s="1"/>
  <c r="DI382" i="329"/>
  <c r="DI375" i="329"/>
  <c r="EY301" i="329"/>
  <c r="EY302" i="329" s="1"/>
  <c r="EY298" i="329"/>
  <c r="DI234" i="2"/>
  <c r="DI231" i="2"/>
  <c r="DI16" i="2"/>
  <c r="EY162" i="2"/>
  <c r="EY230" i="2"/>
  <c r="EY165" i="2"/>
  <c r="EY157" i="2" l="1"/>
  <c r="EY227" i="2" s="1"/>
  <c r="DI238" i="2"/>
  <c r="EY169" i="2"/>
  <c r="DI170" i="2"/>
  <c r="DI239" i="2" s="1"/>
  <c r="DJ355" i="329"/>
  <c r="DJ356" i="329" s="1"/>
  <c r="DJ330" i="329"/>
  <c r="DJ226" i="2"/>
  <c r="DJ169" i="2"/>
  <c r="DM302" i="329"/>
  <c r="CW112" i="4"/>
  <c r="CW113" i="4" s="1"/>
  <c r="DI383" i="329"/>
  <c r="DI137" i="2" s="1"/>
  <c r="DI385" i="329"/>
  <c r="DJ148" i="2"/>
  <c r="DJ152" i="2" s="1"/>
  <c r="DJ400" i="329"/>
  <c r="DJ396" i="329"/>
  <c r="DL296" i="329"/>
  <c r="DL297" i="329"/>
  <c r="DL298" i="329" s="1"/>
  <c r="DL244" i="329"/>
  <c r="DL299" i="329"/>
  <c r="DL300" i="329" s="1"/>
  <c r="EY382" i="329"/>
  <c r="EY375" i="329"/>
  <c r="DJ165" i="2"/>
  <c r="DJ234" i="2" s="1"/>
  <c r="DJ230" i="2"/>
  <c r="DK245" i="329"/>
  <c r="EY234" i="2"/>
  <c r="EY231" i="2"/>
  <c r="CW102" i="3"/>
  <c r="DI109" i="2"/>
  <c r="DI135" i="2"/>
  <c r="EY16" i="2"/>
  <c r="EY170" i="2" l="1"/>
  <c r="EY238" i="2"/>
  <c r="DJ200" i="2"/>
  <c r="DJ217" i="2" s="1"/>
  <c r="DJ238" i="2"/>
  <c r="EY385" i="329"/>
  <c r="EY383" i="329"/>
  <c r="EY137" i="2" s="1"/>
  <c r="EL112" i="4"/>
  <c r="DJ222" i="2"/>
  <c r="DJ176" i="2"/>
  <c r="EZ295" i="329"/>
  <c r="DM299" i="329"/>
  <c r="DM300" i="329" s="1"/>
  <c r="DM244" i="329"/>
  <c r="DM296" i="329"/>
  <c r="DM297" i="329"/>
  <c r="DM298" i="329" s="1"/>
  <c r="DL245" i="329"/>
  <c r="CW108" i="3"/>
  <c r="DI386" i="329"/>
  <c r="DI384" i="329"/>
  <c r="DI166" i="2"/>
  <c r="DI235" i="2" s="1"/>
  <c r="DI138" i="2"/>
  <c r="DI136" i="2"/>
  <c r="EL102" i="3"/>
  <c r="EY109" i="2"/>
  <c r="EY135" i="2"/>
  <c r="DH133" i="2"/>
  <c r="CV104" i="3"/>
  <c r="EY239" i="2" l="1"/>
  <c r="DM245" i="329"/>
  <c r="CL113" i="4"/>
  <c r="EL113" i="4"/>
  <c r="EY384" i="329"/>
  <c r="EY386" i="329"/>
  <c r="EY166" i="2"/>
  <c r="EY235" i="2" s="1"/>
  <c r="EL108" i="3"/>
  <c r="EZ297" i="329"/>
  <c r="EZ244" i="329"/>
  <c r="EZ299" i="329"/>
  <c r="EZ300" i="329" s="1"/>
  <c r="EZ296" i="329"/>
  <c r="EY136" i="2"/>
  <c r="EY138" i="2"/>
  <c r="EZ245" i="329" l="1"/>
  <c r="EZ301" i="329"/>
  <c r="EZ298" i="329"/>
  <c r="EZ302" i="329" l="1"/>
  <c r="FA301" i="329"/>
  <c r="DI133" i="2"/>
  <c r="CW104" i="3"/>
  <c r="EY27" i="2"/>
  <c r="FA295" i="329" l="1"/>
  <c r="FA302" i="329"/>
  <c r="FB301" i="329"/>
  <c r="EY133" i="2"/>
  <c r="EL104" i="3"/>
  <c r="FB302" i="329" l="1"/>
  <c r="FC301" i="329"/>
  <c r="FB295" i="329"/>
  <c r="FA299" i="329"/>
  <c r="FA300" i="329" s="1"/>
  <c r="FA297" i="329"/>
  <c r="FA298" i="329" s="1"/>
  <c r="FA244" i="329"/>
  <c r="FA296" i="329"/>
  <c r="CV62" i="4"/>
  <c r="FA245" i="329" l="1"/>
  <c r="FB297" i="329"/>
  <c r="FB298" i="329" s="1"/>
  <c r="FB296" i="329"/>
  <c r="FB244" i="329"/>
  <c r="FB299" i="329"/>
  <c r="FB300" i="329" s="1"/>
  <c r="FC295" i="329"/>
  <c r="FD301" i="329"/>
  <c r="FC302" i="329"/>
  <c r="EN83" i="3"/>
  <c r="FC244" i="329" l="1"/>
  <c r="FC299" i="329"/>
  <c r="FC300" i="329" s="1"/>
  <c r="FC296" i="329"/>
  <c r="FB245" i="329"/>
  <c r="FC297" i="329"/>
  <c r="FC298" i="329" s="1"/>
  <c r="FD295" i="329"/>
  <c r="FD297" i="329" s="1"/>
  <c r="FD298" i="329" s="1"/>
  <c r="FE301" i="329"/>
  <c r="FD302" i="329"/>
  <c r="EP52" i="3"/>
  <c r="EO83" i="3"/>
  <c r="CU122" i="3"/>
  <c r="FE295" i="329" l="1"/>
  <c r="FE302" i="329"/>
  <c r="FF301" i="329"/>
  <c r="FD299" i="329"/>
  <c r="FD300" i="329" s="1"/>
  <c r="FD244" i="329"/>
  <c r="FD296" i="329"/>
  <c r="FC245" i="329"/>
  <c r="EP83" i="3"/>
  <c r="EQ52" i="3"/>
  <c r="CU127" i="3"/>
  <c r="CU125" i="3"/>
  <c r="CU123" i="3"/>
  <c r="CU124" i="3"/>
  <c r="FD245" i="329" l="1"/>
  <c r="FE297" i="329"/>
  <c r="FE298" i="329" s="1"/>
  <c r="FE299" i="329"/>
  <c r="FE300" i="329" s="1"/>
  <c r="FE296" i="329"/>
  <c r="FE244" i="329"/>
  <c r="FG301" i="329"/>
  <c r="FF295" i="329"/>
  <c r="FF302" i="329"/>
  <c r="EQ83" i="3"/>
  <c r="ER52" i="3"/>
  <c r="FF244" i="329" l="1"/>
  <c r="FF296" i="329"/>
  <c r="FF299" i="329"/>
  <c r="FF300" i="329" s="1"/>
  <c r="FG295" i="329"/>
  <c r="FG297" i="329" s="1"/>
  <c r="FH301" i="329"/>
  <c r="FG302" i="329"/>
  <c r="FF297" i="329"/>
  <c r="FF298" i="329" s="1"/>
  <c r="FE245" i="329"/>
  <c r="ER83" i="3"/>
  <c r="ES52" i="3"/>
  <c r="FG298" i="329" l="1"/>
  <c r="FF245" i="329"/>
  <c r="FG296" i="329"/>
  <c r="FG299" i="329"/>
  <c r="FG300" i="329" s="1"/>
  <c r="FG244" i="329"/>
  <c r="FH295" i="329"/>
  <c r="FH297" i="329" s="1"/>
  <c r="FH298" i="329" s="1"/>
  <c r="FH302" i="329"/>
  <c r="ET52" i="3"/>
  <c r="ES83" i="3"/>
  <c r="FH296" i="329" l="1"/>
  <c r="FH299" i="329"/>
  <c r="FH300" i="329" s="1"/>
  <c r="FH244" i="329"/>
  <c r="FG245" i="329"/>
  <c r="ET83" i="3"/>
  <c r="EU52" i="3"/>
  <c r="EU83" i="3" s="1"/>
  <c r="FH245" i="329" l="1"/>
  <c r="DG304" i="329" l="1"/>
  <c r="DG305" i="329" s="1"/>
  <c r="DG310" i="329"/>
  <c r="DG306" i="329"/>
  <c r="DG307" i="329" s="1"/>
  <c r="DG326" i="329"/>
  <c r="DG321" i="329" s="1"/>
  <c r="DG308" i="329"/>
  <c r="DG309" i="329" s="1"/>
  <c r="DG320" i="329"/>
  <c r="DG311" i="329" l="1"/>
  <c r="DK313" i="329"/>
  <c r="DK320" i="329"/>
  <c r="DK325" i="329" l="1"/>
  <c r="DK161" i="2" l="1"/>
  <c r="DK156" i="2"/>
  <c r="DK326" i="329"/>
  <c r="DK306" i="329"/>
  <c r="DK307" i="329" s="1"/>
  <c r="DK342" i="329"/>
  <c r="DK354" i="329"/>
  <c r="DK308" i="329"/>
  <c r="DK309" i="329" s="1"/>
  <c r="DK338" i="329"/>
  <c r="DK398" i="329"/>
  <c r="DK310" i="329"/>
  <c r="DK311" i="329" s="1"/>
  <c r="DK346" i="329"/>
  <c r="DK350" i="329"/>
  <c r="DK324" i="329"/>
  <c r="DK304" i="329"/>
  <c r="DK305" i="329" s="1"/>
  <c r="DK334" i="329"/>
  <c r="DK355" i="329" l="1"/>
  <c r="DK356" i="329" s="1"/>
  <c r="DK330" i="329"/>
  <c r="DK148" i="2"/>
  <c r="DK152" i="2" s="1"/>
  <c r="DK400" i="329"/>
  <c r="DK396" i="329"/>
  <c r="DK165" i="2"/>
  <c r="DK234" i="2" s="1"/>
  <c r="DK230" i="2"/>
  <c r="DK226" i="2"/>
  <c r="DK169" i="2"/>
  <c r="DK200" i="2" l="1"/>
  <c r="DK217" i="2" s="1"/>
  <c r="DK238" i="2"/>
  <c r="DK176" i="2"/>
  <c r="DK222" i="2"/>
  <c r="FA60" i="2" l="1"/>
  <c r="FB60" i="2" s="1"/>
  <c r="FC60" i="2" s="1"/>
  <c r="FD60" i="2" s="1"/>
  <c r="FE60" i="2" s="1"/>
  <c r="FF60" i="2" s="1"/>
  <c r="FG60" i="2" s="1"/>
  <c r="FH60" i="2" s="1"/>
  <c r="CV107" i="3"/>
  <c r="DI58" i="2"/>
  <c r="DH60" i="2"/>
  <c r="CV110" i="4"/>
  <c r="DH64" i="2"/>
  <c r="CV109" i="4" l="1"/>
  <c r="DH49" i="2"/>
  <c r="CV118" i="4"/>
  <c r="DH53" i="2"/>
  <c r="DH58" i="329" l="1"/>
  <c r="DH65" i="329" l="1"/>
  <c r="DI50" i="329" l="1"/>
  <c r="DI51" i="329" s="1"/>
  <c r="DI46" i="329"/>
  <c r="EY50" i="329"/>
  <c r="EY51" i="329" s="1"/>
  <c r="EY45" i="329"/>
  <c r="EY46" i="329" s="1"/>
  <c r="DH137" i="329" l="1"/>
  <c r="DH111" i="329" s="1"/>
  <c r="DH141" i="329"/>
  <c r="DH142" i="329"/>
  <c r="DH143" i="329"/>
  <c r="DH222" i="329"/>
  <c r="DH221" i="329" s="1"/>
  <c r="DH394" i="329"/>
  <c r="DH104" i="2" s="1"/>
  <c r="DH422" i="329"/>
  <c r="DH429" i="329" s="1"/>
  <c r="DH223" i="329" l="1"/>
  <c r="DH224" i="329" s="1"/>
  <c r="DH118" i="329"/>
  <c r="DH116" i="329"/>
  <c r="DL118" i="329"/>
  <c r="DL117" i="329"/>
  <c r="DH110" i="329"/>
  <c r="DH117" i="329"/>
  <c r="DL116" i="329"/>
  <c r="DH118" i="2"/>
  <c r="DH122" i="2"/>
  <c r="DH147" i="2" l="1"/>
  <c r="DH151" i="2" s="1"/>
  <c r="DH179" i="2"/>
  <c r="DL208" i="2" s="1"/>
  <c r="DH189" i="2"/>
  <c r="DH212" i="2" s="1"/>
  <c r="DH243" i="2" s="1"/>
  <c r="DH199" i="2"/>
  <c r="DH216" i="2" s="1"/>
  <c r="DH147" i="329"/>
  <c r="DH139" i="329" s="1"/>
  <c r="DL138" i="329" s="1"/>
  <c r="DL140" i="329" s="1"/>
  <c r="DL212" i="2" l="1"/>
  <c r="DH176" i="329"/>
  <c r="DH152" i="329" s="1"/>
  <c r="DH153" i="329" s="1"/>
  <c r="DH154" i="329" s="1"/>
  <c r="DH221" i="2"/>
  <c r="DH175" i="2"/>
  <c r="DH421" i="329"/>
  <c r="DH203" i="2"/>
  <c r="DH208" i="2"/>
  <c r="DH242" i="2" s="1"/>
  <c r="DH148" i="329"/>
  <c r="DL142" i="329"/>
  <c r="DL141" i="329"/>
  <c r="DL394" i="329"/>
  <c r="DL104" i="2" s="1"/>
  <c r="DL143" i="329"/>
  <c r="DL222" i="329"/>
  <c r="DL223" i="329" s="1"/>
  <c r="DL224" i="329" s="1"/>
  <c r="DL422" i="329"/>
  <c r="DL429" i="329" s="1"/>
  <c r="DH156" i="329"/>
  <c r="DH168" i="329"/>
  <c r="DH164" i="329"/>
  <c r="DH125" i="329"/>
  <c r="DH160" i="329"/>
  <c r="DH177" i="329" l="1"/>
  <c r="DH178" i="329" s="1"/>
  <c r="DH169" i="329"/>
  <c r="DH170" i="329" s="1"/>
  <c r="DL118" i="2"/>
  <c r="DL122" i="2"/>
  <c r="DL242" i="2"/>
  <c r="DL243" i="2"/>
  <c r="DH165" i="329"/>
  <c r="DH166" i="329" s="1"/>
  <c r="DH157" i="329"/>
  <c r="DH158" i="329" s="1"/>
  <c r="DH161" i="329"/>
  <c r="DH162" i="329" s="1"/>
  <c r="DH172" i="329"/>
  <c r="DH126" i="329"/>
  <c r="DH123" i="329" s="1"/>
  <c r="DH101" i="329"/>
  <c r="DH102" i="329" s="1"/>
  <c r="DH105" i="329"/>
  <c r="DH106" i="329" s="1"/>
  <c r="DH122" i="329"/>
  <c r="DH103" i="329"/>
  <c r="DH104" i="329" s="1"/>
  <c r="DH107" i="329"/>
  <c r="DH173" i="329" l="1"/>
  <c r="DH174" i="329" s="1"/>
  <c r="DL110" i="329"/>
  <c r="DH108" i="329"/>
  <c r="DH148" i="2" l="1"/>
  <c r="DH152" i="2" s="1"/>
  <c r="DH183" i="2"/>
  <c r="DH209" i="2" s="1"/>
  <c r="DH245" i="2" s="1"/>
  <c r="DH193" i="2"/>
  <c r="DH213" i="2" s="1"/>
  <c r="DH246" i="2" s="1"/>
  <c r="DH200" i="2"/>
  <c r="DH217" i="2" s="1"/>
  <c r="DH325" i="329"/>
  <c r="DH354" i="329"/>
  <c r="DH396" i="329"/>
  <c r="DH400" i="329"/>
  <c r="DH404" i="329"/>
  <c r="DH405" i="329" s="1"/>
  <c r="DH342" i="329" l="1"/>
  <c r="DH338" i="329"/>
  <c r="DH350" i="329"/>
  <c r="DH334" i="329"/>
  <c r="DH355" i="329"/>
  <c r="DH356" i="329" s="1"/>
  <c r="DH346" i="329"/>
  <c r="DH326" i="329"/>
  <c r="DH321" i="329" s="1"/>
  <c r="DL213" i="2"/>
  <c r="DL246" i="2" s="1"/>
  <c r="DL209" i="2"/>
  <c r="DL245" i="2" s="1"/>
  <c r="DH153" i="2"/>
  <c r="DH176" i="2"/>
  <c r="DH222" i="2"/>
  <c r="DH411" i="329"/>
  <c r="DH407" i="329"/>
  <c r="DH7" i="2"/>
  <c r="DH149" i="2"/>
  <c r="DH187" i="2" s="1"/>
  <c r="DH320" i="329"/>
  <c r="DH201" i="2"/>
  <c r="DH218" i="2" s="1"/>
  <c r="DH197" i="2"/>
  <c r="DH214" i="2" s="1"/>
  <c r="DH330" i="329"/>
  <c r="DH324" i="329"/>
  <c r="DH310" i="329"/>
  <c r="DH308" i="329"/>
  <c r="DH309" i="329" s="1"/>
  <c r="DH306" i="329"/>
  <c r="DH307" i="329" s="1"/>
  <c r="DH304" i="329"/>
  <c r="DH305" i="329" s="1"/>
  <c r="DH391" i="329"/>
  <c r="DH390" i="329"/>
  <c r="DH389" i="329"/>
  <c r="DH388" i="329"/>
  <c r="DH177" i="2" l="1"/>
  <c r="DH8" i="2"/>
  <c r="DH9" i="2" s="1"/>
  <c r="DH223" i="2"/>
  <c r="DH106" i="2"/>
  <c r="DH408" i="329"/>
  <c r="DH210" i="2"/>
  <c r="DL320" i="329"/>
  <c r="DH311" i="329"/>
  <c r="DL313" i="329"/>
  <c r="CV100" i="3"/>
  <c r="CV103" i="4"/>
  <c r="DH85" i="2"/>
  <c r="DH99" i="2" s="1"/>
  <c r="DH107" i="2"/>
  <c r="DH79" i="2"/>
  <c r="DH94" i="2" s="1"/>
  <c r="DH412" i="329"/>
  <c r="CV101" i="3" l="1"/>
  <c r="CV130" i="3" s="1"/>
  <c r="DH128" i="2"/>
  <c r="DH120" i="2"/>
  <c r="DH124" i="2"/>
  <c r="CV57" i="3"/>
  <c r="CZ57" i="3" s="1"/>
  <c r="CV56" i="3"/>
  <c r="CZ56" i="3" s="1"/>
  <c r="CV50" i="3"/>
  <c r="CV60" i="3"/>
  <c r="CZ60" i="3" s="1"/>
  <c r="CV55" i="3"/>
  <c r="CV59" i="3"/>
  <c r="CZ59" i="3" s="1"/>
  <c r="CV129" i="3"/>
  <c r="CV87" i="3"/>
  <c r="CV89" i="3"/>
  <c r="CV91" i="3"/>
  <c r="CV92" i="3" s="1"/>
  <c r="CV95" i="3"/>
  <c r="CV96" i="3" s="1"/>
  <c r="CV132" i="3"/>
  <c r="DL325" i="329"/>
  <c r="CV133" i="3"/>
  <c r="DH17" i="2"/>
  <c r="DH76" i="2"/>
  <c r="DH91" i="2" s="1"/>
  <c r="DH127" i="2" s="1"/>
  <c r="DH108" i="2"/>
  <c r="DH158" i="2"/>
  <c r="CV81" i="3" l="1"/>
  <c r="CZ50" i="3"/>
  <c r="CZ81" i="3" s="1"/>
  <c r="CV97" i="3"/>
  <c r="CV51" i="3"/>
  <c r="CV52" i="3"/>
  <c r="CV58" i="3"/>
  <c r="CV90" i="3"/>
  <c r="CV93" i="3"/>
  <c r="CV94" i="3" s="1"/>
  <c r="CV111" i="3"/>
  <c r="CV104" i="4"/>
  <c r="DH25" i="2"/>
  <c r="DH82" i="2"/>
  <c r="DH97" i="2" s="1"/>
  <c r="DH83" i="2"/>
  <c r="DH141" i="2"/>
  <c r="DH132" i="2"/>
  <c r="DH111" i="2"/>
  <c r="DH171" i="2"/>
  <c r="DL156" i="2"/>
  <c r="DL161" i="2"/>
  <c r="DL334" i="329"/>
  <c r="DL338" i="329"/>
  <c r="DL342" i="329"/>
  <c r="DL398" i="329"/>
  <c r="DL346" i="329"/>
  <c r="DL304" i="329"/>
  <c r="DL305" i="329" s="1"/>
  <c r="DL306" i="329"/>
  <c r="DL307" i="329" s="1"/>
  <c r="DL308" i="329"/>
  <c r="DL309" i="329" s="1"/>
  <c r="DL310" i="329"/>
  <c r="DL311" i="329" s="1"/>
  <c r="DL324" i="329"/>
  <c r="DL326" i="329"/>
  <c r="DL350" i="329"/>
  <c r="DL354" i="329"/>
  <c r="CV88" i="3"/>
  <c r="DG14" i="2"/>
  <c r="DG78" i="2" s="1"/>
  <c r="DG93" i="2" s="1"/>
  <c r="DH14" i="2"/>
  <c r="DH78" i="2" s="1"/>
  <c r="DH93" i="2" s="1"/>
  <c r="DI14" i="2"/>
  <c r="DF14" i="2"/>
  <c r="DF78" i="2" s="1"/>
  <c r="DF93" i="2" s="1"/>
  <c r="CV30" i="3"/>
  <c r="CV35" i="3" s="1"/>
  <c r="EL113" i="3"/>
  <c r="DI13" i="2"/>
  <c r="DF13" i="2"/>
  <c r="DG13" i="2"/>
  <c r="DH13" i="2"/>
  <c r="EY131" i="2"/>
  <c r="EY142" i="2"/>
  <c r="EY143" i="2" s="1"/>
  <c r="CV83" i="3" l="1"/>
  <c r="CV84" i="3" s="1"/>
  <c r="CZ52" i="3"/>
  <c r="CZ83" i="3" s="1"/>
  <c r="CV82" i="3"/>
  <c r="CZ51" i="3"/>
  <c r="CZ82" i="3" s="1"/>
  <c r="CT113" i="3"/>
  <c r="DF15" i="2"/>
  <c r="DF131" i="2"/>
  <c r="DF142" i="2"/>
  <c r="DF143" i="2" s="1"/>
  <c r="DF77" i="2"/>
  <c r="DF92" i="2" s="1"/>
  <c r="CV113" i="3"/>
  <c r="DH77" i="2"/>
  <c r="DH92" i="2" s="1"/>
  <c r="DH131" i="2"/>
  <c r="DH142" i="2"/>
  <c r="DH143" i="2" s="1"/>
  <c r="CW113" i="3"/>
  <c r="DI142" i="2"/>
  <c r="DI143" i="2" s="1"/>
  <c r="DI131" i="2"/>
  <c r="DL165" i="2"/>
  <c r="DL234" i="2" s="1"/>
  <c r="DL230" i="2"/>
  <c r="CV27" i="4"/>
  <c r="CV28" i="4"/>
  <c r="CU113" i="3"/>
  <c r="DG15" i="2"/>
  <c r="DG131" i="2"/>
  <c r="DG142" i="2"/>
  <c r="DG143" i="2" s="1"/>
  <c r="DG77" i="2"/>
  <c r="DG92" i="2" s="1"/>
  <c r="EL115" i="3"/>
  <c r="DL169" i="2"/>
  <c r="DL226" i="2"/>
  <c r="DH30" i="2"/>
  <c r="DH86" i="2"/>
  <c r="DH100" i="2" s="1"/>
  <c r="DH87" i="2"/>
  <c r="DH113" i="2"/>
  <c r="DL330" i="329"/>
  <c r="DL355" i="329"/>
  <c r="DL356" i="329" s="1"/>
  <c r="DL148" i="2"/>
  <c r="DL152" i="2" s="1"/>
  <c r="DL396" i="329"/>
  <c r="DL400" i="329"/>
  <c r="CZ84" i="3" l="1"/>
  <c r="CV105" i="3"/>
  <c r="DH34" i="2"/>
  <c r="DH37" i="2"/>
  <c r="DH88" i="2"/>
  <c r="DH114" i="2"/>
  <c r="DL200" i="2"/>
  <c r="DL217" i="2" s="1"/>
  <c r="DL238" i="2"/>
  <c r="CU115" i="3"/>
  <c r="CU114" i="3"/>
  <c r="DH101" i="2"/>
  <c r="DL101" i="2"/>
  <c r="CV115" i="3"/>
  <c r="CT114" i="3"/>
  <c r="CT115" i="3"/>
  <c r="CV14" i="3"/>
  <c r="CV40" i="4"/>
  <c r="CV122" i="4"/>
  <c r="CV123" i="4"/>
  <c r="CW115" i="3"/>
  <c r="DL176" i="2"/>
  <c r="DL222" i="2"/>
  <c r="CV108" i="4" l="1"/>
  <c r="DH51" i="2"/>
  <c r="DH115" i="2"/>
  <c r="CV116" i="4"/>
  <c r="CV107" i="4"/>
  <c r="DH54" i="2" l="1"/>
  <c r="CV94" i="4"/>
  <c r="CV96" i="4"/>
  <c r="CV12" i="3" l="1"/>
  <c r="CV76" i="3" s="1"/>
  <c r="CV65" i="3"/>
  <c r="CV74" i="3" l="1"/>
  <c r="CV122" i="3" s="1"/>
  <c r="CV123" i="3" s="1"/>
  <c r="CV77" i="3"/>
  <c r="CV15" i="3"/>
  <c r="CV21" i="3"/>
  <c r="CV125" i="3" s="1"/>
  <c r="CV75" i="3"/>
  <c r="CV124" i="3" l="1"/>
  <c r="CV127" i="3"/>
  <c r="CV44" i="3" l="1"/>
  <c r="CV45" i="3" s="1"/>
  <c r="CV66" i="3"/>
  <c r="CV68" i="3" s="1"/>
  <c r="CV67" i="3"/>
  <c r="CV71" i="3"/>
  <c r="CV78" i="3"/>
  <c r="CV126" i="3"/>
  <c r="CV29" i="4" l="1"/>
  <c r="DH11" i="2"/>
  <c r="DH12" i="2"/>
  <c r="CV105" i="4" l="1"/>
  <c r="CV106" i="4" s="1"/>
  <c r="DH19" i="2"/>
  <c r="DH80" i="2"/>
  <c r="DH95" i="2" s="1"/>
  <c r="DH15" i="2"/>
  <c r="DH20" i="2"/>
  <c r="CV42" i="4"/>
  <c r="CV98" i="4" s="1"/>
  <c r="DH81" i="2" l="1"/>
  <c r="DH110" i="2"/>
  <c r="CV99" i="4"/>
  <c r="CV100" i="4"/>
  <c r="CV112" i="3"/>
  <c r="DH112" i="2"/>
  <c r="DH84" i="2"/>
  <c r="DH96" i="2" l="1"/>
  <c r="DL96" i="2"/>
  <c r="DH98" i="2"/>
  <c r="CV69" i="3"/>
  <c r="CV114" i="3"/>
  <c r="CV54" i="4" l="1"/>
  <c r="CV63" i="4" s="1"/>
  <c r="CV64" i="4" s="1"/>
  <c r="CV117" i="4"/>
  <c r="CV119" i="4" s="1"/>
  <c r="CV124" i="4"/>
  <c r="DH69" i="2"/>
  <c r="CW62" i="4" l="1"/>
  <c r="CV65" i="4"/>
  <c r="DH70" i="2"/>
  <c r="DI68" i="2" l="1"/>
  <c r="DI59" i="2"/>
  <c r="EY67" i="2"/>
  <c r="EY68" i="2" s="1"/>
  <c r="EY59" i="2" l="1"/>
  <c r="FA63" i="2" l="1"/>
  <c r="FB63" i="2" s="1"/>
  <c r="FC63" i="2" l="1"/>
  <c r="FD63" i="2" l="1"/>
  <c r="FE63" i="2" l="1"/>
  <c r="FF63" i="2" l="1"/>
  <c r="FG63" i="2" l="1"/>
  <c r="FH63" i="2" l="1"/>
  <c r="CW107" i="3" l="1"/>
  <c r="DJ58" i="2"/>
  <c r="EY62" i="2"/>
  <c r="EL110" i="4" s="1"/>
  <c r="CW110" i="4"/>
  <c r="DI60" i="2"/>
  <c r="EY60" i="2" s="1"/>
  <c r="EL107" i="3" l="1"/>
  <c r="CW118" i="4"/>
  <c r="EL118" i="4" l="1"/>
  <c r="CW109" i="4" l="1"/>
  <c r="DI49" i="2"/>
  <c r="DI53" i="2"/>
  <c r="DI63" i="2"/>
  <c r="EY63" i="2" s="1"/>
  <c r="EY64" i="2" s="1"/>
  <c r="DI64" i="2" l="1"/>
  <c r="EL109" i="4"/>
  <c r="EY59" i="329" l="1"/>
  <c r="EY58" i="329" s="1"/>
  <c r="DI58" i="329"/>
  <c r="DJ58" i="329" s="1"/>
  <c r="DJ59" i="329" l="1"/>
  <c r="DK58" i="329"/>
  <c r="DK59" i="329" l="1"/>
  <c r="DL58" i="329"/>
  <c r="DL59" i="329" l="1"/>
  <c r="DM58" i="329"/>
  <c r="DM59" i="329" s="1"/>
  <c r="EZ59" i="329" l="1"/>
  <c r="EZ58" i="329" s="1"/>
  <c r="FA58" i="329" s="1"/>
  <c r="FA59" i="329" l="1"/>
  <c r="FB58" i="329"/>
  <c r="FB59" i="329" l="1"/>
  <c r="FC58" i="329"/>
  <c r="FC59" i="329" l="1"/>
  <c r="FD58" i="329"/>
  <c r="FD59" i="329" l="1"/>
  <c r="FE58" i="329"/>
  <c r="FE59" i="329" l="1"/>
  <c r="FF58" i="329"/>
  <c r="FG58" i="329" l="1"/>
  <c r="FF59" i="329"/>
  <c r="FG59" i="329" l="1"/>
  <c r="FH58" i="329"/>
  <c r="FH59" i="329" s="1"/>
  <c r="EY66" i="329"/>
  <c r="EY65" i="329" s="1"/>
  <c r="DI65" i="329"/>
  <c r="DJ65" i="329" s="1"/>
  <c r="DJ66" i="329" l="1"/>
  <c r="DK65" i="329"/>
  <c r="DK66" i="329" l="1"/>
  <c r="DL65" i="329"/>
  <c r="DL66" i="329" l="1"/>
  <c r="DM65" i="329"/>
  <c r="DM66" i="329" s="1"/>
  <c r="EZ66" i="329" l="1"/>
  <c r="EZ65" i="329" s="1"/>
  <c r="FA65" i="329" s="1"/>
  <c r="FB65" i="329" l="1"/>
  <c r="FA66" i="329"/>
  <c r="FB66" i="329" l="1"/>
  <c r="FC65" i="329"/>
  <c r="FC66" i="329" l="1"/>
  <c r="FD65" i="329"/>
  <c r="FE65" i="329" l="1"/>
  <c r="FD66" i="329"/>
  <c r="FE66" i="329" l="1"/>
  <c r="FF65" i="329"/>
  <c r="FF66" i="329" l="1"/>
  <c r="FG65" i="329"/>
  <c r="FG66" i="329" l="1"/>
  <c r="FH65" i="329"/>
  <c r="FH66" i="329" s="1"/>
  <c r="DI141" i="329" l="1"/>
  <c r="DI143" i="329"/>
  <c r="DI142" i="329"/>
  <c r="DI394" i="329"/>
  <c r="DI222" i="329"/>
  <c r="DI422" i="329"/>
  <c r="DI429" i="329" s="1"/>
  <c r="DI137" i="329"/>
  <c r="DI111" i="329"/>
  <c r="DI110" i="329" s="1"/>
  <c r="DI223" i="329" l="1"/>
  <c r="DI224" i="329" s="1"/>
  <c r="DI104" i="2"/>
  <c r="EY110" i="329"/>
  <c r="EY111" i="329" s="1"/>
  <c r="DI118" i="329"/>
  <c r="DM117" i="329"/>
  <c r="DM118" i="329"/>
  <c r="DI116" i="329"/>
  <c r="DI117" i="329"/>
  <c r="DM116" i="329"/>
  <c r="DI221" i="329"/>
  <c r="DI122" i="2"/>
  <c r="DI118" i="2"/>
  <c r="EY116" i="329" l="1"/>
  <c r="EY117" i="329"/>
  <c r="EY118" i="329"/>
  <c r="EY137" i="329"/>
  <c r="EY142" i="329" l="1"/>
  <c r="EY141" i="329"/>
  <c r="EY143" i="329"/>
  <c r="EY222" i="329"/>
  <c r="EY215" i="329" s="1"/>
  <c r="EY394" i="329"/>
  <c r="EY104" i="2" s="1"/>
  <c r="EY223" i="329" l="1"/>
  <c r="EY224" i="329"/>
  <c r="EY122" i="2"/>
  <c r="EY118" i="2"/>
  <c r="DI199" i="2"/>
  <c r="DI216" i="2" s="1"/>
  <c r="DI179" i="2"/>
  <c r="DM208" i="2" s="1"/>
  <c r="DI189" i="2"/>
  <c r="DI212" i="2" s="1"/>
  <c r="DI243" i="2" s="1"/>
  <c r="DI147" i="2"/>
  <c r="DI151" i="2" s="1"/>
  <c r="DI147" i="329"/>
  <c r="EY393" i="329"/>
  <c r="DM212" i="2" l="1"/>
  <c r="DI221" i="2"/>
  <c r="DI175" i="2"/>
  <c r="EY151" i="2"/>
  <c r="EY199" i="2"/>
  <c r="EY216" i="2" s="1"/>
  <c r="EY189" i="2"/>
  <c r="EY212" i="2" s="1"/>
  <c r="EY243" i="2" s="1"/>
  <c r="EY147" i="2"/>
  <c r="EY203" i="2" s="1"/>
  <c r="EY179" i="2"/>
  <c r="EY208" i="2" s="1"/>
  <c r="EY242" i="2" s="1"/>
  <c r="DI421" i="329"/>
  <c r="DI203" i="2"/>
  <c r="DI148" i="329"/>
  <c r="DI139" i="329"/>
  <c r="DM138" i="329" s="1"/>
  <c r="DM140" i="329" s="1"/>
  <c r="EY147" i="329"/>
  <c r="DI125" i="329"/>
  <c r="DI176" i="329"/>
  <c r="DI208" i="2"/>
  <c r="DI242" i="2" s="1"/>
  <c r="EY175" i="2" l="1"/>
  <c r="EY221" i="2"/>
  <c r="DM143" i="329"/>
  <c r="DM142" i="329"/>
  <c r="DM141" i="329"/>
  <c r="DM394" i="329"/>
  <c r="DM104" i="2" s="1"/>
  <c r="DM422" i="329"/>
  <c r="DM429" i="329" s="1"/>
  <c r="DM222" i="329"/>
  <c r="DM223" i="329" s="1"/>
  <c r="DM224" i="329" s="1"/>
  <c r="EY148" i="329"/>
  <c r="EY139" i="329"/>
  <c r="EZ138" i="329" s="1"/>
  <c r="DI152" i="329"/>
  <c r="DI168" i="329"/>
  <c r="DI160" i="329"/>
  <c r="DI177" i="329"/>
  <c r="DI178" i="329" s="1"/>
  <c r="EY176" i="329"/>
  <c r="EY177" i="329" s="1"/>
  <c r="EY178" i="329" s="1"/>
  <c r="DI156" i="329"/>
  <c r="DI164" i="329"/>
  <c r="DI122" i="329"/>
  <c r="EY122" i="329" s="1"/>
  <c r="DI101" i="329"/>
  <c r="DI102" i="329" s="1"/>
  <c r="DI103" i="329"/>
  <c r="DI104" i="329" s="1"/>
  <c r="DI105" i="329"/>
  <c r="DI106" i="329" s="1"/>
  <c r="DI126" i="329"/>
  <c r="DI123" i="329" s="1"/>
  <c r="EY125" i="329"/>
  <c r="DI107" i="329"/>
  <c r="DI165" i="329" l="1"/>
  <c r="DI166" i="329" s="1"/>
  <c r="EY164" i="329"/>
  <c r="DI161" i="329"/>
  <c r="DI162" i="329" s="1"/>
  <c r="EY160" i="329"/>
  <c r="DM118" i="2"/>
  <c r="DM122" i="2"/>
  <c r="DM243" i="2"/>
  <c r="DM242" i="2"/>
  <c r="DI108" i="329"/>
  <c r="DM110" i="329"/>
  <c r="EY156" i="329"/>
  <c r="DI157" i="329"/>
  <c r="DI158" i="329" s="1"/>
  <c r="DI169" i="329"/>
  <c r="DI170" i="329" s="1"/>
  <c r="EY168" i="329"/>
  <c r="EY126" i="329"/>
  <c r="EY123" i="329" s="1"/>
  <c r="EY107" i="329"/>
  <c r="EY108" i="329" s="1"/>
  <c r="EY105" i="329"/>
  <c r="EY106" i="329" s="1"/>
  <c r="EY101" i="329"/>
  <c r="EY102" i="329" s="1"/>
  <c r="EY103" i="329"/>
  <c r="DI153" i="329"/>
  <c r="DI154" i="329" s="1"/>
  <c r="EY152" i="329"/>
  <c r="DI172" i="329"/>
  <c r="EY184" i="329" l="1"/>
  <c r="EY165" i="329"/>
  <c r="EY166" i="329" s="1"/>
  <c r="EZ110" i="329"/>
  <c r="EZ111" i="329" s="1"/>
  <c r="EY183" i="329"/>
  <c r="EY161" i="329"/>
  <c r="EY162" i="329" s="1"/>
  <c r="EY181" i="329"/>
  <c r="EY153" i="329"/>
  <c r="EY154" i="329" s="1"/>
  <c r="EY104" i="329"/>
  <c r="DI173" i="329"/>
  <c r="DI174" i="329" s="1"/>
  <c r="EY172" i="329"/>
  <c r="EY173" i="329" s="1"/>
  <c r="EY185" i="329"/>
  <c r="EY169" i="329"/>
  <c r="EY170" i="329" s="1"/>
  <c r="EY182" i="329"/>
  <c r="EY157" i="329"/>
  <c r="EY158" i="329" s="1"/>
  <c r="EY186" i="329" l="1"/>
  <c r="EY187" i="329" s="1"/>
  <c r="EY174" i="329"/>
  <c r="EY191" i="329"/>
  <c r="EY193" i="329"/>
  <c r="EY192" i="329"/>
  <c r="EY216" i="329"/>
  <c r="EY202" i="329"/>
  <c r="EY218" i="329"/>
  <c r="EY201" i="329"/>
  <c r="EY203" i="329"/>
  <c r="FA116" i="329"/>
  <c r="FA117" i="329"/>
  <c r="FA118" i="329"/>
  <c r="EZ118" i="329"/>
  <c r="FB117" i="329"/>
  <c r="EZ117" i="329"/>
  <c r="FB118" i="329"/>
  <c r="FC118" i="329"/>
  <c r="EZ116" i="329"/>
  <c r="EZ137" i="329"/>
  <c r="EZ140" i="329" s="1"/>
  <c r="EY198" i="329"/>
  <c r="EY196" i="329"/>
  <c r="EY217" i="329"/>
  <c r="EY197" i="329"/>
  <c r="EY220" i="329"/>
  <c r="EY213" i="329"/>
  <c r="EY212" i="329"/>
  <c r="EY211" i="329"/>
  <c r="EY206" i="329"/>
  <c r="EY219" i="329"/>
  <c r="EY207" i="329"/>
  <c r="EY208" i="329"/>
  <c r="EZ141" i="329" l="1"/>
  <c r="EZ143" i="329"/>
  <c r="EZ142" i="329"/>
  <c r="EZ222" i="329"/>
  <c r="EZ394" i="329"/>
  <c r="EZ104" i="2" s="1"/>
  <c r="EY221" i="329"/>
  <c r="EZ122" i="2" l="1"/>
  <c r="EZ118" i="2"/>
  <c r="EZ223" i="329"/>
  <c r="EZ224" i="329"/>
  <c r="DI396" i="329" l="1"/>
  <c r="DI400" i="329"/>
  <c r="DI402" i="329" s="1"/>
  <c r="DI193" i="2"/>
  <c r="DI213" i="2" s="1"/>
  <c r="DI246" i="2" s="1"/>
  <c r="DI200" i="2"/>
  <c r="DI217" i="2" s="1"/>
  <c r="DI183" i="2"/>
  <c r="DM209" i="2" s="1"/>
  <c r="DM245" i="2" s="1"/>
  <c r="DI148" i="2"/>
  <c r="DI152" i="2" s="1"/>
  <c r="DI404" i="329"/>
  <c r="EY398" i="329"/>
  <c r="EY404" i="329" s="1"/>
  <c r="DI325" i="329"/>
  <c r="EY325" i="329" s="1"/>
  <c r="DI153" i="2" l="1"/>
  <c r="EY153" i="2" s="1"/>
  <c r="DM213" i="2"/>
  <c r="DM246" i="2" s="1"/>
  <c r="EY405" i="329"/>
  <c r="EY411" i="329"/>
  <c r="EY390" i="329"/>
  <c r="EY388" i="329"/>
  <c r="EY391" i="329"/>
  <c r="EY389" i="329"/>
  <c r="EY149" i="2"/>
  <c r="EY201" i="2"/>
  <c r="EY218" i="2" s="1"/>
  <c r="EY197" i="2"/>
  <c r="EY214" i="2" s="1"/>
  <c r="EY187" i="2"/>
  <c r="EY210" i="2" s="1"/>
  <c r="EL87" i="4"/>
  <c r="EL77" i="4" s="1"/>
  <c r="EY306" i="329"/>
  <c r="EY307" i="329" s="1"/>
  <c r="EY324" i="329"/>
  <c r="EY326" i="329"/>
  <c r="EY321" i="329" s="1"/>
  <c r="EY304" i="329"/>
  <c r="EY305" i="329" s="1"/>
  <c r="EY310" i="329"/>
  <c r="EY311" i="329" s="1"/>
  <c r="EY308" i="329"/>
  <c r="EY309" i="329" s="1"/>
  <c r="DI85" i="2"/>
  <c r="DI99" i="2" s="1"/>
  <c r="CW103" i="4"/>
  <c r="DI78" i="2"/>
  <c r="DI93" i="2" s="1"/>
  <c r="DI77" i="2"/>
  <c r="DI92" i="2" s="1"/>
  <c r="DI107" i="2"/>
  <c r="DI79" i="2"/>
  <c r="DI94" i="2" s="1"/>
  <c r="CW100" i="3"/>
  <c r="DI324" i="329"/>
  <c r="DI306" i="329"/>
  <c r="DI307" i="329" s="1"/>
  <c r="DI326" i="329"/>
  <c r="DI308" i="329"/>
  <c r="DI309" i="329" s="1"/>
  <c r="DI350" i="329"/>
  <c r="EY350" i="329" s="1"/>
  <c r="DI346" i="329"/>
  <c r="EY346" i="329" s="1"/>
  <c r="DI354" i="329"/>
  <c r="DI304" i="329"/>
  <c r="DI305" i="329" s="1"/>
  <c r="DI338" i="329"/>
  <c r="EY338" i="329" s="1"/>
  <c r="DI320" i="329"/>
  <c r="EY320" i="329" s="1"/>
  <c r="DI334" i="329"/>
  <c r="EY334" i="329" s="1"/>
  <c r="DI342" i="329"/>
  <c r="EY342" i="329" s="1"/>
  <c r="EY343" i="329" s="1"/>
  <c r="EY344" i="329" s="1"/>
  <c r="DI176" i="2"/>
  <c r="EY152" i="2"/>
  <c r="DI222" i="2"/>
  <c r="EY396" i="329"/>
  <c r="EY148" i="2"/>
  <c r="EY200" i="2"/>
  <c r="EY217" i="2" s="1"/>
  <c r="EY183" i="2"/>
  <c r="EY209" i="2" s="1"/>
  <c r="EY245" i="2" s="1"/>
  <c r="EY193" i="2"/>
  <c r="EY213" i="2" s="1"/>
  <c r="EY246" i="2" s="1"/>
  <c r="DI411" i="329"/>
  <c r="DI412" i="329"/>
  <c r="DI390" i="329"/>
  <c r="DI391" i="329"/>
  <c r="DI389" i="329"/>
  <c r="DI388" i="329"/>
  <c r="DI405" i="329"/>
  <c r="DI201" i="2"/>
  <c r="DI218" i="2" s="1"/>
  <c r="DI197" i="2"/>
  <c r="DI214" i="2" s="1"/>
  <c r="DI407" i="329"/>
  <c r="DI149" i="2"/>
  <c r="DI187" i="2" s="1"/>
  <c r="DI310" i="329"/>
  <c r="DI209" i="2"/>
  <c r="DI245" i="2" s="1"/>
  <c r="DI177" i="2" l="1"/>
  <c r="DI223" i="2"/>
  <c r="DI8" i="2"/>
  <c r="DI9" i="2" s="1"/>
  <c r="DI17" i="2" s="1"/>
  <c r="CW60" i="3"/>
  <c r="CW56" i="3"/>
  <c r="DA56" i="3" s="1"/>
  <c r="CW50" i="3"/>
  <c r="DA50" i="3" s="1"/>
  <c r="CW59" i="3"/>
  <c r="DA59" i="3" s="1"/>
  <c r="CW55" i="3"/>
  <c r="CW57" i="3"/>
  <c r="DA57" i="3" s="1"/>
  <c r="EY335" i="329"/>
  <c r="EY336" i="329" s="1"/>
  <c r="EY77" i="2"/>
  <c r="EY107" i="2"/>
  <c r="EL103" i="4"/>
  <c r="EY78" i="2"/>
  <c r="EY85" i="2"/>
  <c r="EY99" i="2" s="1"/>
  <c r="EL100" i="3"/>
  <c r="EY79" i="2"/>
  <c r="EY94" i="2" s="1"/>
  <c r="EY222" i="2"/>
  <c r="EY176" i="2"/>
  <c r="EY347" i="329"/>
  <c r="EY407" i="329"/>
  <c r="EY177" i="2"/>
  <c r="EY223" i="2"/>
  <c r="DI330" i="329"/>
  <c r="EY330" i="329" s="1"/>
  <c r="DI355" i="329"/>
  <c r="DI356" i="329" s="1"/>
  <c r="EY354" i="329"/>
  <c r="EY355" i="329" s="1"/>
  <c r="EY356" i="329" s="1"/>
  <c r="EY412" i="329"/>
  <c r="DM320" i="329"/>
  <c r="EZ320" i="329" s="1"/>
  <c r="DI311" i="329"/>
  <c r="DM313" i="329"/>
  <c r="EY339" i="329"/>
  <c r="EY340" i="329" s="1"/>
  <c r="DI408" i="329"/>
  <c r="DI106" i="2"/>
  <c r="DI210" i="2"/>
  <c r="EY362" i="329"/>
  <c r="EL20" i="3"/>
  <c r="EL33" i="3"/>
  <c r="EL27" i="3"/>
  <c r="EL59" i="3" s="1"/>
  <c r="CW101" i="3" l="1"/>
  <c r="CW58" i="3" s="1"/>
  <c r="EY364" i="329"/>
  <c r="DI108" i="2"/>
  <c r="DI25" i="2"/>
  <c r="EY361" i="329"/>
  <c r="EY8" i="2"/>
  <c r="EL101" i="3" s="1"/>
  <c r="DI76" i="2"/>
  <c r="DI91" i="2" s="1"/>
  <c r="DI127" i="2" s="1"/>
  <c r="DI158" i="2"/>
  <c r="EY9" i="2"/>
  <c r="CW51" i="3"/>
  <c r="DA81" i="3"/>
  <c r="CW81" i="3"/>
  <c r="EY408" i="329"/>
  <c r="EY106" i="2"/>
  <c r="EY128" i="2" s="1"/>
  <c r="DI111" i="2"/>
  <c r="DI132" i="2"/>
  <c r="CW111" i="3"/>
  <c r="DI171" i="2"/>
  <c r="DI141" i="2"/>
  <c r="DI83" i="2"/>
  <c r="DI82" i="2"/>
  <c r="DI97" i="2" s="1"/>
  <c r="CW104" i="4"/>
  <c r="EL56" i="3"/>
  <c r="EL26" i="3"/>
  <c r="EL58" i="3" s="1"/>
  <c r="EY331" i="329"/>
  <c r="EY332" i="329" s="1"/>
  <c r="EY359" i="329"/>
  <c r="EL60" i="3"/>
  <c r="DI120" i="2"/>
  <c r="DI124" i="2"/>
  <c r="DI128" i="2"/>
  <c r="EZ313" i="329"/>
  <c r="EZ314" i="329" s="1"/>
  <c r="DM325" i="329"/>
  <c r="EY348" i="329"/>
  <c r="EY93" i="2"/>
  <c r="EZ78" i="2"/>
  <c r="EY360" i="329"/>
  <c r="EL9" i="3"/>
  <c r="EL11" i="3"/>
  <c r="EL55" i="3" s="1"/>
  <c r="EL25" i="3"/>
  <c r="EY363" i="329"/>
  <c r="EZ92" i="2"/>
  <c r="EY92" i="2"/>
  <c r="EY76" i="2"/>
  <c r="EY91" i="2" s="1"/>
  <c r="CW82" i="3" l="1"/>
  <c r="DA51" i="3"/>
  <c r="DA82" i="3" s="1"/>
  <c r="CW52" i="3"/>
  <c r="EY108" i="2"/>
  <c r="EY17" i="2"/>
  <c r="EY158" i="2"/>
  <c r="EY127" i="2"/>
  <c r="EZ318" i="329"/>
  <c r="FA318" i="329"/>
  <c r="EZ399" i="329"/>
  <c r="EZ105" i="2" s="1"/>
  <c r="EL123" i="4"/>
  <c r="EL122" i="4"/>
  <c r="EL40" i="4"/>
  <c r="DI113" i="2"/>
  <c r="DI87" i="2"/>
  <c r="DI86" i="2"/>
  <c r="DI100" i="2" s="1"/>
  <c r="EY25" i="2"/>
  <c r="DI30" i="2"/>
  <c r="EY140" i="2"/>
  <c r="EY141" i="2"/>
  <c r="EL104" i="4"/>
  <c r="EZ93" i="2"/>
  <c r="FA78" i="2"/>
  <c r="DM324" i="329"/>
  <c r="DM310" i="329"/>
  <c r="DM311" i="329" s="1"/>
  <c r="DM326" i="329"/>
  <c r="DM306" i="329"/>
  <c r="DM307" i="329" s="1"/>
  <c r="DM304" i="329"/>
  <c r="DM305" i="329" s="1"/>
  <c r="DM334" i="329"/>
  <c r="EZ334" i="329" s="1"/>
  <c r="DM342" i="329"/>
  <c r="EZ342" i="329" s="1"/>
  <c r="DM346" i="329"/>
  <c r="EZ346" i="329" s="1"/>
  <c r="DM350" i="329"/>
  <c r="EZ350" i="329" s="1"/>
  <c r="DM354" i="329"/>
  <c r="DM308" i="329"/>
  <c r="DM309" i="329" s="1"/>
  <c r="DM156" i="2"/>
  <c r="DM161" i="2"/>
  <c r="DM338" i="329"/>
  <c r="EZ338" i="329" s="1"/>
  <c r="DM398" i="329"/>
  <c r="EZ325" i="329"/>
  <c r="CW129" i="3"/>
  <c r="CW130" i="3"/>
  <c r="EL24" i="3"/>
  <c r="CW30" i="3"/>
  <c r="CW35" i="3" s="1"/>
  <c r="EL57" i="3"/>
  <c r="EY365" i="329"/>
  <c r="CW132" i="3"/>
  <c r="CW91" i="3"/>
  <c r="CW92" i="3" s="1"/>
  <c r="CW87" i="3"/>
  <c r="CW89" i="3"/>
  <c r="CW95" i="3"/>
  <c r="CW96" i="3" s="1"/>
  <c r="EL10" i="3"/>
  <c r="CW97" i="3"/>
  <c r="CW133" i="3"/>
  <c r="EL50" i="3"/>
  <c r="EL81" i="3" s="1"/>
  <c r="EY124" i="2"/>
  <c r="EY120" i="2"/>
  <c r="EY82" i="2" l="1"/>
  <c r="EY97" i="2" s="1"/>
  <c r="EL111" i="3"/>
  <c r="EY83" i="2"/>
  <c r="EY132" i="2"/>
  <c r="EY111" i="2"/>
  <c r="CW83" i="3"/>
  <c r="CW84" i="3" s="1"/>
  <c r="DA52" i="3"/>
  <c r="DA83" i="3" s="1"/>
  <c r="DA84" i="3" s="1"/>
  <c r="EY171" i="2"/>
  <c r="EZ347" i="329"/>
  <c r="FA346" i="329"/>
  <c r="EZ343" i="329"/>
  <c r="FA344" i="329" s="1"/>
  <c r="EL132" i="3"/>
  <c r="EL95" i="3"/>
  <c r="EL96" i="3" s="1"/>
  <c r="EL87" i="3"/>
  <c r="EL88" i="3" s="1"/>
  <c r="EL89" i="3"/>
  <c r="EL91" i="3"/>
  <c r="EL92" i="3" s="1"/>
  <c r="EL51" i="3"/>
  <c r="EL82" i="3" s="1"/>
  <c r="EL133" i="3"/>
  <c r="EL97" i="3"/>
  <c r="DM400" i="329"/>
  <c r="DM396" i="329"/>
  <c r="EZ398" i="329"/>
  <c r="DM148" i="2"/>
  <c r="DM152" i="2" s="1"/>
  <c r="FA342" i="329"/>
  <c r="CW28" i="4"/>
  <c r="EL28" i="4" s="1"/>
  <c r="DI88" i="2"/>
  <c r="DI114" i="2"/>
  <c r="CW105" i="3"/>
  <c r="DI37" i="2"/>
  <c r="DI34" i="2"/>
  <c r="EY30" i="2"/>
  <c r="DM101" i="2"/>
  <c r="DI101" i="2"/>
  <c r="FA123" i="2"/>
  <c r="FB123" i="2"/>
  <c r="EZ119" i="2"/>
  <c r="EZ123" i="2"/>
  <c r="FA119" i="2"/>
  <c r="FA93" i="2"/>
  <c r="FB78" i="2"/>
  <c r="CW88" i="3"/>
  <c r="EZ339" i="329"/>
  <c r="EZ354" i="329"/>
  <c r="EZ355" i="329" s="1"/>
  <c r="EZ356" i="329" s="1"/>
  <c r="DM355" i="329"/>
  <c r="DM356" i="329" s="1"/>
  <c r="DM330" i="329"/>
  <c r="EZ330" i="329" s="1"/>
  <c r="EZ335" i="329"/>
  <c r="FA334" i="329"/>
  <c r="EL27" i="4"/>
  <c r="EY86" i="2"/>
  <c r="EY100" i="2" s="1"/>
  <c r="EY113" i="2"/>
  <c r="EY87" i="2"/>
  <c r="CW90" i="3"/>
  <c r="CW93" i="3"/>
  <c r="CW94" i="3" s="1"/>
  <c r="EZ324" i="329"/>
  <c r="EZ306" i="329"/>
  <c r="EZ307" i="329" s="1"/>
  <c r="EZ308" i="329"/>
  <c r="EZ309" i="329" s="1"/>
  <c r="EZ304" i="329"/>
  <c r="EZ305" i="329" s="1"/>
  <c r="EZ326" i="329"/>
  <c r="EZ321" i="329" s="1"/>
  <c r="FA321" i="329" s="1"/>
  <c r="FB321" i="329" s="1"/>
  <c r="FC321" i="329" s="1"/>
  <c r="FD321" i="329" s="1"/>
  <c r="FE321" i="329" s="1"/>
  <c r="FF321" i="329" s="1"/>
  <c r="FG321" i="329" s="1"/>
  <c r="FH321" i="329" s="1"/>
  <c r="EZ310" i="329"/>
  <c r="DM226" i="2"/>
  <c r="EZ156" i="2"/>
  <c r="DM169" i="2"/>
  <c r="EL130" i="3"/>
  <c r="EL129" i="3"/>
  <c r="EL30" i="3"/>
  <c r="EL35" i="3" s="1"/>
  <c r="EL52" i="3"/>
  <c r="EL83" i="3" s="1"/>
  <c r="EL84" i="3" s="1"/>
  <c r="EZ161" i="2"/>
  <c r="DM230" i="2"/>
  <c r="DM165" i="2"/>
  <c r="DM234" i="2" s="1"/>
  <c r="CW27" i="4"/>
  <c r="CW40" i="4"/>
  <c r="CW123" i="4"/>
  <c r="CW122" i="4"/>
  <c r="CW14" i="3"/>
  <c r="EY37" i="2" l="1"/>
  <c r="EL14" i="3"/>
  <c r="DM238" i="2"/>
  <c r="DM200" i="2"/>
  <c r="DM217" i="2" s="1"/>
  <c r="EZ169" i="2"/>
  <c r="EZ363" i="329"/>
  <c r="EZ364" i="329"/>
  <c r="EZ230" i="2"/>
  <c r="EZ193" i="2"/>
  <c r="EZ165" i="2"/>
  <c r="EZ234" i="2" s="1"/>
  <c r="FB334" i="329"/>
  <c r="EZ340" i="329"/>
  <c r="FA339" i="329"/>
  <c r="EY114" i="2"/>
  <c r="EY34" i="2"/>
  <c r="EL105" i="3"/>
  <c r="EY88" i="2"/>
  <c r="EY101" i="2" s="1"/>
  <c r="FB342" i="329"/>
  <c r="EZ148" i="2"/>
  <c r="EZ396" i="329"/>
  <c r="FB346" i="329"/>
  <c r="FA336" i="329"/>
  <c r="EZ336" i="329"/>
  <c r="EZ362" i="329"/>
  <c r="EL90" i="3"/>
  <c r="EL93" i="3"/>
  <c r="EL94" i="3" s="1"/>
  <c r="EZ311" i="329"/>
  <c r="FA320" i="329"/>
  <c r="FA313" i="329"/>
  <c r="EZ360" i="329"/>
  <c r="CW107" i="4"/>
  <c r="CW116" i="4"/>
  <c r="DI115" i="2"/>
  <c r="DI51" i="2"/>
  <c r="CW108" i="4"/>
  <c r="DM176" i="2"/>
  <c r="DM222" i="2"/>
  <c r="EZ152" i="2"/>
  <c r="FA348" i="329"/>
  <c r="EZ344" i="329"/>
  <c r="EZ348" i="329"/>
  <c r="EZ226" i="2"/>
  <c r="EZ183" i="2"/>
  <c r="EZ359" i="329"/>
  <c r="EZ331" i="329"/>
  <c r="FA330" i="329"/>
  <c r="EZ361" i="329"/>
  <c r="FB93" i="2"/>
  <c r="FC78" i="2"/>
  <c r="FB330" i="329" l="1"/>
  <c r="FC346" i="329"/>
  <c r="FA332" i="329"/>
  <c r="EZ332" i="329"/>
  <c r="CW96" i="4"/>
  <c r="CW94" i="4"/>
  <c r="FA325" i="329"/>
  <c r="FC342" i="329"/>
  <c r="FA340" i="329"/>
  <c r="FB339" i="329"/>
  <c r="FA338" i="329"/>
  <c r="EZ238" i="2"/>
  <c r="EZ200" i="2"/>
  <c r="EZ217" i="2" s="1"/>
  <c r="EZ222" i="2"/>
  <c r="EZ176" i="2"/>
  <c r="EZ365" i="329"/>
  <c r="DI54" i="2"/>
  <c r="EY115" i="2"/>
  <c r="EL108" i="4"/>
  <c r="EM94" i="4" s="1"/>
  <c r="EY51" i="2"/>
  <c r="EY54" i="2" s="1"/>
  <c r="EL116" i="4"/>
  <c r="EL107" i="4"/>
  <c r="FA213" i="2"/>
  <c r="FA246" i="2" s="1"/>
  <c r="EZ213" i="2"/>
  <c r="EZ246" i="2" s="1"/>
  <c r="FA209" i="2"/>
  <c r="FA245" i="2" s="1"/>
  <c r="EZ209" i="2"/>
  <c r="EZ245" i="2" s="1"/>
  <c r="FC93" i="2"/>
  <c r="FD78" i="2"/>
  <c r="FC334" i="329"/>
  <c r="FD334" i="329" l="1"/>
  <c r="FC339" i="329"/>
  <c r="FB340" i="329"/>
  <c r="FB338" i="329"/>
  <c r="FD342" i="329"/>
  <c r="FD346" i="329"/>
  <c r="FD93" i="2"/>
  <c r="FE78" i="2"/>
  <c r="EL40" i="3"/>
  <c r="FC330" i="329"/>
  <c r="EL96" i="4"/>
  <c r="FA324" i="329"/>
  <c r="FA308" i="329"/>
  <c r="FA309" i="329" s="1"/>
  <c r="FA326" i="329"/>
  <c r="FA304" i="329"/>
  <c r="FA305" i="329" s="1"/>
  <c r="FA306" i="329"/>
  <c r="FA307" i="329" s="1"/>
  <c r="FA354" i="329"/>
  <c r="FA361" i="329" s="1"/>
  <c r="FA156" i="2"/>
  <c r="FA398" i="329"/>
  <c r="FA310" i="329"/>
  <c r="FA161" i="2"/>
  <c r="FE93" i="2" l="1"/>
  <c r="FF78" i="2"/>
  <c r="FE346" i="329"/>
  <c r="FC338" i="329"/>
  <c r="FA165" i="2"/>
  <c r="FA234" i="2" s="1"/>
  <c r="FA230" i="2"/>
  <c r="FC340" i="329"/>
  <c r="FD339" i="329"/>
  <c r="FA311" i="329"/>
  <c r="FB320" i="329"/>
  <c r="FB313" i="329"/>
  <c r="FA365" i="329"/>
  <c r="FA350" i="329"/>
  <c r="FA355" i="329"/>
  <c r="FA356" i="329" s="1"/>
  <c r="FA362" i="329"/>
  <c r="FA363" i="329"/>
  <c r="FA360" i="329"/>
  <c r="FA359" i="329"/>
  <c r="FA396" i="329"/>
  <c r="FA148" i="2"/>
  <c r="FA152" i="2" s="1"/>
  <c r="FA169" i="2"/>
  <c r="FA226" i="2"/>
  <c r="FD330" i="329"/>
  <c r="FE342" i="329"/>
  <c r="FE334" i="329"/>
  <c r="FB325" i="329" l="1"/>
  <c r="FB326" i="329" s="1"/>
  <c r="FF334" i="329"/>
  <c r="FA351" i="329"/>
  <c r="FA364" i="329"/>
  <c r="FA176" i="2"/>
  <c r="FA222" i="2"/>
  <c r="FD340" i="329"/>
  <c r="FE339" i="329"/>
  <c r="FD338" i="329"/>
  <c r="FE330" i="329"/>
  <c r="FF93" i="2"/>
  <c r="FG78" i="2"/>
  <c r="FF346" i="329"/>
  <c r="FF342" i="329"/>
  <c r="FA238" i="2"/>
  <c r="FA200" i="2"/>
  <c r="FA217" i="2" s="1"/>
  <c r="FB308" i="329" l="1"/>
  <c r="FB309" i="329" s="1"/>
  <c r="FB310" i="329"/>
  <c r="FC320" i="329" s="1"/>
  <c r="FB304" i="329"/>
  <c r="FB305" i="329" s="1"/>
  <c r="FB324" i="329"/>
  <c r="FB161" i="2"/>
  <c r="FB230" i="2" s="1"/>
  <c r="FB156" i="2"/>
  <c r="FB226" i="2" s="1"/>
  <c r="FB306" i="329"/>
  <c r="FB307" i="329" s="1"/>
  <c r="FB398" i="329"/>
  <c r="FB396" i="329" s="1"/>
  <c r="FB354" i="329"/>
  <c r="FB362" i="329" s="1"/>
  <c r="FC313" i="329"/>
  <c r="FF330" i="329"/>
  <c r="FE340" i="329"/>
  <c r="FF339" i="329"/>
  <c r="FG342" i="329"/>
  <c r="FG346" i="329"/>
  <c r="FG93" i="2"/>
  <c r="FH78" i="2"/>
  <c r="FH93" i="2" s="1"/>
  <c r="FG334" i="329"/>
  <c r="FE338" i="329"/>
  <c r="FB148" i="2" l="1"/>
  <c r="FB152" i="2" s="1"/>
  <c r="FB176" i="2" s="1"/>
  <c r="FB361" i="329"/>
  <c r="FB350" i="329"/>
  <c r="FB351" i="329" s="1"/>
  <c r="FB359" i="329"/>
  <c r="FB363" i="329"/>
  <c r="FB165" i="2"/>
  <c r="FB234" i="2" s="1"/>
  <c r="FB355" i="329"/>
  <c r="FB356" i="329" s="1"/>
  <c r="FB169" i="2"/>
  <c r="FB200" i="2" s="1"/>
  <c r="FB217" i="2" s="1"/>
  <c r="FB311" i="329"/>
  <c r="FB360" i="329"/>
  <c r="FB365" i="329"/>
  <c r="FC325" i="329"/>
  <c r="FC304" i="329" s="1"/>
  <c r="FC305" i="329" s="1"/>
  <c r="FH346" i="329"/>
  <c r="FF338" i="329"/>
  <c r="FH334" i="329"/>
  <c r="FH342" i="329"/>
  <c r="FF340" i="329"/>
  <c r="FG339" i="329"/>
  <c r="FG330" i="329"/>
  <c r="FB364" i="329" l="1"/>
  <c r="FB238" i="2"/>
  <c r="FB222" i="2"/>
  <c r="FC306" i="329"/>
  <c r="FC307" i="329" s="1"/>
  <c r="FC161" i="2"/>
  <c r="FC165" i="2" s="1"/>
  <c r="FC234" i="2" s="1"/>
  <c r="FC308" i="329"/>
  <c r="FC309" i="329" s="1"/>
  <c r="FC398" i="329"/>
  <c r="FC148" i="2" s="1"/>
  <c r="FC326" i="329"/>
  <c r="FC310" i="329"/>
  <c r="FC311" i="329" s="1"/>
  <c r="FC354" i="329"/>
  <c r="FC355" i="329" s="1"/>
  <c r="FC356" i="329" s="1"/>
  <c r="FC324" i="329"/>
  <c r="FC156" i="2"/>
  <c r="FC226" i="2" s="1"/>
  <c r="FG340" i="329"/>
  <c r="FH339" i="329"/>
  <c r="FH340" i="329" s="1"/>
  <c r="FG338" i="329"/>
  <c r="FC396" i="329"/>
  <c r="FH330" i="329"/>
  <c r="FC152" i="2" l="1"/>
  <c r="FC222" i="2" s="1"/>
  <c r="FD313" i="329"/>
  <c r="FC230" i="2"/>
  <c r="FD320" i="329"/>
  <c r="FC362" i="329"/>
  <c r="FC363" i="329"/>
  <c r="FC360" i="329"/>
  <c r="FC361" i="329"/>
  <c r="FC350" i="329"/>
  <c r="FC351" i="329" s="1"/>
  <c r="FC365" i="329"/>
  <c r="FC359" i="329"/>
  <c r="FC169" i="2"/>
  <c r="FC238" i="2" s="1"/>
  <c r="FC176" i="2"/>
  <c r="FH338" i="329"/>
  <c r="FD325" i="329" l="1"/>
  <c r="FD308" i="329" s="1"/>
  <c r="FD309" i="329" s="1"/>
  <c r="FC200" i="2"/>
  <c r="FC217" i="2" s="1"/>
  <c r="FC364" i="329"/>
  <c r="FD306" i="329" l="1"/>
  <c r="FD307" i="329" s="1"/>
  <c r="FD354" i="329"/>
  <c r="FD324" i="329"/>
  <c r="FD398" i="329"/>
  <c r="FD148" i="2" s="1"/>
  <c r="FD156" i="2"/>
  <c r="FD226" i="2" s="1"/>
  <c r="FD310" i="329"/>
  <c r="FE313" i="329" s="1"/>
  <c r="FD304" i="329"/>
  <c r="FD305" i="329" s="1"/>
  <c r="FD326" i="329"/>
  <c r="FD161" i="2"/>
  <c r="FD165" i="2" s="1"/>
  <c r="FD234" i="2" s="1"/>
  <c r="FD311" i="329"/>
  <c r="FD365" i="329"/>
  <c r="FD350" i="329"/>
  <c r="FD355" i="329"/>
  <c r="FD356" i="329" s="1"/>
  <c r="FD363" i="329"/>
  <c r="FD362" i="329"/>
  <c r="FD360" i="329"/>
  <c r="FD359" i="329"/>
  <c r="FD361" i="329"/>
  <c r="FD396" i="329" l="1"/>
  <c r="FD230" i="2"/>
  <c r="FD152" i="2"/>
  <c r="FD176" i="2" s="1"/>
  <c r="FE320" i="329"/>
  <c r="FD169" i="2"/>
  <c r="FD238" i="2" s="1"/>
  <c r="FE325" i="329"/>
  <c r="FE326" i="329" s="1"/>
  <c r="FD364" i="329"/>
  <c r="FD351" i="329"/>
  <c r="FD222" i="2" l="1"/>
  <c r="FD200" i="2"/>
  <c r="FD217" i="2" s="1"/>
  <c r="FE310" i="329"/>
  <c r="FF320" i="329" s="1"/>
  <c r="FE354" i="329"/>
  <c r="FE360" i="329" s="1"/>
  <c r="FE398" i="329"/>
  <c r="FE396" i="329" s="1"/>
  <c r="FE308" i="329"/>
  <c r="FE309" i="329" s="1"/>
  <c r="FE161" i="2"/>
  <c r="FE165" i="2" s="1"/>
  <c r="FE234" i="2" s="1"/>
  <c r="FE324" i="329"/>
  <c r="FE304" i="329"/>
  <c r="FE305" i="329" s="1"/>
  <c r="FE156" i="2"/>
  <c r="FE226" i="2" s="1"/>
  <c r="FE306" i="329"/>
  <c r="FE307" i="329" s="1"/>
  <c r="FE350" i="329"/>
  <c r="FE363" i="329" l="1"/>
  <c r="FE362" i="329"/>
  <c r="FE355" i="329"/>
  <c r="FE356" i="329" s="1"/>
  <c r="FE359" i="329"/>
  <c r="FE365" i="329"/>
  <c r="FE361" i="329"/>
  <c r="FE169" i="2"/>
  <c r="FE238" i="2" s="1"/>
  <c r="FF313" i="329"/>
  <c r="FF325" i="329" s="1"/>
  <c r="FE311" i="329"/>
  <c r="FE230" i="2"/>
  <c r="FE148" i="2"/>
  <c r="FE152" i="2" s="1"/>
  <c r="FE222" i="2" s="1"/>
  <c r="FE364" i="329"/>
  <c r="FE351" i="329"/>
  <c r="FE200" i="2" l="1"/>
  <c r="FE217" i="2" s="1"/>
  <c r="FE176" i="2"/>
  <c r="FF326" i="329"/>
  <c r="FF304" i="329"/>
  <c r="FF305" i="329" s="1"/>
  <c r="FF306" i="329"/>
  <c r="FF307" i="329" s="1"/>
  <c r="FF324" i="329"/>
  <c r="FF308" i="329"/>
  <c r="FF309" i="329" s="1"/>
  <c r="FF354" i="329"/>
  <c r="FF156" i="2"/>
  <c r="FF161" i="2"/>
  <c r="FF398" i="329"/>
  <c r="FF310" i="329"/>
  <c r="FF396" i="329" l="1"/>
  <c r="FF148" i="2"/>
  <c r="FF152" i="2" s="1"/>
  <c r="FF230" i="2"/>
  <c r="FF165" i="2"/>
  <c r="FF234" i="2" s="1"/>
  <c r="FF365" i="329"/>
  <c r="FF350" i="329"/>
  <c r="FF355" i="329"/>
  <c r="FF356" i="329" s="1"/>
  <c r="FF363" i="329"/>
  <c r="FF360" i="329"/>
  <c r="FF362" i="329"/>
  <c r="FF359" i="329"/>
  <c r="FF361" i="329"/>
  <c r="FG320" i="329"/>
  <c r="FF311" i="329"/>
  <c r="FG313" i="329"/>
  <c r="FF226" i="2"/>
  <c r="FF169" i="2"/>
  <c r="FG325" i="329" l="1"/>
  <c r="FG326" i="329" s="1"/>
  <c r="FF222" i="2"/>
  <c r="FF176" i="2"/>
  <c r="FF364" i="329"/>
  <c r="FF351" i="329"/>
  <c r="FF238" i="2"/>
  <c r="FF200" i="2"/>
  <c r="FF217" i="2" s="1"/>
  <c r="FG161" i="2" l="1"/>
  <c r="FG230" i="2" s="1"/>
  <c r="FG354" i="329"/>
  <c r="FG365" i="329" s="1"/>
  <c r="FG304" i="329"/>
  <c r="FG305" i="329" s="1"/>
  <c r="FG324" i="329"/>
  <c r="FG156" i="2"/>
  <c r="FG169" i="2" s="1"/>
  <c r="FG310" i="329"/>
  <c r="FG311" i="329" s="1"/>
  <c r="FG306" i="329"/>
  <c r="FG307" i="329" s="1"/>
  <c r="FG398" i="329"/>
  <c r="FG396" i="329" s="1"/>
  <c r="FG308" i="329"/>
  <c r="FG309" i="329" s="1"/>
  <c r="FG350" i="329"/>
  <c r="FG226" i="2" l="1"/>
  <c r="FH320" i="329"/>
  <c r="FG362" i="329"/>
  <c r="FG148" i="2"/>
  <c r="FG152" i="2" s="1"/>
  <c r="FG165" i="2"/>
  <c r="FG234" i="2" s="1"/>
  <c r="FG361" i="329"/>
  <c r="FG363" i="329"/>
  <c r="FH313" i="329"/>
  <c r="FG359" i="329"/>
  <c r="FG355" i="329"/>
  <c r="FG356" i="329" s="1"/>
  <c r="FG360" i="329"/>
  <c r="FG364" i="329"/>
  <c r="FG351" i="329"/>
  <c r="FG200" i="2"/>
  <c r="FG217" i="2" s="1"/>
  <c r="FG238" i="2"/>
  <c r="FH325" i="329" l="1"/>
  <c r="FH310" i="329" s="1"/>
  <c r="FH311" i="329" s="1"/>
  <c r="FG222" i="2"/>
  <c r="FG176" i="2"/>
  <c r="FH161" i="2"/>
  <c r="FH306" i="329" l="1"/>
  <c r="FH307" i="329" s="1"/>
  <c r="FH308" i="329"/>
  <c r="FH309" i="329" s="1"/>
  <c r="FH304" i="329"/>
  <c r="FH305" i="329" s="1"/>
  <c r="FH326" i="329"/>
  <c r="FH324" i="329"/>
  <c r="FH398" i="329"/>
  <c r="FH396" i="329" s="1"/>
  <c r="FH354" i="329"/>
  <c r="FH362" i="329" s="1"/>
  <c r="FH156" i="2"/>
  <c r="FH169" i="2" s="1"/>
  <c r="FH230" i="2"/>
  <c r="FH165" i="2"/>
  <c r="FH234" i="2" s="1"/>
  <c r="FH365" i="329"/>
  <c r="FH355" i="329"/>
  <c r="FH356" i="329" s="1"/>
  <c r="FH359" i="329"/>
  <c r="FH363" i="329" l="1"/>
  <c r="FH360" i="329"/>
  <c r="FH226" i="2"/>
  <c r="FH148" i="2"/>
  <c r="FH152" i="2" s="1"/>
  <c r="FH222" i="2" s="1"/>
  <c r="FH350" i="329"/>
  <c r="FH351" i="329" s="1"/>
  <c r="FH361" i="329"/>
  <c r="FH238" i="2"/>
  <c r="FH200" i="2"/>
  <c r="FH217" i="2" s="1"/>
  <c r="FH364" i="329" l="1"/>
  <c r="FH176" i="2"/>
  <c r="CW12" i="3"/>
  <c r="CW65" i="3"/>
  <c r="EL7" i="3"/>
  <c r="EL12" i="3" l="1"/>
  <c r="EL65" i="3"/>
  <c r="CW77" i="3"/>
  <c r="CW76" i="3"/>
  <c r="CW74" i="3"/>
  <c r="CW122" i="3" s="1"/>
  <c r="EL77" i="3" l="1"/>
  <c r="EL76" i="3"/>
  <c r="EL74" i="3"/>
  <c r="EL122" i="3" s="1"/>
  <c r="CW124" i="3"/>
  <c r="CW123" i="3"/>
  <c r="EL124" i="3" l="1"/>
  <c r="EL123" i="3"/>
  <c r="CW75" i="3"/>
  <c r="CW21" i="3"/>
  <c r="CW15" i="3"/>
  <c r="EL15" i="3" s="1"/>
  <c r="EL16" i="3" l="1"/>
  <c r="CW127" i="3"/>
  <c r="CW125" i="3"/>
  <c r="EL75" i="3" l="1"/>
  <c r="EL21" i="3"/>
  <c r="EL127" i="3" l="1"/>
  <c r="EL125" i="3"/>
  <c r="CW42" i="3" l="1"/>
  <c r="CW66" i="3" s="1"/>
  <c r="EL39" i="3"/>
  <c r="EL42" i="3" s="1"/>
  <c r="CX39" i="3"/>
  <c r="EL126" i="3" l="1"/>
  <c r="EY134" i="2"/>
  <c r="EL78" i="3"/>
  <c r="EL67" i="3"/>
  <c r="EL71" i="3"/>
  <c r="EL44" i="3"/>
  <c r="EL45" i="3" s="1"/>
  <c r="EL66" i="3"/>
  <c r="CW68" i="3"/>
  <c r="CY39" i="3"/>
  <c r="CW78" i="3"/>
  <c r="CW71" i="3"/>
  <c r="CW67" i="3"/>
  <c r="CW126" i="3"/>
  <c r="CW44" i="3"/>
  <c r="CW45" i="3" s="1"/>
  <c r="CZ39" i="3" l="1"/>
  <c r="EL68" i="3"/>
  <c r="DA39" i="3" l="1"/>
  <c r="EM39" i="3" l="1"/>
  <c r="EN39" i="3" l="1"/>
  <c r="EO39" i="3" l="1"/>
  <c r="EP39" i="3" l="1"/>
  <c r="EQ39" i="3" l="1"/>
  <c r="ER39" i="3" l="1"/>
  <c r="ES39" i="3" l="1"/>
  <c r="ET39" i="3" l="1"/>
  <c r="EU39" i="3" l="1"/>
  <c r="EL29" i="4"/>
  <c r="EL42" i="4" s="1"/>
  <c r="EL98" i="4" s="1"/>
  <c r="EL100" i="4" l="1"/>
  <c r="EL99" i="4"/>
  <c r="EL124" i="4" l="1"/>
  <c r="EL117" i="4"/>
  <c r="EL119" i="4"/>
  <c r="EL54" i="4"/>
  <c r="EL63" i="4" s="1"/>
  <c r="EL64" i="4" s="1"/>
  <c r="EL65" i="4" l="1"/>
  <c r="EM62" i="4"/>
  <c r="CW29" i="4"/>
  <c r="CW42" i="4" s="1"/>
  <c r="CW98" i="4" s="1"/>
  <c r="CW100" i="4" l="1"/>
  <c r="CW99" i="4"/>
  <c r="CW124" i="4" l="1"/>
  <c r="CW117" i="4"/>
  <c r="CW119" i="4" s="1"/>
  <c r="CW54" i="4"/>
  <c r="CW63" i="4" s="1"/>
  <c r="CW64" i="4" s="1"/>
  <c r="DI69" i="2"/>
  <c r="DI70" i="2" l="1"/>
  <c r="CW65" i="4"/>
  <c r="CX62" i="4"/>
  <c r="EY70" i="2"/>
  <c r="EY69" i="2"/>
  <c r="DK70" i="2" l="1"/>
  <c r="DJ67" i="2"/>
  <c r="DJ68" i="2" l="1"/>
  <c r="DJ59" i="2"/>
  <c r="DL70" i="2"/>
  <c r="DK67" i="2"/>
  <c r="DK59" i="2" l="1"/>
  <c r="DM70" i="2"/>
  <c r="DM67" i="2" s="1"/>
  <c r="DL67" i="2"/>
  <c r="DJ61" i="2"/>
  <c r="EZ70" i="2" l="1"/>
  <c r="FA70" i="2" s="1"/>
  <c r="FB70" i="2" s="1"/>
  <c r="EZ67" i="2"/>
  <c r="EZ68" i="2" s="1"/>
  <c r="DL59" i="2"/>
  <c r="DM59" i="2"/>
  <c r="CX107" i="3"/>
  <c r="DJ64" i="2"/>
  <c r="DK58" i="2"/>
  <c r="DK61" i="2" s="1"/>
  <c r="DJ62" i="2"/>
  <c r="FA67" i="2" l="1"/>
  <c r="FA59" i="2" s="1"/>
  <c r="EZ59" i="2"/>
  <c r="EZ61" i="2" s="1"/>
  <c r="EZ64" i="2" s="1"/>
  <c r="FB67" i="2"/>
  <c r="FC70" i="2"/>
  <c r="DJ65" i="2"/>
  <c r="CX110" i="4"/>
  <c r="CX47" i="4" s="1"/>
  <c r="CY107" i="3"/>
  <c r="DK64" i="2"/>
  <c r="DL58" i="2"/>
  <c r="DL61" i="2" s="1"/>
  <c r="DK62" i="2"/>
  <c r="CY110" i="4" s="1"/>
  <c r="CY47" i="4" s="1"/>
  <c r="EM107" i="3" l="1"/>
  <c r="FA58" i="2"/>
  <c r="FA61" i="2" s="1"/>
  <c r="FA64" i="2" s="1"/>
  <c r="CY118" i="4"/>
  <c r="CY54" i="4"/>
  <c r="CZ107" i="3"/>
  <c r="DL64" i="2"/>
  <c r="DL65" i="2" s="1"/>
  <c r="DL62" i="2"/>
  <c r="CZ110" i="4" s="1"/>
  <c r="CZ47" i="4" s="1"/>
  <c r="DM58" i="2"/>
  <c r="DM61" i="2" s="1"/>
  <c r="DJ49" i="2"/>
  <c r="DJ53" i="2"/>
  <c r="CX109" i="4"/>
  <c r="DK68" i="2"/>
  <c r="FC67" i="2"/>
  <c r="FD70" i="2"/>
  <c r="CX54" i="4"/>
  <c r="CX118" i="4"/>
  <c r="DK65" i="2"/>
  <c r="FB59" i="2"/>
  <c r="EN107" i="3" l="1"/>
  <c r="FA62" i="2"/>
  <c r="EN110" i="4" s="1"/>
  <c r="EN47" i="4" s="1"/>
  <c r="EN118" i="4" s="1"/>
  <c r="FB58" i="2"/>
  <c r="FB61" i="2" s="1"/>
  <c r="DK53" i="2"/>
  <c r="DK49" i="2"/>
  <c r="CY109" i="4"/>
  <c r="DL68" i="2"/>
  <c r="CZ118" i="4"/>
  <c r="CZ54" i="4"/>
  <c r="FA65" i="2"/>
  <c r="FC59" i="2"/>
  <c r="DA107" i="3"/>
  <c r="DM64" i="2"/>
  <c r="DM65" i="2" s="1"/>
  <c r="DM62" i="2"/>
  <c r="DL49" i="2"/>
  <c r="DL53" i="2"/>
  <c r="CZ109" i="4"/>
  <c r="DM68" i="2"/>
  <c r="FD67" i="2"/>
  <c r="FE70" i="2"/>
  <c r="EN54" i="4" l="1"/>
  <c r="DM49" i="2"/>
  <c r="DM53" i="2"/>
  <c r="DA109" i="4"/>
  <c r="EZ65" i="2"/>
  <c r="FB64" i="2"/>
  <c r="EO107" i="3"/>
  <c r="FC58" i="2"/>
  <c r="FC61" i="2" s="1"/>
  <c r="FC62" i="2" s="1"/>
  <c r="EP110" i="4" s="1"/>
  <c r="EP47" i="4" s="1"/>
  <c r="FB62" i="2"/>
  <c r="EO110" i="4" s="1"/>
  <c r="EO47" i="4" s="1"/>
  <c r="FE67" i="2"/>
  <c r="FF70" i="2"/>
  <c r="EN109" i="4"/>
  <c r="FB68" i="2"/>
  <c r="FD59" i="2"/>
  <c r="DA110" i="4"/>
  <c r="DA47" i="4" s="1"/>
  <c r="EZ62" i="2"/>
  <c r="EM110" i="4" s="1"/>
  <c r="EM109" i="4" l="1"/>
  <c r="FA68" i="2"/>
  <c r="FE59" i="2"/>
  <c r="DA118" i="4"/>
  <c r="DA54" i="4"/>
  <c r="EM47" i="4"/>
  <c r="FF67" i="2"/>
  <c r="FG70" i="2"/>
  <c r="EO54" i="4"/>
  <c r="EO118" i="4"/>
  <c r="FB65" i="2"/>
  <c r="EP54" i="4"/>
  <c r="EP118" i="4"/>
  <c r="EP107" i="3"/>
  <c r="FC64" i="2"/>
  <c r="FC65" i="2" s="1"/>
  <c r="FD58" i="2"/>
  <c r="FD61" i="2" s="1"/>
  <c r="FD62" i="2" s="1"/>
  <c r="EQ110" i="4" s="1"/>
  <c r="EQ47" i="4" s="1"/>
  <c r="EO109" i="4" l="1"/>
  <c r="FC68" i="2"/>
  <c r="EP109" i="4"/>
  <c r="FD68" i="2"/>
  <c r="FF59" i="2"/>
  <c r="EQ118" i="4"/>
  <c r="EQ54" i="4"/>
  <c r="FG67" i="2"/>
  <c r="FH70" i="2"/>
  <c r="FH67" i="2" s="1"/>
  <c r="FD64" i="2"/>
  <c r="FD65" i="2" s="1"/>
  <c r="EQ107" i="3"/>
  <c r="FE58" i="2"/>
  <c r="FE61" i="2" s="1"/>
  <c r="FE62" i="2" s="1"/>
  <c r="ER110" i="4" s="1"/>
  <c r="ER47" i="4" s="1"/>
  <c r="EM118" i="4"/>
  <c r="EM54" i="4"/>
  <c r="EQ109" i="4" l="1"/>
  <c r="FE68" i="2"/>
  <c r="FH59" i="2"/>
  <c r="FG59" i="2"/>
  <c r="FE64" i="2"/>
  <c r="FE65" i="2" s="1"/>
  <c r="ER107" i="3"/>
  <c r="FF58" i="2"/>
  <c r="FF61" i="2" s="1"/>
  <c r="FF62" i="2" s="1"/>
  <c r="ES110" i="4" s="1"/>
  <c r="ES47" i="4" s="1"/>
  <c r="ER54" i="4"/>
  <c r="ER118" i="4"/>
  <c r="ER109" i="4" l="1"/>
  <c r="FF68" i="2"/>
  <c r="ES107" i="3"/>
  <c r="FF64" i="2"/>
  <c r="FF65" i="2" s="1"/>
  <c r="FG58" i="2"/>
  <c r="FG61" i="2" s="1"/>
  <c r="ES54" i="4"/>
  <c r="ES118" i="4"/>
  <c r="ET107" i="3" l="1"/>
  <c r="FH58" i="2"/>
  <c r="FH61" i="2" s="1"/>
  <c r="FH62" i="2" s="1"/>
  <c r="EU110" i="4" s="1"/>
  <c r="EU47" i="4" s="1"/>
  <c r="FG64" i="2"/>
  <c r="ES109" i="4"/>
  <c r="FG68" i="2"/>
  <c r="FG65" i="2"/>
  <c r="FG62" i="2"/>
  <c r="ET110" i="4" s="1"/>
  <c r="ET47" i="4" s="1"/>
  <c r="EU54" i="4" l="1"/>
  <c r="EU118" i="4"/>
  <c r="ET54" i="4"/>
  <c r="ET118" i="4"/>
  <c r="ET109" i="4"/>
  <c r="FH68" i="2"/>
  <c r="FH64" i="2"/>
  <c r="FH65" i="2" s="1"/>
  <c r="EU107" i="3"/>
  <c r="EU109" i="4" l="1"/>
  <c r="EL69" i="4" l="1"/>
  <c r="EM69" i="4" s="1"/>
  <c r="EN69" i="4" l="1"/>
  <c r="EO69" i="4" l="1"/>
  <c r="EP69" i="4" l="1"/>
  <c r="EQ69" i="4" l="1"/>
  <c r="ER69" i="4" l="1"/>
  <c r="ES69" i="4" l="1"/>
  <c r="ET69" i="4" l="1"/>
  <c r="EU69" i="4" l="1"/>
  <c r="EL73" i="4"/>
  <c r="EM73" i="4" s="1"/>
  <c r="EN73" i="4" l="1"/>
  <c r="EO73" i="4" l="1"/>
  <c r="EP73" i="4" l="1"/>
  <c r="EQ73" i="4" l="1"/>
  <c r="ER73" i="4" l="1"/>
  <c r="ES73" i="4" l="1"/>
  <c r="ET73" i="4" l="1"/>
  <c r="EU73" i="4" l="1"/>
  <c r="EL83" i="4"/>
  <c r="EL85" i="4"/>
  <c r="EL79" i="4"/>
  <c r="EL80" i="4" s="1"/>
  <c r="EN80" i="4" l="1"/>
  <c r="EO80" i="4" l="1"/>
  <c r="EP80" i="4" l="1"/>
  <c r="EQ80" i="4" l="1"/>
  <c r="ER80" i="4" l="1"/>
  <c r="ES80" i="4" l="1"/>
  <c r="ET80" i="4" l="1"/>
  <c r="EU80" i="4" l="1"/>
  <c r="DI15" i="2" l="1"/>
  <c r="CW105" i="4"/>
  <c r="CW106" i="4" s="1"/>
  <c r="DI80" i="2"/>
  <c r="DI19" i="2"/>
  <c r="DI110" i="2" s="1"/>
  <c r="DI20" i="2" l="1"/>
  <c r="CW112" i="3" s="1"/>
  <c r="CW69" i="3" s="1"/>
  <c r="EY19" i="2"/>
  <c r="EY110" i="2" s="1"/>
  <c r="DI81" i="2"/>
  <c r="DI95" i="2"/>
  <c r="EY11" i="2" l="1"/>
  <c r="EY81" i="2"/>
  <c r="EY96" i="2" s="1"/>
  <c r="EY20" i="2"/>
  <c r="EY112" i="2" s="1"/>
  <c r="CW114" i="3"/>
  <c r="DI112" i="2"/>
  <c r="DI84" i="2"/>
  <c r="DI98" i="2" s="1"/>
  <c r="DM96" i="2"/>
  <c r="DI96" i="2"/>
  <c r="EY80" i="2"/>
  <c r="EL88" i="4"/>
  <c r="EL105" i="4"/>
  <c r="EL106" i="4" s="1"/>
  <c r="EY15" i="2"/>
  <c r="EL112" i="3" l="1"/>
  <c r="EL69" i="3" s="1"/>
  <c r="EY84" i="2"/>
  <c r="EY98" i="2" s="1"/>
  <c r="EY95" i="2"/>
  <c r="EL90" i="4"/>
  <c r="EL84" i="4"/>
  <c r="EL114" i="3" l="1"/>
  <c r="DJ82" i="329" l="1"/>
  <c r="DJ17" i="329" s="1"/>
  <c r="DJ48" i="329" s="1"/>
  <c r="DJ49" i="329" s="1"/>
  <c r="EZ83" i="329"/>
  <c r="EZ90" i="329" s="1"/>
  <c r="DJ90" i="329"/>
  <c r="DJ371" i="329" l="1"/>
  <c r="DJ87" i="329"/>
  <c r="DK82" i="329"/>
  <c r="DJ372" i="329" l="1"/>
  <c r="DJ378" i="329"/>
  <c r="DJ88" i="329"/>
  <c r="DJ92" i="329"/>
  <c r="DJ89" i="329"/>
  <c r="DK87" i="329"/>
  <c r="DK17" i="329"/>
  <c r="DK48" i="329" s="1"/>
  <c r="DK49" i="329" s="1"/>
  <c r="DL82" i="329"/>
  <c r="DK371" i="329"/>
  <c r="CX109" i="3" l="1"/>
  <c r="DJ379" i="329"/>
  <c r="DJ380" i="329"/>
  <c r="DJ45" i="329"/>
  <c r="DJ122" i="329"/>
  <c r="DJ125" i="329" s="1"/>
  <c r="DJ96" i="329"/>
  <c r="DJ97" i="329" s="1"/>
  <c r="DJ374" i="329"/>
  <c r="DJ94" i="329"/>
  <c r="DJ93" i="329"/>
  <c r="DJ85" i="329"/>
  <c r="DK88" i="329"/>
  <c r="DK92" i="329"/>
  <c r="DK89" i="329"/>
  <c r="DK378" i="329"/>
  <c r="DK372" i="329"/>
  <c r="DL87" i="329"/>
  <c r="DL17" i="329"/>
  <c r="DL48" i="329" s="1"/>
  <c r="DL49" i="329" s="1"/>
  <c r="DM82" i="329"/>
  <c r="DL371" i="329"/>
  <c r="DJ50" i="329" l="1"/>
  <c r="DJ51" i="329" s="1"/>
  <c r="DJ46" i="329"/>
  <c r="DJ375" i="329"/>
  <c r="DJ382" i="329"/>
  <c r="DJ101" i="329"/>
  <c r="DJ102" i="329" s="1"/>
  <c r="DJ147" i="329"/>
  <c r="DJ126" i="329"/>
  <c r="DJ107" i="329"/>
  <c r="DJ108" i="329" s="1"/>
  <c r="DJ105" i="329"/>
  <c r="DJ106" i="329" s="1"/>
  <c r="DJ103" i="329"/>
  <c r="DJ104" i="329" s="1"/>
  <c r="DJ95" i="329"/>
  <c r="DJ120" i="329"/>
  <c r="DL88" i="329"/>
  <c r="DL92" i="329"/>
  <c r="DL89" i="329"/>
  <c r="DM17" i="329"/>
  <c r="EZ82" i="329"/>
  <c r="FA82" i="329" s="1"/>
  <c r="DM87" i="329"/>
  <c r="DM371" i="329"/>
  <c r="CY109" i="3"/>
  <c r="DK379" i="329"/>
  <c r="DK380" i="329"/>
  <c r="DK96" i="329"/>
  <c r="DK97" i="329" s="1"/>
  <c r="DK93" i="329"/>
  <c r="DK122" i="329"/>
  <c r="DK45" i="329"/>
  <c r="DK85" i="329"/>
  <c r="DK94" i="329"/>
  <c r="DK374" i="329"/>
  <c r="DL378" i="329"/>
  <c r="DL379" i="329" s="1"/>
  <c r="DL372" i="329"/>
  <c r="DJ383" i="329" l="1"/>
  <c r="CX112" i="4"/>
  <c r="CX113" i="4" s="1"/>
  <c r="DJ385" i="329"/>
  <c r="DJ160" i="2"/>
  <c r="DJ148" i="329"/>
  <c r="DJ176" i="329"/>
  <c r="DJ393" i="329"/>
  <c r="DJ155" i="2"/>
  <c r="DJ139" i="329"/>
  <c r="DK375" i="329"/>
  <c r="DK382" i="329"/>
  <c r="EZ17" i="329"/>
  <c r="EZ48" i="329" s="1"/>
  <c r="EZ49" i="329" s="1"/>
  <c r="DM48" i="329"/>
  <c r="DM49" i="329" s="1"/>
  <c r="CZ109" i="3"/>
  <c r="DL380" i="329"/>
  <c r="DK46" i="329"/>
  <c r="DK50" i="329"/>
  <c r="DK51" i="329" s="1"/>
  <c r="DM378" i="329"/>
  <c r="EZ371" i="329"/>
  <c r="DM372" i="329"/>
  <c r="DK125" i="329"/>
  <c r="DM89" i="329"/>
  <c r="EZ87" i="329"/>
  <c r="DM88" i="329"/>
  <c r="DM92" i="329"/>
  <c r="DL45" i="329"/>
  <c r="DL85" i="329"/>
  <c r="DL94" i="329"/>
  <c r="DL96" i="329"/>
  <c r="DL97" i="329" s="1"/>
  <c r="DL93" i="329"/>
  <c r="DL122" i="329"/>
  <c r="DL125" i="329" s="1"/>
  <c r="DL374" i="329"/>
  <c r="DK95" i="329"/>
  <c r="DK120" i="329"/>
  <c r="FA17" i="329"/>
  <c r="FA48" i="329" s="1"/>
  <c r="FB82" i="329"/>
  <c r="FA371" i="329"/>
  <c r="FA49" i="329" l="1"/>
  <c r="DJ157" i="2"/>
  <c r="DJ225" i="2"/>
  <c r="DJ168" i="2"/>
  <c r="DJ162" i="2"/>
  <c r="DJ229" i="2"/>
  <c r="DJ164" i="2"/>
  <c r="DJ233" i="2" s="1"/>
  <c r="DJ147" i="2"/>
  <c r="DJ404" i="329"/>
  <c r="DJ407" i="329" s="1"/>
  <c r="CX108" i="3"/>
  <c r="DJ384" i="329"/>
  <c r="DJ386" i="329"/>
  <c r="DJ152" i="329"/>
  <c r="DJ153" i="329" s="1"/>
  <c r="DJ154" i="329" s="1"/>
  <c r="DJ177" i="329"/>
  <c r="DJ178" i="329" s="1"/>
  <c r="DJ156" i="329"/>
  <c r="DJ157" i="329" s="1"/>
  <c r="DJ158" i="329" s="1"/>
  <c r="DJ168" i="329"/>
  <c r="DJ169" i="329" s="1"/>
  <c r="DJ170" i="329" s="1"/>
  <c r="DJ160" i="329"/>
  <c r="DJ161" i="329" s="1"/>
  <c r="DJ162" i="329" s="1"/>
  <c r="DJ164" i="329"/>
  <c r="DJ165" i="329" s="1"/>
  <c r="DJ166" i="329" s="1"/>
  <c r="DL375" i="329"/>
  <c r="DL382" i="329"/>
  <c r="DK101" i="329"/>
  <c r="DK102" i="329" s="1"/>
  <c r="DK105" i="329"/>
  <c r="DK106" i="329" s="1"/>
  <c r="DK126" i="329"/>
  <c r="DK103" i="329"/>
  <c r="DK104" i="329" s="1"/>
  <c r="DK107" i="329"/>
  <c r="DK108" i="329" s="1"/>
  <c r="DK147" i="329"/>
  <c r="DL46" i="329"/>
  <c r="EZ372" i="329"/>
  <c r="EZ378" i="329"/>
  <c r="DL50" i="329"/>
  <c r="DL51" i="329" s="1"/>
  <c r="FA378" i="329"/>
  <c r="FA372" i="329"/>
  <c r="EZ92" i="329"/>
  <c r="DM93" i="329"/>
  <c r="DM122" i="329"/>
  <c r="DM125" i="329" s="1"/>
  <c r="DM45" i="329"/>
  <c r="EZ50" i="329" s="1"/>
  <c r="EZ51" i="329" s="1"/>
  <c r="DM85" i="329"/>
  <c r="EZ85" i="329" s="1"/>
  <c r="EZ374" i="329" s="1"/>
  <c r="DM94" i="329"/>
  <c r="DM96" i="329"/>
  <c r="DM374" i="329"/>
  <c r="DA109" i="3"/>
  <c r="DM380" i="329"/>
  <c r="DL95" i="329"/>
  <c r="DL120" i="329"/>
  <c r="CY112" i="4"/>
  <c r="CY113" i="4" s="1"/>
  <c r="DK383" i="329"/>
  <c r="DK385" i="329"/>
  <c r="FB17" i="329"/>
  <c r="FB48" i="329" s="1"/>
  <c r="FB49" i="329" s="1"/>
  <c r="FC82" i="329"/>
  <c r="FB371" i="329"/>
  <c r="DL103" i="329"/>
  <c r="DL104" i="329" s="1"/>
  <c r="DL107" i="329"/>
  <c r="DL108" i="329" s="1"/>
  <c r="DL147" i="329"/>
  <c r="DL101" i="329"/>
  <c r="DL102" i="329" s="1"/>
  <c r="DL105" i="329"/>
  <c r="DL106" i="329" s="1"/>
  <c r="DL126" i="329"/>
  <c r="FA87" i="329"/>
  <c r="FA89" i="329" s="1"/>
  <c r="EZ88" i="329"/>
  <c r="EZ89" i="329"/>
  <c r="DM379" i="329"/>
  <c r="DJ106" i="2" l="1"/>
  <c r="DJ408" i="329"/>
  <c r="DJ172" i="329"/>
  <c r="DJ173" i="329" s="1"/>
  <c r="DJ174" i="329" s="1"/>
  <c r="DJ231" i="2"/>
  <c r="DJ197" i="2"/>
  <c r="DJ214" i="2" s="1"/>
  <c r="DJ16" i="2"/>
  <c r="DJ166" i="2"/>
  <c r="DJ235" i="2" s="1"/>
  <c r="DM50" i="329"/>
  <c r="DM51" i="329" s="1"/>
  <c r="DJ421" i="329"/>
  <c r="DJ151" i="2"/>
  <c r="DJ170" i="2"/>
  <c r="DJ199" i="2"/>
  <c r="DJ216" i="2" s="1"/>
  <c r="DJ237" i="2"/>
  <c r="DJ203" i="2"/>
  <c r="DJ411" i="329"/>
  <c r="DJ405" i="329"/>
  <c r="DJ7" i="2"/>
  <c r="DJ388" i="329"/>
  <c r="DJ149" i="2"/>
  <c r="DJ187" i="2" s="1"/>
  <c r="DJ210" i="2" s="1"/>
  <c r="DJ389" i="329"/>
  <c r="DJ412" i="329"/>
  <c r="DJ390" i="329"/>
  <c r="DJ391" i="329"/>
  <c r="DJ227" i="2"/>
  <c r="DM103" i="329"/>
  <c r="DM104" i="329" s="1"/>
  <c r="DM107" i="329"/>
  <c r="DM108" i="329" s="1"/>
  <c r="DM147" i="329"/>
  <c r="EZ147" i="329" s="1"/>
  <c r="DM101" i="329"/>
  <c r="DM102" i="329" s="1"/>
  <c r="DM105" i="329"/>
  <c r="DM106" i="329" s="1"/>
  <c r="DM126" i="329"/>
  <c r="EN109" i="3"/>
  <c r="FA379" i="329"/>
  <c r="EN89" i="4" s="1"/>
  <c r="FA380" i="329"/>
  <c r="EZ122" i="329"/>
  <c r="EZ375" i="329"/>
  <c r="EZ382" i="329"/>
  <c r="EZ93" i="329"/>
  <c r="FC17" i="329"/>
  <c r="FC48" i="329" s="1"/>
  <c r="FC49" i="329" s="1"/>
  <c r="FD82" i="329"/>
  <c r="FC371" i="329"/>
  <c r="DK148" i="329"/>
  <c r="DK176" i="329"/>
  <c r="DK160" i="2"/>
  <c r="DK139" i="329"/>
  <c r="DK155" i="2"/>
  <c r="DK393" i="329"/>
  <c r="FB87" i="329"/>
  <c r="FA88" i="329"/>
  <c r="DL155" i="2"/>
  <c r="DL148" i="329"/>
  <c r="DL176" i="329"/>
  <c r="DL160" i="2"/>
  <c r="DL139" i="329"/>
  <c r="DL393" i="329"/>
  <c r="FB378" i="329"/>
  <c r="FB372" i="329"/>
  <c r="CY108" i="3"/>
  <c r="DK384" i="329"/>
  <c r="DK386" i="329"/>
  <c r="DM375" i="329"/>
  <c r="DM382" i="329"/>
  <c r="EZ45" i="329"/>
  <c r="DM46" i="329"/>
  <c r="EM109" i="3"/>
  <c r="EZ379" i="329"/>
  <c r="EM89" i="4" s="1"/>
  <c r="EZ380" i="329"/>
  <c r="CZ112" i="4"/>
  <c r="CZ113" i="4" s="1"/>
  <c r="DL383" i="329"/>
  <c r="DL385" i="329"/>
  <c r="EZ96" i="329"/>
  <c r="EZ97" i="329" s="1"/>
  <c r="DM97" i="329"/>
  <c r="DM95" i="329"/>
  <c r="DM120" i="329"/>
  <c r="EZ125" i="329"/>
  <c r="EZ94" i="329"/>
  <c r="DJ239" i="2" l="1"/>
  <c r="DJ201" i="2"/>
  <c r="DJ218" i="2" s="1"/>
  <c r="DJ221" i="2"/>
  <c r="DJ175" i="2"/>
  <c r="DJ153" i="2"/>
  <c r="CX102" i="3"/>
  <c r="DJ137" i="2"/>
  <c r="DJ138" i="2" s="1"/>
  <c r="DJ109" i="2"/>
  <c r="DJ79" i="2"/>
  <c r="DJ94" i="2" s="1"/>
  <c r="DJ128" i="2" s="1"/>
  <c r="DJ135" i="2"/>
  <c r="DJ136" i="2" s="1"/>
  <c r="CX103" i="4"/>
  <c r="DJ19" i="2"/>
  <c r="DJ107" i="2"/>
  <c r="DJ85" i="2"/>
  <c r="DJ99" i="2" s="1"/>
  <c r="CX100" i="3"/>
  <c r="DJ124" i="2"/>
  <c r="DJ120" i="2"/>
  <c r="FC87" i="329"/>
  <c r="FB88" i="329"/>
  <c r="EZ46" i="329"/>
  <c r="DL162" i="2"/>
  <c r="DL164" i="2"/>
  <c r="DL233" i="2" s="1"/>
  <c r="DL229" i="2"/>
  <c r="FB89" i="329"/>
  <c r="EZ139" i="329"/>
  <c r="FA138" i="329" s="1"/>
  <c r="FA140" i="329" s="1"/>
  <c r="EZ148" i="329"/>
  <c r="DK147" i="2"/>
  <c r="DK404" i="329"/>
  <c r="DK407" i="329" s="1"/>
  <c r="EZ120" i="329"/>
  <c r="EZ98" i="329"/>
  <c r="EZ95" i="329"/>
  <c r="CZ108" i="3"/>
  <c r="DL386" i="329"/>
  <c r="DL384" i="329"/>
  <c r="DA112" i="4"/>
  <c r="DA113" i="4" s="1"/>
  <c r="DM385" i="329"/>
  <c r="DM383" i="329"/>
  <c r="DL156" i="329"/>
  <c r="DL157" i="329" s="1"/>
  <c r="DL158" i="329" s="1"/>
  <c r="DL160" i="329"/>
  <c r="DL161" i="329" s="1"/>
  <c r="DL162" i="329" s="1"/>
  <c r="DL164" i="329"/>
  <c r="DL165" i="329" s="1"/>
  <c r="DL166" i="329" s="1"/>
  <c r="DL152" i="329"/>
  <c r="DL153" i="329" s="1"/>
  <c r="DL154" i="329" s="1"/>
  <c r="DL177" i="329"/>
  <c r="DL178" i="329" s="1"/>
  <c r="DL168" i="329"/>
  <c r="DL169" i="329" s="1"/>
  <c r="DL170" i="329" s="1"/>
  <c r="DM160" i="2"/>
  <c r="DM139" i="329"/>
  <c r="DM155" i="2"/>
  <c r="EZ155" i="2" s="1"/>
  <c r="DM148" i="329"/>
  <c r="DM176" i="329"/>
  <c r="EZ176" i="329" s="1"/>
  <c r="EZ177" i="329" s="1"/>
  <c r="EZ178" i="329" s="1"/>
  <c r="DM393" i="329"/>
  <c r="EZ393" i="329" s="1"/>
  <c r="DK164" i="2"/>
  <c r="DK233" i="2" s="1"/>
  <c r="DK229" i="2"/>
  <c r="DK162" i="2"/>
  <c r="FC378" i="329"/>
  <c r="FC372" i="329"/>
  <c r="EZ101" i="329"/>
  <c r="EZ102" i="329" s="1"/>
  <c r="EZ105" i="329"/>
  <c r="EZ106" i="329" s="1"/>
  <c r="EZ126" i="329"/>
  <c r="EZ103" i="329"/>
  <c r="EZ107" i="329"/>
  <c r="EZ108" i="329" s="1"/>
  <c r="DL147" i="2"/>
  <c r="DL404" i="329"/>
  <c r="EN68" i="4"/>
  <c r="EN70" i="4" s="1"/>
  <c r="EN72" i="4"/>
  <c r="EN74" i="4" s="1"/>
  <c r="EM68" i="4"/>
  <c r="EM70" i="4" s="1"/>
  <c r="EM72" i="4"/>
  <c r="EM74" i="4" s="1"/>
  <c r="EO109" i="3"/>
  <c r="FB379" i="329"/>
  <c r="EO89" i="4" s="1"/>
  <c r="FB380" i="329"/>
  <c r="DL225" i="2"/>
  <c r="DL157" i="2"/>
  <c r="DL168" i="2"/>
  <c r="DK157" i="2"/>
  <c r="DK168" i="2"/>
  <c r="DK225" i="2"/>
  <c r="DK152" i="329"/>
  <c r="DK177" i="329"/>
  <c r="DK178" i="329" s="1"/>
  <c r="DK168" i="329"/>
  <c r="DK156" i="329"/>
  <c r="DK160" i="329"/>
  <c r="DK164" i="329"/>
  <c r="FD17" i="329"/>
  <c r="FD48" i="329" s="1"/>
  <c r="FD49" i="329" s="1"/>
  <c r="FE82" i="329"/>
  <c r="FD371" i="329"/>
  <c r="EM112" i="4"/>
  <c r="EM113" i="4" s="1"/>
  <c r="EZ385" i="329"/>
  <c r="EZ383" i="329"/>
  <c r="CX33" i="3" l="1"/>
  <c r="CX27" i="3"/>
  <c r="CX20" i="3"/>
  <c r="CX25" i="3"/>
  <c r="CX11" i="3"/>
  <c r="CX9" i="3"/>
  <c r="CX20" i="4" s="1"/>
  <c r="DJ11" i="2"/>
  <c r="DJ110" i="2"/>
  <c r="DJ223" i="2"/>
  <c r="DJ8" i="2"/>
  <c r="DJ177" i="2"/>
  <c r="EZ179" i="2"/>
  <c r="EZ225" i="2"/>
  <c r="DK161" i="329"/>
  <c r="DK162" i="329" s="1"/>
  <c r="DK203" i="2"/>
  <c r="DK237" i="2"/>
  <c r="DK170" i="2"/>
  <c r="DK199" i="2"/>
  <c r="DK216" i="2" s="1"/>
  <c r="DL170" i="2"/>
  <c r="DL199" i="2"/>
  <c r="DL216" i="2" s="1"/>
  <c r="DL203" i="2"/>
  <c r="DL237" i="2"/>
  <c r="DL7" i="2"/>
  <c r="DL149" i="2"/>
  <c r="DL187" i="2" s="1"/>
  <c r="DL210" i="2" s="1"/>
  <c r="DL391" i="329"/>
  <c r="DL388" i="329"/>
  <c r="DL389" i="329"/>
  <c r="DL411" i="329"/>
  <c r="DL390" i="329"/>
  <c r="DL405" i="329"/>
  <c r="DL412" i="329"/>
  <c r="EZ104" i="329"/>
  <c r="DK16" i="2"/>
  <c r="DK166" i="2"/>
  <c r="DK235" i="2" s="1"/>
  <c r="DK197" i="2"/>
  <c r="DK214" i="2" s="1"/>
  <c r="DK231" i="2"/>
  <c r="DM168" i="329"/>
  <c r="DM169" i="329" s="1"/>
  <c r="DM170" i="329" s="1"/>
  <c r="DM156" i="329"/>
  <c r="DM157" i="329" s="1"/>
  <c r="DM158" i="329" s="1"/>
  <c r="DM160" i="329"/>
  <c r="DM161" i="329" s="1"/>
  <c r="DM162" i="329" s="1"/>
  <c r="DM164" i="329"/>
  <c r="DM165" i="329" s="1"/>
  <c r="DM166" i="329" s="1"/>
  <c r="DM152" i="329"/>
  <c r="DM153" i="329" s="1"/>
  <c r="DM154" i="329" s="1"/>
  <c r="DM177" i="329"/>
  <c r="DM178" i="329" s="1"/>
  <c r="DM162" i="2"/>
  <c r="DM164" i="2"/>
  <c r="DM233" i="2" s="1"/>
  <c r="DM229" i="2"/>
  <c r="DK151" i="2"/>
  <c r="DK421" i="329"/>
  <c r="FE17" i="329"/>
  <c r="FE48" i="329" s="1"/>
  <c r="FE49" i="329" s="1"/>
  <c r="FF82" i="329"/>
  <c r="FE371" i="329"/>
  <c r="DM168" i="2"/>
  <c r="DM225" i="2"/>
  <c r="DM157" i="2"/>
  <c r="EZ157" i="2" s="1"/>
  <c r="DK169" i="329"/>
  <c r="DK170" i="329" s="1"/>
  <c r="FD372" i="329"/>
  <c r="FD378" i="329"/>
  <c r="DK165" i="329"/>
  <c r="DK166" i="329" s="1"/>
  <c r="DL227" i="2"/>
  <c r="DL407" i="329"/>
  <c r="EZ123" i="329"/>
  <c r="EP109" i="3"/>
  <c r="FC380" i="329"/>
  <c r="FC379" i="329"/>
  <c r="EP89" i="4" s="1"/>
  <c r="FA110" i="329"/>
  <c r="DK106" i="2"/>
  <c r="DK408" i="329"/>
  <c r="EZ147" i="2"/>
  <c r="EZ404" i="329"/>
  <c r="FA141" i="329"/>
  <c r="FA142" i="329"/>
  <c r="FA143" i="329"/>
  <c r="FA394" i="329"/>
  <c r="FA104" i="2" s="1"/>
  <c r="FA222" i="329"/>
  <c r="DL16" i="2"/>
  <c r="DL166" i="2"/>
  <c r="DL235" i="2" s="1"/>
  <c r="DL197" i="2"/>
  <c r="DL214" i="2" s="1"/>
  <c r="DL231" i="2"/>
  <c r="FD87" i="329"/>
  <c r="FC88" i="329"/>
  <c r="EM108" i="3"/>
  <c r="EZ384" i="329"/>
  <c r="EZ386" i="329"/>
  <c r="DK172" i="329"/>
  <c r="DL151" i="2"/>
  <c r="DL421" i="329"/>
  <c r="DL172" i="329"/>
  <c r="DL173" i="329" s="1"/>
  <c r="DL174" i="329" s="1"/>
  <c r="DK157" i="329"/>
  <c r="DK158" i="329" s="1"/>
  <c r="DK153" i="329"/>
  <c r="DK154" i="329" s="1"/>
  <c r="DK227" i="2"/>
  <c r="EO68" i="4"/>
  <c r="EO70" i="4" s="1"/>
  <c r="EO72" i="4"/>
  <c r="EO74" i="4" s="1"/>
  <c r="EZ160" i="2"/>
  <c r="DM147" i="2"/>
  <c r="DM404" i="329"/>
  <c r="DM407" i="329" s="1"/>
  <c r="DA108" i="3"/>
  <c r="DM386" i="329"/>
  <c r="DM384" i="329"/>
  <c r="EZ99" i="329"/>
  <c r="DK7" i="2"/>
  <c r="DK149" i="2"/>
  <c r="DK187" i="2" s="1"/>
  <c r="DK210" i="2" s="1"/>
  <c r="DK388" i="329"/>
  <c r="DK389" i="329"/>
  <c r="DK411" i="329"/>
  <c r="DK390" i="329"/>
  <c r="DK405" i="329"/>
  <c r="DK391" i="329"/>
  <c r="FC89" i="329"/>
  <c r="EZ156" i="329" l="1"/>
  <c r="FA156" i="329" s="1"/>
  <c r="CX23" i="4"/>
  <c r="EZ164" i="329"/>
  <c r="EZ184" i="329" s="1"/>
  <c r="CX101" i="3"/>
  <c r="DJ9" i="2"/>
  <c r="CX9" i="4"/>
  <c r="CX105" i="4"/>
  <c r="DJ80" i="2"/>
  <c r="DJ95" i="2" s="1"/>
  <c r="CY100" i="3"/>
  <c r="CY103" i="4"/>
  <c r="DK19" i="2"/>
  <c r="DK107" i="2"/>
  <c r="DK85" i="2"/>
  <c r="DK99" i="2" s="1"/>
  <c r="DL175" i="2"/>
  <c r="DL221" i="2"/>
  <c r="DL153" i="2"/>
  <c r="EZ187" i="2"/>
  <c r="EZ210" i="2" s="1"/>
  <c r="EZ227" i="2"/>
  <c r="EZ189" i="2"/>
  <c r="EZ229" i="2"/>
  <c r="EZ164" i="2"/>
  <c r="EZ233" i="2" s="1"/>
  <c r="FE87" i="329"/>
  <c r="FE89" i="329" s="1"/>
  <c r="FD88" i="329"/>
  <c r="FA118" i="2"/>
  <c r="FA122" i="2"/>
  <c r="EM87" i="4"/>
  <c r="EZ149" i="2"/>
  <c r="EZ389" i="329"/>
  <c r="EZ411" i="329"/>
  <c r="EZ390" i="329"/>
  <c r="EZ405" i="329"/>
  <c r="EZ391" i="329"/>
  <c r="EZ388" i="329"/>
  <c r="EQ109" i="3"/>
  <c r="FD379" i="329"/>
  <c r="EQ89" i="4" s="1"/>
  <c r="FD380" i="329"/>
  <c r="FE378" i="329"/>
  <c r="FE372" i="329"/>
  <c r="DK175" i="2"/>
  <c r="DK221" i="2"/>
  <c r="DK153" i="2"/>
  <c r="EZ160" i="329"/>
  <c r="DK412" i="329"/>
  <c r="EZ152" i="329"/>
  <c r="FA99" i="329"/>
  <c r="FA92" i="329"/>
  <c r="DM7" i="2"/>
  <c r="EZ7" i="2" s="1"/>
  <c r="DM149" i="2"/>
  <c r="DM187" i="2" s="1"/>
  <c r="DM210" i="2" s="1"/>
  <c r="DM390" i="329"/>
  <c r="DM405" i="329"/>
  <c r="DM391" i="329"/>
  <c r="DM388" i="329"/>
  <c r="DM389" i="329"/>
  <c r="DM411" i="329"/>
  <c r="FD89" i="329"/>
  <c r="CZ102" i="3"/>
  <c r="DL137" i="2"/>
  <c r="DL138" i="2" s="1"/>
  <c r="DL79" i="2"/>
  <c r="DL94" i="2" s="1"/>
  <c r="DL135" i="2"/>
  <c r="DL136" i="2" s="1"/>
  <c r="DL109" i="2"/>
  <c r="DM227" i="2"/>
  <c r="FF17" i="329"/>
  <c r="FF48" i="329" s="1"/>
  <c r="FF49" i="329" s="1"/>
  <c r="FG82" i="329"/>
  <c r="FF371" i="329"/>
  <c r="DM172" i="329"/>
  <c r="DM173" i="329" s="1"/>
  <c r="DM174" i="329" s="1"/>
  <c r="DK201" i="2"/>
  <c r="DK218" i="2" s="1"/>
  <c r="DK239" i="2"/>
  <c r="DM106" i="2"/>
  <c r="DM408" i="329"/>
  <c r="DM151" i="2"/>
  <c r="DM421" i="329"/>
  <c r="DK173" i="329"/>
  <c r="DK174" i="329" s="1"/>
  <c r="FA223" i="329"/>
  <c r="FA224" i="329"/>
  <c r="DK120" i="2"/>
  <c r="DK124" i="2"/>
  <c r="EP68" i="4"/>
  <c r="EP70" i="4" s="1"/>
  <c r="EP72" i="4"/>
  <c r="EP74" i="4" s="1"/>
  <c r="DL106" i="2"/>
  <c r="DL408" i="329"/>
  <c r="EZ168" i="329"/>
  <c r="DM170" i="2"/>
  <c r="DM199" i="2"/>
  <c r="DM216" i="2" s="1"/>
  <c r="DM203" i="2"/>
  <c r="DM237" i="2"/>
  <c r="DM16" i="2"/>
  <c r="EZ16" i="2" s="1"/>
  <c r="DM197" i="2"/>
  <c r="DM214" i="2" s="1"/>
  <c r="DM231" i="2"/>
  <c r="DM166" i="2"/>
  <c r="DM235" i="2" s="1"/>
  <c r="EZ162" i="2"/>
  <c r="CY102" i="3"/>
  <c r="DK79" i="2"/>
  <c r="DK94" i="2" s="1"/>
  <c r="DK128" i="2" s="1"/>
  <c r="DK135" i="2"/>
  <c r="DK136" i="2" s="1"/>
  <c r="DK109" i="2"/>
  <c r="DK137" i="2"/>
  <c r="DK138" i="2" s="1"/>
  <c r="CZ100" i="3"/>
  <c r="CZ103" i="4"/>
  <c r="DL19" i="2"/>
  <c r="DL107" i="2"/>
  <c r="DL85" i="2"/>
  <c r="DL99" i="2" s="1"/>
  <c r="DL201" i="2"/>
  <c r="DL218" i="2" s="1"/>
  <c r="DL239" i="2"/>
  <c r="EZ168" i="2"/>
  <c r="EZ208" i="2"/>
  <c r="EZ242" i="2" s="1"/>
  <c r="FA208" i="2"/>
  <c r="FA242" i="2" s="1"/>
  <c r="DM412" i="329" l="1"/>
  <c r="EZ182" i="329"/>
  <c r="EZ157" i="329"/>
  <c r="EZ158" i="329" s="1"/>
  <c r="EZ165" i="329"/>
  <c r="FA165" i="329" s="1"/>
  <c r="EZ172" i="329"/>
  <c r="EZ173" i="329" s="1"/>
  <c r="EZ174" i="329" s="1"/>
  <c r="CX15" i="3"/>
  <c r="DJ76" i="2"/>
  <c r="DJ91" i="2" s="1"/>
  <c r="DJ127" i="2" s="1"/>
  <c r="DJ108" i="2"/>
  <c r="DJ17" i="2"/>
  <c r="DJ158" i="2"/>
  <c r="CX26" i="3"/>
  <c r="CX25" i="4" s="1"/>
  <c r="CX24" i="3"/>
  <c r="CX10" i="3"/>
  <c r="CX133" i="3" s="1"/>
  <c r="EM100" i="3"/>
  <c r="EM103" i="4"/>
  <c r="EZ14" i="2"/>
  <c r="EZ13" i="2"/>
  <c r="EZ85" i="2"/>
  <c r="EZ99" i="2" s="1"/>
  <c r="EZ107" i="2"/>
  <c r="EZ407" i="329"/>
  <c r="EZ412" i="329"/>
  <c r="CZ9" i="3"/>
  <c r="CZ27" i="3"/>
  <c r="CZ11" i="3"/>
  <c r="CZ25" i="3"/>
  <c r="CZ33" i="3"/>
  <c r="CZ20" i="3"/>
  <c r="DL120" i="2"/>
  <c r="DL124" i="2"/>
  <c r="FF378" i="329"/>
  <c r="FF372" i="329"/>
  <c r="FA96" i="329"/>
  <c r="FA97" i="329" s="1"/>
  <c r="FA93" i="329"/>
  <c r="FA122" i="329"/>
  <c r="FA125" i="329" s="1"/>
  <c r="FA45" i="329"/>
  <c r="FA85" i="329"/>
  <c r="FA374" i="329"/>
  <c r="FA94" i="329"/>
  <c r="DL11" i="2"/>
  <c r="DL110" i="2"/>
  <c r="EM102" i="3"/>
  <c r="EZ135" i="2"/>
  <c r="EZ136" i="2" s="1"/>
  <c r="EZ109" i="2"/>
  <c r="EZ137" i="2"/>
  <c r="EZ138" i="2" s="1"/>
  <c r="EZ79" i="2"/>
  <c r="EZ94" i="2" s="1"/>
  <c r="EZ166" i="2"/>
  <c r="EZ235" i="2" s="1"/>
  <c r="EZ197" i="2"/>
  <c r="EZ214" i="2" s="1"/>
  <c r="EZ231" i="2"/>
  <c r="DA102" i="3"/>
  <c r="DM109" i="2"/>
  <c r="DM137" i="2"/>
  <c r="DM138" i="2" s="1"/>
  <c r="DM79" i="2"/>
  <c r="DM94" i="2" s="1"/>
  <c r="DM128" i="2" s="1"/>
  <c r="DM135" i="2"/>
  <c r="DM136" i="2" s="1"/>
  <c r="DM239" i="2"/>
  <c r="DM201" i="2"/>
  <c r="DM218" i="2" s="1"/>
  <c r="FG17" i="329"/>
  <c r="FG48" i="329" s="1"/>
  <c r="FG49" i="329" s="1"/>
  <c r="FH82" i="329"/>
  <c r="FG371" i="329"/>
  <c r="EZ183" i="329"/>
  <c r="FA160" i="329"/>
  <c r="EZ161" i="329"/>
  <c r="EQ68" i="4"/>
  <c r="EQ70" i="4" s="1"/>
  <c r="EQ72" i="4"/>
  <c r="EQ74" i="4" s="1"/>
  <c r="DK11" i="2"/>
  <c r="DK110" i="2"/>
  <c r="EZ169" i="329"/>
  <c r="EZ185" i="329"/>
  <c r="DM153" i="2"/>
  <c r="EZ153" i="2" s="1"/>
  <c r="DM175" i="2"/>
  <c r="DM221" i="2"/>
  <c r="FB156" i="329"/>
  <c r="FB99" i="329"/>
  <c r="FB92" i="329"/>
  <c r="FB94" i="329" s="1"/>
  <c r="EZ151" i="2"/>
  <c r="EM79" i="4"/>
  <c r="EM76" i="4"/>
  <c r="FA212" i="2"/>
  <c r="FA243" i="2" s="1"/>
  <c r="EZ212" i="2"/>
  <c r="EZ243" i="2" s="1"/>
  <c r="DL8" i="2"/>
  <c r="DL177" i="2"/>
  <c r="DL223" i="2"/>
  <c r="DM124" i="2"/>
  <c r="DM120" i="2"/>
  <c r="EZ203" i="2"/>
  <c r="EZ237" i="2"/>
  <c r="EZ199" i="2"/>
  <c r="EZ216" i="2" s="1"/>
  <c r="EZ170" i="2"/>
  <c r="DL128" i="2"/>
  <c r="DA100" i="3"/>
  <c r="DA103" i="4"/>
  <c r="DM19" i="2"/>
  <c r="DM85" i="2"/>
  <c r="DM99" i="2" s="1"/>
  <c r="DM107" i="2"/>
  <c r="EZ153" i="329"/>
  <c r="EZ181" i="329"/>
  <c r="DK8" i="2"/>
  <c r="DK177" i="2"/>
  <c r="DK223" i="2"/>
  <c r="ER109" i="3"/>
  <c r="FE379" i="329"/>
  <c r="ER89" i="4" s="1"/>
  <c r="FE380" i="329"/>
  <c r="FF87" i="329"/>
  <c r="FF89" i="329" s="1"/>
  <c r="FE88" i="329"/>
  <c r="CY11" i="3"/>
  <c r="CY25" i="3"/>
  <c r="CY33" i="3"/>
  <c r="CY20" i="3"/>
  <c r="CY9" i="3"/>
  <c r="CY27" i="3"/>
  <c r="EZ186" i="329" l="1"/>
  <c r="EZ187" i="329" s="1"/>
  <c r="FA158" i="329"/>
  <c r="EZ166" i="329"/>
  <c r="CX97" i="3"/>
  <c r="CX87" i="3"/>
  <c r="CX88" i="3" s="1"/>
  <c r="CX95" i="3"/>
  <c r="CX96" i="3" s="1"/>
  <c r="CX132" i="3"/>
  <c r="CX91" i="3"/>
  <c r="CX92" i="3" s="1"/>
  <c r="CX21" i="4"/>
  <c r="CX89" i="3"/>
  <c r="CX129" i="3"/>
  <c r="CX130" i="3"/>
  <c r="CX30" i="3"/>
  <c r="CX35" i="3" s="1"/>
  <c r="CX24" i="4"/>
  <c r="DJ82" i="2"/>
  <c r="DJ97" i="2" s="1"/>
  <c r="DJ141" i="2"/>
  <c r="DJ83" i="2"/>
  <c r="DJ132" i="2"/>
  <c r="CX111" i="3"/>
  <c r="DJ25" i="2"/>
  <c r="CX104" i="4"/>
  <c r="CX106" i="4" s="1"/>
  <c r="DJ171" i="2"/>
  <c r="DJ111" i="2"/>
  <c r="DJ20" i="2"/>
  <c r="FB95" i="329"/>
  <c r="FB120" i="329"/>
  <c r="CZ23" i="4"/>
  <c r="CY23" i="4"/>
  <c r="DM11" i="2"/>
  <c r="DM110" i="2"/>
  <c r="CY9" i="4"/>
  <c r="CY105" i="4"/>
  <c r="DK80" i="2"/>
  <c r="DK95" i="2" s="1"/>
  <c r="CZ9" i="4"/>
  <c r="CZ105" i="4"/>
  <c r="DL80" i="2"/>
  <c r="DL95" i="2" s="1"/>
  <c r="FA46" i="329"/>
  <c r="FA50" i="329"/>
  <c r="FA51" i="329" s="1"/>
  <c r="EZ106" i="2"/>
  <c r="EZ128" i="2" s="1"/>
  <c r="EZ408" i="329"/>
  <c r="EM113" i="3"/>
  <c r="DK13" i="2"/>
  <c r="DL13" i="2"/>
  <c r="DM13" i="2"/>
  <c r="DJ13" i="2"/>
  <c r="EZ131" i="2"/>
  <c r="EZ142" i="2"/>
  <c r="EZ143" i="2" s="1"/>
  <c r="CZ20" i="4"/>
  <c r="CY20" i="4"/>
  <c r="FA153" i="329"/>
  <c r="EZ154" i="329"/>
  <c r="CZ101" i="3"/>
  <c r="DL9" i="2"/>
  <c r="EM82" i="4"/>
  <c r="EM32" i="4" s="1"/>
  <c r="FC99" i="329"/>
  <c r="FC92" i="329"/>
  <c r="FC94" i="329" s="1"/>
  <c r="DM8" i="2"/>
  <c r="EZ8" i="2" s="1"/>
  <c r="EM101" i="3" s="1"/>
  <c r="DM177" i="2"/>
  <c r="DM223" i="2"/>
  <c r="EZ19" i="2"/>
  <c r="EZ162" i="329"/>
  <c r="FA162" i="329"/>
  <c r="FA95" i="329"/>
  <c r="FA120" i="329"/>
  <c r="FA105" i="329"/>
  <c r="FA106" i="329" s="1"/>
  <c r="FA126" i="329"/>
  <c r="FA107" i="329"/>
  <c r="FA108" i="329" s="1"/>
  <c r="FA147" i="329"/>
  <c r="DJ14" i="2"/>
  <c r="DJ78" i="2" s="1"/>
  <c r="DJ93" i="2" s="1"/>
  <c r="DK14" i="2"/>
  <c r="DK78" i="2" s="1"/>
  <c r="DK93" i="2" s="1"/>
  <c r="DL14" i="2"/>
  <c r="DL78" i="2" s="1"/>
  <c r="DL93" i="2" s="1"/>
  <c r="DM14" i="2"/>
  <c r="DM78" i="2" s="1"/>
  <c r="DM93" i="2" s="1"/>
  <c r="FB165" i="329"/>
  <c r="FA166" i="329"/>
  <c r="FA164" i="329"/>
  <c r="EZ175" i="2"/>
  <c r="EZ221" i="2"/>
  <c r="FB160" i="329"/>
  <c r="FG378" i="329"/>
  <c r="FG372" i="329"/>
  <c r="FA375" i="329"/>
  <c r="FA382" i="329"/>
  <c r="CY101" i="3"/>
  <c r="DK9" i="2"/>
  <c r="FG87" i="329"/>
  <c r="FF88" i="329"/>
  <c r="ER68" i="4"/>
  <c r="ER70" i="4" s="1"/>
  <c r="ER72" i="4"/>
  <c r="ER74" i="4" s="1"/>
  <c r="EZ177" i="2"/>
  <c r="EZ223" i="2"/>
  <c r="DA20" i="3"/>
  <c r="EM20" i="3" s="1"/>
  <c r="EM56" i="3" s="1"/>
  <c r="EN56" i="3" s="1"/>
  <c r="DA9" i="3"/>
  <c r="DA20" i="4" s="1"/>
  <c r="DA27" i="3"/>
  <c r="EM27" i="3" s="1"/>
  <c r="EM59" i="3" s="1"/>
  <c r="EN59" i="3" s="1"/>
  <c r="DA11" i="3"/>
  <c r="EM11" i="3" s="1"/>
  <c r="DA25" i="3"/>
  <c r="DA33" i="3"/>
  <c r="EM33" i="3" s="1"/>
  <c r="EZ239" i="2"/>
  <c r="EZ201" i="2"/>
  <c r="EZ218" i="2" s="1"/>
  <c r="FB45" i="329"/>
  <c r="FB85" i="329"/>
  <c r="FB96" i="329"/>
  <c r="FB97" i="329" s="1"/>
  <c r="FB93" i="329"/>
  <c r="FB374" i="329"/>
  <c r="FC156" i="329"/>
  <c r="FA169" i="329"/>
  <c r="EZ170" i="329"/>
  <c r="FH17" i="329"/>
  <c r="FH48" i="329" s="1"/>
  <c r="FH49" i="329" s="1"/>
  <c r="FH371" i="329"/>
  <c r="ES109" i="3"/>
  <c r="FF379" i="329"/>
  <c r="ES89" i="4" s="1"/>
  <c r="FF380" i="329"/>
  <c r="FB122" i="329" l="1"/>
  <c r="CX90" i="3"/>
  <c r="CX93" i="3"/>
  <c r="CX94" i="3" s="1"/>
  <c r="CX27" i="4"/>
  <c r="CX28" i="4"/>
  <c r="CX112" i="3"/>
  <c r="CX69" i="3" s="1"/>
  <c r="DJ112" i="2"/>
  <c r="DJ84" i="2"/>
  <c r="DJ98" i="2" s="1"/>
  <c r="DJ27" i="2"/>
  <c r="DJ30" i="2" s="1"/>
  <c r="DJ113" i="2"/>
  <c r="DJ86" i="2"/>
  <c r="DJ100" i="2" s="1"/>
  <c r="FC95" i="329"/>
  <c r="FC120" i="329"/>
  <c r="FC165" i="329"/>
  <c r="FB166" i="329"/>
  <c r="FH372" i="329"/>
  <c r="FH378" i="329"/>
  <c r="EO56" i="3"/>
  <c r="FH87" i="329"/>
  <c r="FH88" i="329" s="1"/>
  <c r="FG88" i="329"/>
  <c r="EN112" i="4"/>
  <c r="EN113" i="4" s="1"/>
  <c r="FA383" i="329"/>
  <c r="FA385" i="329"/>
  <c r="ET109" i="3"/>
  <c r="FG380" i="329"/>
  <c r="FG379" i="329"/>
  <c r="ET89" i="4" s="1"/>
  <c r="FB164" i="329"/>
  <c r="FB110" i="329"/>
  <c r="CZ10" i="3"/>
  <c r="CZ24" i="3"/>
  <c r="CZ26" i="3"/>
  <c r="EM20" i="4"/>
  <c r="CZ113" i="3"/>
  <c r="DL77" i="2"/>
  <c r="DL92" i="2" s="1"/>
  <c r="DL131" i="2"/>
  <c r="DL142" i="2"/>
  <c r="DL143" i="2" s="1"/>
  <c r="DL15" i="2"/>
  <c r="ES68" i="4"/>
  <c r="ES70" i="4" s="1"/>
  <c r="ES72" i="4"/>
  <c r="ES74" i="4" s="1"/>
  <c r="FB46" i="329"/>
  <c r="EM25" i="3"/>
  <c r="FD156" i="329"/>
  <c r="EM55" i="3"/>
  <c r="EN55" i="3" s="1"/>
  <c r="FG89" i="329"/>
  <c r="CY10" i="3"/>
  <c r="CY24" i="3"/>
  <c r="CY26" i="3"/>
  <c r="CY25" i="4" s="1"/>
  <c r="FD92" i="329"/>
  <c r="FD94" i="329" s="1"/>
  <c r="FD99" i="329"/>
  <c r="CX113" i="3"/>
  <c r="DJ131" i="2"/>
  <c r="DJ77" i="2"/>
  <c r="DJ92" i="2" s="1"/>
  <c r="DJ142" i="2"/>
  <c r="DJ143" i="2" s="1"/>
  <c r="DJ15" i="2"/>
  <c r="CY113" i="3"/>
  <c r="DK77" i="2"/>
  <c r="DK92" i="2" s="1"/>
  <c r="DK131" i="2"/>
  <c r="DK142" i="2"/>
  <c r="DK143" i="2" s="1"/>
  <c r="EZ120" i="2"/>
  <c r="EZ124" i="2"/>
  <c r="DK15" i="2"/>
  <c r="DA101" i="3"/>
  <c r="DM9" i="2"/>
  <c r="EZ9" i="2" s="1"/>
  <c r="EM85" i="4"/>
  <c r="EM83" i="4"/>
  <c r="EM115" i="3"/>
  <c r="DA23" i="4"/>
  <c r="EM23" i="4" s="1"/>
  <c r="FB50" i="329"/>
  <c r="FB51" i="329" s="1"/>
  <c r="DA9" i="4"/>
  <c r="EM9" i="4" s="1"/>
  <c r="DA105" i="4"/>
  <c r="DM15" i="2"/>
  <c r="DM80" i="2"/>
  <c r="DM95" i="2" s="1"/>
  <c r="FB375" i="329"/>
  <c r="FB382" i="329"/>
  <c r="EO59" i="3"/>
  <c r="FB169" i="329"/>
  <c r="FA170" i="329"/>
  <c r="FA168" i="329"/>
  <c r="EN33" i="3"/>
  <c r="EM60" i="3"/>
  <c r="EN60" i="3" s="1"/>
  <c r="EO60" i="3" s="1"/>
  <c r="EP60" i="3" s="1"/>
  <c r="EQ60" i="3" s="1"/>
  <c r="ER60" i="3" s="1"/>
  <c r="ES60" i="3" s="1"/>
  <c r="ET60" i="3" s="1"/>
  <c r="EU60" i="3" s="1"/>
  <c r="EM9" i="3"/>
  <c r="DK17" i="2"/>
  <c r="DK108" i="2"/>
  <c r="DK76" i="2"/>
  <c r="DK91" i="2" s="1"/>
  <c r="DK127" i="2" s="1"/>
  <c r="DK158" i="2"/>
  <c r="FC160" i="329"/>
  <c r="FA148" i="329"/>
  <c r="FA176" i="329"/>
  <c r="FA101" i="329"/>
  <c r="FA102" i="329" s="1"/>
  <c r="FA160" i="2"/>
  <c r="FA139" i="329"/>
  <c r="FB138" i="329" s="1"/>
  <c r="FB140" i="329" s="1"/>
  <c r="FA155" i="2"/>
  <c r="FA103" i="329"/>
  <c r="FA393" i="329"/>
  <c r="EZ11" i="2"/>
  <c r="EZ81" i="2"/>
  <c r="EZ110" i="2"/>
  <c r="FC93" i="329"/>
  <c r="FC45" i="329"/>
  <c r="FC50" i="329" s="1"/>
  <c r="FC85" i="329"/>
  <c r="FC96" i="329"/>
  <c r="FC97" i="329" s="1"/>
  <c r="FC374" i="329"/>
  <c r="DL17" i="2"/>
  <c r="DL76" i="2"/>
  <c r="DL91" i="2" s="1"/>
  <c r="DL127" i="2" s="1"/>
  <c r="DL108" i="2"/>
  <c r="DL158" i="2"/>
  <c r="FA154" i="329"/>
  <c r="FB154" i="329"/>
  <c r="FA152" i="329"/>
  <c r="DA113" i="3"/>
  <c r="DM77" i="2"/>
  <c r="DM92" i="2" s="1"/>
  <c r="DM131" i="2"/>
  <c r="DM142" i="2"/>
  <c r="DM143" i="2" s="1"/>
  <c r="CY15" i="3"/>
  <c r="CZ15" i="3" s="1"/>
  <c r="DA15" i="3" l="1"/>
  <c r="EM15" i="3" s="1"/>
  <c r="FC51" i="329"/>
  <c r="FB125" i="329"/>
  <c r="FB147" i="329" s="1"/>
  <c r="CZ97" i="3"/>
  <c r="CZ133" i="3"/>
  <c r="DJ34" i="2"/>
  <c r="DJ114" i="2"/>
  <c r="CX105" i="3"/>
  <c r="DJ37" i="2"/>
  <c r="DJ88" i="2"/>
  <c r="FH89" i="329"/>
  <c r="DJ133" i="2"/>
  <c r="CX104" i="3"/>
  <c r="FB152" i="329"/>
  <c r="FA181" i="329"/>
  <c r="DA115" i="3"/>
  <c r="FA104" i="329"/>
  <c r="EP59" i="3"/>
  <c r="DM17" i="2"/>
  <c r="DM76" i="2"/>
  <c r="DM91" i="2" s="1"/>
  <c r="DM127" i="2" s="1"/>
  <c r="DM108" i="2"/>
  <c r="DM158" i="2"/>
  <c r="EM57" i="3"/>
  <c r="EN57" i="3" s="1"/>
  <c r="ET68" i="4"/>
  <c r="ET70" i="4" s="1"/>
  <c r="ET72" i="4"/>
  <c r="ET74" i="4" s="1"/>
  <c r="EN108" i="3"/>
  <c r="FA384" i="329"/>
  <c r="FA386" i="329"/>
  <c r="FD165" i="329"/>
  <c r="FC166" i="329"/>
  <c r="EM88" i="4"/>
  <c r="EM105" i="4"/>
  <c r="EZ80" i="2"/>
  <c r="EZ95" i="2" s="1"/>
  <c r="EZ15" i="2"/>
  <c r="FD120" i="329"/>
  <c r="FD95" i="329"/>
  <c r="FA157" i="2"/>
  <c r="FA168" i="2"/>
  <c r="FA225" i="2"/>
  <c r="FA172" i="329"/>
  <c r="FA177" i="329"/>
  <c r="FA178" i="329" s="1"/>
  <c r="FA187" i="329"/>
  <c r="FA182" i="329"/>
  <c r="FA183" i="329"/>
  <c r="FD160" i="329"/>
  <c r="EZ17" i="2"/>
  <c r="EZ108" i="2"/>
  <c r="EZ76" i="2"/>
  <c r="EZ91" i="2" s="1"/>
  <c r="EZ158" i="2"/>
  <c r="CY111" i="3"/>
  <c r="CY104" i="4"/>
  <c r="CY106" i="4" s="1"/>
  <c r="DK25" i="2"/>
  <c r="DK83" i="2"/>
  <c r="DK111" i="2"/>
  <c r="DK132" i="2"/>
  <c r="DK82" i="2"/>
  <c r="DK97" i="2" s="1"/>
  <c r="DK141" i="2"/>
  <c r="DK171" i="2"/>
  <c r="DK20" i="2"/>
  <c r="FC169" i="329"/>
  <c r="FB170" i="329"/>
  <c r="DA26" i="3"/>
  <c r="DA10" i="3"/>
  <c r="DD97" i="3" s="1"/>
  <c r="DA24" i="3"/>
  <c r="DA24" i="4" s="1"/>
  <c r="CX115" i="3"/>
  <c r="CX114" i="3"/>
  <c r="FE99" i="329"/>
  <c r="FE92" i="329"/>
  <c r="FE94" i="329" s="1"/>
  <c r="CY30" i="3"/>
  <c r="CY35" i="3" s="1"/>
  <c r="CY129" i="3"/>
  <c r="CY130" i="3"/>
  <c r="CZ24" i="4"/>
  <c r="CY24" i="4"/>
  <c r="EO55" i="3"/>
  <c r="CZ25" i="4"/>
  <c r="FA184" i="329"/>
  <c r="CX32" i="4"/>
  <c r="EM40" i="4"/>
  <c r="EM123" i="4"/>
  <c r="EM122" i="4"/>
  <c r="FD96" i="329"/>
  <c r="FD97" i="329" s="1"/>
  <c r="FD93" i="329"/>
  <c r="FD45" i="329"/>
  <c r="FD50" i="329" s="1"/>
  <c r="FD51" i="329" s="1"/>
  <c r="FD85" i="329"/>
  <c r="FD374" i="329"/>
  <c r="CY89" i="3"/>
  <c r="CY87" i="3"/>
  <c r="CY88" i="3" s="1"/>
  <c r="CY91" i="3"/>
  <c r="CY92" i="3" s="1"/>
  <c r="CY95" i="3"/>
  <c r="CY96" i="3" s="1"/>
  <c r="CY132" i="3"/>
  <c r="CZ21" i="4"/>
  <c r="CY21" i="4"/>
  <c r="FE156" i="329"/>
  <c r="CZ115" i="3"/>
  <c r="CZ30" i="3"/>
  <c r="CZ35" i="3" s="1"/>
  <c r="CZ129" i="3"/>
  <c r="CZ130" i="3"/>
  <c r="FC164" i="329"/>
  <c r="EP56" i="3"/>
  <c r="CZ111" i="3"/>
  <c r="CZ104" i="4"/>
  <c r="CZ106" i="4" s="1"/>
  <c r="DL82" i="2"/>
  <c r="DL97" i="2" s="1"/>
  <c r="DL25" i="2"/>
  <c r="DL83" i="2"/>
  <c r="DL111" i="2"/>
  <c r="DL132" i="2"/>
  <c r="DL141" i="2"/>
  <c r="DL171" i="2"/>
  <c r="DL20" i="2"/>
  <c r="FB141" i="329"/>
  <c r="FB142" i="329"/>
  <c r="FB143" i="329"/>
  <c r="FB222" i="329"/>
  <c r="FB394" i="329"/>
  <c r="FB104" i="2" s="1"/>
  <c r="EO33" i="3"/>
  <c r="EO112" i="4"/>
  <c r="EO113" i="4" s="1"/>
  <c r="FB383" i="329"/>
  <c r="FB385" i="329"/>
  <c r="FC375" i="329"/>
  <c r="FC382" i="329"/>
  <c r="FC46" i="329"/>
  <c r="EZ96" i="2"/>
  <c r="FA81" i="2"/>
  <c r="FA147" i="2"/>
  <c r="FA151" i="2" s="1"/>
  <c r="FA404" i="329"/>
  <c r="FA164" i="2"/>
  <c r="FA233" i="2" s="1"/>
  <c r="FA229" i="2"/>
  <c r="FA162" i="2"/>
  <c r="CY133" i="3"/>
  <c r="EM50" i="3"/>
  <c r="FB168" i="329"/>
  <c r="FA185" i="329"/>
  <c r="CY115" i="3"/>
  <c r="CY97" i="3"/>
  <c r="CZ89" i="3"/>
  <c r="CZ87" i="3"/>
  <c r="CZ88" i="3" s="1"/>
  <c r="CZ91" i="3"/>
  <c r="CZ92" i="3" s="1"/>
  <c r="CZ95" i="3"/>
  <c r="CZ96" i="3" s="1"/>
  <c r="CZ132" i="3"/>
  <c r="EU109" i="3"/>
  <c r="FH379" i="329"/>
  <c r="EU89" i="4" s="1"/>
  <c r="FH380" i="329"/>
  <c r="EZ127" i="2" l="1"/>
  <c r="FB126" i="329"/>
  <c r="FB107" i="329"/>
  <c r="FC110" i="329" s="1"/>
  <c r="DA21" i="4"/>
  <c r="DA27" i="4" s="1"/>
  <c r="CX107" i="4"/>
  <c r="CX116" i="4"/>
  <c r="CX8" i="4"/>
  <c r="CX40" i="3" s="1"/>
  <c r="CX108" i="4"/>
  <c r="DJ51" i="2"/>
  <c r="DJ54" i="2" s="1"/>
  <c r="DJ115" i="2"/>
  <c r="FE95" i="329"/>
  <c r="FE120" i="329"/>
  <c r="CZ90" i="3"/>
  <c r="CZ93" i="3"/>
  <c r="CZ94" i="3" s="1"/>
  <c r="EN50" i="3"/>
  <c r="EM81" i="3"/>
  <c r="EU68" i="4"/>
  <c r="EU70" i="4" s="1"/>
  <c r="EU72" i="4"/>
  <c r="EU74" i="4" s="1"/>
  <c r="FA96" i="2"/>
  <c r="FB81" i="2"/>
  <c r="EP112" i="4"/>
  <c r="EP113" i="4" s="1"/>
  <c r="FC385" i="329"/>
  <c r="FC383" i="329"/>
  <c r="EO108" i="3"/>
  <c r="FB386" i="329"/>
  <c r="FB384" i="329"/>
  <c r="FB118" i="2"/>
  <c r="FB122" i="2"/>
  <c r="FB242" i="2"/>
  <c r="FB243" i="2"/>
  <c r="DL86" i="2"/>
  <c r="DL100" i="2" s="1"/>
  <c r="DL27" i="2"/>
  <c r="DL30" i="2" s="1"/>
  <c r="DL113" i="2"/>
  <c r="CY27" i="4"/>
  <c r="CY28" i="4"/>
  <c r="CX14" i="3"/>
  <c r="CY32" i="4"/>
  <c r="CX40" i="4"/>
  <c r="CX123" i="4"/>
  <c r="CX122" i="4"/>
  <c r="FF99" i="329"/>
  <c r="FF92" i="329"/>
  <c r="FF94" i="329" s="1"/>
  <c r="DA30" i="3"/>
  <c r="DA35" i="3" s="1"/>
  <c r="EM24" i="3"/>
  <c r="DA130" i="3"/>
  <c r="DA129" i="3"/>
  <c r="EM111" i="3"/>
  <c r="EM104" i="4"/>
  <c r="EM106" i="4" s="1"/>
  <c r="EZ132" i="2"/>
  <c r="EZ82" i="2"/>
  <c r="EZ97" i="2" s="1"/>
  <c r="EZ83" i="2"/>
  <c r="EZ111" i="2"/>
  <c r="EZ140" i="2"/>
  <c r="EZ141" i="2"/>
  <c r="EZ171" i="2"/>
  <c r="FA186" i="329"/>
  <c r="FA173" i="329"/>
  <c r="FA174" i="329" s="1"/>
  <c r="EM90" i="4"/>
  <c r="EM84" i="4"/>
  <c r="EN87" i="4"/>
  <c r="FA7" i="2"/>
  <c r="FA410" i="329" s="1"/>
  <c r="FA149" i="2"/>
  <c r="FA388" i="329"/>
  <c r="FA389" i="329"/>
  <c r="FA411" i="329"/>
  <c r="FA390" i="329"/>
  <c r="FA405" i="329"/>
  <c r="FA391" i="329"/>
  <c r="FD46" i="329"/>
  <c r="FC168" i="329"/>
  <c r="FD164" i="329"/>
  <c r="FF156" i="329"/>
  <c r="CZ27" i="4"/>
  <c r="CZ28" i="4"/>
  <c r="EM24" i="4"/>
  <c r="EM10" i="3"/>
  <c r="DA87" i="3"/>
  <c r="DA88" i="3" s="1"/>
  <c r="DA91" i="3"/>
  <c r="DA92" i="3" s="1"/>
  <c r="DA95" i="3"/>
  <c r="DA96" i="3" s="1"/>
  <c r="DA89" i="3"/>
  <c r="DA132" i="3"/>
  <c r="DA133" i="3"/>
  <c r="FB155" i="2"/>
  <c r="FB103" i="329"/>
  <c r="FB148" i="329"/>
  <c r="FB176" i="329"/>
  <c r="FB185" i="329" s="1"/>
  <c r="FB101" i="329"/>
  <c r="FB102" i="329" s="1"/>
  <c r="FB105" i="329"/>
  <c r="FB106" i="329" s="1"/>
  <c r="FB160" i="2"/>
  <c r="FB139" i="329"/>
  <c r="FC138" i="329" s="1"/>
  <c r="FC140" i="329" s="1"/>
  <c r="FB393" i="329"/>
  <c r="EO57" i="3"/>
  <c r="FE96" i="329"/>
  <c r="FE97" i="329" s="1"/>
  <c r="FE93" i="329"/>
  <c r="FE45" i="329"/>
  <c r="FE50" i="329" s="1"/>
  <c r="FE51" i="329" s="1"/>
  <c r="FE85" i="329"/>
  <c r="FE374" i="329"/>
  <c r="EM26" i="3"/>
  <c r="DA25" i="4"/>
  <c r="EM25" i="4" s="1"/>
  <c r="DK27" i="2"/>
  <c r="DK113" i="2"/>
  <c r="DK86" i="2"/>
  <c r="DK100" i="2" s="1"/>
  <c r="FA203" i="2"/>
  <c r="FA237" i="2"/>
  <c r="FA170" i="2"/>
  <c r="FA199" i="2"/>
  <c r="FA216" i="2" s="1"/>
  <c r="FE165" i="329"/>
  <c r="FD166" i="329"/>
  <c r="DA111" i="3"/>
  <c r="DA104" i="4"/>
  <c r="DA106" i="4" s="1"/>
  <c r="DM132" i="2"/>
  <c r="DM82" i="2"/>
  <c r="DM97" i="2" s="1"/>
  <c r="DM25" i="2"/>
  <c r="EZ25" i="2" s="1"/>
  <c r="DM83" i="2"/>
  <c r="DM111" i="2"/>
  <c r="DM141" i="2"/>
  <c r="DM171" i="2"/>
  <c r="DM20" i="2"/>
  <c r="EZ20" i="2" s="1"/>
  <c r="FB223" i="329"/>
  <c r="FB224" i="329"/>
  <c r="CZ112" i="3"/>
  <c r="DL84" i="2"/>
  <c r="DL98" i="2" s="1"/>
  <c r="DL112" i="2"/>
  <c r="CY93" i="3"/>
  <c r="CY94" i="3" s="1"/>
  <c r="CY90" i="3"/>
  <c r="FD169" i="329"/>
  <c r="FC170" i="329"/>
  <c r="FA16" i="2"/>
  <c r="FA166" i="2"/>
  <c r="FA235" i="2" s="1"/>
  <c r="FA197" i="2"/>
  <c r="FA214" i="2" s="1"/>
  <c r="FA231" i="2"/>
  <c r="FA175" i="2"/>
  <c r="FA221" i="2"/>
  <c r="FA153" i="2"/>
  <c r="EP33" i="3"/>
  <c r="EQ56" i="3"/>
  <c r="FD375" i="329"/>
  <c r="FD382" i="329"/>
  <c r="EP55" i="3"/>
  <c r="DA97" i="3"/>
  <c r="CY112" i="3"/>
  <c r="DK84" i="2"/>
  <c r="DK98" i="2" s="1"/>
  <c r="DK112" i="2"/>
  <c r="FE160" i="329"/>
  <c r="FA187" i="2"/>
  <c r="FA210" i="2" s="1"/>
  <c r="FA227" i="2"/>
  <c r="EQ59" i="3"/>
  <c r="FC152" i="329"/>
  <c r="EM21" i="4" l="1"/>
  <c r="FC122" i="329"/>
  <c r="FB108" i="329"/>
  <c r="FB181" i="329"/>
  <c r="FA412" i="329"/>
  <c r="FC125" i="329"/>
  <c r="FC147" i="329" s="1"/>
  <c r="CX96" i="4"/>
  <c r="CX94" i="4"/>
  <c r="CX42" i="3"/>
  <c r="CX29" i="4"/>
  <c r="CX42" i="4" s="1"/>
  <c r="CX98" i="4" s="1"/>
  <c r="CX124" i="4" s="1"/>
  <c r="EZ113" i="2"/>
  <c r="EZ86" i="2"/>
  <c r="EZ100" i="2" s="1"/>
  <c r="EQ112" i="4"/>
  <c r="EQ113" i="4" s="1"/>
  <c r="FD385" i="329"/>
  <c r="FD383" i="329"/>
  <c r="FD152" i="329"/>
  <c r="EQ55" i="3"/>
  <c r="FA8" i="2"/>
  <c r="EN101" i="3" s="1"/>
  <c r="FA177" i="2"/>
  <c r="FA223" i="2"/>
  <c r="FE169" i="329"/>
  <c r="FD170" i="329"/>
  <c r="CY104" i="3"/>
  <c r="DK133" i="2"/>
  <c r="FC141" i="329"/>
  <c r="FC142" i="329"/>
  <c r="FC143" i="329"/>
  <c r="FC222" i="329"/>
  <c r="FC394" i="329"/>
  <c r="FC104" i="2" s="1"/>
  <c r="FB172" i="329"/>
  <c r="FB177" i="329"/>
  <c r="FB178" i="329" s="1"/>
  <c r="FB187" i="329"/>
  <c r="FB182" i="329"/>
  <c r="FB183" i="329"/>
  <c r="FB184" i="329"/>
  <c r="FE164" i="329"/>
  <c r="DA28" i="4"/>
  <c r="EM28" i="4" s="1"/>
  <c r="EM30" i="3"/>
  <c r="EM35" i="3" s="1"/>
  <c r="EM129" i="3"/>
  <c r="EM130" i="3"/>
  <c r="EM52" i="3"/>
  <c r="EM83" i="3" s="1"/>
  <c r="FG99" i="329"/>
  <c r="FG92" i="329"/>
  <c r="FG94" i="329" s="1"/>
  <c r="CZ105" i="3"/>
  <c r="DL34" i="2"/>
  <c r="DL114" i="2"/>
  <c r="DL37" i="2"/>
  <c r="DL88" i="2"/>
  <c r="ER59" i="3"/>
  <c r="ER56" i="3"/>
  <c r="EM112" i="3"/>
  <c r="EZ84" i="2"/>
  <c r="EZ98" i="2" s="1"/>
  <c r="EZ112" i="2"/>
  <c r="CY69" i="3"/>
  <c r="CY114" i="3"/>
  <c r="DA112" i="3"/>
  <c r="DM84" i="2"/>
  <c r="DM98" i="2" s="1"/>
  <c r="DM112" i="2"/>
  <c r="FA201" i="2"/>
  <c r="FA218" i="2" s="1"/>
  <c r="FA239" i="2"/>
  <c r="FE46" i="329"/>
  <c r="FF95" i="329"/>
  <c r="FF120" i="329"/>
  <c r="EP57" i="3"/>
  <c r="FB162" i="2"/>
  <c r="FB164" i="2"/>
  <c r="FB233" i="2" s="1"/>
  <c r="FB229" i="2"/>
  <c r="EN100" i="3"/>
  <c r="FA13" i="2"/>
  <c r="EN103" i="4"/>
  <c r="FA14" i="2"/>
  <c r="FA19" i="2"/>
  <c r="FA107" i="2"/>
  <c r="FA85" i="2"/>
  <c r="FA99" i="2" s="1"/>
  <c r="FA407" i="329"/>
  <c r="CZ32" i="4"/>
  <c r="CY40" i="4"/>
  <c r="CY123" i="4"/>
  <c r="CY122" i="4"/>
  <c r="EM27" i="4"/>
  <c r="CZ104" i="3"/>
  <c r="DL133" i="2"/>
  <c r="FC81" i="2"/>
  <c r="FB96" i="2"/>
  <c r="FG156" i="329"/>
  <c r="EN76" i="4"/>
  <c r="EN79" i="4"/>
  <c r="FF45" i="329"/>
  <c r="FF85" i="329"/>
  <c r="FF96" i="329"/>
  <c r="FF97" i="329" s="1"/>
  <c r="FF93" i="329"/>
  <c r="FF374" i="329"/>
  <c r="CX16" i="3"/>
  <c r="CX75" i="3" s="1"/>
  <c r="CY14" i="3"/>
  <c r="EP108" i="3"/>
  <c r="FC386" i="329"/>
  <c r="FC384" i="329"/>
  <c r="EO50" i="3"/>
  <c r="EN81" i="3"/>
  <c r="EN102" i="3"/>
  <c r="FA79" i="2"/>
  <c r="FA94" i="2" s="1"/>
  <c r="FA135" i="2"/>
  <c r="FA136" i="2" s="1"/>
  <c r="FA109" i="2"/>
  <c r="FA137" i="2"/>
  <c r="FA138" i="2" s="1"/>
  <c r="CZ69" i="3"/>
  <c r="CZ114" i="3"/>
  <c r="DM113" i="2"/>
  <c r="DM86" i="2"/>
  <c r="DM100" i="2" s="1"/>
  <c r="DM27" i="2"/>
  <c r="EM58" i="3"/>
  <c r="EN58" i="3" s="1"/>
  <c r="FB104" i="329"/>
  <c r="FF160" i="329"/>
  <c r="EQ33" i="3"/>
  <c r="FF165" i="329"/>
  <c r="FE166" i="329"/>
  <c r="DK30" i="2"/>
  <c r="FE375" i="329"/>
  <c r="FE382" i="329"/>
  <c r="FB147" i="2"/>
  <c r="FB151" i="2" s="1"/>
  <c r="FB404" i="329"/>
  <c r="FB225" i="2"/>
  <c r="FB157" i="2"/>
  <c r="FB168" i="2"/>
  <c r="DA93" i="3"/>
  <c r="DA94" i="3" s="1"/>
  <c r="DA90" i="3"/>
  <c r="EM87" i="3"/>
  <c r="EM88" i="3" s="1"/>
  <c r="EM89" i="3"/>
  <c r="EM95" i="3"/>
  <c r="EM96" i="3" s="1"/>
  <c r="EM132" i="3"/>
  <c r="EM91" i="3"/>
  <c r="EM92" i="3" s="1"/>
  <c r="EM51" i="3"/>
  <c r="EM97" i="3"/>
  <c r="EM133" i="3"/>
  <c r="FD168" i="329"/>
  <c r="CX99" i="4" l="1"/>
  <c r="FA9" i="2"/>
  <c r="FA17" i="2" s="1"/>
  <c r="FA20" i="2" s="1"/>
  <c r="FC126" i="329"/>
  <c r="CX100" i="4"/>
  <c r="FC107" i="329"/>
  <c r="FD110" i="329" s="1"/>
  <c r="CX67" i="3"/>
  <c r="CX126" i="3"/>
  <c r="CX119" i="4"/>
  <c r="CX66" i="3"/>
  <c r="CX78" i="3"/>
  <c r="CX44" i="3"/>
  <c r="CX63" i="4"/>
  <c r="CX64" i="4" s="1"/>
  <c r="DA104" i="3"/>
  <c r="DM133" i="2"/>
  <c r="FB170" i="2"/>
  <c r="FB199" i="2"/>
  <c r="FB216" i="2" s="1"/>
  <c r="FB203" i="2"/>
  <c r="FB237" i="2"/>
  <c r="EP50" i="3"/>
  <c r="EO81" i="3"/>
  <c r="CZ14" i="3"/>
  <c r="CY16" i="3"/>
  <c r="CY75" i="3" s="1"/>
  <c r="FF46" i="329"/>
  <c r="FH156" i="329"/>
  <c r="FA11" i="2"/>
  <c r="FA110" i="2"/>
  <c r="EN9" i="3"/>
  <c r="EN20" i="3"/>
  <c r="EN27" i="3"/>
  <c r="EN11" i="3"/>
  <c r="EN25" i="3"/>
  <c r="EQ57" i="3"/>
  <c r="EM69" i="3"/>
  <c r="EM114" i="3"/>
  <c r="CZ8" i="4"/>
  <c r="CZ29" i="4" s="1"/>
  <c r="CZ107" i="4"/>
  <c r="CZ116" i="4"/>
  <c r="FC223" i="329"/>
  <c r="FC224" i="329"/>
  <c r="FG95" i="329"/>
  <c r="FG120" i="329"/>
  <c r="EM90" i="3"/>
  <c r="EM93" i="3"/>
  <c r="EM94" i="3" s="1"/>
  <c r="FB175" i="2"/>
  <c r="FB221" i="2"/>
  <c r="FB153" i="2"/>
  <c r="FB187" i="2"/>
  <c r="FB210" i="2" s="1"/>
  <c r="FB227" i="2"/>
  <c r="ER112" i="4"/>
  <c r="ER113" i="4" s="1"/>
  <c r="FE383" i="329"/>
  <c r="FE385" i="329"/>
  <c r="FG165" i="329"/>
  <c r="FF166" i="329"/>
  <c r="FG160" i="329"/>
  <c r="EN26" i="3"/>
  <c r="EO58" i="3"/>
  <c r="DM30" i="2"/>
  <c r="EZ30" i="2" s="1"/>
  <c r="EN82" i="4"/>
  <c r="FF50" i="329"/>
  <c r="FF51" i="329" s="1"/>
  <c r="DA69" i="3"/>
  <c r="DA114" i="3"/>
  <c r="ES56" i="3"/>
  <c r="FG93" i="329"/>
  <c r="FG45" i="329"/>
  <c r="FG50" i="329" s="1"/>
  <c r="FG85" i="329"/>
  <c r="FG96" i="329"/>
  <c r="FG97" i="329" s="1"/>
  <c r="FG374" i="329"/>
  <c r="FB173" i="329"/>
  <c r="FB174" i="329" s="1"/>
  <c r="FB186" i="329"/>
  <c r="EZ27" i="2"/>
  <c r="EN24" i="3"/>
  <c r="FE152" i="329"/>
  <c r="DA32" i="4"/>
  <c r="CZ40" i="4"/>
  <c r="CZ122" i="4"/>
  <c r="CZ123" i="4"/>
  <c r="CZ108" i="4"/>
  <c r="DL115" i="2"/>
  <c r="DL51" i="2"/>
  <c r="DL54" i="2" s="1"/>
  <c r="FF164" i="329"/>
  <c r="FC118" i="2"/>
  <c r="FC122" i="2"/>
  <c r="FC242" i="2"/>
  <c r="FC243" i="2"/>
  <c r="FF169" i="329"/>
  <c r="FE170" i="329"/>
  <c r="EQ108" i="3"/>
  <c r="FD384" i="329"/>
  <c r="FD386" i="329"/>
  <c r="FE168" i="329"/>
  <c r="FF375" i="329"/>
  <c r="FF382" i="329"/>
  <c r="EN51" i="3"/>
  <c r="EM82" i="3"/>
  <c r="EM84" i="3" s="1"/>
  <c r="EO87" i="4"/>
  <c r="FB7" i="2"/>
  <c r="FB412" i="329" s="1"/>
  <c r="FB149" i="2"/>
  <c r="FB391" i="329"/>
  <c r="FB388" i="329"/>
  <c r="FB389" i="329"/>
  <c r="FB411" i="329"/>
  <c r="FB390" i="329"/>
  <c r="FB405" i="329"/>
  <c r="CY105" i="3"/>
  <c r="DK37" i="2"/>
  <c r="DK88" i="2"/>
  <c r="DK34" i="2"/>
  <c r="DK114" i="2"/>
  <c r="ER33" i="3"/>
  <c r="FD81" i="2"/>
  <c r="FC96" i="2"/>
  <c r="FA106" i="2"/>
  <c r="FA408" i="329"/>
  <c r="EN113" i="3"/>
  <c r="FA131" i="2"/>
  <c r="FA142" i="2"/>
  <c r="FA143" i="2" s="1"/>
  <c r="FB16" i="2"/>
  <c r="FB166" i="2"/>
  <c r="FB235" i="2" s="1"/>
  <c r="FB197" i="2"/>
  <c r="FB214" i="2" s="1"/>
  <c r="FB231" i="2"/>
  <c r="ES59" i="3"/>
  <c r="FH92" i="329"/>
  <c r="FH99" i="329"/>
  <c r="FC160" i="2"/>
  <c r="FC139" i="329"/>
  <c r="FD138" i="329" s="1"/>
  <c r="FD140" i="329" s="1"/>
  <c r="FC155" i="2"/>
  <c r="FC103" i="329"/>
  <c r="FC148" i="329"/>
  <c r="FC176" i="329"/>
  <c r="FC101" i="329"/>
  <c r="FC102" i="329" s="1"/>
  <c r="FC105" i="329"/>
  <c r="FC106" i="329" s="1"/>
  <c r="FC393" i="329"/>
  <c r="ER55" i="3"/>
  <c r="FA158" i="2" l="1"/>
  <c r="FA108" i="2"/>
  <c r="FA76" i="2"/>
  <c r="FA91" i="2" s="1"/>
  <c r="FA127" i="2" s="1"/>
  <c r="FB410" i="329"/>
  <c r="FD122" i="329"/>
  <c r="FD125" i="329" s="1"/>
  <c r="FD126" i="329" s="1"/>
  <c r="FC108" i="329"/>
  <c r="FG51" i="329"/>
  <c r="CX68" i="3"/>
  <c r="CY62" i="4"/>
  <c r="CX7" i="3"/>
  <c r="CX65" i="4" s="1"/>
  <c r="EN112" i="3"/>
  <c r="EN69" i="3" s="1"/>
  <c r="FA84" i="2"/>
  <c r="FA98" i="2" s="1"/>
  <c r="FA112" i="2"/>
  <c r="ES55" i="3"/>
  <c r="FC168" i="2"/>
  <c r="FC225" i="2"/>
  <c r="FC157" i="2"/>
  <c r="EM105" i="3"/>
  <c r="EZ88" i="2"/>
  <c r="EZ101" i="2" s="1"/>
  <c r="EZ34" i="2"/>
  <c r="EZ114" i="2"/>
  <c r="EZ37" i="2"/>
  <c r="CY8" i="4"/>
  <c r="CY107" i="4"/>
  <c r="CY116" i="4"/>
  <c r="EO51" i="3"/>
  <c r="EN82" i="3"/>
  <c r="EN84" i="3" s="1"/>
  <c r="FF168" i="329"/>
  <c r="FG164" i="329"/>
  <c r="EN10" i="3"/>
  <c r="EN129" i="3" s="1"/>
  <c r="FH165" i="329"/>
  <c r="FH166" i="329" s="1"/>
  <c r="FG166" i="329"/>
  <c r="EN25" i="4"/>
  <c r="FC147" i="2"/>
  <c r="FC151" i="2" s="1"/>
  <c r="FC404" i="329"/>
  <c r="EO102" i="3"/>
  <c r="FB137" i="2"/>
  <c r="FB138" i="2" s="1"/>
  <c r="FB79" i="2"/>
  <c r="FB94" i="2" s="1"/>
  <c r="FB135" i="2"/>
  <c r="FB136" i="2" s="1"/>
  <c r="FB109" i="2"/>
  <c r="EN111" i="3"/>
  <c r="EN104" i="4"/>
  <c r="FA25" i="2"/>
  <c r="FA83" i="2"/>
  <c r="FA111" i="2"/>
  <c r="FA132" i="2"/>
  <c r="FA82" i="2"/>
  <c r="FA97" i="2" s="1"/>
  <c r="FA141" i="2"/>
  <c r="FA140" i="2"/>
  <c r="FA171" i="2"/>
  <c r="CY108" i="4"/>
  <c r="DK115" i="2"/>
  <c r="DK51" i="2"/>
  <c r="DK54" i="2" s="1"/>
  <c r="FH96" i="329"/>
  <c r="FH97" i="329" s="1"/>
  <c r="FH93" i="329"/>
  <c r="FH45" i="329"/>
  <c r="FH46" i="329" s="1"/>
  <c r="FH85" i="329"/>
  <c r="FH374" i="329"/>
  <c r="FC172" i="329"/>
  <c r="FC177" i="329"/>
  <c r="FC178" i="329" s="1"/>
  <c r="FC187" i="329"/>
  <c r="FC182" i="329"/>
  <c r="FC183" i="329"/>
  <c r="FC184" i="329"/>
  <c r="FC185" i="329"/>
  <c r="FC181" i="329"/>
  <c r="FD141" i="329"/>
  <c r="FD142" i="329"/>
  <c r="FD143" i="329"/>
  <c r="FD222" i="329"/>
  <c r="FD394" i="329"/>
  <c r="FD104" i="2" s="1"/>
  <c r="FA120" i="2"/>
  <c r="FA124" i="2"/>
  <c r="EO100" i="3"/>
  <c r="EO26" i="3" s="1"/>
  <c r="FB13" i="2"/>
  <c r="EO103" i="4"/>
  <c r="FB14" i="2"/>
  <c r="FB19" i="2"/>
  <c r="FB107" i="2"/>
  <c r="FB85" i="2"/>
  <c r="FB99" i="2" s="1"/>
  <c r="FB407" i="329"/>
  <c r="ES112" i="4"/>
  <c r="ES113" i="4" s="1"/>
  <c r="FF383" i="329"/>
  <c r="FF385" i="329"/>
  <c r="FG169" i="329"/>
  <c r="FF170" i="329"/>
  <c r="EM104" i="3"/>
  <c r="EZ133" i="2"/>
  <c r="EZ87" i="2"/>
  <c r="FH94" i="329"/>
  <c r="ET56" i="3"/>
  <c r="EN32" i="4"/>
  <c r="EN83" i="4"/>
  <c r="EN85" i="4"/>
  <c r="FB8" i="2"/>
  <c r="EO101" i="3" s="1"/>
  <c r="FB177" i="2"/>
  <c r="FB223" i="2"/>
  <c r="EN23" i="4"/>
  <c r="EN9" i="4"/>
  <c r="EN88" i="4"/>
  <c r="EN90" i="4" s="1"/>
  <c r="EN105" i="4"/>
  <c r="FA80" i="2"/>
  <c r="FA95" i="2" s="1"/>
  <c r="FA15" i="2"/>
  <c r="EQ50" i="3"/>
  <c r="EP81" i="3"/>
  <c r="FC162" i="2"/>
  <c r="FC164" i="2"/>
  <c r="FC233" i="2" s="1"/>
  <c r="FC229" i="2"/>
  <c r="EO79" i="4"/>
  <c r="EO76" i="4"/>
  <c r="FF152" i="329"/>
  <c r="DA105" i="3"/>
  <c r="DM34" i="2"/>
  <c r="DM114" i="2"/>
  <c r="DM37" i="2"/>
  <c r="DM88" i="2"/>
  <c r="FH160" i="329"/>
  <c r="ER108" i="3"/>
  <c r="FE384" i="329"/>
  <c r="FE386" i="329"/>
  <c r="ER57" i="3"/>
  <c r="EN20" i="4"/>
  <c r="FA128" i="2"/>
  <c r="FB201" i="2"/>
  <c r="FB218" i="2" s="1"/>
  <c r="FB239" i="2"/>
  <c r="ET59" i="3"/>
  <c r="EN115" i="3"/>
  <c r="ES33" i="3"/>
  <c r="FC104" i="329"/>
  <c r="FD96" i="2"/>
  <c r="FE81" i="2"/>
  <c r="CZ94" i="4"/>
  <c r="CZ96" i="4"/>
  <c r="DA40" i="4"/>
  <c r="DA122" i="4"/>
  <c r="DA123" i="4"/>
  <c r="EN30" i="3"/>
  <c r="EN35" i="3" s="1"/>
  <c r="EN130" i="3"/>
  <c r="EN24" i="4"/>
  <c r="FG375" i="329"/>
  <c r="FG382" i="329"/>
  <c r="FG46" i="329"/>
  <c r="EP58" i="3"/>
  <c r="CZ42" i="4"/>
  <c r="CZ98" i="4" s="1"/>
  <c r="CZ63" i="4"/>
  <c r="DA14" i="3"/>
  <c r="CZ16" i="3"/>
  <c r="CZ75" i="3" s="1"/>
  <c r="FH50" i="329" l="1"/>
  <c r="FH51" i="329" s="1"/>
  <c r="FD147" i="329"/>
  <c r="FD160" i="2" s="1"/>
  <c r="FD107" i="329"/>
  <c r="FD108" i="329" s="1"/>
  <c r="EN114" i="3"/>
  <c r="CX12" i="3"/>
  <c r="CX65" i="3"/>
  <c r="DA108" i="4"/>
  <c r="DM115" i="2"/>
  <c r="DM51" i="2"/>
  <c r="DM54" i="2" s="1"/>
  <c r="ES108" i="3"/>
  <c r="FF386" i="329"/>
  <c r="FF384" i="329"/>
  <c r="EM14" i="3"/>
  <c r="DA16" i="3"/>
  <c r="DA75" i="3" s="1"/>
  <c r="FE96" i="2"/>
  <c r="FF81" i="2"/>
  <c r="EU59" i="3"/>
  <c r="DA8" i="4"/>
  <c r="DA29" i="4" s="1"/>
  <c r="DA107" i="4"/>
  <c r="DA116" i="4"/>
  <c r="FC16" i="2"/>
  <c r="FC197" i="2"/>
  <c r="FC214" i="2" s="1"/>
  <c r="FC231" i="2"/>
  <c r="FC166" i="2"/>
  <c r="FC235" i="2" s="1"/>
  <c r="ER50" i="3"/>
  <c r="EQ81" i="3"/>
  <c r="EO10" i="3"/>
  <c r="EO21" i="4" s="1"/>
  <c r="EO24" i="3"/>
  <c r="EN84" i="4"/>
  <c r="FH169" i="329"/>
  <c r="FH170" i="329" s="1"/>
  <c r="FG170" i="329"/>
  <c r="FB106" i="2"/>
  <c r="FB128" i="2" s="1"/>
  <c r="FB408" i="329"/>
  <c r="FB9" i="2"/>
  <c r="EO113" i="3"/>
  <c r="FB131" i="2"/>
  <c r="FB142" i="2"/>
  <c r="FB143" i="2" s="1"/>
  <c r="FD122" i="2"/>
  <c r="FD118" i="2"/>
  <c r="FD242" i="2"/>
  <c r="FD243" i="2"/>
  <c r="FA113" i="2"/>
  <c r="FA86" i="2"/>
  <c r="FA100" i="2" s="1"/>
  <c r="FC153" i="2"/>
  <c r="FC175" i="2"/>
  <c r="FC221" i="2"/>
  <c r="CY29" i="4"/>
  <c r="EM8" i="4"/>
  <c r="EM29" i="4" s="1"/>
  <c r="CY40" i="3"/>
  <c r="FC170" i="2"/>
  <c r="FC199" i="2"/>
  <c r="FC216" i="2" s="1"/>
  <c r="FC203" i="2"/>
  <c r="FC237" i="2"/>
  <c r="ES57" i="3"/>
  <c r="CZ99" i="4"/>
  <c r="CZ124" i="4"/>
  <c r="CZ100" i="4"/>
  <c r="ET33" i="3"/>
  <c r="FG152" i="329"/>
  <c r="EO82" i="4"/>
  <c r="EN15" i="3"/>
  <c r="FB11" i="2"/>
  <c r="FB110" i="2"/>
  <c r="EO9" i="3"/>
  <c r="EO20" i="3"/>
  <c r="EO27" i="3"/>
  <c r="EO11" i="3"/>
  <c r="EO25" i="3"/>
  <c r="FC173" i="329"/>
  <c r="FC174" i="329" s="1"/>
  <c r="FC186" i="329"/>
  <c r="EN106" i="4"/>
  <c r="FD101" i="329"/>
  <c r="FD102" i="329" s="1"/>
  <c r="FH164" i="329"/>
  <c r="EP51" i="3"/>
  <c r="EO82" i="3"/>
  <c r="EO84" i="3" s="1"/>
  <c r="EM108" i="4"/>
  <c r="EN94" i="4" s="1"/>
  <c r="EZ51" i="2"/>
  <c r="EZ54" i="2" s="1"/>
  <c r="EZ115" i="2"/>
  <c r="ET55" i="3"/>
  <c r="EQ58" i="3"/>
  <c r="EU56" i="3"/>
  <c r="FD223" i="329"/>
  <c r="FD224" i="329"/>
  <c r="FH375" i="329"/>
  <c r="FH382" i="329"/>
  <c r="CY94" i="4"/>
  <c r="CY96" i="4"/>
  <c r="EN89" i="3"/>
  <c r="EN87" i="3"/>
  <c r="EN88" i="3" s="1"/>
  <c r="EN91" i="3"/>
  <c r="EN92" i="3" s="1"/>
  <c r="EN95" i="3"/>
  <c r="EN96" i="3" s="1"/>
  <c r="EN132" i="3"/>
  <c r="EN21" i="4"/>
  <c r="EN28" i="4" s="1"/>
  <c r="EN133" i="3"/>
  <c r="EN97" i="3"/>
  <c r="FC187" i="2"/>
  <c r="FC210" i="2" s="1"/>
  <c r="FC227" i="2"/>
  <c r="ET112" i="4"/>
  <c r="ET113" i="4" s="1"/>
  <c r="FG385" i="329"/>
  <c r="FG383" i="329"/>
  <c r="EN40" i="4"/>
  <c r="EN123" i="4"/>
  <c r="EN122" i="4"/>
  <c r="FH120" i="329"/>
  <c r="FH95" i="329"/>
  <c r="FA87" i="2"/>
  <c r="EP87" i="4"/>
  <c r="FC7" i="2"/>
  <c r="FC412" i="329" s="1"/>
  <c r="FC149" i="2"/>
  <c r="FC390" i="329"/>
  <c r="FC405" i="329"/>
  <c r="FC391" i="329"/>
  <c r="FC388" i="329"/>
  <c r="FC389" i="329"/>
  <c r="FC411" i="329"/>
  <c r="FG168" i="329"/>
  <c r="EM107" i="4"/>
  <c r="EM116" i="4"/>
  <c r="FD103" i="329" l="1"/>
  <c r="FD104" i="329" s="1"/>
  <c r="FE122" i="329"/>
  <c r="FE110" i="329"/>
  <c r="FD393" i="329"/>
  <c r="FD404" i="329" s="1"/>
  <c r="FD139" i="329"/>
  <c r="FE138" i="329" s="1"/>
  <c r="FE140" i="329" s="1"/>
  <c r="FE143" i="329" s="1"/>
  <c r="FD176" i="329"/>
  <c r="FD177" i="329" s="1"/>
  <c r="FD178" i="329" s="1"/>
  <c r="FD105" i="329"/>
  <c r="FD106" i="329" s="1"/>
  <c r="FD155" i="2"/>
  <c r="FD168" i="2" s="1"/>
  <c r="FD148" i="329"/>
  <c r="EO97" i="3"/>
  <c r="EN27" i="4"/>
  <c r="CX74" i="3"/>
  <c r="CX122" i="3" s="1"/>
  <c r="CX76" i="3"/>
  <c r="CX77" i="3"/>
  <c r="CX21" i="3"/>
  <c r="FH168" i="329"/>
  <c r="EP100" i="3"/>
  <c r="FC13" i="2"/>
  <c r="EP103" i="4"/>
  <c r="FC14" i="2"/>
  <c r="FC19" i="2"/>
  <c r="FC85" i="2"/>
  <c r="FC99" i="2" s="1"/>
  <c r="FC107" i="2"/>
  <c r="FC407" i="329"/>
  <c r="FC410" i="329"/>
  <c r="EP76" i="4"/>
  <c r="EP79" i="4"/>
  <c r="EU55" i="3"/>
  <c r="EO20" i="4"/>
  <c r="CY42" i="4"/>
  <c r="CY98" i="4" s="1"/>
  <c r="CY63" i="4"/>
  <c r="CY64" i="4" s="1"/>
  <c r="ES50" i="3"/>
  <c r="ER81" i="3"/>
  <c r="EP102" i="3"/>
  <c r="FC109" i="2"/>
  <c r="FC137" i="2"/>
  <c r="FC138" i="2" s="1"/>
  <c r="FC79" i="2"/>
  <c r="FC94" i="2" s="1"/>
  <c r="FC135" i="2"/>
  <c r="FC136" i="2" s="1"/>
  <c r="DA94" i="4"/>
  <c r="DA96" i="4"/>
  <c r="FB87" i="2"/>
  <c r="EN93" i="3"/>
  <c r="EN94" i="3" s="1"/>
  <c r="EN90" i="3"/>
  <c r="ER58" i="3"/>
  <c r="FD147" i="2"/>
  <c r="FD151" i="2" s="1"/>
  <c r="EO32" i="4"/>
  <c r="EO83" i="4"/>
  <c r="EO85" i="4"/>
  <c r="FC239" i="2"/>
  <c r="FC201" i="2"/>
  <c r="FC218" i="2" s="1"/>
  <c r="FB120" i="2"/>
  <c r="FB124" i="2"/>
  <c r="EO30" i="3"/>
  <c r="EO35" i="3" s="1"/>
  <c r="EO129" i="3"/>
  <c r="EO130" i="3"/>
  <c r="EO24" i="4"/>
  <c r="ET108" i="3"/>
  <c r="FG386" i="329"/>
  <c r="FG384" i="329"/>
  <c r="EQ51" i="3"/>
  <c r="EP82" i="3"/>
  <c r="EP84" i="3" s="1"/>
  <c r="EO25" i="4"/>
  <c r="FH152" i="329"/>
  <c r="ET57" i="3"/>
  <c r="CZ40" i="3"/>
  <c r="CY42" i="3"/>
  <c r="EO115" i="3"/>
  <c r="EO89" i="3"/>
  <c r="EO87" i="3"/>
  <c r="EO88" i="3" s="1"/>
  <c r="EO91" i="3"/>
  <c r="EO92" i="3" s="1"/>
  <c r="EO95" i="3"/>
  <c r="EO96" i="3" s="1"/>
  <c r="EO132" i="3"/>
  <c r="EM16" i="3"/>
  <c r="EN14" i="3"/>
  <c r="EU112" i="4"/>
  <c r="EU113" i="4" s="1"/>
  <c r="FH385" i="329"/>
  <c r="FH383" i="329"/>
  <c r="EM96" i="4"/>
  <c r="FD229" i="2"/>
  <c r="FD162" i="2"/>
  <c r="FD164" i="2"/>
  <c r="FD233" i="2" s="1"/>
  <c r="EO23" i="4"/>
  <c r="EO9" i="4"/>
  <c r="EO105" i="4"/>
  <c r="EO88" i="4"/>
  <c r="EO90" i="4" s="1"/>
  <c r="FB80" i="2"/>
  <c r="FB95" i="2" s="1"/>
  <c r="FB15" i="2"/>
  <c r="EU33" i="3"/>
  <c r="EM42" i="4"/>
  <c r="EM98" i="4" s="1"/>
  <c r="EM63" i="4"/>
  <c r="EM64" i="4" s="1"/>
  <c r="FC8" i="2"/>
  <c r="EP101" i="3" s="1"/>
  <c r="FC177" i="2"/>
  <c r="FC223" i="2"/>
  <c r="FA27" i="2"/>
  <c r="FB17" i="2"/>
  <c r="FB76" i="2"/>
  <c r="FB91" i="2" s="1"/>
  <c r="FB127" i="2" s="1"/>
  <c r="FB108" i="2"/>
  <c r="FB158" i="2"/>
  <c r="DA42" i="4"/>
  <c r="DA98" i="4" s="1"/>
  <c r="DA63" i="4"/>
  <c r="FG81" i="2"/>
  <c r="FF96" i="2"/>
  <c r="FE125" i="329" l="1"/>
  <c r="FD185" i="329"/>
  <c r="FD182" i="329"/>
  <c r="FD187" i="329"/>
  <c r="FD181" i="329"/>
  <c r="FD183" i="329"/>
  <c r="FD172" i="329"/>
  <c r="FD186" i="329" s="1"/>
  <c r="FD184" i="329"/>
  <c r="FE142" i="329"/>
  <c r="FE141" i="329"/>
  <c r="FE222" i="329"/>
  <c r="FE224" i="329" s="1"/>
  <c r="FE394" i="329"/>
  <c r="FE104" i="2" s="1"/>
  <c r="FE243" i="2" s="1"/>
  <c r="FD157" i="2"/>
  <c r="FD227" i="2" s="1"/>
  <c r="FD225" i="2"/>
  <c r="EP82" i="4"/>
  <c r="EP32" i="4" s="1"/>
  <c r="CX124" i="3"/>
  <c r="CX123" i="3"/>
  <c r="CX127" i="3"/>
  <c r="CX125" i="3"/>
  <c r="CX45" i="3"/>
  <c r="CX71" i="3"/>
  <c r="EN104" i="3"/>
  <c r="FA133" i="2"/>
  <c r="FA30" i="2"/>
  <c r="ES58" i="3"/>
  <c r="EP113" i="3"/>
  <c r="FC131" i="2"/>
  <c r="FC142" i="2"/>
  <c r="FC143" i="2" s="1"/>
  <c r="EM99" i="4"/>
  <c r="EM124" i="4"/>
  <c r="EM100" i="4"/>
  <c r="FD16" i="2"/>
  <c r="FD166" i="2"/>
  <c r="FD235" i="2" s="1"/>
  <c r="FD197" i="2"/>
  <c r="FD214" i="2" s="1"/>
  <c r="FD231" i="2"/>
  <c r="EO90" i="3"/>
  <c r="EO93" i="3"/>
  <c r="EO94" i="3" s="1"/>
  <c r="CY67" i="3"/>
  <c r="CY78" i="3"/>
  <c r="CY66" i="3"/>
  <c r="CY119" i="4"/>
  <c r="CY44" i="3"/>
  <c r="CY126" i="3"/>
  <c r="EO15" i="3"/>
  <c r="ER51" i="3"/>
  <c r="EQ82" i="3"/>
  <c r="EQ84" i="3" s="1"/>
  <c r="FD237" i="2"/>
  <c r="FD170" i="2"/>
  <c r="FD199" i="2"/>
  <c r="FD216" i="2" s="1"/>
  <c r="FC87" i="2"/>
  <c r="FC106" i="2"/>
  <c r="FC408" i="329"/>
  <c r="FC11" i="2"/>
  <c r="FC110" i="2"/>
  <c r="FC9" i="2"/>
  <c r="EN62" i="4"/>
  <c r="EO111" i="3"/>
  <c r="EO104" i="4"/>
  <c r="EO106" i="4" s="1"/>
  <c r="FB82" i="2"/>
  <c r="FB97" i="2" s="1"/>
  <c r="FB25" i="2"/>
  <c r="FB83" i="2"/>
  <c r="FB111" i="2"/>
  <c r="FB132" i="2"/>
  <c r="FB140" i="2"/>
  <c r="FB141" i="2"/>
  <c r="FB171" i="2"/>
  <c r="FB20" i="2"/>
  <c r="FE126" i="329"/>
  <c r="FE107" i="329"/>
  <c r="FE147" i="329"/>
  <c r="EO14" i="3"/>
  <c r="EN16" i="3"/>
  <c r="DA40" i="3"/>
  <c r="CZ42" i="3"/>
  <c r="EO40" i="4"/>
  <c r="EQ87" i="4"/>
  <c r="FD7" i="2"/>
  <c r="FD412" i="329" s="1"/>
  <c r="FD149" i="2"/>
  <c r="FD389" i="329"/>
  <c r="FD411" i="329"/>
  <c r="FD390" i="329"/>
  <c r="FD405" i="329"/>
  <c r="FD391" i="329"/>
  <c r="FD388" i="329"/>
  <c r="ET50" i="3"/>
  <c r="ES81" i="3"/>
  <c r="CY7" i="3"/>
  <c r="CY65" i="4" s="1"/>
  <c r="CZ62" i="4"/>
  <c r="CZ64" i="4" s="1"/>
  <c r="EP9" i="3"/>
  <c r="EP27" i="3"/>
  <c r="EP20" i="3"/>
  <c r="EP11" i="3"/>
  <c r="EP25" i="3"/>
  <c r="EP26" i="3"/>
  <c r="DA99" i="4"/>
  <c r="DA124" i="4"/>
  <c r="DA100" i="4"/>
  <c r="FH81" i="2"/>
  <c r="FH96" i="2" s="1"/>
  <c r="FG96" i="2"/>
  <c r="EP10" i="3"/>
  <c r="EP97" i="3" s="1"/>
  <c r="EP24" i="3"/>
  <c r="EU108" i="3"/>
  <c r="FH384" i="329"/>
  <c r="FH386" i="329"/>
  <c r="EM75" i="3"/>
  <c r="EU57" i="3"/>
  <c r="EO84" i="4"/>
  <c r="FD175" i="2"/>
  <c r="FD221" i="2"/>
  <c r="FD153" i="2"/>
  <c r="CY100" i="4"/>
  <c r="CY99" i="4"/>
  <c r="CY124" i="4"/>
  <c r="EO27" i="4"/>
  <c r="EO28" i="4"/>
  <c r="FE118" i="2" l="1"/>
  <c r="FD187" i="2"/>
  <c r="FD210" i="2" s="1"/>
  <c r="FD173" i="329"/>
  <c r="FD174" i="329" s="1"/>
  <c r="FE223" i="329"/>
  <c r="FE242" i="2"/>
  <c r="FE122" i="2"/>
  <c r="EP83" i="4"/>
  <c r="EP85" i="4"/>
  <c r="FD410" i="329"/>
  <c r="EP25" i="4"/>
  <c r="CZ7" i="3"/>
  <c r="CZ65" i="4" s="1"/>
  <c r="DA62" i="4"/>
  <c r="DA64" i="4" s="1"/>
  <c r="EP14" i="3"/>
  <c r="EO16" i="3"/>
  <c r="EO112" i="3"/>
  <c r="FB84" i="2"/>
  <c r="FB98" i="2" s="1"/>
  <c r="FB112" i="2"/>
  <c r="FC17" i="2"/>
  <c r="FC76" i="2"/>
  <c r="FC91" i="2" s="1"/>
  <c r="FC127" i="2" s="1"/>
  <c r="FC108" i="2"/>
  <c r="FC158" i="2"/>
  <c r="ES51" i="3"/>
  <c r="ER82" i="3"/>
  <c r="ER84" i="3" s="1"/>
  <c r="EN105" i="3"/>
  <c r="FA37" i="2"/>
  <c r="FA88" i="2"/>
  <c r="FA101" i="2" s="1"/>
  <c r="FA34" i="2"/>
  <c r="FA114" i="2"/>
  <c r="EP30" i="3"/>
  <c r="EP35" i="3" s="1"/>
  <c r="EP130" i="3"/>
  <c r="EP129" i="3"/>
  <c r="EP24" i="4"/>
  <c r="EP23" i="4"/>
  <c r="CY12" i="3"/>
  <c r="CY65" i="3"/>
  <c r="EQ100" i="3"/>
  <c r="EQ103" i="4"/>
  <c r="FD14" i="2"/>
  <c r="FD19" i="2"/>
  <c r="FD13" i="2"/>
  <c r="FD85" i="2"/>
  <c r="FD99" i="2" s="1"/>
  <c r="FD107" i="2"/>
  <c r="FD407" i="329"/>
  <c r="CZ66" i="3"/>
  <c r="CZ68" i="3" s="1"/>
  <c r="CZ67" i="3"/>
  <c r="CZ78" i="3"/>
  <c r="CZ119" i="4"/>
  <c r="CZ44" i="3"/>
  <c r="CZ126" i="3"/>
  <c r="FE148" i="329"/>
  <c r="FE176" i="329"/>
  <c r="FE101" i="329"/>
  <c r="FE102" i="329" s="1"/>
  <c r="FE105" i="329"/>
  <c r="FE106" i="329" s="1"/>
  <c r="FE160" i="2"/>
  <c r="FE139" i="329"/>
  <c r="FF138" i="329" s="1"/>
  <c r="FF140" i="329" s="1"/>
  <c r="FE155" i="2"/>
  <c r="FE103" i="329"/>
  <c r="FE104" i="329" s="1"/>
  <c r="FE393" i="329"/>
  <c r="FB86" i="2"/>
  <c r="FB100" i="2" s="1"/>
  <c r="FB27" i="2"/>
  <c r="FB30" i="2" s="1"/>
  <c r="FB113" i="2"/>
  <c r="CY68" i="3"/>
  <c r="EQ102" i="3"/>
  <c r="FD135" i="2"/>
  <c r="FD136" i="2" s="1"/>
  <c r="FD109" i="2"/>
  <c r="FD137" i="2"/>
  <c r="FD138" i="2" s="1"/>
  <c r="FD79" i="2"/>
  <c r="FD94" i="2" s="1"/>
  <c r="EP115" i="3"/>
  <c r="EP40" i="4"/>
  <c r="FD8" i="2"/>
  <c r="EQ101" i="3" s="1"/>
  <c r="FD177" i="2"/>
  <c r="FD223" i="2"/>
  <c r="EP87" i="3"/>
  <c r="EP88" i="3" s="1"/>
  <c r="EP91" i="3"/>
  <c r="EP92" i="3" s="1"/>
  <c r="EP95" i="3"/>
  <c r="EP96" i="3" s="1"/>
  <c r="EP89" i="3"/>
  <c r="EP132" i="3"/>
  <c r="EP21" i="4"/>
  <c r="EP20" i="4"/>
  <c r="EQ79" i="4"/>
  <c r="EQ76" i="4"/>
  <c r="EM40" i="3"/>
  <c r="DA42" i="3"/>
  <c r="FE108" i="329"/>
  <c r="FF110" i="329"/>
  <c r="FF122" i="329"/>
  <c r="FC124" i="2"/>
  <c r="FC120" i="2"/>
  <c r="FD87" i="2"/>
  <c r="FD239" i="2"/>
  <c r="FD201" i="2"/>
  <c r="FD218" i="2" s="1"/>
  <c r="FC128" i="2"/>
  <c r="EU50" i="3"/>
  <c r="EU81" i="3" s="1"/>
  <c r="ET81" i="3"/>
  <c r="EN75" i="3"/>
  <c r="EP9" i="4"/>
  <c r="EP15" i="3" s="1"/>
  <c r="EP105" i="4"/>
  <c r="EP88" i="4"/>
  <c r="FC15" i="2"/>
  <c r="FC80" i="2"/>
  <c r="FC95" i="2" s="1"/>
  <c r="ET58" i="3"/>
  <c r="FF125" i="329" l="1"/>
  <c r="FF147" i="329" s="1"/>
  <c r="DA66" i="3"/>
  <c r="DA67" i="3"/>
  <c r="DA78" i="3"/>
  <c r="DA119" i="4"/>
  <c r="DA44" i="3"/>
  <c r="DA126" i="3"/>
  <c r="EP93" i="3"/>
  <c r="EP94" i="3" s="1"/>
  <c r="EP90" i="3"/>
  <c r="FE157" i="2"/>
  <c r="FE168" i="2"/>
  <c r="FE225" i="2"/>
  <c r="FD11" i="2"/>
  <c r="FD110" i="2"/>
  <c r="EN108" i="4"/>
  <c r="EO94" i="4" s="1"/>
  <c r="FA115" i="2"/>
  <c r="FA51" i="2"/>
  <c r="FA54" i="2" s="1"/>
  <c r="EO69" i="3"/>
  <c r="EO114" i="3"/>
  <c r="DA7" i="3"/>
  <c r="DA65" i="4" s="1"/>
  <c r="EP90" i="4"/>
  <c r="EP84" i="4"/>
  <c r="EM42" i="3"/>
  <c r="EP27" i="4"/>
  <c r="EP28" i="4"/>
  <c r="FF141" i="329"/>
  <c r="FF142" i="329"/>
  <c r="FF143" i="329"/>
  <c r="FF222" i="329"/>
  <c r="FF394" i="329"/>
  <c r="FF104" i="2" s="1"/>
  <c r="FE172" i="329"/>
  <c r="FE177" i="329"/>
  <c r="FE178" i="329" s="1"/>
  <c r="FE187" i="329"/>
  <c r="FE182" i="329"/>
  <c r="FE183" i="329"/>
  <c r="FE184" i="329"/>
  <c r="FE185" i="329"/>
  <c r="FE181" i="329"/>
  <c r="EN8" i="4"/>
  <c r="EN29" i="4" s="1"/>
  <c r="EN107" i="4"/>
  <c r="EN116" i="4"/>
  <c r="ET51" i="3"/>
  <c r="ES82" i="3"/>
  <c r="ES84" i="3" s="1"/>
  <c r="EO75" i="3"/>
  <c r="FF107" i="329"/>
  <c r="EQ10" i="3"/>
  <c r="EQ97" i="3" s="1"/>
  <c r="EQ24" i="3"/>
  <c r="EO105" i="3"/>
  <c r="FB34" i="2"/>
  <c r="FB114" i="2"/>
  <c r="FB37" i="2"/>
  <c r="FB88" i="2"/>
  <c r="FB101" i="2" s="1"/>
  <c r="FE147" i="2"/>
  <c r="FE151" i="2" s="1"/>
  <c r="FE404" i="329"/>
  <c r="FE164" i="2"/>
  <c r="FE233" i="2" s="1"/>
  <c r="FE229" i="2"/>
  <c r="FE162" i="2"/>
  <c r="FD106" i="2"/>
  <c r="FD128" i="2" s="1"/>
  <c r="FD408" i="329"/>
  <c r="EQ113" i="3"/>
  <c r="FD131" i="2"/>
  <c r="FD142" i="2"/>
  <c r="FD143" i="2" s="1"/>
  <c r="EP16" i="3"/>
  <c r="CZ12" i="3"/>
  <c r="CZ65" i="3"/>
  <c r="EU58" i="3"/>
  <c r="FE87" i="2"/>
  <c r="EQ82" i="4"/>
  <c r="EO104" i="3"/>
  <c r="FB133" i="2"/>
  <c r="FD9" i="2"/>
  <c r="EQ9" i="3"/>
  <c r="EQ20" i="3"/>
  <c r="EQ27" i="3"/>
  <c r="EQ11" i="3"/>
  <c r="EQ25" i="3"/>
  <c r="EQ26" i="3"/>
  <c r="CY21" i="3"/>
  <c r="CY77" i="3"/>
  <c r="CY74" i="3"/>
  <c r="CY122" i="3" s="1"/>
  <c r="CY76" i="3"/>
  <c r="EP111" i="3"/>
  <c r="EP104" i="4"/>
  <c r="EP106" i="4" s="1"/>
  <c r="FC132" i="2"/>
  <c r="FC82" i="2"/>
  <c r="FC97" i="2" s="1"/>
  <c r="FC25" i="2"/>
  <c r="FC83" i="2"/>
  <c r="FC111" i="2"/>
  <c r="FC140" i="2"/>
  <c r="FC141" i="2"/>
  <c r="FC171" i="2"/>
  <c r="FC20" i="2"/>
  <c r="FF126" i="329" l="1"/>
  <c r="FC113" i="2"/>
  <c r="FC86" i="2"/>
  <c r="FC100" i="2" s="1"/>
  <c r="FC27" i="2"/>
  <c r="FC30" i="2" s="1"/>
  <c r="CY123" i="3"/>
  <c r="CY124" i="3"/>
  <c r="EQ25" i="4"/>
  <c r="EP75" i="3"/>
  <c r="FD120" i="2"/>
  <c r="FD124" i="2"/>
  <c r="ER87" i="4"/>
  <c r="FE7" i="2"/>
  <c r="FE410" i="329" s="1"/>
  <c r="FE149" i="2"/>
  <c r="FE388" i="329"/>
  <c r="FE389" i="329"/>
  <c r="FE411" i="329"/>
  <c r="FE390" i="329"/>
  <c r="FE405" i="329"/>
  <c r="FE391" i="329"/>
  <c r="EO8" i="4"/>
  <c r="EO29" i="4" s="1"/>
  <c r="EO107" i="4"/>
  <c r="EO116" i="4"/>
  <c r="EU51" i="3"/>
  <c r="EU82" i="3" s="1"/>
  <c r="EU84" i="3" s="1"/>
  <c r="ET82" i="3"/>
  <c r="ET84" i="3" s="1"/>
  <c r="EN40" i="3"/>
  <c r="DA68" i="3"/>
  <c r="EQ23" i="4"/>
  <c r="FE16" i="2"/>
  <c r="FE166" i="2"/>
  <c r="FE235" i="2" s="1"/>
  <c r="FE197" i="2"/>
  <c r="FE214" i="2" s="1"/>
  <c r="FE231" i="2"/>
  <c r="FE175" i="2"/>
  <c r="FE221" i="2"/>
  <c r="FE153" i="2"/>
  <c r="EN42" i="4"/>
  <c r="EN98" i="4" s="1"/>
  <c r="EN63" i="4"/>
  <c r="EN64" i="4" s="1"/>
  <c r="FF223" i="329"/>
  <c r="FF224" i="329"/>
  <c r="EN96" i="4"/>
  <c r="CY45" i="3"/>
  <c r="CY71" i="3"/>
  <c r="CY127" i="3"/>
  <c r="CY125" i="3"/>
  <c r="EQ20" i="4"/>
  <c r="EQ85" i="4"/>
  <c r="EQ32" i="4"/>
  <c r="EQ83" i="4"/>
  <c r="EQ115" i="3"/>
  <c r="EO108" i="4"/>
  <c r="FB115" i="2"/>
  <c r="FB51" i="2"/>
  <c r="FB54" i="2" s="1"/>
  <c r="EQ30" i="3"/>
  <c r="EQ35" i="3" s="1"/>
  <c r="EQ129" i="3"/>
  <c r="EQ130" i="3"/>
  <c r="EQ24" i="4"/>
  <c r="FF155" i="2"/>
  <c r="FF103" i="329"/>
  <c r="FF104" i="329" s="1"/>
  <c r="FF148" i="329"/>
  <c r="FF176" i="329"/>
  <c r="FF101" i="329"/>
  <c r="FF102" i="329" s="1"/>
  <c r="FF105" i="329"/>
  <c r="FF106" i="329" s="1"/>
  <c r="FF160" i="2"/>
  <c r="FF139" i="329"/>
  <c r="FG138" i="329" s="1"/>
  <c r="FG140" i="329" s="1"/>
  <c r="FF393" i="329"/>
  <c r="FE173" i="329"/>
  <c r="FE174" i="329" s="1"/>
  <c r="FE186" i="329"/>
  <c r="DA12" i="3"/>
  <c r="EM7" i="3"/>
  <c r="DA65" i="3"/>
  <c r="FE237" i="2"/>
  <c r="FE170" i="2"/>
  <c r="FE199" i="2"/>
  <c r="FE216" i="2" s="1"/>
  <c r="EP112" i="3"/>
  <c r="FC84" i="2"/>
  <c r="FC98" i="2" s="1"/>
  <c r="FC112" i="2"/>
  <c r="FD17" i="2"/>
  <c r="FD108" i="2"/>
  <c r="FD76" i="2"/>
  <c r="FD91" i="2" s="1"/>
  <c r="FD127" i="2" s="1"/>
  <c r="FD158" i="2"/>
  <c r="FF87" i="2"/>
  <c r="CZ21" i="3"/>
  <c r="CZ76" i="3"/>
  <c r="CZ77" i="3"/>
  <c r="CZ74" i="3"/>
  <c r="CZ122" i="3" s="1"/>
  <c r="EQ87" i="3"/>
  <c r="EQ88" i="3" s="1"/>
  <c r="EQ89" i="3"/>
  <c r="EQ91" i="3"/>
  <c r="EQ92" i="3" s="1"/>
  <c r="EQ95" i="3"/>
  <c r="EQ96" i="3" s="1"/>
  <c r="EQ132" i="3"/>
  <c r="EQ21" i="4"/>
  <c r="FF108" i="329"/>
  <c r="FG110" i="329"/>
  <c r="FG122" i="329"/>
  <c r="FF118" i="2"/>
  <c r="FF122" i="2"/>
  <c r="FF242" i="2"/>
  <c r="FF243" i="2"/>
  <c r="EM44" i="3"/>
  <c r="EM78" i="3"/>
  <c r="EM66" i="3"/>
  <c r="EM67" i="3"/>
  <c r="EM119" i="4"/>
  <c r="EZ134" i="2"/>
  <c r="EM126" i="3"/>
  <c r="EQ9" i="4"/>
  <c r="EQ88" i="4"/>
  <c r="EQ90" i="4" s="1"/>
  <c r="EQ105" i="4"/>
  <c r="FD80" i="2"/>
  <c r="FD95" i="2" s="1"/>
  <c r="FD15" i="2"/>
  <c r="FE187" i="2"/>
  <c r="FE210" i="2" s="1"/>
  <c r="FE227" i="2"/>
  <c r="FE412" i="329" l="1"/>
  <c r="FG125" i="329"/>
  <c r="FG147" i="329" s="1"/>
  <c r="EP105" i="3"/>
  <c r="FC34" i="2"/>
  <c r="FC114" i="2"/>
  <c r="FC37" i="2"/>
  <c r="FC88" i="2"/>
  <c r="FC101" i="2" s="1"/>
  <c r="EM68" i="3"/>
  <c r="CZ123" i="3"/>
  <c r="CZ124" i="3"/>
  <c r="FG141" i="329"/>
  <c r="FG142" i="329"/>
  <c r="FG143" i="329"/>
  <c r="FG222" i="329"/>
  <c r="FG394" i="329"/>
  <c r="FG104" i="2" s="1"/>
  <c r="FF172" i="329"/>
  <c r="FF177" i="329"/>
  <c r="FF178" i="329" s="1"/>
  <c r="FF187" i="329"/>
  <c r="FF182" i="329"/>
  <c r="FF183" i="329"/>
  <c r="FF184" i="329"/>
  <c r="FF181" i="329"/>
  <c r="FF185" i="329"/>
  <c r="EQ84" i="4"/>
  <c r="EQ15" i="3"/>
  <c r="FG87" i="2"/>
  <c r="FE201" i="2"/>
  <c r="FE218" i="2" s="1"/>
  <c r="FE239" i="2"/>
  <c r="FF162" i="2"/>
  <c r="FF164" i="2"/>
  <c r="FF233" i="2" s="1"/>
  <c r="FF229" i="2"/>
  <c r="EO96" i="4"/>
  <c r="EN7" i="3"/>
  <c r="EN65" i="4" s="1"/>
  <c r="EO62" i="4"/>
  <c r="ER102" i="3"/>
  <c r="FE79" i="2"/>
  <c r="FE94" i="2" s="1"/>
  <c r="FE135" i="2"/>
  <c r="FE136" i="2" s="1"/>
  <c r="FE109" i="2"/>
  <c r="FE137" i="2"/>
  <c r="FE138" i="2" s="1"/>
  <c r="ER100" i="3"/>
  <c r="FE13" i="2"/>
  <c r="ER103" i="4"/>
  <c r="FE14" i="2"/>
  <c r="FE19" i="2"/>
  <c r="FE107" i="2"/>
  <c r="FE85" i="2"/>
  <c r="FE99" i="2" s="1"/>
  <c r="FE407" i="329"/>
  <c r="EM12" i="3"/>
  <c r="EM65" i="3"/>
  <c r="EM65" i="4"/>
  <c r="EQ40" i="4"/>
  <c r="EQ14" i="3"/>
  <c r="EQ28" i="4"/>
  <c r="EQ27" i="4"/>
  <c r="EN100" i="4"/>
  <c r="EN99" i="4"/>
  <c r="EN124" i="4"/>
  <c r="EO40" i="3"/>
  <c r="EN42" i="3"/>
  <c r="ER76" i="4"/>
  <c r="ER79" i="4"/>
  <c r="EQ90" i="3"/>
  <c r="EQ93" i="3"/>
  <c r="EQ94" i="3" s="1"/>
  <c r="CZ45" i="3"/>
  <c r="CZ71" i="3"/>
  <c r="CZ127" i="3"/>
  <c r="CZ125" i="3"/>
  <c r="EQ111" i="3"/>
  <c r="EQ104" i="4"/>
  <c r="EQ106" i="4" s="1"/>
  <c r="FD132" i="2"/>
  <c r="FD82" i="2"/>
  <c r="FD97" i="2" s="1"/>
  <c r="FD25" i="2"/>
  <c r="FD83" i="2"/>
  <c r="FD111" i="2"/>
  <c r="FD140" i="2"/>
  <c r="FD141" i="2"/>
  <c r="FD171" i="2"/>
  <c r="FD20" i="2"/>
  <c r="EP69" i="3"/>
  <c r="EP114" i="3"/>
  <c r="DA21" i="3"/>
  <c r="DA76" i="3"/>
  <c r="DA77" i="3"/>
  <c r="DA74" i="3"/>
  <c r="DA122" i="3" s="1"/>
  <c r="FF147" i="2"/>
  <c r="FF151" i="2" s="1"/>
  <c r="FF404" i="329"/>
  <c r="FF225" i="2"/>
  <c r="FF157" i="2"/>
  <c r="FF168" i="2"/>
  <c r="FE8" i="2"/>
  <c r="ER101" i="3" s="1"/>
  <c r="FE177" i="2"/>
  <c r="FE223" i="2"/>
  <c r="EO42" i="4"/>
  <c r="EO98" i="4" s="1"/>
  <c r="EO63" i="4"/>
  <c r="EP104" i="3"/>
  <c r="FC133" i="2"/>
  <c r="FG107" i="329" l="1"/>
  <c r="FG108" i="329" s="1"/>
  <c r="ER82" i="4"/>
  <c r="ER83" i="4" s="1"/>
  <c r="FG126" i="329"/>
  <c r="FF7" i="2"/>
  <c r="FF410" i="329" s="1"/>
  <c r="ES87" i="4"/>
  <c r="FF149" i="2"/>
  <c r="FF391" i="329"/>
  <c r="FF388" i="329"/>
  <c r="FF389" i="329"/>
  <c r="FF411" i="329"/>
  <c r="FF390" i="329"/>
  <c r="FF405" i="329"/>
  <c r="EO42" i="3"/>
  <c r="FB134" i="2" s="1"/>
  <c r="FE106" i="2"/>
  <c r="FE128" i="2" s="1"/>
  <c r="FE408" i="329"/>
  <c r="FE9" i="2"/>
  <c r="ER113" i="3"/>
  <c r="FE131" i="2"/>
  <c r="FE142" i="2"/>
  <c r="FE143" i="2" s="1"/>
  <c r="FF16" i="2"/>
  <c r="FF166" i="2"/>
  <c r="FF235" i="2" s="1"/>
  <c r="FF197" i="2"/>
  <c r="FF214" i="2" s="1"/>
  <c r="FF231" i="2"/>
  <c r="FF173" i="329"/>
  <c r="FF174" i="329" s="1"/>
  <c r="FF186" i="329"/>
  <c r="EP108" i="4"/>
  <c r="FC115" i="2"/>
  <c r="FC51" i="2"/>
  <c r="FC54" i="2" s="1"/>
  <c r="FF170" i="2"/>
  <c r="FF199" i="2"/>
  <c r="FF216" i="2" s="1"/>
  <c r="FF237" i="2"/>
  <c r="FE11" i="2"/>
  <c r="FE110" i="2"/>
  <c r="ER9" i="3"/>
  <c r="ER27" i="3"/>
  <c r="ER20" i="3"/>
  <c r="ER11" i="3"/>
  <c r="ER25" i="3"/>
  <c r="ER26" i="3"/>
  <c r="FG118" i="2"/>
  <c r="FG122" i="2"/>
  <c r="FG242" i="2"/>
  <c r="FG243" i="2"/>
  <c r="FF175" i="2"/>
  <c r="FF221" i="2"/>
  <c r="FF153" i="2"/>
  <c r="ER10" i="3"/>
  <c r="ER97" i="3" s="1"/>
  <c r="ER24" i="3"/>
  <c r="FF187" i="2"/>
  <c r="FF210" i="2" s="1"/>
  <c r="FF227" i="2"/>
  <c r="DA123" i="3"/>
  <c r="DA124" i="3"/>
  <c r="EQ112" i="3"/>
  <c r="FD84" i="2"/>
  <c r="FD98" i="2" s="1"/>
  <c r="FD112" i="2"/>
  <c r="FD27" i="2"/>
  <c r="FD30" i="2" s="1"/>
  <c r="FD113" i="2"/>
  <c r="FD86" i="2"/>
  <c r="FD100" i="2" s="1"/>
  <c r="EQ16" i="3"/>
  <c r="EM74" i="3"/>
  <c r="EM122" i="3" s="1"/>
  <c r="EM76" i="3"/>
  <c r="EM77" i="3"/>
  <c r="EM21" i="3"/>
  <c r="EO64" i="4"/>
  <c r="FG160" i="2"/>
  <c r="FG139" i="329"/>
  <c r="FH138" i="329" s="1"/>
  <c r="FH140" i="329" s="1"/>
  <c r="FG155" i="2"/>
  <c r="FG103" i="329"/>
  <c r="FG104" i="329" s="1"/>
  <c r="FG148" i="329"/>
  <c r="FG176" i="329"/>
  <c r="FG101" i="329"/>
  <c r="FG102" i="329" s="1"/>
  <c r="FG105" i="329"/>
  <c r="FG106" i="329" s="1"/>
  <c r="FG393" i="329"/>
  <c r="EP8" i="4"/>
  <c r="EP29" i="4" s="1"/>
  <c r="EP107" i="4"/>
  <c r="EP116" i="4"/>
  <c r="DA45" i="3"/>
  <c r="DA71" i="3"/>
  <c r="DA127" i="3"/>
  <c r="DA125" i="3"/>
  <c r="EO99" i="4"/>
  <c r="EO100" i="4"/>
  <c r="EN44" i="3"/>
  <c r="EN67" i="3"/>
  <c r="EN78" i="3"/>
  <c r="EN66" i="3"/>
  <c r="EN119" i="4"/>
  <c r="EN126" i="3"/>
  <c r="FA134" i="2"/>
  <c r="EN12" i="3"/>
  <c r="EN65" i="3"/>
  <c r="FH87" i="2"/>
  <c r="FG223" i="329"/>
  <c r="FG224" i="329"/>
  <c r="FH122" i="329" l="1"/>
  <c r="FH110" i="329"/>
  <c r="ER32" i="4"/>
  <c r="ER14" i="3" s="1"/>
  <c r="ER85" i="4"/>
  <c r="EN68" i="3"/>
  <c r="EP42" i="4"/>
  <c r="EP98" i="4" s="1"/>
  <c r="EP63" i="4"/>
  <c r="FG172" i="329"/>
  <c r="FG177" i="329"/>
  <c r="FG178" i="329" s="1"/>
  <c r="FG187" i="329"/>
  <c r="FG182" i="329"/>
  <c r="FG183" i="329"/>
  <c r="FG184" i="329"/>
  <c r="FG185" i="329"/>
  <c r="FG181" i="329"/>
  <c r="FH141" i="329"/>
  <c r="FH142" i="329"/>
  <c r="FH143" i="329"/>
  <c r="FH222" i="329"/>
  <c r="FH394" i="329"/>
  <c r="FH104" i="2" s="1"/>
  <c r="EM45" i="3"/>
  <c r="EM71" i="3"/>
  <c r="EM127" i="3"/>
  <c r="EM125" i="3"/>
  <c r="ER30" i="3"/>
  <c r="ER35" i="3" s="1"/>
  <c r="ER129" i="3"/>
  <c r="ER130" i="3"/>
  <c r="ER24" i="4"/>
  <c r="ER25" i="4"/>
  <c r="ER115" i="3"/>
  <c r="ES79" i="4"/>
  <c r="ES76" i="4"/>
  <c r="FG147" i="2"/>
  <c r="FG151" i="2" s="1"/>
  <c r="FG404" i="329"/>
  <c r="FG162" i="2"/>
  <c r="FG164" i="2"/>
  <c r="FG233" i="2" s="1"/>
  <c r="FG229" i="2"/>
  <c r="EO7" i="3"/>
  <c r="EP62" i="4"/>
  <c r="EQ105" i="3"/>
  <c r="FD88" i="2"/>
  <c r="FD101" i="2" s="1"/>
  <c r="FD34" i="2"/>
  <c r="FD114" i="2"/>
  <c r="FD37" i="2"/>
  <c r="ER89" i="3"/>
  <c r="ER87" i="3"/>
  <c r="ER88" i="3" s="1"/>
  <c r="ER91" i="3"/>
  <c r="ER92" i="3" s="1"/>
  <c r="ER95" i="3"/>
  <c r="ER96" i="3" s="1"/>
  <c r="ER132" i="3"/>
  <c r="ER21" i="4"/>
  <c r="ER23" i="4"/>
  <c r="ER9" i="4"/>
  <c r="ER88" i="4"/>
  <c r="ER105" i="4"/>
  <c r="FE15" i="2"/>
  <c r="FE80" i="2"/>
  <c r="FE95" i="2" s="1"/>
  <c r="EP94" i="4"/>
  <c r="EP96" i="4"/>
  <c r="FE17" i="2"/>
  <c r="FE108" i="2"/>
  <c r="FE76" i="2"/>
  <c r="FE91" i="2" s="1"/>
  <c r="FE127" i="2" s="1"/>
  <c r="FE158" i="2"/>
  <c r="EO44" i="3"/>
  <c r="EO66" i="3"/>
  <c r="EO67" i="3"/>
  <c r="EO78" i="3"/>
  <c r="EO119" i="4"/>
  <c r="EO126" i="3"/>
  <c r="ES100" i="3"/>
  <c r="FF13" i="2"/>
  <c r="ES103" i="4"/>
  <c r="FF14" i="2"/>
  <c r="FF19" i="2"/>
  <c r="FF107" i="2"/>
  <c r="FF85" i="2"/>
  <c r="FF99" i="2" s="1"/>
  <c r="FF407" i="329"/>
  <c r="EQ104" i="3"/>
  <c r="FD133" i="2"/>
  <c r="EQ69" i="3"/>
  <c r="EQ114" i="3"/>
  <c r="FF8" i="2"/>
  <c r="ES101" i="3" s="1"/>
  <c r="FF177" i="2"/>
  <c r="FF223" i="2"/>
  <c r="ER20" i="4"/>
  <c r="FF201" i="2"/>
  <c r="FF218" i="2" s="1"/>
  <c r="FF239" i="2"/>
  <c r="ES102" i="3"/>
  <c r="FF137" i="2"/>
  <c r="FF138" i="2" s="1"/>
  <c r="FF79" i="2"/>
  <c r="FF94" i="2" s="1"/>
  <c r="FF135" i="2"/>
  <c r="FF136" i="2" s="1"/>
  <c r="FF109" i="2"/>
  <c r="EP40" i="3"/>
  <c r="FH125" i="329"/>
  <c r="EN77" i="3"/>
  <c r="EN74" i="3"/>
  <c r="EN122" i="3" s="1"/>
  <c r="EN76" i="3"/>
  <c r="EN21" i="3"/>
  <c r="FG168" i="2"/>
  <c r="FG225" i="2"/>
  <c r="FG157" i="2"/>
  <c r="EM124" i="3"/>
  <c r="EM123" i="3"/>
  <c r="EQ75" i="3"/>
  <c r="FE120" i="2"/>
  <c r="FE124" i="2"/>
  <c r="FF412" i="329"/>
  <c r="EP64" i="4" l="1"/>
  <c r="EQ62" i="4" s="1"/>
  <c r="ER40" i="4"/>
  <c r="FG187" i="2"/>
  <c r="FG210" i="2" s="1"/>
  <c r="FG227" i="2"/>
  <c r="FF11" i="2"/>
  <c r="FF110" i="2"/>
  <c r="ES9" i="3"/>
  <c r="ES20" i="3"/>
  <c r="ES27" i="3"/>
  <c r="ES11" i="3"/>
  <c r="ES25" i="3"/>
  <c r="ES26" i="3"/>
  <c r="EO12" i="3"/>
  <c r="EO65" i="3"/>
  <c r="ET87" i="4"/>
  <c r="FG7" i="2"/>
  <c r="FG412" i="329" s="1"/>
  <c r="FG149" i="2"/>
  <c r="FG390" i="329"/>
  <c r="FG405" i="329"/>
  <c r="FG391" i="329"/>
  <c r="FG388" i="329"/>
  <c r="FG389" i="329"/>
  <c r="FG411" i="329"/>
  <c r="EP99" i="4"/>
  <c r="EP100" i="4"/>
  <c r="FH126" i="329"/>
  <c r="FH107" i="329"/>
  <c r="FH108" i="329" s="1"/>
  <c r="FH147" i="329"/>
  <c r="ER27" i="4"/>
  <c r="ER28" i="4"/>
  <c r="ER90" i="4"/>
  <c r="ER84" i="4"/>
  <c r="ER93" i="3"/>
  <c r="ER94" i="3" s="1"/>
  <c r="ER90" i="3"/>
  <c r="EQ8" i="4"/>
  <c r="EQ29" i="4" s="1"/>
  <c r="EQ107" i="4"/>
  <c r="EQ116" i="4"/>
  <c r="FG153" i="2"/>
  <c r="FG175" i="2"/>
  <c r="FG221" i="2"/>
  <c r="FH122" i="2"/>
  <c r="FH118" i="2"/>
  <c r="FH242" i="2"/>
  <c r="FH243" i="2"/>
  <c r="EN123" i="3"/>
  <c r="EN124" i="3"/>
  <c r="FG170" i="2"/>
  <c r="FG199" i="2"/>
  <c r="FG216" i="2" s="1"/>
  <c r="FG237" i="2"/>
  <c r="EO68" i="3"/>
  <c r="ER15" i="3"/>
  <c r="FG173" i="329"/>
  <c r="FG174" i="329" s="1"/>
  <c r="FG186" i="329"/>
  <c r="EP42" i="3"/>
  <c r="EN45" i="3"/>
  <c r="EN71" i="3"/>
  <c r="EN127" i="3"/>
  <c r="EN125" i="3"/>
  <c r="ES10" i="3"/>
  <c r="ES97" i="3" s="1"/>
  <c r="ES24" i="3"/>
  <c r="FF106" i="2"/>
  <c r="FF408" i="329"/>
  <c r="FF9" i="2"/>
  <c r="ES113" i="3"/>
  <c r="FF131" i="2"/>
  <c r="FF142" i="2"/>
  <c r="FF143" i="2" s="1"/>
  <c r="ER111" i="3"/>
  <c r="ER104" i="4"/>
  <c r="ER106" i="4" s="1"/>
  <c r="FE25" i="2"/>
  <c r="FE83" i="2"/>
  <c r="FE111" i="2"/>
  <c r="FE132" i="2"/>
  <c r="FE82" i="2"/>
  <c r="FE97" i="2" s="1"/>
  <c r="FE141" i="2"/>
  <c r="FE140" i="2"/>
  <c r="FE171" i="2"/>
  <c r="FE20" i="2"/>
  <c r="EQ108" i="4"/>
  <c r="FD115" i="2"/>
  <c r="EO65" i="4"/>
  <c r="FG16" i="2"/>
  <c r="FG197" i="2"/>
  <c r="FG214" i="2" s="1"/>
  <c r="FG231" i="2"/>
  <c r="FG166" i="2"/>
  <c r="FG235" i="2" s="1"/>
  <c r="ES82" i="4"/>
  <c r="FH223" i="329"/>
  <c r="FH224" i="329"/>
  <c r="EP7" i="3" l="1"/>
  <c r="EP65" i="4" s="1"/>
  <c r="EQ40" i="3"/>
  <c r="EQ42" i="3" s="1"/>
  <c r="FD134" i="2" s="1"/>
  <c r="ES32" i="4"/>
  <c r="ES83" i="4"/>
  <c r="ES85" i="4"/>
  <c r="EP44" i="3"/>
  <c r="EP66" i="3"/>
  <c r="EP67" i="3"/>
  <c r="EP78" i="3"/>
  <c r="EP119" i="4"/>
  <c r="EP126" i="3"/>
  <c r="FC134" i="2"/>
  <c r="ER112" i="3"/>
  <c r="FE84" i="2"/>
  <c r="FE98" i="2" s="1"/>
  <c r="FE112" i="2"/>
  <c r="FF120" i="2"/>
  <c r="FF124" i="2"/>
  <c r="FG239" i="2"/>
  <c r="FG201" i="2"/>
  <c r="FG218" i="2" s="1"/>
  <c r="FG8" i="2"/>
  <c r="ET101" i="3" s="1"/>
  <c r="FG177" i="2"/>
  <c r="FG223" i="2"/>
  <c r="EQ42" i="4"/>
  <c r="EQ98" i="4" s="1"/>
  <c r="EQ63" i="4"/>
  <c r="EQ64" i="4" s="1"/>
  <c r="FH101" i="329"/>
  <c r="FH102" i="329" s="1"/>
  <c r="FH105" i="329"/>
  <c r="FH106" i="329" s="1"/>
  <c r="FH160" i="2"/>
  <c r="FH139" i="329"/>
  <c r="FH155" i="2"/>
  <c r="FH103" i="329"/>
  <c r="FH104" i="329" s="1"/>
  <c r="FH148" i="329"/>
  <c r="FH176" i="329"/>
  <c r="FH393" i="329"/>
  <c r="ES25" i="4"/>
  <c r="EO76" i="3"/>
  <c r="EO77" i="3"/>
  <c r="EO74" i="3"/>
  <c r="EO122" i="3" s="1"/>
  <c r="EO21" i="3"/>
  <c r="ES30" i="3"/>
  <c r="ES35" i="3" s="1"/>
  <c r="ES129" i="3"/>
  <c r="ES130" i="3"/>
  <c r="ES24" i="4"/>
  <c r="ER16" i="3"/>
  <c r="ET100" i="3"/>
  <c r="FG13" i="2"/>
  <c r="ET103" i="4"/>
  <c r="FG14" i="2"/>
  <c r="FG19" i="2"/>
  <c r="FG85" i="2"/>
  <c r="FG99" i="2" s="1"/>
  <c r="FG107" i="2"/>
  <c r="FG407" i="329"/>
  <c r="ES23" i="4"/>
  <c r="ES9" i="4"/>
  <c r="ES15" i="3" s="1"/>
  <c r="ES105" i="4"/>
  <c r="ES88" i="4"/>
  <c r="ES90" i="4" s="1"/>
  <c r="FF80" i="2"/>
  <c r="FF95" i="2" s="1"/>
  <c r="FF15" i="2"/>
  <c r="ET102" i="3"/>
  <c r="FG109" i="2"/>
  <c r="FG137" i="2"/>
  <c r="FG138" i="2" s="1"/>
  <c r="FG79" i="2"/>
  <c r="FG94" i="2" s="1"/>
  <c r="FG135" i="2"/>
  <c r="FG136" i="2" s="1"/>
  <c r="EQ96" i="4"/>
  <c r="EQ94" i="4"/>
  <c r="ES115" i="3"/>
  <c r="FE27" i="2"/>
  <c r="FE30" i="2" s="1"/>
  <c r="FE113" i="2"/>
  <c r="FE86" i="2"/>
  <c r="FE100" i="2" s="1"/>
  <c r="FF17" i="2"/>
  <c r="FF76" i="2"/>
  <c r="FF91" i="2" s="1"/>
  <c r="FF127" i="2" s="1"/>
  <c r="FF108" i="2"/>
  <c r="FF158" i="2"/>
  <c r="ES89" i="3"/>
  <c r="ES87" i="3"/>
  <c r="ES88" i="3" s="1"/>
  <c r="ES91" i="3"/>
  <c r="ES92" i="3" s="1"/>
  <c r="ES95" i="3"/>
  <c r="ES96" i="3" s="1"/>
  <c r="ES132" i="3"/>
  <c r="ES21" i="4"/>
  <c r="FF128" i="2"/>
  <c r="FG410" i="329"/>
  <c r="ET76" i="4"/>
  <c r="ET79" i="4"/>
  <c r="ES20" i="4"/>
  <c r="EP65" i="3" l="1"/>
  <c r="EP12" i="3"/>
  <c r="EP76" i="3" s="1"/>
  <c r="FG9" i="2"/>
  <c r="FG17" i="2" s="1"/>
  <c r="ES84" i="4"/>
  <c r="ER105" i="3"/>
  <c r="FE37" i="2"/>
  <c r="FE88" i="2"/>
  <c r="FE101" i="2" s="1"/>
  <c r="FE34" i="2"/>
  <c r="FE114" i="2"/>
  <c r="EO45" i="3"/>
  <c r="EO71" i="3"/>
  <c r="EO127" i="3"/>
  <c r="EO125" i="3"/>
  <c r="ES90" i="3"/>
  <c r="ES93" i="3"/>
  <c r="ES94" i="3" s="1"/>
  <c r="ES111" i="3"/>
  <c r="ES104" i="4"/>
  <c r="ES106" i="4" s="1"/>
  <c r="FF82" i="2"/>
  <c r="FF97" i="2" s="1"/>
  <c r="FF25" i="2"/>
  <c r="FF83" i="2"/>
  <c r="FF111" i="2"/>
  <c r="FF132" i="2"/>
  <c r="FF140" i="2"/>
  <c r="FF141" i="2"/>
  <c r="FF171" i="2"/>
  <c r="FF20" i="2"/>
  <c r="ET113" i="3"/>
  <c r="FG131" i="2"/>
  <c r="FG142" i="2"/>
  <c r="FG143" i="2" s="1"/>
  <c r="EO123" i="3"/>
  <c r="EO124" i="3"/>
  <c r="FH147" i="2"/>
  <c r="FH151" i="2" s="1"/>
  <c r="FH404" i="329"/>
  <c r="FH168" i="2"/>
  <c r="FH225" i="2"/>
  <c r="FH157" i="2"/>
  <c r="EP68" i="3"/>
  <c r="ET82" i="4"/>
  <c r="FG106" i="2"/>
  <c r="FG408" i="329"/>
  <c r="FG11" i="2"/>
  <c r="FG110" i="2"/>
  <c r="FH172" i="329"/>
  <c r="FH177" i="329"/>
  <c r="FH178" i="329" s="1"/>
  <c r="FH187" i="329"/>
  <c r="FH182" i="329"/>
  <c r="FH183" i="329"/>
  <c r="FH184" i="329"/>
  <c r="FH185" i="329"/>
  <c r="FH181" i="329"/>
  <c r="ET10" i="3"/>
  <c r="ET97" i="3" s="1"/>
  <c r="ET24" i="3"/>
  <c r="ES27" i="4"/>
  <c r="ES28" i="4"/>
  <c r="EQ7" i="3"/>
  <c r="EQ65" i="4" s="1"/>
  <c r="ER62" i="4"/>
  <c r="ER104" i="3"/>
  <c r="FE133" i="2"/>
  <c r="ET9" i="3"/>
  <c r="ET27" i="3"/>
  <c r="ET20" i="3"/>
  <c r="ET11" i="3"/>
  <c r="ET25" i="3"/>
  <c r="ET26" i="3"/>
  <c r="ER75" i="3"/>
  <c r="FH229" i="2"/>
  <c r="FH162" i="2"/>
  <c r="FH164" i="2"/>
  <c r="FH233" i="2" s="1"/>
  <c r="EQ99" i="4"/>
  <c r="EQ100" i="4"/>
  <c r="EQ44" i="3"/>
  <c r="EQ78" i="3"/>
  <c r="EQ66" i="3"/>
  <c r="EQ67" i="3"/>
  <c r="EQ119" i="4"/>
  <c r="EQ126" i="3"/>
  <c r="ER69" i="3"/>
  <c r="ER114" i="3"/>
  <c r="ES40" i="4"/>
  <c r="ES14" i="3"/>
  <c r="EP21" i="3" l="1"/>
  <c r="EP45" i="3" s="1"/>
  <c r="EP77" i="3"/>
  <c r="EP74" i="3"/>
  <c r="EP122" i="3" s="1"/>
  <c r="EP124" i="3" s="1"/>
  <c r="FG158" i="2"/>
  <c r="FG76" i="2"/>
  <c r="FG91" i="2" s="1"/>
  <c r="FG127" i="2" s="1"/>
  <c r="FG108" i="2"/>
  <c r="ET30" i="3"/>
  <c r="ET35" i="3" s="1"/>
  <c r="ET130" i="3"/>
  <c r="ET129" i="3"/>
  <c r="ET24" i="4"/>
  <c r="ET111" i="3"/>
  <c r="ET104" i="4"/>
  <c r="FG132" i="2"/>
  <c r="FG82" i="2"/>
  <c r="FG97" i="2" s="1"/>
  <c r="FG25" i="2"/>
  <c r="FG83" i="2"/>
  <c r="FG111" i="2"/>
  <c r="FG140" i="2"/>
  <c r="FG141" i="2"/>
  <c r="FG171" i="2"/>
  <c r="ET32" i="4"/>
  <c r="ET14" i="3" s="1"/>
  <c r="ET85" i="4"/>
  <c r="ET83" i="4"/>
  <c r="FH187" i="2"/>
  <c r="FH210" i="2" s="1"/>
  <c r="FH227" i="2"/>
  <c r="FH175" i="2"/>
  <c r="FH221" i="2"/>
  <c r="FH153" i="2"/>
  <c r="FF86" i="2"/>
  <c r="FF100" i="2" s="1"/>
  <c r="FF27" i="2"/>
  <c r="FF30" i="2" s="1"/>
  <c r="FF113" i="2"/>
  <c r="ET25" i="4"/>
  <c r="ET23" i="4"/>
  <c r="ET87" i="3"/>
  <c r="ET88" i="3" s="1"/>
  <c r="ET91" i="3"/>
  <c r="ET92" i="3" s="1"/>
  <c r="ET95" i="3"/>
  <c r="ET96" i="3" s="1"/>
  <c r="ET89" i="3"/>
  <c r="ET132" i="3"/>
  <c r="ET21" i="4"/>
  <c r="FH173" i="329"/>
  <c r="FH174" i="329" s="1"/>
  <c r="FH186" i="329"/>
  <c r="ER108" i="4"/>
  <c r="FE115" i="2"/>
  <c r="FH16" i="2"/>
  <c r="FH166" i="2"/>
  <c r="FH235" i="2" s="1"/>
  <c r="FH197" i="2"/>
  <c r="FH214" i="2" s="1"/>
  <c r="FH231" i="2"/>
  <c r="ET20" i="4"/>
  <c r="FG20" i="2"/>
  <c r="FG124" i="2"/>
  <c r="FG120" i="2"/>
  <c r="FH237" i="2"/>
  <c r="FH170" i="2"/>
  <c r="FH199" i="2"/>
  <c r="FH216" i="2" s="1"/>
  <c r="ET115" i="3"/>
  <c r="ER8" i="4"/>
  <c r="ER107" i="4"/>
  <c r="ER116" i="4"/>
  <c r="ES16" i="3"/>
  <c r="EQ68" i="3"/>
  <c r="EQ12" i="3"/>
  <c r="EQ65" i="3"/>
  <c r="ET9" i="4"/>
  <c r="ET105" i="4"/>
  <c r="ET88" i="4"/>
  <c r="ET90" i="4" s="1"/>
  <c r="FG15" i="2"/>
  <c r="FG80" i="2"/>
  <c r="FG95" i="2" s="1"/>
  <c r="FG128" i="2"/>
  <c r="EU87" i="4"/>
  <c r="FH7" i="2"/>
  <c r="FH412" i="329" s="1"/>
  <c r="FH149" i="2"/>
  <c r="FH389" i="329"/>
  <c r="FH411" i="329"/>
  <c r="FH390" i="329"/>
  <c r="FH405" i="329"/>
  <c r="FH391" i="329"/>
  <c r="FH388" i="329"/>
  <c r="ES112" i="3"/>
  <c r="FF84" i="2"/>
  <c r="FF98" i="2" s="1"/>
  <c r="FF112" i="2"/>
  <c r="EP123" i="3" l="1"/>
  <c r="EP71" i="3"/>
  <c r="EP127" i="3"/>
  <c r="EP125" i="3"/>
  <c r="ES105" i="3"/>
  <c r="FF34" i="2"/>
  <c r="FF114" i="2"/>
  <c r="FF37" i="2"/>
  <c r="FF88" i="2"/>
  <c r="FF101" i="2" s="1"/>
  <c r="EU79" i="4"/>
  <c r="EU76" i="4"/>
  <c r="EQ74" i="3"/>
  <c r="EQ122" i="3" s="1"/>
  <c r="EQ76" i="3"/>
  <c r="EQ77" i="3"/>
  <c r="EQ21" i="3"/>
  <c r="ER29" i="4"/>
  <c r="ER40" i="3"/>
  <c r="ES69" i="3"/>
  <c r="ES114" i="3"/>
  <c r="ET15" i="3"/>
  <c r="ET16" i="3" s="1"/>
  <c r="ET112" i="3"/>
  <c r="FG84" i="2"/>
  <c r="FG98" i="2" s="1"/>
  <c r="FG112" i="2"/>
  <c r="ES104" i="3"/>
  <c r="FF133" i="2"/>
  <c r="FH8" i="2"/>
  <c r="EU101" i="3" s="1"/>
  <c r="FH177" i="2"/>
  <c r="FH223" i="2"/>
  <c r="ET84" i="4"/>
  <c r="EU100" i="3"/>
  <c r="EU103" i="4"/>
  <c r="FH14" i="2"/>
  <c r="FH19" i="2"/>
  <c r="FH13" i="2"/>
  <c r="FH85" i="2"/>
  <c r="FH99" i="2" s="1"/>
  <c r="FH107" i="2"/>
  <c r="FH407" i="329"/>
  <c r="FH239" i="2"/>
  <c r="FH201" i="2"/>
  <c r="FH218" i="2" s="1"/>
  <c r="ET27" i="4"/>
  <c r="ET28" i="4"/>
  <c r="FH410" i="329"/>
  <c r="ES75" i="3"/>
  <c r="EU102" i="3"/>
  <c r="FH135" i="2"/>
  <c r="FH136" i="2" s="1"/>
  <c r="FH109" i="2"/>
  <c r="FH137" i="2"/>
  <c r="FH138" i="2" s="1"/>
  <c r="FH79" i="2"/>
  <c r="FH94" i="2" s="1"/>
  <c r="ER94" i="4"/>
  <c r="ER96" i="4"/>
  <c r="ET93" i="3"/>
  <c r="ET94" i="3" s="1"/>
  <c r="ET90" i="3"/>
  <c r="ET40" i="4"/>
  <c r="FG113" i="2"/>
  <c r="FG86" i="2"/>
  <c r="FG100" i="2" s="1"/>
  <c r="FG27" i="2"/>
  <c r="FG30" i="2" s="1"/>
  <c r="ET106" i="4"/>
  <c r="FH9" i="2" l="1"/>
  <c r="FH17" i="2" s="1"/>
  <c r="FH20" i="2" s="1"/>
  <c r="EU82" i="4"/>
  <c r="EU32" i="4" s="1"/>
  <c r="ET105" i="3"/>
  <c r="FG34" i="2"/>
  <c r="FG114" i="2"/>
  <c r="FG37" i="2"/>
  <c r="FG88" i="2"/>
  <c r="FG101" i="2" s="1"/>
  <c r="EU113" i="3"/>
  <c r="FH131" i="2"/>
  <c r="FH142" i="2"/>
  <c r="FH143" i="2" s="1"/>
  <c r="ET75" i="3"/>
  <c r="FH106" i="2"/>
  <c r="FH128" i="2" s="1"/>
  <c r="FH408" i="329"/>
  <c r="EU9" i="3"/>
  <c r="EU27" i="3"/>
  <c r="EU20" i="3"/>
  <c r="EU11" i="3"/>
  <c r="EU25" i="3"/>
  <c r="EU26" i="3"/>
  <c r="EU10" i="3"/>
  <c r="EU97" i="3" s="1"/>
  <c r="EU24" i="3"/>
  <c r="ER42" i="3"/>
  <c r="ES8" i="4"/>
  <c r="ES29" i="4" s="1"/>
  <c r="ES107" i="4"/>
  <c r="ES116" i="4"/>
  <c r="ET104" i="3"/>
  <c r="FG133" i="2"/>
  <c r="FH11" i="2"/>
  <c r="FH110" i="2"/>
  <c r="ER42" i="4"/>
  <c r="ER98" i="4" s="1"/>
  <c r="ER63" i="4"/>
  <c r="ER64" i="4" s="1"/>
  <c r="EQ124" i="3"/>
  <c r="EQ123" i="3"/>
  <c r="ET69" i="3"/>
  <c r="ET114" i="3"/>
  <c r="EQ45" i="3"/>
  <c r="EQ71" i="3"/>
  <c r="EQ127" i="3"/>
  <c r="EQ125" i="3"/>
  <c r="ES108" i="4"/>
  <c r="FF115" i="2"/>
  <c r="EU85" i="4" l="1"/>
  <c r="EU83" i="4"/>
  <c r="FH108" i="2"/>
  <c r="FH158" i="2"/>
  <c r="FH76" i="2"/>
  <c r="FH91" i="2" s="1"/>
  <c r="FH127" i="2" s="1"/>
  <c r="EU23" i="4"/>
  <c r="ER7" i="3"/>
  <c r="ER65" i="4" s="1"/>
  <c r="ES62" i="4"/>
  <c r="EU9" i="4"/>
  <c r="EU88" i="4"/>
  <c r="EU105" i="4"/>
  <c r="FH15" i="2"/>
  <c r="FH80" i="2"/>
  <c r="FH95" i="2" s="1"/>
  <c r="ES40" i="3"/>
  <c r="EU30" i="3"/>
  <c r="EU35" i="3" s="1"/>
  <c r="EU129" i="3"/>
  <c r="EU130" i="3"/>
  <c r="EU24" i="4"/>
  <c r="ES94" i="4"/>
  <c r="ES96" i="4"/>
  <c r="ET108" i="4"/>
  <c r="FG115" i="2"/>
  <c r="EU112" i="3"/>
  <c r="EU69" i="3" s="1"/>
  <c r="FH84" i="2"/>
  <c r="FH98" i="2" s="1"/>
  <c r="FH112" i="2"/>
  <c r="ER44" i="3"/>
  <c r="ER67" i="3"/>
  <c r="ER78" i="3"/>
  <c r="ER66" i="3"/>
  <c r="ER119" i="4"/>
  <c r="FE134" i="2"/>
  <c r="ER126" i="3"/>
  <c r="EU25" i="4"/>
  <c r="FH120" i="2"/>
  <c r="FH124" i="2"/>
  <c r="EU115" i="3"/>
  <c r="EU40" i="4"/>
  <c r="EU14" i="3"/>
  <c r="ES42" i="4"/>
  <c r="ES98" i="4" s="1"/>
  <c r="ES63" i="4"/>
  <c r="ET8" i="4"/>
  <c r="ET29" i="4" s="1"/>
  <c r="ET107" i="4"/>
  <c r="ET116" i="4"/>
  <c r="ER100" i="4"/>
  <c r="ER99" i="4"/>
  <c r="EU87" i="3"/>
  <c r="EU88" i="3" s="1"/>
  <c r="EU89" i="3"/>
  <c r="EU91" i="3"/>
  <c r="EU92" i="3" s="1"/>
  <c r="EU95" i="3"/>
  <c r="EU96" i="3" s="1"/>
  <c r="EU132" i="3"/>
  <c r="EU21" i="4"/>
  <c r="EU20" i="4"/>
  <c r="EU111" i="3"/>
  <c r="EU104" i="4"/>
  <c r="FH132" i="2"/>
  <c r="FH82" i="2"/>
  <c r="FH97" i="2" s="1"/>
  <c r="FH25" i="2"/>
  <c r="FH83" i="2"/>
  <c r="FH111" i="2"/>
  <c r="FH140" i="2"/>
  <c r="FH141" i="2"/>
  <c r="FH171" i="2"/>
  <c r="EU106" i="4" l="1"/>
  <c r="EU114" i="3"/>
  <c r="ET42" i="4"/>
  <c r="ET98" i="4" s="1"/>
  <c r="ET63" i="4"/>
  <c r="ES99" i="4"/>
  <c r="ES100" i="4"/>
  <c r="ER68" i="3"/>
  <c r="EU90" i="4"/>
  <c r="EU84" i="4"/>
  <c r="ER12" i="3"/>
  <c r="ER65" i="3"/>
  <c r="EU28" i="4"/>
  <c r="EU27" i="4"/>
  <c r="EU15" i="3"/>
  <c r="ET94" i="4"/>
  <c r="ET96" i="4"/>
  <c r="FH27" i="2"/>
  <c r="FH113" i="2"/>
  <c r="FH86" i="2"/>
  <c r="FH100" i="2" s="1"/>
  <c r="EU90" i="3"/>
  <c r="EU93" i="3"/>
  <c r="EU94" i="3" s="1"/>
  <c r="ET40" i="3"/>
  <c r="ES42" i="3"/>
  <c r="ES64" i="4"/>
  <c r="EU16" i="3" l="1"/>
  <c r="EU75" i="3" s="1"/>
  <c r="ES7" i="3"/>
  <c r="ET62" i="4"/>
  <c r="ET64" i="4" s="1"/>
  <c r="EU104" i="3"/>
  <c r="FH133" i="2"/>
  <c r="ER77" i="3"/>
  <c r="ER74" i="3"/>
  <c r="ER122" i="3" s="1"/>
  <c r="ER76" i="3"/>
  <c r="ER21" i="3"/>
  <c r="ET99" i="4"/>
  <c r="ET100" i="4"/>
  <c r="ES44" i="3"/>
  <c r="ES66" i="3"/>
  <c r="ES67" i="3"/>
  <c r="ES78" i="3"/>
  <c r="ES119" i="4"/>
  <c r="ES126" i="3"/>
  <c r="FF134" i="2"/>
  <c r="ET42" i="3"/>
  <c r="FH30" i="2"/>
  <c r="ES12" i="3" l="1"/>
  <c r="ES65" i="3"/>
  <c r="ET44" i="3"/>
  <c r="ET66" i="3"/>
  <c r="ET67" i="3"/>
  <c r="ET78" i="3"/>
  <c r="ET119" i="4"/>
  <c r="ET126" i="3"/>
  <c r="FG134" i="2"/>
  <c r="ES65" i="4"/>
  <c r="ER123" i="3"/>
  <c r="ER124" i="3"/>
  <c r="EU105" i="3"/>
  <c r="FH88" i="2"/>
  <c r="FH101" i="2" s="1"/>
  <c r="FH34" i="2"/>
  <c r="FH114" i="2"/>
  <c r="FH37" i="2"/>
  <c r="ES68" i="3"/>
  <c r="ER45" i="3"/>
  <c r="ER71" i="3"/>
  <c r="ER127" i="3"/>
  <c r="ER125" i="3"/>
  <c r="ET7" i="3"/>
  <c r="ET65" i="4" s="1"/>
  <c r="EU62" i="4"/>
  <c r="ET12" i="3" l="1"/>
  <c r="ET65" i="3"/>
  <c r="EU8" i="4"/>
  <c r="EU107" i="4"/>
  <c r="EU116" i="4"/>
  <c r="EU108" i="4"/>
  <c r="FH115" i="2"/>
  <c r="ES76" i="3"/>
  <c r="ES77" i="3"/>
  <c r="ES74" i="3"/>
  <c r="ES122" i="3" s="1"/>
  <c r="ES21" i="3"/>
  <c r="ET68" i="3"/>
  <c r="ET76" i="3" l="1"/>
  <c r="ET77" i="3"/>
  <c r="ET74" i="3"/>
  <c r="ET122" i="3" s="1"/>
  <c r="ET21" i="3"/>
  <c r="ES123" i="3"/>
  <c r="ES124" i="3"/>
  <c r="EU96" i="4"/>
  <c r="EU94" i="4"/>
  <c r="EU29" i="4"/>
  <c r="EU40" i="3"/>
  <c r="EU42" i="3" s="1"/>
  <c r="ES45" i="3"/>
  <c r="ES71" i="3"/>
  <c r="ES127" i="3"/>
  <c r="ES125" i="3"/>
  <c r="EU44" i="3" l="1"/>
  <c r="EU78" i="3"/>
  <c r="EU66" i="3"/>
  <c r="EU67" i="3"/>
  <c r="EU119" i="4"/>
  <c r="FH134" i="2"/>
  <c r="EU126" i="3"/>
  <c r="ET45" i="3"/>
  <c r="ET71" i="3"/>
  <c r="ET127" i="3"/>
  <c r="ET125" i="3"/>
  <c r="EU42" i="4"/>
  <c r="EU98" i="4" s="1"/>
  <c r="EU63" i="4"/>
  <c r="EU64" i="4" s="1"/>
  <c r="ET123" i="3"/>
  <c r="ET124" i="3"/>
  <c r="EU68" i="3" l="1"/>
  <c r="EU7" i="3"/>
  <c r="EU65" i="4" s="1"/>
  <c r="EU99" i="4"/>
  <c r="EU100" i="4"/>
  <c r="EU12" i="3" l="1"/>
  <c r="EU65" i="3"/>
  <c r="EU74" i="3" l="1"/>
  <c r="EU122" i="3" s="1"/>
  <c r="EU76" i="3"/>
  <c r="EU77" i="3"/>
  <c r="EU21" i="3"/>
  <c r="EU45" i="3" l="1"/>
  <c r="EU71" i="3"/>
  <c r="EU127" i="3"/>
  <c r="EU125" i="3"/>
  <c r="EU124" i="3"/>
  <c r="EU123" i="3"/>
</calcChain>
</file>

<file path=xl/comments1.xml><?xml version="1.0" encoding="utf-8"?>
<comments xmlns="http://schemas.openxmlformats.org/spreadsheetml/2006/main">
  <authors>
    <author xml:space="preserve"> </author>
  </authors>
  <commentList>
    <comment ref="A1" authorId="0">
      <text>
        <r>
          <rPr>
            <sz val="9"/>
            <color indexed="81"/>
            <rFont val="Tahoma"/>
            <family val="2"/>
          </rPr>
          <t xml:space="preserve"> 䉂幙䕆䕟呓䵉呁⡅匧䱁卅剟䙓Ⱗ䴧䅅❎✬乁啎䱁Ⱗ⬧✲丬坏Ⱜ✬⤧_x0018_＀＀_x0018_＀＀_x0008_＀＀_x0001_＀＀_x0001_＀＀馚香⮙䂋Ⅲ䪱$䉂幙䍅彁䕍乁䕟卐㈨㌬〹㈸Ⱜ∬佒䱌ㄽ⤢_x0018_＀＀_x0018_＀＀_x0008_＀＀_x0001_＀＀_x0001_＀＀廲㊵䀈䉧乪?䉂幙䕆䕟呓䵉呁⡅匧䵁卅佔䕒䅓䕌❓✬䕍乁Ⱗ䄧乎䅕❌✬㈫Ⱗ低ⱗⰬ✧착_x0018_＀＀_x0018_＀＀_x0008_＀＀_x0001_＀＀_x0001_＀＀긕ᑺ㿬⅍䪱$䉂幙䍅彁䕍乁䕟卐㈨㐬⸶㔶Ⱜ∬佒䱌ㄽ⤢_x0018_＀＀_x0018_＀＀_x0008_＀＀_x0001_＀＀_x0001_＀＀랈뿎ᙝ䀉⅍䪱$䉂幙䍅彁䕍乁䕟卐㈨㔬⸵㔲Ⱜ∬佒䱌ㄽ⤢_x0018_＀＀_x0018_＀＀_x0008_＀＀_x0001_＀＀_x0001_＀＀豀碵꼝쐕⅍䪱!䉂幙䍅彁䕍乁䕟卐㈨㔬ⰳⰬ刢䱏㵌∱착_x0018_＀＀_x0018_＀＀_x0008_＀＀_x0001_＀＀_x0001_＀＀豀碵꼝쐕抍䕉_x001A_䉂幙䍆䵟䅅彎呌Ňㄠ㌯⼱〲㐰_x0018_＀＀_x0018_＀＀_x0008_＀＀_x0001_＀＀_x0001_＀＀䞮竡渔䀮礘䶋&amp;慞杶瀨敟捸彨慲整木灢甬摳㐬㌰㤵㐬㐰ㄵ⤩_x0018_＀＀_x0018_＀＀_x0008_＀＀_x0001_＀＀_x0001_＀＀ඟ欍큗㿸抍䕉_x001A_䉂幙䍆䵟䅅彎呌Ňㄠ㌯⼱〲㔰_x0018_＀＀_x0018_＀＀_x0008_＀＀_x0001_＀＀_x0001_＀＀邼༎ꑡ䀯抍䕉_x001A_䉂幙䍆䵟䅅彎呌Ňㄠ㌯⼱〲㘰_x0018_＀＀_x0018_＀＀_x0008_＀＀_x0001_＀＀_x0001_＀＀晧晦䀰⅍䪱$䉂幙䍅彁䕍乁䕟卐ㄨ㌬ㄹ㈷Ⱜ∬佒䱌ㄽ⤢_x0018_＀＀_x0018_＀＀_x0008_＀＀_x0001_＀＀_x0001_＀＀葄ᅿ☴䀆″䨂_x001A_䉂幙䍆䵟䅅彎呌Ňㄠ㌯⼱〲㜰_x0018_＀＀_x0018_＀＀_x0008_＀＀_x0001_＀＀_x0001_＀＀豀碵꼝쐕䉧乪4䉂幙䕆䕟呓䵉呁⡅匧䅇Ⱗ丧卅❔✬乁啎䱁Ⱗ⬧✳丬坏Ⱜ✬⤧_x0018_＀＀_x0018_＀＀_x0008_＀＀_x0001_＀＀_x0001_＀＀＀＀＀＀＀＀㿰″䨂_x001A_䉂幙䍆䵟䅅彎呌Ňㄠ㌯⼱〲㠰_x0018_＀＀_x0018_＀＀_x0008_＀＀_x0001_＀＀_x0001_＀＀豀碵꼝쐕″䨂_x001A_䉂幙䍆䵟䅅彎呌Ňㄠ㌯⼱〲㤰_x0018_＀＀_x0018_＀＀_x0008_＀＀_x0001_＀＀_x0001_＀＀豀碵꼝쐕䉧乪6䉂幙䕆䕟呓䵉呁⡅匧䱁卅Ⱗ䴧䅅❎✬乁啎䱁Ⱗ⬧✲丬坏Ⱜ✬⤧_x0018_＀＀_x0018_＀＀_x0008_＀＀_x0001_＀＀_x0001_＀＀＀＀＀＀䃩⿕䨂_x001D_䉂幙彐䥓䅟奎䕟䍘䝈 ⼹〳㈯〰찴_x0018_＀＀_x0018_＀＀_x0008_＀＀_x0001_＀＀_x0001_＀＀糹๙䴆䅳⿕䨂_x001D_䉂幙彐䥓䅟奎䕟䍘䝈 ⼹〳㈯〰찵_x0018_＀＀_x0018_＀＀_x0008_＀＀_x0001_＀＀_x0001_＀＀＀＀ꀀ퇽䅰抍䕉_x001A_䉂幙䍆䵟䅅彎呌Ň㜠㌯⼱〲㌰_x0018_＀＀_x0018_＀＀_x0008_＀＀_x0001_＀＀_x0001_＀＀뷏䮇䀮ﶭ䞽$䉂幙䍅彁䕍乁䕟卐㈨㐬⸳㔷Ⱜ∬佒䱌ㄽ⤢_x0018_＀＀_x0018_＀＀_x0008_＀＀_x0001_＀＀_x0001_＀＀鬸䀌磾亇)䉂幙彐剐䍉彅噁⡇⼲㠲㈯〰ⰹ⼲㠲㈯〰ⰸⰬㄬ착_x0018_＀＀_x0018_＀＀_x0008_＀＀_x0001_＀＀_x0001_＀＀젢ु䁁⃞䪱_x001E_䉂幙䍅䵟䅅彎偅当呌Ň㤠㌯⼰㤱㘸_x0018_＀＀_x0018_＀＀_x0008_＀＀_x0001_＀＀_x0001_＀＀豀碵꼝쐕⿕䨂_x001D_䉂幙彐䥓䅟奎䕟䍘䝈 ⼹〳㈯〰찶_x0018_＀＀_x0018_＀＀_x0008_＀＀_x0001_＀＀_x0001_＀＀＀＀耀愵䅲抍䕉_x001A_䉂幙䍆䵟䅅彎呌Ň㜠㌯⼱〲㐰_x0018_＀＀_x0018_＀＀_x0008_＀＀_x0001_＀＀_x0001_＀＀ङ㥭犗䀯ꐊ䛡$䉂幙䍅彁䕍乁䕟卐ㄨ㐬⸶㜶Ⱜ∬佒䱌ㄽ⤢_x0018_＀＀_x0018_＀＀_x0008_＀＀_x0001_＀＀_x0001_＀＀鷵鑟羠䀈⃞䪱_x001E_䉂幙䍅䵟䅅彎偅当呌Ň㤠㌯⼰㤱㜸_x0018_＀＀_x0018_＀＀_x0008_＀＀_x0001_＀＀_x0001_＀＀豀碵꼝쐕⿕䨂_x001D_䉂幙彐䥓䅟奎䕟䍘䝈 ⼹〳㈯〰찷_x0018_＀＀_x0018_＀＀_x0008_＀＀_x0001_＀＀_x0001_＀＀＀＀耀뀀䆍抍䕉_x001A_䉂幙䍆䵟䅅彎呌Ň㜠㌯⼱〲㔰_x0018_＀＀_x0018_＀＀_x0008_＀＀_x0001_＀＀_x0001_＀＀욓ᵨ啕䀰⃞䪱_x001E_䉂幙䍅䵟䅅彎偅当呌Ň㤠㌯⼰㤱㠸_x0018_＀＀_x0018_＀＀_x0008_＀＀_x0001_＀＀_x0001_＀＀豀碵꼝쐕⃹䪱_x001D_䉂幙彐䥓䅟奎䕟䍘䝈 ⼹〳㈯〰참_x0018_＀＀_x0018_＀＀_x0008_＀＀_x0001_＀＀_x0001_＀＀＀＀倀晴䅴″䨂_x001A_䉂幙䍆䵟䅅彎呌Ň㜠㌯⼱〲㘰_x0018_＀＀_x0018_＀＀_x0008_＀＀_x0001_＀＀_x0001_＀＀豀碵꼝쐕⃞䪱_x001E_䉂幙䍅䵟䅅彎偅当呌Ň㤠㌯⼰㤱㤸_x0018_＀＀_x0018_＀＀_x0008_＀＀_x0001_＀＀_x0001_＀＀豀碵꼝쐕″䨂_x001A_䉂幙䍆䵟䅅彎呌Ň㜠㌯⼱〲㜰_x0018_＀＀_x0018_＀＀_x0008_＀＀_x0001_＀＀_x0001_＀＀豀碵꼝쐕″䨂_x001A_䉂幙䍆䵟䅅彎呌Ň㜠㌯⼱〲㠰_x0018_＀＀_x0018_＀＀_x0008_＀＀_x0001_＀＀_x0001_＀＀豀碵꼝쐕䉧乪4䉂幙䕆䕟呓䵉呁⡅匧䅇Ⱗ䴧䅅❎✬乁啎䱁Ⱗ⬧✲丬坏Ⱜ✬⤧_x0018_＀＀_x0018_＀＀_x0008_＀＀_x0001_＀＀_x0001_＀＀멞౉狒䃅抍䕉_x001B_䉂幙䍆浟慥彮祦爱 ⼱ㄳ㈯〰찴_x0018_＀＀_x0018_＀＀_x0008_＀＀_x0001_＀＀_x0001_＀＀㶯⒳赀㿹⅍䪱$䉂幙䍅彁䕍乁䕟卐ㄨ㌬〹ㄲⰬ∬佒䱌ㄽ⤢_x0018_＀＀_x0018_＀＀_x0008_＀＀_x0001_＀＀_x0001_＀＀_xDEFD_㾦釻䀆抍䕉_x001B_䉂幙䍆浟慥彮祦爱 ⼱ㄳ㈯〰찵_x0018_＀＀_x0018_＀＀_x0008_＀＀_x0001_＀＀_x0001_＀＀詜䪫㿿抍䕉_x001B_䉂幙䍆浟慥彮祦爱 ⼱ㄳ㈯〰찶_x0018_＀＀_x0018_＀＀_x0008_＀＀_x0001_＀＀_x0001_＀＀蔟凫Ẹ䀁Ώ䨂_x001B_䉂幙䍆浟慥彮祦爱 ⼱ㄳ㈯〰찷_x0018_＀＀_x0018_＀＀_x0008_＀＀_x0001_＀＀_x0001_＀＀豀碵꼝쐕먎䷟&amp;慞杶瀨敟捸彨慲整木灢甬摳㐬ㄴ㈰㐬㈴〹⤩_x0018_＀＀_x0018_＀＀_x0008_＀＀_x0001_＀＀_x0001_＀＀드쉞䩗㿺⃹䪱$䉂幙䍅彁䕍乁䕟卐ㄨ㌬㠹㈷Ⱜ∬佒䱌ㄽ⤢_x0018_＀＀_x0018_＀＀_x0008_＀＀_x0001_＀＀_x0001_＀＀ꋊ记ޢ䀅ﮔ仔4䉂幙䕆䕟呓䵉呁⡅䔧卐Ⱗ䴧䅅❎✬乁啎䱁Ⱗ⬧✴丬坏Ⱜ✬⤧_x0018_＀＀_x0018_＀＀_x0008_＀＀_x0001_＀＀_x0001_＀＀롒蔞凫䀐⅍䪱$䉂幙䍅彁䕍乁䕟卐ㄨ㌬㤸㤲Ⱜ∬佒䱌ㄽ⤢_x0018_＀＀_x0018_＀＀_x0008_＀＀_x0001_＀＀_x0001_＀＀謪⻂뺊䀆抍䕉_x001B_䉂幙䍆浟慥彮祦爱 ⼷ㄳ㈯〰찳_x0018_＀＀_x0018_＀＀_x0008_＀＀_x0001_＀＀_x0001_＀＀瞉➀鰭㿷抍䕉_x001B_䉂幙䍆浟慥彮祦爱 ⼷ㄳ㈯〰찴_x0018_＀＀_x0018_＀＀_x0008_＀＀_x0001_＀＀_x0001_＀＀ℌ﷧_xDC7F_㿾抍䕉_x001B_䉂幙䍆浟慥彮祦爱 ⼷ㄳ㈯〰찵_x0018_＀＀_x0018_＀＀_x0008_＀＀_x0001_＀＀_x0001_＀＀쎵鍟訵䀁Ώ䨂_x001B_䉂幙䍆浟慥彮祦爱 ⼷ㄳ㈯〰찶_x0018_＀＀_x0018_＀＀_x0008_＀＀_x0001_＀＀_x0001_＀＀豀碵꼝쐕婕䷱'䉂幙敢慴∨灳〵Ⱒⰰ㔭洹圬⨩㘮㘶㜶⸫㌳㌳찳_x0018_＀＀_x0018_＀＀_x0008_＀＀_x0001_＀＀_x0001_＀＀䚶틠㿳ꐊ䛡＀Ｏ䉂幙䍅彁䕍乁䕟卐ㄨ㘬㔸⸵ㄱㄸ㄰㜲㌸ⰴⰬ刢䱏㵌∱착_x0018_＀＀_x0018_＀＀_x0008_＀＀_x0001_＀＀_x0001_＀＀豀碵꼝쐕䉧乪;䉂幙䕆䕟呓䵉呁⡅䌧单佔彍偅❓✬䕎呓Ⱗ䄧乎䅕❌✬㈫Ⱗ低ⱗⰬ✧착_x0018_＀＀_x0018_＀＀_x0008_＀＀_x0001_＀＀_x0001_＀＀＀＀＀＀＀＀䀹⅍䪱$䉂幙䍅彁䕍乁䕟卐㈨㔬⸴㜹Ⱜ∬佒䱌ㄽ⤢_x0018_＀＀_x0018_＀＀_x0008_＀＀_x0001_＀＀_x0001_＀＀豀碵꼝쐕⿕䨂_x001B_䉂幙獷獟獨晟潬瑡 ⼲㠲㈯〰찵_x0018_＀＀_x0018_＀＀_x0008_＀＀_x0001_＀＀_x0001_＀＀콂핦櫧䁶礘䶋&amp;慞杶瀨敟捸彨慲整木灢甬摳㐬㈰㠶㐬㐰ㄵ⤩_x0018_＀＀_x0018_＀＀_x0008_＀＀_x0001_＀＀_x0001_＀＀뾿婚㿸⿕䨂_x001B_䉂幙獷獟獨晟潬瑡 ⼲㠲㈯〰찶_x0018_＀＀_x0018_＀＀_x0008_＀＀_x0001_＀＀_x0001_＀＀⣶轜槂䁰⿕䨂_x001B_䉂幙獷獟獨晟潬瑡 ⼲㠲㈯〰찷_x0018_＀＀_x0018_＀＀_x0008_＀＀_x0001_＀＀_x0001_＀＀䰰દ屆䁴抍䕉_x001B_䉂幙䍆浟慥彮祦爲 ⼴〳㈯〰찴_x0018_＀＀_x0018_＀＀_x0008_＀＀_x0001_＀＀_x0001_＀＀愓폃䀁⃹䪱$䉂幙䍅彁䕍乁䕟卐ㄨ㌬㠹㐴Ⱜ∬佒䱌ㄽ⤢_x0018_＀＀_x0018_＀＀_x0008_＀＀_x0001_＀＀_x0001_＀＀굵侽ŕ䀅抍䕉_x001B_䉂幙䍆浟慥彮祦爲 ⼴〳㈯〰찵_x0018_＀＀_x0018_＀＀_x0008_＀＀_x0001_＀＀_x0001_＀＀㬄௾䀂⅍䪱$䉂幙䍅彁䕍乁䕟卐㈨㔬⸵㌹Ⱜ∬佒䱌ㄽ⤢_x0018_＀＀_x0018_＀＀_x0008_＀＀_x0001_＀＀_x0001_＀＀豀碵꼝쐕⃠䪱_x001E_䉂幙䍅䵟䅅彎偅当呌Ň㈠㈯⼸〲㄰_x0018_＀＀_x0018_＀＀_x0008_＀＀_x0001_＀＀_x0001_＀＀豀碵꼝쐕⃞䪱_x001E_䉂幙䍅䵟䅅彎偅当呌Ň㤠㌯⼰㤱〹_x0018_＀＀_x0018_＀＀_x0008_＀＀_x0001_＀＀_x0001_＀＀豀碵꼝쐕の䨂_x001B_䉂幙獷獟獨晟潬瑡 ⼲㠲㈯〰찹_x0018_＀＀_x0018_＀＀_x0008_＀＀_x0001_＀＀_x0001_＀＀豀碵꼝쐕Ώ䨂_x001B_䉂幙䍆浟慥彮祦爲 ⼴〳㈯〰찶_x0018_＀＀_x0018_＀＀_x0008_＀＀_x0001_＀＀_x0001_＀＀豀碵꼝쐕⃹䪱$䉂幙䍅彁䕍乁䕟卐ㄨ㌬㜹ㄲⰬ∬佒䱌ㄽ⤢_x0018_＀＀_x0018_＀＀_x0008_＀＀_x0001_＀＀_x0001_＀＀쑘쎰ᒘ䀊饮书;䉂幙䕆䕟呓䵉呁⡅䌧单佔彍偅❓✬䕍乁Ⱗ䄧乎䅕❌✬㐫Ⱗ低ⱗⰬ✧착_x0018_＀＀_x0018_＀＀_x0008_＀＀_x0001_＀＀_x0001_＀＀ꏗ㵰휊䀋⃠䪱_x001E_䉂幙䍅䵟䅅彎偅当呌Ň㈠㈯⼸〲㈰_x0018_＀＀_x0018_＀＀_x0008_＀＀_x0001_＀＀_x0001_＀＀＀＀＀＀耀䀱⃞䪱_x001E_䉂幙䍅䵟䅅彎偅当呌Ň㤠㌯⼰㤱ㄹ_x0018_＀＀_x0018_＀＀_x0008_＀＀_x0001_＀＀_x0001_＀＀豀碵꼝쐕Ώ䨂_x001B_䉂幙䍆浟慥彮祦爲 ⼴〳㈯〰찷_x0018_＀＀_x0018_＀＀_x0008_＀＀_x0001_＀＀_x0001_＀＀豀碵꼝쐕抍䕉_x0010_䉂幙Ű㤠㌯⼰〲㌰_x0018_＀＀_x0018_＀＀_x0008_＀＀_x0001_＀＀_x0001_＀＀䞮竡긔䀿鹰䜯$䉂幙䍅彁䕍乁䕟卐㈨㐬⸶㈰Ⱜ∬佒䱌ㄽ⤢_x0018_＀＀_x0018_＀＀_x0008_＀＀_x0001_＀＀_x0001_＀＀얭§优䀌⃠䪱_x001E_䉂幙䍅䵟䅅彎偅当呌Ň㈠㈯⼸〲㌰_x0018_＀＀_x0018_＀＀_x0008_＀＀_x0001_＀＀_x0001_＀＀௶썶涶䀱⃟䪱_x001E_䉂幙䍅䵟䅅彎偅当呌Ň㤠㌯⼰㤱㈹_x0018_＀＀_x0018_＀＀_x0008_＀＀_x0001_＀＀_x0001_＀＀豀碵꼝쐕抍䕉_x0010_䉂幙Ű㤠㌯⼰〲㐰_x0018_＀＀_x0018_＀＀_x0008_＀＀_x0001_＀＀_x0001_＀＀긕ᑺ䁂⃟䪱_x001E_䉂幙䍅䵟䅅彎偅当呌Ň㤠㌯⼰㤱㌹_x0018_＀＀_x0018_＀＀_x0008_＀＀_x0001_＀＀_x0001_＀＀豀碵꼝쐕抍䕉_x0010_䉂幙Ű㤠㌯⼰〲㔰_x0018_＀＀_x0018_＀＀_x0008_＀＀_x0001_＀＀_x0001_＀＀炤਽쏗䁅⃠䪱_x001E_䉂幙䍅䵟䅅彎偅当呌Ň㈠㈯⼸〲㔰_x0018_＀＀_x0018_＀＀_x0008_＀＀_x0001_＀＀_x0001_＀＀ᓼ燇䀮⃠䪱_x001E_䉂幙䍅䵟䅅彎偅当呌Ň〱㌯⼱〲〰_x0018_＀＀_x0018_＀＀_x0008_＀＀_x0001_＀＀_x0001_＀＀豀碵꼝쐕⃟䪱_x001E_䉂幙䍅䵟䅅彎偅当呌Ň㤠㌯⼰㤱㐹_x0018_＀＀_x0018_＀＀_x0008_＀＀_x0001_＀＀_x0001_＀＀豀碵꼝쐕Ώ䨂_x0010_䉂幙Ű㤠㌯⼰〲㘰_x0018_＀＀_x0018_＀＀_x0008_＀＀_x0001_＀＀_x0001_＀＀ᑺ잮䁊Ώ䨂$䉂幙䍅彁䕍乁䕟卐ㄨ㌬㐹㠷Ⱜ∬佒䱌ㄽ⤢_x0018_＀＀_x0018_＀＀_x0008_＀＀_x0001_＀＀_x0001_＀＀ו첼ㆰ䀉⃠䪱_x001E_䉂幙䍅䵟䅅彎偅当呌Ň㈠㈯⼸〲㘰_x0018_＀＀_x0018_＀＀_x0008_＀＀_x0001_＀＀_x0001_＀＀＀＀＀＀ꀀ䀰⃠䪱_x001E_䉂幙䍅䵟䅅彎偅当呌Ň〱㌯⼱〲㄰_x0018_＀＀_x0018_＀＀_x0008_＀＀_x0001_＀＀_x0001_＀＀豀碵꼝쐕⃟䪱_x001E_䉂幙䍅䵟䅅彎偅当呌Ň㤠㌯⼰㤱㔹_x0018_＀＀_x0018_＀＀_x0008_＀＀_x0001_＀＀_x0001_＀＀豀碵꼝쐕Ώ䨂_x0010_䉂幙Ű㤠㌯⼰〲㜰_x0018_＀＀_x0018_＀＀_x0008_＀＀_x0001_＀＀_x0001_＀＀尨ʏ䁇Ώ䨂$䉂幙䍅彁䕍乁䕟卐ㄨ㌬㌹㔵Ⱜ∬佒䱌ㄽ⤢_x0018_＀＀_x0018_＀＀_x0008_＀＀_x0001_＀＀_x0001_＀＀尩슏ꣵ䀈⃡䪱_x001E_䉂幙䍅䵟䅅彎偅当呌Ň㈠㈯⼸〲㜰_x0018_＀＀_x0018_＀＀_x0008_＀＀_x0001_＀＀_x0001_＀＀⩰慒Ŭ䀰⃠䪱_x001E_䉂幙䍅䵟䅅彎偅当呌Ň〱㌯⼱〲㈰_x0018_＀＀_x0018_＀＀_x0008_＀＀_x0001_＀＀_x0001_＀＀퀩줤䀲⃟䪱_x001E_䉂幙䍅䵟䅅彎偅当呌Ň㤠㌯⼰㤱㘹_x0018_＀＀_x0018_＀＀_x0008_＀＀_x0001_＀＀_x0001_＀＀豀碵꼝쐕⃹䪱_x0010_䉂幙Ű㤠㌯⼰〲㠰_x0018_＀＀_x0018_＀＀_x0008_＀＀_x0001_＀＀_x0001_＀＀＀＀＀＀쀀䁂먎䷟&amp;慞杶瀨敟捸彨慲整木灢甬摳㐬㜳㜳㐬㤳㐲⤩_x0018_＀＀_x0018_＀＀_x0008_＀＀_x0001_＀＀_x0001_＀＀드쉞䩗㿺䬨_x0010_䉂幙Ű㤠㌯⼰〲㤰_x0018_＀＀_x0018_＀＀_x0008_＀＀_x0001_＀＀_x0001_＀＀尨슏䁂⅍䪱$䉂幙䍅彁䕍乁䕟卐ㄨ㌬㤸〹Ⱜ∬佒䱌ㄽ⤢_x0018_＀＀_x0018_＀＀_x0008_＀＀_x0001_＀＀_x0001_＀＀῕ᡡ蒰䀆⃹䪱$䉂幙䍅彁䕍乁䕟卐㈨㌬⸳㤴Ⱜ∬佒䱌ㄽ⤢_x0018_＀＀_x0018_＀＀_x0008_＀＀_x0001_＀＀_x0001_＀＀랈뿎ᙝ䀉⃠䪱_x001E_䉂幙䍅䵟䅅彎偅当呌Ň〱㌯⼱〲㌰_x0018_＀＀_x0018_＀＀_x0008_＀＀_x0001_＀＀_x0001_＀＀＀＀＀＀＀＀䀮⃟䪱_x001E_䉂幙䍅䵟䅅彎偅当呌Ň㤠㌯⼰㤱㜹_x0018_＀＀_x0018_＀＀_x0008_＀＀_x0001_＀＀_x0001_＀＀豀碵꼝쐕Ⅲ䪱$䉂幙䍅彁䕍乁䕟卐㈨㌬㤸〶Ⱜ∬佒䱌ㄽ⤢_x0018_＀＀_x0018_＀＀_x0008_＀＀_x0001_＀＀_x0001_＀＀᧧鋻䞍䀉⃹䪱_x001E_䉂幙䍅䵟䅅彎偅当呌Ň㈠㈯⼸〲㤰_x0018_＀＀_x0018_＀＀_x0008_＀＀_x0001_＀＀_x0001_＀＀ᓼ燇䀪⃠䪱_x001E_䉂幙䍅䵟䅅彎偅当呌Ň〱㌯⼱〲㐰_x0018_＀＀_x0018_＀＀_x0008_＀＀_x0001_＀＀_x0001_＀＀㺯羽⻮䀯⃟䪱_x001E_䉂幙䍅䵟䅅彎偅当呌Ň㤠㌯⼰㤱㠹_x0018_＀＀_x0018_＀＀_x0008_＀＀_x0001_＀＀_x0001_＀＀豀碵꼝쐕⃠䪱_x001E_䉂幙䍅䵟䅅彎偅当呌Ň〱㌯⼱〲㔰_x0018_＀＀_x0018_＀＀_x0008_＀＀_x0001_＀＀_x0001_＀＀ꍚꈞ䗑䀰⃠䪱_x001E_䉂幙䍅䵟䅅彎偅当呌Ň㤠㌯⼰㤱㤹_x0018_＀＀_x0018_＀＀_x0008_＀＀_x0001_＀＀_x0001_＀＀豀碵꼝쐕⃡䪱_x001E_䉂幙䍅䵟䅅彎偅当呌Ň〱㌯⼱〲㘰_x0018_＀＀_x0018_＀＀_x0008_＀＀_x0001_＀＀_x0001_＀＀＀＀＀＀ 䀰밍䥏&amp;慞杶瀨敟捸彨慲整木灢甬摳㌬㔹㤳㌬㘹㤲⤩_x0018_＀＀_x0018_＀＀_x0008_＀＀_x0001_＀＀_x0001_＀＀梳_xDA01_衖㿿⃡䪱_x001E_䉂幙䍅䵟䅅彎偅当呌Ň〱㌯⼱〲㜰_x0018_＀＀_x0018_＀＀_x0008_＀＀_x0001_＀＀_x0001_＀＀ᓼ燇䀮⃹䪱_x001E_䉂幙䍅䵟䅅彎偅当呌Ň〱㌯⼱〲㠰_x0018_＀＀_x0018_＀＀_x0008_＀＀_x0001_＀＀_x0001_＀＀䈱둸ᱱ䀫⃠䪱_x001E_䉂幙䍅䵟䅅彎偅当呌Ň㘠㌯⼰〲〰_x0018_＀＀_x0018_＀＀_x0008_＀＀_x0001_＀＀_x0001_＀＀豀碵꼝쐕䬨_x001E_䉂幙䍅䵟䅅彎偅当呌Ň〱㌯⼱〲㤰_x0018_＀＀_x0018_＀＀_x0008_＀＀_x0001_＀＀_x0001_＀＀＀＀＀＀＀＀䀪⃠䪱_x001E_䉂幙䍅䵟䅅彎偅当呌Ň㘠㌯⼰〲㄰_x0018_＀＀_x0018_＀＀_x0008_＀＀_x0001_＀＀_x0001_＀＀豀碵꼝쐕⃹䪱$䉂幙䍅彁䕍乁䕟卐ㄨ㌬㔹㠳Ⱜ∬佒䱌ㄽ⤢_x0018_＀＀_x0018_＀＀_x0008_＀＀_x0001_＀＀_x0001_＀＀攛曽婢䀈뉊䷷&amp;慞杶瀨敟捸彨慲整木灢甬摳㐬㘰㌳㐬㤰㠹⤩_x0018_＀＀_x0018_＀＀_x0008_＀＀_x0001_＀＀_x0001_＀＀]㔈㿺⃠䪱_x001E_䉂幙䍅䵟䅅彎偅当呌Ň㘠㌯⼰〲㈰_x0018_＀＀_x0018_＀＀_x0008_＀＀_x0001_＀＀_x0001_＀＀욓ᵨ啕䀳⃠䪱_x001E_䉂幙䍅䵟䅅彎偅当呌Ň㘠㌯⼰〲㌰_x0018_＀＀_x0018_＀＀_x0008_＀＀_x0001_＀＀_x0001_＀＀＀＀＀＀＀＀䀰⃠䪱_x001E_䉂幙䍅䵟䅅彎偅当呌Ň㘠㌯⼰〲㐰_x0018_＀＀_x0018_＀＀_x0008_＀＀_x0001_＀＀_x0001_＀＀샗ॖ_xDF16_䀮抍䕉_x0010_灳幸Őㄱ㌯⼰〲㌰_x0018_＀＀_x0018_＀＀_x0008_＀＀_x0001_＀＀_x0001_＀＀쳍쳌裌䂐抍䕉_x001B_䉂幙䍆浟慥彮祦爲 ⼵ㄳ㈯〰찴_x0018_＀＀_x0018_＀＀_x0008_＀＀_x0001_＀＀_x0001_＀＀愓폃䀁⃠䪱_x001E_䉂幙䍅䵟䅅彎偅当呌Ň㘠㌯⼰〲㔰_x0018_＀＀_x0018_＀＀_x0008_＀＀_x0001_＀＀_x0001_＀＀＀＀＀＀쀀䀮抍䕉_x0010_灳幸Őㄱ㌯⼰〲㐰_x0018_＀＀_x0018_＀＀_x0008_＀＀_x0001_＀＀_x0001_＀＀竡긔均䂒抍䕉_x001B_䉂幙䍆浟慥彮祦爲 ⼵ㄳ㈯〰찵_x0018_＀＀_x0018_＀＀_x0008_＀＀_x0001_＀＀_x0001_＀＀犖_xD8BE_䀂⃡䪱_x001E_䉂幙䍅䵟䅅彎偅当呌Ň㘠㌯⼰〲㘰_x0018_＀＀_x0018_＀＀_x0008_＀＀_x0001_＀＀_x0001_＀＀＀＀＀＀怀䀰抍䕉_x0010_灳幸Őㄱ㌯⼰〲㔰_x0018_＀＀_x0018_＀＀_x0008_＀＀_x0001_＀＀_x0001_＀＀롒蔞藫䂓Ώ䨂_x001B_䉂幙䍆浟慥彮祦爲 ⼵ㄳ㈯〰찶_x0018_＀＀_x0018_＀＀_x0008_＀＀_x0001_＀＀_x0001_＀＀豀碵꼝쐕⃡䪱_x001E_䉂幙䍅䵟䅅彎偅当呌Ň㘠㌯⼰〲㜰_x0018_＀＀_x0018_＀＀_x0008_＀＀_x0001_＀＀_x0001_＀＀＀＀＀＀䀀䀯ﭠ䙂_x001B_䉂幙䍆浟慥彮祦爲 ⼵ㄳ㈯〰찷_x0018_＀＀_x0018_＀＀_x0008_＀＀_x0001_＀＀_x0001_＀＀৶ᢠ䀌Ώ䨂_x0010_灳幸Őㄱ㌯⼰〲㘰_x0018_＀＀_x0018_＀＀_x0008_＀＀_x0001_＀＀_x0001_＀＀凬Ẹ䂕䬨$䉂幙䍅彁䕍乁䕟卐ㄨ㐬〰㘵Ⱜ∬佒䱌ㄽ⤢_x0018_＀＀_x0018_＀＀_x0008_＀＀_x0001_＀＀_x0001_＀＀๖눭䀆⃹䪱_x001E_䉂幙䍅䵟䅅彎偅当呌Ň㘠㌯⼰〲㠰_x0018_＀＀_x0018_＀＀_x0008_＀＀_x0001_＀＀_x0001_＀＀ꔕ悄啕䀮Ώ䨂_x0010_灳幸Őㄱ㌯⼰〲㜰_x0018_＀＀_x0018_＀＀_x0008_＀＀_x0001_＀＀_x0001_＀＀尨⒏䂗䬨_x001E_䉂幙䍅䵟䅅彎偅当呌Ň㘠㌯⼰〲㤰_x0018_＀＀_x0018_＀＀_x0008_＀＀_x0001_＀＀_x0001_＀＀馚香香䀪⃹䪱_x0010_灳幸Őㄱ㌯⼰〲㠰_x0018_＀＀_x0018_＀＀_x0008_＀＀_x0001_＀＀_x0001_＀＀롒蔞ǫ䂌抍䕉_x0010_灳幸Ő㠠㌯⼱〲㌰_x0018_＀＀_x0018_＀＀_x0008_＀＀_x0001_＀＀_x0001_＀＀䞮竡耔䂏䬨_x0010_灳幸Őㄱ㌯⼰〲㤰_x0018_＀＀_x0018_＀＀_x0008_＀＀_x0001_＀＀_x0001_＀＀凬Ẹẅ䂑抍䕉_x0010_灳幸Ő㠠㌯⼱〲㐰_x0018_＀＀_x0018_＀＀_x0008_＀＀_x0001_＀＀_x0001_＀＀尩슏䃵䂑抍䕉_x0010_灳幸Ő㠠㌯⼱〲㔰_x0018_＀＀_x0018_＀＀_x0008_＀＀_x0001_＀＀_x0001_＀＀Ẹᅑ䂓Ώ䨂_x0010_灳幸Ő㠠㌯⼱〲㘰_x0018_＀＀_x0018_＀＀_x0008_＀＀_x0001_＀＀_x0001_＀＀竡긔彇䂔磾亇)䉂幙彐剐䍉彅噁⡇⼲㠲㈯〰ⰴ⼲㠲㈯〰ⰳⰬㄬ착_x0018_＀＀_x0018_＀＀_x0008_＀＀_x0001_＀＀_x0001_＀＀拾辷䀾涅䠣*慞杶瀨敟捸彨慲整木灢甬摳㌬㌷㜴㌬⼱⼳〲㌰⤩_x0018_＀＀_x0018_＀＀_x0008_＀＀_x0001_＀＀_x0001_＀＀摚ㅡ洜㿻Ώ䨂_x0010_灳幸Ő㠠㌯⼱〲㜰_x0018_＀＀_x0018_＀＀_x0008_＀＀_x0001_＀＀_x0001_＀＀尩슏ߵ䂗ꐊ䛡$䉂幙䍅彁䕍乁䕟卐ㄨ㐬⸴㤵Ⱜ∬佒䱌ㄽ⤢_x0018_＀＀_x0018_＀＀_x0008_＀＀_x0001_＀＀_x0001_＀＀鷵鑟羠䀈⃹䪱_x0010_灳幸Ő㠠㌯⼱〲㠰_x0018_＀＀_x0018_＀＀_x0008_＀＀_x0001_＀＀_x0001_＀＀Ẹ୑䂔䬨_x0010_灳幸Ő㠠㌯⼱〲㤰_x0018_＀＀_x0018_＀＀_x0008_＀＀_x0001_＀＀_x0001_＀＀尩슏䂏Ώ䨂$䉂幙䍅彁䕍乁䕟卐㈨㈬⸸㈸Ⱜ∬佒䱌ㄽ⤢_x0018_＀＀_x0018_＀＀_x0008_＀＀_x0001_＀＀_x0001_＀＀ᬙ_xD9BA_⠟䀈砰亇)䉂幙彐剐䍉彅噁⡇⼸ㄳ㈯〰ⰹ⼸ㄳ㈯〰ⰸⰬㄬ착_x0018_＀＀_x0018_＀＀_x0008_＀＀_x0001_＀＀_x0001_＀＀涇㊋䀛䁀涅䠣+慞杶瀨敟捸彨慲整木灢甬摳㌬㜷㈱㌬⼱㌰㈯〰⤴착_x0018_＀＀_x0018_＀＀_x0008_＀＀_x0001_＀＀_x0001_＀＀㠭_xD933_Ꚑ㿼ﮔ仔4䉂幙䕆䕟呓䵉呁⡅䔧卐Ⱗ䴧䅅❎✬乁啎䱁Ⱗ⬧✱丬坏Ⱜ✬⤧_x0018_＀＀_x0018_＀＀_x0008_＀＀_x0001_＀＀_x0001_＀＀_xDD2A_杝䀋⿕䨂_x001B_䉂幙獷獟獨晟潬瑡㄁⼰ㄳ㈯〰찴_x0018_＀＀_x0018_＀＀_x0008_＀＀_x0001_＀＀_x0001_＀＀韷鏝㶇䁹⃞䪱_x001E_䉂幙䍅䵟䅅彎偅当呌Ň㐠㌯⼰㤱㘸_x0018_＀＀_x0018_＀＀_x0008_＀＀_x0001_＀＀_x0001_＀＀豀碵꼝쐕⿕䨂_x001B_䉂幙獷獟獨晟潬瑡㄁⼰ㄳ㈯〰찵_x0018_＀＀_x0018_＀＀_x0008_＀＀_x0001_＀＀_x0001_＀＀콂핦櫧䁶⃞䪱_x001E_䉂幙䍅䵟䅅彎偅当呌Ň㐠㌯⼰㤱㜸_x0018_＀＀_x0018_＀＀_x0008_＀＀_x0001_＀＀_x0001_＀＀豀碵꼝쐕⿕䨂_x001B_䉂幙獷獟獨晟潬瑡㄁⼰ㄳ㈯〰찶_x0018_＀＀_x0018_＀＀_x0008_＀＀_x0001_＀＀_x0001_＀＀⣶轜槂䁰罄䠣&amp;慞杶瀨敟捸彨慲整木灢甬摳㌬㜷ㄱ㌬㠷㈰⤩_x0018_＀＀_x0018_＀＀_x0008_＀＀_x0001_＀＀_x0001_＀＀蔋搙㿹抍䕉_x0010_灳幸Ő㈱㌯⼱〲㌰_x0018_＀＀_x0018_＀＀_x0008_＀＀_x0001_＀＀_x0001_＀＀ᑺ微䂑⃞䪱_x001E_䉂幙䍅䵟䅅彎偅当呌Ň㐠㌯⼰㤱㠸_x0018_＀＀_x0018_＀＀_x0008_＀＀_x0001_＀＀_x0001_＀＀豀碵꼝쐕⿕䨂_x001B_䉂幙獷獟獨晟潬瑡㄁⼰ㄳ㈯〰찷_x0018_＀＀_x0018_＀＀_x0008_＀＀_x0001_＀＀_x0001_＀＀䰰દ屆䁴抍䕉_x0010_灳幸Ő㈱㌯⼱〲㐰_x0018_＀＀_x0018_＀＀_x0008_＀＀_x0001_＀＀_x0001_＀＀ᑺ䂒䬨&amp;慞杶瀨敟捸彨慲整木灢甬摳㌬㤹㌰㐬〰㘸⤩_x0018_＀＀_x0018_＀＀_x0008_＀＀_x0001_＀＀_x0001_＀＀ꍮ밁蔅㿹⃞䪱_x001E_䉂幙䍅䵟䅅彎偅当呌Ň㐠㌯⼰㤱㤸_x0018_＀＀_x0018_＀＀_x0008_＀＀_x0001_＀＀_x0001_＀＀豀</t>
        </r>
      </text>
    </comment>
    <comment ref="B1" authorId="0">
      <text>
        <r>
          <rPr>
            <sz val="9"/>
            <color indexed="81"/>
            <rFont val="Tahoma"/>
            <family val="2"/>
          </rPr>
          <t>40402</t>
        </r>
      </text>
    </comment>
    <comment ref="A2" authorId="0">
      <text>
        <r>
          <rPr>
            <sz val="9"/>
            <color indexed="81"/>
            <rFont val="Tahoma"/>
            <family val="2"/>
          </rPr>
          <t xml:space="preserve"> 䉂幙䕆䕟呓䵉呁⡅匧䱁卅剟䙓Ⱗ䴧䅅❎✬乁啎䱁Ⱗ⬧✱丬坏Ⱜ✬⤧_x0018_＀＀_x0018_＀＀_x0008_＀＀_x0001_＀＀_x0001_＀＀㌳㌳䂊抍䕉_x001B_䉂幙䍆浟慥彮祦爲 ⼲㠲㈯〰찵_x0018_＀＀_x0018_＀＀_x0008_＀＀_x0001_＀＀_x0001_＀＀탮ᢰ൵䀂抍䕉_x001B_䉂幙䍆浟慥彮祦爲 ⼲㠲㈯〰찶_x0018_＀＀_x0018_＀＀_x0008_＀＀_x0001_＀＀_x0001_＀＀흙ᥨ䀅Ώ䨂_x001B_䉂幙䍆浟慥彮祦爲 ⼲㠲㈯〰찷_x0018_＀＀_x0018_＀＀_x0008_＀＀_x0001_＀＀_x0001_＀＀豀碵꼝쐕</t>
        </r>
      </text>
    </comment>
  </commentList>
</comments>
</file>

<file path=xl/comments2.xml><?xml version="1.0" encoding="utf-8"?>
<comments xmlns="http://schemas.openxmlformats.org/spreadsheetml/2006/main">
  <authors>
    <author xml:space="preserve"> </author>
    <author>Siber</author>
    <author>Ben Zerman</author>
    <author>Kamboj</author>
    <author xml:space="preserve">TT </author>
  </authors>
  <commentList>
    <comment ref="AT7" authorId="0">
      <text>
        <r>
          <rPr>
            <sz val="9"/>
            <color indexed="81"/>
            <rFont val="Tahoma"/>
            <family val="2"/>
          </rPr>
          <t xml:space="preserve"> 
Reward Zone purchases represented 25% of sales</t>
        </r>
      </text>
    </comment>
    <comment ref="BM7" authorId="0">
      <text>
        <r>
          <rPr>
            <sz val="9"/>
            <color indexed="81"/>
            <rFont val="Tahoma"/>
            <family val="2"/>
          </rPr>
          <t xml:space="preserve">  $1.6bn (+29%)</t>
        </r>
      </text>
    </comment>
    <comment ref="DB7" authorId="1">
      <text>
        <r>
          <rPr>
            <b/>
            <sz val="9"/>
            <color indexed="81"/>
            <rFont val="Tahoma"/>
            <family val="2"/>
          </rPr>
          <t>Siber:</t>
        </r>
        <r>
          <rPr>
            <sz val="9"/>
            <color indexed="81"/>
            <rFont val="Tahoma"/>
            <family val="2"/>
          </rPr>
          <t xml:space="preserve">
4Q15: $8.25-$8.35</t>
        </r>
      </text>
    </comment>
    <comment ref="DC7" authorId="1">
      <text>
        <r>
          <rPr>
            <b/>
            <sz val="9"/>
            <color indexed="81"/>
            <rFont val="Tahoma"/>
            <family val="2"/>
          </rPr>
          <t>Siber:</t>
        </r>
        <r>
          <rPr>
            <sz val="9"/>
            <color indexed="81"/>
            <rFont val="Tahoma"/>
            <family val="2"/>
          </rPr>
          <t xml:space="preserve">
1Q16: $8.35-$8.45bn</t>
        </r>
      </text>
    </comment>
    <comment ref="DD7" authorId="2">
      <text>
        <r>
          <rPr>
            <b/>
            <sz val="9"/>
            <color indexed="81"/>
            <rFont val="Tahoma"/>
            <family val="2"/>
          </rPr>
          <t>Ben Zerman:</t>
        </r>
        <r>
          <rPr>
            <sz val="9"/>
            <color indexed="81"/>
            <rFont val="Tahoma"/>
            <family val="2"/>
          </rPr>
          <t xml:space="preserve">
2Q16: $8.8-$8.9bn (flat to 1% growth)</t>
        </r>
      </text>
    </comment>
    <comment ref="DE7" authorId="2">
      <text>
        <r>
          <rPr>
            <b/>
            <sz val="9"/>
            <color indexed="81"/>
            <rFont val="Tahoma"/>
            <family val="2"/>
          </rPr>
          <t>Ben Zerman:</t>
        </r>
        <r>
          <rPr>
            <sz val="9"/>
            <color indexed="81"/>
            <rFont val="Tahoma"/>
            <family val="2"/>
          </rPr>
          <t xml:space="preserve">
3Q16:$13.4-13.6 billion</t>
        </r>
      </text>
    </comment>
    <comment ref="DF7" authorId="2">
      <text>
        <r>
          <rPr>
            <b/>
            <sz val="9"/>
            <color indexed="81"/>
            <rFont val="Tahoma"/>
            <family val="2"/>
          </rPr>
          <t>Ben Zerman:</t>
        </r>
        <r>
          <rPr>
            <sz val="9"/>
            <color indexed="81"/>
            <rFont val="Tahoma"/>
            <family val="2"/>
          </rPr>
          <t xml:space="preserve">
4Q16: $8.2-$8.3 bn</t>
        </r>
      </text>
    </comment>
    <comment ref="DG7" authorId="2">
      <text>
        <r>
          <rPr>
            <b/>
            <sz val="9"/>
            <color indexed="81"/>
            <rFont val="Tahoma"/>
            <family val="2"/>
          </rPr>
          <t>Ben Zerman:</t>
        </r>
        <r>
          <rPr>
            <sz val="9"/>
            <color indexed="81"/>
            <rFont val="Tahoma"/>
            <family val="2"/>
          </rPr>
          <t xml:space="preserve">
1Q17: $8.6-8.7 bn</t>
        </r>
      </text>
    </comment>
    <comment ref="DH7" authorId="1">
      <text>
        <r>
          <rPr>
            <b/>
            <sz val="9"/>
            <color indexed="81"/>
            <rFont val="Tahoma"/>
            <family val="2"/>
          </rPr>
          <t>Siber:</t>
        </r>
        <r>
          <rPr>
            <sz val="9"/>
            <color indexed="81"/>
            <rFont val="Tahoma"/>
            <family val="2"/>
          </rPr>
          <t xml:space="preserve">
2Q17: $9.3-$9.4b</t>
        </r>
      </text>
    </comment>
    <comment ref="DI7" authorId="1">
      <text>
        <r>
          <rPr>
            <b/>
            <sz val="9"/>
            <color indexed="81"/>
            <rFont val="Tahoma"/>
            <family val="2"/>
          </rPr>
          <t>Siber:</t>
        </r>
        <r>
          <rPr>
            <sz val="9"/>
            <color indexed="81"/>
            <rFont val="Tahoma"/>
            <family val="2"/>
          </rPr>
          <t xml:space="preserve">
3Q17: $14.2-$14.5b
53rd wk $715m</t>
        </r>
      </text>
    </comment>
    <comment ref="DJ7" authorId="1">
      <text>
        <r>
          <rPr>
            <b/>
            <sz val="9"/>
            <color indexed="81"/>
            <rFont val="Tahoma"/>
            <family val="2"/>
          </rPr>
          <t>Siber:</t>
        </r>
        <r>
          <rPr>
            <sz val="9"/>
            <color indexed="81"/>
            <rFont val="Tahoma"/>
            <family val="2"/>
          </rPr>
          <t xml:space="preserve">
4Q17: $8.65-$8.75bn</t>
        </r>
      </text>
    </comment>
    <comment ref="EI7" authorId="0">
      <text>
        <r>
          <rPr>
            <sz val="9"/>
            <color indexed="81"/>
            <rFont val="Tahoma"/>
            <family val="2"/>
          </rPr>
          <t xml:space="preserve"> 
Guidance (3/31/04) is 27.5B</t>
        </r>
      </text>
    </comment>
    <comment ref="EY7" authorId="1">
      <text>
        <r>
          <rPr>
            <b/>
            <sz val="9"/>
            <color indexed="81"/>
            <rFont val="Tahoma"/>
            <family val="2"/>
          </rPr>
          <t>Siber:</t>
        </r>
        <r>
          <rPr>
            <sz val="9"/>
            <color indexed="81"/>
            <rFont val="Tahoma"/>
            <family val="2"/>
          </rPr>
          <t xml:space="preserve">
53rd wk: $760m</t>
        </r>
      </text>
    </comment>
    <comment ref="EZ7" authorId="1">
      <text>
        <r>
          <rPr>
            <b/>
            <sz val="9"/>
            <color indexed="81"/>
            <rFont val="Tahoma"/>
            <family val="2"/>
          </rPr>
          <t>Siber:</t>
        </r>
        <r>
          <rPr>
            <sz val="9"/>
            <color indexed="81"/>
            <rFont val="Tahoma"/>
            <family val="2"/>
          </rPr>
          <t xml:space="preserve">
4Q17: $41-$42bn</t>
        </r>
      </text>
    </comment>
    <comment ref="FB7" authorId="1">
      <text>
        <r>
          <rPr>
            <b/>
            <sz val="9"/>
            <color indexed="81"/>
            <rFont val="Tahoma"/>
            <family val="2"/>
          </rPr>
          <t>Siber:</t>
        </r>
        <r>
          <rPr>
            <sz val="9"/>
            <color indexed="81"/>
            <rFont val="Tahoma"/>
            <family val="2"/>
          </rPr>
          <t xml:space="preserve">
2017 Inv Day: $43 Billion</t>
        </r>
      </text>
    </comment>
    <comment ref="DB9" authorId="2">
      <text>
        <r>
          <rPr>
            <b/>
            <sz val="9"/>
            <color indexed="81"/>
            <rFont val="Tahoma"/>
            <family val="2"/>
          </rPr>
          <t>Ben Zerman:</t>
        </r>
        <r>
          <rPr>
            <sz val="9"/>
            <color indexed="81"/>
            <rFont val="Tahoma"/>
            <family val="2"/>
          </rPr>
          <t xml:space="preserve">
ex $183m CRT/LCD settlements</t>
        </r>
      </text>
    </comment>
    <comment ref="AU16" authorId="0">
      <text>
        <r>
          <rPr>
            <sz val="9"/>
            <color indexed="81"/>
            <rFont val="Tahoma"/>
            <family val="2"/>
          </rPr>
          <t xml:space="preserve"> 
Includes approx. $40 million in essentially non-recurring charges (or 70bp) for asset impairment chg, costs associated with outsourcing IT and pending litigation.</t>
        </r>
      </text>
    </comment>
    <comment ref="CW16" authorId="0">
      <text>
        <r>
          <rPr>
            <sz val="9"/>
            <color indexed="81"/>
            <rFont val="Tahoma"/>
            <family val="2"/>
          </rPr>
          <t>Flat YoY SG&amp;A dollars</t>
        </r>
      </text>
    </comment>
    <comment ref="DB16" authorId="2">
      <text>
        <r>
          <rPr>
            <b/>
            <sz val="9"/>
            <color indexed="81"/>
            <rFont val="Tahoma"/>
            <family val="2"/>
          </rPr>
          <t>Ben Zerman:</t>
        </r>
        <r>
          <rPr>
            <sz val="9"/>
            <color indexed="81"/>
            <rFont val="Tahoma"/>
            <family val="2"/>
          </rPr>
          <t xml:space="preserve">
ex $22m CRT/LCD legal costs</t>
        </r>
      </text>
    </comment>
    <comment ref="DH17" authorId="3">
      <text>
        <r>
          <rPr>
            <b/>
            <sz val="9"/>
            <color indexed="81"/>
            <rFont val="Tahoma"/>
            <family val="2"/>
          </rPr>
          <t>Kamboj:</t>
        </r>
        <r>
          <rPr>
            <sz val="9"/>
            <color indexed="81"/>
            <rFont val="Tahoma"/>
            <family val="2"/>
          </rPr>
          <t xml:space="preserve">
Ex. $2 restructuring charges</t>
        </r>
      </text>
    </comment>
    <comment ref="DI17" authorId="1">
      <text>
        <r>
          <rPr>
            <b/>
            <sz val="9"/>
            <color indexed="81"/>
            <rFont val="Tahoma"/>
            <family val="2"/>
          </rPr>
          <t>Siber:</t>
        </r>
        <r>
          <rPr>
            <sz val="9"/>
            <color indexed="81"/>
            <rFont val="Tahoma"/>
            <family val="2"/>
          </rPr>
          <t xml:space="preserve">
2Q17: $835m ex 53rd week
4Q17: includes $80m 53rd wk</t>
        </r>
      </text>
    </comment>
    <comment ref="FB17" authorId="1">
      <text>
        <r>
          <rPr>
            <b/>
            <sz val="9"/>
            <color indexed="81"/>
            <rFont val="Tahoma"/>
            <family val="2"/>
          </rPr>
          <t>Siber:</t>
        </r>
        <r>
          <rPr>
            <sz val="9"/>
            <color indexed="81"/>
            <rFont val="Tahoma"/>
            <family val="2"/>
          </rPr>
          <t xml:space="preserve">
2017 Inv. Day: $1.9-$2.0B</t>
        </r>
      </text>
    </comment>
    <comment ref="BH23" authorId="0">
      <text>
        <r>
          <rPr>
            <sz val="9"/>
            <color indexed="81"/>
            <rFont val="Tahoma"/>
            <family val="2"/>
          </rPr>
          <t xml:space="preserve"> 
$8mn gain on sale of an equity investment</t>
        </r>
      </text>
    </comment>
    <comment ref="CQ23" authorId="0">
      <text>
        <r>
          <rPr>
            <sz val="9"/>
            <color indexed="81"/>
            <rFont val="Tahoma"/>
            <family val="2"/>
          </rPr>
          <t xml:space="preserve"> 
Excludes 14M gain on sale of investment</t>
        </r>
      </text>
    </comment>
    <comment ref="DE23" authorId="2">
      <text>
        <r>
          <rPr>
            <b/>
            <sz val="9"/>
            <color indexed="81"/>
            <rFont val="Tahoma"/>
            <family val="2"/>
          </rPr>
          <t>Ben Zerman:</t>
        </r>
        <r>
          <rPr>
            <sz val="9"/>
            <color indexed="81"/>
            <rFont val="Tahoma"/>
            <family val="2"/>
          </rPr>
          <t xml:space="preserve">
incl $1m GoS of investments</t>
        </r>
      </text>
    </comment>
    <comment ref="BM24" authorId="0">
      <text>
        <r>
          <rPr>
            <sz val="9"/>
            <color indexed="81"/>
            <rFont val="Tahoma"/>
            <family val="2"/>
          </rPr>
          <t xml:space="preserve"> 
due to higher interest expense (higher borrowings) and lower interest income vs. last year</t>
        </r>
      </text>
    </comment>
    <comment ref="BP27" authorId="0">
      <text>
        <r>
          <rPr>
            <sz val="9"/>
            <color indexed="81"/>
            <rFont val="Tahoma"/>
            <family val="2"/>
          </rPr>
          <t xml:space="preserve"> 
Tax contributed 5 cents - reported tax expense 93mn, so really around 130m or $364mn reported * 36% tax rate = $130mn</t>
        </r>
      </text>
    </comment>
    <comment ref="CQ27" authorId="0">
      <text>
        <r>
          <rPr>
            <sz val="9"/>
            <color indexed="81"/>
            <rFont val="Tahoma"/>
            <family val="2"/>
          </rPr>
          <t xml:space="preserve"> 
Plug between Non-Gaap Operating Income + 33 + 34 = Net Income-Cnt Ops</t>
        </r>
      </text>
    </comment>
    <comment ref="DB27" authorId="2">
      <text>
        <r>
          <rPr>
            <b/>
            <sz val="9"/>
            <color indexed="81"/>
            <rFont val="Tahoma"/>
            <family val="2"/>
          </rPr>
          <t>Ben Zerman:</t>
        </r>
        <r>
          <rPr>
            <sz val="9"/>
            <color indexed="81"/>
            <rFont val="Tahoma"/>
            <family val="2"/>
          </rPr>
          <t xml:space="preserve">
ex $49m GAAP taxes on one-time items</t>
        </r>
      </text>
    </comment>
    <comment ref="DI27" authorId="1">
      <text>
        <r>
          <rPr>
            <b/>
            <sz val="9"/>
            <color indexed="81"/>
            <rFont val="Tahoma"/>
            <family val="2"/>
          </rPr>
          <t>Siber:</t>
        </r>
        <r>
          <rPr>
            <sz val="9"/>
            <color indexed="81"/>
            <rFont val="Tahoma"/>
            <family val="2"/>
          </rPr>
          <t xml:space="preserve">
Tax reform &amp; Non gaap adjustments</t>
        </r>
      </text>
    </comment>
    <comment ref="BN29" authorId="0">
      <text>
        <r>
          <rPr>
            <sz val="9"/>
            <color indexed="81"/>
            <rFont val="Tahoma"/>
            <family val="2"/>
          </rPr>
          <t xml:space="preserve"> 
 minority interest for China included in 1Q</t>
        </r>
      </text>
    </comment>
    <comment ref="BP29" authorId="0">
      <text>
        <r>
          <rPr>
            <sz val="9"/>
            <color indexed="81"/>
            <rFont val="Tahoma"/>
            <family val="2"/>
          </rPr>
          <t xml:space="preserve"> 
really around -20m, as tax gain shared with carphone
$44mn reported * 50% ~$20mn</t>
        </r>
      </text>
    </comment>
    <comment ref="BY29" authorId="0">
      <text>
        <r>
          <rPr>
            <sz val="9"/>
            <color indexed="81"/>
            <rFont val="Tahoma"/>
            <family val="2"/>
          </rPr>
          <t xml:space="preserve"> 
-$1,319 of cont ops, $53 of disc ops</t>
        </r>
      </text>
    </comment>
    <comment ref="CG29" authorId="0">
      <text>
        <r>
          <rPr>
            <sz val="9"/>
            <color indexed="81"/>
            <rFont val="Tahoma"/>
            <family val="2"/>
          </rPr>
          <t xml:space="preserve"> 
$1,303 = BBYM Profit share buyout
-$3 = Restructuring charges
-$13 = BBY Europe transaction costs</t>
        </r>
      </text>
    </comment>
    <comment ref="EG31" authorId="0">
      <text>
        <r>
          <rPr>
            <sz val="9"/>
            <color indexed="81"/>
            <rFont val="Tahoma"/>
            <family val="2"/>
          </rPr>
          <t xml:space="preserve"> 
Musicland</t>
        </r>
      </text>
    </comment>
    <comment ref="BL32" authorId="0">
      <text>
        <r>
          <rPr>
            <sz val="9"/>
            <color indexed="81"/>
            <rFont val="Tahoma"/>
            <family val="2"/>
          </rPr>
          <t xml:space="preserve"> 
This is technically below operating income as Investment Impairment, so Operating Income is off … isolated case, but can make Pretax Income reported to correct if needed</t>
        </r>
      </text>
    </comment>
    <comment ref="CD32" authorId="0">
      <text>
        <r>
          <rPr>
            <sz val="9"/>
            <color indexed="81"/>
            <rFont val="Tahoma"/>
            <family val="2"/>
          </rPr>
          <t xml:space="preserve"> 
other restructuring</t>
        </r>
      </text>
    </comment>
    <comment ref="DH33" authorId="3">
      <text>
        <r>
          <rPr>
            <b/>
            <sz val="9"/>
            <color indexed="81"/>
            <rFont val="Tahoma"/>
            <family val="2"/>
          </rPr>
          <t>Kamboj:</t>
        </r>
        <r>
          <rPr>
            <sz val="9"/>
            <color indexed="81"/>
            <rFont val="Tahoma"/>
            <family val="2"/>
          </rPr>
          <t xml:space="preserve">
Gain of $1 from discontinued operations included in other income (for non-GAAP purposes per disclosure)</t>
        </r>
      </text>
    </comment>
    <comment ref="BA37" authorId="0">
      <text>
        <r>
          <rPr>
            <sz val="9"/>
            <color indexed="81"/>
            <rFont val="Tahoma"/>
            <family val="2"/>
          </rPr>
          <t xml:space="preserve"> 
reported $1.29, difference due to rounding.</t>
        </r>
      </text>
    </comment>
    <comment ref="BC37" authorId="0">
      <text>
        <r>
          <rPr>
            <sz val="9"/>
            <color indexed="81"/>
            <rFont val="Tahoma"/>
            <family val="2"/>
          </rPr>
          <t xml:space="preserve"> 
reported diluted EPS = $0.47.  Rounding error causes $0.46.</t>
        </r>
      </text>
    </comment>
    <comment ref="BD37" authorId="0">
      <text>
        <r>
          <rPr>
            <sz val="9"/>
            <color indexed="81"/>
            <rFont val="Tahoma"/>
            <family val="2"/>
          </rPr>
          <t xml:space="preserve"> 
off $0.01 due to rounding
3-4cents due to calendar shift
3-5cents 53rd week</t>
        </r>
      </text>
    </comment>
    <comment ref="BJ37" authorId="0">
      <text>
        <r>
          <rPr>
            <sz val="9"/>
            <color indexed="81"/>
            <rFont val="Tahoma"/>
            <family val="2"/>
          </rPr>
          <t xml:space="preserve">  $0.43.  Rounding</t>
        </r>
      </text>
    </comment>
    <comment ref="BL37" authorId="0">
      <text>
        <r>
          <rPr>
            <sz val="9"/>
            <color indexed="81"/>
            <rFont val="Tahoma"/>
            <family val="2"/>
          </rPr>
          <t xml:space="preserve"> 
Rounding error</t>
        </r>
      </text>
    </comment>
    <comment ref="BP37" authorId="0">
      <text>
        <r>
          <rPr>
            <sz val="9"/>
            <color indexed="81"/>
            <rFont val="Tahoma"/>
            <family val="2"/>
          </rPr>
          <t xml:space="preserve"> 
really around 48cents backing out tax gain of $0.05</t>
        </r>
      </text>
    </comment>
    <comment ref="CG37" authorId="0">
      <text>
        <r>
          <rPr>
            <sz val="9"/>
            <color indexed="81"/>
            <rFont val="Tahoma"/>
            <family val="2"/>
          </rPr>
          <t xml:space="preserve"> 
Restated this EPS in 4Q12 earnings</t>
        </r>
      </text>
    </comment>
    <comment ref="CK37" authorId="0">
      <text>
        <r>
          <rPr>
            <sz val="9"/>
            <color indexed="81"/>
            <rFont val="Tahoma"/>
            <family val="2"/>
          </rPr>
          <t xml:space="preserve"> 
53rd week + Super Bowl shift to 4Q added $0.14</t>
        </r>
      </text>
    </comment>
    <comment ref="DB37" authorId="1">
      <text>
        <r>
          <rPr>
            <b/>
            <sz val="9"/>
            <color indexed="81"/>
            <rFont val="Tahoma"/>
            <family val="2"/>
          </rPr>
          <t>Siber:</t>
        </r>
        <r>
          <rPr>
            <sz val="9"/>
            <color indexed="81"/>
            <rFont val="Tahoma"/>
            <family val="2"/>
          </rPr>
          <t xml:space="preserve">
4Q15: $0.31-$0.35</t>
        </r>
      </text>
    </comment>
    <comment ref="DC37" authorId="1">
      <text>
        <r>
          <rPr>
            <b/>
            <sz val="9"/>
            <color indexed="81"/>
            <rFont val="Tahoma"/>
            <family val="2"/>
          </rPr>
          <t>Siber:</t>
        </r>
        <r>
          <rPr>
            <sz val="9"/>
            <color indexed="81"/>
            <rFont val="Tahoma"/>
            <family val="2"/>
          </rPr>
          <t xml:space="preserve">
1Q16: $0.38-$0.42</t>
        </r>
      </text>
    </comment>
    <comment ref="DD37" authorId="2">
      <text>
        <r>
          <rPr>
            <b/>
            <sz val="9"/>
            <color indexed="81"/>
            <rFont val="Tahoma"/>
            <family val="2"/>
          </rPr>
          <t>Ben Zerman:</t>
        </r>
        <r>
          <rPr>
            <sz val="9"/>
            <color indexed="81"/>
            <rFont val="Tahoma"/>
            <family val="2"/>
          </rPr>
          <t xml:space="preserve">
2Q16: $0.43-$0.47</t>
        </r>
      </text>
    </comment>
    <comment ref="DE37" authorId="2">
      <text>
        <r>
          <rPr>
            <b/>
            <sz val="9"/>
            <color indexed="81"/>
            <rFont val="Tahoma"/>
            <family val="2"/>
          </rPr>
          <t>Ben Zerman:</t>
        </r>
        <r>
          <rPr>
            <sz val="9"/>
            <color indexed="81"/>
            <rFont val="Tahoma"/>
            <family val="2"/>
          </rPr>
          <t xml:space="preserve">
3Q16: $1.62-$1.67</t>
        </r>
      </text>
    </comment>
    <comment ref="DF37" authorId="2">
      <text>
        <r>
          <rPr>
            <b/>
            <sz val="9"/>
            <color indexed="81"/>
            <rFont val="Tahoma"/>
            <family val="2"/>
          </rPr>
          <t>Ben Zerman:</t>
        </r>
        <r>
          <rPr>
            <sz val="9"/>
            <color indexed="81"/>
            <rFont val="Tahoma"/>
            <family val="2"/>
          </rPr>
          <t xml:space="preserve">
4Q16: $0.35-$0.40</t>
        </r>
      </text>
    </comment>
    <comment ref="DG37" authorId="2">
      <text>
        <r>
          <rPr>
            <b/>
            <sz val="9"/>
            <color indexed="81"/>
            <rFont val="Tahoma"/>
            <family val="2"/>
          </rPr>
          <t>Ben Zerman:</t>
        </r>
        <r>
          <rPr>
            <sz val="9"/>
            <color indexed="81"/>
            <rFont val="Tahoma"/>
            <family val="2"/>
          </rPr>
          <t xml:space="preserve">
1Q17: $0.57-$0.62</t>
        </r>
      </text>
    </comment>
    <comment ref="DH37" authorId="1">
      <text>
        <r>
          <rPr>
            <b/>
            <sz val="9"/>
            <color indexed="81"/>
            <rFont val="Tahoma"/>
            <family val="2"/>
          </rPr>
          <t>Siber:</t>
        </r>
        <r>
          <rPr>
            <sz val="9"/>
            <color indexed="81"/>
            <rFont val="Tahoma"/>
            <family val="2"/>
          </rPr>
          <t xml:space="preserve">
2Q17: $0.75-$0.80</t>
        </r>
      </text>
    </comment>
    <comment ref="DI37" authorId="1">
      <text>
        <r>
          <rPr>
            <b/>
            <sz val="9"/>
            <color indexed="81"/>
            <rFont val="Tahoma"/>
            <family val="2"/>
          </rPr>
          <t>Siber:</t>
        </r>
        <r>
          <rPr>
            <sz val="9"/>
            <color indexed="81"/>
            <rFont val="Tahoma"/>
            <family val="2"/>
          </rPr>
          <t xml:space="preserve">
3Q17: $1.89-$1.99</t>
        </r>
      </text>
    </comment>
    <comment ref="DJ37" authorId="1">
      <text>
        <r>
          <rPr>
            <b/>
            <sz val="9"/>
            <color indexed="81"/>
            <rFont val="Tahoma"/>
            <family val="2"/>
          </rPr>
          <t>Siber:</t>
        </r>
        <r>
          <rPr>
            <sz val="9"/>
            <color indexed="81"/>
            <rFont val="Tahoma"/>
            <family val="2"/>
          </rPr>
          <t xml:space="preserve">
4Q17: $0.68-$0.73</t>
        </r>
      </text>
    </comment>
    <comment ref="EM37" authorId="0">
      <text>
        <r>
          <rPr>
            <sz val="9"/>
            <color indexed="81"/>
            <rFont val="Tahoma"/>
            <family val="2"/>
          </rPr>
          <t xml:space="preserve">  $2.50 - $2.70</t>
        </r>
      </text>
    </comment>
    <comment ref="EN37" authorId="0">
      <text>
        <r>
          <rPr>
            <sz val="9"/>
            <color indexed="81"/>
            <rFont val="Tahoma"/>
            <family val="2"/>
          </rPr>
          <t xml:space="preserve">  $3.00 to $3.15 including 3Q tax gain of 5cents</t>
        </r>
      </text>
    </comment>
    <comment ref="EP37" authorId="0">
      <text>
        <r>
          <rPr>
            <sz val="9"/>
            <color indexed="81"/>
            <rFont val="Tahoma"/>
            <family val="2"/>
          </rPr>
          <t xml:space="preserve">  FY guidance continues to be 3.35 - 3.65</t>
        </r>
      </text>
    </comment>
    <comment ref="EX37" authorId="2">
      <text>
        <r>
          <rPr>
            <b/>
            <sz val="9"/>
            <color indexed="81"/>
            <rFont val="Tahoma"/>
            <family val="2"/>
          </rPr>
          <t>Ben Zerman:</t>
        </r>
        <r>
          <rPr>
            <sz val="9"/>
            <color indexed="81"/>
            <rFont val="Tahoma"/>
            <family val="2"/>
          </rPr>
          <t xml:space="preserve">
3Q16: $3.25-$3.30</t>
        </r>
      </text>
    </comment>
    <comment ref="EY37" authorId="2">
      <text>
        <r>
          <rPr>
            <b/>
            <sz val="9"/>
            <color indexed="81"/>
            <rFont val="Tahoma"/>
            <family val="2"/>
          </rPr>
          <t>Siber:</t>
        </r>
        <r>
          <rPr>
            <sz val="9"/>
            <color indexed="81"/>
            <rFont val="Tahoma"/>
            <family val="2"/>
          </rPr>
          <t xml:space="preserve">
includes $0.20 impact from 53rd week</t>
        </r>
      </text>
    </comment>
    <comment ref="EZ37" authorId="1">
      <text>
        <r>
          <rPr>
            <b/>
            <sz val="9"/>
            <color indexed="81"/>
            <rFont val="Tahoma"/>
            <family val="2"/>
          </rPr>
          <t>Siber:</t>
        </r>
        <r>
          <rPr>
            <sz val="9"/>
            <color indexed="81"/>
            <rFont val="Tahoma"/>
            <family val="2"/>
          </rPr>
          <t xml:space="preserve">
4Q17: $4.80-$5.00</t>
        </r>
      </text>
    </comment>
    <comment ref="FB37" authorId="1">
      <text>
        <r>
          <rPr>
            <b/>
            <sz val="9"/>
            <color indexed="81"/>
            <rFont val="Tahoma"/>
            <family val="2"/>
          </rPr>
          <t>Siber:</t>
        </r>
        <r>
          <rPr>
            <sz val="9"/>
            <color indexed="81"/>
            <rFont val="Tahoma"/>
            <family val="2"/>
          </rPr>
          <t xml:space="preserve">
2017 Inv. Day: $4.75-$5.00 ($5.50-$5.75 incl tax reform)</t>
        </r>
      </text>
    </comment>
    <comment ref="A40" authorId="2">
      <text>
        <r>
          <rPr>
            <b/>
            <sz val="9"/>
            <color indexed="81"/>
            <rFont val="Tahoma"/>
            <family val="2"/>
          </rPr>
          <t>Ben Zerman:</t>
        </r>
        <r>
          <rPr>
            <sz val="9"/>
            <color indexed="81"/>
            <rFont val="Tahoma"/>
            <family val="2"/>
          </rPr>
          <t xml:space="preserve">
Renew Blue Phase 1 announced 11/13/12:
1) $725m target
2) 5-6% EBIT mgn
3) 13-15% ROIC</t>
        </r>
      </text>
    </comment>
    <comment ref="CS40" authorId="2">
      <text>
        <r>
          <rPr>
            <b/>
            <sz val="9"/>
            <color indexed="81"/>
            <rFont val="Tahoma"/>
            <family val="2"/>
          </rPr>
          <t>Ben Zerman:</t>
        </r>
        <r>
          <rPr>
            <sz val="9"/>
            <color indexed="81"/>
            <rFont val="Tahoma"/>
            <family val="2"/>
          </rPr>
          <t xml:space="preserve">
Phase 1 target exceeded by ~$40m</t>
        </r>
      </text>
    </comment>
    <comment ref="A41" authorId="2">
      <text>
        <r>
          <rPr>
            <b/>
            <sz val="9"/>
            <color indexed="81"/>
            <rFont val="Tahoma"/>
            <family val="2"/>
          </rPr>
          <t>Ben Zerman:</t>
        </r>
        <r>
          <rPr>
            <sz val="9"/>
            <color indexed="81"/>
            <rFont val="Tahoma"/>
            <family val="2"/>
          </rPr>
          <t xml:space="preserve">
Renew Blue Phase 1 .5 announced 2/27/14:
$1 bn target (incl Phase 1) over 24 months (add'l $275m)</t>
        </r>
      </text>
    </comment>
    <comment ref="CW41" authorId="2">
      <text>
        <r>
          <rPr>
            <b/>
            <sz val="9"/>
            <color indexed="81"/>
            <rFont val="Tahoma"/>
            <family val="2"/>
          </rPr>
          <t>Ben Zerman:</t>
        </r>
        <r>
          <rPr>
            <sz val="9"/>
            <color indexed="81"/>
            <rFont val="Tahoma"/>
            <family val="2"/>
          </rPr>
          <t xml:space="preserve">
Phase 1+1.5 target exceeded by ~$20 million</t>
        </r>
      </text>
    </comment>
    <comment ref="EU41" authorId="2">
      <text>
        <r>
          <rPr>
            <b/>
            <sz val="9"/>
            <color indexed="81"/>
            <rFont val="Tahoma"/>
            <family val="2"/>
          </rPr>
          <t>Ben Zerman:</t>
        </r>
        <r>
          <rPr>
            <sz val="9"/>
            <color indexed="81"/>
            <rFont val="Tahoma"/>
            <family val="2"/>
          </rPr>
          <t xml:space="preserve">
4Q13: $275m</t>
        </r>
      </text>
    </comment>
    <comment ref="A42" authorId="2">
      <text>
        <r>
          <rPr>
            <b/>
            <sz val="9"/>
            <color indexed="81"/>
            <rFont val="Tahoma"/>
            <family val="2"/>
          </rPr>
          <t>Ben Zerman:</t>
        </r>
        <r>
          <rPr>
            <sz val="9"/>
            <color indexed="81"/>
            <rFont val="Tahoma"/>
            <family val="2"/>
          </rPr>
          <t xml:space="preserve">
Renew Blue Phase 2 announced 3/3/15:
$400m target over 3 years
</t>
        </r>
      </text>
    </comment>
    <comment ref="DF42" authorId="2">
      <text>
        <r>
          <rPr>
            <b/>
            <sz val="9"/>
            <color indexed="81"/>
            <rFont val="Tahoma"/>
            <family val="2"/>
          </rPr>
          <t>Ben Zerman:</t>
        </r>
        <r>
          <rPr>
            <sz val="9"/>
            <color indexed="81"/>
            <rFont val="Tahoma"/>
            <family val="2"/>
          </rPr>
          <t xml:space="preserve">
Phase 2 target achieved 3 qtrs ahead of schedule</t>
        </r>
      </text>
    </comment>
    <comment ref="EV42" authorId="2">
      <text>
        <r>
          <rPr>
            <b/>
            <sz val="9"/>
            <color indexed="81"/>
            <rFont val="Tahoma"/>
            <family val="2"/>
          </rPr>
          <t>Ben Zerman:</t>
        </r>
        <r>
          <rPr>
            <sz val="9"/>
            <color indexed="81"/>
            <rFont val="Tahoma"/>
            <family val="2"/>
          </rPr>
          <t xml:space="preserve">
4Q14: $400m</t>
        </r>
      </text>
    </comment>
    <comment ref="A43" authorId="2">
      <text>
        <r>
          <rPr>
            <b/>
            <sz val="9"/>
            <color indexed="81"/>
            <rFont val="Tahoma"/>
            <family val="2"/>
          </rPr>
          <t>Ben Zerman:</t>
        </r>
        <r>
          <rPr>
            <sz val="9"/>
            <color indexed="81"/>
            <rFont val="Tahoma"/>
            <family val="2"/>
          </rPr>
          <t xml:space="preserve">
New cost reduction target announced 5/25/17:
$600m by 2020</t>
        </r>
      </text>
    </comment>
    <comment ref="FB43" authorId="2">
      <text>
        <r>
          <rPr>
            <b/>
            <sz val="9"/>
            <color indexed="81"/>
            <rFont val="Tahoma"/>
            <family val="2"/>
          </rPr>
          <t>Ben Zerman:</t>
        </r>
        <r>
          <rPr>
            <sz val="9"/>
            <color indexed="81"/>
            <rFont val="Tahoma"/>
            <family val="2"/>
          </rPr>
          <t xml:space="preserve">
1Q17: $600m</t>
        </r>
      </text>
    </comment>
    <comment ref="A44" authorId="2">
      <text>
        <r>
          <rPr>
            <b/>
            <sz val="9"/>
            <color indexed="81"/>
            <rFont val="Tahoma"/>
            <family val="2"/>
          </rPr>
          <t>Ben Zerman:</t>
        </r>
        <r>
          <rPr>
            <sz val="9"/>
            <color indexed="81"/>
            <rFont val="Tahoma"/>
            <family val="2"/>
          </rPr>
          <t xml:space="preserve">
4Q12: $725m
4Q13: $1 bn (add'l $275m by YE15)
4Q14: $1.4 bn (add'l $400m by YE17)
1Q17: $2.0 bn (add'l $600m by YE20)</t>
        </r>
      </text>
    </comment>
    <comment ref="EU44" authorId="2">
      <text>
        <r>
          <rPr>
            <b/>
            <sz val="9"/>
            <color indexed="81"/>
            <rFont val="Tahoma"/>
            <family val="2"/>
          </rPr>
          <t>Ben Zerman:</t>
        </r>
        <r>
          <rPr>
            <sz val="9"/>
            <color indexed="81"/>
            <rFont val="Tahoma"/>
            <family val="2"/>
          </rPr>
          <t xml:space="preserve">
4Q13: $1 bn</t>
        </r>
      </text>
    </comment>
    <comment ref="EV44" authorId="2">
      <text>
        <r>
          <rPr>
            <b/>
            <sz val="9"/>
            <color indexed="81"/>
            <rFont val="Tahoma"/>
            <family val="2"/>
          </rPr>
          <t>Ben Zerman:</t>
        </r>
        <r>
          <rPr>
            <sz val="9"/>
            <color indexed="81"/>
            <rFont val="Tahoma"/>
            <family val="2"/>
          </rPr>
          <t xml:space="preserve">
4Q14: $1.4 bn</t>
        </r>
      </text>
    </comment>
    <comment ref="CG53" authorId="0">
      <text>
        <r>
          <rPr>
            <sz val="9"/>
            <color indexed="81"/>
            <rFont val="Tahoma"/>
            <family val="2"/>
          </rPr>
          <t xml:space="preserve"> 
Plugged to get EPS given in 4Q12 release -- no reconciliation given</t>
        </r>
      </text>
    </comment>
    <comment ref="DB65" authorId="1">
      <text>
        <r>
          <rPr>
            <b/>
            <sz val="9"/>
            <color indexed="81"/>
            <rFont val="Tahoma"/>
            <family val="2"/>
          </rPr>
          <t>Siber:</t>
        </r>
        <r>
          <rPr>
            <sz val="9"/>
            <color indexed="81"/>
            <rFont val="Tahoma"/>
            <family val="2"/>
          </rPr>
          <t xml:space="preserve">
4Q15: 326 million</t>
        </r>
      </text>
    </comment>
    <comment ref="DC65" authorId="2">
      <text>
        <r>
          <rPr>
            <b/>
            <sz val="9"/>
            <color indexed="81"/>
            <rFont val="Tahoma"/>
            <family val="2"/>
          </rPr>
          <t>Ben Zerman:</t>
        </r>
        <r>
          <rPr>
            <sz val="9"/>
            <color indexed="81"/>
            <rFont val="Tahoma"/>
            <family val="2"/>
          </rPr>
          <t xml:space="preserve">
1Q16: 325m / $0.04 benefit</t>
        </r>
      </text>
    </comment>
    <comment ref="DD65" authorId="2">
      <text>
        <r>
          <rPr>
            <b/>
            <sz val="9"/>
            <color indexed="81"/>
            <rFont val="Tahoma"/>
            <family val="2"/>
          </rPr>
          <t>Ben Zerman:</t>
        </r>
        <r>
          <rPr>
            <sz val="9"/>
            <color indexed="81"/>
            <rFont val="Tahoma"/>
            <family val="2"/>
          </rPr>
          <t xml:space="preserve">
2Q16: 319m (+4c impact)</t>
        </r>
      </text>
    </comment>
    <comment ref="DE65" authorId="2">
      <text>
        <r>
          <rPr>
            <b/>
            <sz val="9"/>
            <color indexed="81"/>
            <rFont val="Tahoma"/>
            <family val="2"/>
          </rPr>
          <t>Ben Zerman:</t>
        </r>
        <r>
          <rPr>
            <sz val="9"/>
            <color indexed="81"/>
            <rFont val="Tahoma"/>
            <family val="2"/>
          </rPr>
          <t xml:space="preserve">
3Q16: 315 million</t>
        </r>
      </text>
    </comment>
    <comment ref="DF65" authorId="2">
      <text>
        <r>
          <rPr>
            <b/>
            <sz val="9"/>
            <color indexed="81"/>
            <rFont val="Tahoma"/>
            <family val="2"/>
          </rPr>
          <t>Ben Zerman:</t>
        </r>
        <r>
          <rPr>
            <sz val="9"/>
            <color indexed="81"/>
            <rFont val="Tahoma"/>
            <family val="2"/>
          </rPr>
          <t xml:space="preserve">
4Q16: 313 million</t>
        </r>
      </text>
    </comment>
    <comment ref="DG65" authorId="2">
      <text>
        <r>
          <rPr>
            <b/>
            <sz val="9"/>
            <color indexed="81"/>
            <rFont val="Tahoma"/>
            <family val="2"/>
          </rPr>
          <t>Ben Zerman:</t>
        </r>
        <r>
          <rPr>
            <sz val="9"/>
            <color indexed="81"/>
            <rFont val="Tahoma"/>
            <family val="2"/>
          </rPr>
          <t xml:space="preserve">
1Q17: 310 million</t>
        </r>
      </text>
    </comment>
    <comment ref="DH65" authorId="1">
      <text>
        <r>
          <rPr>
            <b/>
            <sz val="9"/>
            <color indexed="81"/>
            <rFont val="Tahoma"/>
            <family val="2"/>
          </rPr>
          <t>Siber:</t>
        </r>
        <r>
          <rPr>
            <sz val="9"/>
            <color indexed="81"/>
            <rFont val="Tahoma"/>
            <family val="2"/>
          </rPr>
          <t xml:space="preserve">
2Q17: 305m</t>
        </r>
      </text>
    </comment>
    <comment ref="DI65" authorId="1">
      <text>
        <r>
          <rPr>
            <b/>
            <sz val="9"/>
            <color indexed="81"/>
            <rFont val="Tahoma"/>
            <family val="2"/>
          </rPr>
          <t>Siber:</t>
        </r>
        <r>
          <rPr>
            <sz val="9"/>
            <color indexed="81"/>
            <rFont val="Tahoma"/>
            <family val="2"/>
          </rPr>
          <t xml:space="preserve">
3Q17: 296m</t>
        </r>
      </text>
    </comment>
    <comment ref="DJ65" authorId="1">
      <text>
        <r>
          <rPr>
            <b/>
            <sz val="9"/>
            <color indexed="81"/>
            <rFont val="Tahoma"/>
            <family val="2"/>
          </rPr>
          <t>Siber:</t>
        </r>
        <r>
          <rPr>
            <sz val="9"/>
            <color indexed="81"/>
            <rFont val="Tahoma"/>
            <family val="2"/>
          </rPr>
          <t xml:space="preserve">
4Q17: 290m</t>
        </r>
      </text>
    </comment>
    <comment ref="DE67" authorId="2">
      <text>
        <r>
          <rPr>
            <b/>
            <sz val="9"/>
            <color indexed="81"/>
            <rFont val="Tahoma"/>
            <family val="2"/>
          </rPr>
          <t>Ben Zerman:</t>
        </r>
        <r>
          <rPr>
            <sz val="9"/>
            <color indexed="81"/>
            <rFont val="Tahoma"/>
            <family val="2"/>
          </rPr>
          <t xml:space="preserve">
5.3m per press release ($42.64 avg price) vs. 5.139560m per 10K ($43.35 avg price)</t>
        </r>
      </text>
    </comment>
    <comment ref="DE69" authorId="2">
      <text>
        <r>
          <rPr>
            <b/>
            <sz val="9"/>
            <color indexed="81"/>
            <rFont val="Tahoma"/>
            <family val="2"/>
          </rPr>
          <t>Ben Zerman:</t>
        </r>
        <r>
          <rPr>
            <sz val="9"/>
            <color indexed="81"/>
            <rFont val="Tahoma"/>
            <family val="2"/>
          </rPr>
          <t xml:space="preserve">
announced 2Y, $3 billion buyback program</t>
        </r>
      </text>
    </comment>
    <comment ref="EP69" authorId="0">
      <text>
        <r>
          <rPr>
            <sz val="9"/>
            <color indexed="81"/>
            <rFont val="Tahoma"/>
            <family val="2"/>
          </rPr>
          <t xml:space="preserve">  On track to purchase 1.5B of common stock in fiscal 2012</t>
        </r>
      </text>
    </comment>
    <comment ref="ES69" authorId="0">
      <text>
        <r>
          <rPr>
            <sz val="9"/>
            <color indexed="81"/>
            <rFont val="Tahoma"/>
            <family val="2"/>
          </rPr>
          <t xml:space="preserve">  Guidance of $750M-$1B in shares repurchased</t>
        </r>
      </text>
    </comment>
    <comment ref="ET69" authorId="0">
      <text>
        <r>
          <rPr>
            <sz val="9"/>
            <color indexed="81"/>
            <rFont val="Tahoma"/>
            <family val="2"/>
          </rPr>
          <t xml:space="preserve">  Guidance of $750M-$1B in shares repurchased</t>
        </r>
      </text>
    </comment>
    <comment ref="EZ69" authorId="1">
      <text>
        <r>
          <rPr>
            <b/>
            <sz val="9"/>
            <color indexed="81"/>
            <rFont val="Tahoma"/>
            <family val="2"/>
          </rPr>
          <t>Siber:</t>
        </r>
        <r>
          <rPr>
            <sz val="9"/>
            <color indexed="81"/>
            <rFont val="Tahoma"/>
            <family val="2"/>
          </rPr>
          <t xml:space="preserve">
4Q17: $1.5 bn</t>
        </r>
      </text>
    </comment>
    <comment ref="CV76" authorId="0">
      <text>
        <r>
          <rPr>
            <sz val="9"/>
            <color indexed="81"/>
            <rFont val="Tahoma"/>
            <family val="2"/>
          </rPr>
          <t>impact from installment billing immaterial to margin</t>
        </r>
      </text>
    </comment>
    <comment ref="EZ82" authorId="1">
      <text>
        <r>
          <rPr>
            <b/>
            <sz val="9"/>
            <color indexed="81"/>
            <rFont val="Tahoma"/>
            <family val="2"/>
          </rPr>
          <t>Siber:</t>
        </r>
        <r>
          <rPr>
            <sz val="9"/>
            <color indexed="81"/>
            <rFont val="Tahoma"/>
            <family val="2"/>
          </rPr>
          <t xml:space="preserve">
4Q17: 4.5% (flat on 52 wk)</t>
        </r>
      </text>
    </comment>
    <comment ref="FB82" authorId="1">
      <text>
        <r>
          <rPr>
            <b/>
            <sz val="9"/>
            <color indexed="81"/>
            <rFont val="Tahoma"/>
            <family val="2"/>
          </rPr>
          <t>Siber:</t>
        </r>
        <r>
          <rPr>
            <sz val="9"/>
            <color indexed="81"/>
            <rFont val="Tahoma"/>
            <family val="2"/>
          </rPr>
          <t xml:space="preserve">
2017 Inv Day: 4.42% to 4.65%</t>
        </r>
      </text>
    </comment>
    <comment ref="CX87" authorId="0">
      <text>
        <r>
          <rPr>
            <sz val="9"/>
            <color indexed="81"/>
            <rFont val="Tahoma"/>
            <family val="2"/>
          </rPr>
          <t xml:space="preserve"> 
38-39%</t>
        </r>
      </text>
    </comment>
    <comment ref="CY87" authorId="0">
      <text>
        <r>
          <rPr>
            <sz val="9"/>
            <color indexed="81"/>
            <rFont val="Tahoma"/>
            <family val="2"/>
          </rPr>
          <t xml:space="preserve">  39%-40%
1Q15: 38-40%</t>
        </r>
      </text>
    </comment>
    <comment ref="DB87" authorId="1">
      <text>
        <r>
          <rPr>
            <b/>
            <sz val="9"/>
            <color indexed="81"/>
            <rFont val="Tahoma"/>
            <family val="2"/>
          </rPr>
          <t>Siber:</t>
        </r>
        <r>
          <rPr>
            <sz val="9"/>
            <color indexed="81"/>
            <rFont val="Tahoma"/>
            <family val="2"/>
          </rPr>
          <t xml:space="preserve">
4Q15: 39-39.5%</t>
        </r>
      </text>
    </comment>
    <comment ref="DC87" authorId="1">
      <text>
        <r>
          <rPr>
            <b/>
            <sz val="9"/>
            <color indexed="81"/>
            <rFont val="Tahoma"/>
            <family val="2"/>
          </rPr>
          <t>Siber:</t>
        </r>
        <r>
          <rPr>
            <sz val="9"/>
            <color indexed="81"/>
            <rFont val="Tahoma"/>
            <family val="2"/>
          </rPr>
          <t xml:space="preserve">
1Q16: 36-36.5%</t>
        </r>
      </text>
    </comment>
    <comment ref="DD87" authorId="2">
      <text>
        <r>
          <rPr>
            <b/>
            <sz val="9"/>
            <color indexed="81"/>
            <rFont val="Tahoma"/>
            <family val="2"/>
          </rPr>
          <t>Ben Zerman:</t>
        </r>
        <r>
          <rPr>
            <sz val="9"/>
            <color indexed="81"/>
            <rFont val="Tahoma"/>
            <family val="2"/>
          </rPr>
          <t xml:space="preserve">
2Q16: 37.5-38.0%</t>
        </r>
      </text>
    </comment>
    <comment ref="DE87" authorId="2">
      <text>
        <r>
          <rPr>
            <b/>
            <sz val="9"/>
            <color indexed="81"/>
            <rFont val="Tahoma"/>
            <family val="2"/>
          </rPr>
          <t>Ben Zerman:</t>
        </r>
        <r>
          <rPr>
            <sz val="9"/>
            <color indexed="81"/>
            <rFont val="Tahoma"/>
            <family val="2"/>
          </rPr>
          <t xml:space="preserve">
3Q16: 35.0-35.5%</t>
        </r>
      </text>
    </comment>
    <comment ref="DF87" authorId="2">
      <text>
        <r>
          <rPr>
            <b/>
            <sz val="9"/>
            <color indexed="81"/>
            <rFont val="Tahoma"/>
            <family val="2"/>
          </rPr>
          <t>Ben Zerman:</t>
        </r>
        <r>
          <rPr>
            <sz val="9"/>
            <color indexed="81"/>
            <rFont val="Tahoma"/>
            <family val="2"/>
          </rPr>
          <t xml:space="preserve">
4Q16: 38.0-38.5%</t>
        </r>
      </text>
    </comment>
    <comment ref="DG87" authorId="2">
      <text>
        <r>
          <rPr>
            <b/>
            <sz val="9"/>
            <color indexed="81"/>
            <rFont val="Tahoma"/>
            <family val="2"/>
          </rPr>
          <t>Ben Zerman:</t>
        </r>
        <r>
          <rPr>
            <sz val="9"/>
            <color indexed="81"/>
            <rFont val="Tahoma"/>
            <family val="2"/>
          </rPr>
          <t xml:space="preserve">
1Q17: 36.5-37.0%</t>
        </r>
      </text>
    </comment>
    <comment ref="DH87" authorId="1">
      <text>
        <r>
          <rPr>
            <b/>
            <sz val="9"/>
            <color indexed="81"/>
            <rFont val="Tahoma"/>
            <family val="2"/>
          </rPr>
          <t>Siber:</t>
        </r>
        <r>
          <rPr>
            <sz val="9"/>
            <color indexed="81"/>
            <rFont val="Tahoma"/>
            <family val="2"/>
          </rPr>
          <t xml:space="preserve">
2Q17: 32-32.5%</t>
        </r>
      </text>
    </comment>
    <comment ref="DI87" authorId="3">
      <text>
        <r>
          <rPr>
            <b/>
            <sz val="9"/>
            <color indexed="81"/>
            <rFont val="Tahoma"/>
            <family val="2"/>
          </rPr>
          <t>Kamboj:</t>
        </r>
        <r>
          <rPr>
            <sz val="9"/>
            <color indexed="81"/>
            <rFont val="Tahoma"/>
            <family val="2"/>
          </rPr>
          <t xml:space="preserve">
3Q17: 36-36.5%</t>
        </r>
      </text>
    </comment>
    <comment ref="DJ87" authorId="1">
      <text>
        <r>
          <rPr>
            <b/>
            <sz val="9"/>
            <color indexed="81"/>
            <rFont val="Tahoma"/>
            <family val="2"/>
          </rPr>
          <t>Siber:</t>
        </r>
        <r>
          <rPr>
            <sz val="9"/>
            <color indexed="81"/>
            <rFont val="Tahoma"/>
            <family val="2"/>
          </rPr>
          <t xml:space="preserve">
4Q17: 22-22.5%</t>
        </r>
      </text>
    </comment>
    <comment ref="EV87" authorId="0">
      <text>
        <r>
          <rPr>
            <sz val="9"/>
            <color indexed="81"/>
            <rFont val="Tahoma"/>
            <family val="2"/>
          </rPr>
          <t xml:space="preserve"> 
expect to have a slightly higher tax rate going forward as of Q4 report</t>
        </r>
      </text>
    </comment>
    <comment ref="EY87" authorId="2">
      <text>
        <r>
          <rPr>
            <b/>
            <sz val="9"/>
            <color indexed="81"/>
            <rFont val="Tahoma"/>
            <family val="2"/>
          </rPr>
          <t>Ben Zerman:</t>
        </r>
        <r>
          <rPr>
            <sz val="9"/>
            <color indexed="81"/>
            <rFont val="Tahoma"/>
            <family val="2"/>
          </rPr>
          <t xml:space="preserve">
4Q16: 36.5% (non-GAAP)
1Q17: 35.5% (non-GAAP)
2Q17: 34.5% (non-GAAP)</t>
        </r>
      </text>
    </comment>
    <comment ref="EZ87" authorId="1">
      <text>
        <r>
          <rPr>
            <b/>
            <sz val="9"/>
            <color indexed="81"/>
            <rFont val="Tahoma"/>
            <family val="2"/>
          </rPr>
          <t>Siber:</t>
        </r>
        <r>
          <rPr>
            <sz val="9"/>
            <color indexed="81"/>
            <rFont val="Tahoma"/>
            <family val="2"/>
          </rPr>
          <t xml:space="preserve">
4Q17: 25%</t>
        </r>
      </text>
    </comment>
    <comment ref="CW97" authorId="0">
      <text>
        <r>
          <rPr>
            <sz val="9"/>
            <color indexed="81"/>
            <rFont val="Tahoma"/>
            <family val="2"/>
          </rPr>
          <t>expansion of 75-90 bps given in holiday sales release vs previos guidance of +50 bps</t>
        </r>
      </text>
    </comment>
    <comment ref="CX97" authorId="0">
      <text>
        <r>
          <rPr>
            <sz val="9"/>
            <color indexed="81"/>
            <rFont val="Tahoma"/>
            <family val="2"/>
          </rPr>
          <t xml:space="preserve">  reiterate down 30-50 bps</t>
        </r>
      </text>
    </comment>
    <comment ref="CY97" authorId="0">
      <text>
        <r>
          <rPr>
            <sz val="9"/>
            <color indexed="81"/>
            <rFont val="Tahoma"/>
            <family val="2"/>
          </rPr>
          <t xml:space="preserve">  reiterate down 30-50 bps</t>
        </r>
      </text>
    </comment>
    <comment ref="CV104" authorId="0">
      <text>
        <r>
          <rPr>
            <sz val="9"/>
            <color indexed="81"/>
            <rFont val="Tahoma"/>
            <family val="2"/>
          </rPr>
          <t>80 bps benefit from installment (higher proceeds for devices and higher COGS (due to lower subsidies) - adj @ 2.4%</t>
        </r>
      </text>
    </comment>
    <comment ref="DB104" authorId="1">
      <text>
        <r>
          <rPr>
            <b/>
            <sz val="9"/>
            <color indexed="81"/>
            <rFont val="Tahoma"/>
            <family val="2"/>
          </rPr>
          <t>Siber:</t>
        </r>
        <r>
          <rPr>
            <sz val="9"/>
            <color indexed="81"/>
            <rFont val="Tahoma"/>
            <family val="2"/>
          </rPr>
          <t xml:space="preserve">
-1% to -2%</t>
        </r>
      </text>
    </comment>
    <comment ref="DF104" authorId="2">
      <text>
        <r>
          <rPr>
            <b/>
            <sz val="9"/>
            <color indexed="81"/>
            <rFont val="Tahoma"/>
            <family val="2"/>
          </rPr>
          <t>Ben Zerman:</t>
        </r>
        <r>
          <rPr>
            <sz val="9"/>
            <color indexed="81"/>
            <rFont val="Tahoma"/>
            <family val="2"/>
          </rPr>
          <t xml:space="preserve">
4Q16: -2.5% to -1.5%</t>
        </r>
      </text>
    </comment>
    <comment ref="DG104" authorId="2">
      <text>
        <r>
          <rPr>
            <b/>
            <sz val="9"/>
            <color indexed="81"/>
            <rFont val="Tahoma"/>
            <family val="2"/>
          </rPr>
          <t>Ben Zerman:</t>
        </r>
        <r>
          <rPr>
            <sz val="9"/>
            <color indexed="81"/>
            <rFont val="Tahoma"/>
            <family val="2"/>
          </rPr>
          <t xml:space="preserve">
1Q17: +1.5-2.5%</t>
        </r>
      </text>
    </comment>
    <comment ref="DH104" authorId="1">
      <text>
        <r>
          <rPr>
            <b/>
            <sz val="9"/>
            <color indexed="81"/>
            <rFont val="Tahoma"/>
            <family val="2"/>
          </rPr>
          <t>Siber:</t>
        </r>
        <r>
          <rPr>
            <sz val="9"/>
            <color indexed="81"/>
            <rFont val="Tahoma"/>
            <family val="2"/>
          </rPr>
          <t xml:space="preserve">
2Q17: 4.5-5.5%</t>
        </r>
      </text>
    </comment>
    <comment ref="DI104" authorId="1">
      <text>
        <r>
          <rPr>
            <b/>
            <sz val="9"/>
            <color indexed="81"/>
            <rFont val="Tahoma"/>
            <family val="2"/>
          </rPr>
          <t>Siber:</t>
        </r>
        <r>
          <rPr>
            <sz val="9"/>
            <color indexed="81"/>
            <rFont val="Tahoma"/>
            <family val="2"/>
          </rPr>
          <t xml:space="preserve">
3Q17: 1-3%</t>
        </r>
      </text>
    </comment>
    <comment ref="DJ104" authorId="1">
      <text>
        <r>
          <rPr>
            <b/>
            <sz val="9"/>
            <color indexed="81"/>
            <rFont val="Tahoma"/>
            <family val="2"/>
          </rPr>
          <t>Siber:</t>
        </r>
        <r>
          <rPr>
            <sz val="9"/>
            <color indexed="81"/>
            <rFont val="Tahoma"/>
            <family val="2"/>
          </rPr>
          <t xml:space="preserve">
4Q17: 1.5-2.5%</t>
        </r>
      </text>
    </comment>
    <comment ref="DF105" authorId="2">
      <text>
        <r>
          <rPr>
            <b/>
            <sz val="9"/>
            <color indexed="81"/>
            <rFont val="Tahoma"/>
            <family val="2"/>
          </rPr>
          <t>Ben Zerman:</t>
        </r>
        <r>
          <rPr>
            <sz val="9"/>
            <color indexed="81"/>
            <rFont val="Tahoma"/>
            <family val="2"/>
          </rPr>
          <t xml:space="preserve">
4Q16: 0% to +3.0%</t>
        </r>
      </text>
    </comment>
    <comment ref="DG105" authorId="2">
      <text>
        <r>
          <rPr>
            <b/>
            <sz val="9"/>
            <color indexed="81"/>
            <rFont val="Tahoma"/>
            <family val="2"/>
          </rPr>
          <t>Ben Zerman:</t>
        </r>
        <r>
          <rPr>
            <sz val="9"/>
            <color indexed="81"/>
            <rFont val="Tahoma"/>
            <family val="2"/>
          </rPr>
          <t xml:space="preserve">
1Q17: 0-3%</t>
        </r>
      </text>
    </comment>
    <comment ref="DH105" authorId="1">
      <text>
        <r>
          <rPr>
            <b/>
            <sz val="9"/>
            <color indexed="81"/>
            <rFont val="Tahoma"/>
            <family val="2"/>
          </rPr>
          <t>Siber:</t>
        </r>
        <r>
          <rPr>
            <sz val="9"/>
            <color indexed="81"/>
            <rFont val="Tahoma"/>
            <family val="2"/>
          </rPr>
          <t xml:space="preserve">
2Q17: flat to +3%</t>
        </r>
      </text>
    </comment>
    <comment ref="DI105" authorId="1">
      <text>
        <r>
          <rPr>
            <b/>
            <sz val="9"/>
            <color indexed="81"/>
            <rFont val="Tahoma"/>
            <family val="2"/>
          </rPr>
          <t>Siber:</t>
        </r>
        <r>
          <rPr>
            <sz val="9"/>
            <color indexed="81"/>
            <rFont val="Tahoma"/>
            <family val="2"/>
          </rPr>
          <t xml:space="preserve">
3Q17: flat to +3%</t>
        </r>
      </text>
    </comment>
    <comment ref="DJ105" authorId="1">
      <text>
        <r>
          <rPr>
            <b/>
            <sz val="9"/>
            <color indexed="81"/>
            <rFont val="Tahoma"/>
            <family val="2"/>
          </rPr>
          <t>Siber:</t>
        </r>
        <r>
          <rPr>
            <sz val="9"/>
            <color indexed="81"/>
            <rFont val="Tahoma"/>
            <family val="2"/>
          </rPr>
          <t xml:space="preserve">
4Q17: flat to +3%</t>
        </r>
      </text>
    </comment>
    <comment ref="CV106" authorId="0">
      <text>
        <r>
          <rPr>
            <sz val="9"/>
            <color indexed="81"/>
            <rFont val="Tahoma"/>
            <family val="2"/>
          </rPr>
          <t>60 bps benefit from installment (higher proceeds for devices and higher COGS (due to lower subsidies) - adj @ 1.6%</t>
        </r>
      </text>
    </comment>
    <comment ref="DB106" authorId="1">
      <text>
        <r>
          <rPr>
            <b/>
            <sz val="9"/>
            <color indexed="81"/>
            <rFont val="Tahoma"/>
            <family val="2"/>
          </rPr>
          <t>Siber:</t>
        </r>
        <r>
          <rPr>
            <sz val="9"/>
            <color indexed="81"/>
            <rFont val="Tahoma"/>
            <family val="2"/>
          </rPr>
          <t xml:space="preserve">
-1% to -2%</t>
        </r>
      </text>
    </comment>
    <comment ref="DE106" authorId="2">
      <text>
        <r>
          <rPr>
            <b/>
            <sz val="9"/>
            <color indexed="81"/>
            <rFont val="Tahoma"/>
            <family val="2"/>
          </rPr>
          <t>Ben Zerman:</t>
        </r>
        <r>
          <rPr>
            <sz val="9"/>
            <color indexed="81"/>
            <rFont val="Tahoma"/>
            <family val="2"/>
          </rPr>
          <t xml:space="preserve">
3Q16: -1% to +1% (+0.5% to +2.5% ex -1.5% headwind from Samsung recall)
-0.9% actual comp includes:
1) $200M Samsung recalls
2) $100-$200M inventory / product constraints (240-320 bps headwind)</t>
        </r>
      </text>
    </comment>
    <comment ref="DF106" authorId="2">
      <text>
        <r>
          <rPr>
            <b/>
            <sz val="9"/>
            <color indexed="81"/>
            <rFont val="Tahoma"/>
            <family val="2"/>
          </rPr>
          <t>Ben Zerman:</t>
        </r>
        <r>
          <rPr>
            <sz val="9"/>
            <color indexed="81"/>
            <rFont val="Tahoma"/>
            <family val="2"/>
          </rPr>
          <t xml:space="preserve">
4Q16: -2.0% to -1.0%</t>
        </r>
      </text>
    </comment>
    <comment ref="DG106" authorId="2">
      <text>
        <r>
          <rPr>
            <b/>
            <sz val="9"/>
            <color indexed="81"/>
            <rFont val="Tahoma"/>
            <family val="2"/>
          </rPr>
          <t>Ben Zerman:</t>
        </r>
        <r>
          <rPr>
            <sz val="9"/>
            <color indexed="81"/>
            <rFont val="Tahoma"/>
            <family val="2"/>
          </rPr>
          <t xml:space="preserve">
1Q17: +1.5-2.5%</t>
        </r>
      </text>
    </comment>
    <comment ref="DH106" authorId="1">
      <text>
        <r>
          <rPr>
            <b/>
            <sz val="9"/>
            <color indexed="81"/>
            <rFont val="Tahoma"/>
            <family val="2"/>
          </rPr>
          <t>Siber:</t>
        </r>
        <r>
          <rPr>
            <sz val="9"/>
            <color indexed="81"/>
            <rFont val="Tahoma"/>
            <family val="2"/>
          </rPr>
          <t xml:space="preserve">
2Q17: 4.5-5.5%</t>
        </r>
      </text>
    </comment>
    <comment ref="DJ106" authorId="1">
      <text>
        <r>
          <rPr>
            <b/>
            <sz val="9"/>
            <color indexed="81"/>
            <rFont val="Tahoma"/>
            <family val="2"/>
          </rPr>
          <t>Siber:</t>
        </r>
        <r>
          <rPr>
            <sz val="9"/>
            <color indexed="81"/>
            <rFont val="Tahoma"/>
            <family val="2"/>
          </rPr>
          <t xml:space="preserve">
4Q17: 1.5-2.5%</t>
        </r>
      </text>
    </comment>
    <comment ref="EZ106" authorId="1">
      <text>
        <r>
          <rPr>
            <b/>
            <sz val="9"/>
            <color indexed="81"/>
            <rFont val="Tahoma"/>
            <family val="2"/>
          </rPr>
          <t>Siber:</t>
        </r>
        <r>
          <rPr>
            <sz val="9"/>
            <color indexed="81"/>
            <rFont val="Tahoma"/>
            <family val="2"/>
          </rPr>
          <t xml:space="preserve">
4Q17: flat to +2%</t>
        </r>
      </text>
    </comment>
    <comment ref="CN107" authorId="4">
      <text>
        <r>
          <rPr>
            <b/>
            <sz val="9"/>
            <color indexed="81"/>
            <rFont val="Tahoma"/>
            <family val="2"/>
          </rPr>
          <t>TT :</t>
        </r>
        <r>
          <rPr>
            <sz val="9"/>
            <color indexed="81"/>
            <rFont val="Tahoma"/>
            <family val="2"/>
          </rPr>
          <t xml:space="preserve">
2Q15: Flat to negative LSD in 2H
</t>
        </r>
      </text>
    </comment>
    <comment ref="CO107" authorId="4">
      <text>
        <r>
          <rPr>
            <b/>
            <sz val="9"/>
            <color indexed="81"/>
            <rFont val="Tahoma"/>
            <family val="2"/>
          </rPr>
          <t>TT :</t>
        </r>
        <r>
          <rPr>
            <sz val="9"/>
            <color indexed="81"/>
            <rFont val="Tahoma"/>
            <family val="2"/>
          </rPr>
          <t xml:space="preserve">
2Q15: Flat to negative LSD in 2H</t>
        </r>
      </text>
    </comment>
    <comment ref="CZ107" authorId="2">
      <text>
        <r>
          <rPr>
            <b/>
            <sz val="9"/>
            <color indexed="81"/>
            <rFont val="Tahoma"/>
            <family val="2"/>
          </rPr>
          <t>Ben Zerman:</t>
        </r>
        <r>
          <rPr>
            <sz val="9"/>
            <color indexed="81"/>
            <rFont val="Tahoma"/>
            <family val="2"/>
          </rPr>
          <t xml:space="preserve">
2Q15: flat to +LSD</t>
        </r>
      </text>
    </comment>
    <comment ref="DA107" authorId="1">
      <text>
        <r>
          <rPr>
            <b/>
            <sz val="9"/>
            <color indexed="81"/>
            <rFont val="Tahoma"/>
            <family val="2"/>
          </rPr>
          <t>Siber:</t>
        </r>
        <r>
          <rPr>
            <sz val="9"/>
            <color indexed="81"/>
            <rFont val="Tahoma"/>
            <family val="2"/>
          </rPr>
          <t xml:space="preserve">
01/16: -4% vs. prior -LSD</t>
        </r>
      </text>
    </comment>
    <comment ref="DB107" authorId="1">
      <text>
        <r>
          <rPr>
            <b/>
            <sz val="9"/>
            <color indexed="81"/>
            <rFont val="Tahoma"/>
            <family val="2"/>
          </rPr>
          <t>Siber:</t>
        </r>
        <r>
          <rPr>
            <sz val="9"/>
            <color indexed="81"/>
            <rFont val="Tahoma"/>
            <family val="2"/>
          </rPr>
          <t xml:space="preserve">
4Q15: down</t>
        </r>
      </text>
    </comment>
    <comment ref="DC107" authorId="1">
      <text>
        <r>
          <rPr>
            <b/>
            <sz val="9"/>
            <color indexed="81"/>
            <rFont val="Tahoma"/>
            <family val="2"/>
          </rPr>
          <t>Siber:</t>
        </r>
        <r>
          <rPr>
            <sz val="9"/>
            <color indexed="81"/>
            <rFont val="Tahoma"/>
            <family val="2"/>
          </rPr>
          <t xml:space="preserve">
4Q15: down
1Q16: reiterate</t>
        </r>
      </text>
    </comment>
    <comment ref="DD107" authorId="1">
      <text>
        <r>
          <rPr>
            <b/>
            <sz val="9"/>
            <color indexed="81"/>
            <rFont val="Tahoma"/>
            <family val="2"/>
          </rPr>
          <t>Siber:</t>
        </r>
        <r>
          <rPr>
            <sz val="9"/>
            <color indexed="81"/>
            <rFont val="Tahoma"/>
            <family val="2"/>
          </rPr>
          <t xml:space="preserve">
4Q15: up
1Q16: reiterate
2Q16: reiterate (flat to +1%)</t>
        </r>
      </text>
    </comment>
    <comment ref="DE107" authorId="1">
      <text>
        <r>
          <rPr>
            <b/>
            <sz val="9"/>
            <color indexed="81"/>
            <rFont val="Tahoma"/>
            <family val="2"/>
          </rPr>
          <t>Siber:</t>
        </r>
        <r>
          <rPr>
            <sz val="9"/>
            <color indexed="81"/>
            <rFont val="Tahoma"/>
            <family val="2"/>
          </rPr>
          <t xml:space="preserve">
4Q15: up
1Q16: reiterate
2Q16: reiterate
3Q16: reiterate</t>
        </r>
      </text>
    </comment>
    <comment ref="DF107" authorId="2">
      <text>
        <r>
          <rPr>
            <b/>
            <sz val="9"/>
            <color indexed="81"/>
            <rFont val="Tahoma"/>
            <family val="2"/>
          </rPr>
          <t>Ben Zerman:</t>
        </r>
        <r>
          <rPr>
            <sz val="9"/>
            <color indexed="81"/>
            <rFont val="Tahoma"/>
            <family val="2"/>
          </rPr>
          <t xml:space="preserve">
4Q16: -2.9% to -1.7%</t>
        </r>
      </text>
    </comment>
    <comment ref="EX107" authorId="2">
      <text>
        <r>
          <rPr>
            <b/>
            <sz val="9"/>
            <color indexed="81"/>
            <rFont val="Tahoma"/>
            <family val="2"/>
          </rPr>
          <t>4Q15:</t>
        </r>
        <r>
          <rPr>
            <sz val="9"/>
            <color indexed="81"/>
            <rFont val="Tahoma"/>
            <family val="2"/>
          </rPr>
          <t xml:space="preserve"> flat
</t>
        </r>
        <r>
          <rPr>
            <b/>
            <sz val="9"/>
            <color indexed="81"/>
            <rFont val="Tahoma"/>
            <family val="2"/>
          </rPr>
          <t>1Q16:</t>
        </r>
        <r>
          <rPr>
            <sz val="9"/>
            <color indexed="81"/>
            <rFont val="Tahoma"/>
            <family val="2"/>
          </rPr>
          <t xml:space="preserve"> reiterate (slight decline in 1H, growth in 2H)
</t>
        </r>
        <r>
          <rPr>
            <b/>
            <sz val="9"/>
            <color indexed="81"/>
            <rFont val="Tahoma"/>
            <family val="2"/>
          </rPr>
          <t>2Q16:</t>
        </r>
        <r>
          <rPr>
            <sz val="9"/>
            <color indexed="81"/>
            <rFont val="Tahoma"/>
            <family val="2"/>
          </rPr>
          <t xml:space="preserve"> reiterate</t>
        </r>
      </text>
    </comment>
    <comment ref="EY107" authorId="2">
      <text>
        <r>
          <rPr>
            <b/>
            <sz val="9"/>
            <color indexed="81"/>
            <rFont val="Tahoma"/>
            <family val="2"/>
          </rPr>
          <t>Ben Zerman:</t>
        </r>
        <r>
          <rPr>
            <sz val="9"/>
            <color indexed="81"/>
            <rFont val="Tahoma"/>
            <family val="2"/>
          </rPr>
          <t xml:space="preserve">
4Q16: +1.5% (53-wk basis); flat (52-wk basis)
1Q17: +2.5% (53-wk basis); +1.0% (52-wk basis)
2Q17: +4% (53-wk basis); +2.5% (52-wk basis)
3Q17: +4-4.8% (53-wk basis); +3% (52-wk basis)</t>
        </r>
      </text>
    </comment>
    <comment ref="FB107" authorId="1">
      <text>
        <r>
          <rPr>
            <b/>
            <sz val="9"/>
            <color indexed="81"/>
            <rFont val="Tahoma"/>
            <family val="2"/>
          </rPr>
          <t>Siber:</t>
        </r>
        <r>
          <rPr>
            <sz val="9"/>
            <color indexed="81"/>
            <rFont val="Tahoma"/>
            <family val="2"/>
          </rPr>
          <t xml:space="preserve">
2017 Inv Day: +1.5% thru 2021</t>
        </r>
      </text>
    </comment>
    <comment ref="EX111" authorId="1">
      <text>
        <r>
          <rPr>
            <sz val="9"/>
            <color indexed="81"/>
            <rFont val="Tahoma"/>
            <family val="2"/>
          </rPr>
          <t>4Q15: flattish
1Q16: reiterate
2Q16: up LSD</t>
        </r>
      </text>
    </comment>
    <comment ref="EY111" authorId="2">
      <text>
        <r>
          <rPr>
            <b/>
            <sz val="9"/>
            <color indexed="81"/>
            <rFont val="Tahoma"/>
            <family val="2"/>
          </rPr>
          <t>Ben Zerman:</t>
        </r>
        <r>
          <rPr>
            <sz val="9"/>
            <color indexed="81"/>
            <rFont val="Tahoma"/>
            <family val="2"/>
          </rPr>
          <t xml:space="preserve">
4Q16: up LSDs (53-wk basis); flat (52-wk basis)
1Q17: up +3.5-8.5% (53-wk basis); +1.5-5.5% (52-wk basis)
2Q17: 4-9% (53-wk basis); +2-6% (52-wk basis)</t>
        </r>
      </text>
    </comment>
    <comment ref="DJ115" authorId="1">
      <text>
        <r>
          <rPr>
            <b/>
            <sz val="9"/>
            <color indexed="81"/>
            <rFont val="Tahoma"/>
            <family val="2"/>
          </rPr>
          <t>Siber:</t>
        </r>
        <r>
          <rPr>
            <sz val="9"/>
            <color indexed="81"/>
            <rFont val="Tahoma"/>
            <family val="2"/>
          </rPr>
          <t xml:space="preserve">
4Q17: 13-22%</t>
        </r>
      </text>
    </comment>
    <comment ref="EZ115" authorId="1">
      <text>
        <r>
          <rPr>
            <b/>
            <sz val="9"/>
            <color indexed="81"/>
            <rFont val="Tahoma"/>
            <family val="2"/>
          </rPr>
          <t>Siber:</t>
        </r>
        <r>
          <rPr>
            <sz val="9"/>
            <color indexed="81"/>
            <rFont val="Tahoma"/>
            <family val="2"/>
          </rPr>
          <t xml:space="preserve">
4Q17: 9-13%</t>
        </r>
      </text>
    </comment>
    <comment ref="CP155" authorId="0">
      <text>
        <r>
          <rPr>
            <sz val="9"/>
            <color indexed="81"/>
            <rFont val="Tahoma"/>
            <family val="2"/>
          </rPr>
          <t xml:space="preserve"> 
1) Cubing of trucks for more optimized delivery to stores; reduces number of loads and miles driven (done 50%, 50% in back half)
2) Expand online delivery capabilities
3) Reverse logistics - Customer returns/damages are costing $400M in P&amp;L each year and represent 10% of sales --- Implemented clearance zones in stores and BOSFS and more rigor about accepting returns</t>
        </r>
      </text>
    </comment>
    <comment ref="CQ155" authorId="0">
      <text>
        <r>
          <rPr>
            <sz val="9"/>
            <color indexed="81"/>
            <rFont val="Tahoma"/>
            <family val="2"/>
          </rPr>
          <t xml:space="preserve"> 
To date have delivered $65 of $325M in cost savings, expect to deliver substantially more in coming quarters</t>
        </r>
      </text>
    </comment>
    <comment ref="DB155" authorId="1">
      <text>
        <r>
          <rPr>
            <b/>
            <sz val="9"/>
            <color indexed="81"/>
            <rFont val="Tahoma"/>
            <family val="2"/>
          </rPr>
          <t>Siber:</t>
        </r>
        <r>
          <rPr>
            <sz val="9"/>
            <color indexed="81"/>
            <rFont val="Tahoma"/>
            <family val="2"/>
          </rPr>
          <t xml:space="preserve">
CRT settlements</t>
        </r>
      </text>
    </comment>
    <comment ref="CC156" authorId="0">
      <text>
        <r>
          <rPr>
            <sz val="9"/>
            <color indexed="81"/>
            <rFont val="Tahoma"/>
            <family val="2"/>
          </rPr>
          <t xml:space="preserve"> 
$9 relates to restructuring charges</t>
        </r>
      </text>
    </comment>
    <comment ref="EP157" authorId="0">
      <text>
        <r>
          <rPr>
            <sz val="9"/>
            <color indexed="81"/>
            <rFont val="Tahoma"/>
            <family val="2"/>
          </rPr>
          <t xml:space="preserve">  Expect FY gross profit rate to be down 50hp</t>
        </r>
      </text>
    </comment>
    <comment ref="CP160" authorId="0">
      <text>
        <r>
          <rPr>
            <sz val="9"/>
            <color indexed="81"/>
            <rFont val="Tahoma"/>
            <family val="2"/>
          </rPr>
          <t xml:space="preserve"> 
Have executed on $295M of $400M so far
Declined 10bp YoY ex-53rd week
(+) Lower payroll/incentive comp
(+) Tighter overall expense mgmt</t>
        </r>
      </text>
    </comment>
    <comment ref="CQ160" authorId="0">
      <text>
        <r>
          <rPr>
            <sz val="9"/>
            <color indexed="81"/>
            <rFont val="Tahoma"/>
            <family val="2"/>
          </rPr>
          <t xml:space="preserve"> 
Have taken out $325M of $400M announced cost cuts
(-) In Q2 will be retiring 10 yr old search platform, replaced by industry leading platform that provides more relevant navigation and product info
(-) Expect disruptions from Samsung SWAS rollout and retail sqft allocation in 2Q
(-) Expect investments in Renew Blue from Online, Mobile and Multichannel to impact results, but benefits not to come until 2014 &amp; beyond; will be largely offset in 2H13 by cost saves</t>
        </r>
      </text>
    </comment>
    <comment ref="CT160" authorId="0">
      <text>
        <r>
          <rPr>
            <sz val="9"/>
            <color indexed="81"/>
            <rFont val="Tahoma"/>
            <family val="2"/>
          </rPr>
          <t>Non Restructuring asset impairments</t>
        </r>
      </text>
    </comment>
    <comment ref="CU160" authorId="0">
      <text>
        <r>
          <rPr>
            <sz val="9"/>
            <color indexed="81"/>
            <rFont val="Tahoma"/>
            <family val="2"/>
          </rPr>
          <t>$5M in restructuring charges</t>
        </r>
      </text>
    </comment>
    <comment ref="DB160" authorId="1">
      <text>
        <r>
          <rPr>
            <b/>
            <sz val="9"/>
            <color indexed="81"/>
            <rFont val="Tahoma"/>
            <family val="2"/>
          </rPr>
          <t>Siber:</t>
        </r>
        <r>
          <rPr>
            <sz val="9"/>
            <color indexed="81"/>
            <rFont val="Tahoma"/>
            <family val="2"/>
          </rPr>
          <t xml:space="preserve">
CRT settlement &amp; Non restructuring</t>
        </r>
      </text>
    </comment>
    <comment ref="DC160" authorId="2">
      <text>
        <r>
          <rPr>
            <b/>
            <sz val="9"/>
            <color indexed="81"/>
            <rFont val="Tahoma"/>
            <family val="2"/>
          </rPr>
          <t>Ben Zerman:</t>
        </r>
        <r>
          <rPr>
            <sz val="9"/>
            <color indexed="81"/>
            <rFont val="Tahoma"/>
            <family val="2"/>
          </rPr>
          <t xml:space="preserve">
asset impairments</t>
        </r>
      </text>
    </comment>
    <comment ref="DI160" authorId="1">
      <text>
        <r>
          <rPr>
            <b/>
            <sz val="9"/>
            <color indexed="81"/>
            <rFont val="Tahoma"/>
            <family val="2"/>
          </rPr>
          <t>Siber:</t>
        </r>
        <r>
          <rPr>
            <sz val="9"/>
            <color indexed="81"/>
            <rFont val="Tahoma"/>
            <family val="2"/>
          </rPr>
          <t xml:space="preserve">
Tax reform related items</t>
        </r>
      </text>
    </comment>
    <comment ref="ES160" authorId="0">
      <text>
        <r>
          <rPr>
            <sz val="9"/>
            <color indexed="81"/>
            <rFont val="Tahoma"/>
            <family val="2"/>
          </rPr>
          <t xml:space="preserve">  Expected cost saves in F2013 of $250M - the majority in SG&amp;A</t>
        </r>
      </text>
    </comment>
    <comment ref="CT161" authorId="0">
      <text>
        <r>
          <rPr>
            <sz val="9"/>
            <color indexed="81"/>
            <rFont val="Tahoma"/>
            <family val="2"/>
          </rPr>
          <t>Non Restructuring asset impairments</t>
        </r>
      </text>
    </comment>
    <comment ref="DB161" authorId="1">
      <text>
        <r>
          <rPr>
            <b/>
            <sz val="9"/>
            <color indexed="81"/>
            <rFont val="Tahoma"/>
            <family val="2"/>
          </rPr>
          <t>Siber:</t>
        </r>
        <r>
          <rPr>
            <sz val="9"/>
            <color indexed="81"/>
            <rFont val="Tahoma"/>
            <family val="2"/>
          </rPr>
          <t xml:space="preserve">
Non restructuring</t>
        </r>
      </text>
    </comment>
    <comment ref="DC161" authorId="2">
      <text>
        <r>
          <rPr>
            <b/>
            <sz val="9"/>
            <color indexed="81"/>
            <rFont val="Tahoma"/>
            <family val="2"/>
          </rPr>
          <t>Ben Zerman:</t>
        </r>
        <r>
          <rPr>
            <sz val="9"/>
            <color indexed="81"/>
            <rFont val="Tahoma"/>
            <family val="2"/>
          </rPr>
          <t xml:space="preserve">
canada brand consolidation</t>
        </r>
      </text>
    </comment>
    <comment ref="DI161" authorId="1">
      <text>
        <r>
          <rPr>
            <b/>
            <sz val="9"/>
            <color indexed="81"/>
            <rFont val="Tahoma"/>
            <family val="2"/>
          </rPr>
          <t>Siber:</t>
        </r>
        <r>
          <rPr>
            <sz val="9"/>
            <color indexed="81"/>
            <rFont val="Tahoma"/>
            <family val="2"/>
          </rPr>
          <t xml:space="preserve">
Tax reform related items</t>
        </r>
      </text>
    </comment>
    <comment ref="EP162" authorId="0">
      <text>
        <r>
          <rPr>
            <sz val="9"/>
            <color indexed="81"/>
            <rFont val="Tahoma"/>
            <family val="2"/>
          </rPr>
          <t xml:space="preserve">  Expect SG&amp;A dollar growth to be ~2%</t>
        </r>
      </text>
    </comment>
    <comment ref="ES162" authorId="0">
      <text>
        <r>
          <rPr>
            <sz val="9"/>
            <color indexed="81"/>
            <rFont val="Tahoma"/>
            <family val="2"/>
          </rPr>
          <t xml:space="preserve">  Guidance of down 1%, and down 5% including exited businesses ex 53rd week
Including 53rd week SG&amp;A expected to grow 3%</t>
        </r>
      </text>
    </comment>
    <comment ref="CQ168" authorId="0">
      <text>
        <r>
          <rPr>
            <sz val="9"/>
            <color indexed="81"/>
            <rFont val="Tahoma"/>
            <family val="2"/>
          </rPr>
          <t xml:space="preserve"> 
Have taken out $390M in annualized cost savings toward goal of $725M</t>
        </r>
      </text>
    </comment>
    <comment ref="CS168" authorId="0">
      <text>
        <r>
          <rPr>
            <sz val="9"/>
            <color indexed="81"/>
            <rFont val="Tahoma"/>
            <family val="2"/>
          </rPr>
          <t xml:space="preserve"> 
Expect 40-70bp impact from warranty/pricing/credit card</t>
        </r>
      </text>
    </comment>
    <comment ref="ES187" authorId="0">
      <text>
        <r>
          <rPr>
            <sz val="9"/>
            <color indexed="81"/>
            <rFont val="Tahoma"/>
            <family val="2"/>
          </rPr>
          <t xml:space="preserve">  Price competition and increased mix of online</t>
        </r>
      </text>
    </comment>
    <comment ref="ET187" authorId="0">
      <text>
        <r>
          <rPr>
            <sz val="9"/>
            <color indexed="81"/>
            <rFont val="Tahoma"/>
            <family val="2"/>
          </rPr>
          <t xml:space="preserve">  Price competition and increased mix of online</t>
        </r>
      </text>
    </comment>
    <comment ref="CT199" authorId="0">
      <text>
        <r>
          <rPr>
            <sz val="9"/>
            <color indexed="81"/>
            <rFont val="Tahoma"/>
            <family val="2"/>
          </rPr>
          <t xml:space="preserve"> 
Have taken out $390M in annualized cost savings toward goal of $725M</t>
        </r>
      </text>
    </comment>
    <comment ref="CV199" authorId="0">
      <text>
        <r>
          <rPr>
            <sz val="9"/>
            <color indexed="81"/>
            <rFont val="Tahoma"/>
            <family val="2"/>
          </rPr>
          <t xml:space="preserve"> 
Expect 40-70bp impact from warranty/pricing/credit card</t>
        </r>
      </text>
    </comment>
    <comment ref="CY200" authorId="1">
      <text>
        <r>
          <rPr>
            <b/>
            <sz val="9"/>
            <color indexed="81"/>
            <rFont val="Tahoma"/>
            <family val="2"/>
          </rPr>
          <t>Siber:</t>
        </r>
        <r>
          <rPr>
            <sz val="9"/>
            <color indexed="81"/>
            <rFont val="Tahoma"/>
            <family val="2"/>
          </rPr>
          <t xml:space="preserve">
1Q15: -3.5% to -5.0%</t>
        </r>
      </text>
    </comment>
    <comment ref="DA200" authorId="1">
      <text>
        <r>
          <rPr>
            <b/>
            <sz val="9"/>
            <color indexed="81"/>
            <rFont val="Tahoma"/>
            <family val="2"/>
          </rPr>
          <t>Siber:</t>
        </r>
        <r>
          <rPr>
            <sz val="9"/>
            <color indexed="81"/>
            <rFont val="Tahoma"/>
            <family val="2"/>
          </rPr>
          <t xml:space="preserve">
01/16: 2 to 3%</t>
        </r>
      </text>
    </comment>
    <comment ref="CV208" authorId="0">
      <text>
        <r>
          <rPr>
            <sz val="9"/>
            <color indexed="81"/>
            <rFont val="Tahoma"/>
            <family val="2"/>
          </rPr>
          <t xml:space="preserve"> 
down 50 bps due to lower GP rate in mobile; price investments; lower-margin gaming category; promotions in tablets; less favorable economics of new CC agreement
up on higher-margin large screen TVs, Renew Blue cost reductions, and 15 bps of legal claim dispute</t>
        </r>
      </text>
    </comment>
    <comment ref="CW208" authorId="0">
      <text>
        <r>
          <rPr>
            <sz val="9"/>
            <color indexed="81"/>
            <rFont val="Tahoma"/>
            <family val="2"/>
          </rPr>
          <t xml:space="preserve"> 
1- better promotion strategy
2 - Renew Blue
3 - 40 bps on CC agreement
4 - mobile warranty plans</t>
        </r>
      </text>
    </comment>
    <comment ref="DG208" authorId="1">
      <text>
        <r>
          <rPr>
            <b/>
            <sz val="9"/>
            <color indexed="81"/>
            <rFont val="Tahoma"/>
            <family val="2"/>
          </rPr>
          <t>Siber:</t>
        </r>
        <r>
          <rPr>
            <sz val="9"/>
            <color indexed="81"/>
            <rFont val="Tahoma"/>
            <family val="2"/>
          </rPr>
          <t xml:space="preserve">
rates improved across multiple categories offset by mobile; higher sales of wearables; </t>
        </r>
      </text>
    </comment>
    <comment ref="DI208" authorId="1">
      <text>
        <r>
          <rPr>
            <b/>
            <sz val="9"/>
            <color indexed="81"/>
            <rFont val="Tahoma"/>
            <family val="2"/>
          </rPr>
          <t>Siber:</t>
        </r>
        <r>
          <rPr>
            <sz val="9"/>
            <color indexed="81"/>
            <rFont val="Tahoma"/>
            <family val="2"/>
          </rPr>
          <t xml:space="preserve">
Rate pressure in mboile
Mixing into lower margin
-15 bps Profit Sharing
Lower store price erosion</t>
        </r>
      </text>
    </comment>
    <comment ref="DJ208" authorId="1">
      <text>
        <r>
          <rPr>
            <b/>
            <sz val="9"/>
            <color indexed="81"/>
            <rFont val="Tahoma"/>
            <family val="2"/>
          </rPr>
          <t>Siber:</t>
        </r>
        <r>
          <rPr>
            <sz val="9"/>
            <color indexed="81"/>
            <rFont val="Tahoma"/>
            <family val="2"/>
          </rPr>
          <t xml:space="preserve">
incl 25 bps of supply chain &amp; transportation costs</t>
        </r>
      </text>
    </comment>
    <comment ref="ES208" authorId="0">
      <text>
        <r>
          <rPr>
            <sz val="9"/>
            <color indexed="81"/>
            <rFont val="Tahoma"/>
            <family val="2"/>
          </rPr>
          <t xml:space="preserve">  Still expect to be down, but expect improvement in 3Q/4Q
Factors expected to help GM in 2H
- Lower promotional activity in computing, given product launches
- Benefits from tech support services beginning to contribute meaningfully to gross margin rate
- Eased margin compression in mobile, due to easier compares</t>
        </r>
      </text>
    </comment>
    <comment ref="CV209" authorId="0">
      <text>
        <r>
          <rPr>
            <sz val="9"/>
            <color indexed="81"/>
            <rFont val="Tahoma"/>
            <family val="2"/>
          </rPr>
          <t xml:space="preserve"> 
50 bps due to Canada - promotions in tablets &amp; higher rev in lower-margin gaming</t>
        </r>
      </text>
    </comment>
    <comment ref="DG209" authorId="1">
      <text>
        <r>
          <rPr>
            <b/>
            <sz val="9"/>
            <color indexed="81"/>
            <rFont val="Tahoma"/>
            <family val="2"/>
          </rPr>
          <t>Siber:</t>
        </r>
        <r>
          <rPr>
            <sz val="9"/>
            <color indexed="81"/>
            <rFont val="Tahoma"/>
            <family val="2"/>
          </rPr>
          <t xml:space="preserve">
lower rates in appliances and computing</t>
        </r>
      </text>
    </comment>
    <comment ref="DI209" authorId="1">
      <text>
        <r>
          <rPr>
            <b/>
            <sz val="9"/>
            <color indexed="81"/>
            <rFont val="Tahoma"/>
            <family val="2"/>
          </rPr>
          <t>Siber:</t>
        </r>
        <r>
          <rPr>
            <sz val="9"/>
            <color indexed="81"/>
            <rFont val="Tahoma"/>
            <family val="2"/>
          </rPr>
          <t xml:space="preserve">
Lower rate in Canada (sales mix)
Home theater weakness
</t>
        </r>
      </text>
    </comment>
    <comment ref="DJ209" authorId="1">
      <text>
        <r>
          <rPr>
            <b/>
            <sz val="9"/>
            <color indexed="81"/>
            <rFont val="Tahoma"/>
            <family val="2"/>
          </rPr>
          <t>Siber:</t>
        </r>
        <r>
          <rPr>
            <sz val="9"/>
            <color indexed="81"/>
            <rFont val="Tahoma"/>
            <family val="2"/>
          </rPr>
          <t xml:space="preserve">
4Q17: pressure to continue</t>
        </r>
      </text>
    </comment>
    <comment ref="CV212" authorId="0">
      <text>
        <r>
          <rPr>
            <sz val="9"/>
            <color indexed="81"/>
            <rFont val="Tahoma"/>
            <family val="2"/>
          </rPr>
          <t xml:space="preserve"> 
driven by realization of Renew Blue cost reduction &amp; tighter expense control</t>
        </r>
      </text>
    </comment>
    <comment ref="DG212" authorId="1">
      <text>
        <r>
          <rPr>
            <b/>
            <sz val="9"/>
            <color indexed="81"/>
            <rFont val="Tahoma"/>
            <family val="2"/>
          </rPr>
          <t>Siber:</t>
        </r>
        <r>
          <rPr>
            <sz val="9"/>
            <color indexed="81"/>
            <rFont val="Tahoma"/>
            <family val="2"/>
          </rPr>
          <t xml:space="preserve">
Growth investments
Higher incentive comp
Higher variable costs
Leverage from sales</t>
        </r>
      </text>
    </comment>
    <comment ref="DI212" authorId="1">
      <text>
        <r>
          <rPr>
            <b/>
            <sz val="9"/>
            <color indexed="81"/>
            <rFont val="Tahoma"/>
            <family val="2"/>
          </rPr>
          <t>Siber:</t>
        </r>
        <r>
          <rPr>
            <sz val="9"/>
            <color indexed="81"/>
            <rFont val="Tahoma"/>
            <family val="2"/>
          </rPr>
          <t xml:space="preserve">
Higher incentive comp
53rd wk
growth investments
higher variable costs</t>
        </r>
      </text>
    </comment>
    <comment ref="DG213" authorId="1">
      <text>
        <r>
          <rPr>
            <b/>
            <sz val="9"/>
            <color indexed="81"/>
            <rFont val="Tahoma"/>
            <family val="2"/>
          </rPr>
          <t>Siber:</t>
        </r>
        <r>
          <rPr>
            <sz val="9"/>
            <color indexed="81"/>
            <rFont val="Tahoma"/>
            <family val="2"/>
          </rPr>
          <t xml:space="preserve">
lower payroll and benefits
Sales leverage</t>
        </r>
      </text>
    </comment>
    <comment ref="CZ216" authorId="4">
      <text>
        <r>
          <rPr>
            <b/>
            <sz val="9"/>
            <color indexed="81"/>
            <rFont val="Tahoma"/>
            <family val="2"/>
          </rPr>
          <t>TT :</t>
        </r>
        <r>
          <rPr>
            <sz val="9"/>
            <color indexed="81"/>
            <rFont val="Tahoma"/>
            <family val="2"/>
          </rPr>
          <t xml:space="preserve">
2Q15: Flat YoY in 2H</t>
        </r>
      </text>
    </comment>
    <comment ref="DA216" authorId="4">
      <text>
        <r>
          <rPr>
            <b/>
            <sz val="9"/>
            <color indexed="81"/>
            <rFont val="Tahoma"/>
            <family val="2"/>
          </rPr>
          <t>TT :</t>
        </r>
        <r>
          <rPr>
            <sz val="9"/>
            <color indexed="81"/>
            <rFont val="Tahoma"/>
            <family val="2"/>
          </rPr>
          <t xml:space="preserve">
3Q15: -20 to -35 bps
01/16: -10 to -15 bps</t>
        </r>
      </text>
    </comment>
    <comment ref="CH229" authorId="0">
      <text>
        <r>
          <rPr>
            <sz val="9"/>
            <color indexed="81"/>
            <rFont val="Tahoma"/>
            <family val="2"/>
          </rPr>
          <t xml:space="preserve"> 
- Elimination of BBY Mobile profit-share based management fee
- Reduced advertising costs
- Lower volume related expenses (including compensation costs)</t>
        </r>
      </text>
    </comment>
    <comment ref="CI229" authorId="0">
      <text>
        <r>
          <rPr>
            <sz val="9"/>
            <color indexed="81"/>
            <rFont val="Tahoma"/>
            <family val="2"/>
          </rPr>
          <t xml:space="preserve"> 
- Benefits from actions to reduce costs through changes in corporate and field operating models
- Adjusting labor to match demand 
- Store closures
Cost reductions on track and total  SG&amp;A spend expected to be less than original plans
Negative $35M impact of no more BBY Profit Sharing agreement</t>
        </r>
      </text>
    </comment>
    <comment ref="CJ229" authorId="0">
      <text>
        <r>
          <rPr>
            <sz val="9"/>
            <color indexed="81"/>
            <rFont val="Tahoma"/>
            <family val="2"/>
          </rPr>
          <t xml:space="preserve"> 
Elimination of BBYM Profit Share agreement to International
</t>
        </r>
      </text>
    </comment>
    <comment ref="CK229" authorId="0">
      <text>
        <r>
          <rPr>
            <sz val="9"/>
            <color indexed="81"/>
            <rFont val="Tahoma"/>
            <family val="2"/>
          </rPr>
          <t xml:space="preserve"> 
- Investments in advertising and other direct selling costs to drive in-store and online revenue
- A reversal of incentive compensation expense that did not recur
- An increase in field incentive comp &amp; executive and retention costs
- YoY increase in legal reserves
</t>
        </r>
      </text>
    </comment>
    <comment ref="CP229" authorId="0">
      <text>
        <r>
          <rPr>
            <sz val="9"/>
            <color indexed="81"/>
            <rFont val="Tahoma"/>
            <family val="2"/>
          </rPr>
          <t xml:space="preserve"> 
2.2% decline ex-53rd week</t>
        </r>
      </text>
    </comment>
    <comment ref="CQ229" authorId="0">
      <text>
        <r>
          <rPr>
            <sz val="9"/>
            <color indexed="81"/>
            <rFont val="Tahoma"/>
            <family val="2"/>
          </rPr>
          <t xml:space="preserve"> 
- Renew Blue investments 
- Retail floor space optimization
- Replatforming of BBY.com</t>
        </r>
      </text>
    </comment>
    <comment ref="CR229" authorId="0">
      <text>
        <r>
          <rPr>
            <sz val="9"/>
            <color indexed="81"/>
            <rFont val="Tahoma"/>
            <family val="2"/>
          </rPr>
          <t xml:space="preserve"> 
- Renew Blue investments 
- Retail floor space optimization
- Replatforming of BBY.com</t>
        </r>
      </text>
    </comment>
    <comment ref="CS229" authorId="0">
      <text>
        <r>
          <rPr>
            <sz val="9"/>
            <color indexed="81"/>
            <rFont val="Tahoma"/>
            <family val="2"/>
          </rPr>
          <t xml:space="preserve"> 
- Renew Blue investments 
- Retail floor space optimization
- Replatforming of BBY.com</t>
        </r>
      </text>
    </comment>
    <comment ref="EP231" authorId="0">
      <text>
        <r>
          <rPr>
            <sz val="9"/>
            <color indexed="81"/>
            <rFont val="Tahoma"/>
            <family val="2"/>
          </rPr>
          <t xml:space="preserve">  Updated guidance to 3-4% excluding FX, or 1-2% ex higher incentive comps and 53rd week … lower spending based on lower discretionary and project spending as they manage an uncertain environment</t>
        </r>
      </text>
    </comment>
    <comment ref="ES239" authorId="0">
      <text>
        <r>
          <rPr>
            <sz val="9"/>
            <color indexed="81"/>
            <rFont val="Tahoma"/>
            <family val="2"/>
          </rPr>
          <t xml:space="preserve">  Guidance of -11% to -4%</t>
        </r>
      </text>
    </comment>
    <comment ref="A249" authorId="2">
      <text>
        <r>
          <rPr>
            <b/>
            <sz val="9"/>
            <color indexed="81"/>
            <rFont val="Tahoma"/>
            <family val="2"/>
          </rPr>
          <t>Ben Zerman:</t>
        </r>
        <r>
          <rPr>
            <sz val="9"/>
            <color indexed="81"/>
            <rFont val="Tahoma"/>
            <family val="2"/>
          </rPr>
          <t xml:space="preserve">
includes FTEs, PTEs and seasonal employees in the US, Canda, Mexico &amp; BBY's sourcing office in China</t>
        </r>
      </text>
    </comment>
  </commentList>
</comments>
</file>

<file path=xl/comments3.xml><?xml version="1.0" encoding="utf-8"?>
<comments xmlns="http://schemas.openxmlformats.org/spreadsheetml/2006/main">
  <authors>
    <author xml:space="preserve"> </author>
    <author>Ben Zerman</author>
    <author>Siber</author>
    <author xml:space="preserve">TT </author>
  </authors>
  <commentList>
    <comment ref="EM20" authorId="0">
      <text>
        <r>
          <rPr>
            <sz val="9"/>
            <color indexed="81"/>
            <rFont val="Tahoma"/>
            <family val="2"/>
          </rPr>
          <t xml:space="preserve">  5% of new stores are 20K</t>
        </r>
      </text>
    </comment>
    <comment ref="EM22" authorId="0">
      <text>
        <r>
          <rPr>
            <sz val="9"/>
            <color indexed="81"/>
            <rFont val="Tahoma"/>
            <family val="2"/>
          </rPr>
          <t xml:space="preserve">  75% of new stores are 30K</t>
        </r>
      </text>
    </comment>
    <comment ref="EM24" authorId="0">
      <text>
        <r>
          <rPr>
            <sz val="9"/>
            <color indexed="81"/>
            <rFont val="Tahoma"/>
            <family val="2"/>
          </rPr>
          <t xml:space="preserve"> 20% of new stores are 45K</t>
        </r>
      </text>
    </comment>
    <comment ref="ES24" authorId="0">
      <text>
        <r>
          <rPr>
            <sz val="9"/>
            <color indexed="81"/>
            <rFont val="Tahoma"/>
            <family val="2"/>
          </rPr>
          <t xml:space="preserve">  Expect to close 50 big-box stores</t>
        </r>
      </text>
    </comment>
    <comment ref="EM26" authorId="0">
      <text>
        <r>
          <rPr>
            <sz val="9"/>
            <color indexed="81"/>
            <rFont val="Tahoma"/>
            <family val="2"/>
          </rPr>
          <t xml:space="preserve">  85-100</t>
        </r>
      </text>
    </comment>
    <comment ref="EN26" authorId="0">
      <text>
        <r>
          <rPr>
            <sz val="9"/>
            <color indexed="81"/>
            <rFont val="Tahoma"/>
            <family val="2"/>
          </rPr>
          <t xml:space="preserve">  40</t>
        </r>
      </text>
    </comment>
    <comment ref="EU26" authorId="0">
      <text>
        <r>
          <rPr>
            <sz val="9"/>
            <color indexed="81"/>
            <rFont val="Tahoma"/>
            <family val="2"/>
          </rPr>
          <t xml:space="preserve">  Expect to close 5019 large format stores in 2013</t>
        </r>
      </text>
    </comment>
    <comment ref="EV26" authorId="0">
      <text>
        <r>
          <rPr>
            <sz val="9"/>
            <color indexed="81"/>
            <rFont val="Tahoma"/>
            <family val="2"/>
          </rPr>
          <t xml:space="preserve">  Expect to close 5019 large format stores in 2013</t>
        </r>
      </text>
    </comment>
    <comment ref="EM49" authorId="0">
      <text>
        <r>
          <rPr>
            <sz val="9"/>
            <color indexed="81"/>
            <rFont val="Tahoma"/>
            <family val="2"/>
          </rPr>
          <t xml:space="preserve">  85-100
</t>
        </r>
      </text>
    </comment>
    <comment ref="ES55" authorId="0">
      <text>
        <r>
          <rPr>
            <sz val="9"/>
            <color indexed="81"/>
            <rFont val="Tahoma"/>
            <family val="2"/>
          </rPr>
          <t xml:space="preserve">  Expect to open 100 BBYM stores</t>
        </r>
      </text>
    </comment>
    <comment ref="EU55" authorId="0">
      <text>
        <r>
          <rPr>
            <sz val="9"/>
            <color indexed="81"/>
            <rFont val="Tahoma"/>
            <family val="2"/>
          </rPr>
          <t xml:space="preserve">  12 new BBY Mobile stores</t>
        </r>
      </text>
    </comment>
    <comment ref="EV55" authorId="0">
      <text>
        <r>
          <rPr>
            <sz val="9"/>
            <color indexed="81"/>
            <rFont val="Tahoma"/>
            <family val="2"/>
          </rPr>
          <t xml:space="preserve">  12 new BBY Mobile stores</t>
        </r>
      </text>
    </comment>
    <comment ref="AQ62" authorId="0">
      <text>
        <r>
          <rPr>
            <sz val="9"/>
            <color indexed="81"/>
            <rFont val="Tahoma"/>
            <family val="2"/>
          </rPr>
          <t xml:space="preserve"> 
13,000 sqft store</t>
        </r>
      </text>
    </comment>
    <comment ref="EU63" authorId="0">
      <text>
        <r>
          <rPr>
            <sz val="9"/>
            <color indexed="81"/>
            <rFont val="Tahoma"/>
            <family val="2"/>
          </rPr>
          <t xml:space="preserve"> 
Plan to add 18-25 store within a stores</t>
        </r>
      </text>
    </comment>
    <comment ref="EV63" authorId="0">
      <text>
        <r>
          <rPr>
            <sz val="9"/>
            <color indexed="81"/>
            <rFont val="Tahoma"/>
            <family val="2"/>
          </rPr>
          <t xml:space="preserve"> 
Plan to add 18-25 store within a stores</t>
        </r>
      </text>
    </comment>
    <comment ref="AQ69" authorId="0">
      <text>
        <r>
          <rPr>
            <sz val="9"/>
            <color indexed="81"/>
            <rFont val="Tahoma"/>
            <family val="2"/>
          </rPr>
          <t xml:space="preserve"> 
13,000 sqft store</t>
        </r>
      </text>
    </comment>
    <comment ref="BO111" authorId="0">
      <text>
        <r>
          <rPr>
            <sz val="9"/>
            <color indexed="81"/>
            <rFont val="Tahoma"/>
            <family val="2"/>
          </rPr>
          <t xml:space="preserve"> 
a reduction in average ticket, partially offset by a slight increase in traffic.
The categories having the largest effect on comps decline were video gaming, digital cameras, DVDs and CDs.  Partially offset by comps gains in notebook computers, mobile phones and flat-panel TVs.</t>
        </r>
      </text>
    </comment>
    <comment ref="BX111" authorId="0">
      <text>
        <r>
          <rPr>
            <sz val="9"/>
            <color indexed="81"/>
            <rFont val="Tahoma"/>
            <family val="2"/>
          </rPr>
          <t xml:space="preserve"> 
Includes 7% Black Friday comps and 20% online comps
Store traffic growing for 1st time since F3Q10</t>
        </r>
      </text>
    </comment>
    <comment ref="CI111" authorId="0">
      <text>
        <r>
          <rPr>
            <sz val="9"/>
            <color indexed="81"/>
            <rFont val="Tahoma"/>
            <family val="2"/>
          </rPr>
          <t xml:space="preserve"> 
- Stronger growth in mobile
- Smaller declines in notebooks and gaming
*Includes online revenue growth of 14%</t>
        </r>
      </text>
    </comment>
    <comment ref="CJ111" authorId="0">
      <text>
        <r>
          <rPr>
            <sz val="9"/>
            <color indexed="81"/>
            <rFont val="Tahoma"/>
            <family val="2"/>
          </rPr>
          <t xml:space="preserve"> 
- Gaming
- Digital Imaging
- TVs
- Notebooks
*Includes online revenue growth of 10%</t>
        </r>
      </text>
    </comment>
    <comment ref="CK111" authorId="0">
      <text>
        <r>
          <rPr>
            <sz val="9"/>
            <color indexed="81"/>
            <rFont val="Tahoma"/>
            <family val="2"/>
          </rPr>
          <t xml:space="preserve"> 
1) 11% growth in e-commerce
2) 35bp due to calendar shift from Super Bowl
3) Traffic generating marketing</t>
        </r>
      </text>
    </comment>
    <comment ref="CP111" authorId="0">
      <text>
        <r>
          <rPr>
            <sz val="9"/>
            <color indexed="81"/>
            <rFont val="Tahoma"/>
            <family val="2"/>
          </rPr>
          <t xml:space="preserve"> 
(+) Mobile &amp; Appliances
(-) Home Theater and Gaming</t>
        </r>
      </text>
    </comment>
    <comment ref="CQ111" authorId="0">
      <text>
        <r>
          <rPr>
            <sz val="9"/>
            <color indexed="81"/>
            <rFont val="Tahoma"/>
            <family val="2"/>
          </rPr>
          <t xml:space="preserve">  Comped flat for first time in 3 years; Driven by trade-up to bigger TV screen sizes and easier comps</t>
        </r>
      </text>
    </comment>
    <comment ref="CX111" authorId="0">
      <text>
        <r>
          <rPr>
            <sz val="9"/>
            <color indexed="81"/>
            <rFont val="Tahoma"/>
            <family val="2"/>
          </rPr>
          <t xml:space="preserve">  flat to negative LSD</t>
        </r>
      </text>
    </comment>
    <comment ref="CY111" authorId="0">
      <text>
        <r>
          <rPr>
            <b/>
            <sz val="9"/>
            <color indexed="81"/>
            <rFont val="Tahoma"/>
            <family val="2"/>
          </rPr>
          <t>+3.8%</t>
        </r>
        <r>
          <rPr>
            <sz val="9"/>
            <color indexed="81"/>
            <rFont val="Tahoma"/>
            <family val="2"/>
          </rPr>
          <t xml:space="preserve"> incl 110bp benefit from installment billing
</t>
        </r>
        <r>
          <rPr>
            <b/>
            <sz val="9"/>
            <color indexed="81"/>
            <rFont val="Tahoma"/>
            <family val="2"/>
          </rPr>
          <t>+2.7%</t>
        </r>
        <r>
          <rPr>
            <sz val="9"/>
            <color indexed="81"/>
            <rFont val="Tahoma"/>
            <family val="2"/>
          </rPr>
          <t xml:space="preserve"> excl 110bp benefit from  installment billing
4Q14: flat to negative LSD
1Q15: flat to + LSD</t>
        </r>
      </text>
    </comment>
    <comment ref="CZ111" authorId="1">
      <text>
        <r>
          <rPr>
            <b/>
            <sz val="9"/>
            <color indexed="81"/>
            <rFont val="Tahoma"/>
            <family val="2"/>
          </rPr>
          <t>Ben Zerman:</t>
        </r>
        <r>
          <rPr>
            <sz val="9"/>
            <color indexed="81"/>
            <rFont val="Tahoma"/>
            <family val="2"/>
          </rPr>
          <t xml:space="preserve">
2Q15: comp guidance not given
But expect flat to LSD rev growth</t>
        </r>
      </text>
    </comment>
    <comment ref="DA111" authorId="1">
      <text>
        <r>
          <rPr>
            <b/>
            <sz val="9"/>
            <color indexed="81"/>
            <rFont val="Tahoma"/>
            <family val="2"/>
          </rPr>
          <t>Ben Zerman:</t>
        </r>
        <r>
          <rPr>
            <sz val="9"/>
            <color indexed="81"/>
            <rFont val="Tahoma"/>
            <family val="2"/>
          </rPr>
          <t xml:space="preserve">
3Q15: comp guidance not given 
But expect near flat revs assuming:
1) -4% decline in NPD cats
2) -40 bp sales headwind from Super Bowl timing (falls in Q1'16 this yr)</t>
        </r>
      </text>
    </comment>
    <comment ref="DB111" authorId="2">
      <text>
        <r>
          <rPr>
            <b/>
            <sz val="9"/>
            <color indexed="81"/>
            <rFont val="Tahoma"/>
            <family val="2"/>
          </rPr>
          <t>Siber:</t>
        </r>
        <r>
          <rPr>
            <sz val="9"/>
            <color indexed="81"/>
            <rFont val="Tahoma"/>
            <family val="2"/>
          </rPr>
          <t xml:space="preserve">
4Q15: -1% to -2%</t>
        </r>
      </text>
    </comment>
    <comment ref="DC111" authorId="1">
      <text>
        <r>
          <rPr>
            <b/>
            <sz val="9"/>
            <color indexed="81"/>
            <rFont val="Tahoma"/>
            <family val="2"/>
          </rPr>
          <t>Ben Zerman:</t>
        </r>
        <r>
          <rPr>
            <sz val="9"/>
            <color indexed="81"/>
            <rFont val="Tahoma"/>
            <family val="2"/>
          </rPr>
          <t xml:space="preserve">
1Q16: flat</t>
        </r>
      </text>
    </comment>
    <comment ref="DD111" authorId="1">
      <text>
        <r>
          <rPr>
            <b/>
            <sz val="9"/>
            <color indexed="81"/>
            <rFont val="Tahoma"/>
            <family val="2"/>
          </rPr>
          <t>Ben Zerman:</t>
        </r>
        <r>
          <rPr>
            <sz val="9"/>
            <color indexed="81"/>
            <rFont val="Tahoma"/>
            <family val="2"/>
          </rPr>
          <t xml:space="preserve">
2Q16: approx 1%</t>
        </r>
      </text>
    </comment>
    <comment ref="CP120" authorId="0">
      <text>
        <r>
          <rPr>
            <sz val="9"/>
            <color indexed="81"/>
            <rFont val="Tahoma"/>
            <family val="2"/>
          </rPr>
          <t xml:space="preserve"> 
49 large format stores closed YoY</t>
        </r>
      </text>
    </comment>
    <comment ref="CH122" authorId="0">
      <text>
        <r>
          <rPr>
            <sz val="9"/>
            <color indexed="81"/>
            <rFont val="Tahoma"/>
            <family val="2"/>
          </rPr>
          <t xml:space="preserve"> 
Includes $655 from 53rd week (disclosed in 10-Q as 7.8% of revenue growth)</t>
        </r>
      </text>
    </comment>
    <comment ref="DF128" authorId="1">
      <text>
        <r>
          <rPr>
            <b/>
            <sz val="9"/>
            <color indexed="81"/>
            <rFont val="Tahoma"/>
            <family val="2"/>
          </rPr>
          <t>Ben Zerman:</t>
        </r>
        <r>
          <rPr>
            <sz val="9"/>
            <color indexed="81"/>
            <rFont val="Tahoma"/>
            <family val="2"/>
          </rPr>
          <t xml:space="preserve">
reached $1 bn for the 1st time in a non-holiday qtr</t>
        </r>
      </text>
    </comment>
    <comment ref="CX129" authorId="0">
      <text>
        <r>
          <rPr>
            <sz val="9"/>
            <color indexed="81"/>
            <rFont val="Tahoma"/>
            <family val="2"/>
          </rPr>
          <t xml:space="preserve">  Mid-single digit</t>
        </r>
      </text>
    </comment>
    <comment ref="DI129" authorId="2">
      <text>
        <r>
          <rPr>
            <b/>
            <sz val="9"/>
            <color indexed="81"/>
            <rFont val="Tahoma"/>
            <family val="2"/>
          </rPr>
          <t>Siber:</t>
        </r>
        <r>
          <rPr>
            <sz val="9"/>
            <color indexed="81"/>
            <rFont val="Tahoma"/>
            <family val="2"/>
          </rPr>
          <t xml:space="preserve">
Higher conversion
Higher AOV</t>
        </r>
      </text>
    </comment>
    <comment ref="DE140" authorId="1">
      <text>
        <r>
          <rPr>
            <b/>
            <sz val="9"/>
            <color indexed="81"/>
            <rFont val="Tahoma"/>
            <family val="2"/>
          </rPr>
          <t>Ben Zerman:</t>
        </r>
        <r>
          <rPr>
            <sz val="9"/>
            <color indexed="81"/>
            <rFont val="Tahoma"/>
            <family val="2"/>
          </rPr>
          <t xml:space="preserve">
3Q16: 
1) -1% to +1%
2) +0.5% to +2.5% ex $200M neg impact from Samsung product recalls (-150 bps)
-0.9% actual comp includes:
1) $200M Samsung recalls
2) $100-$200M inventory / product constraints (240-320 bps headwind)</t>
        </r>
      </text>
    </comment>
    <comment ref="DF140" authorId="1">
      <text>
        <r>
          <rPr>
            <b/>
            <sz val="9"/>
            <color indexed="81"/>
            <rFont val="Tahoma"/>
            <family val="2"/>
          </rPr>
          <t>Ben Zerman:</t>
        </r>
        <r>
          <rPr>
            <sz val="9"/>
            <color indexed="81"/>
            <rFont val="Tahoma"/>
            <family val="2"/>
          </rPr>
          <t xml:space="preserve">
4Q16: -2.5% to -1.5%</t>
        </r>
      </text>
    </comment>
    <comment ref="DG140" authorId="1">
      <text>
        <r>
          <rPr>
            <b/>
            <sz val="9"/>
            <color indexed="81"/>
            <rFont val="Tahoma"/>
            <family val="2"/>
          </rPr>
          <t>Ben Zerman:</t>
        </r>
        <r>
          <rPr>
            <sz val="9"/>
            <color indexed="81"/>
            <rFont val="Tahoma"/>
            <family val="2"/>
          </rPr>
          <t xml:space="preserve">
1Q17: +1.5-2.5%</t>
        </r>
      </text>
    </comment>
    <comment ref="DH140" authorId="2">
      <text>
        <r>
          <rPr>
            <b/>
            <sz val="9"/>
            <color indexed="81"/>
            <rFont val="Tahoma"/>
            <family val="2"/>
          </rPr>
          <t>Siber:</t>
        </r>
        <r>
          <rPr>
            <sz val="9"/>
            <color indexed="81"/>
            <rFont val="Tahoma"/>
            <family val="2"/>
          </rPr>
          <t xml:space="preserve">
 2Q17: 4.5-5.5%</t>
        </r>
      </text>
    </comment>
    <comment ref="DI140" authorId="2">
      <text>
        <r>
          <rPr>
            <b/>
            <sz val="9"/>
            <color indexed="81"/>
            <rFont val="Tahoma"/>
            <family val="2"/>
          </rPr>
          <t>Siber:</t>
        </r>
        <r>
          <rPr>
            <sz val="9"/>
            <color indexed="81"/>
            <rFont val="Tahoma"/>
            <family val="2"/>
          </rPr>
          <t xml:space="preserve">
3Q17: 1-3%</t>
        </r>
      </text>
    </comment>
    <comment ref="DJ140" authorId="2">
      <text>
        <r>
          <rPr>
            <b/>
            <sz val="9"/>
            <color indexed="81"/>
            <rFont val="Tahoma"/>
            <family val="2"/>
          </rPr>
          <t>Siber:</t>
        </r>
        <r>
          <rPr>
            <sz val="9"/>
            <color indexed="81"/>
            <rFont val="Tahoma"/>
            <family val="2"/>
          </rPr>
          <t xml:space="preserve">
4Q17: 1.5-2.5%</t>
        </r>
      </text>
    </comment>
    <comment ref="EZ140" authorId="2">
      <text>
        <r>
          <rPr>
            <b/>
            <sz val="9"/>
            <color indexed="81"/>
            <rFont val="Tahoma"/>
            <family val="2"/>
          </rPr>
          <t>Siber:</t>
        </r>
        <r>
          <rPr>
            <sz val="9"/>
            <color indexed="81"/>
            <rFont val="Tahoma"/>
            <family val="2"/>
          </rPr>
          <t xml:space="preserve">
4Q17: flat to +2%</t>
        </r>
      </text>
    </comment>
    <comment ref="CZ148" authorId="3">
      <text>
        <r>
          <rPr>
            <b/>
            <sz val="9"/>
            <color indexed="81"/>
            <rFont val="Tahoma"/>
            <family val="2"/>
          </rPr>
          <t>TT :</t>
        </r>
        <r>
          <rPr>
            <sz val="9"/>
            <color indexed="81"/>
            <rFont val="Tahoma"/>
            <family val="2"/>
          </rPr>
          <t xml:space="preserve">
2Q15: Flat to LSD for 2H</t>
        </r>
      </text>
    </comment>
    <comment ref="DA148" authorId="3">
      <text>
        <r>
          <rPr>
            <b/>
            <sz val="9"/>
            <color indexed="81"/>
            <rFont val="Tahoma"/>
            <family val="2"/>
          </rPr>
          <t>TT :</t>
        </r>
        <r>
          <rPr>
            <sz val="9"/>
            <color indexed="81"/>
            <rFont val="Tahoma"/>
            <family val="2"/>
          </rPr>
          <t xml:space="preserve">
2Q15: Flat to LSD for 2H
SG: near flat for Q4
01/16: -1.5%</t>
        </r>
      </text>
    </comment>
    <comment ref="DB148" authorId="2">
      <text>
        <r>
          <rPr>
            <b/>
            <sz val="9"/>
            <color indexed="81"/>
            <rFont val="Tahoma"/>
            <family val="2"/>
          </rPr>
          <t>Siber:</t>
        </r>
        <r>
          <rPr>
            <sz val="9"/>
            <color indexed="81"/>
            <rFont val="Tahoma"/>
            <family val="2"/>
          </rPr>
          <t xml:space="preserve">
4Q15: Down</t>
        </r>
      </text>
    </comment>
    <comment ref="DC148" authorId="2">
      <text>
        <r>
          <rPr>
            <b/>
            <sz val="9"/>
            <color indexed="81"/>
            <rFont val="Tahoma"/>
            <family val="2"/>
          </rPr>
          <t>Siber:</t>
        </r>
        <r>
          <rPr>
            <sz val="9"/>
            <color indexed="81"/>
            <rFont val="Tahoma"/>
            <family val="2"/>
          </rPr>
          <t xml:space="preserve">
4Q15: Down
1Q16: reiterate</t>
        </r>
      </text>
    </comment>
    <comment ref="DD148" authorId="2">
      <text>
        <r>
          <rPr>
            <b/>
            <sz val="9"/>
            <color indexed="81"/>
            <rFont val="Tahoma"/>
            <family val="2"/>
          </rPr>
          <t>Siber:</t>
        </r>
        <r>
          <rPr>
            <sz val="9"/>
            <color indexed="81"/>
            <rFont val="Tahoma"/>
            <family val="2"/>
          </rPr>
          <t xml:space="preserve">
4Q15: Up</t>
        </r>
      </text>
    </comment>
    <comment ref="EX148" authorId="2">
      <text>
        <r>
          <rPr>
            <b/>
            <sz val="9"/>
            <color indexed="81"/>
            <rFont val="Tahoma"/>
            <family val="2"/>
          </rPr>
          <t>Siber:</t>
        </r>
        <r>
          <rPr>
            <sz val="9"/>
            <color indexed="81"/>
            <rFont val="Tahoma"/>
            <family val="2"/>
          </rPr>
          <t xml:space="preserve">
4Q15: Flat
1Q16: </t>
        </r>
      </text>
    </comment>
    <comment ref="ES168" authorId="0">
      <text>
        <r>
          <rPr>
            <sz val="9"/>
            <color indexed="81"/>
            <rFont val="Tahoma"/>
            <family val="2"/>
          </rPr>
          <t xml:space="preserve">  Guidance of services up 10%</t>
        </r>
      </text>
    </comment>
    <comment ref="ET168" authorId="0">
      <text>
        <r>
          <rPr>
            <sz val="9"/>
            <color indexed="81"/>
            <rFont val="Tahoma"/>
            <family val="2"/>
          </rPr>
          <t xml:space="preserve">  Guidance of services up 10%</t>
        </r>
      </text>
    </comment>
    <comment ref="ES181" authorId="0">
      <text>
        <r>
          <rPr>
            <sz val="9"/>
            <color indexed="81"/>
            <rFont val="Tahoma"/>
            <family val="2"/>
          </rPr>
          <t xml:space="preserve"> 
All annuals given in supplement</t>
        </r>
      </text>
    </comment>
    <comment ref="A190" authorId="0">
      <text>
        <r>
          <rPr>
            <sz val="9"/>
            <color indexed="81"/>
            <rFont val="Tahoma"/>
            <family val="2"/>
          </rPr>
          <t xml:space="preserve"> 
Includes TV's, GPS, cameras, Accessories, e-Readers, DVD and Blue Ray Players, MP3 players, musical instruments, home theater audio and car stereo/Sirius
Also includes Tablets less than 7inches, which is 17% of tablet market</t>
        </r>
      </text>
    </comment>
    <comment ref="BL190" authorId="0">
      <text>
        <r>
          <rPr>
            <sz val="9"/>
            <color indexed="81"/>
            <rFont val="Tahoma"/>
            <family val="2"/>
          </rPr>
          <t xml:space="preserve"> 
decline was driven primarily by decreases in digital cameras, projection and tube televisions and MP3 players</t>
        </r>
      </text>
    </comment>
    <comment ref="BX190" authorId="0">
      <text>
        <r>
          <rPr>
            <sz val="9"/>
            <color indexed="81"/>
            <rFont val="Tahoma"/>
            <family val="2"/>
          </rPr>
          <t xml:space="preserve">  down low MSD vs. double digits in previous quarters</t>
        </r>
      </text>
    </comment>
    <comment ref="CG190" authorId="0">
      <text>
        <r>
          <rPr>
            <sz val="9"/>
            <color indexed="81"/>
            <rFont val="Tahoma"/>
            <family val="2"/>
          </rPr>
          <t xml:space="preserve"> 
eReaders up low triple digits
Digital images and TV's down</t>
        </r>
      </text>
    </comment>
    <comment ref="CH190" authorId="0">
      <text>
        <r>
          <rPr>
            <sz val="9"/>
            <color indexed="81"/>
            <rFont val="Tahoma"/>
            <family val="2"/>
          </rPr>
          <t xml:space="preserve"> 
- Strong sales in eReaders</t>
        </r>
      </text>
    </comment>
    <comment ref="CL190" authorId="0">
      <text>
        <r>
          <rPr>
            <sz val="9"/>
            <color indexed="81"/>
            <rFont val="Tahoma"/>
            <family val="2"/>
          </rPr>
          <t xml:space="preserve"> 
- Strong sales in eReaders</t>
        </r>
      </text>
    </comment>
    <comment ref="DF190" authorId="1">
      <text>
        <r>
          <rPr>
            <b/>
            <sz val="9"/>
            <color indexed="81"/>
            <rFont val="Tahoma"/>
            <family val="2"/>
          </rPr>
          <t>Ben Zerman:</t>
        </r>
        <r>
          <rPr>
            <sz val="9"/>
            <color indexed="81"/>
            <rFont val="Tahoma"/>
            <family val="2"/>
          </rPr>
          <t xml:space="preserve">
Connected Home strong
Tablets weak</t>
        </r>
      </text>
    </comment>
    <comment ref="A195" authorId="0">
      <text>
        <r>
          <rPr>
            <sz val="9"/>
            <color indexed="81"/>
            <rFont val="Tahoma"/>
            <family val="2"/>
          </rPr>
          <t xml:space="preserve"> 
Includes notebook computers, desktop computers, tablets, monitors, mobile phones etc</t>
        </r>
      </text>
    </comment>
    <comment ref="BL195" authorId="0">
      <text>
        <r>
          <rPr>
            <sz val="9"/>
            <color indexed="81"/>
            <rFont val="Tahoma"/>
            <family val="2"/>
          </rPr>
          <t xml:space="preserve"> 
driven primarily by continued gains in notebook computers and mobile phones, the latter due to the roll-out of Best Buy Mobile store-within-a-store locations</t>
        </r>
      </text>
    </comment>
    <comment ref="BX195" authorId="0">
      <text>
        <r>
          <rPr>
            <sz val="9"/>
            <color indexed="81"/>
            <rFont val="Tahoma"/>
            <family val="2"/>
          </rPr>
          <t xml:space="preserve">   MSD declines, better than previous quarters</t>
        </r>
      </text>
    </comment>
    <comment ref="BY195" authorId="0">
      <text>
        <r>
          <rPr>
            <sz val="9"/>
            <color indexed="81"/>
            <rFont val="Tahoma"/>
            <family val="2"/>
          </rPr>
          <t xml:space="preserve"> 
Mobile phones comp of 20%. Tablets and eReaders (included in CE) low triple digits</t>
        </r>
      </text>
    </comment>
    <comment ref="CG195" authorId="0">
      <text>
        <r>
          <rPr>
            <sz val="9"/>
            <color indexed="81"/>
            <rFont val="Tahoma"/>
            <family val="2"/>
          </rPr>
          <t xml:space="preserve"> 
Tablets up low triple digits
Mobile phones up 20%</t>
        </r>
      </text>
    </comment>
    <comment ref="CH195" authorId="0">
      <text>
        <r>
          <rPr>
            <sz val="9"/>
            <color indexed="81"/>
            <rFont val="Tahoma"/>
            <family val="2"/>
          </rPr>
          <t xml:space="preserve">  Notebook computers declines</t>
        </r>
      </text>
    </comment>
    <comment ref="CI195" authorId="0">
      <text>
        <r>
          <rPr>
            <sz val="9"/>
            <color indexed="81"/>
            <rFont val="Tahoma"/>
            <family val="2"/>
          </rPr>
          <t xml:space="preserve">  Notebook computers declines</t>
        </r>
      </text>
    </comment>
    <comment ref="CL195" authorId="0">
      <text>
        <r>
          <rPr>
            <sz val="9"/>
            <color indexed="81"/>
            <rFont val="Tahoma"/>
            <family val="2"/>
          </rPr>
          <t xml:space="preserve">  Notebook computers declines</t>
        </r>
      </text>
    </comment>
    <comment ref="CM195" authorId="0">
      <text>
        <r>
          <rPr>
            <sz val="9"/>
            <color indexed="81"/>
            <rFont val="Tahoma"/>
            <family val="2"/>
          </rPr>
          <t xml:space="preserve">  Notebook computers declines</t>
        </r>
      </text>
    </comment>
    <comment ref="DF195" authorId="1">
      <text>
        <r>
          <rPr>
            <b/>
            <sz val="9"/>
            <color indexed="81"/>
            <rFont val="Tahoma"/>
            <family val="2"/>
          </rPr>
          <t>Ben Zerman:</t>
        </r>
        <r>
          <rPr>
            <sz val="9"/>
            <color indexed="81"/>
            <rFont val="Tahoma"/>
            <family val="2"/>
          </rPr>
          <t xml:space="preserve">
Computing strong
Mobile down as Samsung Galaxy launched in late April (later than prior yr), but saw highest ever pre-orders for an Android phones
Mobile still better than expected as new carriers launched new unltd data plans</t>
        </r>
      </text>
    </comment>
    <comment ref="A200" authorId="0">
      <text>
        <r>
          <rPr>
            <sz val="9"/>
            <color indexed="81"/>
            <rFont val="Tahoma"/>
            <family val="2"/>
          </rPr>
          <t xml:space="preserve"> 
Includes video gaming hardware and software</t>
        </r>
      </text>
    </comment>
    <comment ref="BL200" authorId="0">
      <text>
        <r>
          <rPr>
            <sz val="9"/>
            <color indexed="81"/>
            <rFont val="Tahoma"/>
            <family val="2"/>
          </rPr>
          <t xml:space="preserve"> 
driven primarily by declines in the sales of DVDs and CDs as well as video gaming</t>
        </r>
      </text>
    </comment>
    <comment ref="CH200" authorId="0">
      <text>
        <r>
          <rPr>
            <sz val="9"/>
            <color indexed="81"/>
            <rFont val="Tahoma"/>
            <family val="2"/>
          </rPr>
          <t xml:space="preserve"> 
- Majority of decline due to weakness in gaming, due to soft releases and aging hardware platforms
- Also declines in music/movies</t>
        </r>
      </text>
    </comment>
    <comment ref="CL200" authorId="0">
      <text>
        <r>
          <rPr>
            <sz val="9"/>
            <color indexed="81"/>
            <rFont val="Tahoma"/>
            <family val="2"/>
          </rPr>
          <t xml:space="preserve"> 
- Majority of decline due to weakness in gaming, due to soft releases and aging hardware platforms
- Also declines in music/movies</t>
        </r>
      </text>
    </comment>
    <comment ref="CQ200" authorId="0">
      <text>
        <r>
          <rPr>
            <sz val="9"/>
            <color indexed="81"/>
            <rFont val="Tahoma"/>
            <family val="2"/>
          </rPr>
          <t xml:space="preserve"> 
Gaming down 40%; has been a 1-2pt negative on comp over last 2 years</t>
        </r>
      </text>
    </comment>
    <comment ref="DF200" authorId="1">
      <text>
        <r>
          <rPr>
            <b/>
            <sz val="9"/>
            <color indexed="81"/>
            <rFont val="Tahoma"/>
            <family val="2"/>
          </rPr>
          <t>Ben Zerman:</t>
        </r>
        <r>
          <rPr>
            <sz val="9"/>
            <color indexed="81"/>
            <rFont val="Tahoma"/>
            <family val="2"/>
          </rPr>
          <t xml:space="preserve">
Nintendo switch
Better product allocations</t>
        </r>
      </text>
    </comment>
    <comment ref="BL205" authorId="0">
      <text>
        <r>
          <rPr>
            <sz val="9"/>
            <color indexed="81"/>
            <rFont val="Tahoma"/>
            <family val="2"/>
          </rPr>
          <t xml:space="preserve"> 
decrease in the sales of major appliances, reflecting a continued industry-wide decline</t>
        </r>
      </text>
    </comment>
    <comment ref="CH205" authorId="0">
      <text>
        <r>
          <rPr>
            <sz val="9"/>
            <color indexed="81"/>
            <rFont val="Tahoma"/>
            <family val="2"/>
          </rPr>
          <t xml:space="preserve"> 
- Effective promotional activity
- Operational improvements with Pac Sales SWAS concepts</t>
        </r>
      </text>
    </comment>
    <comment ref="CL205" authorId="0">
      <text>
        <r>
          <rPr>
            <sz val="9"/>
            <color indexed="81"/>
            <rFont val="Tahoma"/>
            <family val="2"/>
          </rPr>
          <t xml:space="preserve"> 
- Effective promotional activity
- Operational improvements with Pac Sales SWAS concepts</t>
        </r>
      </text>
    </comment>
    <comment ref="BL210" authorId="0">
      <text>
        <r>
          <rPr>
            <sz val="9"/>
            <color indexed="81"/>
            <rFont val="Tahoma"/>
            <family val="2"/>
          </rPr>
          <t xml:space="preserve"> 
primarily to increased repair and warranty revenue</t>
        </r>
      </text>
    </comment>
    <comment ref="CH210" authorId="0">
      <text>
        <r>
          <rPr>
            <sz val="9"/>
            <color indexed="81"/>
            <rFont val="Tahoma"/>
            <family val="2"/>
          </rPr>
          <t xml:space="preserve"> 
- Decrease in computer service revenue as a result in shift from 1 time repair services to ongoing technical support contracts
- Partially offset by increase in warranties on mobile phones</t>
        </r>
      </text>
    </comment>
    <comment ref="CJ210" authorId="0">
      <text>
        <r>
          <rPr>
            <sz val="9"/>
            <color indexed="81"/>
            <rFont val="Tahoma"/>
            <family val="2"/>
          </rPr>
          <t xml:space="preserve"> 
1) Higher small-size TV's
2) Lower computing units</t>
        </r>
      </text>
    </comment>
    <comment ref="CL210" authorId="0">
      <text>
        <r>
          <rPr>
            <sz val="9"/>
            <color indexed="81"/>
            <rFont val="Tahoma"/>
            <family val="2"/>
          </rPr>
          <t xml:space="preserve"> 
- Decrease in computer service revenue as a result in shift from 1 time repair services to ongoing technical support contracts
- Partially offset by increase in warranties on mobile phones</t>
        </r>
      </text>
    </comment>
    <comment ref="CN210" authorId="0">
      <text>
        <r>
          <rPr>
            <sz val="9"/>
            <color indexed="81"/>
            <rFont val="Tahoma"/>
            <family val="2"/>
          </rPr>
          <t xml:space="preserve"> 
1) Higher small-size TV's
2) Lower computing units</t>
        </r>
      </text>
    </comment>
    <comment ref="CS210" authorId="0">
      <text>
        <r>
          <rPr>
            <sz val="9"/>
            <color indexed="81"/>
            <rFont val="Tahoma"/>
            <family val="2"/>
          </rPr>
          <t xml:space="preserve"> 
reflects profit sharing based on lt perf of service plans. It did not recur in 2014. adjusted comps (2.6)% </t>
        </r>
      </text>
    </comment>
    <comment ref="DF210" authorId="1">
      <text>
        <r>
          <rPr>
            <b/>
            <sz val="9"/>
            <color indexed="81"/>
            <rFont val="Tahoma"/>
            <family val="2"/>
          </rPr>
          <t>Ben Zerman:</t>
        </r>
        <r>
          <rPr>
            <sz val="9"/>
            <color indexed="81"/>
            <rFont val="Tahoma"/>
            <family val="2"/>
          </rPr>
          <t xml:space="preserve">
higher warranty sales (have now lapped services plan pricing investments)
rolling out in-home advisor program nationwide later this year</t>
        </r>
      </text>
    </comment>
    <comment ref="CP227" authorId="1">
      <text>
        <r>
          <rPr>
            <b/>
            <sz val="9"/>
            <color indexed="81"/>
            <rFont val="Tahoma"/>
            <family val="2"/>
          </rPr>
          <t>Ben Zerman:</t>
        </r>
        <r>
          <rPr>
            <sz val="9"/>
            <color indexed="81"/>
            <rFont val="Tahoma"/>
            <family val="2"/>
          </rPr>
          <t xml:space="preserve">
strong growth</t>
        </r>
      </text>
    </comment>
    <comment ref="CQ227" authorId="1">
      <text>
        <r>
          <rPr>
            <b/>
            <sz val="9"/>
            <color indexed="81"/>
            <rFont val="Tahoma"/>
            <family val="2"/>
          </rPr>
          <t>Ben Zerman:</t>
        </r>
        <r>
          <rPr>
            <sz val="9"/>
            <color indexed="81"/>
            <rFont val="Tahoma"/>
            <family val="2"/>
          </rPr>
          <t xml:space="preserve">
strong growth</t>
        </r>
      </text>
    </comment>
    <comment ref="DE227" authorId="1">
      <text>
        <r>
          <rPr>
            <b/>
            <sz val="9"/>
            <color indexed="81"/>
            <rFont val="Tahoma"/>
            <family val="2"/>
          </rPr>
          <t>Ben Zerman:</t>
        </r>
        <r>
          <rPr>
            <sz val="9"/>
            <color indexed="81"/>
            <rFont val="Tahoma"/>
            <family val="2"/>
          </rPr>
          <t xml:space="preserve">
also digital imaging was a positive</t>
        </r>
      </text>
    </comment>
    <comment ref="CP228" authorId="1">
      <text>
        <r>
          <rPr>
            <b/>
            <sz val="9"/>
            <color indexed="81"/>
            <rFont val="Tahoma"/>
            <family val="2"/>
          </rPr>
          <t>Ben Zerman:</t>
        </r>
        <r>
          <rPr>
            <sz val="9"/>
            <color indexed="81"/>
            <rFont val="Tahoma"/>
            <family val="2"/>
          </rPr>
          <t xml:space="preserve">
strong growth</t>
        </r>
      </text>
    </comment>
    <comment ref="CQ228" authorId="1">
      <text>
        <r>
          <rPr>
            <b/>
            <sz val="9"/>
            <color indexed="81"/>
            <rFont val="Tahoma"/>
            <family val="2"/>
          </rPr>
          <t>Ben Zerman:</t>
        </r>
        <r>
          <rPr>
            <sz val="9"/>
            <color indexed="81"/>
            <rFont val="Tahoma"/>
            <family val="2"/>
          </rPr>
          <t xml:space="preserve">
strong growth</t>
        </r>
      </text>
    </comment>
    <comment ref="CW228" authorId="1">
      <text>
        <r>
          <rPr>
            <b/>
            <sz val="9"/>
            <color indexed="81"/>
            <rFont val="Tahoma"/>
            <family val="2"/>
          </rPr>
          <t>Ben Zerman:</t>
        </r>
        <r>
          <rPr>
            <sz val="9"/>
            <color indexed="81"/>
            <rFont val="Tahoma"/>
            <family val="2"/>
          </rPr>
          <t xml:space="preserve">
ex impact of installment billing
growth driven by higher ASPs YoY</t>
        </r>
      </text>
    </comment>
    <comment ref="CX228" authorId="1">
      <text>
        <r>
          <rPr>
            <b/>
            <sz val="9"/>
            <color indexed="81"/>
            <rFont val="Tahoma"/>
            <family val="2"/>
          </rPr>
          <t>Ben Zerman:</t>
        </r>
        <r>
          <rPr>
            <sz val="9"/>
            <color indexed="81"/>
            <rFont val="Tahoma"/>
            <family val="2"/>
          </rPr>
          <t xml:space="preserve">
ex impact of installment billing
growth driven by higher ASPs YoY</t>
        </r>
      </text>
    </comment>
    <comment ref="CY229" authorId="1">
      <text>
        <r>
          <rPr>
            <b/>
            <sz val="9"/>
            <color indexed="81"/>
            <rFont val="Tahoma"/>
            <family val="2"/>
          </rPr>
          <t>Ben Zerman:</t>
        </r>
        <r>
          <rPr>
            <sz val="9"/>
            <color indexed="81"/>
            <rFont val="Tahoma"/>
            <family val="2"/>
          </rPr>
          <t xml:space="preserve">
ex impact of installment billing
growth driven by higher ASPs YoY</t>
        </r>
      </text>
    </comment>
    <comment ref="DF229" authorId="1">
      <text>
        <r>
          <rPr>
            <b/>
            <sz val="9"/>
            <color indexed="81"/>
            <rFont val="Tahoma"/>
            <family val="2"/>
          </rPr>
          <t>Ben Zerman:</t>
        </r>
        <r>
          <rPr>
            <sz val="9"/>
            <color indexed="81"/>
            <rFont val="Tahoma"/>
            <family val="2"/>
          </rPr>
          <t xml:space="preserve">
Nintendo Switch</t>
        </r>
      </text>
    </comment>
    <comment ref="DE230" authorId="1">
      <text>
        <r>
          <rPr>
            <b/>
            <sz val="9"/>
            <color indexed="81"/>
            <rFont val="Tahoma"/>
            <family val="2"/>
          </rPr>
          <t>Ben Zerman:</t>
        </r>
        <r>
          <rPr>
            <sz val="9"/>
            <color indexed="81"/>
            <rFont val="Tahoma"/>
            <family val="2"/>
          </rPr>
          <t xml:space="preserve">
relatively similar trends between Q3 and Q4</t>
        </r>
      </text>
    </comment>
    <comment ref="CW233" authorId="1">
      <text>
        <r>
          <rPr>
            <b/>
            <sz val="9"/>
            <color indexed="81"/>
            <rFont val="Tahoma"/>
            <family val="2"/>
          </rPr>
          <t>Ben Zerman:</t>
        </r>
        <r>
          <rPr>
            <sz val="9"/>
            <color indexed="81"/>
            <rFont val="Tahoma"/>
            <family val="2"/>
          </rPr>
          <t xml:space="preserve">
declined materially</t>
        </r>
      </text>
    </comment>
    <comment ref="DA233" authorId="1">
      <text>
        <r>
          <rPr>
            <b/>
            <sz val="9"/>
            <color indexed="81"/>
            <rFont val="Tahoma"/>
            <family val="2"/>
          </rPr>
          <t>Ben Zerman:</t>
        </r>
        <r>
          <rPr>
            <sz val="9"/>
            <color indexed="81"/>
            <rFont val="Tahoma"/>
            <family val="2"/>
          </rPr>
          <t xml:space="preserve">
significant declines in these categories</t>
        </r>
      </text>
    </comment>
    <comment ref="CV234" authorId="1">
      <text>
        <r>
          <rPr>
            <b/>
            <sz val="9"/>
            <color indexed="81"/>
            <rFont val="Tahoma"/>
            <family val="2"/>
          </rPr>
          <t>Ben Zerman:</t>
        </r>
        <r>
          <rPr>
            <sz val="9"/>
            <color indexed="81"/>
            <rFont val="Tahoma"/>
            <family val="2"/>
          </rPr>
          <t xml:space="preserve">
ex impact of installment billing
growth driven by higher ASPs YoY</t>
        </r>
      </text>
    </comment>
    <comment ref="DA236" authorId="1">
      <text>
        <r>
          <rPr>
            <b/>
            <sz val="9"/>
            <color indexed="81"/>
            <rFont val="Tahoma"/>
            <family val="2"/>
          </rPr>
          <t>Ben Zerman:</t>
        </r>
        <r>
          <rPr>
            <sz val="9"/>
            <color indexed="81"/>
            <rFont val="Tahoma"/>
            <family val="2"/>
          </rPr>
          <t xml:space="preserve">
-11.9% services comp due to investments in service pricing &amp; the ongoing reduction of repair revenue driven by lower frequency &amp; severity of claims on extended warranties</t>
        </r>
      </text>
    </comment>
    <comment ref="BG250" authorId="0">
      <text>
        <r>
          <rPr>
            <sz val="9"/>
            <color indexed="81"/>
            <rFont val="Tahoma"/>
            <family val="2"/>
          </rPr>
          <t xml:space="preserve"> 
Includes one Best Buy China store</t>
        </r>
      </text>
    </comment>
    <comment ref="BH250" authorId="0">
      <text>
        <r>
          <rPr>
            <sz val="9"/>
            <color indexed="81"/>
            <rFont val="Tahoma"/>
            <family val="2"/>
          </rPr>
          <t xml:space="preserve"> 
Includes one Best Buy China store</t>
        </r>
      </text>
    </comment>
    <comment ref="BO251" authorId="0">
      <text>
        <r>
          <rPr>
            <sz val="9"/>
            <color indexed="81"/>
            <rFont val="Tahoma"/>
            <family val="2"/>
          </rPr>
          <t xml:space="preserve"> 
2,232 own stores
218 franchise stores</t>
        </r>
      </text>
    </comment>
    <comment ref="A256" authorId="0">
      <text>
        <r>
          <rPr>
            <sz val="9"/>
            <color indexed="81"/>
            <rFont val="Tahoma"/>
            <family val="2"/>
          </rPr>
          <t xml:space="preserve"> 
Includes Mexico Express starting in 4Q12</t>
        </r>
      </text>
    </comment>
    <comment ref="EM263" authorId="0">
      <text>
        <r>
          <rPr>
            <sz val="9"/>
            <color indexed="81"/>
            <rFont val="Tahoma"/>
            <family val="2"/>
          </rPr>
          <t xml:space="preserve">  5</t>
        </r>
      </text>
    </comment>
    <comment ref="EM264" authorId="0">
      <text>
        <r>
          <rPr>
            <sz val="9"/>
            <color indexed="81"/>
            <rFont val="Tahoma"/>
            <family val="2"/>
          </rPr>
          <t xml:space="preserve">  6</t>
        </r>
      </text>
    </comment>
    <comment ref="BL265" authorId="0">
      <text>
        <r>
          <rPr>
            <sz val="9"/>
            <color indexed="81"/>
            <rFont val="Tahoma"/>
            <family val="2"/>
          </rPr>
          <t xml:space="preserve"> 
CPW stores</t>
        </r>
      </text>
    </comment>
    <comment ref="EM267" authorId="0">
      <text>
        <r>
          <rPr>
            <sz val="9"/>
            <color indexed="81"/>
            <rFont val="Tahoma"/>
            <family val="2"/>
          </rPr>
          <t xml:space="preserve">  open 8-16 and close 5
</t>
        </r>
      </text>
    </comment>
    <comment ref="ES267" authorId="0">
      <text>
        <r>
          <rPr>
            <sz val="9"/>
            <color indexed="81"/>
            <rFont val="Tahoma"/>
            <family val="2"/>
          </rPr>
          <t xml:space="preserve">  Expect to open 50 5 Stars</t>
        </r>
      </text>
    </comment>
    <comment ref="EM268" authorId="0">
      <text>
        <r>
          <rPr>
            <sz val="9"/>
            <color indexed="81"/>
            <rFont val="Tahoma"/>
            <family val="2"/>
          </rPr>
          <t xml:space="preserve">  1-3</t>
        </r>
      </text>
    </comment>
    <comment ref="EM270" authorId="0">
      <text>
        <r>
          <rPr>
            <sz val="9"/>
            <color indexed="81"/>
            <rFont val="Tahoma"/>
            <family val="2"/>
          </rPr>
          <t xml:space="preserve">  2-5</t>
        </r>
      </text>
    </comment>
    <comment ref="A284" authorId="0">
      <text>
        <r>
          <rPr>
            <sz val="9"/>
            <color indexed="81"/>
            <rFont val="Tahoma"/>
            <family val="2"/>
          </rPr>
          <t xml:space="preserve"> 
Includes Mexico Express starting in 4Q12</t>
        </r>
      </text>
    </comment>
    <comment ref="CX293" authorId="0">
      <text>
        <r>
          <rPr>
            <sz val="9"/>
            <color indexed="81"/>
            <rFont val="Tahoma"/>
            <family val="2"/>
          </rPr>
          <t>BBY selling the Five Star business as of 1Q15</t>
        </r>
      </text>
    </comment>
    <comment ref="EY293" authorId="1">
      <text>
        <r>
          <rPr>
            <b/>
            <sz val="9"/>
            <color indexed="81"/>
            <rFont val="Tahoma"/>
            <family val="2"/>
          </rPr>
          <t>Ben Zerman:</t>
        </r>
        <r>
          <rPr>
            <sz val="9"/>
            <color indexed="81"/>
            <rFont val="Tahoma"/>
            <family val="2"/>
          </rPr>
          <t xml:space="preserve">
4Q16: plan to open 9 stores in Mexico over next 2 years
1Q17: </t>
        </r>
      </text>
    </comment>
    <comment ref="EU313" authorId="0">
      <text>
        <r>
          <rPr>
            <sz val="9"/>
            <color indexed="81"/>
            <rFont val="Tahoma"/>
            <family val="2"/>
          </rPr>
          <t xml:space="preserve"> 
Adjusted for 53rd week</t>
        </r>
      </text>
    </comment>
    <comment ref="BI314" authorId="0">
      <text>
        <r>
          <rPr>
            <sz val="9"/>
            <color indexed="81"/>
            <rFont val="Tahoma"/>
            <family val="2"/>
          </rPr>
          <t xml:space="preserve"> 
Dec comp was 7.6%</t>
        </r>
      </text>
    </comment>
    <comment ref="BL314" authorId="0">
      <text>
        <r>
          <rPr>
            <sz val="9"/>
            <color indexed="81"/>
            <rFont val="Tahoma"/>
            <family val="2"/>
          </rPr>
          <t xml:space="preserve"> 
reflects gains in the sales of appliances, flat panel televisions and mobile phones, partially offset by declines in the sales of projection and tube televisions, computer monitors and MP3 players.</t>
        </r>
      </text>
    </comment>
    <comment ref="BM314" authorId="0">
      <text>
        <r>
          <rPr>
            <sz val="9"/>
            <color indexed="81"/>
            <rFont val="Tahoma"/>
            <family val="2"/>
          </rPr>
          <t xml:space="preserve">  -4.2%</t>
        </r>
      </text>
    </comment>
    <comment ref="BO314" authorId="0">
      <text>
        <r>
          <rPr>
            <sz val="9"/>
            <color indexed="81"/>
            <rFont val="Tahoma"/>
            <family val="2"/>
          </rPr>
          <t xml:space="preserve"> 
comps decline was driven by Canada, partially offset by a comparable store sales gain in China. BBY Europe not included, will be added in 3Q09.
The categories having the largest effect on sales decline  were flat-panel televisions, video gaming, desktop computers and monitors and notebook computers.  Weaker sales in these product categories were partially offset by comp gains in major appliances and services.</t>
        </r>
      </text>
    </comment>
    <comment ref="BP314" authorId="0">
      <text>
        <r>
          <rPr>
            <sz val="9"/>
            <color indexed="81"/>
            <rFont val="Tahoma"/>
            <family val="2"/>
          </rPr>
          <t xml:space="preserve"> 
first Q that BBY Europe was included in International comp</t>
        </r>
      </text>
    </comment>
    <comment ref="BX314" authorId="0">
      <text>
        <r>
          <rPr>
            <sz val="9"/>
            <color indexed="81"/>
            <rFont val="Tahoma"/>
            <family val="2"/>
          </rPr>
          <t xml:space="preserve">  Strong from a margin perspective</t>
        </r>
      </text>
    </comment>
    <comment ref="CG314" authorId="0">
      <text>
        <r>
          <rPr>
            <sz val="9"/>
            <color indexed="81"/>
            <rFont val="Tahoma"/>
            <family val="2"/>
          </rPr>
          <t xml:space="preserve"> 
Five Star up 8% driven by strong customer demand for appliances as a result of the expected expiration of govt trade-in programs
Canada and Europe - mid-single digit declines</t>
        </r>
      </text>
    </comment>
    <comment ref="CH314" authorId="0">
      <text>
        <r>
          <rPr>
            <sz val="9"/>
            <color indexed="81"/>
            <rFont val="Tahoma"/>
            <family val="2"/>
          </rPr>
          <t xml:space="preserve">  Weakness in product cycles (TV's, notebooks, gaming) </t>
        </r>
      </text>
    </comment>
    <comment ref="CI314" authorId="0">
      <text>
        <r>
          <rPr>
            <sz val="9"/>
            <color indexed="81"/>
            <rFont val="Tahoma"/>
            <family val="2"/>
          </rPr>
          <t xml:space="preserve">  LSD comp declines, improving from -MSD in Q1, driven by a slightly less promotional environment</t>
        </r>
      </text>
    </comment>
    <comment ref="CJ314" authorId="0">
      <text>
        <r>
          <rPr>
            <sz val="9"/>
            <color indexed="81"/>
            <rFont val="Tahoma"/>
            <family val="2"/>
          </rPr>
          <t xml:space="preserve">  Positive comps, better than previous quarters</t>
        </r>
      </text>
    </comment>
    <comment ref="CL314" authorId="0">
      <text>
        <r>
          <rPr>
            <sz val="9"/>
            <color indexed="81"/>
            <rFont val="Tahoma"/>
            <family val="2"/>
          </rPr>
          <t xml:space="preserve">  HSD declines, Weakness in product cycles (TV's, notebooks, gaming) </t>
        </r>
      </text>
    </comment>
    <comment ref="CM314" authorId="0">
      <text>
        <r>
          <rPr>
            <sz val="9"/>
            <color indexed="81"/>
            <rFont val="Tahoma"/>
            <family val="2"/>
          </rPr>
          <t xml:space="preserve">  LSD comp declines, improving from -MSD in Q1, driven by a slightly less promotional environment</t>
        </r>
      </text>
    </comment>
    <comment ref="CN314" authorId="0">
      <text>
        <r>
          <rPr>
            <sz val="9"/>
            <color indexed="81"/>
            <rFont val="Tahoma"/>
            <family val="2"/>
          </rPr>
          <t xml:space="preserve">  Positive comps, better than previous quarters</t>
        </r>
      </text>
    </comment>
    <comment ref="CO314" authorId="0">
      <text>
        <r>
          <rPr>
            <sz val="9"/>
            <color indexed="81"/>
            <rFont val="Tahoma"/>
            <family val="2"/>
          </rPr>
          <t xml:space="preserve">  -10%, industry softness similar to US
</t>
        </r>
      </text>
    </comment>
    <comment ref="CP314" authorId="0">
      <text>
        <r>
          <rPr>
            <sz val="9"/>
            <color indexed="81"/>
            <rFont val="Tahoma"/>
            <family val="2"/>
          </rPr>
          <t xml:space="preserve"> 
(+) Comps in China, driven by effective promotions
(-) Competitive pressure in Canada. Down MSD/HSD (mid-teens on 2yr stack)</t>
        </r>
      </text>
    </comment>
    <comment ref="CQ314" authorId="0">
      <text>
        <r>
          <rPr>
            <sz val="9"/>
            <color indexed="81"/>
            <rFont val="Tahoma"/>
            <family val="2"/>
          </rPr>
          <t xml:space="preserve"> 
(+) Comps in China, driven by effective promotions
(-) Competitive pressure in Canada. </t>
        </r>
      </text>
    </comment>
    <comment ref="CY314" authorId="3">
      <text>
        <r>
          <rPr>
            <b/>
            <sz val="9"/>
            <color indexed="81"/>
            <rFont val="Tahoma"/>
            <family val="2"/>
          </rPr>
          <t>TT :</t>
        </r>
        <r>
          <rPr>
            <sz val="9"/>
            <color indexed="81"/>
            <rFont val="Tahoma"/>
            <family val="2"/>
          </rPr>
          <t xml:space="preserve">
Canada taken out of comp. No longer int'l ocmparable store sales
</t>
        </r>
      </text>
    </comment>
    <comment ref="CZ314" authorId="3">
      <text>
        <r>
          <rPr>
            <b/>
            <sz val="9"/>
            <color indexed="81"/>
            <rFont val="Tahoma"/>
            <family val="2"/>
          </rPr>
          <t>TT :</t>
        </r>
        <r>
          <rPr>
            <sz val="9"/>
            <color indexed="81"/>
            <rFont val="Tahoma"/>
            <family val="2"/>
          </rPr>
          <t xml:space="preserve">
Implied based on 0.8% Domestic and Enterprise comps.</t>
        </r>
      </text>
    </comment>
    <comment ref="DC314" authorId="1">
      <text>
        <r>
          <rPr>
            <b/>
            <sz val="9"/>
            <color indexed="81"/>
            <rFont val="Tahoma"/>
            <family val="2"/>
          </rPr>
          <t>Ben Zerman:</t>
        </r>
        <r>
          <rPr>
            <sz val="9"/>
            <color indexed="81"/>
            <rFont val="Tahoma"/>
            <family val="2"/>
          </rPr>
          <t xml:space="preserve">
1Q16: flat</t>
        </r>
      </text>
    </comment>
    <comment ref="DD314" authorId="1">
      <text>
        <r>
          <rPr>
            <b/>
            <sz val="9"/>
            <color indexed="81"/>
            <rFont val="Tahoma"/>
            <family val="2"/>
          </rPr>
          <t>Ben Zerman:</t>
        </r>
        <r>
          <rPr>
            <sz val="9"/>
            <color indexed="81"/>
            <rFont val="Tahoma"/>
            <family val="2"/>
          </rPr>
          <t xml:space="preserve">
2Q16: </t>
        </r>
      </text>
    </comment>
    <comment ref="DE314" authorId="1">
      <text>
        <r>
          <rPr>
            <b/>
            <sz val="9"/>
            <color indexed="81"/>
            <rFont val="Tahoma"/>
            <family val="2"/>
          </rPr>
          <t>Ben Zerman:</t>
        </r>
        <r>
          <rPr>
            <sz val="9"/>
            <color indexed="81"/>
            <rFont val="Tahoma"/>
            <family val="2"/>
          </rPr>
          <t xml:space="preserve">
3Q16: -2% to +2%</t>
        </r>
      </text>
    </comment>
    <comment ref="DF314" authorId="1">
      <text>
        <r>
          <rPr>
            <b/>
            <sz val="9"/>
            <color indexed="81"/>
            <rFont val="Tahoma"/>
            <family val="2"/>
          </rPr>
          <t>Ben Zerman:</t>
        </r>
        <r>
          <rPr>
            <sz val="9"/>
            <color indexed="81"/>
            <rFont val="Tahoma"/>
            <family val="2"/>
          </rPr>
          <t xml:space="preserve">
4Q16: 0% to +3.0%</t>
        </r>
      </text>
    </comment>
    <comment ref="DG314" authorId="1">
      <text>
        <r>
          <rPr>
            <b/>
            <sz val="9"/>
            <color indexed="81"/>
            <rFont val="Tahoma"/>
            <family val="2"/>
          </rPr>
          <t>Ben Zerman:</t>
        </r>
        <r>
          <rPr>
            <sz val="9"/>
            <color indexed="81"/>
            <rFont val="Tahoma"/>
            <family val="2"/>
          </rPr>
          <t xml:space="preserve">
1Q17: 0-3%</t>
        </r>
      </text>
    </comment>
    <comment ref="DH314" authorId="2">
      <text>
        <r>
          <rPr>
            <b/>
            <sz val="9"/>
            <color indexed="81"/>
            <rFont val="Tahoma"/>
            <family val="2"/>
          </rPr>
          <t>Siber:</t>
        </r>
        <r>
          <rPr>
            <sz val="9"/>
            <color indexed="81"/>
            <rFont val="Tahoma"/>
            <family val="2"/>
          </rPr>
          <t xml:space="preserve">
2Q17: 0-3%</t>
        </r>
      </text>
    </comment>
    <comment ref="EU314" authorId="0">
      <text>
        <r>
          <rPr>
            <sz val="9"/>
            <color indexed="81"/>
            <rFont val="Tahoma"/>
            <family val="2"/>
          </rPr>
          <t xml:space="preserve"> 
Europe (~35%) = Down MSD - 4% 
Canada (~45%) = Down LSD - 2%
China (~20%) = Up LSD +4%
--- Govt stimulus in China fully lapped in 4Q12</t>
        </r>
      </text>
    </comment>
    <comment ref="CH320" authorId="0">
      <text>
        <r>
          <rPr>
            <sz val="9"/>
            <color indexed="81"/>
            <rFont val="Tahoma"/>
            <family val="2"/>
          </rPr>
          <t xml:space="preserve"> 
Includes $77 from 53rd week (disclosed in 10-Q as 2.6% of revenue growth)</t>
        </r>
      </text>
    </comment>
    <comment ref="CL320" authorId="0">
      <text>
        <r>
          <rPr>
            <sz val="9"/>
            <color indexed="81"/>
            <rFont val="Tahoma"/>
            <family val="2"/>
          </rPr>
          <t xml:space="preserve"> 
Includes $77 from 53rd week (disclosed in 10-Q as 2.6% of revenue growth)</t>
        </r>
      </text>
    </comment>
    <comment ref="CP320" authorId="0">
      <text>
        <r>
          <rPr>
            <sz val="9"/>
            <color indexed="81"/>
            <rFont val="Tahoma"/>
            <family val="2"/>
          </rPr>
          <t xml:space="preserve"> 
Closed 15 stores YoY</t>
        </r>
      </text>
    </comment>
    <comment ref="DC323" authorId="1">
      <text>
        <r>
          <rPr>
            <b/>
            <sz val="9"/>
            <color indexed="81"/>
            <rFont val="Tahoma"/>
            <family val="2"/>
          </rPr>
          <t>Ben Zerman:</t>
        </r>
        <r>
          <rPr>
            <sz val="9"/>
            <color indexed="81"/>
            <rFont val="Tahoma"/>
            <family val="2"/>
          </rPr>
          <t xml:space="preserve">
check</t>
        </r>
      </text>
    </comment>
    <comment ref="DD323" authorId="1">
      <text>
        <r>
          <rPr>
            <b/>
            <sz val="9"/>
            <color indexed="81"/>
            <rFont val="Tahoma"/>
            <family val="2"/>
          </rPr>
          <t>Ben Zerman:</t>
        </r>
        <r>
          <rPr>
            <sz val="9"/>
            <color indexed="81"/>
            <rFont val="Tahoma"/>
            <family val="2"/>
          </rPr>
          <t xml:space="preserve">
check</t>
        </r>
      </text>
    </comment>
    <comment ref="EN323" authorId="0">
      <text>
        <r>
          <rPr>
            <sz val="9"/>
            <color indexed="81"/>
            <rFont val="Tahoma"/>
            <family val="2"/>
          </rPr>
          <t xml:space="preserve"> 
Doesn't seem to make sense …, but this is what's in the Q and K</t>
        </r>
      </text>
    </comment>
    <comment ref="DI325" authorId="2">
      <text>
        <r>
          <rPr>
            <b/>
            <sz val="9"/>
            <color indexed="81"/>
            <rFont val="Tahoma"/>
            <family val="2"/>
          </rPr>
          <t>Siber:</t>
        </r>
        <r>
          <rPr>
            <sz val="9"/>
            <color indexed="81"/>
            <rFont val="Tahoma"/>
            <family val="2"/>
          </rPr>
          <t xml:space="preserve">
includes $45m 53rd wk</t>
        </r>
      </text>
    </comment>
    <comment ref="CY326" authorId="2">
      <text>
        <r>
          <rPr>
            <b/>
            <sz val="9"/>
            <color indexed="81"/>
            <rFont val="Tahoma"/>
            <family val="2"/>
          </rPr>
          <t>Siber:</t>
        </r>
        <r>
          <rPr>
            <sz val="9"/>
            <color indexed="81"/>
            <rFont val="Tahoma"/>
            <family val="2"/>
          </rPr>
          <t xml:space="preserve">
1Q15: -30% to -35%</t>
        </r>
      </text>
    </comment>
    <comment ref="DA326" authorId="2">
      <text>
        <r>
          <rPr>
            <b/>
            <sz val="9"/>
            <color indexed="81"/>
            <rFont val="Tahoma"/>
            <family val="2"/>
          </rPr>
          <t>Siber:</t>
        </r>
        <r>
          <rPr>
            <sz val="9"/>
            <color indexed="81"/>
            <rFont val="Tahoma"/>
            <family val="2"/>
          </rPr>
          <t xml:space="preserve">
01/16: -30%</t>
        </r>
      </text>
    </comment>
    <comment ref="DB326" authorId="2">
      <text>
        <r>
          <rPr>
            <b/>
            <sz val="9"/>
            <color indexed="81"/>
            <rFont val="Tahoma"/>
            <family val="2"/>
          </rPr>
          <t>Siber:</t>
        </r>
        <r>
          <rPr>
            <sz val="9"/>
            <color indexed="81"/>
            <rFont val="Tahoma"/>
            <family val="2"/>
          </rPr>
          <t xml:space="preserve">
4Q15: -15 to -20%</t>
        </r>
      </text>
    </comment>
    <comment ref="DD326" authorId="1">
      <text>
        <r>
          <rPr>
            <b/>
            <sz val="9"/>
            <color indexed="81"/>
            <rFont val="Tahoma"/>
            <family val="2"/>
          </rPr>
          <t>Ben Zerman:</t>
        </r>
        <r>
          <rPr>
            <sz val="9"/>
            <color indexed="81"/>
            <rFont val="Tahoma"/>
            <family val="2"/>
          </rPr>
          <t xml:space="preserve">
2Q16: flat to -5%</t>
        </r>
      </text>
    </comment>
    <comment ref="DF326" authorId="1">
      <text>
        <r>
          <rPr>
            <b/>
            <sz val="9"/>
            <color indexed="81"/>
            <rFont val="Tahoma"/>
            <family val="2"/>
          </rPr>
          <t>Ben Zerman:</t>
        </r>
        <r>
          <rPr>
            <sz val="9"/>
            <color indexed="81"/>
            <rFont val="Tahoma"/>
            <family val="2"/>
          </rPr>
          <t xml:space="preserve">
4Q16: down LSDs incl neg FX impact
</t>
        </r>
      </text>
    </comment>
    <comment ref="DG326" authorId="1">
      <text>
        <r>
          <rPr>
            <b/>
            <sz val="9"/>
            <color indexed="81"/>
            <rFont val="Tahoma"/>
            <family val="2"/>
          </rPr>
          <t>Ben Zerman:</t>
        </r>
        <r>
          <rPr>
            <sz val="9"/>
            <color indexed="81"/>
            <rFont val="Tahoma"/>
            <family val="2"/>
          </rPr>
          <t xml:space="preserve">
1Q17: </t>
        </r>
      </text>
    </comment>
    <comment ref="A328" authorId="0">
      <text>
        <r>
          <rPr>
            <sz val="9"/>
            <color indexed="81"/>
            <rFont val="Tahoma"/>
            <family val="2"/>
          </rPr>
          <t>not a driver</t>
        </r>
      </text>
    </comment>
    <comment ref="CT330" authorId="0">
      <text>
        <r>
          <rPr>
            <sz val="9"/>
            <color indexed="81"/>
            <rFont val="Tahoma"/>
            <family val="2"/>
          </rPr>
          <t xml:space="preserve"> Needs to be updated once 10 q is published
</t>
        </r>
      </text>
    </comment>
    <comment ref="BL359" authorId="0">
      <text>
        <r>
          <rPr>
            <sz val="9"/>
            <color indexed="81"/>
            <rFont val="Tahoma"/>
            <family val="2"/>
          </rPr>
          <t xml:space="preserve"> 
Revenue Mix changes significantly with the acquisition of CPW</t>
        </r>
      </text>
    </comment>
    <comment ref="BO359" authorId="0">
      <text>
        <r>
          <rPr>
            <sz val="9"/>
            <color indexed="81"/>
            <rFont val="Tahoma"/>
            <family val="2"/>
          </rPr>
          <t xml:space="preserve"> 
mix changed significantly beginning in the 3Q08 due to the acquisition of Best Buy Europe. Best Buy Europe comprised 44% of the International segment’s revenue in 2Q09. 
The majority of Best Buy Europe’s business is the sale of mobile phones and acting as an agent to sell mobile voice and data service plans, which are included in the home office revenue category. In addition, Best Buy Europe offers mobile phone insurance and other mobile and fixed-line telecommunication services, which are included in services revenues.</t>
        </r>
      </text>
    </comment>
    <comment ref="BC375" authorId="0">
      <text>
        <r>
          <rPr>
            <sz val="9"/>
            <color indexed="81"/>
            <rFont val="Tahoma"/>
            <family val="2"/>
          </rPr>
          <t xml:space="preserve"> 
includes five star.</t>
        </r>
      </text>
    </comment>
    <comment ref="BD375" authorId="0">
      <text>
        <r>
          <rPr>
            <sz val="9"/>
            <color indexed="81"/>
            <rFont val="Tahoma"/>
            <family val="2"/>
          </rPr>
          <t xml:space="preserve"> 
includes five star.</t>
        </r>
      </text>
    </comment>
    <comment ref="BE375" authorId="0">
      <text>
        <r>
          <rPr>
            <sz val="9"/>
            <color indexed="81"/>
            <rFont val="Tahoma"/>
            <family val="2"/>
          </rPr>
          <t xml:space="preserve"> 
includes five star.</t>
        </r>
      </text>
    </comment>
    <comment ref="EK375" authorId="0">
      <text>
        <r>
          <rPr>
            <sz val="9"/>
            <color indexed="81"/>
            <rFont val="Tahoma"/>
            <family val="2"/>
          </rPr>
          <t xml:space="preserve"> 
includes five star.</t>
        </r>
      </text>
    </comment>
    <comment ref="EN375" authorId="0">
      <text>
        <r>
          <rPr>
            <sz val="9"/>
            <color indexed="81"/>
            <rFont val="Tahoma"/>
            <family val="2"/>
          </rPr>
          <t xml:space="preserve"> 
~5%</t>
        </r>
      </text>
    </comment>
    <comment ref="BI394" authorId="0">
      <text>
        <r>
          <rPr>
            <sz val="9"/>
            <color indexed="81"/>
            <rFont val="Tahoma"/>
            <family val="2"/>
          </rPr>
          <t xml:space="preserve"> </t>
        </r>
      </text>
    </comment>
    <comment ref="BO394" authorId="0">
      <text>
        <r>
          <rPr>
            <sz val="9"/>
            <color indexed="81"/>
            <rFont val="Tahoma"/>
            <family val="2"/>
          </rPr>
          <t xml:space="preserve"> 
a reduction in average ticket, partially offset by a slight increase in traffic.
The categories having the largest effect on comps decline were video gaming, digital cameras, DVDs and CDs.  Partially offset by comps gains in notebook computers, mobile phones and flat-panel TVs.</t>
        </r>
      </text>
    </comment>
    <comment ref="CV394" authorId="0">
      <text>
        <r>
          <rPr>
            <sz val="9"/>
            <color indexed="81"/>
            <rFont val="Tahoma"/>
            <family val="2"/>
          </rPr>
          <t xml:space="preserve"> 
includes 80 bps installment billing</t>
        </r>
      </text>
    </comment>
    <comment ref="CW394" authorId="0">
      <text>
        <r>
          <rPr>
            <sz val="9"/>
            <color indexed="81"/>
            <rFont val="Tahoma"/>
            <family val="2"/>
          </rPr>
          <t xml:space="preserve"> 
Includes 80 bps installment billing</t>
        </r>
      </text>
    </comment>
    <comment ref="BP399" authorId="0">
      <text>
        <r>
          <rPr>
            <sz val="9"/>
            <color indexed="81"/>
            <rFont val="Tahoma"/>
            <family val="2"/>
          </rPr>
          <t xml:space="preserve"> 
first Q that BBY Europe was included in International comp</t>
        </r>
      </text>
    </comment>
    <comment ref="DF400" authorId="1">
      <text>
        <r>
          <rPr>
            <b/>
            <sz val="9"/>
            <color indexed="81"/>
            <rFont val="Tahoma"/>
            <family val="2"/>
          </rPr>
          <t>Ben Zerman:</t>
        </r>
        <r>
          <rPr>
            <sz val="9"/>
            <color indexed="81"/>
            <rFont val="Tahoma"/>
            <family val="2"/>
          </rPr>
          <t xml:space="preserve">
-215 bps neg impact from lapping $13 million periodic profit sharing benefit from services plan portfolio</t>
        </r>
      </text>
    </comment>
    <comment ref="CH404" authorId="0">
      <text>
        <r>
          <rPr>
            <sz val="9"/>
            <color indexed="81"/>
            <rFont val="Tahoma"/>
            <family val="2"/>
          </rPr>
          <t xml:space="preserve"> 
Includes ~725M in revenue from 53rd week</t>
        </r>
      </text>
    </comment>
    <comment ref="EP404" authorId="0">
      <text>
        <r>
          <rPr>
            <sz val="9"/>
            <color indexed="81"/>
            <rFont val="Tahoma"/>
            <family val="2"/>
          </rPr>
          <t xml:space="preserve">  Expect to be in the midpoint of 51 - 52.5 range</t>
        </r>
      </text>
    </comment>
    <comment ref="ER404" authorId="0">
      <text>
        <r>
          <rPr>
            <sz val="9"/>
            <color indexed="81"/>
            <rFont val="Tahoma"/>
            <family val="2"/>
          </rPr>
          <t xml:space="preserve">  Expect to be in the midpoint of 51 - 52.5 range</t>
        </r>
      </text>
    </comment>
    <comment ref="ES404" authorId="0">
      <text>
        <r>
          <rPr>
            <sz val="9"/>
            <color indexed="81"/>
            <rFont val="Tahoma"/>
            <family val="2"/>
          </rPr>
          <t xml:space="preserve">  Guidance of $50 - $51B</t>
        </r>
      </text>
    </comment>
    <comment ref="EV404" authorId="0">
      <text>
        <r>
          <rPr>
            <sz val="9"/>
            <color indexed="81"/>
            <rFont val="Tahoma"/>
            <family val="2"/>
          </rPr>
          <t xml:space="preserve"> 
1H14 expected to be weaker YoY</t>
        </r>
      </text>
    </comment>
    <comment ref="AU407" authorId="0">
      <text>
        <r>
          <rPr>
            <sz val="9"/>
            <color indexed="81"/>
            <rFont val="Tahoma"/>
            <family val="2"/>
          </rPr>
          <t xml:space="preserve"> 
guidance was for a 5-7% increase</t>
        </r>
      </text>
    </comment>
    <comment ref="BM407" authorId="0">
      <text>
        <r>
          <rPr>
            <sz val="9"/>
            <color indexed="81"/>
            <rFont val="Tahoma"/>
            <family val="2"/>
          </rPr>
          <t xml:space="preserve">  -6.5%</t>
        </r>
      </text>
    </comment>
    <comment ref="CV407" authorId="0">
      <text>
        <r>
          <rPr>
            <sz val="9"/>
            <color indexed="81"/>
            <rFont val="Tahoma"/>
            <family val="2"/>
          </rPr>
          <t xml:space="preserve"> 
negative LSD comp in Q3</t>
        </r>
      </text>
    </comment>
    <comment ref="CX407" authorId="0">
      <text>
        <r>
          <rPr>
            <sz val="9"/>
            <color indexed="81"/>
            <rFont val="Tahoma"/>
            <family val="2"/>
          </rPr>
          <t>Guidance of flat to -LSD</t>
        </r>
      </text>
    </comment>
    <comment ref="CY407" authorId="0">
      <text>
        <r>
          <rPr>
            <sz val="9"/>
            <color indexed="81"/>
            <rFont val="Tahoma"/>
            <family val="2"/>
          </rPr>
          <t>Guidance of flat to -LSD</t>
        </r>
      </text>
    </comment>
    <comment ref="CZ407" authorId="0">
      <text>
        <r>
          <rPr>
            <sz val="9"/>
            <color indexed="81"/>
            <rFont val="Tahoma"/>
            <family val="2"/>
          </rPr>
          <t>Guidance of flat to -LSD</t>
        </r>
      </text>
    </comment>
    <comment ref="DE407" authorId="1">
      <text>
        <r>
          <rPr>
            <b/>
            <sz val="9"/>
            <color indexed="81"/>
            <rFont val="Tahoma"/>
            <family val="2"/>
          </rPr>
          <t>Ben Zerman:</t>
        </r>
        <r>
          <rPr>
            <sz val="9"/>
            <color indexed="81"/>
            <rFont val="Tahoma"/>
            <family val="2"/>
          </rPr>
          <t xml:space="preserve">
3Q16: -1% to +1%</t>
        </r>
      </text>
    </comment>
    <comment ref="DF407" authorId="1">
      <text>
        <r>
          <rPr>
            <b/>
            <sz val="9"/>
            <color indexed="81"/>
            <rFont val="Tahoma"/>
            <family val="2"/>
          </rPr>
          <t>Ben Zerman:</t>
        </r>
        <r>
          <rPr>
            <sz val="9"/>
            <color indexed="81"/>
            <rFont val="Tahoma"/>
            <family val="2"/>
          </rPr>
          <t xml:space="preserve">
4Q16: -2.0% to -1.0%</t>
        </r>
      </text>
    </comment>
    <comment ref="DG407" authorId="1">
      <text>
        <r>
          <rPr>
            <b/>
            <sz val="9"/>
            <color indexed="81"/>
            <rFont val="Tahoma"/>
            <family val="2"/>
          </rPr>
          <t>Ben Zerman:</t>
        </r>
        <r>
          <rPr>
            <sz val="9"/>
            <color indexed="81"/>
            <rFont val="Tahoma"/>
            <family val="2"/>
          </rPr>
          <t xml:space="preserve">
1Q17: </t>
        </r>
      </text>
    </comment>
    <comment ref="EK407" authorId="0">
      <text>
        <r>
          <rPr>
            <sz val="9"/>
            <color indexed="81"/>
            <rFont val="Tahoma"/>
            <family val="2"/>
          </rPr>
          <t xml:space="preserve"> 
4-5% comp projection for year on co. call Q3.</t>
        </r>
      </text>
    </comment>
    <comment ref="EL407" authorId="0">
      <text>
        <r>
          <rPr>
            <sz val="9"/>
            <color indexed="81"/>
            <rFont val="Tahoma"/>
            <family val="2"/>
          </rPr>
          <t xml:space="preserve">  2.5-3%</t>
        </r>
      </text>
    </comment>
    <comment ref="EM407" authorId="0">
      <text>
        <r>
          <rPr>
            <sz val="9"/>
            <color indexed="81"/>
            <rFont val="Tahoma"/>
            <family val="2"/>
          </rPr>
          <t xml:space="preserve">  -2 to -3%</t>
        </r>
      </text>
    </comment>
    <comment ref="EP407" authorId="0">
      <text>
        <r>
          <rPr>
            <sz val="9"/>
            <color indexed="81"/>
            <rFont val="Tahoma"/>
            <family val="2"/>
          </rPr>
          <t xml:space="preserve">  "We continue to expect full year revenue in the range of $51B - $52.5B with FY comps of flat to down 3%"
"The inclusion of the 53rd week favorable impacts FY total revenue growth by 1.5%-2%"</t>
        </r>
      </text>
    </comment>
    <comment ref="ES407" authorId="0">
      <text>
        <r>
          <rPr>
            <sz val="9"/>
            <color indexed="81"/>
            <rFont val="Tahoma"/>
            <family val="2"/>
          </rPr>
          <t xml:space="preserve">  Guidance of -2 to -4</t>
        </r>
      </text>
    </comment>
    <comment ref="AU408" authorId="0">
      <text>
        <r>
          <rPr>
            <sz val="9"/>
            <color indexed="81"/>
            <rFont val="Tahoma"/>
            <family val="2"/>
          </rPr>
          <t xml:space="preserve"> 
guidance was for a 5-7% increase</t>
        </r>
      </text>
    </comment>
    <comment ref="EP408" authorId="0">
      <text>
        <r>
          <rPr>
            <sz val="9"/>
            <color indexed="81"/>
            <rFont val="Tahoma"/>
            <family val="2"/>
          </rPr>
          <t xml:space="preserve">  "We continue to expect full year revenue in the range of $51B - $52.5B with FY comps of flat to down 3%"
"The inclusion of the 53rd week favorable impacts FY total revenue growth by 1.5%-2%"</t>
        </r>
      </text>
    </comment>
    <comment ref="CP422" authorId="1">
      <text>
        <r>
          <rPr>
            <b/>
            <sz val="9"/>
            <color indexed="81"/>
            <rFont val="Tahoma"/>
            <family val="2"/>
          </rPr>
          <t>Ben Zerman:</t>
        </r>
        <r>
          <rPr>
            <sz val="9"/>
            <color indexed="81"/>
            <rFont val="Tahoma"/>
            <family val="2"/>
          </rPr>
          <t xml:space="preserve">
-1.1% reported</t>
        </r>
      </text>
    </comment>
    <comment ref="CQ422" authorId="1">
      <text>
        <r>
          <rPr>
            <b/>
            <sz val="9"/>
            <color indexed="81"/>
            <rFont val="Tahoma"/>
            <family val="2"/>
          </rPr>
          <t>Ben Zerman:</t>
        </r>
        <r>
          <rPr>
            <sz val="9"/>
            <color indexed="81"/>
            <rFont val="Tahoma"/>
            <family val="2"/>
          </rPr>
          <t xml:space="preserve">
would've been slightly positive w/o disruptions from non-core biz rationalization</t>
        </r>
      </text>
    </comment>
    <comment ref="CR422" authorId="1">
      <text>
        <r>
          <rPr>
            <b/>
            <sz val="9"/>
            <color indexed="81"/>
            <rFont val="Tahoma"/>
            <family val="2"/>
          </rPr>
          <t>Ben Zerman:</t>
        </r>
        <r>
          <rPr>
            <sz val="9"/>
            <color indexed="81"/>
            <rFont val="Tahoma"/>
            <family val="2"/>
          </rPr>
          <t xml:space="preserve">
reported +1.7%</t>
        </r>
      </text>
    </comment>
    <comment ref="CV422" authorId="1">
      <text>
        <r>
          <rPr>
            <b/>
            <sz val="9"/>
            <color indexed="81"/>
            <rFont val="Tahoma"/>
            <family val="2"/>
          </rPr>
          <t>Ben Zerman:</t>
        </r>
        <r>
          <rPr>
            <sz val="9"/>
            <color indexed="81"/>
            <rFont val="Tahoma"/>
            <family val="2"/>
          </rPr>
          <t xml:space="preserve">
includes 60bps benefit from installment billing</t>
        </r>
      </text>
    </comment>
    <comment ref="CW422" authorId="1">
      <text>
        <r>
          <rPr>
            <b/>
            <sz val="9"/>
            <color indexed="81"/>
            <rFont val="Tahoma"/>
            <family val="2"/>
          </rPr>
          <t>Ben Zerman:</t>
        </r>
        <r>
          <rPr>
            <sz val="9"/>
            <color indexed="81"/>
            <rFont val="Tahoma"/>
            <family val="2"/>
          </rPr>
          <t xml:space="preserve">
includes 80bps benefit from installment billing</t>
        </r>
      </text>
    </comment>
    <comment ref="CX422" authorId="1">
      <text>
        <r>
          <rPr>
            <b/>
            <sz val="9"/>
            <color indexed="81"/>
            <rFont val="Tahoma"/>
            <family val="2"/>
          </rPr>
          <t>Ben Zerman:</t>
        </r>
        <r>
          <rPr>
            <sz val="9"/>
            <color indexed="81"/>
            <rFont val="Tahoma"/>
            <family val="2"/>
          </rPr>
          <t xml:space="preserve">
includes 130bps benefit from installment billing</t>
        </r>
      </text>
    </comment>
    <comment ref="CY422" authorId="1">
      <text>
        <r>
          <rPr>
            <b/>
            <sz val="9"/>
            <color indexed="81"/>
            <rFont val="Tahoma"/>
            <family val="2"/>
          </rPr>
          <t>Ben Zerman:</t>
        </r>
        <r>
          <rPr>
            <sz val="9"/>
            <color indexed="81"/>
            <rFont val="Tahoma"/>
            <family val="2"/>
          </rPr>
          <t xml:space="preserve">
includes 110bps benefit from installment billing</t>
        </r>
      </text>
    </comment>
    <comment ref="CZ422" authorId="1">
      <text>
        <r>
          <rPr>
            <b/>
            <sz val="9"/>
            <color indexed="81"/>
            <rFont val="Tahoma"/>
            <family val="2"/>
          </rPr>
          <t>Ben Zerman:</t>
        </r>
        <r>
          <rPr>
            <sz val="9"/>
            <color indexed="81"/>
            <rFont val="Tahoma"/>
            <family val="2"/>
          </rPr>
          <t xml:space="preserve">
includes 30bps benefit from installment billing</t>
        </r>
      </text>
    </comment>
    <comment ref="DD423" authorId="1">
      <text>
        <r>
          <rPr>
            <b/>
            <sz val="9"/>
            <color indexed="81"/>
            <rFont val="Tahoma"/>
            <family val="2"/>
          </rPr>
          <t>Ben Zerman:</t>
        </r>
        <r>
          <rPr>
            <sz val="9"/>
            <color indexed="81"/>
            <rFont val="Tahoma"/>
            <family val="2"/>
          </rPr>
          <t xml:space="preserve">
$30 million GP impact 
20 bps GM impact</t>
        </r>
      </text>
    </comment>
    <comment ref="DE423" authorId="1">
      <text>
        <r>
          <rPr>
            <b/>
            <sz val="9"/>
            <color indexed="81"/>
            <rFont val="Tahoma"/>
            <family val="2"/>
          </rPr>
          <t>Ben Zerman:</t>
        </r>
        <r>
          <rPr>
            <sz val="9"/>
            <color indexed="81"/>
            <rFont val="Tahoma"/>
            <family val="2"/>
          </rPr>
          <t xml:space="preserve">
$30 million GP impact 
20 bps GM impact</t>
        </r>
      </text>
    </comment>
    <comment ref="CT424" authorId="1">
      <text>
        <r>
          <rPr>
            <b/>
            <sz val="9"/>
            <color indexed="81"/>
            <rFont val="Tahoma"/>
            <family val="2"/>
          </rPr>
          <t>Ben Zerman:</t>
        </r>
        <r>
          <rPr>
            <sz val="9"/>
            <color indexed="81"/>
            <rFont val="Tahoma"/>
            <family val="2"/>
          </rPr>
          <t xml:space="preserve">
-$63m / -80 bps partially offset by +$16m / +20 bps  of non-recurring financial benefits assoc w/ the transitional economics of the new cc agreement</t>
        </r>
      </text>
    </comment>
    <comment ref="CU424" authorId="1">
      <text>
        <r>
          <rPr>
            <b/>
            <sz val="9"/>
            <color indexed="81"/>
            <rFont val="Tahoma"/>
            <family val="2"/>
          </rPr>
          <t>Ben Zerman:</t>
        </r>
        <r>
          <rPr>
            <sz val="9"/>
            <color indexed="81"/>
            <rFont val="Tahoma"/>
            <family val="2"/>
          </rPr>
          <t xml:space="preserve">
-$20m</t>
        </r>
      </text>
    </comment>
    <comment ref="CV424" authorId="1">
      <text>
        <r>
          <rPr>
            <b/>
            <sz val="9"/>
            <color indexed="81"/>
            <rFont val="Tahoma"/>
            <family val="2"/>
          </rPr>
          <t>Ben Zerman:</t>
        </r>
        <r>
          <rPr>
            <sz val="9"/>
            <color indexed="81"/>
            <rFont val="Tahoma"/>
            <family val="2"/>
          </rPr>
          <t xml:space="preserve">
$59m</t>
        </r>
      </text>
    </comment>
    <comment ref="CW424" authorId="1">
      <text>
        <r>
          <rPr>
            <b/>
            <sz val="9"/>
            <color indexed="81"/>
            <rFont val="Tahoma"/>
            <family val="2"/>
          </rPr>
          <t>Ben Zerman:</t>
        </r>
        <r>
          <rPr>
            <sz val="9"/>
            <color indexed="81"/>
            <rFont val="Tahoma"/>
            <family val="2"/>
          </rPr>
          <t xml:space="preserve">
$68m</t>
        </r>
      </text>
    </comment>
    <comment ref="CX424" authorId="1">
      <text>
        <r>
          <rPr>
            <b/>
            <sz val="9"/>
            <color indexed="81"/>
            <rFont val="Tahoma"/>
            <family val="2"/>
          </rPr>
          <t>Ben Zerman:</t>
        </r>
        <r>
          <rPr>
            <sz val="9"/>
            <color indexed="81"/>
            <rFont val="Tahoma"/>
            <family val="2"/>
          </rPr>
          <t xml:space="preserve">
$40m</t>
        </r>
      </text>
    </comment>
    <comment ref="CQ425" authorId="1">
      <text>
        <r>
          <rPr>
            <b/>
            <sz val="9"/>
            <color indexed="81"/>
            <rFont val="Tahoma"/>
            <family val="2"/>
          </rPr>
          <t>Ben Zerman:</t>
        </r>
        <r>
          <rPr>
            <sz val="9"/>
            <color indexed="81"/>
            <rFont val="Tahoma"/>
            <family val="2"/>
          </rPr>
          <t xml:space="preserve">
would've been slightly positive w/o disruptions from non-core biz rationalization</t>
        </r>
      </text>
    </comment>
    <comment ref="DE427" authorId="1">
      <text>
        <r>
          <rPr>
            <b/>
            <sz val="9"/>
            <color indexed="81"/>
            <rFont val="Tahoma"/>
            <family val="2"/>
          </rPr>
          <t>Ben Zerman:</t>
        </r>
        <r>
          <rPr>
            <sz val="9"/>
            <color indexed="81"/>
            <rFont val="Tahoma"/>
            <family val="2"/>
          </rPr>
          <t xml:space="preserve">
$200m</t>
        </r>
      </text>
    </comment>
    <comment ref="DE428" authorId="1">
      <text>
        <r>
          <rPr>
            <b/>
            <sz val="9"/>
            <color indexed="81"/>
            <rFont val="Tahoma"/>
            <family val="2"/>
          </rPr>
          <t>Ben Zerman:</t>
        </r>
        <r>
          <rPr>
            <sz val="9"/>
            <color indexed="81"/>
            <rFont val="Tahoma"/>
            <family val="2"/>
          </rPr>
          <t xml:space="preserve">
est. $100-$200m</t>
        </r>
      </text>
    </comment>
    <comment ref="CQ429" authorId="1">
      <text>
        <r>
          <rPr>
            <b/>
            <sz val="9"/>
            <color indexed="81"/>
            <rFont val="Tahoma"/>
            <family val="2"/>
          </rPr>
          <t>Ben Zerman:</t>
        </r>
        <r>
          <rPr>
            <sz val="9"/>
            <color indexed="81"/>
            <rFont val="Tahoma"/>
            <family val="2"/>
          </rPr>
          <t xml:space="preserve">
would've been slightly positive w/o disruptions from non-core biz rationalization</t>
        </r>
      </text>
    </comment>
    <comment ref="EW432" authorId="1">
      <text>
        <r>
          <rPr>
            <b/>
            <sz val="9"/>
            <color indexed="81"/>
            <rFont val="Tahoma"/>
            <family val="2"/>
          </rPr>
          <t>Ben Zerman:</t>
        </r>
        <r>
          <rPr>
            <sz val="9"/>
            <color indexed="81"/>
            <rFont val="Tahoma"/>
            <family val="2"/>
          </rPr>
          <t xml:space="preserve">
10K</t>
        </r>
      </text>
    </comment>
    <comment ref="EX432" authorId="1">
      <text>
        <r>
          <rPr>
            <b/>
            <sz val="9"/>
            <color indexed="81"/>
            <rFont val="Tahoma"/>
            <family val="2"/>
          </rPr>
          <t>Ben Zerman:</t>
        </r>
        <r>
          <rPr>
            <sz val="9"/>
            <color indexed="81"/>
            <rFont val="Tahoma"/>
            <family val="2"/>
          </rPr>
          <t xml:space="preserve">
10K</t>
        </r>
      </text>
    </comment>
    <comment ref="DE433" authorId="1">
      <text>
        <r>
          <rPr>
            <b/>
            <sz val="9"/>
            <color indexed="81"/>
            <rFont val="Tahoma"/>
            <family val="2"/>
          </rPr>
          <t>Ben Zerman:</t>
        </r>
        <r>
          <rPr>
            <sz val="9"/>
            <color indexed="81"/>
            <rFont val="Tahoma"/>
            <family val="2"/>
          </rPr>
          <t xml:space="preserve">
65 bps benefit</t>
        </r>
      </text>
    </comment>
    <comment ref="A440" authorId="1">
      <text>
        <r>
          <rPr>
            <b/>
            <sz val="9"/>
            <color indexed="81"/>
            <rFont val="Tahoma"/>
            <family val="2"/>
          </rPr>
          <t>Ben Zerman:</t>
        </r>
        <r>
          <rPr>
            <sz val="9"/>
            <color indexed="81"/>
            <rFont val="Tahoma"/>
            <family val="2"/>
          </rPr>
          <t xml:space="preserve">
100% GM</t>
        </r>
      </text>
    </comment>
    <comment ref="DD440" authorId="1">
      <text>
        <r>
          <rPr>
            <b/>
            <sz val="9"/>
            <color indexed="81"/>
            <rFont val="Tahoma"/>
            <family val="2"/>
          </rPr>
          <t>Ben Zerman:</t>
        </r>
        <r>
          <rPr>
            <sz val="9"/>
            <color indexed="81"/>
            <rFont val="Tahoma"/>
            <family val="2"/>
          </rPr>
          <t xml:space="preserve">
20 bps headwind</t>
        </r>
      </text>
    </comment>
    <comment ref="DE440" authorId="1">
      <text>
        <r>
          <rPr>
            <b/>
            <sz val="9"/>
            <color indexed="81"/>
            <rFont val="Tahoma"/>
            <family val="2"/>
          </rPr>
          <t>Ben Zerman:</t>
        </r>
        <r>
          <rPr>
            <sz val="9"/>
            <color indexed="81"/>
            <rFont val="Tahoma"/>
            <family val="2"/>
          </rPr>
          <t xml:space="preserve">
20 bps headwind</t>
        </r>
      </text>
    </comment>
    <comment ref="DF440" authorId="1">
      <text>
        <r>
          <rPr>
            <b/>
            <sz val="9"/>
            <color indexed="81"/>
            <rFont val="Tahoma"/>
            <family val="2"/>
          </rPr>
          <t>Ben Zerman:</t>
        </r>
        <r>
          <rPr>
            <sz val="9"/>
            <color indexed="81"/>
            <rFont val="Tahoma"/>
            <family val="2"/>
          </rPr>
          <t xml:space="preserve">
X bps headwind
this is all from Canada</t>
        </r>
      </text>
    </comment>
  </commentList>
</comments>
</file>

<file path=xl/comments4.xml><?xml version="1.0" encoding="utf-8"?>
<comments xmlns="http://schemas.openxmlformats.org/spreadsheetml/2006/main">
  <authors>
    <author xml:space="preserve"> </author>
    <author>Ben Zerman</author>
  </authors>
  <commentList>
    <comment ref="BV4" authorId="0">
      <text>
        <r>
          <rPr>
            <sz val="9"/>
            <color indexed="81"/>
            <rFont val="Tahoma"/>
            <family val="2"/>
          </rPr>
          <t xml:space="preserve"> 
Not pro-forma</t>
        </r>
      </text>
    </comment>
    <comment ref="CE7" authorId="0">
      <text>
        <r>
          <rPr>
            <sz val="9"/>
            <color indexed="81"/>
            <rFont val="Tahoma"/>
            <family val="2"/>
          </rPr>
          <t xml:space="preserve"> 
Includes proceeds from Sale of BBY Europe</t>
        </r>
      </text>
    </comment>
    <comment ref="BK9" authorId="0">
      <text>
        <r>
          <rPr>
            <sz val="9"/>
            <color indexed="81"/>
            <rFont val="Tahoma"/>
            <family val="2"/>
          </rPr>
          <t xml:space="preserve"> 
$1,186 from CPW</t>
        </r>
      </text>
    </comment>
    <comment ref="CE9" authorId="0">
      <text>
        <r>
          <rPr>
            <sz val="9"/>
            <color indexed="81"/>
            <rFont val="Tahoma"/>
            <family val="2"/>
          </rPr>
          <t xml:space="preserve"> 
Increase due to LCD settlement and the remaining receivables from BBY Europe</t>
        </r>
      </text>
    </comment>
    <comment ref="BK10" authorId="0">
      <text>
        <r>
          <rPr>
            <sz val="9"/>
            <color indexed="81"/>
            <rFont val="Tahoma"/>
            <family val="2"/>
          </rPr>
          <t xml:space="preserve"> 
includes $543 of CPW inventories added for first time</t>
        </r>
      </text>
    </comment>
    <comment ref="BX10" authorId="0">
      <text>
        <r>
          <rPr>
            <sz val="9"/>
            <color indexed="81"/>
            <rFont val="Tahoma"/>
            <family val="2"/>
          </rPr>
          <t xml:space="preserve"> 
Not pro-forma … so 3Q12/3Q11 was actually an increase</t>
        </r>
      </text>
    </comment>
    <comment ref="CD11" authorId="0">
      <text>
        <r>
          <rPr>
            <sz val="9"/>
            <color indexed="81"/>
            <rFont val="Tahoma"/>
            <family val="2"/>
          </rPr>
          <t xml:space="preserve"> 
Includes $1,879 from CPW sale</t>
        </r>
      </text>
    </comment>
    <comment ref="BK17" authorId="0">
      <text>
        <r>
          <rPr>
            <sz val="9"/>
            <color indexed="81"/>
            <rFont val="Tahoma"/>
            <family val="2"/>
          </rPr>
          <t xml:space="preserve"> 
$1,491 from CPW</t>
        </r>
      </text>
    </comment>
    <comment ref="CD20" authorId="0">
      <text>
        <r>
          <rPr>
            <sz val="9"/>
            <color indexed="81"/>
            <rFont val="Tahoma"/>
            <family val="2"/>
          </rPr>
          <t xml:space="preserve"> 
Includes 471 from CPW</t>
        </r>
      </text>
    </comment>
    <comment ref="BK24" authorId="0">
      <text>
        <r>
          <rPr>
            <sz val="9"/>
            <color indexed="81"/>
            <rFont val="Tahoma"/>
            <family val="2"/>
          </rPr>
          <t xml:space="preserve"> 
$814 from CPW</t>
        </r>
      </text>
    </comment>
    <comment ref="A27" authorId="1">
      <text>
        <r>
          <rPr>
            <sz val="9"/>
            <color indexed="81"/>
            <rFont val="Tahoma"/>
            <family val="2"/>
          </rPr>
          <t>includes:
1) deferred revenue
2) accrued liabilities
3) accrued income taxes</t>
        </r>
      </text>
    </comment>
    <comment ref="BK27" authorId="0">
      <text>
        <r>
          <rPr>
            <sz val="9"/>
            <color indexed="81"/>
            <rFont val="Tahoma"/>
            <family val="2"/>
          </rPr>
          <t xml:space="preserve"> 
$694 from CPW</t>
        </r>
      </text>
    </comment>
    <comment ref="CD27" authorId="0">
      <text>
        <r>
          <rPr>
            <sz val="9"/>
            <color indexed="81"/>
            <rFont val="Tahoma"/>
            <family val="2"/>
          </rPr>
          <t xml:space="preserve"> 
Includes $1,385 from CPW</t>
        </r>
      </text>
    </comment>
    <comment ref="CQ27" authorId="1">
      <text>
        <r>
          <rPr>
            <b/>
            <sz val="9"/>
            <color indexed="81"/>
            <rFont val="Tahoma"/>
            <family val="2"/>
          </rPr>
          <t>Ben Zerman:</t>
        </r>
        <r>
          <rPr>
            <sz val="9"/>
            <color indexed="81"/>
            <rFont val="Tahoma"/>
            <family val="2"/>
          </rPr>
          <t xml:space="preserve">
3 line items</t>
        </r>
      </text>
    </comment>
    <comment ref="BK32" authorId="0">
      <text>
        <r>
          <rPr>
            <sz val="9"/>
            <color indexed="81"/>
            <rFont val="Tahoma"/>
            <family val="2"/>
          </rPr>
          <t xml:space="preserve"> 
37 from CPW</t>
        </r>
      </text>
    </comment>
    <comment ref="EA32" authorId="0">
      <text>
        <r>
          <rPr>
            <sz val="9"/>
            <color indexed="81"/>
            <rFont val="Tahoma"/>
            <family val="2"/>
          </rPr>
          <t xml:space="preserve">  $2.1bn investment.  Assumption $1.1bn cash, $1bn new debt</t>
        </r>
      </text>
    </comment>
    <comment ref="BK34" authorId="0">
      <text>
        <r>
          <rPr>
            <sz val="9"/>
            <color indexed="81"/>
            <rFont val="Tahoma"/>
            <family val="2"/>
          </rPr>
          <t xml:space="preserve"> 
$682 from CPW</t>
        </r>
      </text>
    </comment>
    <comment ref="CO39" authorId="0">
      <text>
        <r>
          <rPr>
            <sz val="9"/>
            <color indexed="81"/>
            <rFont val="Tahoma"/>
            <family val="2"/>
          </rPr>
          <t>Prepaid share repurchase</t>
        </r>
      </text>
    </comment>
    <comment ref="CJ40" authorId="0">
      <text>
        <r>
          <rPr>
            <sz val="9"/>
            <color indexed="81"/>
            <rFont val="Tahoma"/>
            <family val="2"/>
          </rPr>
          <t>update with 10K</t>
        </r>
      </text>
    </comment>
  </commentList>
</comments>
</file>

<file path=xl/comments5.xml><?xml version="1.0" encoding="utf-8"?>
<comments xmlns="http://schemas.openxmlformats.org/spreadsheetml/2006/main">
  <authors>
    <author xml:space="preserve"> </author>
    <author>Ben Zerman</author>
    <author>Siber</author>
  </authors>
  <commentList>
    <comment ref="EJ32" authorId="0">
      <text>
        <r>
          <rPr>
            <sz val="9"/>
            <color indexed="81"/>
            <rFont val="Tahoma"/>
            <family val="2"/>
          </rPr>
          <t xml:space="preserve">  $650-$700M</t>
        </r>
      </text>
    </comment>
    <comment ref="EK32" authorId="1">
      <text>
        <r>
          <rPr>
            <b/>
            <sz val="9"/>
            <color indexed="81"/>
            <rFont val="Tahoma"/>
            <family val="2"/>
          </rPr>
          <t>Ben Zerman:</t>
        </r>
        <r>
          <rPr>
            <sz val="9"/>
            <color indexed="81"/>
            <rFont val="Tahoma"/>
            <family val="2"/>
          </rPr>
          <t xml:space="preserve">
4Q15: $650-$700 million
1Q16: </t>
        </r>
      </text>
    </comment>
    <comment ref="EL32" authorId="2">
      <text>
        <r>
          <rPr>
            <b/>
            <sz val="9"/>
            <color indexed="81"/>
            <rFont val="Tahoma"/>
            <family val="2"/>
          </rPr>
          <t>Siber:</t>
        </r>
        <r>
          <rPr>
            <sz val="9"/>
            <color indexed="81"/>
            <rFont val="Tahoma"/>
            <family val="2"/>
          </rPr>
          <t xml:space="preserve">
2017 Inv Day: 700m</t>
        </r>
      </text>
    </comment>
    <comment ref="EM32" authorId="2">
      <text>
        <r>
          <rPr>
            <b/>
            <sz val="9"/>
            <color indexed="81"/>
            <rFont val="Tahoma"/>
            <family val="2"/>
          </rPr>
          <t>Siber:</t>
        </r>
        <r>
          <rPr>
            <sz val="9"/>
            <color indexed="81"/>
            <rFont val="Tahoma"/>
            <family val="2"/>
          </rPr>
          <t xml:space="preserve">
4Q17: $850-$900m</t>
        </r>
      </text>
    </comment>
    <comment ref="EN32" authorId="2">
      <text>
        <r>
          <rPr>
            <b/>
            <sz val="9"/>
            <color indexed="81"/>
            <rFont val="Tahoma"/>
            <family val="2"/>
          </rPr>
          <t>Siber:</t>
        </r>
        <r>
          <rPr>
            <sz val="9"/>
            <color indexed="81"/>
            <rFont val="Tahoma"/>
            <family val="2"/>
          </rPr>
          <t xml:space="preserve">
2017 Inv Day: 750-850</t>
        </r>
      </text>
    </comment>
    <comment ref="EO32" authorId="2">
      <text>
        <r>
          <rPr>
            <b/>
            <sz val="9"/>
            <color indexed="81"/>
            <rFont val="Tahoma"/>
            <family val="2"/>
          </rPr>
          <t>Siber:</t>
        </r>
        <r>
          <rPr>
            <sz val="9"/>
            <color indexed="81"/>
            <rFont val="Tahoma"/>
            <family val="2"/>
          </rPr>
          <t xml:space="preserve">
2017 Inv Day: 750-850</t>
        </r>
      </text>
    </comment>
    <comment ref="EP32" authorId="2">
      <text>
        <r>
          <rPr>
            <b/>
            <sz val="9"/>
            <color indexed="81"/>
            <rFont val="Tahoma"/>
            <family val="2"/>
          </rPr>
          <t>Siber:</t>
        </r>
        <r>
          <rPr>
            <sz val="9"/>
            <color indexed="81"/>
            <rFont val="Tahoma"/>
            <family val="2"/>
          </rPr>
          <t xml:space="preserve">
2017 Inv Day: 750-850</t>
        </r>
      </text>
    </comment>
    <comment ref="CQ34" authorId="1">
      <text>
        <r>
          <rPr>
            <b/>
            <sz val="9"/>
            <color indexed="81"/>
            <rFont val="Tahoma"/>
            <family val="2"/>
          </rPr>
          <t>Ben Zerman:</t>
        </r>
        <r>
          <rPr>
            <sz val="9"/>
            <color indexed="81"/>
            <rFont val="Tahoma"/>
            <family val="2"/>
          </rPr>
          <t xml:space="preserve">
2 line items</t>
        </r>
      </text>
    </comment>
    <comment ref="BF45" authorId="0">
      <text>
        <r>
          <rPr>
            <sz val="9"/>
            <color indexed="81"/>
            <rFont val="Tahoma"/>
            <family val="2"/>
          </rPr>
          <t xml:space="preserve"> 
repurchase was $412mm, the $300mm net of issuance is our estimate, which factors in issuance of common stock due to options exercising.</t>
        </r>
      </text>
    </comment>
    <comment ref="BH45" authorId="0">
      <text>
        <r>
          <rPr>
            <sz val="9"/>
            <color indexed="81"/>
            <rFont val="Tahoma"/>
            <family val="2"/>
          </rPr>
          <t xml:space="preserve"> 
ytd, bought back 65.5mn shares</t>
        </r>
      </text>
    </comment>
    <comment ref="CT59" authorId="1">
      <text>
        <r>
          <rPr>
            <b/>
            <sz val="9"/>
            <color indexed="81"/>
            <rFont val="Tahoma"/>
            <family val="2"/>
          </rPr>
          <t>Ben Zerman:</t>
        </r>
        <r>
          <rPr>
            <sz val="9"/>
            <color indexed="81"/>
            <rFont val="Tahoma"/>
            <family val="2"/>
          </rPr>
          <t xml:space="preserve">
restatement -- BOP cash balance changed but restated B/Ss &amp; CF statements have not been disclosed</t>
        </r>
      </text>
    </comment>
    <comment ref="AX62" authorId="0">
      <text>
        <r>
          <rPr>
            <sz val="9"/>
            <color indexed="81"/>
            <rFont val="Tahoma"/>
            <family val="2"/>
          </rPr>
          <t xml:space="preserve"> 
beginning of period cash is off by $116mn from May-05 in 10Q.  Restated value is $354mn.</t>
        </r>
      </text>
    </comment>
    <comment ref="CT65" authorId="1">
      <text>
        <r>
          <rPr>
            <b/>
            <sz val="9"/>
            <color indexed="81"/>
            <rFont val="Tahoma"/>
            <family val="2"/>
          </rPr>
          <t>Ben Zerman:</t>
        </r>
        <r>
          <rPr>
            <sz val="9"/>
            <color indexed="81"/>
            <rFont val="Tahoma"/>
            <family val="2"/>
          </rPr>
          <t xml:space="preserve">
off by $10m due to restatement -- BOP cash balance changed but restated B/Ss &amp; CF statements have not been disclosed</t>
        </r>
      </text>
    </comment>
    <comment ref="EI82" authorId="1">
      <text>
        <r>
          <rPr>
            <b/>
            <sz val="9"/>
            <color indexed="81"/>
            <rFont val="Tahoma"/>
            <family val="2"/>
          </rPr>
          <t>Ben Zerman:</t>
        </r>
        <r>
          <rPr>
            <sz val="9"/>
            <color indexed="81"/>
            <rFont val="Tahoma"/>
            <family val="2"/>
          </rPr>
          <t xml:space="preserve">
reported $551m per CY16 10K</t>
        </r>
      </text>
    </comment>
    <comment ref="CQ93" authorId="1">
      <text>
        <r>
          <rPr>
            <b/>
            <sz val="9"/>
            <color indexed="81"/>
            <rFont val="Tahoma"/>
            <family val="2"/>
          </rPr>
          <t>Ben Zerman:</t>
        </r>
        <r>
          <rPr>
            <sz val="9"/>
            <color indexed="81"/>
            <rFont val="Tahoma"/>
            <family val="2"/>
          </rPr>
          <t xml:space="preserve">
$0.28 dividend (6/14 ex-date, 7/5 pmt date)
$0.45 special dividend</t>
        </r>
      </text>
    </comment>
    <comment ref="CT93" authorId="1">
      <text>
        <r>
          <rPr>
            <b/>
            <sz val="9"/>
            <color indexed="81"/>
            <rFont val="Tahoma"/>
            <family val="2"/>
          </rPr>
          <t>Ben Zerman:</t>
        </r>
        <r>
          <rPr>
            <sz val="9"/>
            <color indexed="81"/>
            <rFont val="Tahoma"/>
            <family val="2"/>
          </rPr>
          <t xml:space="preserve">
+21% increase announced 3/1/17</t>
        </r>
      </text>
    </comment>
    <comment ref="EM94" authorId="2">
      <text>
        <r>
          <rPr>
            <b/>
            <sz val="9"/>
            <color indexed="81"/>
            <rFont val="Tahoma"/>
            <family val="2"/>
          </rPr>
          <t>Siber:</t>
        </r>
        <r>
          <rPr>
            <sz val="9"/>
            <color indexed="81"/>
            <rFont val="Tahoma"/>
            <family val="2"/>
          </rPr>
          <t xml:space="preserve">
4Q17: 35-45%</t>
        </r>
      </text>
    </comment>
  </commentList>
</comments>
</file>

<file path=xl/sharedStrings.xml><?xml version="1.0" encoding="utf-8"?>
<sst xmlns="http://schemas.openxmlformats.org/spreadsheetml/2006/main" count="4168" uniqueCount="1116">
  <si>
    <t>BBY</t>
  </si>
  <si>
    <t>EBITDA Margin</t>
  </si>
  <si>
    <t>Operating Margin</t>
  </si>
  <si>
    <t>Net Margin</t>
  </si>
  <si>
    <t>% 2yr Change</t>
  </si>
  <si>
    <t>Shares Outstanding</t>
  </si>
  <si>
    <t>2Q09</t>
  </si>
  <si>
    <t>3Q09</t>
  </si>
  <si>
    <t>4Q09</t>
  </si>
  <si>
    <t>1Q10</t>
  </si>
  <si>
    <t>2Q10</t>
  </si>
  <si>
    <t>3Q10</t>
  </si>
  <si>
    <t>4Q10</t>
  </si>
  <si>
    <t>Total Liabilities</t>
  </si>
  <si>
    <t>Other Cumulative Income (Loss)</t>
  </si>
  <si>
    <t>COGS</t>
  </si>
  <si>
    <t>SG&amp;A</t>
  </si>
  <si>
    <t>Tax Rate</t>
  </si>
  <si>
    <t>Domestic COGS</t>
  </si>
  <si>
    <t>Productivity Factor</t>
  </si>
  <si>
    <t>Total Sales - Domestic</t>
  </si>
  <si>
    <t>Total Sales - International</t>
  </si>
  <si>
    <t>International COGS</t>
  </si>
  <si>
    <t>International Gross Profit</t>
  </si>
  <si>
    <t>International SG&amp;A</t>
  </si>
  <si>
    <t>International Operating Profit</t>
  </si>
  <si>
    <t xml:space="preserve">International Mix  </t>
  </si>
  <si>
    <t>International Sales</t>
  </si>
  <si>
    <t>Domestic Sales</t>
  </si>
  <si>
    <t>Net Sales</t>
  </si>
  <si>
    <t>Cost of Goods Sold</t>
  </si>
  <si>
    <t>Gross Profit</t>
  </si>
  <si>
    <t>D&amp;A</t>
  </si>
  <si>
    <t>Liabilities and Shareholders' Equity</t>
  </si>
  <si>
    <t>1Q09</t>
  </si>
  <si>
    <t>Total Company Stores</t>
  </si>
  <si>
    <t>Adjusted Gross Debt/EBITDAR</t>
  </si>
  <si>
    <t>Adjusted Net Debt/EBITDAR</t>
  </si>
  <si>
    <t>Total # of Stores (End of Period)</t>
  </si>
  <si>
    <t>Average # of Stores</t>
  </si>
  <si>
    <t>Total Square Footage (000s)</t>
  </si>
  <si>
    <t>Average Store Square Footage</t>
  </si>
  <si>
    <t>Square Footage (End of Period)</t>
  </si>
  <si>
    <t>Total # of Stores</t>
  </si>
  <si>
    <t xml:space="preserve">% Change </t>
  </si>
  <si>
    <t>Net Debt (Cash)</t>
  </si>
  <si>
    <t xml:space="preserve">Check </t>
  </si>
  <si>
    <t>EPS - After-tax Interest on Convertible Debt</t>
  </si>
  <si>
    <t>Investing Activities</t>
  </si>
  <si>
    <t>Total Current Liabilities</t>
  </si>
  <si>
    <t>Long-Term Debt</t>
  </si>
  <si>
    <t>Total Company Square Footage</t>
  </si>
  <si>
    <t>Reported Square Footage (000's):</t>
  </si>
  <si>
    <t>Income Statement</t>
  </si>
  <si>
    <t>Non-Cash Working Capital</t>
  </si>
  <si>
    <t>Change in Non-Cash WC</t>
  </si>
  <si>
    <t>Inventory Ratios</t>
  </si>
  <si>
    <t>vs. Sales Growth (Delta)</t>
  </si>
  <si>
    <t>Inventory Net of Payables</t>
  </si>
  <si>
    <t>% Chg</t>
  </si>
  <si>
    <t>Inventory/Store (000's)</t>
  </si>
  <si>
    <t>Net Inventory/Store (000's)</t>
  </si>
  <si>
    <t>Net Income - Adjusted</t>
  </si>
  <si>
    <t xml:space="preserve">Avg. Square Footage (000's) </t>
  </si>
  <si>
    <t>Income Tax Expense</t>
  </si>
  <si>
    <t>as % of Revenue</t>
  </si>
  <si>
    <t>Rent X 8</t>
  </si>
  <si>
    <t>Net Cash From Financing</t>
  </si>
  <si>
    <t>Additional Paid-in Capital</t>
  </si>
  <si>
    <t>Retained Earnings</t>
  </si>
  <si>
    <t>Quick Ratio</t>
  </si>
  <si>
    <t>Discontinued Operations (net of NCI Disc Ops) - post tax</t>
  </si>
  <si>
    <t xml:space="preserve">EPS - Non-Recurring Items </t>
  </si>
  <si>
    <t>EPS - Discontinued Ops</t>
  </si>
  <si>
    <t>NM</t>
  </si>
  <si>
    <t xml:space="preserve">Domestic Mix  </t>
  </si>
  <si>
    <t>Weighted Average Square Feet:</t>
  </si>
  <si>
    <t>Reported Total Square Footage</t>
  </si>
  <si>
    <t>Estimated Total Square Footage</t>
  </si>
  <si>
    <t>U.S. BEST BUY STORES</t>
  </si>
  <si>
    <t>Best Buy Europe</t>
  </si>
  <si>
    <t>Best Buy Mobile Canada</t>
  </si>
  <si>
    <t>Discontinued Operations</t>
  </si>
  <si>
    <t>Net Operating Assets</t>
  </si>
  <si>
    <t>Future Shop</t>
  </si>
  <si>
    <t>Effect of Exchange Rate Changes on Cash</t>
  </si>
  <si>
    <t>Consumer Electronics</t>
  </si>
  <si>
    <t>Appliances</t>
  </si>
  <si>
    <t>Y/Y % Change</t>
  </si>
  <si>
    <t>20,000 square feet</t>
  </si>
  <si>
    <t xml:space="preserve">Total International Square Footage (End of Period) </t>
  </si>
  <si>
    <t>Rent Expense</t>
  </si>
  <si>
    <t>Advertising Expense</t>
  </si>
  <si>
    <t>Other SG&amp;A</t>
  </si>
  <si>
    <t>Total SG&amp;A</t>
  </si>
  <si>
    <t>Change In Working Capital</t>
  </si>
  <si>
    <t>Net Purchases and Redemptions</t>
  </si>
  <si>
    <t>Accrual Dividends</t>
  </si>
  <si>
    <t>ModelWare</t>
  </si>
  <si>
    <t>Net New Stores Opened</t>
  </si>
  <si>
    <t>Goodwill</t>
  </si>
  <si>
    <t>4Q12</t>
  </si>
  <si>
    <t>3Q06</t>
  </si>
  <si>
    <t>1990</t>
  </si>
  <si>
    <t>1991</t>
  </si>
  <si>
    <t>New Stores Opened</t>
  </si>
  <si>
    <t>NA</t>
  </si>
  <si>
    <t>Stores EOP</t>
  </si>
  <si>
    <t>Square Footage Growth</t>
  </si>
  <si>
    <t>Total Stores (by format):</t>
  </si>
  <si>
    <t>28,000 square feet</t>
  </si>
  <si>
    <t>30,000 square feet</t>
  </si>
  <si>
    <t>36,000 square feet</t>
  </si>
  <si>
    <t>Ending Square footage (000's):</t>
  </si>
  <si>
    <t>3Q07</t>
  </si>
  <si>
    <t>Depreciation</t>
  </si>
  <si>
    <t>ROE</t>
  </si>
  <si>
    <t>Interest Expense (Income)</t>
  </si>
  <si>
    <t>Stores (End of Period)</t>
  </si>
  <si>
    <t>Average Stores</t>
  </si>
  <si>
    <t>Average Square Footage Growth</t>
  </si>
  <si>
    <t>New Stores Opened, net</t>
  </si>
  <si>
    <t>-</t>
  </si>
  <si>
    <t>Assets</t>
  </si>
  <si>
    <t>Other Ratios</t>
  </si>
  <si>
    <t>1Q07</t>
  </si>
  <si>
    <t>Interest Expense</t>
  </si>
  <si>
    <t>Days Sales Outstanding</t>
  </si>
  <si>
    <t>Key Measures</t>
  </si>
  <si>
    <t>Liquidity Position</t>
  </si>
  <si>
    <t>Total Debt</t>
  </si>
  <si>
    <t>Unredeemed Gift Card Liabilities</t>
  </si>
  <si>
    <t>($ in millions, except per share)</t>
  </si>
  <si>
    <t>Beginning Cash and Equivalents</t>
  </si>
  <si>
    <t>Change in Cash and Equivalents</t>
  </si>
  <si>
    <t>Ending Cash and Equivalents</t>
  </si>
  <si>
    <t>Key Cash Flow Metrics</t>
  </si>
  <si>
    <t>Preferred Stock</t>
  </si>
  <si>
    <t>Common Stock</t>
  </si>
  <si>
    <t>Net Cash From Operations</t>
  </si>
  <si>
    <t>Net Cash Used In Investing</t>
  </si>
  <si>
    <t>Free Cash Flow</t>
  </si>
  <si>
    <t>Financing Activities</t>
  </si>
  <si>
    <t>45,000 square feet</t>
  </si>
  <si>
    <t>Check</t>
  </si>
  <si>
    <t>Total Capitalization</t>
  </si>
  <si>
    <t>Operating Efficiency</t>
  </si>
  <si>
    <t>Non Cash WC/Sales</t>
  </si>
  <si>
    <t>Current Ratio</t>
  </si>
  <si>
    <t xml:space="preserve">SG&amp;A Expenses per Store </t>
  </si>
  <si>
    <t xml:space="preserve">SG&amp;A Expenses per Store Growth </t>
  </si>
  <si>
    <t xml:space="preserve">Team Members </t>
  </si>
  <si>
    <t>Operating Income per Team Member</t>
  </si>
  <si>
    <t>Operating Profit per Sq. Ft.</t>
  </si>
  <si>
    <t>---</t>
  </si>
  <si>
    <t>BBY.N,mscalc:sharePriceCurrent</t>
  </si>
  <si>
    <t>$FB$2</t>
  </si>
  <si>
    <t>Sales</t>
  </si>
  <si>
    <t>Gross Shares Repurchased - #</t>
  </si>
  <si>
    <t>Gross Shares Repurchased - $</t>
  </si>
  <si>
    <t>Short-Term Debt</t>
  </si>
  <si>
    <t>Depreciation and Amortization</t>
  </si>
  <si>
    <t>Working Capital</t>
  </si>
  <si>
    <t>SG&amp;A Expense</t>
  </si>
  <si>
    <t>Buyback Price</t>
  </si>
  <si>
    <t>Stock Options/Other</t>
  </si>
  <si>
    <t>Margins (% of Sales)</t>
  </si>
  <si>
    <t>Advertising</t>
  </si>
  <si>
    <t>Other Income/Expense Net</t>
  </si>
  <si>
    <t>Pretax Margin</t>
  </si>
  <si>
    <t>Growth Analysis (Y/Y)</t>
  </si>
  <si>
    <t xml:space="preserve">EBITDA </t>
  </si>
  <si>
    <t>SG&amp;A (including depreciation and amortization)</t>
  </si>
  <si>
    <t>SG&amp;A (excluding depreciation and amortization)</t>
  </si>
  <si>
    <t>Ticker:</t>
  </si>
  <si>
    <t>Rating:</t>
  </si>
  <si>
    <t>Price Target:</t>
  </si>
  <si>
    <t>Industry:</t>
  </si>
  <si>
    <t>US Hardlines Retail</t>
  </si>
  <si>
    <t>Simeon Gutman</t>
  </si>
  <si>
    <t>(212) 761 - 3920</t>
  </si>
  <si>
    <t>simeon.gutman@morganstanley.com</t>
  </si>
  <si>
    <t>Best Buy Co. Inc.</t>
  </si>
  <si>
    <t>Best Buy Co Inc</t>
  </si>
  <si>
    <t>Comparable online sales % change</t>
  </si>
  <si>
    <t>Sales Per Store (in $ million)</t>
  </si>
  <si>
    <t>Other Long-Term Liabilities</t>
  </si>
  <si>
    <t>Net Income (Reported)</t>
  </si>
  <si>
    <t>Unrecorded Goodwill</t>
  </si>
  <si>
    <t>Pretax Income</t>
  </si>
  <si>
    <t>Comp Sales Analysis</t>
  </si>
  <si>
    <t>Leverage per bp of Comp</t>
  </si>
  <si>
    <t>Other Operating Metrics</t>
  </si>
  <si>
    <t>TTM Rent</t>
  </si>
  <si>
    <t>TTM EBIT</t>
  </si>
  <si>
    <t>TTM Taxes</t>
  </si>
  <si>
    <t xml:space="preserve">ROIC </t>
  </si>
  <si>
    <t>Less: Accumulated D&amp;A</t>
  </si>
  <si>
    <t>Net Property, Plant and Equipment</t>
  </si>
  <si>
    <t>Equity in Income of Affiliates</t>
  </si>
  <si>
    <t>Non-Recurring Charge - post tax</t>
  </si>
  <si>
    <t>TYC.N,mscalc:marketCapitalizationCurrent</t>
  </si>
  <si>
    <t>25,999.0310996379</t>
  </si>
  <si>
    <t>DOW.N,mscalc:marketCapitalizationCurrent</t>
  </si>
  <si>
    <t>40,919.2582414121</t>
  </si>
  <si>
    <t>2871505,mscalc:stockRating</t>
  </si>
  <si>
    <t>WLP.N,mscalc:marketCapitalizationCurrent</t>
  </si>
  <si>
    <t>25,094.0234061371</t>
  </si>
  <si>
    <t>2871505,mscalc:closePriceCurrencyCalc</t>
  </si>
  <si>
    <t>2094670,mscalc:stockRating</t>
  </si>
  <si>
    <t>CMCSA.O,mscalc:marketCapitalizationCurrent</t>
  </si>
  <si>
    <t>IQNT.O,mscalc:marketCapitalizationCurrent</t>
  </si>
  <si>
    <t>2094670,mscalc:msIndustryView</t>
  </si>
  <si>
    <t>GE.N,mscalc:marketCapitalizationCurrent</t>
  </si>
  <si>
    <t>2871505,mscalc:targetPrice</t>
  </si>
  <si>
    <t>CF.N,mscalc:marketCapitalizationCurrent</t>
  </si>
  <si>
    <t>2094670,mscalc:lastActualYearCalc</t>
  </si>
  <si>
    <t>2094670,mscalc:targetPrice</t>
  </si>
  <si>
    <t>2871505,mscalc:firstEstimatedYearfiscalAlignedCalc</t>
  </si>
  <si>
    <t>LYB.N,mscalc:marketCapitalizationCurrent</t>
  </si>
  <si>
    <t>FHN.N,mscalc:marketCapitalizationCurrent</t>
  </si>
  <si>
    <t>,mscalc:lastActualYearCalc</t>
  </si>
  <si>
    <t>VFC.N,mscalc:marketCapitalizationCurrent</t>
  </si>
  <si>
    <t>2871505,mscalc:lastActualYearCalc</t>
  </si>
  <si>
    <t>CVX.N,mscalc:marketCapitalizationCurrent</t>
  </si>
  <si>
    <t>2871505,mscalc:msIndustryView</t>
  </si>
  <si>
    <t>2094670,mscalc:closePriceCurrencyCalc</t>
  </si>
  <si>
    <t>OKE.N,mscalc:marketCapitalizationCurrent</t>
  </si>
  <si>
    <t>Investment Income and Other</t>
  </si>
  <si>
    <t>LINTA.O,mscalc:marketCapitalizationCurrent</t>
  </si>
  <si>
    <t>PENN.O,mscalc:marketCapitalizationCurrent</t>
  </si>
  <si>
    <t>CCI.N,mscalc:marketCapitalizationCurrent</t>
  </si>
  <si>
    <t>CBS.N,mscalc:marketCapitalizationCurrent</t>
  </si>
  <si>
    <t>HFC.N,mscalc:marketCapitalizationCurrent</t>
  </si>
  <si>
    <t>2871505,mscalc:firstEstimatedYearCalc</t>
  </si>
  <si>
    <t>2094670,mscalc:firstEstimatedYearfiscalAlignedCalc</t>
  </si>
  <si>
    <t>2094670,mscalc:firstEstimatedYearCalc</t>
  </si>
  <si>
    <t>GRFS.O,mscalc:marketCapitalizationCurrent</t>
  </si>
  <si>
    <t>CVH.N,mscalc:marketCapitalizationCurrent</t>
  </si>
  <si>
    <t>82,275.4665349937</t>
  </si>
  <si>
    <t>372.762937331009</t>
  </si>
  <si>
    <t>212,416.811045869</t>
  </si>
  <si>
    <t>13,272.4193826403</t>
  </si>
  <si>
    <t>25,952.3766444671</t>
  </si>
  <si>
    <t>2,707.39329257915</t>
  </si>
  <si>
    <t>16,809.324949426</t>
  </si>
  <si>
    <t>215,722.586038872</t>
  </si>
  <si>
    <t>9,112.1617038611</t>
  </si>
  <si>
    <t>11,054.5229449677</t>
  </si>
  <si>
    <t>6,383.77356310692</t>
  </si>
  <si>
    <t>15,424.261576351</t>
  </si>
  <si>
    <t>GPC.N,mscalc:netIncome,2010FY,,,USD</t>
  </si>
  <si>
    <t>GPC.N,mscalc:netIncomeReportedCalc,2001FY,,,USD</t>
  </si>
  <si>
    <t>GPC.N,mscalc:netIncomeReportedCalc,2000FY,,,USD</t>
  </si>
  <si>
    <t>GPC.N,mscalc:netIncome,2006FY,,,USD</t>
  </si>
  <si>
    <t>GPC.N,mscalc:sharePrice,2005FY,,,USD</t>
  </si>
  <si>
    <t>GPC.N,mscalc:currentBasicSharesOutstandingcalc</t>
  </si>
  <si>
    <t>GPC.N,mscalc:shareholdersEquity,2010FY,,,USD</t>
  </si>
  <si>
    <t>GPC.N,mscalc:shareholdersEquity,2004FY,,,USD</t>
  </si>
  <si>
    <t>GPC.N,mscalc:shareholdersEquity,2009FY,,,USD</t>
  </si>
  <si>
    <t>GPC.N,mscalc:netIncome,2003FY,,,USD</t>
  </si>
  <si>
    <t>GPC.N,mscalc:companyName</t>
  </si>
  <si>
    <t>GPC.N,mscalc:netIncomeReportedCalc,2008FY,,,USD</t>
  </si>
  <si>
    <t>GPC.N,mscalc:netIncome,2009FY,,,USD</t>
  </si>
  <si>
    <t>GPC.N,mscalc:netIncome,2008FY,,,USD</t>
  </si>
  <si>
    <t>GPC.N,mscalc:shareholdersEquity,2003FY,,,USD</t>
  </si>
  <si>
    <t>GPC.N,mscalc:netIncomeReportedCalc,2002FY,,,USD</t>
  </si>
  <si>
    <t>GPC.N,mscalc:netIncomeReportedCalc,2007FY,,,USD</t>
  </si>
  <si>
    <t>GPC.N,mscalc:netIncome,2007FY,,,USD</t>
  </si>
  <si>
    <t>GPC.N,mscalc:netIncome,2001FY,,,USD</t>
  </si>
  <si>
    <t>GPC.N,mscalc:netIncome,2000FY,,,USD</t>
  </si>
  <si>
    <t>GPC.N,mscalc:targetPrice,,,,USD</t>
  </si>
  <si>
    <t>GPC.N,mscalc:shareholdersEquity,2006FY,,,USD</t>
  </si>
  <si>
    <t>GPC.N,mscalc:netIncomeReportedCalc,2010FY,,,USD</t>
  </si>
  <si>
    <t>GPC.N,mscalc:shareholdersEquity,2005FY,,,USD</t>
  </si>
  <si>
    <t>GPC.N,mscalc:shareholdersEquity,2007FY,,,USD</t>
  </si>
  <si>
    <t>GPC.N,mscalc:netIncomeReportedCalc,2005FY,,,USD</t>
  </si>
  <si>
    <t>GPC.N,mscalc:netIncomeReportedCalc,2004FY,,,USD</t>
  </si>
  <si>
    <t>GPC.N,mscalc:netIncomeReportedCalc,2006FY,,,USD</t>
  </si>
  <si>
    <t>GPC.N,mscalc:netIncome,2002FY,,,USD</t>
  </si>
  <si>
    <t>GPC.N,mscalc:shareholdersEquity,2008FY,,,USD</t>
  </si>
  <si>
    <t>GPC.N,mscalc:netIncomeReportedCalc,2003FY,,,USD</t>
  </si>
  <si>
    <t>GPC.N,mscalc:shareholdersEquity,2000FY,,,USD</t>
  </si>
  <si>
    <t>GPC.N,mscalc:netIncomeReportedCalc,2009FY,,,USD</t>
  </si>
  <si>
    <t>GPC.N,mscalc:netIncome,2004FY,,,USD</t>
  </si>
  <si>
    <t>GPC.N,mscalc:shareholdersEquity,2001FY,,,USD</t>
  </si>
  <si>
    <t>GPC.N,mscalc:shareholdersEquity,2002FY,,,USD</t>
  </si>
  <si>
    <t>GPC.N,mscalc:netIncome,2005FY,,,USD</t>
  </si>
  <si>
    <t>Fiscal Year Ending in January</t>
  </si>
  <si>
    <t>22,630.901746988</t>
  </si>
  <si>
    <t>6,752.90918392004</t>
  </si>
  <si>
    <t>4,697.22420163</t>
  </si>
  <si>
    <t>4,994.92072526334</t>
  </si>
  <si>
    <t>Other Assets / Sales</t>
  </si>
  <si>
    <t>Other Short Term Assets / Sales</t>
  </si>
  <si>
    <t>Other Long Term Liabilities / Sales</t>
  </si>
  <si>
    <t>Debt/Equity</t>
  </si>
  <si>
    <t>Debt/Capitalization</t>
  </si>
  <si>
    <t>Debt/EBITDA</t>
  </si>
  <si>
    <t>Lease Adj Debt/EBITDAR</t>
  </si>
  <si>
    <t>1Q11</t>
  </si>
  <si>
    <t>Total Sales</t>
  </si>
  <si>
    <t>Total COGS</t>
  </si>
  <si>
    <t>Entertainment</t>
  </si>
  <si>
    <t>2Q12</t>
  </si>
  <si>
    <t>Computing and Mobile Phones</t>
  </si>
  <si>
    <t>New and Relocated Store Sales</t>
  </si>
  <si>
    <t>2Q11</t>
  </si>
  <si>
    <t xml:space="preserve">   Net Income</t>
  </si>
  <si>
    <t>Average New and Relocated Square Footage (000)</t>
  </si>
  <si>
    <t>Consolidated Revenue and Operating Profit</t>
  </si>
  <si>
    <t>BEST BUY MOBILE STANDALONE</t>
  </si>
  <si>
    <t xml:space="preserve">Total Liabilities and Shareholders' Equity </t>
  </si>
  <si>
    <t>Sales - Total Company</t>
  </si>
  <si>
    <t>Accrued Liabilities / Sales</t>
  </si>
  <si>
    <t>Unredeemed Gift Card Liabilities / Sales</t>
  </si>
  <si>
    <t>Payables / Inventory</t>
  </si>
  <si>
    <t>Payables / COGS</t>
  </si>
  <si>
    <t>Cash Conversion Cycle</t>
  </si>
  <si>
    <t>BBY.N</t>
  </si>
  <si>
    <t>USD</t>
  </si>
  <si>
    <t>Total Comp Store Sales</t>
  </si>
  <si>
    <t>BBY.N,mscalc:sedolCodeCalc</t>
  </si>
  <si>
    <t>BBY.N,mscalc:targetPrice,,,,USD</t>
  </si>
  <si>
    <t>BBY.N,mscalc:closePriceCurrencyCalc</t>
  </si>
  <si>
    <t>Net Income - Reported</t>
  </si>
  <si>
    <t>58,000 square feet</t>
  </si>
  <si>
    <t>New Stores (by format):</t>
  </si>
  <si>
    <t>New Stores</t>
  </si>
  <si>
    <t>Currency</t>
  </si>
  <si>
    <t>Current Stock Price</t>
  </si>
  <si>
    <t>Count</t>
  </si>
  <si>
    <t>EBITDAR</t>
  </si>
  <si>
    <t>% 2YR Change/Reported SSS</t>
  </si>
  <si>
    <t>bp Change</t>
  </si>
  <si>
    <t>Sales Per Average Store (in $ million)</t>
  </si>
  <si>
    <t>Average Square Footage (000)</t>
  </si>
  <si>
    <t>Ending Square Footage / Store</t>
  </si>
  <si>
    <t>Average Square Footage / Store</t>
  </si>
  <si>
    <t>Sales Per Square Foot</t>
  </si>
  <si>
    <t>2Q13</t>
  </si>
  <si>
    <t>New Stores Opened, Net</t>
  </si>
  <si>
    <t>Sales Per Average Square Foot</t>
  </si>
  <si>
    <t>Ending Square Footage (000s)</t>
  </si>
  <si>
    <t>3Q11</t>
  </si>
  <si>
    <t>4Q11</t>
  </si>
  <si>
    <t>Gross Margin</t>
  </si>
  <si>
    <t>Domestic Comp Store Sales</t>
  </si>
  <si>
    <t>Income Statement Data</t>
  </si>
  <si>
    <t>EBITDA</t>
  </si>
  <si>
    <t>Total Stores</t>
  </si>
  <si>
    <t>Organic Int'l Sales</t>
  </si>
  <si>
    <t>Impact of FX on Sales</t>
  </si>
  <si>
    <t>Domestic Gross Profit</t>
  </si>
  <si>
    <t>Domestic SG&amp;A</t>
  </si>
  <si>
    <t>Domestic Operating Profit</t>
  </si>
  <si>
    <t>Accounts Payable</t>
  </si>
  <si>
    <t>2010PF</t>
  </si>
  <si>
    <t>2011PF</t>
  </si>
  <si>
    <t>Accrued Salaries &amp; Related Expenses</t>
  </si>
  <si>
    <t>Accrued Liabilities</t>
  </si>
  <si>
    <t>English</t>
  </si>
  <si>
    <t>Comp Store Sales - Domestic</t>
  </si>
  <si>
    <t>Comp Store Sales - Int'l</t>
  </si>
  <si>
    <t>Comp Store Sales - Combined</t>
  </si>
  <si>
    <t>2-yr Stack - Domestic</t>
  </si>
  <si>
    <t>2-yr Stack - Int'l</t>
  </si>
  <si>
    <t>2-yr Stack - Combined</t>
  </si>
  <si>
    <t>3-yr Stack - Domestic</t>
  </si>
  <si>
    <t>3-yr Stack - Int'l</t>
  </si>
  <si>
    <t>3-yr Stack - Combined</t>
  </si>
  <si>
    <t>Current Portion of Long-Term Debt</t>
  </si>
  <si>
    <t>Geek Squad Stand Alone</t>
  </si>
  <si>
    <t>Minority Interest</t>
  </si>
  <si>
    <t>Ending Square Footage (000)</t>
  </si>
  <si>
    <t>New Store Sales</t>
  </si>
  <si>
    <t>Services</t>
  </si>
  <si>
    <t>ROAA</t>
  </si>
  <si>
    <t>Book Value per Share</t>
  </si>
  <si>
    <t>Receivables Turnover</t>
  </si>
  <si>
    <t>Inventory Turnover</t>
  </si>
  <si>
    <t>Payable Turnover</t>
  </si>
  <si>
    <t>-  Days Payable</t>
  </si>
  <si>
    <t>Days Tied Up/(Excess) Cash</t>
  </si>
  <si>
    <t>&lt;1%</t>
  </si>
  <si>
    <t xml:space="preserve">Entertainment </t>
  </si>
  <si>
    <t>2Q07</t>
  </si>
  <si>
    <t>3Q12</t>
  </si>
  <si>
    <t>Total New Stores</t>
  </si>
  <si>
    <t>Best Buy Express Mexico</t>
  </si>
  <si>
    <t>4Q13</t>
  </si>
  <si>
    <t>Operating Activities</t>
  </si>
  <si>
    <t>Store Detail</t>
  </si>
  <si>
    <t>1Q93</t>
  </si>
  <si>
    <t>2Q93</t>
  </si>
  <si>
    <t>3Q93</t>
  </si>
  <si>
    <t>4Q93</t>
  </si>
  <si>
    <t>1Q94</t>
  </si>
  <si>
    <t>2Q94</t>
  </si>
  <si>
    <t>3Q94</t>
  </si>
  <si>
    <t>4Q94</t>
  </si>
  <si>
    <t>1Q95</t>
  </si>
  <si>
    <t>2Q95</t>
  </si>
  <si>
    <t>3Q95</t>
  </si>
  <si>
    <t>4Q95</t>
  </si>
  <si>
    <t>1Q96</t>
  </si>
  <si>
    <t>2Q96</t>
  </si>
  <si>
    <t>3Q96</t>
  </si>
  <si>
    <t>4Q96</t>
  </si>
  <si>
    <t>1Q97</t>
  </si>
  <si>
    <t>2Q97</t>
  </si>
  <si>
    <t>3Q97</t>
  </si>
  <si>
    <t>4Q97</t>
  </si>
  <si>
    <t>1Q98</t>
  </si>
  <si>
    <t>2Q98</t>
  </si>
  <si>
    <t>3Q98</t>
  </si>
  <si>
    <t>4Q98</t>
  </si>
  <si>
    <t>1Q99</t>
  </si>
  <si>
    <t>2Q99</t>
  </si>
  <si>
    <t>3Q99</t>
  </si>
  <si>
    <t>4Q99</t>
  </si>
  <si>
    <t>1Q00</t>
  </si>
  <si>
    <t>2Q00</t>
  </si>
  <si>
    <t>3Q00</t>
  </si>
  <si>
    <t>4Q00</t>
  </si>
  <si>
    <t>1Q01</t>
  </si>
  <si>
    <t>2Q01</t>
  </si>
  <si>
    <t>3Q01</t>
  </si>
  <si>
    <t>4Q01</t>
  </si>
  <si>
    <t>1Q02</t>
  </si>
  <si>
    <t>2Q02</t>
  </si>
  <si>
    <t>3Q02</t>
  </si>
  <si>
    <t>4Q02</t>
  </si>
  <si>
    <t>1Q03</t>
  </si>
  <si>
    <t>2Q03</t>
  </si>
  <si>
    <t>3Q03</t>
  </si>
  <si>
    <t>4Q03</t>
  </si>
  <si>
    <t>1Q04</t>
  </si>
  <si>
    <t>2Q04</t>
  </si>
  <si>
    <t>3Q04</t>
  </si>
  <si>
    <t>4Q04</t>
  </si>
  <si>
    <t>1Q05</t>
  </si>
  <si>
    <t>2Q05</t>
  </si>
  <si>
    <t>3Q05</t>
  </si>
  <si>
    <t>4Q05</t>
  </si>
  <si>
    <t>Share Analysis</t>
  </si>
  <si>
    <t>Shares Issued</t>
  </si>
  <si>
    <t>Common Shares</t>
  </si>
  <si>
    <t>Beginning Common Shares Outstanding</t>
  </si>
  <si>
    <t>Shares Repurchased</t>
  </si>
  <si>
    <t>End of Period Basic Shares Outstanding</t>
  </si>
  <si>
    <t>Avg. Basic Shares Outstanding</t>
  </si>
  <si>
    <t>Ending Diluted Shares Outstanding</t>
  </si>
  <si>
    <t>% Comp Store Sales</t>
  </si>
  <si>
    <t>PACIFIC SALES KITCHEN &amp; BATH</t>
  </si>
  <si>
    <t>MAGNOLIA HI-FI STORES</t>
  </si>
  <si>
    <t>U.S. GEEK SQUAD STAND ALONE</t>
  </si>
  <si>
    <t>Total</t>
  </si>
  <si>
    <t>Best Buy Turkey</t>
  </si>
  <si>
    <t>Asset Turnover</t>
  </si>
  <si>
    <t>Financial Leverage</t>
  </si>
  <si>
    <t>Total Domestic Stores</t>
  </si>
  <si>
    <t>Geek Squad Stand Alone Canada</t>
  </si>
  <si>
    <t>Best Buy Mexico</t>
  </si>
  <si>
    <t>1Q08</t>
  </si>
  <si>
    <t>2Q08</t>
  </si>
  <si>
    <t>3Q08</t>
  </si>
  <si>
    <t>4Q08</t>
  </si>
  <si>
    <t>Income Taxes</t>
  </si>
  <si>
    <t>Net Income</t>
  </si>
  <si>
    <t>Total Assets</t>
  </si>
  <si>
    <t xml:space="preserve">Bear case </t>
  </si>
  <si>
    <t>Domestic Sales excluding Online sales</t>
  </si>
  <si>
    <t>Domestic Online Sales</t>
  </si>
  <si>
    <t>1Q14</t>
  </si>
  <si>
    <t>1Q06</t>
  </si>
  <si>
    <t>Cash and Equivalents</t>
  </si>
  <si>
    <t>Receivables</t>
  </si>
  <si>
    <t>Merchandise Inventories</t>
  </si>
  <si>
    <t>Other</t>
  </si>
  <si>
    <t>Total Current Assets</t>
  </si>
  <si>
    <t xml:space="preserve">Change in cash due to restatement </t>
  </si>
  <si>
    <t>% Change</t>
  </si>
  <si>
    <t>--</t>
  </si>
  <si>
    <t>Best Buy Europe Big Box</t>
  </si>
  <si>
    <t>Inventory Growth</t>
  </si>
  <si>
    <t>Rent</t>
  </si>
  <si>
    <t>Amortization</t>
  </si>
  <si>
    <t>Gross PP&amp;E</t>
  </si>
  <si>
    <t>Equity and Other Investments</t>
  </si>
  <si>
    <t>Spending per New Store</t>
  </si>
  <si>
    <t>New Store Capital Expenditures</t>
  </si>
  <si>
    <t>Spending per Existing Store</t>
  </si>
  <si>
    <t>Beginning Stores Open</t>
  </si>
  <si>
    <t>Store-related Projects Spending</t>
  </si>
  <si>
    <t>Other Capital Expenditures</t>
  </si>
  <si>
    <t>Total Capital Expenditures</t>
  </si>
  <si>
    <t>as % of Depreciation</t>
  </si>
  <si>
    <t>Total Revenue</t>
  </si>
  <si>
    <t>Per Store (in 000's)</t>
  </si>
  <si>
    <t>1Q13</t>
  </si>
  <si>
    <t>2012PF</t>
  </si>
  <si>
    <t>EPS - Reported, Excl. Discontinued Ops</t>
  </si>
  <si>
    <t xml:space="preserve">EPS - Reported, Incl. Discontinued Ops </t>
  </si>
  <si>
    <t>Wtd. Diluted Shares</t>
  </si>
  <si>
    <t>Cash Flow Statement</t>
  </si>
  <si>
    <t xml:space="preserve">   Depreciation</t>
  </si>
  <si>
    <t xml:space="preserve">   Amortization</t>
  </si>
  <si>
    <t xml:space="preserve">   Minority Interests</t>
  </si>
  <si>
    <t xml:space="preserve">   Asset Impairments</t>
  </si>
  <si>
    <t xml:space="preserve">   Restructuring Charges</t>
  </si>
  <si>
    <t xml:space="preserve">   Stock-Based Compensation</t>
  </si>
  <si>
    <t xml:space="preserve">   Deferred Income Taxes</t>
  </si>
  <si>
    <t xml:space="preserve">   Excess Tax Benefits from Stock-Based Compensation</t>
  </si>
  <si>
    <t xml:space="preserve">   Other, Net</t>
  </si>
  <si>
    <t xml:space="preserve">   Change in Receivables</t>
  </si>
  <si>
    <t xml:space="preserve">   Change in Inventories</t>
  </si>
  <si>
    <t xml:space="preserve">   Change in Income Taxes and Prepaid Expenses (Accrued Taxes)</t>
  </si>
  <si>
    <t xml:space="preserve">   Change in Other Assets </t>
  </si>
  <si>
    <t xml:space="preserve">   Change in Accounts Payable</t>
  </si>
  <si>
    <t xml:space="preserve">   Change in Accrued Expenses and Other Liabilities (Deferred Tax, Other)</t>
  </si>
  <si>
    <t xml:space="preserve">   Change in Deferred Service Plan Revenue</t>
  </si>
  <si>
    <t xml:space="preserve">   Change in Operating Capital</t>
  </si>
  <si>
    <t xml:space="preserve">   Change in Working Capital</t>
  </si>
  <si>
    <t xml:space="preserve">   Additions to Property and Equipment</t>
  </si>
  <si>
    <t xml:space="preserve">   Acquisitions, net of Cash Acquired</t>
  </si>
  <si>
    <t xml:space="preserve">   Purchases of Available-for-Sale Securities</t>
  </si>
  <si>
    <t xml:space="preserve">   Sales of Available-for-Sale Securities</t>
  </si>
  <si>
    <t xml:space="preserve">   Change in Restricted Assets</t>
  </si>
  <si>
    <t xml:space="preserve">   Recoverable Costs from Developed Properties</t>
  </si>
  <si>
    <t xml:space="preserve">   Proceeds from Sale Leasebacks</t>
  </si>
  <si>
    <t xml:space="preserve">   Increase in Other Assets</t>
  </si>
  <si>
    <t xml:space="preserve">   Exercise of Stock Options</t>
  </si>
  <si>
    <t xml:space="preserve">   Repurchase of Common Stock</t>
  </si>
  <si>
    <t xml:space="preserve">   Cash Dividends</t>
  </si>
  <si>
    <t xml:space="preserve">   Other, net</t>
  </si>
  <si>
    <t xml:space="preserve">   Borrowings on Credit Line</t>
  </si>
  <si>
    <t xml:space="preserve">   Payments on Credit Line</t>
  </si>
  <si>
    <t xml:space="preserve">   Borrowings on Long Term Debt</t>
  </si>
  <si>
    <t xml:space="preserve">   Payments on Long-Term Debt</t>
  </si>
  <si>
    <t>Dividend Per Share</t>
  </si>
  <si>
    <t>Payout Ratio</t>
  </si>
  <si>
    <t>Dividend Growth</t>
  </si>
  <si>
    <t>EPS (Adjusted) Growth</t>
  </si>
  <si>
    <t>FCF per share</t>
  </si>
  <si>
    <t>FCF Conversion</t>
  </si>
  <si>
    <t>Operating income</t>
  </si>
  <si>
    <t>Net income - Reported</t>
  </si>
  <si>
    <t>EPS - Adjusted</t>
  </si>
  <si>
    <t>Average diluted shares outstanding</t>
  </si>
  <si>
    <t>1Q12</t>
  </si>
  <si>
    <t>Average basic shares outstanding</t>
  </si>
  <si>
    <t>Total Store Square Footage (000's)</t>
  </si>
  <si>
    <t xml:space="preserve">Est. New Sq Ft (000's) </t>
  </si>
  <si>
    <t>Average Square Footage</t>
  </si>
  <si>
    <t>Intangible Assets</t>
  </si>
  <si>
    <t>Square Footage Growth (Reported)</t>
  </si>
  <si>
    <t>Best Buy Canada</t>
  </si>
  <si>
    <t>Five Star</t>
  </si>
  <si>
    <t>Best Buy China</t>
  </si>
  <si>
    <t>Total International Stores at Period End</t>
  </si>
  <si>
    <t>2Q06</t>
  </si>
  <si>
    <t>4Q06</t>
  </si>
  <si>
    <t>Net Cash Used in Discontinued Operations</t>
  </si>
  <si>
    <t>Short-Term Investments</t>
  </si>
  <si>
    <t>This sheet contains Factset binary data for use with this workbook's =FDS codes.  Modifying the worksheet's contents may damage the workbook's =FDS functionality.</t>
  </si>
  <si>
    <t>4Q07</t>
  </si>
  <si>
    <t>,mscalc:sedolCodeCalc</t>
  </si>
  <si>
    <t>,mscalc:closePriceCurrencyCalc</t>
  </si>
  <si>
    <t>,mscalc:targetPrice,,,,USD</t>
  </si>
  <si>
    <t>BBY.N,mscalc:targetPrice</t>
  </si>
  <si>
    <t>Accrued Salaries / Operating Expenses</t>
  </si>
  <si>
    <t>3Q13</t>
  </si>
  <si>
    <t>Domestic Operations</t>
  </si>
  <si>
    <t>International Operations</t>
  </si>
  <si>
    <t>International Revenues Mix</t>
  </si>
  <si>
    <t>Domestic Revenues Mix</t>
  </si>
  <si>
    <t xml:space="preserve">Consolidated </t>
  </si>
  <si>
    <t>Store Details</t>
  </si>
  <si>
    <t xml:space="preserve">Segment Income Statement </t>
  </si>
  <si>
    <t xml:space="preserve">Domestic Gross Profit </t>
  </si>
  <si>
    <t xml:space="preserve">Total Gross Profit </t>
  </si>
  <si>
    <t>Total Operating Profit</t>
  </si>
  <si>
    <t>Margins (% of sales)</t>
  </si>
  <si>
    <t>bp change</t>
  </si>
  <si>
    <t xml:space="preserve">International  Gross Profit </t>
  </si>
  <si>
    <t xml:space="preserve">Total Operating Profit </t>
  </si>
  <si>
    <t xml:space="preserve">Operating Income </t>
  </si>
  <si>
    <t xml:space="preserve">Pretax Earnings </t>
  </si>
  <si>
    <t xml:space="preserve">Diluted EPS </t>
  </si>
  <si>
    <t xml:space="preserve">Balance Sheet Drivers </t>
  </si>
  <si>
    <t>Balance Sheet</t>
  </si>
  <si>
    <t>Statement of Cash Flows</t>
  </si>
  <si>
    <t xml:space="preserve">Bull Case </t>
  </si>
  <si>
    <t xml:space="preserve">Base Case </t>
  </si>
  <si>
    <t xml:space="preserve">Bear Case </t>
  </si>
  <si>
    <t>EBIT</t>
  </si>
  <si>
    <t>Other Assets</t>
  </si>
  <si>
    <t>Capex</t>
  </si>
  <si>
    <t>ND</t>
  </si>
  <si>
    <t>Store Only Comp</t>
  </si>
  <si>
    <t>Joshua Siber</t>
  </si>
  <si>
    <t>(212) 761 - 1758</t>
  </si>
  <si>
    <t>joshua.siber@morganstanley.com</t>
  </si>
  <si>
    <t>2Q14</t>
  </si>
  <si>
    <t>2094670</t>
  </si>
  <si>
    <t>3Q14</t>
  </si>
  <si>
    <t>4Q14</t>
  </si>
  <si>
    <t>1Q15</t>
  </si>
  <si>
    <t>Incremental Margin</t>
  </si>
  <si>
    <t>% 3yr Change</t>
  </si>
  <si>
    <t>Depreciation as % of Sales</t>
  </si>
  <si>
    <t xml:space="preserve"> </t>
  </si>
  <si>
    <t>2Q15</t>
  </si>
  <si>
    <t>% 3YR Change/Reported SSS</t>
  </si>
  <si>
    <t>% 4YR Change/Reported SSS</t>
  </si>
  <si>
    <t>% 4yr Change</t>
  </si>
  <si>
    <t>New Store Openings</t>
  </si>
  <si>
    <t>3Q15</t>
  </si>
  <si>
    <t>Equal-weight</t>
  </si>
  <si>
    <t>4Q15</t>
  </si>
  <si>
    <t>E-Comm Comp Contribution</t>
  </si>
  <si>
    <t>E-Comm % Of Sales</t>
  </si>
  <si>
    <t>1Q16</t>
  </si>
  <si>
    <r>
      <t xml:space="preserve">Net Sales </t>
    </r>
    <r>
      <rPr>
        <sz val="8"/>
        <color indexed="9"/>
        <rFont val="Arial"/>
        <family val="2"/>
      </rPr>
      <t>Growth</t>
    </r>
  </si>
  <si>
    <t>2Q16</t>
  </si>
  <si>
    <t>Int'l Comp Store Sales</t>
  </si>
  <si>
    <t>% Change/ Reported SSS (Int'l)</t>
  </si>
  <si>
    <t>Sales Per Average Sqft</t>
  </si>
  <si>
    <t>Total Shareholders' Equity</t>
  </si>
  <si>
    <t># of Team Members</t>
  </si>
  <si>
    <t># of Team Members per Avg Store</t>
  </si>
  <si>
    <t>% FTEs</t>
  </si>
  <si>
    <t>Est. Comp expense</t>
  </si>
  <si>
    <t>Est. Comp as % of Sales</t>
  </si>
  <si>
    <t>Est. Comp as % of SG&amp;A</t>
  </si>
  <si>
    <t>3Q16</t>
  </si>
  <si>
    <t>4Q16</t>
  </si>
  <si>
    <t>Total Comp</t>
  </si>
  <si>
    <t>Brick &amp; Mortar Comp Store Sales</t>
  </si>
  <si>
    <t>% Change/ Reported Store Only SSS</t>
  </si>
  <si>
    <t>% 2YR Change/Reported SSS - Store Only</t>
  </si>
  <si>
    <t>% 4YR Change/Reported SSS - Store Only</t>
  </si>
  <si>
    <t>% 3YR Change/Reported SSS - Store Only</t>
  </si>
  <si>
    <t>s</t>
  </si>
  <si>
    <t>Domestic SG&amp;A per Avg Sqft</t>
  </si>
  <si>
    <t>International SG&amp;A per Avg Sqft</t>
  </si>
  <si>
    <t>Total SG&amp;A per Avg Sqft</t>
  </si>
  <si>
    <t>Domestic Comps by Product Category</t>
  </si>
  <si>
    <t>Home Theatre</t>
  </si>
  <si>
    <t>Connected Home</t>
  </si>
  <si>
    <t>#1 Contributing Product Category</t>
  </si>
  <si>
    <t>#2 Contributing Product Category</t>
  </si>
  <si>
    <t>#3 Contributing Product Category</t>
  </si>
  <si>
    <t>#4 Contributing Product Category</t>
  </si>
  <si>
    <t>Strongest Comp Contributors (reported)</t>
  </si>
  <si>
    <t>#1 Detracting Product Category</t>
  </si>
  <si>
    <t>#2 Detracting Product Category</t>
  </si>
  <si>
    <t>#3 Detracting Product Category</t>
  </si>
  <si>
    <t>#4 Detracting Product Category</t>
  </si>
  <si>
    <t>Gaming</t>
  </si>
  <si>
    <t>Health &amp; Wearables</t>
  </si>
  <si>
    <t>Mobile Phones</t>
  </si>
  <si>
    <t>Computing</t>
  </si>
  <si>
    <t>Tablets</t>
  </si>
  <si>
    <t>Digital Imaging</t>
  </si>
  <si>
    <t>Revenue Growth</t>
  </si>
  <si>
    <t>Domestic Comps incl Installment Billing</t>
  </si>
  <si>
    <t>TVs</t>
  </si>
  <si>
    <t>Health &amp; Fitness</t>
  </si>
  <si>
    <t>Movies</t>
  </si>
  <si>
    <t>Profit Sharing Impact</t>
  </si>
  <si>
    <t>Credit Card Portfolio Impact</t>
  </si>
  <si>
    <t>Non-Core Biz Rationalization Impact</t>
  </si>
  <si>
    <t>Domestic Comps excl Above</t>
  </si>
  <si>
    <t>Notebooks</t>
  </si>
  <si>
    <t>Super Bowl Shift</t>
  </si>
  <si>
    <t>Domestic Comp Contributions</t>
  </si>
  <si>
    <t>Comp Detractors (reported)</t>
  </si>
  <si>
    <t xml:space="preserve">SG&amp;A Expenses per Sqft Growth </t>
  </si>
  <si>
    <t>% 2Y E-Comm Stack</t>
  </si>
  <si>
    <t>% 3Y E-Comm Stack</t>
  </si>
  <si>
    <t>Operating Income Growth</t>
  </si>
  <si>
    <t>EPS Growth</t>
  </si>
  <si>
    <t>D&amp;A growth</t>
  </si>
  <si>
    <t>SG&amp;A (Incl D&amp;A) % of sales</t>
  </si>
  <si>
    <t>SG&amp;A (Excl D&amp;A) % of sales</t>
  </si>
  <si>
    <t>Rent as % of sales</t>
  </si>
  <si>
    <t>% of PY Shares Outstanding</t>
  </si>
  <si>
    <t xml:space="preserve">SG&amp;A per avg sqft </t>
  </si>
  <si>
    <t>Rent per avg sqft</t>
  </si>
  <si>
    <t>Average square footage change</t>
  </si>
  <si>
    <t>Ending Stores</t>
  </si>
  <si>
    <t>Avg. Sq. Footage Per Store</t>
  </si>
  <si>
    <t>Inventory per avg store (000's)</t>
  </si>
  <si>
    <t>Inventory per avg sqft growth</t>
  </si>
  <si>
    <t>Inventory/Avg Sq Ft (in actual $)</t>
  </si>
  <si>
    <t>Days Inventory On Hand</t>
  </si>
  <si>
    <t>Ratios Not Required / Ratios for Comps</t>
  </si>
  <si>
    <t xml:space="preserve">GMROI </t>
  </si>
  <si>
    <t>Capex % of sales</t>
  </si>
  <si>
    <t>Capex growth</t>
  </si>
  <si>
    <t>GMROI - Not Annualized</t>
  </si>
  <si>
    <t>Buybacks as % of FCF</t>
  </si>
  <si>
    <t>For Comps</t>
  </si>
  <si>
    <t>% 2Y Change/Reported SSS</t>
  </si>
  <si>
    <t>Headphones</t>
  </si>
  <si>
    <t>EBIT Margin - 53rd Week</t>
  </si>
  <si>
    <t>EBIT Margin Differential - 53rd Week</t>
  </si>
  <si>
    <t>Leverage per Bp of Comp by Segment</t>
  </si>
  <si>
    <t>Domestic GM</t>
  </si>
  <si>
    <t>Int'l GM</t>
  </si>
  <si>
    <t>Int'l SG&amp;A</t>
  </si>
  <si>
    <t>53rd Week Impact</t>
  </si>
  <si>
    <t>Profit Sharing Headwind - EPS</t>
  </si>
  <si>
    <t>Samsung Product Recalls</t>
  </si>
  <si>
    <t>Inventory Product Constraints (ex-Samsung)</t>
  </si>
  <si>
    <t>% Change - ex-FX</t>
  </si>
  <si>
    <t>% Change - (Un)favorable FX Impact</t>
  </si>
  <si>
    <t>Profit Sharing Headwind - Rev &amp; GP</t>
  </si>
  <si>
    <t>Domestic Profit Sharing Rev &amp; GP</t>
  </si>
  <si>
    <t>Domestic Profit Sharing EPS Impact</t>
  </si>
  <si>
    <t>Int'l Profit Sharing Rev &amp; GP</t>
  </si>
  <si>
    <t>Int'l Profit Sharing EPS Impact</t>
  </si>
  <si>
    <t>Total Profit Sharing Rev &amp; GP</t>
  </si>
  <si>
    <t>Total Profit Sharing EPS Impact</t>
  </si>
  <si>
    <t>Rent per Avg Sqft Growth</t>
  </si>
  <si>
    <t>Streaming Devices</t>
  </si>
  <si>
    <t>Large Screen TVs</t>
  </si>
  <si>
    <t>Music</t>
  </si>
  <si>
    <t>#5 Detracting Product Category</t>
  </si>
  <si>
    <t>E-Commerce &amp; IT Spending</t>
  </si>
  <si>
    <t>1Q17</t>
  </si>
  <si>
    <t>Cost Reductions Achieved in Period</t>
  </si>
  <si>
    <t>Cumulative Cost Reductions Achieved - Phase 1</t>
  </si>
  <si>
    <t>Cumulative Cost Reductions Achieved - Phase 2</t>
  </si>
  <si>
    <t>Cumulative Cost Reductions Achieved - Total</t>
  </si>
  <si>
    <t>Cumulative Cost Reductions Achieved - Phase 1.5</t>
  </si>
  <si>
    <t>Cumulative Cost Reductions Achieved - Phase 3</t>
  </si>
  <si>
    <t>Remaining Cost Reduction vs. Cumulative Target</t>
  </si>
  <si>
    <t>% Achieved towards Cumulative Target</t>
  </si>
  <si>
    <t>2Q17</t>
  </si>
  <si>
    <t>Wearables</t>
  </si>
  <si>
    <t>Smart Home</t>
  </si>
  <si>
    <t>Domestic Incremental Margin</t>
  </si>
  <si>
    <t>2018E</t>
  </si>
  <si>
    <t>1Q18E</t>
  </si>
  <si>
    <t>2Q18E</t>
  </si>
  <si>
    <t>3Q18E</t>
  </si>
  <si>
    <t>4Q18E</t>
  </si>
  <si>
    <t>3Q17</t>
  </si>
  <si>
    <t>4Q17</t>
  </si>
  <si>
    <t>mobile phones</t>
  </si>
  <si>
    <t>gaming</t>
  </si>
  <si>
    <t>66</t>
  </si>
  <si>
    <t>Research</t>
  </si>
  <si>
    <t>e = Morgan Stanley Research estimates unless otherwise noted</t>
  </si>
  <si>
    <t>Source: Morgan Stanley Research unless otherwise noted</t>
  </si>
  <si>
    <t>Stocks ratings are relative to the analyst's industry coverage universe.</t>
  </si>
  <si>
    <t>1585 Broadway</t>
  </si>
  <si>
    <t>New York, NY  10036-8293</t>
  </si>
  <si>
    <t>United States</t>
  </si>
  <si>
    <t>Tel: +1 (1)212 761 4000</t>
  </si>
  <si>
    <t>Authors: Simeon Gutman, Joshua Siber</t>
  </si>
  <si>
    <t>Date: 01 Mar 2018</t>
  </si>
  <si>
    <t>Ticker: BBY.N</t>
  </si>
  <si>
    <t>Stock Rating: Equal-Weight</t>
  </si>
  <si>
    <t>Industry: Hardline/Broadline Retail</t>
  </si>
  <si>
    <t>Industry View: In-Line</t>
  </si>
  <si>
    <t>Price as of 01 Mar 2018: 75.83</t>
  </si>
  <si>
    <t>Target Price: 74</t>
  </si>
  <si>
    <t>Analyst Certification</t>
  </si>
  <si>
    <t>Unless otherwise stated, the individuals listed on the cover page of this report are research analysts.</t>
  </si>
  <si>
    <t>Global Research Conflict Management Policy</t>
  </si>
  <si>
    <t>Important US Regulatory Disclosures on Subject Companies</t>
  </si>
  <si>
    <t>Morgan Stanley &amp; Co. LLC makes a market in the securities of Best Buy Co Inc.</t>
  </si>
  <si>
    <t>STOCK RATINGS</t>
  </si>
  <si>
    <t>Global Stock Ratings Distribution</t>
  </si>
  <si>
    <t>(as of February 28, 2018)</t>
  </si>
  <si>
    <t>Coverage Universe</t>
  </si>
  <si>
    <t>Investment Banking Clients (IBC)</t>
  </si>
  <si>
    <t>Other Material Investment Services Clients (MISC)</t>
  </si>
  <si>
    <t>Stock Rating Category</t>
  </si>
  <si>
    <t>% of Total</t>
  </si>
  <si>
    <t>% of Total IBC</t>
  </si>
  <si>
    <t>% of Rating Category</t>
  </si>
  <si>
    <t>% of Total Other MISC</t>
  </si>
  <si>
    <t>Overweight/Buy</t>
  </si>
  <si>
    <t>Equal-weight/Hold</t>
  </si>
  <si>
    <t>Not-Rated/Hold</t>
  </si>
  <si>
    <t>Underweight/Sell</t>
  </si>
  <si>
    <t>Analyst Stock Ratings</t>
  </si>
  <si>
    <t>Analyst Industry Views</t>
  </si>
  <si>
    <t>.</t>
  </si>
  <si>
    <t>Stock Price, Price Target and Rating History (See Rating Definitions)</t>
  </si>
  <si>
    <t>Important Disclosures for Morgan Stanley Smith Barney LLC Customers</t>
  </si>
  <si>
    <t>Other Important Disclosures</t>
  </si>
  <si>
    <t>Morgan Stanley Research, or any portion thereof may not be reprinted, sold or redistributed without the</t>
  </si>
  <si>
    <t>written consent of Morgan Stanley.</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</si>
  <si>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</si>
  <si>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</si>
  <si>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</si>
  <si>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</si>
  <si>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</si>
  <si>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</si>
  <si>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</si>
  <si>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</si>
  <si>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</si>
  <si>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</si>
  <si>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</si>
  <si>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information in Morgan Stanley Research is being communicated by Morgan Stanley &amp; Co. International</t>
  </si>
  <si>
    <t>plc (QFC Branch), regulated by the Qatar Financial Centre Regulatory Authority (the QFCRA), and is</t>
  </si>
  <si>
    <t>directed at business customers and market counterparties only and is not intended for Retail Customers</t>
  </si>
  <si>
    <t>as defined by the QFCRA.</t>
  </si>
  <si>
    <t>plc (DIFC Branch), regulated by the Dubai Financial Services Authority (the DFSA), and is directed at</t>
  </si>
  <si>
    <t>Professional Clients only, as defined by the DFSA. The financial products or financial services to which</t>
  </si>
  <si>
    <t>this research relates will only be made available to a customer who we are satisfied meets the</t>
  </si>
  <si>
    <t>regulatory criteria to be a Professional Client.</t>
  </si>
  <si>
    <t>Morgan Stanley Research is disseminated in Brazil by Morgan Stanley C.T.V.M. S.A.; in Mexico by Morgan</t>
  </si>
  <si>
    <t>Stanley México, Casa de Bolsa, S.A. de C.V which is regulated by Comision Nacional Bancaria y de</t>
  </si>
  <si>
    <t>Valores. Paseo de los Tamarindos 90, Torre 1, Col. Bosques de las Lomas Floor 29, 05120 Mexico City; in</t>
  </si>
  <si>
    <t>Japan by Morgan Stanley MUFG Securities Co., Ltd. and, for Commodities related research reports only,</t>
  </si>
  <si>
    <t>Morgan Stanley Capital Group Japan Co., Ltd; in Hong Kong by Morgan Stanley Asia Limited (which accepts</t>
  </si>
  <si>
    <t>responsibility for its contents) and by Morgan Stanley Asia International Limited, Hong Kong Branch; in</t>
  </si>
  <si>
    <t>Singapore by Morgan Stanley Asia (Singapore) Pte. (Registration number 199206298Z) and/or Morgan Stanley</t>
  </si>
  <si>
    <t>Asia (Singapore) Securities Pte Ltd (Registration number 200008434H), regulated by the Monetary</t>
  </si>
  <si>
    <t>Authority of Singapore (which accepts legal responsibility for its contents and should be contacted with</t>
  </si>
  <si>
    <t>respect to any matters arising from, or in connection with, Morgan Stanley Research) and by Morgan</t>
  </si>
  <si>
    <t>Stanley Asia International Limited, Singapore Branch (Registration number T11FC0207F);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</si>
  <si>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</si>
  <si>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</si>
  <si>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</si>
  <si>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</si>
  <si>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</si>
  <si>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</si>
  <si>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in Indonesia by PT. Morgan Stanley Sekuritas Indonesia; in Canada</t>
  </si>
  <si>
    <t>by Morgan Stanley Canada Limited, which has approved of and takes responsibility for its contents in</t>
  </si>
  <si>
    <t>Canada; in Germany by Morgan Stanley Bank AG, Frankfurt am Main and Morgan Stanley Private Wealth</t>
  </si>
  <si>
    <t>Management Limited, Niederlassung Deutschland, regulated by Bundesanstalt fuer</t>
  </si>
  <si>
    <t>Finanzdienstleistungsaufsicht (BaFin); in Spain by Morgan Stanley, S.V., S.A., a Morgan Stanley group</t>
  </si>
  <si>
    <t>company, which is supervised by the Spanish Securities Markets Commission (CNMV) and states that Morgan</t>
  </si>
  <si>
    <t>Stanley Research has been written and distributed in accordance with the rules of conduct applicable to</t>
  </si>
  <si>
    <t>financial research as established under Spanish regulations; in the US by Morgan Stanley &amp; Co. LLC,</t>
  </si>
  <si>
    <t>which accepts responsibility for its contents. Morgan Stanley &amp; Co. International plc, authorized by the</t>
  </si>
  <si>
    <t>Prudential Regulatory Authority and regulated by the Financial Conduct Authority and the Prudential</t>
  </si>
  <si>
    <t>Regulatory Authority, disseminates in the UK research that it has prepared, and approves solely for the</t>
  </si>
  <si>
    <t>purposes of section 21 of the Financial Services and Markets Act 2000, research which has been prepared</t>
  </si>
  <si>
    <t>by any of its affiliates. RMB Morgan Stanley Proprietary Limited is a member of the JSE Limited and</t>
  </si>
  <si>
    <t>regulated by the Financial Services Board in South Africa. RMB Morgan Stanley Proprietary Limited is a</t>
  </si>
  <si>
    <t>joint venture owned equally by Morgan Stanley International Holdings Inc. and RMB Investment Advisory</t>
  </si>
  <si>
    <t>(Proprietary) Limited, which is wholly owned by FirstRand Limited. The information in Morgan Stanley</t>
  </si>
  <si>
    <t>Research is being disseminated by Morgan Stanley Saudi Arabia, regulated by the Capital Market Authority</t>
  </si>
  <si>
    <t>in the Kingdom of Saudi Arabia , and is directed at Sophisticated investors only.</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</si>
  <si>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</si>
  <si>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</si>
  <si>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</si>
  <si>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</si>
  <si>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</si>
  <si>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</si>
  <si>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</si>
  <si>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</si>
  <si>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</si>
  <si>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</si>
  <si>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</si>
  <si>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</si>
  <si>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</si>
  <si>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</si>
  <si>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</si>
  <si>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</si>
  <si>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</si>
  <si>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</si>
  <si>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</si>
  <si>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</si>
  <si>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</si>
  <si>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may make investment decisions that are inconsistent with the recommendations or views in</t>
  </si>
  <si>
    <t>this report.</t>
  </si>
  <si>
    <t>Morgan Stanley Research personnel may participate in company events such as site visits and are</t>
  </si>
  <si>
    <t>generally prohibited from accepting payment by the company of associated expenses unless pre-approved by</t>
  </si>
  <si>
    <t>authorized members of Research management.</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</si>
  <si>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</si>
  <si>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</si>
  <si>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</si>
  <si>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</si>
  <si>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</si>
  <si>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</si>
  <si>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</si>
  <si>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The "Important US Regulatory Disclosures on Subject Companies" section in Morgan Stanley Research lists</t>
  </si>
  <si>
    <t>all companies mentioned where Morgan Stanley owns 1% or more of a class of common equity securities of</t>
  </si>
  <si>
    <t>the 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</si>
  <si>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</si>
  <si>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</si>
  <si>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</si>
  <si>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</si>
  <si>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</si>
  <si>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</si>
  <si>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</si>
  <si>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</si>
  <si>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</si>
  <si>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</si>
  <si>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</si>
  <si>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</si>
  <si>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particular trading desks.</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</si>
  <si>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</si>
  <si>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</si>
  <si>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</si>
  <si>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</si>
  <si>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</si>
  <si>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</si>
  <si>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</si>
  <si>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</si>
  <si>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</si>
  <si>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</si>
  <si>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</si>
  <si>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</si>
  <si>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</si>
  <si>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</si>
  <si>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</si>
  <si>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</si>
  <si>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If you do not agree to our Terms of Use and/or if you do not wish to provide your consent to Morgan</t>
  </si>
  <si>
    <t>Stanley processing your personal data or using cookies please do not access our research.</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</si>
  <si>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</si>
  <si>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</si>
  <si>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</si>
  <si>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</si>
  <si>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</si>
  <si>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</si>
  <si>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</si>
  <si>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</si>
  <si>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</si>
  <si>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</si>
  <si>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</si>
  <si>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</si>
  <si>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</si>
  <si>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</si>
  <si>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</si>
  <si>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</si>
  <si>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</si>
  <si>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</si>
  <si>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</si>
  <si>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</si>
  <si>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</si>
  <si>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</si>
  <si>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</si>
  <si>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</si>
  <si>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</si>
  <si>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</si>
  <si>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</si>
  <si>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</si>
  <si>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</si>
  <si>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</si>
  <si>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</si>
  <si>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&amp; Co. International PLC and its affiliates have a significant financial interest in the</t>
  </si>
  <si>
    <t>debt securities of Best Buy Co Inc.</t>
  </si>
  <si>
    <t>Each Morgan Stanley Equity Research report is reviewed and approved on behalf of Morgan Stanley Smith</t>
  </si>
  <si>
    <t>Barney LLC. This review and approval is conducted by the same person who reviews the Equity Research</t>
  </si>
  <si>
    <t>report on behalf of Morgan Stanley. This could create a conflict of interest.</t>
  </si>
  <si>
    <t>Important disclosures regarding the relationship between the companies that are the subject of Morgan</t>
  </si>
  <si>
    <t>Stanley Research and Morgan Stanley Smith Barney LLC or Morgan Stanley or any of their affiliates, are</t>
  </si>
  <si>
    <t>available on the Morgan Stanley Wealth Management disclosure website at</t>
  </si>
  <si>
    <t>www.morganstanley.com/online/researchdisclosures. For Morgan Stanley specific disclosures, you may refer</t>
  </si>
  <si>
    <t>to www.morganstanley.com/researchdisclosures.</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</si>
  <si>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</si>
  <si>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</si>
  <si>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</si>
  <si>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Cautious (C): The analyst views the performance of his or her industry coverage universe over the next</t>
  </si>
  <si>
    <t>12-18 months with caution vs. the relevant broad market benchmark, as indicated below.</t>
  </si>
  <si>
    <t>In-Line (I): The analyst expects the performance of his or her industry coverage universe over the next</t>
  </si>
  <si>
    <t>12-18 months to be in line with the relevant broad market benchmark, as indicated below.</t>
  </si>
  <si>
    <t>Attractive (A): The analyst expects the performance of his or her industry coverage universe over the</t>
  </si>
  <si>
    <t>next 12-18 months to be attractive vs. the relevant broad market benchmark, as indicated below.</t>
  </si>
  <si>
    <t>Unless otherwise specified, the time frame for price targets included in Morgan Stanley Research is 12</t>
  </si>
  <si>
    <t>to 18 months.</t>
  </si>
  <si>
    <t>Underweight (U). The stock's total return is expected to be below the average total return of the</t>
  </si>
  <si>
    <t>analyst's industry (or industry team's) coverage universe, on a risk-adjusted basis, over the next 12-18</t>
  </si>
  <si>
    <t>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</si>
  <si>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</si>
  <si>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</si>
  <si>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</si>
  <si>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</si>
  <si>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</si>
  <si>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</si>
  <si>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Overweight (O). The stock's total return is expected to exceed the average total return of the analyst's</t>
  </si>
  <si>
    <t>industry (or industry team's) coverage universe, on a risk-adjusted basis, over the next 12-18 months.</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</si>
  <si>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</si>
  <si>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</si>
  <si>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</si>
  <si>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</si>
  <si>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For disclosure purposes only (in accordance with NASD and NYSE requirements), we include the category</t>
  </si>
  <si>
    <t>headings of Buy, Hold, and Sell alongside our ratings of Overweight, Equal-weight, Not-Rated and</t>
  </si>
  <si>
    <t>Underweight. Morgan Stanley does not assign ratings of Buy, Hold or Sell to the stocks we cover.</t>
  </si>
  <si>
    <t>Overweight, Equal-weight, Not-Rated and Underweight are not the equivalent of buy, hold, and sell but</t>
  </si>
  <si>
    <t>represent recommended relative weightings (see definitions below). To satisfy regulatory requirements,</t>
  </si>
  <si>
    <t>we correspond Overweight, our most positive stock rating, with a buy recommendation; we correspond</t>
  </si>
  <si>
    <t>Equal-weight and Not-Rated to hold and Underweight to sell recommendations, respectively.</t>
  </si>
  <si>
    <t>The Stock Ratings described below apply to Morgan Stanley's Fundamental Equity Research and do not apply</t>
  </si>
  <si>
    <t>to Debt Research produced by the Firm.</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</si>
  <si>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</si>
  <si>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</si>
  <si>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</si>
  <si>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</si>
  <si>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</si>
  <si>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</si>
  <si>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 upon</t>
  </si>
  <si>
    <t>as investment advice. An investor's decision to buy or sell a stock should depend on individual</t>
  </si>
  <si>
    <t>circumstances (such as the investor's existing holdings) and other considerations.</t>
  </si>
  <si>
    <t>Certain disclosures listed above are also for compliance with applicable regulations in non-US</t>
  </si>
  <si>
    <t>jurisdictions.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</si>
  <si>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</si>
  <si>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</si>
  <si>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</si>
  <si>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</si>
  <si>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</si>
  <si>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</si>
  <si>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</si>
  <si>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</si>
  <si>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</si>
  <si>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</si>
  <si>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</si>
  <si>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</si>
  <si>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Within the last 12 months, Morgan Stanley has provided or is providing investment banking services to,</t>
  </si>
  <si>
    <t>or has an investment banking client relationship with, the following company: Best Buy Co Inc.</t>
  </si>
  <si>
    <t>In the next 3 months, Morgan Stanley expects to receive or intends to seek compensation for investment</t>
  </si>
  <si>
    <t>banking services from Best Buy Co Inc.</t>
  </si>
  <si>
    <t>Morgan Stanley Research has been published in accordance with our conflict management policy, which is</t>
  </si>
  <si>
    <t>available at www.morganstanley.com/institutional/research/conflictpolicies.</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</si>
  <si>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</si>
  <si>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</si>
  <si>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</si>
  <si>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Simeon Gutman, CFA.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</si>
  <si>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</si>
  <si>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</si>
  <si>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</si>
  <si>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</si>
  <si>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</si>
  <si>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</si>
  <si>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For important disclosures, stock price charts and equity rating histories regarding companies that are</t>
  </si>
  <si>
    <t>the subject of this report, please see the Morgan Stanley Research Disclosure Website at</t>
  </si>
  <si>
    <t>www.morganstanley.com/researchdisclosures, or contact your investment representative or Morgan Stanley</t>
  </si>
  <si>
    <t>Research at 1585 Broadway, (Attention: Research Management), New York, NY, 10036 USA.</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</si>
  <si>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</si>
  <si>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</si>
  <si>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</si>
  <si>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</si>
  <si>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</si>
  <si>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</si>
  <si>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</si>
  <si>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</si>
  <si>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</si>
  <si>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 Copyright 2018 Morgan Stanley</t>
  </si>
  <si>
    <t>MacroVersion</t>
  </si>
  <si>
    <t>PublishDate</t>
  </si>
  <si>
    <t>Discipline</t>
  </si>
  <si>
    <t>ResearchTopic</t>
  </si>
  <si>
    <t>Company</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</si>
  <si>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</si>
  <si>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</si>
  <si>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</si>
  <si>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</si>
  <si>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</si>
  <si>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</si>
  <si>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</si>
  <si>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</si>
  <si>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</si>
  <si>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</si>
  <si>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</si>
  <si>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</si>
  <si>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</si>
  <si>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</si>
  <si>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</si>
  <si>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</si>
  <si>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</si>
  <si>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</si>
  <si>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</si>
  <si>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</si>
  <si>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</si>
  <si>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</si>
  <si>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</si>
  <si>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</si>
  <si>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</si>
  <si>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</si>
  <si>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</si>
  <si>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</si>
  <si>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</si>
  <si>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</si>
  <si>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</si>
  <si>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</si>
  <si>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</si>
  <si>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</si>
  <si>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</si>
  <si>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</si>
  <si>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</si>
  <si>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</si>
  <si>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</si>
  <si>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</si>
  <si>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</si>
  <si>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</si>
  <si>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</si>
  <si>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Equal-Weight / In-Line</t>
  </si>
  <si>
    <t>Quarterly Update</t>
  </si>
  <si>
    <t>NorthAmerica</t>
  </si>
  <si>
    <t>siber</t>
  </si>
  <si>
    <t>MSA45JHB, MSA66JVM</t>
  </si>
  <si>
    <t>\\Msad\root\NA\NY\LIB\ER\RETAIL\Hardlines\Companies\BBY\Model\BBY.xlsm</t>
  </si>
  <si>
    <t>[BRO MSA]</t>
  </si>
  <si>
    <t>[PRODUCT MODEL]</t>
  </si>
  <si>
    <t>[EMAIL_ALERT YES]</t>
  </si>
  <si>
    <t>[DISCIPLINE Company]</t>
  </si>
  <si>
    <t>[SUPPRESSED NO]</t>
  </si>
  <si>
    <t>[DOCDAT 2018-03-01]</t>
  </si>
  <si>
    <t>[DOCTIME 13:23]</t>
  </si>
  <si>
    <t>[PSYM BBY.N(S&amp;P) (None)]</t>
  </si>
  <si>
    <t>[COU 1]</t>
  </si>
  <si>
    <t>[ANA MSA66JVM]</t>
  </si>
  <si>
    <t>[HL BBY.N Model]</t>
  </si>
  <si>
    <t>[IND WHSLTR]</t>
  </si>
  <si>
    <t>[PANA MSA45JHB]</t>
  </si>
</sst>
</file>

<file path=xl/styles.xml><?xml version="1.0" encoding="utf-8"?>
<styleSheet xmlns="http://schemas.openxmlformats.org/spreadsheetml/2006/main" xmlns:mc="http://schemas.openxmlformats.org/markup-compatibility/2006" xmlns:x14ac="http://schemas.microsoft.com/office/spreadsheetml/2009/9/ac" mc:Ignorable="x14ac">
  <numFmts count="59">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5" formatCode="#,##0.0_);\(#,##0.0\)"/>
    <numFmt numFmtId="166" formatCode="0.0%"/>
    <numFmt numFmtId="168" formatCode="General_)"/>
    <numFmt numFmtId="169" formatCode="&quot;$&quot;#,##0.0_);\(&quot;$&quot;#,##0.0\)"/>
    <numFmt numFmtId="170" formatCode="0.00_)"/>
    <numFmt numFmtId="171" formatCode="_(* #,##0.0_);_(* \(#,##0.0\);_(* &quot;-&quot;??_);_(@_)"/>
    <numFmt numFmtId="172" formatCode="_(* #,##0_);_(* \(#,##0\);_(* &quot;-&quot;??_);_(@_)"/>
    <numFmt numFmtId="173" formatCode="#,##0.0_);[Red]\(#,##0.0\)"/>
    <numFmt numFmtId="174" formatCode="&quot;$&quot;#,##0.00"/>
    <numFmt numFmtId="175" formatCode="#,##0.000_);[Red]\(#,##0.000\)"/>
    <numFmt numFmtId="177" formatCode="&quot;$&quot;#,##0"/>
    <numFmt numFmtId="179" formatCode="_(* #,##0.0_);_(* \(#,##0.0\);_(* &quot;-&quot;_);_(@_)"/>
    <numFmt numFmtId="181" formatCode="[$-409]mmm\-yy;@"/>
    <numFmt numFmtId="182" formatCode="###&quot;E&quot;"/>
    <numFmt numFmtId="183" formatCode="0.00\x"/>
    <numFmt numFmtId="184" formatCode="0.0\x"/>
    <numFmt numFmtId="185" formatCode="_(* #,##0.000_);_(* \(#,##0.000\);_(* &quot;-&quot;?_);_(@_)"/>
    <numFmt numFmtId="186" formatCode="&quot;$&quot;#,##0.0"/>
    <numFmt numFmtId="187" formatCode="0.0"/>
    <numFmt numFmtId="188" formatCode="_(* #,##0.0_);_(* \(#,##0.0\);_(* &quot;-&quot;?_);_(@_)"/>
    <numFmt numFmtId="189" formatCode="_(* #,##0.00_);_(* \(#,##0.00\);_(* &quot;-&quot;_);_(@_)"/>
    <numFmt numFmtId="198" formatCode="0.0%;\(0.0%\)"/>
    <numFmt numFmtId="199" formatCode="0.00%;\(0.00%\)"/>
    <numFmt numFmtId="200" formatCode="0%;\(0%\)"/>
    <numFmt numFmtId="201" formatCode="_(&quot;$&quot;* #,##0.0_);_(&quot;$&quot;* \(#,##0.0\);_(&quot;$&quot;* &quot;-&quot;?_);_(@_)"/>
    <numFmt numFmtId="203" formatCode="_(* #,##0_);_(* \(#,##0\);_(* &quot;-&quot;?_);_(@_)"/>
    <numFmt numFmtId="205" formatCode="&quot;$&quot;#,##0.0_);[Red]\(&quot;$&quot;#,##0.0\)"/>
    <numFmt numFmtId="207" formatCode="0.000%"/>
    <numFmt numFmtId="208" formatCode="#,##0.0"/>
    <numFmt numFmtId="210" formatCode="&quot;$&quot;#,##0.00;[Red]\(&quot;$&quot;#,##0.00\)"/>
    <numFmt numFmtId="211" formatCode="#,##0.0;[Red]\(#,##0.0\)"/>
    <numFmt numFmtId="212" formatCode="&quot;$&quot;#,##0.0;[Red]\(&quot;$&quot;#,##0.0\)"/>
    <numFmt numFmtId="214" formatCode="0.0_)"/>
    <numFmt numFmtId="215" formatCode="0.0&quot;x&quot;"/>
    <numFmt numFmtId="216" formatCode="0.00&quot;x&quot;"/>
    <numFmt numFmtId="217" formatCode="0&quot;bp&quot;"/>
    <numFmt numFmtId="219" formatCode="&quot;$&quot;#,##0.00;\(&quot;$&quot;#,##0.00\)"/>
    <numFmt numFmtId="220" formatCode="&quot;$&quot;#,##0.000_);\(&quot;$&quot;#,##0.000\)"/>
    <numFmt numFmtId="223" formatCode="&quot;$&quot;#,##0.000_);[Red]\(&quot;$&quot;#,##0.000\)"/>
    <numFmt numFmtId="224" formatCode="0&quot;E&quot;"/>
    <numFmt numFmtId="226" formatCode="#,##0.0000_);[Red]\(#,##0.0000\)"/>
    <numFmt numFmtId="227" formatCode="_(* #,##0.000000_);_(* \(#,##0.000000\);_(* &quot;-&quot;??_);_(@_)"/>
    <numFmt numFmtId="228" formatCode="0&quot;A&quot;"/>
    <numFmt numFmtId="233" formatCode="_(* #,##0.00000_);_(* \(#,##0.00000\);_(* &quot;-&quot;??_);_(@_)"/>
    <numFmt numFmtId="234" formatCode="_(&quot;$&quot;* #,##0.0000_);_(&quot;$&quot;* \(#,##0.0000\);_(&quot;$&quot;* &quot;-&quot;??_);_(@_)"/>
    <numFmt numFmtId="235" formatCode="&quot;$&quot;#,##0.00000_);[Red]\(&quot;$&quot;#,##0.00000\)"/>
    <numFmt numFmtId="236" formatCode="#,##0.0_);[Red]\(#,##0\)"/>
    <numFmt numFmtId="238" formatCode="0.0000%"/>
    <numFmt numFmtId="239" formatCode="0&quot; bps&quot;"/>
    <numFmt numFmtId="240" formatCode="_(* #,##0.000_);_(* \(#,##0.000\);_(* &quot;-&quot;??_);_(@_)"/>
    <numFmt numFmtId="242" formatCode="_(* #,##0.0000_);_(* \(#,##0.0000\);_(* &quot;-&quot;??_);_(@_)"/>
    <numFmt numFmtId="251" formatCode="mm/dd/yy\ hh:mm"/>
  </numFmts>
  <fonts count="76" x14ac:knownFonts="1">
    <font>
      <sz val="8"/>
      <name val="Arial"/>
    </font>
    <font>
      <sz val="11"/>
      <color theme="1"/>
      <name val="Calibri"/>
      <family val="2"/>
      <scheme val="minor"/>
    </font>
    <font>
      <sz val="8"/>
      <name val="Arial"/>
      <family val="2"/>
    </font>
    <font>
      <u/>
      <sz val="10"/>
      <color indexed="12"/>
      <name val="Arial"/>
      <family val="2"/>
    </font>
    <font>
      <sz val="10"/>
      <name val="Arial"/>
      <family val="2"/>
    </font>
    <font>
      <b/>
      <sz val="10"/>
      <name val="Arial"/>
      <family val="2"/>
    </font>
    <font>
      <sz val="8"/>
      <name val="Arial"/>
      <family val="2"/>
    </font>
    <font>
      <b/>
      <sz val="8"/>
      <name val="Arial"/>
      <family val="2"/>
    </font>
    <font>
      <sz val="8"/>
      <color indexed="12"/>
      <name val="Arial"/>
      <family val="2"/>
    </font>
    <font>
      <sz val="8"/>
      <color indexed="10"/>
      <name val="Arial"/>
      <family val="2"/>
    </font>
    <font>
      <i/>
      <sz val="8"/>
      <name val="Times New Roman"/>
      <family val="1"/>
    </font>
    <font>
      <sz val="8"/>
      <color indexed="8"/>
      <name val="Arial"/>
      <family val="2"/>
    </font>
    <font>
      <u/>
      <sz val="8"/>
      <name val="Arial"/>
      <family val="2"/>
    </font>
    <font>
      <sz val="8"/>
      <color indexed="17"/>
      <name val="Arial"/>
      <family val="2"/>
    </font>
    <font>
      <sz val="8"/>
      <color indexed="14"/>
      <name val="Arial"/>
      <family val="2"/>
    </font>
    <font>
      <b/>
      <sz val="8"/>
      <color indexed="8"/>
      <name val="Arial"/>
      <family val="2"/>
    </font>
    <font>
      <b/>
      <u/>
      <sz val="8"/>
      <name val="Arial"/>
      <family val="2"/>
    </font>
    <font>
      <sz val="10"/>
      <color indexed="12"/>
      <name val="Arial"/>
      <family val="2"/>
    </font>
    <font>
      <b/>
      <sz val="8"/>
      <color indexed="12"/>
      <name val="Arial"/>
      <family val="2"/>
    </font>
    <font>
      <sz val="8"/>
      <name val="Arial"/>
      <family val="2"/>
    </font>
    <font>
      <sz val="8"/>
      <name val="Times New Roman"/>
      <family val="1"/>
    </font>
    <font>
      <sz val="8"/>
      <color indexed="9"/>
      <name val="Arial"/>
      <family val="2"/>
    </font>
    <font>
      <sz val="10"/>
      <name val="MS Sans Serif"/>
      <family val="2"/>
    </font>
    <font>
      <sz val="9"/>
      <name val="Times New Roman"/>
      <family val="1"/>
    </font>
    <font>
      <b/>
      <sz val="8"/>
      <name val="Times New Roman"/>
      <family val="1"/>
    </font>
    <font>
      <sz val="10"/>
      <color indexed="8"/>
      <name val="MS Sans Serif"/>
      <family val="2"/>
    </font>
    <font>
      <sz val="9"/>
      <name val="Times New Roman"/>
      <family val="1"/>
    </font>
    <font>
      <b/>
      <sz val="10"/>
      <color indexed="8"/>
      <name val="Times New Roman"/>
      <family val="1"/>
    </font>
    <font>
      <sz val="10"/>
      <color indexed="8"/>
      <name val="Times New Roman"/>
      <family val="1"/>
    </font>
    <font>
      <i/>
      <sz val="10"/>
      <name val="Arial"/>
      <family val="2"/>
    </font>
    <font>
      <b/>
      <u/>
      <sz val="10"/>
      <name val="Arial"/>
      <family val="2"/>
    </font>
    <font>
      <b/>
      <sz val="8"/>
      <color indexed="14"/>
      <name val="Arial"/>
      <family val="2"/>
    </font>
    <font>
      <u/>
      <sz val="10"/>
      <color indexed="12"/>
      <name val="Arial"/>
      <family val="2"/>
    </font>
    <font>
      <sz val="8"/>
      <color indexed="24"/>
      <name val="Arial"/>
      <family val="2"/>
    </font>
    <font>
      <sz val="8"/>
      <color indexed="48"/>
      <name val="Arial"/>
      <family val="2"/>
    </font>
    <font>
      <sz val="10"/>
      <color indexed="17"/>
      <name val="Arial"/>
      <family val="2"/>
    </font>
    <font>
      <sz val="10"/>
      <color indexed="48"/>
      <name val="Arial"/>
      <family val="2"/>
    </font>
    <font>
      <b/>
      <sz val="8"/>
      <color indexed="48"/>
      <name val="Arial"/>
      <family val="2"/>
    </font>
    <font>
      <sz val="8"/>
      <color indexed="8"/>
      <name val="Arial"/>
      <family val="2"/>
    </font>
    <font>
      <sz val="8"/>
      <color indexed="54"/>
      <name val="Arial"/>
      <family val="2"/>
    </font>
    <font>
      <sz val="10"/>
      <name val="MS Sans Serif"/>
      <family val="2"/>
    </font>
    <font>
      <sz val="10"/>
      <color indexed="9"/>
      <name val="Arial"/>
      <family val="2"/>
    </font>
    <font>
      <b/>
      <sz val="18"/>
      <color indexed="9"/>
      <name val="Arial"/>
      <family val="2"/>
    </font>
    <font>
      <b/>
      <sz val="12"/>
      <color indexed="9"/>
      <name val="Arial"/>
      <family val="2"/>
    </font>
    <font>
      <sz val="10"/>
      <color indexed="16"/>
      <name val="Arial"/>
      <family val="2"/>
    </font>
    <font>
      <b/>
      <sz val="11"/>
      <color indexed="18"/>
      <name val="Arial"/>
      <family val="2"/>
    </font>
    <font>
      <sz val="11"/>
      <name val="Arial"/>
      <family val="2"/>
    </font>
    <font>
      <sz val="9"/>
      <color indexed="81"/>
      <name val="Tahoma"/>
      <family val="2"/>
    </font>
    <font>
      <b/>
      <sz val="9"/>
      <color indexed="81"/>
      <name val="Tahoma"/>
      <family val="2"/>
    </font>
    <font>
      <sz val="8"/>
      <color indexed="24"/>
      <name val="Arial"/>
      <family val="2"/>
    </font>
    <font>
      <sz val="8"/>
      <color indexed="24"/>
      <name val="Arial"/>
      <family val="2"/>
    </font>
    <font>
      <sz val="8"/>
      <color rgb="FF000000"/>
      <name val="Tahoma"/>
      <family val="2"/>
    </font>
    <font>
      <b/>
      <sz val="8"/>
      <color rgb="FF0000FF"/>
      <name val="Arial"/>
      <family val="2"/>
    </font>
    <font>
      <sz val="8"/>
      <color rgb="FF0000FF"/>
      <name val="Arial"/>
      <family val="2"/>
    </font>
    <font>
      <sz val="10"/>
      <color rgb="FF0000FF"/>
      <name val="Arial"/>
      <family val="2"/>
    </font>
    <font>
      <sz val="8"/>
      <color rgb="FFC00000"/>
      <name val="Arial"/>
      <family val="2"/>
    </font>
    <font>
      <sz val="8"/>
      <color rgb="FF006600"/>
      <name val="Arial"/>
      <family val="2"/>
    </font>
    <font>
      <sz val="10"/>
      <color indexed="2"/>
      <name val="Tahoma"/>
      <family val="2"/>
    </font>
    <font>
      <b/>
      <sz val="10"/>
      <color indexed="0"/>
      <name val="Tahoma"/>
      <family val="2"/>
    </font>
    <font>
      <sz val="10"/>
      <name val="Tahoma"/>
      <family val="2"/>
    </font>
    <font>
      <b/>
      <i/>
      <sz val="10"/>
      <color indexed="4"/>
      <name val="Tahoma"/>
      <family val="2"/>
    </font>
    <font>
      <sz val="10"/>
      <color indexed="4"/>
      <name val="Tahoma"/>
      <family val="2"/>
    </font>
    <font>
      <sz val="8"/>
      <color theme="0"/>
      <name val="Arial"/>
      <family val="2"/>
    </font>
    <font>
      <b/>
      <sz val="10"/>
      <color theme="0"/>
      <name val="Arial"/>
      <family val="2"/>
    </font>
    <font>
      <sz val="10"/>
      <color theme="0"/>
      <name val="Arial"/>
      <family val="2"/>
    </font>
    <font>
      <b/>
      <sz val="8"/>
      <color theme="0"/>
      <name val="Arial"/>
      <family val="2"/>
    </font>
    <font>
      <b/>
      <sz val="10"/>
      <color indexed="8"/>
      <name val="Arial"/>
      <family val="2"/>
    </font>
    <font>
      <sz val="8"/>
      <color indexed="19"/>
      <name val="Arial"/>
      <family val="2"/>
    </font>
    <font>
      <b/>
      <sz val="12"/>
      <color theme="0"/>
      <name val="Arial"/>
      <family val="2"/>
    </font>
    <font>
      <sz val="7"/>
      <color rgb="FF006600"/>
      <name val="Arial"/>
      <family val="2"/>
    </font>
    <font>
      <sz val="7"/>
      <name val="Arial"/>
      <family val="2"/>
    </font>
    <font>
      <sz val="7"/>
      <color rgb="FFC00000"/>
      <name val="Arial"/>
      <family val="2"/>
    </font>
    <font>
      <sz val="10"/>
      <name val="Courier"/>
      <family val="3"/>
    </font>
    <font>
      <sz val="10"/>
      <name val="Arial"/>
    </font>
    <font>
      <sz val="10"/>
      <color rgb="FF000000"/>
      <name val="Arial"/>
      <family val="2"/>
    </font>
    <font>
      <b/>
      <sz val="12"/>
      <color rgb="FF000080"/>
      <name val="Arial"/>
      <family val="2"/>
    </font>
  </fonts>
  <fills count="15">
    <fill>
      <patternFill patternType="none"/>
    </fill>
    <fill>
      <patternFill patternType="gray125"/>
    </fill>
    <fill>
      <patternFill patternType="solid">
        <fgColor indexed="43"/>
        <bgColor indexed="64"/>
      </patternFill>
    </fill>
    <fill>
      <patternFill patternType="solid">
        <fgColor indexed="44"/>
        <bgColor indexed="64"/>
      </patternFill>
    </fill>
    <fill>
      <patternFill patternType="solid">
        <fgColor indexed="9"/>
        <bgColor indexed="64"/>
      </patternFill>
    </fill>
    <fill>
      <patternFill patternType="solid">
        <fgColor indexed="60"/>
        <bgColor indexed="64"/>
      </patternFill>
    </fill>
    <fill>
      <patternFill patternType="solid">
        <fgColor indexed="62"/>
        <bgColor indexed="64"/>
      </patternFill>
    </fill>
    <fill>
      <patternFill patternType="solid">
        <fgColor theme="0" tint="-0.14999847407452621"/>
        <bgColor indexed="64"/>
      </patternFill>
    </fill>
    <fill>
      <patternFill patternType="solid">
        <fgColor rgb="FFFFFF99"/>
        <bgColor indexed="64"/>
      </patternFill>
    </fill>
    <fill>
      <patternFill patternType="solid">
        <fgColor rgb="FF9DC9DC"/>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indexed="48"/>
      </patternFill>
    </fill>
    <fill>
      <patternFill patternType="solid">
        <fgColor indexed="65"/>
        <bgColor indexed="64"/>
      </patternFill>
    </fill>
  </fills>
  <borders count="24">
    <border>
      <left/>
      <right/>
      <top/>
      <bottom/>
      <diagonal/>
    </border>
    <border>
      <left/>
      <right/>
      <top/>
      <bottom style="thin">
        <color indexed="8"/>
      </bottom>
      <diagonal/>
    </border>
    <border>
      <left/>
      <right/>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right/>
      <top/>
      <bottom style="hair">
        <color indexed="64"/>
      </bottom>
      <diagonal/>
    </border>
    <border>
      <left/>
      <right style="thin">
        <color indexed="64"/>
      </right>
      <top style="thin">
        <color indexed="64"/>
      </top>
      <bottom style="thin">
        <color indexed="64"/>
      </bottom>
      <diagonal/>
    </border>
    <border>
      <left/>
      <right/>
      <top style="medium">
        <color indexed="64"/>
      </top>
      <bottom/>
      <diagonal/>
    </border>
    <border>
      <left/>
      <right style="thin">
        <color indexed="64"/>
      </right>
      <top/>
      <bottom style="medium">
        <color indexed="64"/>
      </bottom>
      <diagonal/>
    </border>
    <border>
      <left/>
      <right/>
      <top/>
      <bottom style="medium">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right/>
      <top/>
      <bottom style="thin">
        <color rgb="FF000000"/>
      </bottom>
      <diagonal/>
    </border>
    <border>
      <left/>
      <right/>
      <top style="thin">
        <color rgb="FF000000"/>
      </top>
      <bottom/>
      <diagonal/>
    </border>
  </borders>
  <cellStyleXfs count="87">
    <xf numFmtId="0" fontId="0" fillId="0" borderId="0"/>
    <xf numFmtId="0" fontId="4" fillId="0" borderId="0"/>
    <xf numFmtId="0" fontId="4" fillId="0" borderId="0" applyNumberFormat="0" applyFont="0" applyFill="0" applyBorder="0" applyAlignment="0" applyProtection="0"/>
    <xf numFmtId="0" fontId="4" fillId="0" borderId="0"/>
    <xf numFmtId="0" fontId="4" fillId="0" borderId="0"/>
    <xf numFmtId="0" fontId="22" fillId="0" borderId="0"/>
    <xf numFmtId="0" fontId="40" fillId="0" borderId="0"/>
    <xf numFmtId="0" fontId="40" fillId="0" borderId="0"/>
    <xf numFmtId="0" fontId="22" fillId="0" borderId="0"/>
    <xf numFmtId="0" fontId="27" fillId="0" borderId="0"/>
    <xf numFmtId="43" fontId="2" fillId="0" borderId="0" applyFont="0" applyFill="0" applyBorder="0" applyAlignment="0" applyProtection="0"/>
    <xf numFmtId="211" fontId="20" fillId="0" borderId="0"/>
    <xf numFmtId="40" fontId="20" fillId="0" borderId="0" applyFont="0" applyFill="0" applyBorder="0" applyAlignment="0" applyProtection="0"/>
    <xf numFmtId="44" fontId="2" fillId="0" borderId="0" applyFont="0" applyFill="0" applyBorder="0" applyAlignment="0" applyProtection="0"/>
    <xf numFmtId="212" fontId="20" fillId="0" borderId="0"/>
    <xf numFmtId="44" fontId="4" fillId="0" borderId="0" applyFont="0" applyFill="0" applyBorder="0" applyAlignment="0" applyProtection="0"/>
    <xf numFmtId="210" fontId="4" fillId="0" borderId="0" applyFont="0" applyFill="0" applyBorder="0" applyAlignment="0" applyProtection="0"/>
    <xf numFmtId="0" fontId="3" fillId="0" borderId="0" applyNumberFormat="0" applyFill="0" applyBorder="0" applyAlignment="0" applyProtection="0">
      <alignment vertical="top"/>
      <protection locked="0"/>
    </xf>
    <xf numFmtId="0" fontId="4" fillId="0" borderId="0"/>
    <xf numFmtId="0" fontId="20" fillId="0" borderId="0"/>
    <xf numFmtId="0" fontId="20" fillId="0" borderId="0"/>
    <xf numFmtId="0" fontId="20" fillId="0" borderId="0"/>
    <xf numFmtId="0" fontId="4" fillId="0" borderId="0"/>
    <xf numFmtId="0" fontId="4" fillId="0" borderId="0"/>
    <xf numFmtId="0" fontId="4" fillId="0" borderId="0"/>
    <xf numFmtId="0" fontId="4" fillId="0" borderId="0"/>
    <xf numFmtId="187" fontId="4" fillId="0" borderId="0"/>
    <xf numFmtId="0" fontId="26" fillId="0" borderId="0">
      <alignment vertical="center"/>
    </xf>
    <xf numFmtId="9" fontId="2" fillId="0" borderId="0" applyFont="0" applyFill="0" applyBorder="0" applyAlignment="0" applyProtection="0"/>
    <xf numFmtId="9" fontId="20" fillId="0" borderId="0" applyFont="0" applyFill="0" applyBorder="0" applyAlignment="0" applyProtection="0"/>
    <xf numFmtId="0" fontId="4" fillId="2" borderId="0" applyNumberFormat="0" applyFont="0" applyBorder="0" applyAlignment="0" applyProtection="0"/>
    <xf numFmtId="0" fontId="28" fillId="0" borderId="0"/>
    <xf numFmtId="0" fontId="28" fillId="0" borderId="1">
      <alignment horizontal="centerContinuous"/>
    </xf>
    <xf numFmtId="0" fontId="10" fillId="0" borderId="1"/>
    <xf numFmtId="0" fontId="4" fillId="0" borderId="0">
      <alignment vertical="top"/>
    </xf>
    <xf numFmtId="0" fontId="4" fillId="2" borderId="0" applyNumberFormat="0" applyFont="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4" fillId="0" borderId="0"/>
    <xf numFmtId="0" fontId="20" fillId="0" borderId="0"/>
    <xf numFmtId="0" fontId="4" fillId="0" borderId="0"/>
    <xf numFmtId="0" fontId="4" fillId="0" borderId="0"/>
    <xf numFmtId="0" fontId="4" fillId="0" borderId="0" applyNumberFormat="0" applyFont="0" applyFill="0" applyBorder="0" applyAlignment="0" applyProtection="0"/>
    <xf numFmtId="0" fontId="4" fillId="0" borderId="0" applyNumberFormat="0" applyFont="0" applyFill="0" applyBorder="0" applyAlignment="0" applyProtection="0"/>
    <xf numFmtId="0" fontId="4" fillId="0" borderId="0"/>
    <xf numFmtId="0" fontId="4" fillId="0" borderId="0"/>
    <xf numFmtId="0" fontId="4" fillId="0" borderId="0"/>
    <xf numFmtId="0" fontId="4"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7" fillId="0" borderId="0"/>
    <xf numFmtId="40" fontId="20" fillId="0" borderId="0" applyFont="0" applyFill="0" applyBorder="0" applyAlignment="0" applyProtection="0"/>
    <xf numFmtId="43" fontId="1" fillId="0" borderId="0" applyFont="0" applyFill="0" applyBorder="0" applyAlignment="0" applyProtection="0"/>
    <xf numFmtId="8" fontId="20" fillId="0" borderId="0" applyFont="0" applyFill="0" applyBorder="0" applyAlignment="0" applyProtection="0"/>
    <xf numFmtId="44" fontId="4" fillId="0" borderId="0" applyFont="0" applyFill="0" applyBorder="0" applyAlignment="0" applyProtection="0"/>
    <xf numFmtId="0" fontId="57" fillId="0" borderId="0"/>
    <xf numFmtId="0" fontId="58" fillId="13" borderId="0"/>
    <xf numFmtId="0" fontId="59" fillId="0" borderId="0">
      <alignment wrapText="1"/>
    </xf>
    <xf numFmtId="0" fontId="58" fillId="0" borderId="0"/>
    <xf numFmtId="0" fontId="60" fillId="0" borderId="0"/>
    <xf numFmtId="0" fontId="61" fillId="0" borderId="0"/>
    <xf numFmtId="0" fontId="4" fillId="0" borderId="0"/>
    <xf numFmtId="0" fontId="20" fillId="0" borderId="0"/>
    <xf numFmtId="0" fontId="4" fillId="0" borderId="0"/>
    <xf numFmtId="0" fontId="1" fillId="0" borderId="0"/>
    <xf numFmtId="0" fontId="23" fillId="0" borderId="0">
      <alignment vertical="center"/>
    </xf>
    <xf numFmtId="0" fontId="23" fillId="0" borderId="0">
      <alignment vertical="center"/>
    </xf>
    <xf numFmtId="0" fontId="61" fillId="0" borderId="0"/>
    <xf numFmtId="9" fontId="20"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0" fontId="28" fillId="0" borderId="0"/>
    <xf numFmtId="0" fontId="28" fillId="0" borderId="1">
      <alignment horizontal="centerContinuous"/>
    </xf>
    <xf numFmtId="0" fontId="4" fillId="0" borderId="0">
      <alignment vertical="top"/>
    </xf>
    <xf numFmtId="0" fontId="4" fillId="0" borderId="0">
      <alignment vertical="top"/>
    </xf>
    <xf numFmtId="0" fontId="4" fillId="0" borderId="0">
      <alignment vertical="top"/>
    </xf>
    <xf numFmtId="0" fontId="4" fillId="0" borderId="0">
      <alignment vertical="top"/>
    </xf>
    <xf numFmtId="0" fontId="2" fillId="4" borderId="5" applyNumberFormat="0" applyProtection="0">
      <alignment wrapText="1"/>
    </xf>
    <xf numFmtId="0" fontId="72" fillId="0" borderId="0"/>
    <xf numFmtId="0" fontId="73" fillId="0" borderId="0"/>
  </cellStyleXfs>
  <cellXfs count="2869">
    <xf numFmtId="0" fontId="0" fillId="0" borderId="0" xfId="0"/>
    <xf numFmtId="181" fontId="15" fillId="0" borderId="2" xfId="0" applyNumberFormat="1" applyFont="1" applyFill="1" applyBorder="1" applyAlignment="1" applyProtection="1">
      <alignment horizontal="right"/>
    </xf>
    <xf numFmtId="168" fontId="5" fillId="0" borderId="0" xfId="0" applyNumberFormat="1" applyFont="1" applyBorder="1" applyAlignment="1" applyProtection="1">
      <alignment horizontal="left"/>
    </xf>
    <xf numFmtId="0" fontId="6" fillId="0" borderId="0" xfId="0" applyFont="1" applyBorder="1"/>
    <xf numFmtId="0" fontId="6" fillId="0" borderId="0" xfId="0" applyFont="1"/>
    <xf numFmtId="0" fontId="7" fillId="0" borderId="0" xfId="0" applyFont="1" applyBorder="1" applyAlignment="1">
      <alignment horizontal="right"/>
    </xf>
    <xf numFmtId="0" fontId="6" fillId="0" borderId="0" xfId="0" applyFont="1" applyFill="1"/>
    <xf numFmtId="0" fontId="6" fillId="0" borderId="0" xfId="0" applyFont="1" applyFill="1" applyBorder="1"/>
    <xf numFmtId="0" fontId="6" fillId="0" borderId="2" xfId="0" applyFont="1" applyFill="1" applyBorder="1"/>
    <xf numFmtId="172" fontId="6" fillId="0" borderId="0" xfId="10" applyNumberFormat="1" applyFont="1"/>
    <xf numFmtId="172" fontId="6" fillId="0" borderId="0" xfId="10" applyNumberFormat="1" applyFont="1" applyFill="1"/>
    <xf numFmtId="172" fontId="6" fillId="0" borderId="0" xfId="0" applyNumberFormat="1" applyFont="1"/>
    <xf numFmtId="0" fontId="6" fillId="3" borderId="3" xfId="0" applyFont="1" applyFill="1" applyBorder="1"/>
    <xf numFmtId="0" fontId="12" fillId="0" borderId="0" xfId="0" applyFont="1"/>
    <xf numFmtId="0" fontId="13" fillId="0" borderId="0" xfId="0" applyFont="1"/>
    <xf numFmtId="166" fontId="6" fillId="0" borderId="0" xfId="28" applyNumberFormat="1" applyFont="1"/>
    <xf numFmtId="172" fontId="8" fillId="0" borderId="0" xfId="10" applyNumberFormat="1" applyFont="1"/>
    <xf numFmtId="0" fontId="6" fillId="0" borderId="0" xfId="0" applyFont="1" applyAlignment="1">
      <alignment horizontal="left"/>
    </xf>
    <xf numFmtId="171" fontId="6" fillId="0" borderId="0" xfId="0" applyNumberFormat="1" applyFont="1"/>
    <xf numFmtId="0" fontId="7" fillId="0" borderId="0" xfId="0" applyFont="1"/>
    <xf numFmtId="0" fontId="6" fillId="0" borderId="0" xfId="23" applyFont="1"/>
    <xf numFmtId="37" fontId="6" fillId="0" borderId="0" xfId="23" applyNumberFormat="1" applyFont="1" applyAlignment="1" applyProtection="1">
      <alignment horizontal="left"/>
    </xf>
    <xf numFmtId="37" fontId="6" fillId="0" borderId="0" xfId="23" applyNumberFormat="1" applyFont="1" applyAlignment="1" applyProtection="1"/>
    <xf numFmtId="37" fontId="6" fillId="0" borderId="0" xfId="10" applyNumberFormat="1" applyFont="1" applyAlignment="1"/>
    <xf numFmtId="0" fontId="6" fillId="0" borderId="0" xfId="23" applyFont="1" applyFill="1"/>
    <xf numFmtId="0" fontId="6" fillId="0" borderId="0" xfId="23" applyFont="1" applyAlignment="1">
      <alignment horizontal="left" indent="1"/>
    </xf>
    <xf numFmtId="37" fontId="7" fillId="0" borderId="0" xfId="23" applyNumberFormat="1" applyFont="1" applyAlignment="1" applyProtection="1"/>
    <xf numFmtId="171" fontId="7" fillId="0" borderId="0" xfId="10" applyNumberFormat="1" applyFont="1"/>
    <xf numFmtId="172" fontId="7" fillId="0" borderId="0" xfId="10" applyNumberFormat="1" applyFont="1"/>
    <xf numFmtId="9" fontId="6" fillId="0" borderId="0" xfId="28" applyFont="1"/>
    <xf numFmtId="166" fontId="6" fillId="0" borderId="0" xfId="23" applyNumberFormat="1" applyFont="1"/>
    <xf numFmtId="0" fontId="15" fillId="0" borderId="2" xfId="0" applyFont="1" applyBorder="1" applyAlignment="1">
      <alignment horizontal="centerContinuous"/>
    </xf>
    <xf numFmtId="166" fontId="7" fillId="0" borderId="2" xfId="0" applyNumberFormat="1" applyFont="1" applyFill="1" applyBorder="1" applyAlignment="1" applyProtection="1">
      <alignment horizontal="centerContinuous"/>
    </xf>
    <xf numFmtId="0" fontId="7" fillId="0" borderId="2" xfId="0" applyFont="1" applyBorder="1" applyAlignment="1">
      <alignment horizontal="centerContinuous"/>
    </xf>
    <xf numFmtId="41" fontId="6" fillId="0" borderId="0" xfId="10" applyNumberFormat="1" applyFont="1"/>
    <xf numFmtId="165" fontId="6" fillId="0" borderId="0" xfId="0" applyNumberFormat="1" applyFont="1" applyAlignment="1" applyProtection="1">
      <alignment horizontal="left"/>
    </xf>
    <xf numFmtId="165" fontId="7" fillId="0" borderId="0" xfId="0" applyNumberFormat="1" applyFont="1" applyAlignment="1" applyProtection="1">
      <alignment horizontal="left"/>
    </xf>
    <xf numFmtId="165" fontId="7" fillId="0" borderId="0" xfId="0" applyNumberFormat="1" applyFont="1" applyBorder="1" applyAlignment="1" applyProtection="1">
      <alignment horizontal="left"/>
    </xf>
    <xf numFmtId="41" fontId="6" fillId="0" borderId="0" xfId="0" applyNumberFormat="1" applyFont="1"/>
    <xf numFmtId="0" fontId="0" fillId="0" borderId="0" xfId="0" applyFill="1"/>
    <xf numFmtId="168" fontId="6" fillId="0" borderId="0" xfId="0" applyNumberFormat="1" applyFont="1" applyAlignment="1" applyProtection="1">
      <alignment horizontal="left"/>
    </xf>
    <xf numFmtId="38" fontId="6" fillId="0" borderId="0" xfId="0" applyNumberFormat="1" applyFont="1"/>
    <xf numFmtId="38" fontId="6" fillId="0" borderId="0" xfId="0" applyNumberFormat="1" applyFont="1" applyProtection="1"/>
    <xf numFmtId="38" fontId="6" fillId="0" borderId="2" xfId="0" applyNumberFormat="1" applyFont="1" applyBorder="1" applyProtection="1"/>
    <xf numFmtId="38" fontId="6" fillId="0" borderId="0" xfId="0" applyNumberFormat="1" applyFont="1" applyBorder="1" applyProtection="1"/>
    <xf numFmtId="175" fontId="6" fillId="0" borderId="0" xfId="0" applyNumberFormat="1" applyFont="1"/>
    <xf numFmtId="173" fontId="11" fillId="0" borderId="0" xfId="0" applyNumberFormat="1" applyFont="1"/>
    <xf numFmtId="173" fontId="6" fillId="0" borderId="0" xfId="0" applyNumberFormat="1" applyFont="1"/>
    <xf numFmtId="165" fontId="7" fillId="0" borderId="4" xfId="0" applyNumberFormat="1" applyFont="1" applyBorder="1" applyAlignment="1" applyProtection="1">
      <alignment horizontal="left"/>
    </xf>
    <xf numFmtId="166" fontId="2" fillId="0" borderId="0" xfId="28" applyNumberFormat="1" applyFont="1"/>
    <xf numFmtId="166" fontId="7" fillId="0" borderId="0" xfId="28" applyNumberFormat="1" applyFont="1"/>
    <xf numFmtId="0" fontId="2" fillId="0" borderId="0" xfId="0" applyFont="1" applyFill="1"/>
    <xf numFmtId="166" fontId="2" fillId="0" borderId="0" xfId="28" applyNumberFormat="1" applyFont="1" applyFill="1"/>
    <xf numFmtId="0" fontId="7" fillId="0" borderId="0" xfId="0" applyFont="1" applyFill="1" applyBorder="1"/>
    <xf numFmtId="41" fontId="6" fillId="0" borderId="0" xfId="0" applyNumberFormat="1" applyFont="1" applyFill="1"/>
    <xf numFmtId="38" fontId="6" fillId="0" borderId="0" xfId="10" applyNumberFormat="1" applyFont="1"/>
    <xf numFmtId="38" fontId="6" fillId="0" borderId="0" xfId="10" applyNumberFormat="1" applyFont="1" applyFill="1"/>
    <xf numFmtId="37" fontId="6" fillId="0" borderId="0" xfId="10" applyNumberFormat="1" applyFont="1" applyFill="1"/>
    <xf numFmtId="37" fontId="6" fillId="0" borderId="0" xfId="10" applyNumberFormat="1" applyFont="1"/>
    <xf numFmtId="0" fontId="7" fillId="0" borderId="0" xfId="23" applyFont="1" applyAlignment="1">
      <alignment horizontal="left" indent="1"/>
    </xf>
    <xf numFmtId="0" fontId="6" fillId="0" borderId="0" xfId="23" applyFont="1" applyAlignment="1">
      <alignment horizontal="left"/>
    </xf>
    <xf numFmtId="165" fontId="7" fillId="0" borderId="0" xfId="0" applyNumberFormat="1" applyFont="1" applyAlignment="1" applyProtection="1">
      <alignment horizontal="left" indent="1"/>
    </xf>
    <xf numFmtId="0" fontId="0" fillId="0" borderId="0" xfId="0" applyAlignment="1">
      <alignment horizontal="right"/>
    </xf>
    <xf numFmtId="37" fontId="6" fillId="0" borderId="0" xfId="0" applyNumberFormat="1" applyFont="1"/>
    <xf numFmtId="0" fontId="6" fillId="0" borderId="0" xfId="23" applyFont="1" applyFill="1" applyBorder="1"/>
    <xf numFmtId="9" fontId="6" fillId="0" borderId="0" xfId="28" applyFont="1" applyFill="1" applyBorder="1"/>
    <xf numFmtId="10" fontId="6" fillId="0" borderId="0" xfId="28" applyNumberFormat="1" applyFont="1"/>
    <xf numFmtId="166" fontId="0" fillId="0" borderId="0" xfId="28" applyNumberFormat="1" applyFont="1"/>
    <xf numFmtId="9" fontId="6" fillId="0" borderId="0" xfId="28" applyFont="1" applyBorder="1"/>
    <xf numFmtId="184" fontId="6" fillId="0" borderId="0" xfId="0" applyNumberFormat="1" applyFont="1" applyProtection="1"/>
    <xf numFmtId="166" fontId="6" fillId="0" borderId="0" xfId="28" applyNumberFormat="1" applyFont="1" applyFill="1" applyBorder="1"/>
    <xf numFmtId="0" fontId="5" fillId="0" borderId="0" xfId="0" applyFont="1"/>
    <xf numFmtId="0" fontId="0" fillId="0" borderId="0" xfId="0" applyBorder="1"/>
    <xf numFmtId="9" fontId="6" fillId="0" borderId="0" xfId="28" applyFont="1" applyFill="1"/>
    <xf numFmtId="41" fontId="6" fillId="0" borderId="0" xfId="10" applyNumberFormat="1" applyFont="1" applyFill="1"/>
    <xf numFmtId="166" fontId="6" fillId="0" borderId="0" xfId="28" applyNumberFormat="1" applyFont="1" applyFill="1" applyBorder="1" applyAlignment="1">
      <alignment horizontal="right"/>
    </xf>
    <xf numFmtId="166" fontId="2" fillId="0" borderId="0" xfId="28" applyNumberFormat="1" applyFont="1" applyAlignment="1">
      <alignment horizontal="right"/>
    </xf>
    <xf numFmtId="166" fontId="6" fillId="0" borderId="0" xfId="28" applyNumberFormat="1" applyFont="1" applyFill="1"/>
    <xf numFmtId="3" fontId="6" fillId="0" borderId="0" xfId="0" applyNumberFormat="1" applyFont="1" applyFill="1"/>
    <xf numFmtId="0" fontId="16" fillId="0" borderId="0" xfId="0" applyFont="1"/>
    <xf numFmtId="172" fontId="8" fillId="0" borderId="0" xfId="10" applyNumberFormat="1" applyFont="1" applyFill="1"/>
    <xf numFmtId="43" fontId="6" fillId="0" borderId="0" xfId="0" applyNumberFormat="1" applyFont="1" applyBorder="1"/>
    <xf numFmtId="0" fontId="7" fillId="0" borderId="0" xfId="0" applyFont="1" applyFill="1" applyBorder="1" applyAlignment="1">
      <alignment horizontal="right"/>
    </xf>
    <xf numFmtId="37" fontId="6" fillId="0" borderId="0" xfId="23" applyNumberFormat="1" applyFont="1" applyFill="1" applyAlignment="1" applyProtection="1"/>
    <xf numFmtId="37" fontId="6" fillId="0" borderId="0" xfId="23" applyNumberFormat="1" applyFont="1" applyFill="1"/>
    <xf numFmtId="172" fontId="7" fillId="0" borderId="0" xfId="10" applyNumberFormat="1" applyFont="1" applyFill="1"/>
    <xf numFmtId="0" fontId="15" fillId="0" borderId="2" xfId="0" applyNumberFormat="1" applyFont="1" applyFill="1" applyBorder="1" applyAlignment="1">
      <alignment horizontal="centerContinuous"/>
    </xf>
    <xf numFmtId="171" fontId="6" fillId="0" borderId="0" xfId="0" applyNumberFormat="1" applyFont="1" applyFill="1"/>
    <xf numFmtId="0" fontId="7" fillId="0" borderId="0" xfId="0" applyFont="1" applyFill="1"/>
    <xf numFmtId="166" fontId="8" fillId="0" borderId="0" xfId="28" applyNumberFormat="1" applyFont="1" applyFill="1"/>
    <xf numFmtId="43" fontId="6" fillId="0" borderId="0" xfId="10" applyFont="1" applyFill="1" applyBorder="1"/>
    <xf numFmtId="166" fontId="0" fillId="0" borderId="0" xfId="28" applyNumberFormat="1" applyFont="1" applyFill="1"/>
    <xf numFmtId="37" fontId="6" fillId="0" borderId="0" xfId="10" applyNumberFormat="1" applyFont="1" applyFill="1" applyAlignment="1"/>
    <xf numFmtId="172" fontId="6" fillId="0" borderId="0" xfId="10" applyNumberFormat="1" applyFont="1" applyBorder="1"/>
    <xf numFmtId="170" fontId="7" fillId="3" borderId="3" xfId="0" applyNumberFormat="1" applyFont="1" applyFill="1" applyBorder="1" applyAlignment="1" applyProtection="1">
      <alignment horizontal="left"/>
    </xf>
    <xf numFmtId="43" fontId="6" fillId="0" borderId="0" xfId="0" applyNumberFormat="1" applyFont="1" applyFill="1" applyBorder="1"/>
    <xf numFmtId="166" fontId="7" fillId="0" borderId="0" xfId="0" applyNumberFormat="1" applyFont="1" applyFill="1" applyBorder="1" applyAlignment="1" applyProtection="1">
      <alignment horizontal="centerContinuous"/>
    </xf>
    <xf numFmtId="171" fontId="6" fillId="0" borderId="2" xfId="10" applyNumberFormat="1" applyFont="1" applyFill="1" applyBorder="1"/>
    <xf numFmtId="3" fontId="12" fillId="0" borderId="0" xfId="0" applyNumberFormat="1" applyFont="1" applyFill="1"/>
    <xf numFmtId="0" fontId="4" fillId="0" borderId="0" xfId="0" applyFont="1"/>
    <xf numFmtId="198" fontId="6" fillId="0" borderId="0" xfId="28" applyNumberFormat="1" applyFont="1"/>
    <xf numFmtId="198" fontId="6" fillId="0" borderId="0" xfId="28" applyNumberFormat="1" applyFont="1" applyFill="1"/>
    <xf numFmtId="41" fontId="6" fillId="0" borderId="0" xfId="23" applyNumberFormat="1" applyFont="1" applyFill="1"/>
    <xf numFmtId="198" fontId="6" fillId="0" borderId="0" xfId="10" applyNumberFormat="1" applyFont="1" applyFill="1"/>
    <xf numFmtId="0" fontId="15" fillId="3" borderId="3" xfId="23" applyFont="1" applyFill="1" applyBorder="1"/>
    <xf numFmtId="170" fontId="15" fillId="3" borderId="3" xfId="0" applyNumberFormat="1" applyFont="1" applyFill="1" applyBorder="1" applyAlignment="1" applyProtection="1">
      <alignment horizontal="left"/>
    </xf>
    <xf numFmtId="41" fontId="11" fillId="0" borderId="0" xfId="0" applyNumberFormat="1" applyFont="1"/>
    <xf numFmtId="198" fontId="6" fillId="0" borderId="0" xfId="0" applyNumberFormat="1" applyFont="1"/>
    <xf numFmtId="198" fontId="6" fillId="0" borderId="0" xfId="0" applyNumberFormat="1" applyFont="1" applyFill="1" applyBorder="1"/>
    <xf numFmtId="198" fontId="6" fillId="0" borderId="0" xfId="0" applyNumberFormat="1" applyFont="1" applyBorder="1"/>
    <xf numFmtId="198" fontId="7" fillId="0" borderId="0" xfId="0" applyNumberFormat="1" applyFont="1" applyFill="1" applyBorder="1"/>
    <xf numFmtId="198" fontId="7" fillId="0" borderId="0" xfId="0" applyNumberFormat="1" applyFont="1" applyBorder="1"/>
    <xf numFmtId="198" fontId="6" fillId="0" borderId="0" xfId="0" applyNumberFormat="1" applyFont="1" applyFill="1"/>
    <xf numFmtId="198" fontId="6" fillId="0" borderId="0" xfId="28" applyNumberFormat="1" applyFont="1" applyFill="1" applyBorder="1"/>
    <xf numFmtId="198" fontId="7" fillId="0" borderId="0" xfId="28" applyNumberFormat="1" applyFont="1" applyFill="1" applyBorder="1"/>
    <xf numFmtId="170" fontId="16" fillId="0" borderId="0" xfId="0" applyNumberFormat="1" applyFont="1" applyAlignment="1" applyProtection="1">
      <alignment horizontal="left"/>
    </xf>
    <xf numFmtId="0" fontId="7" fillId="0" borderId="0" xfId="0" applyNumberFormat="1" applyFont="1" applyAlignment="1" applyProtection="1">
      <alignment horizontal="left"/>
    </xf>
    <xf numFmtId="166" fontId="6" fillId="0" borderId="0" xfId="28" applyNumberFormat="1" applyFont="1" applyAlignment="1" applyProtection="1">
      <alignment horizontal="left"/>
    </xf>
    <xf numFmtId="198" fontId="6" fillId="0" borderId="0" xfId="28" applyNumberFormat="1" applyFont="1" applyProtection="1"/>
    <xf numFmtId="199" fontId="6" fillId="0" borderId="0" xfId="28" applyNumberFormat="1" applyFont="1"/>
    <xf numFmtId="37" fontId="16" fillId="0" borderId="0" xfId="0" applyNumberFormat="1" applyFont="1" applyAlignment="1" applyProtection="1">
      <alignment horizontal="left"/>
    </xf>
    <xf numFmtId="165" fontId="7" fillId="0" borderId="2" xfId="0" applyNumberFormat="1" applyFont="1" applyBorder="1" applyAlignment="1" applyProtection="1">
      <alignment horizontal="left"/>
    </xf>
    <xf numFmtId="0" fontId="7" fillId="0" borderId="0" xfId="23" applyFont="1" applyAlignment="1">
      <alignment horizontal="left"/>
    </xf>
    <xf numFmtId="188" fontId="6" fillId="0" borderId="0" xfId="23" applyNumberFormat="1" applyFont="1" applyAlignment="1" applyProtection="1"/>
    <xf numFmtId="201" fontId="6" fillId="0" borderId="0" xfId="23" applyNumberFormat="1" applyFont="1" applyFill="1" applyAlignment="1" applyProtection="1"/>
    <xf numFmtId="188" fontId="7" fillId="0" borderId="0" xfId="23" applyNumberFormat="1" applyFont="1" applyAlignment="1" applyProtection="1"/>
    <xf numFmtId="198" fontId="6" fillId="0" borderId="0" xfId="28" applyNumberFormat="1" applyFont="1" applyBorder="1"/>
    <xf numFmtId="179" fontId="6" fillId="0" borderId="0" xfId="10" applyNumberFormat="1" applyFont="1"/>
    <xf numFmtId="179" fontId="6" fillId="0" borderId="2" xfId="10" applyNumberFormat="1" applyFont="1" applyBorder="1"/>
    <xf numFmtId="188" fontId="6" fillId="0" borderId="0" xfId="0" applyNumberFormat="1" applyFont="1"/>
    <xf numFmtId="188" fontId="7" fillId="0" borderId="0" xfId="0" applyNumberFormat="1" applyFont="1" applyBorder="1"/>
    <xf numFmtId="201" fontId="6" fillId="0" borderId="0" xfId="28" applyNumberFormat="1" applyFont="1"/>
    <xf numFmtId="201" fontId="6" fillId="0" borderId="0" xfId="0" applyNumberFormat="1" applyFont="1" applyBorder="1"/>
    <xf numFmtId="37" fontId="6" fillId="0" borderId="0" xfId="23" applyNumberFormat="1" applyFont="1" applyFill="1" applyAlignment="1"/>
    <xf numFmtId="0" fontId="0" fillId="0" borderId="0" xfId="0" applyFill="1" applyBorder="1"/>
    <xf numFmtId="172" fontId="6" fillId="0" borderId="0" xfId="0" applyNumberFormat="1" applyFont="1" applyFill="1"/>
    <xf numFmtId="201" fontId="6" fillId="0" borderId="0" xfId="0" applyNumberFormat="1" applyFont="1" applyFill="1"/>
    <xf numFmtId="179" fontId="6" fillId="0" borderId="0" xfId="10" applyNumberFormat="1" applyFont="1" applyFill="1"/>
    <xf numFmtId="179" fontId="6" fillId="0" borderId="0" xfId="28" applyNumberFormat="1" applyFont="1" applyFill="1"/>
    <xf numFmtId="179" fontId="7" fillId="0" borderId="0" xfId="10" applyNumberFormat="1" applyFont="1" applyFill="1"/>
    <xf numFmtId="184" fontId="6" fillId="0" borderId="0" xfId="0" applyNumberFormat="1" applyFont="1" applyFill="1" applyProtection="1"/>
    <xf numFmtId="38" fontId="6" fillId="0" borderId="0" xfId="0" applyNumberFormat="1" applyFont="1" applyFill="1" applyProtection="1"/>
    <xf numFmtId="38" fontId="6" fillId="0" borderId="2" xfId="0" applyNumberFormat="1" applyFont="1" applyFill="1" applyBorder="1" applyProtection="1"/>
    <xf numFmtId="37" fontId="6" fillId="0" borderId="0" xfId="0" applyNumberFormat="1" applyFont="1" applyFill="1" applyProtection="1"/>
    <xf numFmtId="2" fontId="7" fillId="0" borderId="0" xfId="0" applyNumberFormat="1" applyFont="1" applyAlignment="1">
      <alignment horizontal="left"/>
    </xf>
    <xf numFmtId="188" fontId="6" fillId="0" borderId="0" xfId="23" applyNumberFormat="1" applyFont="1" applyBorder="1" applyAlignment="1" applyProtection="1"/>
    <xf numFmtId="198" fontId="8" fillId="0" borderId="0" xfId="28" applyNumberFormat="1" applyFont="1" applyFill="1"/>
    <xf numFmtId="41" fontId="6" fillId="0" borderId="0" xfId="0" applyNumberFormat="1" applyFont="1" applyBorder="1"/>
    <xf numFmtId="37" fontId="6" fillId="0" borderId="0" xfId="0" applyNumberFormat="1" applyFont="1" applyFill="1"/>
    <xf numFmtId="37" fontId="7" fillId="0" borderId="0" xfId="0" applyNumberFormat="1" applyFont="1"/>
    <xf numFmtId="37" fontId="7" fillId="0" borderId="0" xfId="0" applyNumberFormat="1" applyFont="1" applyBorder="1"/>
    <xf numFmtId="37" fontId="7" fillId="0" borderId="0" xfId="0" applyNumberFormat="1" applyFont="1" applyFill="1" applyBorder="1"/>
    <xf numFmtId="37" fontId="7" fillId="0" borderId="0" xfId="0" applyNumberFormat="1" applyFont="1" applyFill="1"/>
    <xf numFmtId="37" fontId="7" fillId="0" borderId="0" xfId="0" applyNumberFormat="1" applyFont="1" applyBorder="1" applyAlignment="1" applyProtection="1">
      <alignment horizontal="centerContinuous"/>
    </xf>
    <xf numFmtId="37" fontId="6" fillId="0" borderId="0" xfId="10" applyNumberFormat="1" applyFont="1" applyBorder="1"/>
    <xf numFmtId="37" fontId="6" fillId="0" borderId="0" xfId="28" applyNumberFormat="1" applyFont="1"/>
    <xf numFmtId="37" fontId="7" fillId="0" borderId="0" xfId="10" applyNumberFormat="1" applyFont="1"/>
    <xf numFmtId="37" fontId="7" fillId="0" borderId="0" xfId="10" applyNumberFormat="1" applyFont="1" applyFill="1"/>
    <xf numFmtId="37" fontId="7" fillId="0" borderId="0" xfId="23" applyNumberFormat="1" applyFont="1" applyFill="1" applyAlignment="1" applyProtection="1"/>
    <xf numFmtId="37" fontId="6" fillId="0" borderId="0" xfId="23" applyNumberFormat="1" applyFont="1" applyFill="1" applyBorder="1" applyAlignment="1" applyProtection="1"/>
    <xf numFmtId="181" fontId="11" fillId="0" borderId="2" xfId="0" applyNumberFormat="1" applyFont="1" applyFill="1" applyBorder="1" applyAlignment="1" applyProtection="1">
      <alignment horizontal="right"/>
    </xf>
    <xf numFmtId="166" fontId="6" fillId="0" borderId="0" xfId="28" applyNumberFormat="1" applyFont="1" applyBorder="1"/>
    <xf numFmtId="0" fontId="6" fillId="0" borderId="0" xfId="23" applyFont="1" applyBorder="1" applyAlignment="1">
      <alignment horizontal="left"/>
    </xf>
    <xf numFmtId="166" fontId="8" fillId="0" borderId="0" xfId="23" applyNumberFormat="1" applyFont="1" applyFill="1" applyBorder="1" applyAlignment="1"/>
    <xf numFmtId="5" fontId="6" fillId="0" borderId="0" xfId="10" applyNumberFormat="1" applyFont="1" applyFill="1" applyAlignment="1"/>
    <xf numFmtId="5" fontId="7" fillId="0" borderId="0" xfId="10" applyNumberFormat="1" applyFont="1" applyFill="1" applyBorder="1" applyAlignment="1"/>
    <xf numFmtId="5" fontId="6" fillId="0" borderId="0" xfId="10" applyNumberFormat="1" applyFont="1" applyFill="1" applyBorder="1" applyAlignment="1"/>
    <xf numFmtId="37" fontId="6" fillId="0" borderId="0" xfId="10" applyNumberFormat="1" applyFont="1" applyFill="1" applyBorder="1"/>
    <xf numFmtId="5" fontId="6" fillId="0" borderId="0" xfId="23" applyNumberFormat="1" applyFont="1" applyFill="1"/>
    <xf numFmtId="166" fontId="8" fillId="0" borderId="0" xfId="28" applyNumberFormat="1" applyFont="1" applyBorder="1"/>
    <xf numFmtId="166" fontId="8" fillId="0" borderId="0" xfId="28" applyNumberFormat="1" applyFont="1" applyFill="1" applyBorder="1"/>
    <xf numFmtId="166" fontId="15" fillId="3" borderId="3" xfId="28" applyNumberFormat="1" applyFont="1" applyFill="1" applyBorder="1" applyAlignment="1" applyProtection="1">
      <alignment horizontal="left"/>
    </xf>
    <xf numFmtId="172" fontId="6" fillId="0" borderId="0" xfId="10" applyNumberFormat="1" applyFont="1" applyFill="1" applyBorder="1"/>
    <xf numFmtId="172" fontId="8" fillId="0" borderId="0" xfId="10" applyNumberFormat="1" applyFont="1" applyFill="1" applyBorder="1"/>
    <xf numFmtId="37" fontId="8" fillId="0" borderId="0" xfId="10" applyNumberFormat="1" applyFont="1" applyFill="1" applyBorder="1"/>
    <xf numFmtId="37" fontId="24" fillId="0" borderId="0" xfId="0" applyNumberFormat="1" applyFont="1" applyFill="1"/>
    <xf numFmtId="5" fontId="6" fillId="0" borderId="0" xfId="0" applyNumberFormat="1" applyFont="1"/>
    <xf numFmtId="5" fontId="6" fillId="0" borderId="0" xfId="0" applyNumberFormat="1" applyFont="1" applyFill="1"/>
    <xf numFmtId="37" fontId="6" fillId="0" borderId="0" xfId="28" applyNumberFormat="1" applyFont="1" applyFill="1"/>
    <xf numFmtId="165" fontId="6" fillId="0" borderId="0" xfId="0" applyNumberFormat="1" applyFont="1" applyFill="1" applyAlignment="1" applyProtection="1">
      <alignment horizontal="left"/>
    </xf>
    <xf numFmtId="49" fontId="0" fillId="0" borderId="0" xfId="0" applyNumberFormat="1"/>
    <xf numFmtId="170" fontId="7" fillId="0" borderId="0" xfId="0" applyNumberFormat="1" applyFont="1" applyFill="1" applyBorder="1" applyAlignment="1" applyProtection="1">
      <alignment horizontal="left"/>
    </xf>
    <xf numFmtId="200" fontId="6" fillId="0" borderId="0" xfId="28" applyNumberFormat="1" applyFont="1"/>
    <xf numFmtId="5" fontId="6" fillId="0" borderId="0" xfId="28" applyNumberFormat="1" applyFont="1"/>
    <xf numFmtId="5" fontId="6" fillId="0" borderId="0" xfId="28" applyNumberFormat="1" applyFont="1" applyFill="1"/>
    <xf numFmtId="0" fontId="7" fillId="0" borderId="0" xfId="0" applyFont="1" applyFill="1" applyBorder="1" applyAlignment="1">
      <alignment horizontal="right" vertical="center"/>
    </xf>
    <xf numFmtId="166" fontId="7" fillId="3" borderId="3" xfId="0" applyNumberFormat="1" applyFont="1" applyFill="1" applyBorder="1" applyAlignment="1" applyProtection="1">
      <alignment horizontal="right"/>
    </xf>
    <xf numFmtId="166" fontId="4" fillId="0" borderId="0" xfId="28" applyNumberFormat="1" applyFont="1"/>
    <xf numFmtId="37" fontId="4" fillId="0" borderId="0" xfId="0" applyNumberFormat="1" applyFont="1"/>
    <xf numFmtId="0" fontId="30" fillId="0" borderId="0" xfId="0" applyFont="1"/>
    <xf numFmtId="0" fontId="4" fillId="0" borderId="0" xfId="0" applyFont="1" applyBorder="1"/>
    <xf numFmtId="43" fontId="7" fillId="0" borderId="0" xfId="10" applyFont="1" applyFill="1" applyBorder="1"/>
    <xf numFmtId="170" fontId="7" fillId="0" borderId="0" xfId="0" applyNumberFormat="1" applyFont="1" applyFill="1" applyBorder="1" applyAlignment="1" applyProtection="1"/>
    <xf numFmtId="7" fontId="7" fillId="0" borderId="0" xfId="10" applyNumberFormat="1" applyFont="1" applyFill="1" applyBorder="1"/>
    <xf numFmtId="198" fontId="6" fillId="0" borderId="0" xfId="28" applyNumberFormat="1" applyFont="1" applyBorder="1" applyAlignment="1">
      <alignment horizontal="left" indent="1"/>
    </xf>
    <xf numFmtId="166" fontId="5" fillId="0" borderId="0" xfId="28" applyNumberFormat="1" applyFont="1"/>
    <xf numFmtId="38" fontId="6" fillId="0" borderId="0" xfId="0" applyNumberFormat="1" applyFont="1" applyFill="1" applyBorder="1" applyProtection="1"/>
    <xf numFmtId="166" fontId="7" fillId="0" borderId="0" xfId="28" applyNumberFormat="1" applyFont="1" applyFill="1" applyBorder="1"/>
    <xf numFmtId="5" fontId="7" fillId="0" borderId="0" xfId="23" applyNumberFormat="1" applyFont="1" applyFill="1" applyBorder="1"/>
    <xf numFmtId="37" fontId="6" fillId="0" borderId="0" xfId="23" applyNumberFormat="1" applyFont="1" applyFill="1" applyBorder="1"/>
    <xf numFmtId="5" fontId="6" fillId="0" borderId="0" xfId="23" applyNumberFormat="1" applyFont="1" applyFill="1" applyBorder="1"/>
    <xf numFmtId="41" fontId="6" fillId="0" borderId="0" xfId="23" applyNumberFormat="1" applyFont="1" applyFill="1" applyBorder="1"/>
    <xf numFmtId="37" fontId="7" fillId="0" borderId="0" xfId="23" applyNumberFormat="1" applyFont="1" applyFill="1" applyBorder="1" applyAlignment="1" applyProtection="1"/>
    <xf numFmtId="201" fontId="6" fillId="0" borderId="0" xfId="23" applyNumberFormat="1" applyFont="1" applyFill="1" applyBorder="1" applyAlignment="1" applyProtection="1"/>
    <xf numFmtId="198" fontId="8" fillId="0" borderId="0" xfId="28" applyNumberFormat="1" applyFont="1" applyFill="1" applyBorder="1"/>
    <xf numFmtId="37" fontId="6" fillId="0" borderId="0" xfId="23" applyNumberFormat="1" applyFont="1" applyFill="1" applyBorder="1" applyAlignment="1"/>
    <xf numFmtId="5" fontId="11" fillId="0" borderId="0" xfId="23" applyNumberFormat="1" applyFont="1" applyFill="1" applyBorder="1"/>
    <xf numFmtId="166" fontId="7" fillId="0" borderId="0" xfId="0" applyNumberFormat="1" applyFont="1" applyFill="1" applyBorder="1" applyAlignment="1" applyProtection="1">
      <alignment horizontal="right"/>
    </xf>
    <xf numFmtId="166" fontId="7" fillId="0" borderId="0" xfId="28" applyNumberFormat="1" applyFont="1" applyFill="1"/>
    <xf numFmtId="0" fontId="15" fillId="0" borderId="2" xfId="0" applyFont="1" applyFill="1" applyBorder="1" applyAlignment="1">
      <alignment horizontal="centerContinuous"/>
    </xf>
    <xf numFmtId="0" fontId="7" fillId="0" borderId="2" xfId="0" applyFont="1" applyFill="1" applyBorder="1" applyAlignment="1">
      <alignment horizontal="centerContinuous"/>
    </xf>
    <xf numFmtId="5" fontId="13" fillId="0" borderId="0" xfId="10" applyNumberFormat="1" applyFont="1" applyFill="1" applyAlignment="1"/>
    <xf numFmtId="0" fontId="6" fillId="0" borderId="0" xfId="28" quotePrefix="1" applyNumberFormat="1" applyFont="1" applyFill="1" applyAlignment="1">
      <alignment horizontal="right"/>
    </xf>
    <xf numFmtId="166" fontId="6" fillId="0" borderId="0" xfId="28" quotePrefix="1" applyNumberFormat="1" applyFont="1" applyFill="1" applyAlignment="1">
      <alignment horizontal="right"/>
    </xf>
    <xf numFmtId="37" fontId="14" fillId="0" borderId="0" xfId="10" applyNumberFormat="1" applyFont="1" applyFill="1" applyAlignment="1"/>
    <xf numFmtId="205" fontId="6" fillId="0" borderId="0" xfId="10" applyNumberFormat="1" applyFont="1" applyAlignment="1"/>
    <xf numFmtId="205" fontId="6" fillId="0" borderId="0" xfId="10" applyNumberFormat="1" applyFont="1" applyFill="1" applyAlignment="1"/>
    <xf numFmtId="205" fontId="6" fillId="0" borderId="0" xfId="10" applyNumberFormat="1" applyFont="1" applyFill="1" applyBorder="1" applyAlignment="1"/>
    <xf numFmtId="186" fontId="6" fillId="0" borderId="0" xfId="10" applyNumberFormat="1" applyFont="1" applyFill="1" applyAlignment="1"/>
    <xf numFmtId="166" fontId="7" fillId="0" borderId="0" xfId="28" applyNumberFormat="1" applyFont="1" applyBorder="1"/>
    <xf numFmtId="166" fontId="18" fillId="0" borderId="0" xfId="28" applyNumberFormat="1" applyFont="1" applyBorder="1"/>
    <xf numFmtId="166" fontId="18" fillId="0" borderId="0" xfId="28" applyNumberFormat="1" applyFont="1" applyFill="1" applyBorder="1"/>
    <xf numFmtId="205" fontId="6" fillId="0" borderId="0" xfId="10" applyNumberFormat="1" applyFont="1" applyBorder="1" applyAlignment="1"/>
    <xf numFmtId="205" fontId="7" fillId="0" borderId="0" xfId="10" applyNumberFormat="1" applyFont="1" applyFill="1" applyBorder="1" applyAlignment="1"/>
    <xf numFmtId="37" fontId="8" fillId="0" borderId="0" xfId="23" applyNumberFormat="1" applyFont="1" applyFill="1" applyAlignment="1"/>
    <xf numFmtId="37" fontId="14" fillId="0" borderId="0" xfId="23" applyNumberFormat="1" applyFont="1" applyFill="1" applyAlignment="1"/>
    <xf numFmtId="37" fontId="7" fillId="0" borderId="0" xfId="23" applyNumberFormat="1" applyFont="1" applyBorder="1"/>
    <xf numFmtId="201" fontId="7" fillId="0" borderId="0" xfId="23" applyNumberFormat="1" applyFont="1" applyBorder="1"/>
    <xf numFmtId="201" fontId="7" fillId="0" borderId="0" xfId="23" applyNumberFormat="1" applyFont="1" applyFill="1" applyBorder="1"/>
    <xf numFmtId="41" fontId="8" fillId="0" borderId="0" xfId="23" applyNumberFormat="1" applyFont="1" applyFill="1" applyAlignment="1" applyProtection="1"/>
    <xf numFmtId="205" fontId="6" fillId="0" borderId="0" xfId="0" applyNumberFormat="1" applyFont="1" applyProtection="1"/>
    <xf numFmtId="205" fontId="6" fillId="0" borderId="0" xfId="0" applyNumberFormat="1" applyFont="1"/>
    <xf numFmtId="184" fontId="8" fillId="0" borderId="0" xfId="0" applyNumberFormat="1" applyFont="1" applyProtection="1"/>
    <xf numFmtId="8" fontId="6" fillId="0" borderId="0" xfId="0" applyNumberFormat="1" applyFont="1"/>
    <xf numFmtId="41" fontId="6" fillId="0" borderId="0" xfId="0" applyNumberFormat="1" applyFont="1" applyAlignment="1" applyProtection="1">
      <alignment horizontal="left"/>
    </xf>
    <xf numFmtId="173" fontId="6" fillId="0" borderId="0" xfId="0" applyNumberFormat="1" applyFont="1" applyBorder="1" applyProtection="1"/>
    <xf numFmtId="170" fontId="15" fillId="0" borderId="0" xfId="0" applyNumberFormat="1" applyFont="1" applyFill="1" applyBorder="1" applyAlignment="1" applyProtection="1">
      <alignment horizontal="left"/>
    </xf>
    <xf numFmtId="37" fontId="14" fillId="0" borderId="0" xfId="10" applyNumberFormat="1" applyFont="1" applyFill="1" applyBorder="1"/>
    <xf numFmtId="205" fontId="2" fillId="0" borderId="0" xfId="0" applyNumberFormat="1" applyFont="1" applyFill="1"/>
    <xf numFmtId="165" fontId="6" fillId="0" borderId="0" xfId="10" applyNumberFormat="1" applyFont="1"/>
    <xf numFmtId="165" fontId="6" fillId="0" borderId="2" xfId="10" applyNumberFormat="1" applyFont="1" applyBorder="1"/>
    <xf numFmtId="0" fontId="6" fillId="0" borderId="0" xfId="0" applyFont="1" applyBorder="1" applyAlignment="1">
      <alignment horizontal="left" indent="1"/>
    </xf>
    <xf numFmtId="172" fontId="6" fillId="0" borderId="0" xfId="0" applyNumberFormat="1" applyFont="1" applyFill="1" applyBorder="1"/>
    <xf numFmtId="7" fontId="8" fillId="0" borderId="0" xfId="10" applyNumberFormat="1" applyFont="1" applyFill="1" applyBorder="1"/>
    <xf numFmtId="171" fontId="6" fillId="0" borderId="0" xfId="10" applyNumberFormat="1" applyFont="1" applyFill="1" applyBorder="1"/>
    <xf numFmtId="7" fontId="6" fillId="0" borderId="0" xfId="10" applyNumberFormat="1" applyFont="1" applyFill="1" applyBorder="1"/>
    <xf numFmtId="171" fontId="6" fillId="0" borderId="0" xfId="10" applyNumberFormat="1" applyFont="1" applyFill="1"/>
    <xf numFmtId="7" fontId="6" fillId="0" borderId="0" xfId="10" quotePrefix="1" applyNumberFormat="1" applyFont="1" applyFill="1" applyBorder="1" applyAlignment="1">
      <alignment horizontal="right"/>
    </xf>
    <xf numFmtId="212" fontId="14" fillId="0" borderId="0" xfId="16" applyNumberFormat="1" applyFont="1"/>
    <xf numFmtId="201" fontId="7" fillId="0" borderId="0" xfId="23" applyNumberFormat="1" applyFont="1" applyBorder="1" applyAlignment="1" applyProtection="1"/>
    <xf numFmtId="166" fontId="34" fillId="0" borderId="0" xfId="28" applyNumberFormat="1" applyFont="1" applyFill="1"/>
    <xf numFmtId="166" fontId="6" fillId="0" borderId="0" xfId="23" applyNumberFormat="1" applyFont="1" applyFill="1" applyBorder="1" applyAlignment="1"/>
    <xf numFmtId="201" fontId="6" fillId="0" borderId="0" xfId="0" applyNumberFormat="1" applyFont="1" applyFill="1" applyBorder="1"/>
    <xf numFmtId="171" fontId="6" fillId="0" borderId="0" xfId="10" applyNumberFormat="1" applyFont="1" applyBorder="1"/>
    <xf numFmtId="5" fontId="7" fillId="0" borderId="4" xfId="10" applyNumberFormat="1" applyFont="1" applyFill="1" applyBorder="1"/>
    <xf numFmtId="166" fontId="6" fillId="0" borderId="0" xfId="28" applyNumberFormat="1" applyFont="1" applyFill="1" applyAlignment="1" applyProtection="1"/>
    <xf numFmtId="0" fontId="4" fillId="0" borderId="0" xfId="0" applyFont="1" applyFill="1"/>
    <xf numFmtId="165" fontId="4" fillId="0" borderId="0" xfId="0" applyNumberFormat="1" applyFont="1"/>
    <xf numFmtId="166" fontId="4" fillId="0" borderId="0" xfId="28" applyNumberFormat="1" applyFont="1" applyFill="1"/>
    <xf numFmtId="0" fontId="4" fillId="0" borderId="0" xfId="0" applyFont="1" applyFill="1" applyBorder="1"/>
    <xf numFmtId="0" fontId="5" fillId="0" borderId="0" xfId="0" applyFont="1" applyFill="1" applyBorder="1"/>
    <xf numFmtId="166" fontId="36" fillId="0" borderId="0" xfId="28" applyNumberFormat="1" applyFont="1" applyFill="1"/>
    <xf numFmtId="0" fontId="4" fillId="0" borderId="3" xfId="0" applyFont="1" applyFill="1" applyBorder="1"/>
    <xf numFmtId="198" fontId="8" fillId="0" borderId="0" xfId="10" applyNumberFormat="1" applyFont="1" applyFill="1"/>
    <xf numFmtId="205" fontId="7" fillId="0" borderId="0" xfId="23" applyNumberFormat="1" applyFont="1" applyFill="1" applyBorder="1" applyAlignment="1"/>
    <xf numFmtId="166" fontId="4" fillId="0" borderId="0" xfId="28" applyNumberFormat="1" applyFont="1" applyBorder="1"/>
    <xf numFmtId="166" fontId="4" fillId="0" borderId="0" xfId="28" applyNumberFormat="1" applyFont="1" applyFill="1" applyBorder="1"/>
    <xf numFmtId="166" fontId="4" fillId="0" borderId="0" xfId="28" applyNumberFormat="1" applyFont="1" applyFill="1" applyBorder="1" applyAlignment="1">
      <alignment horizontal="right"/>
    </xf>
    <xf numFmtId="6" fontId="5" fillId="0" borderId="0" xfId="0" applyNumberFormat="1" applyFont="1" applyFill="1" applyBorder="1"/>
    <xf numFmtId="0" fontId="5" fillId="0" borderId="0" xfId="0" applyFont="1" applyFill="1"/>
    <xf numFmtId="38" fontId="6" fillId="0" borderId="2" xfId="0" quotePrefix="1" applyNumberFormat="1" applyFont="1" applyBorder="1"/>
    <xf numFmtId="184" fontId="6" fillId="0" borderId="0" xfId="0" applyNumberFormat="1" applyFont="1" applyBorder="1" applyProtection="1"/>
    <xf numFmtId="184" fontId="6" fillId="0" borderId="0" xfId="0" applyNumberFormat="1" applyFont="1" applyFill="1" applyBorder="1" applyProtection="1"/>
    <xf numFmtId="0" fontId="12" fillId="0" borderId="0" xfId="0" applyFont="1" applyBorder="1"/>
    <xf numFmtId="0" fontId="12" fillId="0" borderId="0" xfId="0" applyFont="1" applyFill="1" applyBorder="1"/>
    <xf numFmtId="173" fontId="6" fillId="0" borderId="0" xfId="0" applyNumberFormat="1" applyFont="1" applyFill="1" applyBorder="1" applyProtection="1"/>
    <xf numFmtId="168" fontId="6" fillId="0" borderId="0" xfId="0" applyNumberFormat="1" applyFont="1" applyFill="1" applyBorder="1" applyAlignment="1" applyProtection="1">
      <alignment horizontal="left"/>
    </xf>
    <xf numFmtId="166" fontId="7" fillId="0" borderId="4" xfId="0" applyNumberFormat="1" applyFont="1" applyBorder="1"/>
    <xf numFmtId="0" fontId="0" fillId="0" borderId="4" xfId="0" applyBorder="1"/>
    <xf numFmtId="0" fontId="6" fillId="0" borderId="0" xfId="34" applyFont="1" applyAlignment="1"/>
    <xf numFmtId="165" fontId="2" fillId="0" borderId="0" xfId="0" applyNumberFormat="1" applyFont="1"/>
    <xf numFmtId="10" fontId="6" fillId="0" borderId="0" xfId="28" applyNumberFormat="1" applyFont="1" applyFill="1"/>
    <xf numFmtId="0" fontId="6" fillId="0" borderId="0" xfId="24" applyFont="1" applyAlignment="1">
      <alignment horizontal="left" indent="1"/>
    </xf>
    <xf numFmtId="172" fontId="9" fillId="0" borderId="0" xfId="10" applyNumberFormat="1" applyFont="1"/>
    <xf numFmtId="166" fontId="37" fillId="0" borderId="2" xfId="0" applyNumberFormat="1" applyFont="1" applyFill="1" applyBorder="1" applyAlignment="1" applyProtection="1">
      <alignment horizontal="centerContinuous"/>
    </xf>
    <xf numFmtId="166" fontId="7" fillId="0" borderId="0" xfId="28" applyNumberFormat="1" applyFont="1" applyAlignment="1" applyProtection="1"/>
    <xf numFmtId="166" fontId="6" fillId="0" borderId="0" xfId="28" applyNumberFormat="1" applyFont="1" applyAlignment="1" applyProtection="1"/>
    <xf numFmtId="0" fontId="6" fillId="0" borderId="0" xfId="23" applyFont="1" applyBorder="1" applyAlignment="1">
      <alignment horizontal="left" indent="1"/>
    </xf>
    <xf numFmtId="0" fontId="7" fillId="0" borderId="0" xfId="23" applyFont="1" applyBorder="1" applyAlignment="1">
      <alignment horizontal="left"/>
    </xf>
    <xf numFmtId="166" fontId="31" fillId="0" borderId="0" xfId="28" applyNumberFormat="1" applyFont="1" applyFill="1" applyBorder="1"/>
    <xf numFmtId="6" fontId="7" fillId="0" borderId="0" xfId="23" applyNumberFormat="1" applyFont="1" applyFill="1" applyBorder="1"/>
    <xf numFmtId="6" fontId="6" fillId="0" borderId="0" xfId="23" applyNumberFormat="1" applyFont="1" applyAlignment="1">
      <alignment horizontal="left"/>
    </xf>
    <xf numFmtId="6" fontId="7" fillId="0" borderId="0" xfId="23" applyNumberFormat="1" applyFont="1" applyAlignment="1">
      <alignment horizontal="left"/>
    </xf>
    <xf numFmtId="6" fontId="7" fillId="0" borderId="0" xfId="23" applyNumberFormat="1" applyFont="1" applyFill="1" applyBorder="1" applyAlignment="1" applyProtection="1"/>
    <xf numFmtId="166" fontId="6" fillId="0" borderId="0" xfId="34" applyNumberFormat="1" applyFont="1" applyAlignment="1"/>
    <xf numFmtId="168" fontId="6" fillId="0" borderId="0" xfId="34" applyNumberFormat="1" applyFont="1" applyFill="1" applyAlignment="1">
      <alignment horizontal="left"/>
    </xf>
    <xf numFmtId="165" fontId="6" fillId="0" borderId="0" xfId="0" applyNumberFormat="1" applyFont="1"/>
    <xf numFmtId="39" fontId="6" fillId="0" borderId="0" xfId="0" applyNumberFormat="1" applyFont="1"/>
    <xf numFmtId="165" fontId="6" fillId="0" borderId="0" xfId="34" applyNumberFormat="1" applyFont="1" applyAlignment="1"/>
    <xf numFmtId="0" fontId="6" fillId="0" borderId="0" xfId="34" applyFont="1" applyFill="1" applyAlignment="1"/>
    <xf numFmtId="166" fontId="6" fillId="0" borderId="0" xfId="34" applyNumberFormat="1" applyFont="1" applyFill="1" applyAlignment="1"/>
    <xf numFmtId="0" fontId="4" fillId="0" borderId="0" xfId="34" applyFont="1" applyAlignment="1"/>
    <xf numFmtId="9" fontId="6" fillId="0" borderId="0" xfId="34" applyNumberFormat="1" applyFont="1" applyAlignment="1"/>
    <xf numFmtId="9" fontId="6" fillId="0" borderId="0" xfId="34" applyNumberFormat="1" applyFont="1" applyFill="1" applyAlignment="1"/>
    <xf numFmtId="9" fontId="8" fillId="0" borderId="0" xfId="34" applyNumberFormat="1" applyFont="1" applyAlignment="1" applyProtection="1">
      <protection locked="0"/>
    </xf>
    <xf numFmtId="168" fontId="6" fillId="0" borderId="0" xfId="34" applyNumberFormat="1" applyFont="1" applyAlignment="1">
      <alignment horizontal="left"/>
    </xf>
    <xf numFmtId="166" fontId="11" fillId="0" borderId="0" xfId="34" applyNumberFormat="1" applyFont="1" applyAlignment="1" applyProtection="1">
      <protection locked="0"/>
    </xf>
    <xf numFmtId="168" fontId="6" fillId="0" borderId="0" xfId="34" applyNumberFormat="1" applyFont="1" applyFill="1" applyAlignment="1">
      <alignment horizontal="left" indent="1"/>
    </xf>
    <xf numFmtId="214" fontId="6" fillId="0" borderId="0" xfId="34" applyNumberFormat="1" applyFont="1" applyAlignment="1"/>
    <xf numFmtId="187" fontId="6" fillId="0" borderId="0" xfId="0" applyNumberFormat="1" applyFont="1" applyProtection="1"/>
    <xf numFmtId="187" fontId="6" fillId="0" borderId="0" xfId="34" applyNumberFormat="1" applyFont="1" applyAlignment="1"/>
    <xf numFmtId="215" fontId="6" fillId="0" borderId="0" xfId="34" applyNumberFormat="1" applyFont="1" applyAlignment="1">
      <alignment horizontal="center"/>
    </xf>
    <xf numFmtId="2" fontId="6" fillId="0" borderId="0" xfId="0" applyNumberFormat="1" applyFont="1" applyProtection="1"/>
    <xf numFmtId="187" fontId="6" fillId="0" borderId="0" xfId="0" applyNumberFormat="1" applyFont="1" applyFill="1" applyProtection="1"/>
    <xf numFmtId="187" fontId="6" fillId="0" borderId="0" xfId="34" applyNumberFormat="1" applyFont="1" applyFill="1" applyAlignment="1"/>
    <xf numFmtId="215" fontId="6" fillId="0" borderId="0" xfId="34" applyNumberFormat="1" applyFont="1" applyFill="1" applyAlignment="1">
      <alignment horizontal="center"/>
    </xf>
    <xf numFmtId="166" fontId="11" fillId="0" borderId="0" xfId="34" applyNumberFormat="1" applyFont="1" applyFill="1" applyAlignment="1" applyProtection="1">
      <protection locked="0"/>
    </xf>
    <xf numFmtId="2" fontId="6" fillId="0" borderId="0" xfId="0" applyNumberFormat="1" applyFont="1" applyFill="1" applyProtection="1"/>
    <xf numFmtId="165" fontId="6" fillId="0" borderId="0" xfId="0" applyNumberFormat="1" applyFont="1" applyFill="1"/>
    <xf numFmtId="215" fontId="6" fillId="0" borderId="0" xfId="34" applyNumberFormat="1" applyFont="1" applyFill="1" applyAlignment="1"/>
    <xf numFmtId="216" fontId="6" fillId="0" borderId="0" xfId="34" applyNumberFormat="1" applyFont="1" applyFill="1" applyAlignment="1"/>
    <xf numFmtId="165" fontId="7" fillId="0" borderId="0" xfId="0" applyNumberFormat="1" applyFont="1" applyFill="1" applyAlignment="1" applyProtection="1">
      <alignment horizontal="left" indent="1"/>
    </xf>
    <xf numFmtId="165" fontId="6" fillId="0" borderId="0" xfId="0" applyNumberFormat="1" applyFont="1" applyFill="1" applyProtection="1"/>
    <xf numFmtId="165" fontId="16" fillId="0" borderId="0" xfId="0" applyNumberFormat="1" applyFont="1" applyFill="1" applyAlignment="1" applyProtection="1">
      <alignment horizontal="left"/>
    </xf>
    <xf numFmtId="37" fontId="6" fillId="0" borderId="0" xfId="0" applyNumberFormat="1" applyFont="1" applyFill="1" applyAlignment="1" applyProtection="1">
      <alignment horizontal="left"/>
    </xf>
    <xf numFmtId="165" fontId="12" fillId="0" borderId="0" xfId="0" applyNumberFormat="1" applyFont="1" applyFill="1" applyAlignment="1" applyProtection="1">
      <alignment horizontal="left"/>
    </xf>
    <xf numFmtId="0" fontId="7" fillId="3" borderId="3" xfId="34" applyFont="1" applyFill="1" applyBorder="1" applyAlignment="1">
      <alignment horizontal="left"/>
    </xf>
    <xf numFmtId="170" fontId="15" fillId="3" borderId="3" xfId="34" applyNumberFormat="1" applyFont="1" applyFill="1" applyBorder="1" applyAlignment="1" applyProtection="1">
      <alignment horizontal="left"/>
    </xf>
    <xf numFmtId="170" fontId="15" fillId="3" borderId="3" xfId="22" applyNumberFormat="1" applyFont="1" applyFill="1" applyBorder="1" applyAlignment="1" applyProtection="1">
      <alignment horizontal="left"/>
    </xf>
    <xf numFmtId="39" fontId="6" fillId="0" borderId="0" xfId="34" applyNumberFormat="1" applyFont="1" applyAlignment="1"/>
    <xf numFmtId="182" fontId="15" fillId="0" borderId="2" xfId="0" applyNumberFormat="1" applyFont="1" applyFill="1" applyBorder="1" applyAlignment="1">
      <alignment horizontal="centerContinuous"/>
    </xf>
    <xf numFmtId="181" fontId="15" fillId="0" borderId="2" xfId="0" applyNumberFormat="1" applyFont="1" applyBorder="1" applyAlignment="1" applyProtection="1">
      <alignment horizontal="center"/>
    </xf>
    <xf numFmtId="172" fontId="9" fillId="0" borderId="0" xfId="10" applyNumberFormat="1" applyFont="1" applyFill="1"/>
    <xf numFmtId="200" fontId="6" fillId="0" borderId="0" xfId="28" applyNumberFormat="1" applyFont="1" applyFill="1"/>
    <xf numFmtId="165" fontId="6" fillId="0" borderId="0" xfId="10" applyNumberFormat="1" applyFont="1" applyFill="1" applyBorder="1"/>
    <xf numFmtId="0" fontId="15" fillId="0" borderId="0" xfId="23" applyFont="1" applyFill="1" applyBorder="1"/>
    <xf numFmtId="0" fontId="11" fillId="0" borderId="0" xfId="23" applyFont="1" applyFill="1" applyBorder="1"/>
    <xf numFmtId="0" fontId="7" fillId="0" borderId="0" xfId="34" applyFont="1" applyBorder="1" applyAlignment="1"/>
    <xf numFmtId="0" fontId="6" fillId="0" borderId="0" xfId="34" applyFont="1" applyFill="1" applyBorder="1" applyAlignment="1"/>
    <xf numFmtId="0" fontId="7" fillId="0" borderId="0" xfId="34" applyFont="1" applyAlignment="1"/>
    <xf numFmtId="165" fontId="7" fillId="0" borderId="0" xfId="0" applyNumberFormat="1" applyFont="1" applyFill="1" applyAlignment="1" applyProtection="1">
      <alignment horizontal="left"/>
    </xf>
    <xf numFmtId="187" fontId="6" fillId="0" borderId="0" xfId="0" applyNumberFormat="1" applyFont="1"/>
    <xf numFmtId="0" fontId="6" fillId="0" borderId="0" xfId="34" applyFont="1" applyFill="1" applyBorder="1" applyAlignment="1">
      <alignment horizontal="center"/>
    </xf>
    <xf numFmtId="0" fontId="6" fillId="3" borderId="3" xfId="34" applyFont="1" applyFill="1" applyBorder="1" applyAlignment="1">
      <alignment horizontal="center"/>
    </xf>
    <xf numFmtId="165" fontId="6" fillId="0" borderId="0" xfId="34" applyNumberFormat="1" applyFont="1" applyAlignment="1">
      <alignment horizontal="left"/>
    </xf>
    <xf numFmtId="9" fontId="6" fillId="0" borderId="0" xfId="28" applyFont="1" applyAlignment="1">
      <alignment horizontal="left"/>
    </xf>
    <xf numFmtId="7" fontId="14" fillId="0" borderId="0" xfId="28" applyNumberFormat="1" applyFont="1" applyFill="1"/>
    <xf numFmtId="41" fontId="8" fillId="0" borderId="0" xfId="23" applyNumberFormat="1" applyFont="1" applyFill="1" applyBorder="1" applyAlignment="1" applyProtection="1"/>
    <xf numFmtId="9" fontId="9" fillId="0" borderId="0" xfId="28" applyFont="1"/>
    <xf numFmtId="0" fontId="11" fillId="0" borderId="0" xfId="0" applyFont="1" applyBorder="1"/>
    <xf numFmtId="10" fontId="7" fillId="0" borderId="0" xfId="28" applyNumberFormat="1" applyFont="1" applyBorder="1"/>
    <xf numFmtId="166" fontId="11" fillId="0" borderId="0" xfId="10" applyNumberFormat="1" applyFont="1" applyBorder="1" applyAlignment="1">
      <alignment horizontal="left"/>
    </xf>
    <xf numFmtId="168" fontId="7" fillId="0" borderId="0" xfId="34" applyNumberFormat="1" applyFont="1" applyAlignment="1"/>
    <xf numFmtId="10" fontId="6" fillId="0" borderId="0" xfId="28" applyNumberFormat="1" applyFont="1" applyBorder="1"/>
    <xf numFmtId="171" fontId="6" fillId="0" borderId="0" xfId="10" applyNumberFormat="1" applyFont="1" applyAlignment="1">
      <alignment horizontal="right"/>
    </xf>
    <xf numFmtId="37" fontId="7" fillId="0" borderId="0" xfId="10" applyNumberFormat="1" applyFont="1" applyFill="1" applyBorder="1"/>
    <xf numFmtId="165" fontId="6" fillId="0" borderId="0" xfId="34" applyNumberFormat="1" applyFont="1" applyFill="1" applyAlignment="1"/>
    <xf numFmtId="0" fontId="6" fillId="0" borderId="0" xfId="34" applyFont="1" applyBorder="1" applyAlignment="1"/>
    <xf numFmtId="2" fontId="6" fillId="0" borderId="0" xfId="34" applyNumberFormat="1" applyFont="1" applyAlignment="1"/>
    <xf numFmtId="165" fontId="34" fillId="0" borderId="0" xfId="34" applyNumberFormat="1" applyFont="1" applyAlignment="1"/>
    <xf numFmtId="179" fontId="8" fillId="0" borderId="0" xfId="23" applyNumberFormat="1" applyFont="1" applyFill="1" applyAlignment="1" applyProtection="1"/>
    <xf numFmtId="170" fontId="6" fillId="0" borderId="0" xfId="34" applyNumberFormat="1" applyFont="1" applyAlignment="1" applyProtection="1">
      <alignment horizontal="left" indent="1"/>
    </xf>
    <xf numFmtId="0" fontId="7" fillId="0" borderId="0" xfId="34" applyFont="1" applyFill="1" applyBorder="1" applyAlignment="1"/>
    <xf numFmtId="41" fontId="6" fillId="0" borderId="0" xfId="23" applyNumberFormat="1" applyFont="1" applyFill="1" applyBorder="1" applyAlignment="1" applyProtection="1"/>
    <xf numFmtId="219" fontId="6" fillId="0" borderId="0" xfId="34" applyNumberFormat="1" applyFont="1" applyBorder="1" applyAlignment="1">
      <alignment horizontal="right"/>
    </xf>
    <xf numFmtId="165" fontId="6" fillId="0" borderId="0" xfId="10" applyNumberFormat="1" applyFont="1" applyFill="1"/>
    <xf numFmtId="179" fontId="6" fillId="0" borderId="2" xfId="10" applyNumberFormat="1" applyFont="1" applyFill="1" applyBorder="1"/>
    <xf numFmtId="165" fontId="6" fillId="0" borderId="0" xfId="28" applyNumberFormat="1" applyFont="1"/>
    <xf numFmtId="165" fontId="6" fillId="0" borderId="0" xfId="28" applyNumberFormat="1" applyFont="1" applyFill="1"/>
    <xf numFmtId="165" fontId="7" fillId="0" borderId="0" xfId="10" applyNumberFormat="1" applyFont="1"/>
    <xf numFmtId="165" fontId="7" fillId="0" borderId="0" xfId="10" applyNumberFormat="1" applyFont="1" applyFill="1"/>
    <xf numFmtId="37" fontId="6" fillId="0" borderId="0" xfId="34" applyNumberFormat="1" applyFont="1" applyAlignment="1"/>
    <xf numFmtId="172" fontId="14" fillId="0" borderId="0" xfId="10" applyNumberFormat="1" applyFont="1" applyAlignment="1">
      <alignment horizontal="right"/>
    </xf>
    <xf numFmtId="172" fontId="6" fillId="0" borderId="0" xfId="0" applyNumberFormat="1" applyFont="1" applyBorder="1"/>
    <xf numFmtId="6" fontId="7" fillId="0" borderId="0" xfId="23" applyNumberFormat="1" applyFont="1" applyBorder="1"/>
    <xf numFmtId="220" fontId="7" fillId="0" borderId="0" xfId="10" applyNumberFormat="1" applyFont="1" applyFill="1" applyBorder="1"/>
    <xf numFmtId="5" fontId="7" fillId="0" borderId="0" xfId="0" applyNumberFormat="1" applyFont="1" applyFill="1"/>
    <xf numFmtId="5" fontId="7" fillId="0" borderId="0" xfId="0" applyNumberFormat="1" applyFont="1"/>
    <xf numFmtId="169" fontId="6" fillId="0" borderId="0" xfId="10" applyNumberFormat="1" applyFont="1" applyAlignment="1"/>
    <xf numFmtId="169" fontId="6" fillId="0" borderId="0" xfId="10" applyNumberFormat="1" applyFont="1" applyFill="1" applyAlignment="1"/>
    <xf numFmtId="169" fontId="6" fillId="0" borderId="0" xfId="10" applyNumberFormat="1" applyFont="1" applyFill="1" applyBorder="1" applyAlignment="1"/>
    <xf numFmtId="0" fontId="38" fillId="0" borderId="0" xfId="0" applyFont="1"/>
    <xf numFmtId="166" fontId="6" fillId="0" borderId="0" xfId="0" applyNumberFormat="1" applyFont="1" applyFill="1"/>
    <xf numFmtId="0" fontId="6" fillId="0" borderId="0" xfId="0" quotePrefix="1" applyFont="1" applyAlignment="1">
      <alignment horizontal="right"/>
    </xf>
    <xf numFmtId="166" fontId="6" fillId="0" borderId="0" xfId="28" quotePrefix="1" applyNumberFormat="1" applyFont="1" applyBorder="1" applyAlignment="1">
      <alignment horizontal="right"/>
    </xf>
    <xf numFmtId="171" fontId="7" fillId="0" borderId="0" xfId="10" applyNumberFormat="1" applyFont="1" applyFill="1"/>
    <xf numFmtId="171" fontId="7" fillId="0" borderId="0" xfId="10" applyNumberFormat="1" applyFont="1" applyFill="1" applyBorder="1"/>
    <xf numFmtId="165" fontId="7" fillId="0" borderId="4" xfId="0" applyNumberFormat="1" applyFont="1" applyFill="1" applyBorder="1"/>
    <xf numFmtId="207" fontId="6" fillId="0" borderId="0" xfId="28" applyNumberFormat="1" applyFont="1" applyAlignment="1" applyProtection="1"/>
    <xf numFmtId="172" fontId="14" fillId="0" borderId="0" xfId="10" applyNumberFormat="1" applyFont="1" applyFill="1" applyAlignment="1">
      <alignment horizontal="right"/>
    </xf>
    <xf numFmtId="219" fontId="6" fillId="0" borderId="0" xfId="34" applyNumberFormat="1" applyFont="1" applyFill="1" applyBorder="1" applyAlignment="1">
      <alignment horizontal="right"/>
    </xf>
    <xf numFmtId="166" fontId="5" fillId="0" borderId="0" xfId="28" applyNumberFormat="1" applyFont="1" applyFill="1" applyBorder="1"/>
    <xf numFmtId="37" fontId="6" fillId="0" borderId="0" xfId="23" applyNumberFormat="1" applyFont="1" applyBorder="1" applyAlignment="1" applyProtection="1">
      <alignment horizontal="left"/>
    </xf>
    <xf numFmtId="0" fontId="6" fillId="0" borderId="0" xfId="23" applyFont="1" applyBorder="1"/>
    <xf numFmtId="205" fontId="6" fillId="0" borderId="0" xfId="23" applyNumberFormat="1" applyFont="1" applyBorder="1" applyAlignment="1" applyProtection="1"/>
    <xf numFmtId="0" fontId="7" fillId="0" borderId="0" xfId="23" applyFont="1" applyBorder="1" applyAlignment="1">
      <alignment horizontal="left" indent="1"/>
    </xf>
    <xf numFmtId="166" fontId="2" fillId="0" borderId="0" xfId="28" applyNumberFormat="1" applyFont="1" applyBorder="1"/>
    <xf numFmtId="219" fontId="8" fillId="0" borderId="0" xfId="34" applyNumberFormat="1" applyFont="1" applyBorder="1" applyAlignment="1">
      <alignment horizontal="right"/>
    </xf>
    <xf numFmtId="0" fontId="7" fillId="0" borderId="0" xfId="34" applyFont="1" applyFill="1" applyBorder="1" applyAlignment="1">
      <alignment horizontal="left"/>
    </xf>
    <xf numFmtId="205" fontId="7" fillId="0" borderId="4" xfId="23" applyNumberFormat="1" applyFont="1" applyBorder="1" applyAlignment="1" applyProtection="1"/>
    <xf numFmtId="205" fontId="7" fillId="0" borderId="4" xfId="23" applyNumberFormat="1" applyFont="1" applyFill="1" applyBorder="1" applyAlignment="1" applyProtection="1"/>
    <xf numFmtId="0" fontId="7" fillId="0" borderId="0" xfId="0" applyFont="1" applyBorder="1"/>
    <xf numFmtId="219" fontId="8" fillId="0" borderId="0" xfId="34" applyNumberFormat="1" applyFont="1" applyFill="1" applyBorder="1" applyAlignment="1">
      <alignment horizontal="right"/>
    </xf>
    <xf numFmtId="169" fontId="6" fillId="0" borderId="0" xfId="10" applyNumberFormat="1" applyFont="1" applyFill="1"/>
    <xf numFmtId="7" fontId="7" fillId="0" borderId="0" xfId="10" applyNumberFormat="1" applyFont="1" applyFill="1" applyBorder="1" applyAlignment="1">
      <alignment horizontal="right"/>
    </xf>
    <xf numFmtId="181" fontId="15" fillId="0" borderId="2" xfId="0" applyNumberFormat="1" applyFont="1" applyFill="1" applyBorder="1" applyAlignment="1" applyProtection="1">
      <alignment horizontal="center"/>
    </xf>
    <xf numFmtId="166" fontId="7" fillId="0" borderId="4" xfId="0" applyNumberFormat="1" applyFont="1" applyFill="1" applyBorder="1"/>
    <xf numFmtId="166" fontId="6" fillId="0" borderId="0" xfId="28" quotePrefix="1" applyNumberFormat="1" applyFont="1" applyFill="1" applyAlignment="1">
      <alignment horizontal="center"/>
    </xf>
    <xf numFmtId="166" fontId="2" fillId="0" borderId="9" xfId="28" applyNumberFormat="1" applyFont="1" applyBorder="1"/>
    <xf numFmtId="168" fontId="6" fillId="0" borderId="0" xfId="34" applyNumberFormat="1" applyFont="1" applyBorder="1" applyAlignment="1">
      <alignment horizontal="left"/>
    </xf>
    <xf numFmtId="168" fontId="6" fillId="0" borderId="0" xfId="34" applyNumberFormat="1" applyFont="1" applyAlignment="1"/>
    <xf numFmtId="165" fontId="6" fillId="0" borderId="0" xfId="34" applyNumberFormat="1" applyFont="1" applyFill="1" applyAlignment="1" applyProtection="1"/>
    <xf numFmtId="226" fontId="6" fillId="0" borderId="0" xfId="34" applyNumberFormat="1" applyFont="1" applyFill="1" applyAlignment="1">
      <alignment horizontal="left"/>
    </xf>
    <xf numFmtId="0" fontId="6" fillId="0" borderId="12" xfId="0" applyFont="1" applyBorder="1"/>
    <xf numFmtId="166" fontId="6" fillId="0" borderId="0" xfId="0" applyNumberFormat="1" applyFont="1" applyFill="1" applyBorder="1" applyProtection="1"/>
    <xf numFmtId="217" fontId="6" fillId="0" borderId="0" xfId="0" applyNumberFormat="1" applyFont="1" applyFill="1" applyBorder="1" applyAlignment="1">
      <alignment horizontal="right"/>
    </xf>
    <xf numFmtId="0" fontId="7" fillId="0" borderId="12" xfId="0" applyFont="1" applyBorder="1"/>
    <xf numFmtId="217" fontId="6" fillId="0" borderId="0" xfId="28" applyNumberFormat="1" applyFont="1"/>
    <xf numFmtId="166" fontId="6" fillId="0" borderId="0" xfId="0" applyNumberFormat="1" applyFont="1" applyFill="1" applyBorder="1" applyAlignment="1" applyProtection="1">
      <alignment horizontal="center"/>
    </xf>
    <xf numFmtId="166" fontId="6" fillId="0" borderId="0" xfId="0" applyNumberFormat="1" applyFont="1" applyFill="1" applyBorder="1" applyAlignment="1" applyProtection="1">
      <alignment horizontal="right"/>
    </xf>
    <xf numFmtId="186" fontId="6" fillId="0" borderId="0" xfId="0" applyNumberFormat="1" applyFont="1" applyFill="1" applyBorder="1" applyAlignment="1" applyProtection="1">
      <alignment horizontal="center"/>
    </xf>
    <xf numFmtId="186" fontId="6" fillId="0" borderId="0" xfId="0" applyNumberFormat="1" applyFont="1" applyFill="1" applyBorder="1" applyAlignment="1" applyProtection="1">
      <alignment horizontal="right"/>
    </xf>
    <xf numFmtId="3" fontId="6" fillId="0" borderId="0" xfId="0" applyNumberFormat="1" applyFont="1" applyFill="1" applyBorder="1" applyAlignment="1" applyProtection="1">
      <alignment horizontal="right"/>
    </xf>
    <xf numFmtId="165" fontId="6" fillId="0" borderId="0" xfId="34" applyNumberFormat="1" applyFont="1" applyAlignment="1">
      <alignment horizontal="left" indent="1"/>
    </xf>
    <xf numFmtId="183" fontId="6" fillId="0" borderId="0" xfId="0" applyNumberFormat="1" applyFont="1"/>
    <xf numFmtId="215" fontId="6" fillId="0" borderId="0" xfId="10" applyNumberFormat="1" applyFont="1" applyFill="1" applyBorder="1"/>
    <xf numFmtId="5" fontId="8" fillId="0" borderId="0" xfId="10" applyNumberFormat="1" applyFont="1" applyFill="1" applyAlignment="1"/>
    <xf numFmtId="166" fontId="6" fillId="0" borderId="0" xfId="0" applyNumberFormat="1" applyFont="1"/>
    <xf numFmtId="41" fontId="6" fillId="0" borderId="0" xfId="0" applyNumberFormat="1" applyFont="1" applyFill="1" applyBorder="1"/>
    <xf numFmtId="172" fontId="6" fillId="0" borderId="0" xfId="10" applyNumberFormat="1" applyFont="1" applyFill="1" applyBorder="1" applyAlignment="1" applyProtection="1">
      <alignment horizontal="center"/>
    </xf>
    <xf numFmtId="177" fontId="6" fillId="0" borderId="0" xfId="0" applyNumberFormat="1" applyFont="1" applyFill="1" applyBorder="1" applyAlignment="1" applyProtection="1">
      <alignment horizontal="right"/>
    </xf>
    <xf numFmtId="174" fontId="6" fillId="0" borderId="0" xfId="0" applyNumberFormat="1" applyFont="1" applyFill="1" applyBorder="1" applyAlignment="1" applyProtection="1">
      <alignment horizontal="right"/>
    </xf>
    <xf numFmtId="0" fontId="6" fillId="0" borderId="0" xfId="0" quotePrefix="1" applyFont="1" applyFill="1" applyAlignment="1">
      <alignment horizontal="right"/>
    </xf>
    <xf numFmtId="166" fontId="7" fillId="0" borderId="0" xfId="0" applyNumberFormat="1" applyFont="1" applyFill="1" applyBorder="1"/>
    <xf numFmtId="37" fontId="7" fillId="0" borderId="0" xfId="23" applyNumberFormat="1" applyFont="1" applyBorder="1" applyAlignment="1" applyProtection="1">
      <alignment horizontal="left"/>
    </xf>
    <xf numFmtId="0" fontId="15" fillId="0" borderId="3" xfId="23" applyFont="1" applyFill="1" applyBorder="1"/>
    <xf numFmtId="0" fontId="7" fillId="0" borderId="0" xfId="23" applyFont="1" applyBorder="1"/>
    <xf numFmtId="201" fontId="7" fillId="0" borderId="0" xfId="10" applyNumberFormat="1" applyFont="1" applyFill="1" applyBorder="1" applyAlignment="1"/>
    <xf numFmtId="205" fontId="7" fillId="0" borderId="0" xfId="23" applyNumberFormat="1" applyFont="1" applyAlignment="1"/>
    <xf numFmtId="37" fontId="7" fillId="0" borderId="0" xfId="23" applyNumberFormat="1" applyFont="1" applyAlignment="1" applyProtection="1">
      <alignment horizontal="left"/>
    </xf>
    <xf numFmtId="0" fontId="7" fillId="0" borderId="0" xfId="23" applyFont="1"/>
    <xf numFmtId="166" fontId="15" fillId="0" borderId="0" xfId="10" applyNumberFormat="1" applyFont="1" applyBorder="1" applyAlignment="1">
      <alignment horizontal="left"/>
    </xf>
    <xf numFmtId="170" fontId="15" fillId="0" borderId="3" xfId="0" applyNumberFormat="1" applyFont="1" applyFill="1" applyBorder="1" applyAlignment="1" applyProtection="1">
      <alignment horizontal="left"/>
    </xf>
    <xf numFmtId="170" fontId="7" fillId="0" borderId="3" xfId="0" applyNumberFormat="1" applyFont="1" applyFill="1" applyBorder="1" applyAlignment="1" applyProtection="1">
      <alignment horizontal="left"/>
    </xf>
    <xf numFmtId="166" fontId="7" fillId="0" borderId="3" xfId="0" applyNumberFormat="1" applyFont="1" applyFill="1" applyBorder="1" applyAlignment="1" applyProtection="1">
      <alignment horizontal="right"/>
    </xf>
    <xf numFmtId="5" fontId="11" fillId="0" borderId="3" xfId="23" applyNumberFormat="1" applyFont="1" applyFill="1" applyBorder="1"/>
    <xf numFmtId="0" fontId="11" fillId="0" borderId="3" xfId="23" applyFont="1" applyFill="1" applyBorder="1"/>
    <xf numFmtId="0" fontId="7" fillId="0" borderId="3" xfId="34" applyFont="1" applyFill="1" applyBorder="1" applyAlignment="1">
      <alignment horizontal="left"/>
    </xf>
    <xf numFmtId="0" fontId="6" fillId="0" borderId="0" xfId="34" applyFont="1" applyFill="1" applyAlignment="1">
      <alignment horizontal="center"/>
    </xf>
    <xf numFmtId="170" fontId="15" fillId="0" borderId="3" xfId="34" applyNumberFormat="1" applyFont="1" applyFill="1" applyBorder="1" applyAlignment="1" applyProtection="1">
      <alignment horizontal="left"/>
    </xf>
    <xf numFmtId="0" fontId="6" fillId="0" borderId="3" xfId="34" applyFont="1" applyFill="1" applyBorder="1" applyAlignment="1">
      <alignment horizontal="center"/>
    </xf>
    <xf numFmtId="0" fontId="7" fillId="0" borderId="3" xfId="0" applyFont="1" applyFill="1" applyBorder="1" applyAlignment="1">
      <alignment horizontal="right"/>
    </xf>
    <xf numFmtId="0" fontId="7" fillId="0" borderId="14" xfId="0" applyFont="1" applyFill="1" applyBorder="1" applyAlignment="1">
      <alignment horizontal="right"/>
    </xf>
    <xf numFmtId="0" fontId="15" fillId="3" borderId="14" xfId="23" applyFont="1" applyFill="1" applyBorder="1"/>
    <xf numFmtId="188" fontId="6" fillId="0" borderId="9" xfId="23" applyNumberFormat="1" applyFont="1" applyBorder="1" applyAlignment="1" applyProtection="1"/>
    <xf numFmtId="37" fontId="6" fillId="0" borderId="9" xfId="23" applyNumberFormat="1" applyFont="1" applyBorder="1" applyAlignment="1" applyProtection="1"/>
    <xf numFmtId="188" fontId="7" fillId="0" borderId="0" xfId="23" applyNumberFormat="1" applyFont="1" applyBorder="1" applyAlignment="1" applyProtection="1"/>
    <xf numFmtId="188" fontId="7" fillId="0" borderId="9" xfId="23" applyNumberFormat="1" applyFont="1" applyBorder="1" applyAlignment="1" applyProtection="1"/>
    <xf numFmtId="201" fontId="6" fillId="0" borderId="9" xfId="23" applyNumberFormat="1" applyFont="1" applyFill="1" applyBorder="1" applyAlignment="1" applyProtection="1"/>
    <xf numFmtId="41" fontId="8" fillId="0" borderId="9" xfId="23" applyNumberFormat="1" applyFont="1" applyFill="1" applyBorder="1" applyAlignment="1" applyProtection="1"/>
    <xf numFmtId="205" fontId="7" fillId="0" borderId="8" xfId="23" applyNumberFormat="1" applyFont="1" applyBorder="1" applyAlignment="1" applyProtection="1"/>
    <xf numFmtId="201" fontId="7" fillId="0" borderId="9" xfId="23" applyNumberFormat="1" applyFont="1" applyBorder="1" applyAlignment="1" applyProtection="1"/>
    <xf numFmtId="219" fontId="6" fillId="0" borderId="9" xfId="34" applyNumberFormat="1" applyFont="1" applyBorder="1" applyAlignment="1">
      <alignment horizontal="right"/>
    </xf>
    <xf numFmtId="43" fontId="7" fillId="0" borderId="9" xfId="10" applyFont="1" applyFill="1" applyBorder="1"/>
    <xf numFmtId="0" fontId="15" fillId="0" borderId="14" xfId="23" applyFont="1" applyFill="1" applyBorder="1"/>
    <xf numFmtId="0" fontId="15" fillId="0" borderId="9" xfId="23" applyFont="1" applyFill="1" applyBorder="1"/>
    <xf numFmtId="0" fontId="0" fillId="0" borderId="9" xfId="0" applyBorder="1"/>
    <xf numFmtId="171" fontId="6" fillId="0" borderId="10" xfId="10" applyNumberFormat="1" applyFont="1" applyFill="1" applyBorder="1"/>
    <xf numFmtId="171" fontId="7" fillId="0" borderId="9" xfId="10" applyNumberFormat="1" applyFont="1" applyFill="1" applyBorder="1"/>
    <xf numFmtId="0" fontId="7" fillId="0" borderId="9" xfId="0" applyFont="1" applyBorder="1"/>
    <xf numFmtId="0" fontId="6" fillId="0" borderId="9" xfId="0" applyFont="1" applyBorder="1"/>
    <xf numFmtId="166" fontId="6" fillId="0" borderId="9" xfId="0" applyNumberFormat="1" applyFont="1" applyFill="1" applyBorder="1" applyAlignment="1" applyProtection="1">
      <alignment horizontal="center"/>
    </xf>
    <xf numFmtId="186" fontId="6" fillId="0" borderId="9" xfId="0" applyNumberFormat="1" applyFont="1" applyFill="1" applyBorder="1" applyAlignment="1" applyProtection="1">
      <alignment horizontal="center"/>
    </xf>
    <xf numFmtId="170" fontId="7" fillId="3" borderId="14" xfId="0" applyNumberFormat="1" applyFont="1" applyFill="1" applyBorder="1" applyAlignment="1" applyProtection="1">
      <alignment horizontal="left"/>
    </xf>
    <xf numFmtId="0" fontId="7" fillId="0" borderId="9" xfId="23" applyFont="1" applyBorder="1" applyAlignment="1">
      <alignment horizontal="left"/>
    </xf>
    <xf numFmtId="170" fontId="7" fillId="0" borderId="14" xfId="0" applyNumberFormat="1" applyFont="1" applyFill="1" applyBorder="1" applyAlignment="1" applyProtection="1">
      <alignment horizontal="left"/>
    </xf>
    <xf numFmtId="170" fontId="7" fillId="0" borderId="9" xfId="0" applyNumberFormat="1" applyFont="1" applyFill="1" applyBorder="1" applyAlignment="1" applyProtection="1">
      <alignment horizontal="left"/>
    </xf>
    <xf numFmtId="0" fontId="6" fillId="0" borderId="9" xfId="23" applyFont="1" applyBorder="1" applyAlignment="1">
      <alignment horizontal="left" indent="1"/>
    </xf>
    <xf numFmtId="166" fontId="6" fillId="0" borderId="9" xfId="28" applyNumberFormat="1" applyFont="1" applyBorder="1" applyAlignment="1" applyProtection="1"/>
    <xf numFmtId="171" fontId="7" fillId="0" borderId="9" xfId="10" applyNumberFormat="1" applyFont="1" applyBorder="1"/>
    <xf numFmtId="41" fontId="6" fillId="0" borderId="9" xfId="23" applyNumberFormat="1" applyFont="1" applyFill="1" applyBorder="1"/>
    <xf numFmtId="201" fontId="7" fillId="0" borderId="9" xfId="23" applyNumberFormat="1" applyFont="1" applyFill="1" applyBorder="1"/>
    <xf numFmtId="217" fontId="6" fillId="0" borderId="9" xfId="0" applyNumberFormat="1" applyFont="1" applyFill="1" applyBorder="1" applyAlignment="1">
      <alignment horizontal="right"/>
    </xf>
    <xf numFmtId="205" fontId="7" fillId="0" borderId="8" xfId="23" applyNumberFormat="1" applyFont="1" applyFill="1" applyBorder="1" applyAlignment="1" applyProtection="1"/>
    <xf numFmtId="0" fontId="6" fillId="0" borderId="9" xfId="0" applyFont="1" applyFill="1" applyBorder="1"/>
    <xf numFmtId="37" fontId="7" fillId="0" borderId="9" xfId="23" applyNumberFormat="1" applyFont="1" applyBorder="1" applyAlignment="1" applyProtection="1"/>
    <xf numFmtId="5" fontId="6" fillId="0" borderId="9" xfId="23" applyNumberFormat="1" applyFont="1" applyFill="1" applyBorder="1"/>
    <xf numFmtId="166" fontId="6" fillId="0" borderId="9" xfId="28" applyNumberFormat="1" applyFont="1" applyFill="1" applyBorder="1"/>
    <xf numFmtId="166" fontId="6" fillId="0" borderId="9" xfId="23" applyNumberFormat="1" applyFont="1" applyFill="1" applyBorder="1" applyAlignment="1"/>
    <xf numFmtId="198" fontId="8" fillId="0" borderId="9" xfId="28" applyNumberFormat="1" applyFont="1" applyFill="1" applyBorder="1"/>
    <xf numFmtId="166" fontId="6" fillId="0" borderId="9" xfId="28" quotePrefix="1" applyNumberFormat="1" applyFont="1" applyFill="1" applyBorder="1" applyAlignment="1">
      <alignment horizontal="right"/>
    </xf>
    <xf numFmtId="0" fontId="0" fillId="0" borderId="9" xfId="0" applyFill="1" applyBorder="1"/>
    <xf numFmtId="166" fontId="8" fillId="0" borderId="9" xfId="23" applyNumberFormat="1" applyFont="1" applyFill="1" applyBorder="1" applyAlignment="1"/>
    <xf numFmtId="198" fontId="6" fillId="0" borderId="9" xfId="28" applyNumberFormat="1" applyFont="1" applyFill="1" applyBorder="1"/>
    <xf numFmtId="37" fontId="6" fillId="0" borderId="9" xfId="23" applyNumberFormat="1" applyFont="1" applyFill="1" applyBorder="1" applyAlignment="1" applyProtection="1"/>
    <xf numFmtId="7" fontId="7" fillId="0" borderId="9" xfId="10" applyNumberFormat="1" applyFont="1" applyFill="1" applyBorder="1"/>
    <xf numFmtId="7" fontId="8" fillId="0" borderId="9" xfId="10" applyNumberFormat="1" applyFont="1" applyFill="1" applyBorder="1"/>
    <xf numFmtId="7" fontId="6" fillId="0" borderId="9" xfId="10" quotePrefix="1" applyNumberFormat="1" applyFont="1" applyFill="1" applyBorder="1" applyAlignment="1">
      <alignment horizontal="right"/>
    </xf>
    <xf numFmtId="0" fontId="7" fillId="0" borderId="14" xfId="23" applyFont="1" applyFill="1" applyBorder="1"/>
    <xf numFmtId="0" fontId="7" fillId="0" borderId="9" xfId="0" applyFont="1" applyFill="1" applyBorder="1"/>
    <xf numFmtId="166" fontId="7" fillId="3" borderId="14" xfId="0" applyNumberFormat="1" applyFont="1" applyFill="1" applyBorder="1" applyAlignment="1" applyProtection="1">
      <alignment horizontal="right"/>
    </xf>
    <xf numFmtId="166" fontId="7" fillId="0" borderId="14" xfId="0" applyNumberFormat="1" applyFont="1" applyFill="1" applyBorder="1" applyAlignment="1" applyProtection="1">
      <alignment horizontal="right"/>
    </xf>
    <xf numFmtId="166" fontId="7" fillId="0" borderId="9" xfId="0" applyNumberFormat="1" applyFont="1" applyFill="1" applyBorder="1" applyAlignment="1" applyProtection="1">
      <alignment horizontal="right"/>
    </xf>
    <xf numFmtId="0" fontId="2" fillId="0" borderId="9" xfId="0" applyFont="1" applyFill="1" applyBorder="1"/>
    <xf numFmtId="7" fontId="6" fillId="0" borderId="9" xfId="10" applyNumberFormat="1" applyFont="1" applyFill="1" applyBorder="1"/>
    <xf numFmtId="0" fontId="6" fillId="0" borderId="14" xfId="34" applyFont="1" applyFill="1" applyBorder="1" applyAlignment="1">
      <alignment horizontal="center"/>
    </xf>
    <xf numFmtId="182" fontId="7" fillId="0" borderId="14" xfId="0" applyNumberFormat="1" applyFont="1" applyFill="1" applyBorder="1" applyAlignment="1">
      <alignment horizontal="right"/>
    </xf>
    <xf numFmtId="43" fontId="6" fillId="0" borderId="9" xfId="10" applyFont="1" applyBorder="1" applyAlignment="1" applyProtection="1"/>
    <xf numFmtId="165" fontId="7" fillId="0" borderId="8" xfId="0" applyNumberFormat="1" applyFont="1" applyFill="1" applyBorder="1"/>
    <xf numFmtId="215" fontId="6" fillId="0" borderId="9" xfId="10" applyNumberFormat="1" applyFont="1" applyFill="1" applyBorder="1"/>
    <xf numFmtId="43" fontId="6" fillId="0" borderId="9" xfId="10" applyFont="1" applyFill="1" applyBorder="1" applyAlignment="1" applyProtection="1"/>
    <xf numFmtId="219" fontId="6" fillId="0" borderId="9" xfId="34" applyNumberFormat="1" applyFont="1" applyFill="1" applyBorder="1" applyAlignment="1">
      <alignment horizontal="right"/>
    </xf>
    <xf numFmtId="171" fontId="6" fillId="0" borderId="9" xfId="10" applyNumberFormat="1" applyFont="1" applyFill="1" applyBorder="1"/>
    <xf numFmtId="6" fontId="6" fillId="0" borderId="9" xfId="23" applyNumberFormat="1" applyFont="1" applyFill="1" applyBorder="1" applyAlignment="1" applyProtection="1"/>
    <xf numFmtId="37" fontId="7" fillId="0" borderId="9" xfId="23" applyNumberFormat="1" applyFont="1" applyFill="1" applyBorder="1" applyAlignment="1" applyProtection="1"/>
    <xf numFmtId="166" fontId="6" fillId="0" borderId="9" xfId="28" applyNumberFormat="1" applyFont="1" applyFill="1" applyBorder="1" applyAlignment="1" applyProtection="1"/>
    <xf numFmtId="219" fontId="8" fillId="0" borderId="9" xfId="34" applyNumberFormat="1" applyFont="1" applyFill="1" applyBorder="1" applyAlignment="1">
      <alignment horizontal="right"/>
    </xf>
    <xf numFmtId="177" fontId="6" fillId="0" borderId="9" xfId="0" applyNumberFormat="1" applyFont="1" applyFill="1" applyBorder="1" applyAlignment="1" applyProtection="1">
      <alignment horizontal="right"/>
    </xf>
    <xf numFmtId="166" fontId="6" fillId="0" borderId="9" xfId="28" applyNumberFormat="1" applyFont="1" applyBorder="1"/>
    <xf numFmtId="166" fontId="6" fillId="0" borderId="9" xfId="0" applyNumberFormat="1" applyFont="1" applyBorder="1"/>
    <xf numFmtId="217" fontId="6" fillId="0" borderId="9" xfId="28" applyNumberFormat="1" applyFont="1" applyBorder="1"/>
    <xf numFmtId="166" fontId="6" fillId="0" borderId="9" xfId="0" applyNumberFormat="1" applyFont="1" applyFill="1" applyBorder="1" applyAlignment="1" applyProtection="1">
      <alignment horizontal="right"/>
    </xf>
    <xf numFmtId="0" fontId="6" fillId="0" borderId="9" xfId="0" quotePrefix="1" applyFont="1" applyFill="1" applyBorder="1" applyAlignment="1">
      <alignment horizontal="right"/>
    </xf>
    <xf numFmtId="7" fontId="7" fillId="0" borderId="9" xfId="10" applyNumberFormat="1" applyFont="1" applyFill="1" applyBorder="1" applyAlignment="1">
      <alignment horizontal="right"/>
    </xf>
    <xf numFmtId="172" fontId="6" fillId="0" borderId="9" xfId="10" applyNumberFormat="1" applyFont="1" applyFill="1" applyBorder="1"/>
    <xf numFmtId="166" fontId="8" fillId="0" borderId="9" xfId="28" applyNumberFormat="1" applyFont="1" applyFill="1" applyBorder="1"/>
    <xf numFmtId="205" fontId="6" fillId="0" borderId="0" xfId="0" applyNumberFormat="1" applyFont="1" applyFill="1" applyBorder="1" applyAlignment="1">
      <alignment horizontal="right"/>
    </xf>
    <xf numFmtId="9" fontId="7" fillId="0" borderId="0" xfId="28" applyFont="1" applyFill="1" applyBorder="1" applyAlignment="1" applyProtection="1"/>
    <xf numFmtId="166" fontId="6" fillId="0" borderId="0" xfId="28" applyNumberFormat="1" applyFont="1" applyFill="1" applyBorder="1" applyAlignment="1" applyProtection="1"/>
    <xf numFmtId="166" fontId="6" fillId="0" borderId="0" xfId="0" applyNumberFormat="1" applyFont="1" applyBorder="1"/>
    <xf numFmtId="217" fontId="6" fillId="0" borderId="0" xfId="28" applyNumberFormat="1" applyFont="1" applyBorder="1"/>
    <xf numFmtId="0" fontId="6" fillId="0" borderId="0" xfId="0" quotePrefix="1" applyFont="1" applyFill="1" applyBorder="1" applyAlignment="1">
      <alignment horizontal="right"/>
    </xf>
    <xf numFmtId="205" fontId="6" fillId="0" borderId="9" xfId="23" applyNumberFormat="1" applyFont="1" applyFill="1" applyBorder="1" applyAlignment="1" applyProtection="1"/>
    <xf numFmtId="43" fontId="6" fillId="0" borderId="9" xfId="10" applyFont="1" applyFill="1" applyBorder="1"/>
    <xf numFmtId="172" fontId="7" fillId="0" borderId="9" xfId="10" applyNumberFormat="1" applyFont="1" applyFill="1" applyBorder="1"/>
    <xf numFmtId="0" fontId="6" fillId="0" borderId="9" xfId="34" applyFont="1" applyFill="1" applyBorder="1" applyAlignment="1">
      <alignment horizontal="center"/>
    </xf>
    <xf numFmtId="37" fontId="6" fillId="0" borderId="9" xfId="10" applyNumberFormat="1" applyFont="1" applyFill="1" applyBorder="1" applyAlignment="1"/>
    <xf numFmtId="37" fontId="6" fillId="0" borderId="9" xfId="10" applyNumberFormat="1" applyFont="1" applyFill="1" applyBorder="1"/>
    <xf numFmtId="205" fontId="6" fillId="0" borderId="9" xfId="10" applyNumberFormat="1" applyFont="1" applyFill="1" applyBorder="1" applyAlignment="1"/>
    <xf numFmtId="186" fontId="6" fillId="0" borderId="9" xfId="10" applyNumberFormat="1" applyFont="1" applyFill="1" applyBorder="1" applyAlignment="1"/>
    <xf numFmtId="166" fontId="18" fillId="0" borderId="9" xfId="28" applyNumberFormat="1" applyFont="1" applyBorder="1"/>
    <xf numFmtId="37" fontId="6" fillId="0" borderId="9" xfId="23" applyNumberFormat="1" applyFont="1" applyBorder="1" applyAlignment="1" applyProtection="1">
      <alignment horizontal="left"/>
    </xf>
    <xf numFmtId="0" fontId="6" fillId="0" borderId="9" xfId="23" applyFont="1" applyBorder="1"/>
    <xf numFmtId="0" fontId="6" fillId="0" borderId="9" xfId="23" applyFont="1" applyFill="1" applyBorder="1"/>
    <xf numFmtId="0" fontId="7" fillId="0" borderId="9" xfId="23" applyFont="1" applyBorder="1"/>
    <xf numFmtId="0" fontId="7" fillId="0" borderId="9" xfId="23" applyFont="1" applyBorder="1" applyAlignment="1">
      <alignment horizontal="left" indent="1"/>
    </xf>
    <xf numFmtId="0" fontId="16" fillId="0" borderId="9" xfId="0" applyFont="1" applyBorder="1"/>
    <xf numFmtId="166" fontId="6" fillId="0" borderId="9" xfId="23" applyNumberFormat="1" applyFont="1" applyBorder="1"/>
    <xf numFmtId="5" fontId="7" fillId="0" borderId="9" xfId="10" applyNumberFormat="1" applyFont="1" applyFill="1" applyBorder="1" applyAlignment="1"/>
    <xf numFmtId="0" fontId="6" fillId="0" borderId="9" xfId="0" quotePrefix="1" applyFont="1" applyBorder="1" applyAlignment="1">
      <alignment horizontal="right"/>
    </xf>
    <xf numFmtId="166" fontId="7" fillId="0" borderId="9" xfId="28" applyNumberFormat="1" applyFont="1" applyBorder="1"/>
    <xf numFmtId="205" fontId="6" fillId="0" borderId="9" xfId="10" applyNumberFormat="1" applyFont="1" applyBorder="1" applyAlignment="1"/>
    <xf numFmtId="166" fontId="7" fillId="0" borderId="8" xfId="0" applyNumberFormat="1" applyFont="1" applyBorder="1"/>
    <xf numFmtId="37" fontId="6" fillId="0" borderId="9" xfId="23" applyNumberFormat="1" applyFont="1" applyFill="1" applyBorder="1" applyAlignment="1"/>
    <xf numFmtId="169" fontId="6" fillId="0" borderId="9" xfId="10" applyNumberFormat="1" applyFont="1" applyBorder="1" applyAlignment="1"/>
    <xf numFmtId="205" fontId="7" fillId="0" borderId="9" xfId="23" applyNumberFormat="1" applyFont="1" applyBorder="1" applyAlignment="1"/>
    <xf numFmtId="166" fontId="6" fillId="0" borderId="9" xfId="28" quotePrefix="1" applyNumberFormat="1" applyFont="1" applyBorder="1" applyAlignment="1">
      <alignment horizontal="right"/>
    </xf>
    <xf numFmtId="0" fontId="7" fillId="0" borderId="14" xfId="0" applyNumberFormat="1" applyFont="1" applyBorder="1" applyAlignment="1" applyProtection="1">
      <alignment horizontal="right"/>
    </xf>
    <xf numFmtId="37" fontId="14" fillId="0" borderId="9" xfId="23" applyNumberFormat="1" applyFont="1" applyFill="1" applyBorder="1" applyAlignment="1"/>
    <xf numFmtId="9" fontId="6" fillId="0" borderId="9" xfId="28" applyFont="1" applyFill="1" applyBorder="1"/>
    <xf numFmtId="37" fontId="14" fillId="0" borderId="9" xfId="10" applyNumberFormat="1" applyFont="1" applyFill="1" applyBorder="1" applyAlignment="1"/>
    <xf numFmtId="5" fontId="6" fillId="0" borderId="9" xfId="10" applyNumberFormat="1" applyFont="1" applyFill="1" applyBorder="1" applyAlignment="1"/>
    <xf numFmtId="166" fontId="18" fillId="0" borderId="9" xfId="28" applyNumberFormat="1" applyFont="1" applyFill="1" applyBorder="1"/>
    <xf numFmtId="5" fontId="13" fillId="0" borderId="9" xfId="10" applyNumberFormat="1" applyFont="1" applyFill="1" applyBorder="1" applyAlignment="1"/>
    <xf numFmtId="169" fontId="6" fillId="0" borderId="9" xfId="10" applyNumberFormat="1" applyFont="1" applyFill="1" applyBorder="1" applyAlignment="1"/>
    <xf numFmtId="5" fontId="6" fillId="0" borderId="9" xfId="0" applyNumberFormat="1" applyFont="1" applyFill="1" applyBorder="1"/>
    <xf numFmtId="0" fontId="6" fillId="0" borderId="9" xfId="28" quotePrefix="1" applyNumberFormat="1" applyFont="1" applyFill="1" applyBorder="1" applyAlignment="1">
      <alignment horizontal="right"/>
    </xf>
    <xf numFmtId="5" fontId="8" fillId="0" borderId="9" xfId="10" applyNumberFormat="1" applyFont="1" applyFill="1" applyBorder="1" applyAlignment="1"/>
    <xf numFmtId="166" fontId="6" fillId="0" borderId="9" xfId="0" applyNumberFormat="1" applyFont="1" applyFill="1" applyBorder="1"/>
    <xf numFmtId="169" fontId="6" fillId="0" borderId="9" xfId="10" applyNumberFormat="1" applyFont="1" applyFill="1" applyBorder="1"/>
    <xf numFmtId="166" fontId="7" fillId="0" borderId="9" xfId="0" applyNumberFormat="1" applyFont="1" applyFill="1" applyBorder="1"/>
    <xf numFmtId="166" fontId="7" fillId="0" borderId="8" xfId="0" applyNumberFormat="1" applyFont="1" applyFill="1" applyBorder="1"/>
    <xf numFmtId="166" fontId="7" fillId="0" borderId="9" xfId="28" applyNumberFormat="1" applyFont="1" applyFill="1" applyBorder="1"/>
    <xf numFmtId="166" fontId="6" fillId="0" borderId="0" xfId="0" applyNumberFormat="1" applyFont="1" applyFill="1" applyBorder="1"/>
    <xf numFmtId="37" fontId="14" fillId="0" borderId="0" xfId="23" applyNumberFormat="1" applyFont="1" applyFill="1" applyBorder="1" applyAlignment="1"/>
    <xf numFmtId="169" fontId="6" fillId="0" borderId="0" xfId="10" applyNumberFormat="1" applyFont="1" applyFill="1" applyBorder="1"/>
    <xf numFmtId="6" fontId="7" fillId="0" borderId="9" xfId="0" applyNumberFormat="1" applyFont="1" applyFill="1" applyBorder="1"/>
    <xf numFmtId="6" fontId="7" fillId="0" borderId="9" xfId="23" applyNumberFormat="1" applyFont="1" applyFill="1" applyBorder="1"/>
    <xf numFmtId="166" fontId="7" fillId="0" borderId="12" xfId="28" applyNumberFormat="1" applyFont="1" applyFill="1" applyBorder="1"/>
    <xf numFmtId="9" fontId="6" fillId="0" borderId="12" xfId="28" applyFont="1" applyFill="1" applyBorder="1"/>
    <xf numFmtId="166" fontId="6" fillId="0" borderId="12" xfId="28" applyNumberFormat="1" applyFont="1" applyFill="1" applyBorder="1"/>
    <xf numFmtId="166" fontId="7" fillId="0" borderId="12" xfId="0" applyNumberFormat="1" applyFont="1" applyFill="1" applyBorder="1"/>
    <xf numFmtId="0" fontId="0" fillId="0" borderId="12" xfId="0" applyFill="1" applyBorder="1"/>
    <xf numFmtId="5" fontId="6" fillId="0" borderId="12" xfId="10" applyNumberFormat="1" applyFont="1" applyFill="1" applyBorder="1" applyAlignment="1"/>
    <xf numFmtId="5" fontId="8" fillId="0" borderId="12" xfId="10" applyNumberFormat="1" applyFont="1" applyFill="1" applyBorder="1" applyAlignment="1"/>
    <xf numFmtId="5" fontId="13" fillId="0" borderId="12" xfId="10" applyNumberFormat="1" applyFont="1" applyFill="1" applyBorder="1" applyAlignment="1"/>
    <xf numFmtId="5" fontId="7" fillId="0" borderId="12" xfId="10" applyNumberFormat="1" applyFont="1" applyFill="1" applyBorder="1" applyAlignment="1"/>
    <xf numFmtId="0" fontId="15" fillId="0" borderId="12" xfId="23" applyFont="1" applyFill="1" applyBorder="1"/>
    <xf numFmtId="5" fontId="6" fillId="0" borderId="12" xfId="0" applyNumberFormat="1" applyFont="1" applyFill="1" applyBorder="1"/>
    <xf numFmtId="166" fontId="8" fillId="0" borderId="12" xfId="28" applyNumberFormat="1" applyFont="1" applyFill="1" applyBorder="1"/>
    <xf numFmtId="0" fontId="7" fillId="0" borderId="12" xfId="0" applyFont="1" applyFill="1" applyBorder="1"/>
    <xf numFmtId="5" fontId="13" fillId="0" borderId="12" xfId="0" applyNumberFormat="1" applyFont="1" applyFill="1" applyBorder="1"/>
    <xf numFmtId="37" fontId="14" fillId="0" borderId="12" xfId="23" applyNumberFormat="1" applyFont="1" applyFill="1" applyBorder="1" applyAlignment="1" applyProtection="1"/>
    <xf numFmtId="37" fontId="6" fillId="0" borderId="12" xfId="23" applyNumberFormat="1" applyFont="1" applyFill="1" applyBorder="1" applyAlignment="1" applyProtection="1"/>
    <xf numFmtId="37" fontId="6" fillId="0" borderId="12" xfId="10" applyNumberFormat="1" applyFont="1" applyFill="1" applyBorder="1"/>
    <xf numFmtId="169" fontId="6" fillId="0" borderId="12" xfId="10" applyNumberFormat="1" applyFont="1" applyFill="1" applyBorder="1"/>
    <xf numFmtId="0" fontId="0" fillId="0" borderId="12" xfId="0" applyBorder="1"/>
    <xf numFmtId="0" fontId="6" fillId="0" borderId="3" xfId="0" applyFont="1" applyFill="1" applyBorder="1"/>
    <xf numFmtId="169" fontId="6" fillId="0" borderId="0" xfId="0" applyNumberFormat="1" applyFont="1" applyFill="1" applyAlignment="1" applyProtection="1">
      <alignment horizontal="left" indent="1"/>
    </xf>
    <xf numFmtId="165" fontId="6" fillId="0" borderId="0" xfId="0" applyNumberFormat="1" applyFont="1" applyFill="1" applyAlignment="1" applyProtection="1">
      <alignment horizontal="left" indent="1"/>
    </xf>
    <xf numFmtId="165" fontId="6" fillId="0" borderId="0" xfId="0" applyNumberFormat="1" applyFont="1" applyFill="1" applyBorder="1" applyAlignment="1" applyProtection="1">
      <alignment horizontal="left" indent="1"/>
    </xf>
    <xf numFmtId="0" fontId="6" fillId="0" borderId="0" xfId="0" applyFont="1" applyAlignment="1">
      <alignment horizontal="left" indent="1"/>
    </xf>
    <xf numFmtId="165" fontId="6" fillId="0" borderId="0" xfId="0" applyNumberFormat="1" applyFont="1" applyAlignment="1" applyProtection="1">
      <alignment horizontal="left" indent="1"/>
    </xf>
    <xf numFmtId="181" fontId="15" fillId="0" borderId="14" xfId="0" applyNumberFormat="1" applyFont="1" applyBorder="1" applyAlignment="1" applyProtection="1">
      <alignment horizontal="center"/>
    </xf>
    <xf numFmtId="165" fontId="6" fillId="0" borderId="9" xfId="28" applyNumberFormat="1" applyFont="1" applyFill="1" applyBorder="1"/>
    <xf numFmtId="165" fontId="7" fillId="0" borderId="9" xfId="10" applyNumberFormat="1" applyFont="1" applyFill="1" applyBorder="1"/>
    <xf numFmtId="165" fontId="6" fillId="0" borderId="9" xfId="10" applyNumberFormat="1" applyFont="1" applyBorder="1"/>
    <xf numFmtId="41" fontId="6" fillId="0" borderId="9" xfId="10" applyNumberFormat="1" applyFont="1" applyBorder="1"/>
    <xf numFmtId="165" fontId="6" fillId="0" borderId="10" xfId="10" applyNumberFormat="1" applyFont="1" applyBorder="1"/>
    <xf numFmtId="0" fontId="6" fillId="0" borderId="14" xfId="0" applyFont="1" applyFill="1" applyBorder="1"/>
    <xf numFmtId="184" fontId="6" fillId="0" borderId="9" xfId="0" applyNumberFormat="1" applyFont="1" applyBorder="1" applyProtection="1"/>
    <xf numFmtId="198" fontId="6" fillId="0" borderId="9" xfId="0" applyNumberFormat="1" applyFont="1" applyBorder="1"/>
    <xf numFmtId="198" fontId="6" fillId="0" borderId="9" xfId="28" applyNumberFormat="1" applyFont="1" applyBorder="1" applyProtection="1"/>
    <xf numFmtId="37" fontId="6" fillId="0" borderId="9" xfId="0" applyNumberFormat="1" applyFont="1" applyBorder="1"/>
    <xf numFmtId="198" fontId="6" fillId="0" borderId="9" xfId="28" applyNumberFormat="1" applyFont="1" applyBorder="1"/>
    <xf numFmtId="215" fontId="6" fillId="0" borderId="9" xfId="34" applyNumberFormat="1" applyFont="1" applyFill="1" applyBorder="1" applyAlignment="1"/>
    <xf numFmtId="0" fontId="12" fillId="0" borderId="9" xfId="0" applyFont="1" applyBorder="1"/>
    <xf numFmtId="171" fontId="6" fillId="0" borderId="9" xfId="0" applyNumberFormat="1" applyFont="1" applyBorder="1"/>
    <xf numFmtId="8" fontId="6" fillId="0" borderId="9" xfId="0" applyNumberFormat="1" applyFont="1" applyBorder="1"/>
    <xf numFmtId="173" fontId="6" fillId="0" borderId="9" xfId="0" applyNumberFormat="1" applyFont="1" applyBorder="1" applyProtection="1"/>
    <xf numFmtId="38" fontId="6" fillId="0" borderId="9" xfId="0" applyNumberFormat="1" applyFont="1" applyBorder="1" applyProtection="1"/>
    <xf numFmtId="38" fontId="6" fillId="0" borderId="10" xfId="0" applyNumberFormat="1" applyFont="1" applyBorder="1" applyProtection="1"/>
    <xf numFmtId="9" fontId="6" fillId="0" borderId="9" xfId="34" applyNumberFormat="1" applyFont="1" applyBorder="1" applyAlignment="1"/>
    <xf numFmtId="166" fontId="11" fillId="0" borderId="9" xfId="34" applyNumberFormat="1" applyFont="1" applyBorder="1" applyAlignment="1" applyProtection="1">
      <protection locked="0"/>
    </xf>
    <xf numFmtId="187" fontId="6" fillId="0" borderId="9" xfId="0" applyNumberFormat="1" applyFont="1" applyBorder="1" applyProtection="1"/>
    <xf numFmtId="187" fontId="6" fillId="0" borderId="9" xfId="0" applyNumberFormat="1" applyFont="1" applyFill="1" applyBorder="1" applyProtection="1"/>
    <xf numFmtId="166" fontId="11" fillId="0" borderId="9" xfId="34" applyNumberFormat="1" applyFont="1" applyFill="1" applyBorder="1" applyAlignment="1" applyProtection="1">
      <protection locked="0"/>
    </xf>
    <xf numFmtId="2" fontId="6" fillId="0" borderId="9" xfId="0" applyNumberFormat="1" applyFont="1" applyFill="1" applyBorder="1" applyProtection="1"/>
    <xf numFmtId="203" fontId="14" fillId="0" borderId="9" xfId="0" applyNumberFormat="1" applyFont="1" applyBorder="1" applyProtection="1"/>
    <xf numFmtId="203" fontId="14" fillId="0" borderId="9" xfId="10" applyNumberFormat="1" applyFont="1" applyBorder="1"/>
    <xf numFmtId="203" fontId="6" fillId="0" borderId="9" xfId="0" applyNumberFormat="1" applyFont="1" applyFill="1" applyBorder="1" applyProtection="1"/>
    <xf numFmtId="38" fontId="6" fillId="0" borderId="9" xfId="0" applyNumberFormat="1" applyFont="1" applyFill="1" applyBorder="1" applyProtection="1"/>
    <xf numFmtId="165" fontId="6" fillId="0" borderId="9" xfId="0" applyNumberFormat="1" applyFont="1" applyBorder="1"/>
    <xf numFmtId="215" fontId="6" fillId="0" borderId="9" xfId="34" applyNumberFormat="1" applyFont="1" applyBorder="1" applyAlignment="1">
      <alignment horizontal="center"/>
    </xf>
    <xf numFmtId="0" fontId="6" fillId="0" borderId="9" xfId="34" applyFont="1" applyFill="1" applyBorder="1" applyAlignment="1"/>
    <xf numFmtId="165" fontId="6" fillId="0" borderId="9" xfId="0" applyNumberFormat="1" applyFont="1" applyFill="1" applyBorder="1"/>
    <xf numFmtId="171" fontId="6" fillId="0" borderId="9" xfId="0" applyNumberFormat="1" applyFont="1" applyFill="1" applyBorder="1"/>
    <xf numFmtId="0" fontId="6" fillId="0" borderId="9" xfId="34" applyFont="1" applyBorder="1" applyAlignment="1"/>
    <xf numFmtId="201" fontId="6" fillId="0" borderId="9" xfId="0" applyNumberFormat="1" applyFont="1" applyFill="1" applyBorder="1"/>
    <xf numFmtId="0" fontId="12" fillId="0" borderId="9" xfId="0" applyFont="1" applyFill="1" applyBorder="1"/>
    <xf numFmtId="172" fontId="6" fillId="0" borderId="9" xfId="0" applyNumberFormat="1" applyFont="1" applyBorder="1"/>
    <xf numFmtId="179" fontId="6" fillId="0" borderId="9" xfId="28" applyNumberFormat="1" applyFont="1" applyFill="1" applyBorder="1"/>
    <xf numFmtId="179" fontId="7" fillId="0" borderId="9" xfId="10" applyNumberFormat="1" applyFont="1" applyFill="1" applyBorder="1"/>
    <xf numFmtId="179" fontId="6" fillId="0" borderId="9" xfId="10" applyNumberFormat="1" applyFont="1" applyBorder="1"/>
    <xf numFmtId="179" fontId="6" fillId="0" borderId="10" xfId="10" applyNumberFormat="1" applyFont="1" applyBorder="1"/>
    <xf numFmtId="172" fontId="6" fillId="0" borderId="9" xfId="10" applyNumberFormat="1" applyFont="1" applyBorder="1"/>
    <xf numFmtId="37" fontId="6" fillId="0" borderId="9" xfId="28" applyNumberFormat="1" applyFont="1" applyBorder="1"/>
    <xf numFmtId="37" fontId="7" fillId="0" borderId="9" xfId="10" applyNumberFormat="1" applyFont="1" applyBorder="1"/>
    <xf numFmtId="37" fontId="6" fillId="0" borderId="9" xfId="10" applyNumberFormat="1" applyFont="1" applyBorder="1"/>
    <xf numFmtId="181" fontId="15" fillId="0" borderId="14" xfId="0" applyNumberFormat="1" applyFont="1" applyFill="1" applyBorder="1" applyAlignment="1" applyProtection="1">
      <alignment horizontal="center"/>
    </xf>
    <xf numFmtId="5" fontId="7" fillId="0" borderId="8" xfId="10" applyNumberFormat="1" applyFont="1" applyFill="1" applyBorder="1"/>
    <xf numFmtId="37" fontId="6" fillId="0" borderId="9" xfId="28" applyNumberFormat="1" applyFont="1" applyFill="1" applyBorder="1"/>
    <xf numFmtId="37" fontId="7" fillId="0" borderId="9" xfId="10" applyNumberFormat="1" applyFont="1" applyFill="1" applyBorder="1"/>
    <xf numFmtId="179" fontId="6" fillId="0" borderId="10" xfId="10" applyNumberFormat="1" applyFont="1" applyFill="1" applyBorder="1"/>
    <xf numFmtId="184" fontId="8" fillId="0" borderId="9" xfId="0" applyNumberFormat="1" applyFont="1" applyFill="1" applyBorder="1" applyProtection="1"/>
    <xf numFmtId="37" fontId="6" fillId="0" borderId="9" xfId="0" applyNumberFormat="1" applyFont="1" applyFill="1" applyBorder="1"/>
    <xf numFmtId="184" fontId="6" fillId="0" borderId="9" xfId="0" applyNumberFormat="1" applyFont="1" applyFill="1" applyBorder="1" applyProtection="1"/>
    <xf numFmtId="8" fontId="6" fillId="0" borderId="9" xfId="0" applyNumberFormat="1" applyFont="1" applyFill="1" applyBorder="1"/>
    <xf numFmtId="173" fontId="6" fillId="0" borderId="9" xfId="0" applyNumberFormat="1" applyFont="1" applyFill="1" applyBorder="1" applyProtection="1"/>
    <xf numFmtId="38" fontId="6" fillId="0" borderId="10" xfId="0" applyNumberFormat="1" applyFont="1" applyFill="1" applyBorder="1" applyProtection="1"/>
    <xf numFmtId="172" fontId="6" fillId="0" borderId="9" xfId="0" applyNumberFormat="1" applyFont="1" applyFill="1" applyBorder="1"/>
    <xf numFmtId="5" fontId="6" fillId="0" borderId="9" xfId="10" applyNumberFormat="1" applyFont="1" applyFill="1" applyBorder="1"/>
    <xf numFmtId="41" fontId="6" fillId="0" borderId="9" xfId="10" applyNumberFormat="1" applyFont="1" applyFill="1" applyBorder="1"/>
    <xf numFmtId="179" fontId="6" fillId="0" borderId="9" xfId="10" applyNumberFormat="1" applyFont="1" applyFill="1" applyBorder="1"/>
    <xf numFmtId="5" fontId="6" fillId="0" borderId="12" xfId="10" applyNumberFormat="1" applyFont="1" applyFill="1" applyBorder="1"/>
    <xf numFmtId="171" fontId="6" fillId="0" borderId="12" xfId="10" applyNumberFormat="1" applyFont="1" applyFill="1" applyBorder="1"/>
    <xf numFmtId="37" fontId="6" fillId="0" borderId="12" xfId="10" applyNumberFormat="1" applyFont="1" applyBorder="1"/>
    <xf numFmtId="172" fontId="6" fillId="0" borderId="12" xfId="10" applyNumberFormat="1" applyFont="1" applyFill="1" applyBorder="1"/>
    <xf numFmtId="37" fontId="6" fillId="0" borderId="12" xfId="28" applyNumberFormat="1" applyFont="1" applyFill="1" applyBorder="1"/>
    <xf numFmtId="41" fontId="6" fillId="0" borderId="12" xfId="10" applyNumberFormat="1" applyFont="1" applyBorder="1"/>
    <xf numFmtId="179" fontId="6" fillId="0" borderId="12" xfId="10" applyNumberFormat="1" applyFont="1" applyFill="1" applyBorder="1"/>
    <xf numFmtId="0" fontId="6" fillId="0" borderId="12" xfId="0" applyFont="1" applyFill="1" applyBorder="1"/>
    <xf numFmtId="184" fontId="6" fillId="0" borderId="12" xfId="0" applyNumberFormat="1" applyFont="1" applyBorder="1" applyProtection="1"/>
    <xf numFmtId="198" fontId="6" fillId="0" borderId="12" xfId="0" applyNumberFormat="1" applyFont="1" applyBorder="1"/>
    <xf numFmtId="166" fontId="6" fillId="0" borderId="12" xfId="28" applyNumberFormat="1" applyFont="1" applyBorder="1"/>
    <xf numFmtId="198" fontId="6" fillId="0" borderId="12" xfId="28" applyNumberFormat="1" applyFont="1" applyBorder="1" applyProtection="1"/>
    <xf numFmtId="201" fontId="6" fillId="0" borderId="12" xfId="0" applyNumberFormat="1" applyFont="1" applyFill="1" applyBorder="1"/>
    <xf numFmtId="37" fontId="6" fillId="0" borderId="12" xfId="0" applyNumberFormat="1" applyFont="1" applyBorder="1"/>
    <xf numFmtId="198" fontId="6" fillId="0" borderId="12" xfId="28" applyNumberFormat="1" applyFont="1" applyBorder="1"/>
    <xf numFmtId="215" fontId="6" fillId="0" borderId="12" xfId="34" applyNumberFormat="1" applyFont="1" applyFill="1" applyBorder="1" applyAlignment="1"/>
    <xf numFmtId="0" fontId="12" fillId="0" borderId="12" xfId="0" applyFont="1" applyBorder="1"/>
    <xf numFmtId="171" fontId="6" fillId="0" borderId="12" xfId="0" applyNumberFormat="1" applyFont="1" applyBorder="1"/>
    <xf numFmtId="8" fontId="6" fillId="0" borderId="12" xfId="0" applyNumberFormat="1" applyFont="1" applyBorder="1"/>
    <xf numFmtId="173" fontId="6" fillId="0" borderId="12" xfId="0" applyNumberFormat="1" applyFont="1" applyBorder="1" applyProtection="1"/>
    <xf numFmtId="38" fontId="6" fillId="0" borderId="12" xfId="0" applyNumberFormat="1" applyFont="1" applyBorder="1" applyProtection="1"/>
    <xf numFmtId="0" fontId="6" fillId="0" borderId="12" xfId="34" applyFont="1" applyBorder="1" applyAlignment="1"/>
    <xf numFmtId="166" fontId="11" fillId="0" borderId="12" xfId="34" applyNumberFormat="1" applyFont="1" applyBorder="1" applyAlignment="1" applyProtection="1">
      <protection locked="0"/>
    </xf>
    <xf numFmtId="172" fontId="6" fillId="0" borderId="12" xfId="0" applyNumberFormat="1" applyFont="1" applyBorder="1"/>
    <xf numFmtId="203" fontId="14" fillId="0" borderId="12" xfId="0" applyNumberFormat="1" applyFont="1" applyBorder="1" applyProtection="1"/>
    <xf numFmtId="203" fontId="14" fillId="0" borderId="12" xfId="10" applyNumberFormat="1" applyFont="1" applyBorder="1"/>
    <xf numFmtId="203" fontId="6" fillId="0" borderId="12" xfId="0" applyNumberFormat="1" applyFont="1" applyFill="1" applyBorder="1" applyProtection="1"/>
    <xf numFmtId="38" fontId="6" fillId="0" borderId="12" xfId="0" applyNumberFormat="1" applyFont="1" applyFill="1" applyBorder="1" applyProtection="1"/>
    <xf numFmtId="38" fontId="6" fillId="0" borderId="15" xfId="0" applyNumberFormat="1" applyFont="1" applyFill="1" applyBorder="1" applyProtection="1"/>
    <xf numFmtId="0" fontId="6" fillId="0" borderId="15" xfId="0" applyFont="1" applyBorder="1"/>
    <xf numFmtId="0" fontId="6" fillId="0" borderId="15" xfId="0" applyFont="1" applyFill="1" applyBorder="1"/>
    <xf numFmtId="166" fontId="6" fillId="0" borderId="15" xfId="28" applyNumberFormat="1" applyFont="1" applyBorder="1"/>
    <xf numFmtId="181" fontId="15" fillId="0" borderId="14" xfId="0" applyNumberFormat="1" applyFont="1" applyFill="1" applyBorder="1" applyAlignment="1" applyProtection="1">
      <alignment horizontal="right"/>
    </xf>
    <xf numFmtId="181" fontId="15" fillId="0" borderId="2" xfId="0" applyNumberFormat="1" applyFont="1" applyBorder="1" applyAlignment="1" applyProtection="1">
      <alignment horizontal="right"/>
    </xf>
    <xf numFmtId="172" fontId="8" fillId="0" borderId="9" xfId="10" applyNumberFormat="1" applyFont="1" applyBorder="1"/>
    <xf numFmtId="0" fontId="15" fillId="3" borderId="8" xfId="23" applyFont="1" applyFill="1" applyBorder="1"/>
    <xf numFmtId="49" fontId="7" fillId="0" borderId="0" xfId="23" applyNumberFormat="1" applyFont="1" applyBorder="1" applyAlignment="1" applyProtection="1">
      <alignment horizontal="left"/>
    </xf>
    <xf numFmtId="49" fontId="6" fillId="0" borderId="0" xfId="10" applyNumberFormat="1" applyFont="1" applyFill="1" applyBorder="1" applyAlignment="1"/>
    <xf numFmtId="49" fontId="14" fillId="0" borderId="0" xfId="10" applyNumberFormat="1" applyFont="1" applyFill="1" applyBorder="1" applyAlignment="1"/>
    <xf numFmtId="49" fontId="14" fillId="0" borderId="4" xfId="10" applyNumberFormat="1" applyFont="1" applyFill="1" applyBorder="1" applyAlignment="1"/>
    <xf numFmtId="49" fontId="8" fillId="0" borderId="0" xfId="23" applyNumberFormat="1" applyFont="1" applyBorder="1" applyAlignment="1" applyProtection="1"/>
    <xf numFmtId="49" fontId="14" fillId="0" borderId="0" xfId="10" applyNumberFormat="1" applyFont="1" applyFill="1" applyBorder="1"/>
    <xf numFmtId="49" fontId="6" fillId="0" borderId="0" xfId="10" applyNumberFormat="1" applyFont="1" applyFill="1" applyBorder="1"/>
    <xf numFmtId="49" fontId="6" fillId="0" borderId="0" xfId="10" applyNumberFormat="1" applyFont="1" applyBorder="1" applyAlignment="1"/>
    <xf numFmtId="170" fontId="15" fillId="3" borderId="14" xfId="34" applyNumberFormat="1" applyFont="1" applyFill="1" applyBorder="1" applyAlignment="1" applyProtection="1">
      <alignment horizontal="left"/>
    </xf>
    <xf numFmtId="173" fontId="6" fillId="0" borderId="9" xfId="0" applyNumberFormat="1" applyFont="1" applyBorder="1"/>
    <xf numFmtId="37" fontId="7" fillId="0" borderId="9" xfId="0" applyNumberFormat="1" applyFont="1" applyBorder="1"/>
    <xf numFmtId="37" fontId="6" fillId="0" borderId="9" xfId="0" applyNumberFormat="1" applyFont="1" applyFill="1" applyBorder="1" applyProtection="1"/>
    <xf numFmtId="5" fontId="7" fillId="0" borderId="9" xfId="10" applyNumberFormat="1" applyFont="1" applyFill="1" applyBorder="1"/>
    <xf numFmtId="172" fontId="9" fillId="0" borderId="9" xfId="10" applyNumberFormat="1" applyFont="1" applyBorder="1"/>
    <xf numFmtId="201" fontId="6" fillId="0" borderId="9" xfId="28" applyNumberFormat="1" applyFont="1" applyBorder="1"/>
    <xf numFmtId="172" fontId="14" fillId="0" borderId="9" xfId="10" applyNumberFormat="1" applyFont="1" applyBorder="1" applyAlignment="1">
      <alignment horizontal="right"/>
    </xf>
    <xf numFmtId="7" fontId="14" fillId="0" borderId="9" xfId="28" applyNumberFormat="1" applyFont="1" applyFill="1" applyBorder="1"/>
    <xf numFmtId="0" fontId="7" fillId="3" borderId="14" xfId="34" applyFont="1" applyFill="1" applyBorder="1" applyAlignment="1">
      <alignment horizontal="left"/>
    </xf>
    <xf numFmtId="0" fontId="6" fillId="3" borderId="14" xfId="34" applyFont="1" applyFill="1" applyBorder="1" applyAlignment="1">
      <alignment horizontal="center"/>
    </xf>
    <xf numFmtId="41" fontId="6" fillId="0" borderId="9" xfId="0" applyNumberFormat="1" applyFont="1" applyBorder="1"/>
    <xf numFmtId="5" fontId="6" fillId="0" borderId="9" xfId="28" applyNumberFormat="1" applyFont="1" applyBorder="1"/>
    <xf numFmtId="41" fontId="6" fillId="0" borderId="9" xfId="0" applyNumberFormat="1" applyFont="1" applyFill="1" applyBorder="1"/>
    <xf numFmtId="200" fontId="6" fillId="0" borderId="9" xfId="28" applyNumberFormat="1" applyFont="1" applyBorder="1"/>
    <xf numFmtId="181" fontId="15" fillId="0" borderId="14" xfId="0" applyNumberFormat="1" applyFont="1" applyBorder="1" applyAlignment="1" applyProtection="1">
      <alignment horizontal="right"/>
    </xf>
    <xf numFmtId="37" fontId="7" fillId="0" borderId="9" xfId="0" applyNumberFormat="1" applyFont="1" applyFill="1" applyBorder="1"/>
    <xf numFmtId="172" fontId="9" fillId="0" borderId="9" xfId="10" applyNumberFormat="1" applyFont="1" applyFill="1" applyBorder="1"/>
    <xf numFmtId="200" fontId="6" fillId="0" borderId="9" xfId="28" applyNumberFormat="1" applyFont="1" applyFill="1" applyBorder="1"/>
    <xf numFmtId="5" fontId="6" fillId="0" borderId="9" xfId="28" applyNumberFormat="1" applyFont="1" applyFill="1" applyBorder="1"/>
    <xf numFmtId="37" fontId="24" fillId="0" borderId="9" xfId="0" applyNumberFormat="1" applyFont="1" applyFill="1" applyBorder="1"/>
    <xf numFmtId="0" fontId="7" fillId="0" borderId="12" xfId="0" applyNumberFormat="1" applyFont="1" applyFill="1" applyBorder="1" applyAlignment="1" applyProtection="1">
      <alignment horizontal="right"/>
    </xf>
    <xf numFmtId="0" fontId="6" fillId="0" borderId="12" xfId="34" applyFont="1" applyFill="1" applyBorder="1" applyAlignment="1">
      <alignment horizontal="center"/>
    </xf>
    <xf numFmtId="41" fontId="6" fillId="0" borderId="12" xfId="0" applyNumberFormat="1" applyFont="1" applyFill="1" applyBorder="1"/>
    <xf numFmtId="37" fontId="6" fillId="0" borderId="12" xfId="0" applyNumberFormat="1" applyFont="1" applyFill="1" applyBorder="1"/>
    <xf numFmtId="5" fontId="7" fillId="0" borderId="12" xfId="10" applyNumberFormat="1" applyFont="1" applyFill="1" applyBorder="1"/>
    <xf numFmtId="37" fontId="7" fillId="0" borderId="12" xfId="0" applyNumberFormat="1" applyFont="1" applyFill="1" applyBorder="1"/>
    <xf numFmtId="172" fontId="9" fillId="0" borderId="12" xfId="10" applyNumberFormat="1" applyFont="1" applyFill="1" applyBorder="1"/>
    <xf numFmtId="7" fontId="6" fillId="0" borderId="12" xfId="10" applyNumberFormat="1" applyFont="1" applyFill="1" applyBorder="1"/>
    <xf numFmtId="200" fontId="6" fillId="0" borderId="12" xfId="28" applyNumberFormat="1" applyFont="1" applyFill="1" applyBorder="1"/>
    <xf numFmtId="5" fontId="6" fillId="0" borderId="12" xfId="28" applyNumberFormat="1" applyFont="1" applyFill="1" applyBorder="1"/>
    <xf numFmtId="172" fontId="14" fillId="0" borderId="12" xfId="10" applyNumberFormat="1" applyFont="1" applyFill="1" applyBorder="1" applyAlignment="1">
      <alignment horizontal="right"/>
    </xf>
    <xf numFmtId="172" fontId="14" fillId="0" borderId="9" xfId="10" applyNumberFormat="1" applyFont="1" applyFill="1" applyBorder="1" applyAlignment="1">
      <alignment horizontal="right"/>
    </xf>
    <xf numFmtId="7" fontId="14" fillId="0" borderId="12" xfId="28" applyNumberFormat="1" applyFont="1" applyFill="1" applyBorder="1"/>
    <xf numFmtId="172" fontId="6" fillId="0" borderId="12" xfId="0" applyNumberFormat="1" applyFont="1" applyFill="1" applyBorder="1"/>
    <xf numFmtId="2" fontId="6" fillId="0" borderId="15" xfId="34" applyNumberFormat="1" applyFont="1" applyBorder="1" applyAlignment="1"/>
    <xf numFmtId="172" fontId="6" fillId="0" borderId="15" xfId="10" applyNumberFormat="1" applyFont="1" applyBorder="1"/>
    <xf numFmtId="201" fontId="6" fillId="0" borderId="15" xfId="0" applyNumberFormat="1" applyFont="1" applyBorder="1"/>
    <xf numFmtId="49" fontId="6" fillId="0" borderId="9" xfId="10" applyNumberFormat="1" applyFont="1" applyFill="1" applyBorder="1" applyAlignment="1"/>
    <xf numFmtId="198" fontId="7" fillId="0" borderId="9" xfId="0" applyNumberFormat="1" applyFont="1" applyBorder="1"/>
    <xf numFmtId="49" fontId="14" fillId="0" borderId="9" xfId="10" applyNumberFormat="1" applyFont="1" applyFill="1" applyBorder="1" applyAlignment="1"/>
    <xf numFmtId="43" fontId="6" fillId="0" borderId="9" xfId="0" applyNumberFormat="1" applyFont="1" applyFill="1" applyBorder="1"/>
    <xf numFmtId="49" fontId="14" fillId="0" borderId="8" xfId="10" applyNumberFormat="1" applyFont="1" applyFill="1" applyBorder="1" applyAlignment="1"/>
    <xf numFmtId="37" fontId="14" fillId="0" borderId="12" xfId="23" applyNumberFormat="1" applyFont="1" applyFill="1" applyBorder="1" applyAlignment="1"/>
    <xf numFmtId="9" fontId="6" fillId="0" borderId="12" xfId="28" applyFont="1" applyBorder="1"/>
    <xf numFmtId="9" fontId="6" fillId="0" borderId="9" xfId="28" applyFont="1" applyBorder="1"/>
    <xf numFmtId="37" fontId="6" fillId="0" borderId="12" xfId="23" applyNumberFormat="1" applyFont="1" applyFill="1" applyBorder="1" applyAlignment="1"/>
    <xf numFmtId="205" fontId="6" fillId="0" borderId="12" xfId="10" applyNumberFormat="1" applyFont="1" applyFill="1" applyBorder="1" applyAlignment="1"/>
    <xf numFmtId="169" fontId="6" fillId="0" borderId="12" xfId="10" applyNumberFormat="1" applyFont="1" applyFill="1" applyBorder="1" applyAlignment="1"/>
    <xf numFmtId="166" fontId="18" fillId="0" borderId="12" xfId="28" applyNumberFormat="1" applyFont="1" applyFill="1" applyBorder="1"/>
    <xf numFmtId="0" fontId="15" fillId="3" borderId="6" xfId="23" applyFont="1" applyFill="1" applyBorder="1"/>
    <xf numFmtId="0" fontId="15" fillId="0" borderId="6" xfId="23" applyFont="1" applyFill="1" applyBorder="1"/>
    <xf numFmtId="0" fontId="6" fillId="0" borderId="0" xfId="0" applyFont="1" applyBorder="1" applyAlignment="1">
      <alignment horizontal="left"/>
    </xf>
    <xf numFmtId="5" fontId="7" fillId="0" borderId="12" xfId="23" applyNumberFormat="1" applyFont="1" applyFill="1" applyBorder="1"/>
    <xf numFmtId="3" fontId="6" fillId="0" borderId="0" xfId="0" applyNumberFormat="1" applyFont="1" applyBorder="1" applyAlignment="1">
      <alignment horizontal="left"/>
    </xf>
    <xf numFmtId="0" fontId="6" fillId="0" borderId="0" xfId="23" applyFont="1" applyBorder="1" applyAlignment="1">
      <alignment horizontal="left" indent="2"/>
    </xf>
    <xf numFmtId="166" fontId="18" fillId="0" borderId="0" xfId="28" applyNumberFormat="1" applyFont="1" applyFill="1"/>
    <xf numFmtId="201" fontId="7" fillId="0" borderId="12" xfId="23" applyNumberFormat="1" applyFont="1" applyFill="1" applyBorder="1"/>
    <xf numFmtId="5" fontId="7" fillId="0" borderId="9" xfId="23" applyNumberFormat="1" applyFont="1" applyFill="1" applyBorder="1"/>
    <xf numFmtId="212" fontId="14" fillId="0" borderId="0" xfId="16" applyNumberFormat="1" applyFont="1" applyBorder="1"/>
    <xf numFmtId="41" fontId="8" fillId="0" borderId="12" xfId="23" applyNumberFormat="1" applyFont="1" applyFill="1" applyBorder="1" applyAlignment="1" applyProtection="1"/>
    <xf numFmtId="10" fontId="6" fillId="0" borderId="0" xfId="28" applyNumberFormat="1" applyFont="1" applyFill="1" applyBorder="1"/>
    <xf numFmtId="10" fontId="6" fillId="0" borderId="9" xfId="28" applyNumberFormat="1" applyFont="1" applyFill="1" applyBorder="1"/>
    <xf numFmtId="41" fontId="6" fillId="0" borderId="9" xfId="23" applyNumberFormat="1" applyFont="1" applyFill="1" applyBorder="1" applyAlignment="1" applyProtection="1"/>
    <xf numFmtId="179" fontId="6" fillId="0" borderId="0" xfId="23" applyNumberFormat="1" applyFont="1" applyFill="1" applyAlignment="1" applyProtection="1"/>
    <xf numFmtId="41" fontId="6" fillId="0" borderId="0" xfId="23" applyNumberFormat="1" applyFont="1" applyFill="1" applyAlignment="1" applyProtection="1"/>
    <xf numFmtId="223" fontId="6" fillId="0" borderId="0" xfId="23" applyNumberFormat="1" applyFont="1" applyFill="1" applyAlignment="1" applyProtection="1"/>
    <xf numFmtId="166" fontId="6" fillId="0" borderId="0" xfId="28" applyNumberFormat="1" applyFont="1" applyBorder="1" applyAlignment="1" applyProtection="1"/>
    <xf numFmtId="7" fontId="6" fillId="0" borderId="0" xfId="10" applyNumberFormat="1" applyFont="1" applyBorder="1"/>
    <xf numFmtId="43" fontId="7" fillId="0" borderId="2" xfId="10" applyFont="1" applyFill="1" applyBorder="1"/>
    <xf numFmtId="43" fontId="7" fillId="0" borderId="10" xfId="10" applyFont="1" applyFill="1" applyBorder="1"/>
    <xf numFmtId="7" fontId="7" fillId="0" borderId="2" xfId="10" applyNumberFormat="1" applyFont="1" applyFill="1" applyBorder="1"/>
    <xf numFmtId="7" fontId="7" fillId="0" borderId="10" xfId="10" applyNumberFormat="1" applyFont="1" applyFill="1" applyBorder="1"/>
    <xf numFmtId="220" fontId="7" fillId="0" borderId="2" xfId="10" applyNumberFormat="1" applyFont="1" applyFill="1" applyBorder="1"/>
    <xf numFmtId="37" fontId="6" fillId="0" borderId="0" xfId="10" applyNumberFormat="1" applyFont="1" applyFill="1" applyBorder="1" applyAlignment="1"/>
    <xf numFmtId="207" fontId="6" fillId="0" borderId="0" xfId="0" applyNumberFormat="1" applyFont="1"/>
    <xf numFmtId="0" fontId="7" fillId="3" borderId="14" xfId="23" applyFont="1" applyFill="1" applyBorder="1"/>
    <xf numFmtId="0" fontId="7" fillId="3" borderId="3" xfId="23" applyFont="1" applyFill="1" applyBorder="1"/>
    <xf numFmtId="166" fontId="6" fillId="0" borderId="9" xfId="28" quotePrefix="1" applyNumberFormat="1" applyFont="1" applyFill="1" applyBorder="1" applyAlignment="1">
      <alignment horizontal="center"/>
    </xf>
    <xf numFmtId="5" fontId="6" fillId="0" borderId="9" xfId="0" applyNumberFormat="1" applyFont="1" applyBorder="1"/>
    <xf numFmtId="37" fontId="6" fillId="0" borderId="2" xfId="0" applyNumberFormat="1" applyFont="1" applyBorder="1"/>
    <xf numFmtId="205" fontId="6" fillId="0" borderId="0" xfId="0" applyNumberFormat="1" applyFont="1" applyFill="1"/>
    <xf numFmtId="173" fontId="6" fillId="0" borderId="2" xfId="0" applyNumberFormat="1" applyFont="1" applyFill="1" applyBorder="1"/>
    <xf numFmtId="183" fontId="6" fillId="0" borderId="0" xfId="0" applyNumberFormat="1" applyFont="1" applyFill="1"/>
    <xf numFmtId="173" fontId="6" fillId="0" borderId="2" xfId="23" applyNumberFormat="1" applyFont="1" applyBorder="1" applyAlignment="1" applyProtection="1"/>
    <xf numFmtId="173" fontId="6" fillId="0" borderId="10" xfId="23" applyNumberFormat="1" applyFont="1" applyBorder="1" applyAlignment="1" applyProtection="1"/>
    <xf numFmtId="173" fontId="6" fillId="0" borderId="2" xfId="23" applyNumberFormat="1" applyFont="1" applyFill="1" applyBorder="1" applyAlignment="1" applyProtection="1"/>
    <xf numFmtId="173" fontId="6" fillId="0" borderId="10" xfId="23" applyNumberFormat="1" applyFont="1" applyFill="1" applyBorder="1" applyAlignment="1" applyProtection="1"/>
    <xf numFmtId="173" fontId="6" fillId="0" borderId="0" xfId="23" applyNumberFormat="1" applyFont="1" applyBorder="1" applyAlignment="1" applyProtection="1"/>
    <xf numFmtId="173" fontId="6" fillId="0" borderId="9" xfId="23" applyNumberFormat="1" applyFont="1" applyBorder="1" applyAlignment="1" applyProtection="1"/>
    <xf numFmtId="173" fontId="6" fillId="0" borderId="0" xfId="23" applyNumberFormat="1" applyFont="1" applyFill="1" applyBorder="1" applyAlignment="1" applyProtection="1"/>
    <xf numFmtId="173" fontId="6" fillId="0" borderId="9" xfId="23" applyNumberFormat="1" applyFont="1" applyFill="1" applyBorder="1" applyAlignment="1" applyProtection="1"/>
    <xf numFmtId="173" fontId="6" fillId="0" borderId="0" xfId="23" applyNumberFormat="1" applyFont="1" applyAlignment="1" applyProtection="1"/>
    <xf numFmtId="173" fontId="6" fillId="0" borderId="0" xfId="23" applyNumberFormat="1" applyFont="1" applyFill="1" applyAlignment="1" applyProtection="1"/>
    <xf numFmtId="173" fontId="6" fillId="0" borderId="0" xfId="23" applyNumberFormat="1" applyFont="1" applyAlignment="1" applyProtection="1">
      <alignment horizontal="right"/>
    </xf>
    <xf numFmtId="173" fontId="6" fillId="0" borderId="0" xfId="23" applyNumberFormat="1" applyFont="1" applyFill="1" applyAlignment="1" applyProtection="1">
      <alignment horizontal="right"/>
    </xf>
    <xf numFmtId="173" fontId="6" fillId="0" borderId="9" xfId="23" applyNumberFormat="1" applyFont="1" applyBorder="1" applyAlignment="1" applyProtection="1">
      <alignment horizontal="right"/>
    </xf>
    <xf numFmtId="173" fontId="6" fillId="0" borderId="9" xfId="23" applyNumberFormat="1" applyFont="1" applyFill="1" applyBorder="1" applyAlignment="1" applyProtection="1">
      <alignment horizontal="right"/>
    </xf>
    <xf numFmtId="173" fontId="6" fillId="0" borderId="0" xfId="23" applyNumberFormat="1" applyFont="1" applyFill="1" applyBorder="1"/>
    <xf numFmtId="173" fontId="8" fillId="0" borderId="2" xfId="23" applyNumberFormat="1" applyFont="1" applyBorder="1" applyAlignment="1" applyProtection="1"/>
    <xf numFmtId="173" fontId="6" fillId="0" borderId="0" xfId="23" applyNumberFormat="1" applyFont="1" applyFill="1"/>
    <xf numFmtId="0" fontId="7" fillId="0" borderId="0" xfId="0" quotePrefix="1" applyFont="1" applyAlignment="1">
      <alignment horizontal="right"/>
    </xf>
    <xf numFmtId="0" fontId="7" fillId="0" borderId="9" xfId="0" quotePrefix="1" applyFont="1" applyBorder="1" applyAlignment="1">
      <alignment horizontal="right"/>
    </xf>
    <xf numFmtId="205" fontId="7" fillId="0" borderId="0" xfId="23" applyNumberFormat="1" applyFont="1" applyBorder="1" applyAlignment="1" applyProtection="1"/>
    <xf numFmtId="205" fontId="7" fillId="0" borderId="9" xfId="23" applyNumberFormat="1" applyFont="1" applyBorder="1" applyAlignment="1" applyProtection="1"/>
    <xf numFmtId="205" fontId="7" fillId="0" borderId="0" xfId="23" applyNumberFormat="1" applyFont="1" applyFill="1" applyBorder="1" applyAlignment="1" applyProtection="1"/>
    <xf numFmtId="205" fontId="7" fillId="0" borderId="9" xfId="23" applyNumberFormat="1" applyFont="1" applyFill="1" applyBorder="1" applyAlignment="1" applyProtection="1"/>
    <xf numFmtId="9" fontId="7" fillId="0" borderId="9" xfId="28" applyFont="1" applyFill="1" applyBorder="1" applyAlignment="1" applyProtection="1"/>
    <xf numFmtId="8" fontId="7" fillId="0" borderId="0" xfId="23" applyNumberFormat="1" applyFont="1" applyFill="1" applyBorder="1" applyAlignment="1" applyProtection="1"/>
    <xf numFmtId="205" fontId="6" fillId="0" borderId="9" xfId="0" applyNumberFormat="1" applyFont="1" applyFill="1" applyBorder="1" applyAlignment="1">
      <alignment horizontal="right"/>
    </xf>
    <xf numFmtId="212" fontId="6" fillId="0" borderId="0" xfId="16" applyNumberFormat="1" applyFont="1" applyBorder="1"/>
    <xf numFmtId="3" fontId="6" fillId="0" borderId="0" xfId="0" applyNumberFormat="1" applyFont="1" applyAlignment="1">
      <alignment horizontal="left" indent="1"/>
    </xf>
    <xf numFmtId="38" fontId="6" fillId="0" borderId="9" xfId="0" applyNumberFormat="1" applyFont="1" applyBorder="1"/>
    <xf numFmtId="38" fontId="6" fillId="0" borderId="0" xfId="0" applyNumberFormat="1" applyFont="1" applyFill="1"/>
    <xf numFmtId="38" fontId="6" fillId="0" borderId="9" xfId="0" applyNumberFormat="1" applyFont="1" applyFill="1" applyBorder="1"/>
    <xf numFmtId="38" fontId="11" fillId="0" borderId="0" xfId="0" applyNumberFormat="1" applyFont="1"/>
    <xf numFmtId="38" fontId="11" fillId="0" borderId="9" xfId="0" applyNumberFormat="1" applyFont="1" applyBorder="1"/>
    <xf numFmtId="38" fontId="11" fillId="0" borderId="0" xfId="0" applyNumberFormat="1" applyFont="1" applyFill="1"/>
    <xf numFmtId="38" fontId="11" fillId="0" borderId="9" xfId="0" applyNumberFormat="1" applyFont="1" applyFill="1" applyBorder="1"/>
    <xf numFmtId="38" fontId="6" fillId="0" borderId="9" xfId="10" applyNumberFormat="1" applyFont="1" applyBorder="1"/>
    <xf numFmtId="38" fontId="6" fillId="0" borderId="9" xfId="10" applyNumberFormat="1" applyFont="1" applyFill="1" applyBorder="1"/>
    <xf numFmtId="38" fontId="6" fillId="0" borderId="0" xfId="10" applyNumberFormat="1" applyFont="1" applyBorder="1"/>
    <xf numFmtId="38" fontId="6" fillId="0" borderId="0" xfId="10" applyNumberFormat="1" applyFont="1" applyFill="1" applyBorder="1"/>
    <xf numFmtId="38" fontId="7" fillId="0" borderId="2" xfId="0" applyNumberFormat="1" applyFont="1" applyBorder="1"/>
    <xf numFmtId="38" fontId="7" fillId="0" borderId="10" xfId="0" applyNumberFormat="1" applyFont="1" applyBorder="1"/>
    <xf numFmtId="38" fontId="7" fillId="0" borderId="2" xfId="0" applyNumberFormat="1" applyFont="1" applyFill="1" applyBorder="1"/>
    <xf numFmtId="38" fontId="7" fillId="0" borderId="10" xfId="0" applyNumberFormat="1" applyFont="1" applyFill="1" applyBorder="1"/>
    <xf numFmtId="38" fontId="6" fillId="0" borderId="0" xfId="28" applyNumberFormat="1" applyFont="1"/>
    <xf numFmtId="38" fontId="6" fillId="0" borderId="9" xfId="28" applyNumberFormat="1" applyFont="1" applyBorder="1"/>
    <xf numFmtId="38" fontId="6" fillId="0" borderId="0" xfId="28" applyNumberFormat="1" applyFont="1" applyFill="1"/>
    <xf numFmtId="38" fontId="6" fillId="0" borderId="0" xfId="0" applyNumberFormat="1" applyFont="1" applyBorder="1"/>
    <xf numFmtId="38" fontId="6" fillId="0" borderId="0" xfId="10" applyNumberFormat="1" applyFont="1" applyFill="1" applyBorder="1" applyAlignment="1">
      <alignment horizontal="right"/>
    </xf>
    <xf numFmtId="38" fontId="6" fillId="0" borderId="9" xfId="10" applyNumberFormat="1" applyFont="1" applyFill="1" applyBorder="1" applyAlignment="1">
      <alignment horizontal="right"/>
    </xf>
    <xf numFmtId="38" fontId="6" fillId="0" borderId="0" xfId="0" applyNumberFormat="1" applyFont="1" applyFill="1" applyBorder="1"/>
    <xf numFmtId="38" fontId="7" fillId="0" borderId="9" xfId="10" applyNumberFormat="1" applyFont="1" applyFill="1" applyBorder="1"/>
    <xf numFmtId="38" fontId="7" fillId="0" borderId="0" xfId="0" applyNumberFormat="1" applyFont="1"/>
    <xf numFmtId="38" fontId="7" fillId="0" borderId="9" xfId="0" applyNumberFormat="1" applyFont="1" applyBorder="1"/>
    <xf numFmtId="38" fontId="7" fillId="0" borderId="0" xfId="10" applyNumberFormat="1" applyFont="1"/>
    <xf numFmtId="38" fontId="7" fillId="0" borderId="9" xfId="10" applyNumberFormat="1" applyFont="1" applyBorder="1"/>
    <xf numFmtId="38" fontId="7" fillId="0" borderId="0" xfId="10" applyNumberFormat="1" applyFont="1" applyFill="1"/>
    <xf numFmtId="38" fontId="6" fillId="0" borderId="0" xfId="10" applyNumberFormat="1" applyFont="1" applyFill="1" applyAlignment="1"/>
    <xf numFmtId="38" fontId="6" fillId="0" borderId="9" xfId="10" applyNumberFormat="1" applyFont="1" applyFill="1" applyBorder="1" applyAlignment="1"/>
    <xf numFmtId="38" fontId="6" fillId="0" borderId="0" xfId="10" applyNumberFormat="1" applyFont="1" applyFill="1" applyBorder="1" applyAlignment="1"/>
    <xf numFmtId="38" fontId="6" fillId="0" borderId="0" xfId="23" applyNumberFormat="1" applyFont="1" applyAlignment="1" applyProtection="1">
      <alignment horizontal="left"/>
    </xf>
    <xf numFmtId="38" fontId="6" fillId="0" borderId="9" xfId="23" applyNumberFormat="1" applyFont="1" applyBorder="1" applyAlignment="1" applyProtection="1">
      <alignment horizontal="left"/>
    </xf>
    <xf numFmtId="38" fontId="6" fillId="0" borderId="0" xfId="23" applyNumberFormat="1" applyFont="1" applyFill="1" applyAlignment="1"/>
    <xf numFmtId="38" fontId="6" fillId="0" borderId="9" xfId="23" applyNumberFormat="1" applyFont="1" applyFill="1" applyBorder="1" applyAlignment="1"/>
    <xf numFmtId="38" fontId="6" fillId="0" borderId="0" xfId="23" applyNumberFormat="1" applyFont="1"/>
    <xf numFmtId="38" fontId="6" fillId="0" borderId="9" xfId="23" applyNumberFormat="1" applyFont="1" applyBorder="1"/>
    <xf numFmtId="38" fontId="6" fillId="0" borderId="0" xfId="23" applyNumberFormat="1" applyFont="1" applyFill="1" applyAlignment="1" applyProtection="1"/>
    <xf numFmtId="38" fontId="6" fillId="0" borderId="0" xfId="23" applyNumberFormat="1" applyFont="1" applyFill="1" applyBorder="1" applyAlignment="1" applyProtection="1"/>
    <xf numFmtId="38" fontId="13" fillId="0" borderId="0" xfId="0" applyNumberFormat="1" applyFont="1"/>
    <xf numFmtId="38" fontId="11" fillId="0" borderId="0" xfId="23" applyNumberFormat="1" applyFont="1" applyAlignment="1" applyProtection="1"/>
    <xf numFmtId="38" fontId="6" fillId="0" borderId="0" xfId="23" applyNumberFormat="1" applyFont="1" applyBorder="1" applyAlignment="1" applyProtection="1"/>
    <xf numFmtId="38" fontId="6" fillId="0" borderId="12" xfId="0" applyNumberFormat="1" applyFont="1" applyFill="1" applyBorder="1"/>
    <xf numFmtId="38" fontId="6" fillId="0" borderId="12" xfId="0" applyNumberFormat="1" applyFont="1" applyBorder="1"/>
    <xf numFmtId="166" fontId="7" fillId="0" borderId="0" xfId="28" quotePrefix="1" applyNumberFormat="1" applyFont="1" applyFill="1" applyAlignment="1">
      <alignment horizontal="right"/>
    </xf>
    <xf numFmtId="38" fontId="6" fillId="0" borderId="0" xfId="23" applyNumberFormat="1" applyFont="1" applyAlignment="1" applyProtection="1"/>
    <xf numFmtId="173" fontId="6" fillId="0" borderId="0" xfId="10" applyNumberFormat="1" applyFont="1" applyFill="1" applyAlignment="1"/>
    <xf numFmtId="173" fontId="6" fillId="0" borderId="9" xfId="10" applyNumberFormat="1" applyFont="1" applyFill="1" applyBorder="1" applyAlignment="1"/>
    <xf numFmtId="173" fontId="6" fillId="0" borderId="0" xfId="10" applyNumberFormat="1" applyFont="1" applyFill="1" applyBorder="1" applyAlignment="1"/>
    <xf numFmtId="173" fontId="7" fillId="0" borderId="0" xfId="10" applyNumberFormat="1" applyFont="1" applyFill="1" applyBorder="1" applyAlignment="1"/>
    <xf numFmtId="173" fontId="7" fillId="0" borderId="9" xfId="10" applyNumberFormat="1" applyFont="1" applyFill="1" applyBorder="1" applyAlignment="1"/>
    <xf numFmtId="173" fontId="7" fillId="0" borderId="0" xfId="10" applyNumberFormat="1" applyFont="1" applyFill="1"/>
    <xf numFmtId="173" fontId="7" fillId="0" borderId="9" xfId="10" applyNumberFormat="1" applyFont="1" applyFill="1" applyBorder="1"/>
    <xf numFmtId="173" fontId="6" fillId="0" borderId="0" xfId="0" applyNumberFormat="1" applyFont="1" applyFill="1"/>
    <xf numFmtId="173" fontId="6" fillId="0" borderId="9" xfId="0" applyNumberFormat="1" applyFont="1" applyFill="1" applyBorder="1"/>
    <xf numFmtId="205" fontId="6" fillId="0" borderId="9" xfId="0" applyNumberFormat="1" applyFont="1" applyFill="1" applyBorder="1"/>
    <xf numFmtId="173" fontId="7" fillId="0" borderId="0" xfId="23" applyNumberFormat="1" applyFont="1" applyBorder="1" applyAlignment="1">
      <alignment horizontal="left"/>
    </xf>
    <xf numFmtId="173" fontId="7" fillId="0" borderId="9" xfId="23" applyNumberFormat="1" applyFont="1" applyBorder="1" applyAlignment="1">
      <alignment horizontal="left"/>
    </xf>
    <xf numFmtId="205" fontId="7" fillId="0" borderId="9" xfId="23" applyNumberFormat="1" applyFont="1" applyFill="1" applyBorder="1" applyAlignment="1"/>
    <xf numFmtId="205" fontId="7" fillId="0" borderId="9" xfId="10" applyNumberFormat="1" applyFont="1" applyFill="1" applyBorder="1" applyAlignment="1"/>
    <xf numFmtId="205" fontId="6" fillId="0" borderId="0" xfId="0" applyNumberFormat="1" applyFont="1" applyFill="1" applyBorder="1"/>
    <xf numFmtId="205" fontId="7" fillId="0" borderId="0" xfId="23" applyNumberFormat="1" applyFont="1" applyFill="1" applyBorder="1"/>
    <xf numFmtId="205" fontId="7" fillId="0" borderId="9" xfId="23" applyNumberFormat="1" applyFont="1" applyFill="1" applyBorder="1"/>
    <xf numFmtId="205" fontId="6" fillId="0" borderId="0" xfId="10" applyNumberFormat="1" applyFont="1" applyFill="1"/>
    <xf numFmtId="205" fontId="7" fillId="0" borderId="0" xfId="0" applyNumberFormat="1" applyFont="1" applyFill="1"/>
    <xf numFmtId="205" fontId="7" fillId="0" borderId="0" xfId="0" applyNumberFormat="1" applyFont="1"/>
    <xf numFmtId="205" fontId="7" fillId="0" borderId="0" xfId="10" applyNumberFormat="1" applyFont="1" applyFill="1"/>
    <xf numFmtId="205" fontId="7" fillId="0" borderId="0" xfId="10" applyNumberFormat="1" applyFont="1" applyBorder="1"/>
    <xf numFmtId="6" fontId="6" fillId="3" borderId="0" xfId="23" applyNumberFormat="1" applyFont="1" applyFill="1"/>
    <xf numFmtId="205" fontId="6" fillId="0" borderId="9" xfId="23" applyNumberFormat="1" applyFont="1" applyBorder="1" applyAlignment="1" applyProtection="1"/>
    <xf numFmtId="205" fontId="6" fillId="0" borderId="0" xfId="23" applyNumberFormat="1" applyFont="1" applyAlignment="1" applyProtection="1"/>
    <xf numFmtId="205" fontId="6" fillId="0" borderId="0" xfId="23" applyNumberFormat="1" applyFont="1" applyFill="1" applyAlignment="1" applyProtection="1"/>
    <xf numFmtId="205" fontId="6" fillId="0" borderId="0" xfId="23" applyNumberFormat="1" applyFont="1" applyFill="1" applyBorder="1" applyAlignment="1" applyProtection="1"/>
    <xf numFmtId="205" fontId="7" fillId="0" borderId="0" xfId="23" applyNumberFormat="1" applyFont="1" applyAlignment="1" applyProtection="1"/>
    <xf numFmtId="205" fontId="7" fillId="0" borderId="0" xfId="23" applyNumberFormat="1" applyFont="1" applyFill="1" applyAlignment="1" applyProtection="1"/>
    <xf numFmtId="8" fontId="7" fillId="3" borderId="3" xfId="10" applyNumberFormat="1" applyFont="1" applyFill="1" applyBorder="1"/>
    <xf numFmtId="8" fontId="7" fillId="3" borderId="14" xfId="10" applyNumberFormat="1" applyFont="1" applyFill="1" applyBorder="1"/>
    <xf numFmtId="8" fontId="7" fillId="0" borderId="9" xfId="10" applyNumberFormat="1" applyFont="1" applyFill="1" applyBorder="1"/>
    <xf numFmtId="173" fontId="6" fillId="0" borderId="0" xfId="10" applyNumberFormat="1" applyFont="1" applyFill="1"/>
    <xf numFmtId="173" fontId="7" fillId="0" borderId="0" xfId="10" applyNumberFormat="1" applyFont="1" applyFill="1" applyBorder="1"/>
    <xf numFmtId="173" fontId="6" fillId="0" borderId="9" xfId="34" applyNumberFormat="1" applyFont="1" applyFill="1" applyBorder="1" applyAlignment="1"/>
    <xf numFmtId="173" fontId="6" fillId="0" borderId="0" xfId="34" applyNumberFormat="1" applyFont="1" applyFill="1" applyBorder="1" applyAlignment="1"/>
    <xf numFmtId="173" fontId="6" fillId="0" borderId="9" xfId="34" applyNumberFormat="1" applyFont="1" applyBorder="1" applyAlignment="1"/>
    <xf numFmtId="173" fontId="7" fillId="0" borderId="4" xfId="0" applyNumberFormat="1" applyFont="1" applyFill="1" applyBorder="1"/>
    <xf numFmtId="173" fontId="7" fillId="0" borderId="8" xfId="0" applyNumberFormat="1" applyFont="1" applyFill="1" applyBorder="1"/>
    <xf numFmtId="173" fontId="7" fillId="0" borderId="8" xfId="10" applyNumberFormat="1" applyFont="1" applyFill="1" applyBorder="1"/>
    <xf numFmtId="173" fontId="7" fillId="0" borderId="4" xfId="10" applyNumberFormat="1" applyFont="1" applyFill="1" applyBorder="1"/>
    <xf numFmtId="173" fontId="7" fillId="0" borderId="9" xfId="0" applyNumberFormat="1" applyFont="1" applyFill="1" applyBorder="1"/>
    <xf numFmtId="173" fontId="18" fillId="0" borderId="4" xfId="0" applyNumberFormat="1" applyFont="1" applyFill="1" applyBorder="1"/>
    <xf numFmtId="173" fontId="6" fillId="0" borderId="9" xfId="10" applyNumberFormat="1" applyFont="1" applyFill="1" applyBorder="1"/>
    <xf numFmtId="173" fontId="6" fillId="0" borderId="0" xfId="10" applyNumberFormat="1" applyFont="1" applyFill="1" applyBorder="1"/>
    <xf numFmtId="173" fontId="6" fillId="0" borderId="2" xfId="10" applyNumberFormat="1" applyFont="1" applyFill="1" applyBorder="1"/>
    <xf numFmtId="173" fontId="6" fillId="0" borderId="10" xfId="10" applyNumberFormat="1" applyFont="1" applyFill="1" applyBorder="1"/>
    <xf numFmtId="173" fontId="6" fillId="0" borderId="9" xfId="23" applyNumberFormat="1" applyFont="1" applyFill="1" applyBorder="1"/>
    <xf numFmtId="173" fontId="14" fillId="0" borderId="12" xfId="23" applyNumberFormat="1" applyFont="1" applyFill="1" applyBorder="1"/>
    <xf numFmtId="173" fontId="6" fillId="0" borderId="0" xfId="10" applyNumberFormat="1" applyFont="1"/>
    <xf numFmtId="173" fontId="6" fillId="0" borderId="9" xfId="10" applyNumberFormat="1" applyFont="1" applyBorder="1"/>
    <xf numFmtId="173" fontId="6" fillId="0" borderId="12" xfId="10" applyNumberFormat="1" applyFont="1" applyFill="1" applyBorder="1"/>
    <xf numFmtId="173" fontId="6" fillId="0" borderId="2" xfId="10" applyNumberFormat="1" applyFont="1" applyBorder="1"/>
    <xf numFmtId="173" fontId="6" fillId="0" borderId="10" xfId="10" applyNumberFormat="1" applyFont="1" applyBorder="1"/>
    <xf numFmtId="173" fontId="6" fillId="0" borderId="0" xfId="10" applyNumberFormat="1" applyFont="1" applyBorder="1"/>
    <xf numFmtId="205" fontId="7" fillId="0" borderId="4" xfId="10" applyNumberFormat="1" applyFont="1" applyFill="1" applyBorder="1"/>
    <xf numFmtId="205" fontId="7" fillId="0" borderId="4" xfId="10" applyNumberFormat="1" applyFont="1" applyBorder="1"/>
    <xf numFmtId="205" fontId="7" fillId="0" borderId="8" xfId="10" applyNumberFormat="1" applyFont="1" applyBorder="1"/>
    <xf numFmtId="205" fontId="7" fillId="0" borderId="8" xfId="10" applyNumberFormat="1" applyFont="1" applyFill="1" applyBorder="1"/>
    <xf numFmtId="186" fontId="6" fillId="0" borderId="0" xfId="0" applyNumberFormat="1" applyFont="1" applyFill="1"/>
    <xf numFmtId="41" fontId="6" fillId="0" borderId="12" xfId="23" applyNumberFormat="1" applyFont="1" applyFill="1" applyBorder="1" applyAlignment="1">
      <alignment horizontal="right"/>
    </xf>
    <xf numFmtId="41" fontId="6" fillId="0" borderId="0" xfId="23" applyNumberFormat="1" applyFont="1" applyFill="1" applyBorder="1" applyAlignment="1">
      <alignment horizontal="right"/>
    </xf>
    <xf numFmtId="41" fontId="6" fillId="0" borderId="9" xfId="23" applyNumberFormat="1" applyFont="1" applyFill="1" applyBorder="1" applyAlignment="1">
      <alignment horizontal="right"/>
    </xf>
    <xf numFmtId="166" fontId="18" fillId="0" borderId="2" xfId="0" applyNumberFormat="1" applyFont="1" applyFill="1" applyBorder="1" applyAlignment="1" applyProtection="1">
      <alignment horizontal="centerContinuous"/>
    </xf>
    <xf numFmtId="228" fontId="7" fillId="0" borderId="2" xfId="0" applyNumberFormat="1" applyFont="1" applyFill="1" applyBorder="1" applyAlignment="1">
      <alignment horizontal="right"/>
    </xf>
    <xf numFmtId="0" fontId="41" fillId="6" borderId="0" xfId="2" applyFont="1" applyFill="1" applyBorder="1"/>
    <xf numFmtId="0" fontId="4" fillId="0" borderId="0" xfId="25"/>
    <xf numFmtId="0" fontId="42" fillId="6" borderId="0" xfId="2" applyFont="1" applyFill="1" applyBorder="1"/>
    <xf numFmtId="0" fontId="43" fillId="6" borderId="0" xfId="2" applyFont="1" applyFill="1" applyBorder="1"/>
    <xf numFmtId="14" fontId="43" fillId="6" borderId="0" xfId="2" applyNumberFormat="1" applyFont="1" applyFill="1" applyBorder="1" applyAlignment="1">
      <alignment horizontal="left"/>
    </xf>
    <xf numFmtId="0" fontId="4" fillId="4" borderId="0" xfId="2" applyFont="1" applyFill="1"/>
    <xf numFmtId="0" fontId="44" fillId="4" borderId="0" xfId="2" applyFont="1" applyFill="1"/>
    <xf numFmtId="0" fontId="45" fillId="4" borderId="0" xfId="2" applyFont="1" applyFill="1"/>
    <xf numFmtId="205" fontId="7" fillId="0" borderId="0" xfId="23" applyNumberFormat="1" applyFont="1" applyBorder="1"/>
    <xf numFmtId="198" fontId="6" fillId="0" borderId="12" xfId="28" applyNumberFormat="1" applyFont="1" applyFill="1" applyBorder="1"/>
    <xf numFmtId="41" fontId="6" fillId="0" borderId="12" xfId="23" applyNumberFormat="1" applyFont="1" applyFill="1" applyBorder="1" applyAlignment="1" applyProtection="1"/>
    <xf numFmtId="205" fontId="2" fillId="0" borderId="12" xfId="0" applyNumberFormat="1" applyFont="1" applyFill="1" applyBorder="1"/>
    <xf numFmtId="166" fontId="2" fillId="0" borderId="12" xfId="28" applyNumberFormat="1" applyFont="1" applyFill="1" applyBorder="1"/>
    <xf numFmtId="173" fontId="6" fillId="0" borderId="10" xfId="0" applyNumberFormat="1" applyFont="1" applyFill="1" applyBorder="1"/>
    <xf numFmtId="182" fontId="7" fillId="0" borderId="3" xfId="0" applyNumberFormat="1" applyFont="1" applyFill="1" applyBorder="1" applyAlignment="1">
      <alignment horizontal="right"/>
    </xf>
    <xf numFmtId="181" fontId="15" fillId="0" borderId="3" xfId="0" applyNumberFormat="1" applyFont="1" applyFill="1" applyBorder="1" applyAlignment="1" applyProtection="1">
      <alignment horizontal="right"/>
    </xf>
    <xf numFmtId="173" fontId="6" fillId="0" borderId="0" xfId="0" applyNumberFormat="1" applyFont="1" applyFill="1" applyBorder="1"/>
    <xf numFmtId="5" fontId="14" fillId="0" borderId="12" xfId="34" applyNumberFormat="1" applyFont="1" applyFill="1" applyBorder="1" applyAlignment="1"/>
    <xf numFmtId="6" fontId="6" fillId="0" borderId="12" xfId="23" applyNumberFormat="1" applyFont="1" applyFill="1" applyBorder="1" applyAlignment="1" applyProtection="1"/>
    <xf numFmtId="205" fontId="7" fillId="0" borderId="12" xfId="23" applyNumberFormat="1" applyFont="1" applyFill="1" applyBorder="1" applyAlignment="1" applyProtection="1"/>
    <xf numFmtId="37" fontId="7" fillId="0" borderId="12" xfId="23" applyNumberFormat="1" applyFont="1" applyFill="1" applyBorder="1" applyAlignment="1" applyProtection="1"/>
    <xf numFmtId="37" fontId="6" fillId="0" borderId="12" xfId="13" applyNumberFormat="1" applyFont="1" applyBorder="1"/>
    <xf numFmtId="173" fontId="14" fillId="0" borderId="12" xfId="23" applyNumberFormat="1" applyFont="1" applyFill="1" applyBorder="1" applyAlignment="1" applyProtection="1"/>
    <xf numFmtId="173" fontId="6" fillId="0" borderId="12" xfId="23" applyNumberFormat="1" applyFont="1" applyFill="1" applyBorder="1" applyAlignment="1" applyProtection="1"/>
    <xf numFmtId="205" fontId="6" fillId="0" borderId="12" xfId="0" applyNumberFormat="1" applyFont="1" applyFill="1" applyBorder="1" applyAlignment="1">
      <alignment horizontal="right"/>
    </xf>
    <xf numFmtId="9" fontId="7" fillId="0" borderId="12" xfId="28" applyFont="1" applyFill="1" applyBorder="1" applyAlignment="1" applyProtection="1"/>
    <xf numFmtId="8" fontId="7" fillId="0" borderId="12" xfId="10" applyNumberFormat="1" applyFont="1" applyFill="1" applyBorder="1"/>
    <xf numFmtId="166" fontId="6" fillId="0" borderId="12" xfId="28" applyNumberFormat="1" applyFont="1" applyFill="1" applyBorder="1" applyAlignment="1" applyProtection="1"/>
    <xf numFmtId="219" fontId="6" fillId="0" borderId="12" xfId="34" applyNumberFormat="1" applyFont="1" applyFill="1" applyBorder="1" applyAlignment="1">
      <alignment horizontal="right"/>
    </xf>
    <xf numFmtId="7" fontId="7" fillId="0" borderId="12" xfId="10" applyNumberFormat="1" applyFont="1" applyFill="1" applyBorder="1" applyAlignment="1">
      <alignment horizontal="right"/>
    </xf>
    <xf numFmtId="7" fontId="7" fillId="0" borderId="12" xfId="10" applyNumberFormat="1" applyFont="1" applyFill="1" applyBorder="1"/>
    <xf numFmtId="173" fontId="6" fillId="0" borderId="12" xfId="34" applyNumberFormat="1" applyFont="1" applyFill="1" applyBorder="1" applyAlignment="1"/>
    <xf numFmtId="173" fontId="8" fillId="0" borderId="12" xfId="34" applyNumberFormat="1" applyFont="1" applyBorder="1" applyAlignment="1"/>
    <xf numFmtId="173" fontId="7" fillId="0" borderId="12" xfId="0" applyNumberFormat="1" applyFont="1" applyFill="1" applyBorder="1"/>
    <xf numFmtId="173" fontId="34" fillId="0" borderId="12" xfId="34" applyNumberFormat="1" applyFont="1" applyBorder="1" applyAlignment="1"/>
    <xf numFmtId="173" fontId="7" fillId="0" borderId="12" xfId="10" applyNumberFormat="1" applyFont="1" applyFill="1" applyBorder="1"/>
    <xf numFmtId="172" fontId="39" fillId="0" borderId="12" xfId="10" applyNumberFormat="1" applyFont="1" applyFill="1" applyBorder="1"/>
    <xf numFmtId="7" fontId="14" fillId="0" borderId="12" xfId="10" applyNumberFormat="1" applyFont="1" applyFill="1" applyBorder="1"/>
    <xf numFmtId="215" fontId="14" fillId="0" borderId="12" xfId="10" applyNumberFormat="1" applyFont="1" applyFill="1" applyBorder="1"/>
    <xf numFmtId="217" fontId="6" fillId="0" borderId="12" xfId="0" applyNumberFormat="1" applyFont="1" applyFill="1" applyBorder="1" applyAlignment="1">
      <alignment horizontal="right"/>
    </xf>
    <xf numFmtId="166" fontId="14" fillId="0" borderId="12" xfId="28" applyNumberFormat="1" applyFont="1" applyBorder="1"/>
    <xf numFmtId="166" fontId="6" fillId="0" borderId="12" xfId="0" applyNumberFormat="1" applyFont="1" applyBorder="1"/>
    <xf numFmtId="217" fontId="6" fillId="0" borderId="12" xfId="28" applyNumberFormat="1" applyFont="1" applyBorder="1"/>
    <xf numFmtId="177" fontId="6" fillId="0" borderId="12" xfId="0" applyNumberFormat="1" applyFont="1" applyFill="1" applyBorder="1" applyAlignment="1" applyProtection="1">
      <alignment horizontal="right"/>
    </xf>
    <xf numFmtId="166" fontId="6" fillId="0" borderId="12" xfId="0" applyNumberFormat="1" applyFont="1" applyFill="1" applyBorder="1" applyAlignment="1" applyProtection="1">
      <alignment horizontal="right"/>
    </xf>
    <xf numFmtId="0" fontId="6" fillId="0" borderId="12" xfId="0" quotePrefix="1" applyFont="1" applyFill="1" applyBorder="1" applyAlignment="1">
      <alignment horizontal="right"/>
    </xf>
    <xf numFmtId="166" fontId="7" fillId="0" borderId="12" xfId="0" applyNumberFormat="1" applyFont="1" applyFill="1" applyBorder="1" applyAlignment="1" applyProtection="1">
      <alignment horizontal="right"/>
    </xf>
    <xf numFmtId="171" fontId="7" fillId="0" borderId="12" xfId="10" applyNumberFormat="1" applyFont="1" applyBorder="1"/>
    <xf numFmtId="182" fontId="7" fillId="0" borderId="12" xfId="0" applyNumberFormat="1" applyFont="1" applyFill="1" applyBorder="1" applyAlignment="1">
      <alignment horizontal="right"/>
    </xf>
    <xf numFmtId="183" fontId="6" fillId="0" borderId="9" xfId="0" applyNumberFormat="1" applyFont="1" applyFill="1" applyBorder="1"/>
    <xf numFmtId="173" fontId="6" fillId="0" borderId="2" xfId="0" applyNumberFormat="1" applyFont="1" applyBorder="1"/>
    <xf numFmtId="173" fontId="6" fillId="0" borderId="10" xfId="0" applyNumberFormat="1" applyFont="1" applyBorder="1"/>
    <xf numFmtId="173" fontId="6" fillId="4" borderId="0" xfId="0" applyNumberFormat="1" applyFont="1" applyFill="1"/>
    <xf numFmtId="173" fontId="6" fillId="4" borderId="9" xfId="0" applyNumberFormat="1" applyFont="1" applyFill="1" applyBorder="1"/>
    <xf numFmtId="173" fontId="6" fillId="0" borderId="0" xfId="0" applyNumberFormat="1" applyFont="1" applyFill="1" applyProtection="1"/>
    <xf numFmtId="7" fontId="6" fillId="0" borderId="0" xfId="10" applyNumberFormat="1" applyFont="1" applyFill="1"/>
    <xf numFmtId="169" fontId="6" fillId="0" borderId="0" xfId="0" applyNumberFormat="1" applyFont="1"/>
    <xf numFmtId="173" fontId="6" fillId="0" borderId="0" xfId="0" applyNumberFormat="1" applyFont="1" applyAlignment="1">
      <alignment horizontal="right"/>
    </xf>
    <xf numFmtId="173" fontId="6" fillId="0" borderId="2" xfId="0" applyNumberFormat="1" applyFont="1" applyBorder="1" applyAlignment="1">
      <alignment horizontal="right"/>
    </xf>
    <xf numFmtId="172" fontId="8" fillId="0" borderId="9" xfId="10" applyNumberFormat="1" applyFont="1" applyFill="1" applyBorder="1"/>
    <xf numFmtId="37" fontId="9" fillId="0" borderId="2" xfId="0" applyNumberFormat="1" applyFont="1" applyBorder="1"/>
    <xf numFmtId="169" fontId="7" fillId="0" borderId="4" xfId="10" applyNumberFormat="1" applyFont="1" applyFill="1" applyBorder="1"/>
    <xf numFmtId="169" fontId="7" fillId="0" borderId="8" xfId="10" applyNumberFormat="1" applyFont="1" applyFill="1" applyBorder="1"/>
    <xf numFmtId="169" fontId="7" fillId="0" borderId="0" xfId="10" applyNumberFormat="1" applyFont="1" applyFill="1" applyBorder="1"/>
    <xf numFmtId="169" fontId="7" fillId="0" borderId="9" xfId="10" applyNumberFormat="1" applyFont="1" applyFill="1" applyBorder="1"/>
    <xf numFmtId="169" fontId="7" fillId="0" borderId="2" xfId="10" applyNumberFormat="1" applyFont="1" applyFill="1" applyBorder="1"/>
    <xf numFmtId="169" fontId="7" fillId="0" borderId="10" xfId="10" applyNumberFormat="1" applyFont="1" applyFill="1" applyBorder="1"/>
    <xf numFmtId="172" fontId="6" fillId="0" borderId="0" xfId="10" applyNumberFormat="1" applyFont="1" applyAlignment="1">
      <alignment horizontal="right"/>
    </xf>
    <xf numFmtId="7" fontId="6" fillId="0" borderId="0" xfId="28" applyNumberFormat="1" applyFont="1" applyFill="1"/>
    <xf numFmtId="38" fontId="2" fillId="0" borderId="2" xfId="10" applyNumberFormat="1" applyFont="1" applyFill="1" applyBorder="1"/>
    <xf numFmtId="217" fontId="6" fillId="0" borderId="0" xfId="28" applyNumberFormat="1" applyFont="1" applyAlignment="1">
      <alignment horizontal="right"/>
    </xf>
    <xf numFmtId="217" fontId="6" fillId="0" borderId="9" xfId="28" applyNumberFormat="1" applyFont="1" applyBorder="1" applyAlignment="1">
      <alignment horizontal="right"/>
    </xf>
    <xf numFmtId="205" fontId="7" fillId="0" borderId="4" xfId="0" applyNumberFormat="1" applyFont="1" applyFill="1" applyBorder="1" applyAlignment="1">
      <alignment horizontal="right"/>
    </xf>
    <xf numFmtId="205" fontId="7" fillId="0" borderId="8" xfId="0" applyNumberFormat="1" applyFont="1" applyFill="1" applyBorder="1" applyAlignment="1">
      <alignment horizontal="right"/>
    </xf>
    <xf numFmtId="205" fontId="7" fillId="0" borderId="12" xfId="0" applyNumberFormat="1" applyFont="1" applyFill="1" applyBorder="1" applyAlignment="1">
      <alignment horizontal="right"/>
    </xf>
    <xf numFmtId="205" fontId="7" fillId="0" borderId="7" xfId="23" applyNumberFormat="1" applyFont="1" applyBorder="1" applyAlignment="1" applyProtection="1"/>
    <xf numFmtId="38" fontId="7" fillId="0" borderId="0" xfId="23" applyNumberFormat="1" applyFont="1" applyAlignment="1" applyProtection="1">
      <alignment horizontal="left"/>
    </xf>
    <xf numFmtId="38" fontId="7" fillId="0" borderId="9" xfId="23" applyNumberFormat="1" applyFont="1" applyBorder="1" applyAlignment="1" applyProtection="1">
      <alignment horizontal="left"/>
    </xf>
    <xf numFmtId="38" fontId="7" fillId="0" borderId="0" xfId="23" applyNumberFormat="1" applyFont="1" applyFill="1" applyAlignment="1"/>
    <xf numFmtId="38" fontId="7" fillId="0" borderId="9" xfId="23" applyNumberFormat="1" applyFont="1" applyFill="1" applyBorder="1" applyAlignment="1"/>
    <xf numFmtId="37" fontId="7" fillId="0" borderId="0" xfId="23" applyNumberFormat="1" applyFont="1" applyFill="1" applyAlignment="1"/>
    <xf numFmtId="37" fontId="7" fillId="0" borderId="0" xfId="23" applyNumberFormat="1" applyFont="1" applyFill="1" applyBorder="1" applyAlignment="1"/>
    <xf numFmtId="37" fontId="31" fillId="0" borderId="12" xfId="23" applyNumberFormat="1" applyFont="1" applyFill="1" applyBorder="1" applyAlignment="1"/>
    <xf numFmtId="37" fontId="31" fillId="0" borderId="9" xfId="23" applyNumberFormat="1" applyFont="1" applyFill="1" applyBorder="1" applyAlignment="1"/>
    <xf numFmtId="37" fontId="31" fillId="0" borderId="0" xfId="23" applyNumberFormat="1" applyFont="1" applyFill="1" applyAlignment="1"/>
    <xf numFmtId="37" fontId="7" fillId="0" borderId="0" xfId="10" applyNumberFormat="1" applyFont="1" applyAlignment="1"/>
    <xf numFmtId="38" fontId="7" fillId="0" borderId="0" xfId="23" applyNumberFormat="1" applyFont="1"/>
    <xf numFmtId="38" fontId="7" fillId="0" borderId="9" xfId="23" applyNumberFormat="1" applyFont="1" applyBorder="1"/>
    <xf numFmtId="38" fontId="7" fillId="0" borderId="0" xfId="10" applyNumberFormat="1" applyFont="1" applyFill="1" applyAlignment="1"/>
    <xf numFmtId="38" fontId="7" fillId="0" borderId="9" xfId="10" applyNumberFormat="1" applyFont="1" applyFill="1" applyBorder="1" applyAlignment="1"/>
    <xf numFmtId="37" fontId="31" fillId="0" borderId="12" xfId="10" applyNumberFormat="1" applyFont="1" applyFill="1" applyBorder="1"/>
    <xf numFmtId="37" fontId="31" fillId="0" borderId="9" xfId="10" applyNumberFormat="1" applyFont="1" applyFill="1" applyBorder="1"/>
    <xf numFmtId="37" fontId="31" fillId="0" borderId="0" xfId="10" applyNumberFormat="1" applyFont="1" applyFill="1"/>
    <xf numFmtId="37" fontId="7" fillId="0" borderId="0" xfId="10" applyNumberFormat="1" applyFont="1" applyFill="1" applyAlignment="1"/>
    <xf numFmtId="179" fontId="6" fillId="0" borderId="12" xfId="28" applyNumberFormat="1" applyFont="1" applyFill="1" applyBorder="1"/>
    <xf numFmtId="179" fontId="7" fillId="0" borderId="12" xfId="10" applyNumberFormat="1" applyFont="1" applyFill="1" applyBorder="1"/>
    <xf numFmtId="179" fontId="6" fillId="0" borderId="12" xfId="10" applyNumberFormat="1" applyFont="1" applyBorder="1"/>
    <xf numFmtId="184" fontId="6" fillId="0" borderId="12" xfId="0" applyNumberFormat="1" applyFont="1" applyFill="1" applyBorder="1" applyProtection="1"/>
    <xf numFmtId="198" fontId="6" fillId="0" borderId="12" xfId="0" applyNumberFormat="1" applyFont="1" applyFill="1" applyBorder="1"/>
    <xf numFmtId="198" fontId="6" fillId="0" borderId="12" xfId="28" applyNumberFormat="1" applyFont="1" applyFill="1" applyBorder="1" applyProtection="1"/>
    <xf numFmtId="0" fontId="12" fillId="0" borderId="12" xfId="0" applyFont="1" applyFill="1" applyBorder="1"/>
    <xf numFmtId="171" fontId="6" fillId="0" borderId="12" xfId="0" applyNumberFormat="1" applyFont="1" applyFill="1" applyBorder="1"/>
    <xf numFmtId="173" fontId="6" fillId="0" borderId="12" xfId="0" applyNumberFormat="1" applyFont="1" applyFill="1" applyBorder="1" applyProtection="1"/>
    <xf numFmtId="38" fontId="14" fillId="0" borderId="12" xfId="0" applyNumberFormat="1" applyFont="1" applyFill="1" applyBorder="1" applyProtection="1"/>
    <xf numFmtId="173" fontId="6" fillId="0" borderId="0" xfId="0" applyNumberFormat="1" applyFont="1" applyBorder="1"/>
    <xf numFmtId="188" fontId="7" fillId="0" borderId="12" xfId="0" applyNumberFormat="1" applyFont="1" applyBorder="1"/>
    <xf numFmtId="37" fontId="6" fillId="0" borderId="0" xfId="0" applyNumberFormat="1" applyFont="1" applyBorder="1"/>
    <xf numFmtId="41" fontId="7" fillId="0" borderId="0" xfId="23" applyNumberFormat="1" applyFont="1" applyFill="1"/>
    <xf numFmtId="169" fontId="6" fillId="3" borderId="0" xfId="34" applyNumberFormat="1" applyFont="1" applyFill="1" applyBorder="1" applyAlignment="1"/>
    <xf numFmtId="169" fontId="6" fillId="3" borderId="9" xfId="34" applyNumberFormat="1" applyFont="1" applyFill="1" applyBorder="1" applyAlignment="1"/>
    <xf numFmtId="169" fontId="6" fillId="3" borderId="0" xfId="34" applyNumberFormat="1" applyFont="1" applyFill="1" applyAlignment="1"/>
    <xf numFmtId="166" fontId="6" fillId="0" borderId="0" xfId="28" applyNumberFormat="1" applyFont="1" applyFill="1" applyAlignment="1">
      <alignment horizontal="right"/>
    </xf>
    <xf numFmtId="10" fontId="7" fillId="0" borderId="0" xfId="28" applyNumberFormat="1" applyFont="1" applyFill="1" applyBorder="1" applyAlignment="1" applyProtection="1"/>
    <xf numFmtId="10" fontId="7" fillId="0" borderId="9" xfId="28" applyNumberFormat="1" applyFont="1" applyFill="1" applyBorder="1" applyAlignment="1" applyProtection="1"/>
    <xf numFmtId="0" fontId="3" fillId="4" borderId="0" xfId="17" applyFill="1" applyAlignment="1" applyProtection="1"/>
    <xf numFmtId="6" fontId="43" fillId="6" borderId="0" xfId="2" applyNumberFormat="1" applyFont="1" applyFill="1" applyBorder="1"/>
    <xf numFmtId="0" fontId="7" fillId="0" borderId="0" xfId="0" applyFont="1" applyBorder="1" applyAlignment="1">
      <alignment horizontal="right" vertical="center"/>
    </xf>
    <xf numFmtId="166" fontId="6" fillId="0" borderId="0" xfId="0" applyNumberFormat="1" applyFont="1" applyFill="1" applyBorder="1" applyAlignment="1" applyProtection="1">
      <alignment horizontal="left"/>
    </xf>
    <xf numFmtId="0" fontId="7" fillId="0" borderId="6" xfId="0" applyFont="1" applyFill="1" applyBorder="1" applyAlignment="1">
      <alignment horizontal="right"/>
    </xf>
    <xf numFmtId="169" fontId="6" fillId="3" borderId="12" xfId="34" applyNumberFormat="1" applyFont="1" applyFill="1" applyBorder="1" applyAlignment="1"/>
    <xf numFmtId="173" fontId="6" fillId="0" borderId="11" xfId="23" applyNumberFormat="1" applyFont="1" applyFill="1" applyBorder="1" applyAlignment="1" applyProtection="1"/>
    <xf numFmtId="205" fontId="6" fillId="0" borderId="12" xfId="23" applyNumberFormat="1" applyFont="1" applyFill="1" applyBorder="1" applyAlignment="1" applyProtection="1"/>
    <xf numFmtId="207" fontId="6" fillId="0" borderId="0" xfId="28" applyNumberFormat="1" applyFont="1" applyFill="1" applyBorder="1" applyAlignment="1" applyProtection="1"/>
    <xf numFmtId="173" fontId="6" fillId="0" borderId="12" xfId="23" applyNumberFormat="1" applyFont="1" applyBorder="1" applyAlignment="1" applyProtection="1"/>
    <xf numFmtId="10" fontId="7" fillId="0" borderId="12" xfId="28" applyNumberFormat="1" applyFont="1" applyFill="1" applyBorder="1" applyAlignment="1" applyProtection="1"/>
    <xf numFmtId="205" fontId="7" fillId="0" borderId="7" xfId="23" applyNumberFormat="1" applyFont="1" applyFill="1" applyBorder="1" applyAlignment="1" applyProtection="1"/>
    <xf numFmtId="205" fontId="7" fillId="0" borderId="7" xfId="0" applyNumberFormat="1" applyFont="1" applyFill="1" applyBorder="1" applyAlignment="1">
      <alignment horizontal="right"/>
    </xf>
    <xf numFmtId="43" fontId="7" fillId="0" borderId="12" xfId="10" applyFont="1" applyFill="1" applyBorder="1" applyAlignment="1" applyProtection="1"/>
    <xf numFmtId="8" fontId="7" fillId="3" borderId="6" xfId="10" applyNumberFormat="1" applyFont="1" applyFill="1" applyBorder="1"/>
    <xf numFmtId="219" fontId="8" fillId="0" borderId="12" xfId="34" applyNumberFormat="1" applyFont="1" applyFill="1" applyBorder="1" applyAlignment="1">
      <alignment horizontal="right"/>
    </xf>
    <xf numFmtId="7" fontId="7" fillId="0" borderId="11" xfId="10" applyNumberFormat="1" applyFont="1" applyFill="1" applyBorder="1"/>
    <xf numFmtId="173" fontId="6" fillId="0" borderId="12" xfId="0" applyNumberFormat="1" applyFont="1" applyFill="1" applyBorder="1"/>
    <xf numFmtId="173" fontId="7" fillId="0" borderId="7" xfId="10" applyNumberFormat="1" applyFont="1" applyFill="1" applyBorder="1"/>
    <xf numFmtId="173" fontId="6" fillId="0" borderId="11" xfId="10" applyNumberFormat="1" applyFont="1" applyFill="1" applyBorder="1"/>
    <xf numFmtId="215" fontId="6" fillId="0" borderId="12" xfId="10" applyNumberFormat="1" applyFont="1" applyFill="1" applyBorder="1"/>
    <xf numFmtId="0" fontId="6" fillId="0" borderId="6" xfId="0" applyFont="1" applyFill="1" applyBorder="1"/>
    <xf numFmtId="0" fontId="6" fillId="0" borderId="6" xfId="34" applyFont="1" applyFill="1" applyBorder="1" applyAlignment="1">
      <alignment horizontal="center"/>
    </xf>
    <xf numFmtId="205" fontId="7" fillId="0" borderId="12" xfId="10" applyNumberFormat="1" applyFont="1" applyFill="1" applyBorder="1" applyAlignment="1" applyProtection="1"/>
    <xf numFmtId="173" fontId="7" fillId="0" borderId="7" xfId="0" applyNumberFormat="1" applyFont="1" applyFill="1" applyBorder="1"/>
    <xf numFmtId="173" fontId="6" fillId="0" borderId="12" xfId="34" applyNumberFormat="1" applyFont="1" applyBorder="1" applyAlignment="1"/>
    <xf numFmtId="169" fontId="6" fillId="3" borderId="7" xfId="34" applyNumberFormat="1" applyFont="1" applyFill="1" applyBorder="1" applyAlignment="1"/>
    <xf numFmtId="169" fontId="6" fillId="3" borderId="4" xfId="34" applyNumberFormat="1" applyFont="1" applyFill="1" applyBorder="1" applyAlignment="1"/>
    <xf numFmtId="169" fontId="6" fillId="3" borderId="8" xfId="34" applyNumberFormat="1" applyFont="1" applyFill="1" applyBorder="1" applyAlignment="1"/>
    <xf numFmtId="205" fontId="7" fillId="0" borderId="12" xfId="23" applyNumberFormat="1" applyFont="1" applyBorder="1" applyAlignment="1" applyProtection="1"/>
    <xf numFmtId="37" fontId="7" fillId="0" borderId="12" xfId="23" applyNumberFormat="1" applyFont="1" applyBorder="1" applyAlignment="1" applyProtection="1"/>
    <xf numFmtId="37" fontId="7" fillId="0" borderId="0" xfId="23" applyNumberFormat="1" applyFont="1" applyBorder="1" applyAlignment="1" applyProtection="1"/>
    <xf numFmtId="205" fontId="6" fillId="0" borderId="12" xfId="23" applyNumberFormat="1" applyFont="1" applyBorder="1" applyAlignment="1" applyProtection="1"/>
    <xf numFmtId="166" fontId="6" fillId="0" borderId="12" xfId="28" applyNumberFormat="1" applyFont="1" applyBorder="1" applyAlignment="1" applyProtection="1"/>
    <xf numFmtId="219" fontId="6" fillId="0" borderId="12" xfId="34" applyNumberFormat="1" applyFont="1" applyBorder="1" applyAlignment="1">
      <alignment horizontal="right"/>
    </xf>
    <xf numFmtId="0" fontId="11" fillId="0" borderId="9" xfId="23" applyFont="1" applyFill="1" applyBorder="1"/>
    <xf numFmtId="172" fontId="6" fillId="0" borderId="12" xfId="10" applyNumberFormat="1" applyFont="1" applyFill="1" applyBorder="1" applyAlignment="1" applyProtection="1">
      <alignment horizontal="center"/>
    </xf>
    <xf numFmtId="186" fontId="6" fillId="0" borderId="12" xfId="0" applyNumberFormat="1" applyFont="1" applyFill="1" applyBorder="1"/>
    <xf numFmtId="186" fontId="6" fillId="0" borderId="0" xfId="0" applyNumberFormat="1" applyFont="1" applyFill="1" applyBorder="1"/>
    <xf numFmtId="186" fontId="6" fillId="0" borderId="0" xfId="0" quotePrefix="1" applyNumberFormat="1" applyFont="1" applyFill="1" applyBorder="1" applyAlignment="1">
      <alignment horizontal="right"/>
    </xf>
    <xf numFmtId="43" fontId="6" fillId="0" borderId="0" xfId="10" applyFont="1" applyBorder="1"/>
    <xf numFmtId="9" fontId="7" fillId="0" borderId="0" xfId="28" applyFont="1" applyBorder="1" applyAlignment="1">
      <alignment horizontal="right"/>
    </xf>
    <xf numFmtId="0" fontId="7" fillId="0" borderId="0" xfId="0" applyFont="1" applyFill="1" applyBorder="1" applyAlignment="1">
      <alignment horizontal="left" vertical="center"/>
    </xf>
    <xf numFmtId="5" fontId="7" fillId="0" borderId="7" xfId="10" applyNumberFormat="1" applyFont="1" applyFill="1" applyBorder="1"/>
    <xf numFmtId="205" fontId="7" fillId="0" borderId="7" xfId="10" applyNumberFormat="1" applyFont="1" applyFill="1" applyBorder="1"/>
    <xf numFmtId="37" fontId="6" fillId="0" borderId="0" xfId="28" applyNumberFormat="1" applyFont="1" applyFill="1" applyBorder="1"/>
    <xf numFmtId="37" fontId="7" fillId="0" borderId="12" xfId="10" applyNumberFormat="1" applyFont="1" applyFill="1" applyBorder="1"/>
    <xf numFmtId="179" fontId="6" fillId="0" borderId="11" xfId="10" applyNumberFormat="1" applyFont="1" applyFill="1" applyBorder="1"/>
    <xf numFmtId="166" fontId="6" fillId="0" borderId="12" xfId="34" applyNumberFormat="1" applyFont="1" applyFill="1" applyBorder="1" applyAlignment="1"/>
    <xf numFmtId="198" fontId="6" fillId="0" borderId="0" xfId="28" applyNumberFormat="1" applyFont="1" applyBorder="1" applyProtection="1"/>
    <xf numFmtId="37" fontId="6" fillId="0" borderId="0" xfId="0" applyNumberFormat="1" applyFont="1" applyFill="1" applyBorder="1"/>
    <xf numFmtId="215" fontId="6" fillId="0" borderId="0" xfId="34" applyNumberFormat="1" applyFont="1" applyFill="1" applyBorder="1" applyAlignment="1"/>
    <xf numFmtId="171" fontId="6" fillId="0" borderId="0" xfId="0" applyNumberFormat="1" applyFont="1" applyFill="1" applyBorder="1"/>
    <xf numFmtId="8" fontId="6" fillId="0" borderId="12" xfId="0" applyNumberFormat="1" applyFont="1" applyFill="1" applyBorder="1"/>
    <xf numFmtId="8" fontId="6" fillId="0" borderId="0" xfId="0" applyNumberFormat="1" applyFont="1" applyFill="1" applyBorder="1"/>
    <xf numFmtId="38" fontId="6" fillId="0" borderId="11" xfId="0" applyNumberFormat="1" applyFont="1" applyFill="1" applyBorder="1" applyProtection="1"/>
    <xf numFmtId="0" fontId="6" fillId="0" borderId="12" xfId="34" applyFont="1" applyFill="1" applyBorder="1" applyAlignment="1"/>
    <xf numFmtId="166" fontId="11" fillId="0" borderId="12" xfId="34" applyNumberFormat="1" applyFont="1" applyFill="1" applyBorder="1" applyAlignment="1" applyProtection="1">
      <protection locked="0"/>
    </xf>
    <xf numFmtId="166" fontId="11" fillId="0" borderId="0" xfId="34" applyNumberFormat="1" applyFont="1" applyFill="1" applyBorder="1" applyAlignment="1" applyProtection="1">
      <protection locked="0"/>
    </xf>
    <xf numFmtId="171" fontId="6" fillId="0" borderId="11" xfId="0" applyNumberFormat="1" applyFont="1" applyFill="1" applyBorder="1"/>
    <xf numFmtId="171" fontId="6" fillId="0" borderId="2" xfId="0" applyNumberFormat="1" applyFont="1" applyFill="1" applyBorder="1"/>
    <xf numFmtId="171" fontId="6" fillId="0" borderId="10" xfId="0" applyNumberFormat="1" applyFont="1" applyFill="1" applyBorder="1"/>
    <xf numFmtId="228" fontId="7" fillId="0" borderId="6" xfId="0" applyNumberFormat="1" applyFont="1" applyFill="1" applyBorder="1" applyAlignment="1">
      <alignment horizontal="right"/>
    </xf>
    <xf numFmtId="228" fontId="7" fillId="0" borderId="3" xfId="0" applyNumberFormat="1" applyFont="1" applyFill="1" applyBorder="1" applyAlignment="1">
      <alignment horizontal="right"/>
    </xf>
    <xf numFmtId="224" fontId="18" fillId="0" borderId="3" xfId="0" applyNumberFormat="1" applyFont="1" applyFill="1" applyBorder="1" applyAlignment="1" applyProtection="1">
      <alignment horizontal="right"/>
    </xf>
    <xf numFmtId="173" fontId="6" fillId="0" borderId="12" xfId="10" applyNumberFormat="1" applyFont="1" applyBorder="1"/>
    <xf numFmtId="173" fontId="6" fillId="0" borderId="11" xfId="10" applyNumberFormat="1" applyFont="1" applyBorder="1"/>
    <xf numFmtId="216" fontId="6" fillId="0" borderId="12" xfId="34" applyNumberFormat="1" applyFont="1" applyFill="1" applyBorder="1" applyAlignment="1"/>
    <xf numFmtId="171" fontId="6" fillId="0" borderId="0" xfId="0" applyNumberFormat="1" applyFont="1" applyBorder="1"/>
    <xf numFmtId="8" fontId="6" fillId="0" borderId="0" xfId="0" applyNumberFormat="1" applyFont="1" applyBorder="1"/>
    <xf numFmtId="38" fontId="6" fillId="0" borderId="11" xfId="0" applyNumberFormat="1" applyFont="1" applyBorder="1" applyProtection="1"/>
    <xf numFmtId="9" fontId="6" fillId="0" borderId="12" xfId="34" applyNumberFormat="1" applyFont="1" applyFill="1" applyBorder="1" applyAlignment="1"/>
    <xf numFmtId="166" fontId="11" fillId="0" borderId="0" xfId="34" applyNumberFormat="1" applyFont="1" applyBorder="1" applyAlignment="1" applyProtection="1">
      <protection locked="0"/>
    </xf>
    <xf numFmtId="187" fontId="6" fillId="0" borderId="12" xfId="0" applyNumberFormat="1" applyFont="1" applyBorder="1"/>
    <xf numFmtId="187" fontId="6" fillId="0" borderId="0" xfId="0" applyNumberFormat="1" applyFont="1" applyBorder="1"/>
    <xf numFmtId="187" fontId="6" fillId="0" borderId="9" xfId="0" applyNumberFormat="1" applyFont="1" applyBorder="1"/>
    <xf numFmtId="184" fontId="6" fillId="0" borderId="11" xfId="0" applyNumberFormat="1" applyFont="1" applyBorder="1" applyProtection="1"/>
    <xf numFmtId="171" fontId="6" fillId="0" borderId="2" xfId="0" applyNumberFormat="1" applyFont="1" applyBorder="1"/>
    <xf numFmtId="5" fontId="7" fillId="0" borderId="0" xfId="10" applyNumberFormat="1" applyFont="1" applyFill="1" applyBorder="1"/>
    <xf numFmtId="170" fontId="15" fillId="3" borderId="6" xfId="34" applyNumberFormat="1" applyFont="1" applyFill="1" applyBorder="1" applyAlignment="1" applyProtection="1">
      <alignment horizontal="left"/>
    </xf>
    <xf numFmtId="175" fontId="6" fillId="0" borderId="12" xfId="0" applyNumberFormat="1" applyFont="1" applyBorder="1"/>
    <xf numFmtId="173" fontId="6" fillId="0" borderId="12" xfId="0" applyNumberFormat="1" applyFont="1" applyBorder="1"/>
    <xf numFmtId="173" fontId="6" fillId="0" borderId="11" xfId="0" applyNumberFormat="1" applyFont="1" applyFill="1" applyBorder="1"/>
    <xf numFmtId="37" fontId="7" fillId="0" borderId="12" xfId="0" applyNumberFormat="1" applyFont="1" applyBorder="1"/>
    <xf numFmtId="37" fontId="6" fillId="0" borderId="12" xfId="0" applyNumberFormat="1" applyFont="1" applyFill="1" applyBorder="1" applyProtection="1"/>
    <xf numFmtId="169" fontId="7" fillId="0" borderId="7" xfId="10" applyNumberFormat="1" applyFont="1" applyFill="1" applyBorder="1"/>
    <xf numFmtId="169" fontId="7" fillId="0" borderId="12" xfId="10" applyNumberFormat="1" applyFont="1" applyFill="1" applyBorder="1"/>
    <xf numFmtId="169" fontId="7" fillId="0" borderId="11" xfId="10" applyNumberFormat="1" applyFont="1" applyFill="1" applyBorder="1"/>
    <xf numFmtId="172" fontId="9" fillId="0" borderId="12" xfId="10" applyNumberFormat="1" applyFont="1" applyBorder="1"/>
    <xf numFmtId="172" fontId="9" fillId="0" borderId="0" xfId="10" applyNumberFormat="1" applyFont="1" applyBorder="1"/>
    <xf numFmtId="9" fontId="9" fillId="0" borderId="12" xfId="28" applyFont="1" applyBorder="1"/>
    <xf numFmtId="200" fontId="6" fillId="0" borderId="0" xfId="28" applyNumberFormat="1" applyFont="1" applyBorder="1"/>
    <xf numFmtId="200" fontId="6" fillId="0" borderId="0" xfId="28" applyNumberFormat="1" applyFont="1" applyFill="1" applyBorder="1"/>
    <xf numFmtId="5" fontId="6" fillId="0" borderId="11" xfId="28" applyNumberFormat="1" applyFont="1" applyBorder="1"/>
    <xf numFmtId="5" fontId="6" fillId="0" borderId="2" xfId="28" applyNumberFormat="1" applyFont="1" applyBorder="1"/>
    <xf numFmtId="5" fontId="6" fillId="0" borderId="10" xfId="28" applyNumberFormat="1" applyFont="1" applyBorder="1"/>
    <xf numFmtId="181" fontId="15" fillId="0" borderId="6" xfId="0" applyNumberFormat="1" applyFont="1" applyFill="1" applyBorder="1" applyAlignment="1" applyProtection="1">
      <alignment horizontal="right"/>
    </xf>
    <xf numFmtId="0" fontId="6" fillId="3" borderId="6" xfId="34" applyFont="1" applyFill="1" applyBorder="1" applyAlignment="1">
      <alignment horizontal="center"/>
    </xf>
    <xf numFmtId="37" fontId="9" fillId="0" borderId="12" xfId="0" applyNumberFormat="1" applyFont="1" applyFill="1" applyBorder="1"/>
    <xf numFmtId="37" fontId="6" fillId="0" borderId="11" xfId="0" applyNumberFormat="1" applyFont="1" applyFill="1" applyBorder="1"/>
    <xf numFmtId="37" fontId="24" fillId="0" borderId="12" xfId="0" applyNumberFormat="1" applyFont="1" applyFill="1" applyBorder="1"/>
    <xf numFmtId="37" fontId="24" fillId="0" borderId="0" xfId="0" applyNumberFormat="1" applyFont="1" applyFill="1" applyBorder="1"/>
    <xf numFmtId="227" fontId="9" fillId="0" borderId="12" xfId="10" applyNumberFormat="1" applyFont="1" applyFill="1" applyBorder="1"/>
    <xf numFmtId="172" fontId="9" fillId="0" borderId="0" xfId="10" applyNumberFormat="1" applyFont="1" applyFill="1" applyBorder="1"/>
    <xf numFmtId="7" fontId="8" fillId="0" borderId="12" xfId="10" applyNumberFormat="1" applyFont="1" applyFill="1" applyBorder="1"/>
    <xf numFmtId="5" fontId="6" fillId="0" borderId="11" xfId="28" applyNumberFormat="1" applyFont="1" applyFill="1" applyBorder="1"/>
    <xf numFmtId="5" fontId="6" fillId="0" borderId="2" xfId="28" applyNumberFormat="1" applyFont="1" applyFill="1" applyBorder="1"/>
    <xf numFmtId="181" fontId="7" fillId="0" borderId="3" xfId="0" applyNumberFormat="1" applyFont="1" applyFill="1" applyBorder="1" applyAlignment="1" applyProtection="1">
      <alignment horizontal="right"/>
    </xf>
    <xf numFmtId="175" fontId="6" fillId="0" borderId="0" xfId="10" applyNumberFormat="1" applyFont="1" applyFill="1" applyBorder="1"/>
    <xf numFmtId="181" fontId="7" fillId="0" borderId="2" xfId="0" applyNumberFormat="1" applyFont="1" applyFill="1" applyBorder="1" applyAlignment="1" applyProtection="1">
      <alignment horizontal="right"/>
    </xf>
    <xf numFmtId="217" fontId="6" fillId="0" borderId="0" xfId="28" applyNumberFormat="1" applyFont="1" applyFill="1" applyBorder="1"/>
    <xf numFmtId="233" fontId="9" fillId="0" borderId="0" xfId="10" applyNumberFormat="1" applyFont="1" applyFill="1" applyBorder="1"/>
    <xf numFmtId="166" fontId="7" fillId="0" borderId="12" xfId="28" applyNumberFormat="1" applyFont="1" applyBorder="1"/>
    <xf numFmtId="166" fontId="31" fillId="0" borderId="12" xfId="28" applyNumberFormat="1" applyFont="1" applyBorder="1"/>
    <xf numFmtId="44" fontId="18" fillId="0" borderId="2" xfId="13" applyFont="1" applyFill="1" applyBorder="1" applyAlignment="1" applyProtection="1">
      <alignment horizontal="centerContinuous"/>
    </xf>
    <xf numFmtId="173" fontId="6" fillId="0" borderId="2" xfId="34" applyNumberFormat="1" applyFont="1" applyFill="1" applyBorder="1" applyAlignment="1"/>
    <xf numFmtId="41" fontId="6" fillId="0" borderId="0" xfId="10" applyNumberFormat="1" applyFont="1" applyFill="1" applyBorder="1"/>
    <xf numFmtId="184" fontId="8" fillId="0" borderId="0" xfId="0" applyNumberFormat="1" applyFont="1" applyFill="1" applyBorder="1" applyProtection="1"/>
    <xf numFmtId="183" fontId="6" fillId="0" borderId="0" xfId="0" applyNumberFormat="1" applyFont="1" applyFill="1" applyBorder="1"/>
    <xf numFmtId="182" fontId="18" fillId="0" borderId="3" xfId="0" applyNumberFormat="1" applyFont="1" applyFill="1" applyBorder="1" applyAlignment="1">
      <alignment horizontal="right"/>
    </xf>
    <xf numFmtId="182" fontId="18" fillId="0" borderId="14" xfId="0" applyNumberFormat="1" applyFont="1" applyFill="1" applyBorder="1" applyAlignment="1">
      <alignment horizontal="right"/>
    </xf>
    <xf numFmtId="173" fontId="6" fillId="0" borderId="9" xfId="13" applyNumberFormat="1" applyFont="1" applyFill="1" applyBorder="1"/>
    <xf numFmtId="43" fontId="7" fillId="0" borderId="9" xfId="10" applyFont="1" applyFill="1" applyBorder="1" applyAlignment="1" applyProtection="1"/>
    <xf numFmtId="217" fontId="6" fillId="0" borderId="9" xfId="28" applyNumberFormat="1" applyFont="1" applyFill="1" applyBorder="1"/>
    <xf numFmtId="41" fontId="11" fillId="0" borderId="9" xfId="0" applyNumberFormat="1" applyFont="1" applyFill="1" applyBorder="1"/>
    <xf numFmtId="198" fontId="6" fillId="0" borderId="0" xfId="28" applyNumberFormat="1" applyFont="1" applyFill="1" applyBorder="1" applyProtection="1"/>
    <xf numFmtId="7" fontId="6" fillId="5" borderId="0" xfId="10" applyNumberFormat="1" applyFont="1" applyFill="1" applyBorder="1"/>
    <xf numFmtId="173" fontId="6" fillId="0" borderId="0" xfId="0" applyNumberFormat="1" applyFont="1" applyAlignment="1">
      <alignment horizontal="left" indent="1"/>
    </xf>
    <xf numFmtId="173" fontId="9" fillId="0" borderId="2" xfId="10" applyNumberFormat="1" applyFont="1" applyBorder="1"/>
    <xf numFmtId="173" fontId="9" fillId="0" borderId="10" xfId="10" applyNumberFormat="1" applyFont="1" applyFill="1" applyBorder="1"/>
    <xf numFmtId="173" fontId="6" fillId="0" borderId="2" xfId="10" applyNumberFormat="1" applyFont="1" applyBorder="1" applyAlignment="1">
      <alignment horizontal="right"/>
    </xf>
    <xf numFmtId="173" fontId="6" fillId="0" borderId="2" xfId="10" applyNumberFormat="1" applyFont="1" applyBorder="1" applyAlignment="1"/>
    <xf numFmtId="173" fontId="9" fillId="0" borderId="2" xfId="34" applyNumberFormat="1" applyFont="1" applyBorder="1" applyAlignment="1"/>
    <xf numFmtId="173" fontId="9" fillId="0" borderId="10" xfId="34" applyNumberFormat="1" applyFont="1" applyBorder="1" applyAlignment="1"/>
    <xf numFmtId="173" fontId="9" fillId="0" borderId="11" xfId="34" applyNumberFormat="1" applyFont="1" applyBorder="1" applyAlignment="1"/>
    <xf numFmtId="173" fontId="9" fillId="0" borderId="11" xfId="10" applyNumberFormat="1" applyFont="1" applyFill="1" applyBorder="1"/>
    <xf numFmtId="173" fontId="9" fillId="0" borderId="2" xfId="10" applyNumberFormat="1" applyFont="1" applyFill="1" applyBorder="1"/>
    <xf numFmtId="173" fontId="6" fillId="0" borderId="2" xfId="10" applyNumberFormat="1" applyFont="1" applyFill="1" applyBorder="1" applyAlignment="1">
      <alignment horizontal="right"/>
    </xf>
    <xf numFmtId="173" fontId="6" fillId="0" borderId="0" xfId="34" applyNumberFormat="1" applyFont="1" applyBorder="1" applyAlignment="1">
      <alignment horizontal="left" indent="1"/>
    </xf>
    <xf numFmtId="173" fontId="6" fillId="0" borderId="0" xfId="10" applyNumberFormat="1" applyFont="1" applyAlignment="1">
      <alignment horizontal="right"/>
    </xf>
    <xf numFmtId="173" fontId="6" fillId="0" borderId="0" xfId="10" applyNumberFormat="1" applyFont="1" applyAlignment="1"/>
    <xf numFmtId="173" fontId="6" fillId="0" borderId="0" xfId="10" applyNumberFormat="1" applyFont="1" applyFill="1" applyAlignment="1">
      <alignment horizontal="right"/>
    </xf>
    <xf numFmtId="205" fontId="7" fillId="0" borderId="0" xfId="0" applyNumberFormat="1" applyFont="1" applyFill="1" applyAlignment="1" applyProtection="1">
      <alignment horizontal="left"/>
    </xf>
    <xf numFmtId="205" fontId="6" fillId="0" borderId="0" xfId="0" applyNumberFormat="1" applyFont="1" applyFill="1" applyAlignment="1" applyProtection="1">
      <alignment horizontal="left" indent="1"/>
    </xf>
    <xf numFmtId="205" fontId="6" fillId="0" borderId="9" xfId="10" applyNumberFormat="1" applyFont="1" applyFill="1" applyBorder="1"/>
    <xf numFmtId="205" fontId="6" fillId="0" borderId="12" xfId="10" applyNumberFormat="1" applyFont="1" applyFill="1" applyBorder="1"/>
    <xf numFmtId="205" fontId="6" fillId="0" borderId="0" xfId="10" applyNumberFormat="1" applyFont="1" applyFill="1" applyBorder="1"/>
    <xf numFmtId="205" fontId="6" fillId="0" borderId="0" xfId="0" applyNumberFormat="1" applyFont="1" applyAlignment="1" applyProtection="1">
      <alignment horizontal="left"/>
    </xf>
    <xf numFmtId="205" fontId="6" fillId="0" borderId="9" xfId="0" applyNumberFormat="1" applyFont="1" applyBorder="1"/>
    <xf numFmtId="205" fontId="6" fillId="0" borderId="12" xfId="0" applyNumberFormat="1" applyFont="1" applyFill="1" applyBorder="1"/>
    <xf numFmtId="205" fontId="6" fillId="0" borderId="12" xfId="0" applyNumberFormat="1" applyFont="1" applyBorder="1"/>
    <xf numFmtId="205" fontId="6" fillId="0" borderId="0" xfId="0" applyNumberFormat="1" applyFont="1" applyBorder="1"/>
    <xf numFmtId="205" fontId="6" fillId="0" borderId="0" xfId="34" applyNumberFormat="1" applyFont="1" applyFill="1" applyAlignment="1">
      <alignment horizontal="left"/>
    </xf>
    <xf numFmtId="236" fontId="6" fillId="0" borderId="0" xfId="0" applyNumberFormat="1" applyFont="1" applyFill="1"/>
    <xf numFmtId="236" fontId="6" fillId="0" borderId="0" xfId="0" applyNumberFormat="1" applyFont="1" applyAlignment="1">
      <alignment horizontal="left"/>
    </xf>
    <xf numFmtId="236" fontId="11" fillId="0" borderId="0" xfId="0" applyNumberFormat="1" applyFont="1"/>
    <xf numFmtId="236" fontId="11" fillId="0" borderId="9" xfId="0" applyNumberFormat="1" applyFont="1" applyBorder="1"/>
    <xf numFmtId="236" fontId="11" fillId="0" borderId="0" xfId="0" applyNumberFormat="1" applyFont="1" applyFill="1"/>
    <xf numFmtId="236" fontId="11" fillId="0" borderId="9" xfId="0" applyNumberFormat="1" applyFont="1" applyFill="1" applyBorder="1"/>
    <xf numFmtId="236" fontId="6" fillId="0" borderId="9" xfId="0" applyNumberFormat="1" applyFont="1" applyFill="1" applyBorder="1"/>
    <xf numFmtId="236" fontId="6" fillId="0" borderId="0" xfId="0" applyNumberFormat="1" applyFont="1" applyFill="1" applyBorder="1"/>
    <xf numFmtId="236" fontId="6" fillId="0" borderId="0" xfId="0" applyNumberFormat="1" applyFont="1"/>
    <xf numFmtId="236" fontId="6" fillId="0" borderId="0" xfId="0" applyNumberFormat="1" applyFont="1" applyAlignment="1">
      <alignment horizontal="left" indent="1"/>
    </xf>
    <xf numFmtId="236" fontId="6" fillId="0" borderId="9" xfId="0" applyNumberFormat="1" applyFont="1" applyBorder="1"/>
    <xf numFmtId="236" fontId="6" fillId="0" borderId="0" xfId="0" applyNumberFormat="1" applyFont="1" applyBorder="1"/>
    <xf numFmtId="198" fontId="7" fillId="0" borderId="9" xfId="0" applyNumberFormat="1" applyFont="1" applyFill="1" applyBorder="1"/>
    <xf numFmtId="166" fontId="6" fillId="0" borderId="12" xfId="0" applyNumberFormat="1" applyFont="1" applyFill="1" applyBorder="1"/>
    <xf numFmtId="166" fontId="6" fillId="0" borderId="12" xfId="28" quotePrefix="1" applyNumberFormat="1" applyFont="1" applyFill="1" applyBorder="1" applyAlignment="1">
      <alignment horizontal="right"/>
    </xf>
    <xf numFmtId="0" fontId="6" fillId="0" borderId="2" xfId="0" quotePrefix="1" applyFont="1" applyBorder="1" applyAlignment="1">
      <alignment horizontal="left"/>
    </xf>
    <xf numFmtId="0" fontId="6" fillId="0" borderId="0" xfId="0" applyFont="1" applyAlignment="1">
      <alignment horizontal="right"/>
    </xf>
    <xf numFmtId="6" fontId="6" fillId="0" borderId="0" xfId="0" applyNumberFormat="1" applyFont="1"/>
    <xf numFmtId="0" fontId="11" fillId="0" borderId="0" xfId="23" applyFont="1" applyFill="1" applyAlignment="1">
      <alignment horizontal="left"/>
    </xf>
    <xf numFmtId="37" fontId="11" fillId="0" borderId="9" xfId="23" applyNumberFormat="1" applyFont="1" applyFill="1" applyBorder="1" applyAlignment="1" applyProtection="1"/>
    <xf numFmtId="173" fontId="11" fillId="0" borderId="0" xfId="23" applyNumberFormat="1" applyFont="1" applyAlignment="1" applyProtection="1"/>
    <xf numFmtId="0" fontId="11" fillId="0" borderId="0" xfId="23" applyFont="1"/>
    <xf numFmtId="37" fontId="13" fillId="0" borderId="12" xfId="23" applyNumberFormat="1" applyFont="1" applyFill="1" applyBorder="1" applyAlignment="1" applyProtection="1"/>
    <xf numFmtId="173" fontId="6" fillId="0" borderId="0" xfId="34" applyNumberFormat="1" applyFont="1" applyBorder="1" applyAlignment="1"/>
    <xf numFmtId="173" fontId="7" fillId="0" borderId="0" xfId="10" applyNumberFormat="1" applyFont="1"/>
    <xf numFmtId="37" fontId="8" fillId="0" borderId="9" xfId="0" applyNumberFormat="1" applyFont="1" applyFill="1" applyBorder="1"/>
    <xf numFmtId="7" fontId="34" fillId="0" borderId="12" xfId="10" applyNumberFormat="1" applyFont="1" applyFill="1" applyBorder="1"/>
    <xf numFmtId="166" fontId="8" fillId="0" borderId="12" xfId="28" applyNumberFormat="1" applyFont="1" applyBorder="1"/>
    <xf numFmtId="166" fontId="34" fillId="0" borderId="0" xfId="28" applyNumberFormat="1" applyFont="1" applyFill="1" applyBorder="1"/>
    <xf numFmtId="166" fontId="34" fillId="0" borderId="9" xfId="28" applyNumberFormat="1" applyFont="1" applyFill="1" applyBorder="1"/>
    <xf numFmtId="0" fontId="6" fillId="0" borderId="3" xfId="0" applyFont="1" applyBorder="1"/>
    <xf numFmtId="0" fontId="6" fillId="0" borderId="0" xfId="34" applyFont="1" applyFill="1" applyBorder="1" applyAlignment="1">
      <alignment horizontal="left"/>
    </xf>
    <xf numFmtId="173" fontId="6" fillId="0" borderId="0" xfId="34" applyNumberFormat="1" applyFont="1" applyFill="1" applyAlignment="1">
      <alignment horizontal="center"/>
    </xf>
    <xf numFmtId="173" fontId="6" fillId="0" borderId="9" xfId="34" applyNumberFormat="1" applyFont="1" applyFill="1" applyBorder="1" applyAlignment="1">
      <alignment horizontal="center"/>
    </xf>
    <xf numFmtId="173" fontId="6" fillId="0" borderId="12" xfId="34" applyNumberFormat="1" applyFont="1" applyFill="1" applyBorder="1" applyAlignment="1">
      <alignment horizontal="center"/>
    </xf>
    <xf numFmtId="173" fontId="6" fillId="0" borderId="0" xfId="34" applyNumberFormat="1" applyFont="1" applyFill="1" applyBorder="1" applyAlignment="1">
      <alignment horizontal="center"/>
    </xf>
    <xf numFmtId="170" fontId="11" fillId="0" borderId="0" xfId="34" applyNumberFormat="1" applyFont="1" applyFill="1" applyBorder="1" applyAlignment="1" applyProtection="1">
      <alignment horizontal="left"/>
    </xf>
    <xf numFmtId="171" fontId="11" fillId="0" borderId="0" xfId="10" applyNumberFormat="1" applyFont="1" applyFill="1" applyBorder="1" applyAlignment="1" applyProtection="1">
      <alignment horizontal="left"/>
    </xf>
    <xf numFmtId="171" fontId="11" fillId="0" borderId="0" xfId="10" applyNumberFormat="1" applyFont="1" applyFill="1" applyBorder="1"/>
    <xf numFmtId="171" fontId="6" fillId="0" borderId="0" xfId="10" applyNumberFormat="1" applyFont="1" applyFill="1" applyAlignment="1">
      <alignment horizontal="center"/>
    </xf>
    <xf numFmtId="171" fontId="6" fillId="0" borderId="12" xfId="10" applyNumberFormat="1" applyFont="1" applyFill="1" applyBorder="1" applyAlignment="1">
      <alignment horizontal="center"/>
    </xf>
    <xf numFmtId="171" fontId="6" fillId="0" borderId="0" xfId="10" applyNumberFormat="1" applyFont="1" applyFill="1" applyBorder="1" applyAlignment="1">
      <alignment horizontal="center"/>
    </xf>
    <xf numFmtId="171" fontId="11" fillId="0" borderId="4" xfId="10" applyNumberFormat="1" applyFont="1" applyFill="1" applyBorder="1"/>
    <xf numFmtId="10" fontId="6" fillId="0" borderId="12" xfId="28" applyNumberFormat="1" applyFont="1" applyFill="1" applyBorder="1"/>
    <xf numFmtId="0" fontId="6" fillId="0" borderId="2" xfId="0" applyFont="1" applyBorder="1"/>
    <xf numFmtId="10" fontId="6" fillId="0" borderId="2" xfId="28" applyNumberFormat="1" applyFont="1" applyFill="1" applyBorder="1"/>
    <xf numFmtId="234" fontId="6" fillId="0" borderId="0" xfId="0" applyNumberFormat="1" applyFont="1"/>
    <xf numFmtId="235" fontId="6" fillId="0" borderId="12" xfId="0" applyNumberFormat="1" applyFont="1" applyBorder="1"/>
    <xf numFmtId="235" fontId="6" fillId="0" borderId="0" xfId="0" applyNumberFormat="1" applyFont="1"/>
    <xf numFmtId="171" fontId="6" fillId="0" borderId="9" xfId="10" applyNumberFormat="1" applyFont="1" applyBorder="1"/>
    <xf numFmtId="0" fontId="14" fillId="0" borderId="0" xfId="23" applyFont="1" applyBorder="1" applyAlignment="1">
      <alignment horizontal="left"/>
    </xf>
    <xf numFmtId="188" fontId="6" fillId="0" borderId="0" xfId="22" applyNumberFormat="1" applyFont="1" applyFill="1" applyBorder="1"/>
    <xf numFmtId="188" fontId="6" fillId="0" borderId="9" xfId="22" applyNumberFormat="1" applyFont="1" applyFill="1" applyBorder="1"/>
    <xf numFmtId="188" fontId="14" fillId="0" borderId="12" xfId="22" applyNumberFormat="1" applyFont="1" applyFill="1" applyBorder="1"/>
    <xf numFmtId="188" fontId="14" fillId="0" borderId="9" xfId="22" applyNumberFormat="1" applyFont="1" applyFill="1" applyBorder="1"/>
    <xf numFmtId="188" fontId="14" fillId="0" borderId="0" xfId="22" applyNumberFormat="1" applyFont="1" applyFill="1" applyBorder="1"/>
    <xf numFmtId="188" fontId="9" fillId="0" borderId="0" xfId="22" applyNumberFormat="1" applyFont="1" applyFill="1" applyBorder="1"/>
    <xf numFmtId="0" fontId="14" fillId="0" borderId="9" xfId="23" applyFont="1" applyBorder="1" applyAlignment="1">
      <alignment horizontal="left"/>
    </xf>
    <xf numFmtId="188" fontId="14" fillId="0" borderId="0" xfId="22" applyNumberFormat="1" applyFont="1" applyFill="1"/>
    <xf numFmtId="203" fontId="14" fillId="0" borderId="0" xfId="22" applyNumberFormat="1" applyFont="1" applyFill="1"/>
    <xf numFmtId="203" fontId="14" fillId="0" borderId="9" xfId="22" applyNumberFormat="1" applyFont="1" applyFill="1" applyBorder="1"/>
    <xf numFmtId="203" fontId="14" fillId="0" borderId="0" xfId="22" applyNumberFormat="1" applyFont="1" applyFill="1" applyBorder="1"/>
    <xf numFmtId="203" fontId="14" fillId="0" borderId="12" xfId="22" applyNumberFormat="1" applyFont="1" applyFill="1" applyBorder="1"/>
    <xf numFmtId="0" fontId="6" fillId="0" borderId="14" xfId="0" applyFont="1" applyBorder="1"/>
    <xf numFmtId="166" fontId="34" fillId="0" borderId="0" xfId="23" applyNumberFormat="1" applyFont="1" applyFill="1" applyBorder="1" applyAlignment="1"/>
    <xf numFmtId="166" fontId="34" fillId="0" borderId="9" xfId="23" applyNumberFormat="1" applyFont="1" applyFill="1" applyBorder="1" applyAlignment="1"/>
    <xf numFmtId="217" fontId="6" fillId="0" borderId="0" xfId="28" applyNumberFormat="1" applyFont="1" applyFill="1"/>
    <xf numFmtId="217" fontId="6" fillId="0" borderId="8" xfId="28" applyNumberFormat="1" applyFont="1" applyFill="1" applyBorder="1"/>
    <xf numFmtId="217" fontId="6" fillId="0" borderId="12" xfId="28" applyNumberFormat="1" applyFont="1" applyFill="1" applyBorder="1"/>
    <xf numFmtId="0" fontId="6" fillId="0" borderId="0" xfId="24" applyFont="1" applyBorder="1" applyAlignment="1">
      <alignment horizontal="left" indent="1"/>
    </xf>
    <xf numFmtId="0" fontId="6" fillId="0" borderId="9" xfId="24" applyFont="1" applyBorder="1" applyAlignment="1">
      <alignment horizontal="left" indent="1"/>
    </xf>
    <xf numFmtId="166" fontId="6" fillId="0" borderId="0" xfId="28" quotePrefix="1" applyNumberFormat="1" applyFont="1" applyAlignment="1">
      <alignment horizontal="right"/>
    </xf>
    <xf numFmtId="166" fontId="6" fillId="0" borderId="0" xfId="28" quotePrefix="1" applyNumberFormat="1" applyFont="1" applyFill="1" applyBorder="1" applyAlignment="1">
      <alignment horizontal="right"/>
    </xf>
    <xf numFmtId="205" fontId="6" fillId="0" borderId="8" xfId="23" applyNumberFormat="1" applyFont="1" applyFill="1" applyBorder="1" applyAlignment="1" applyProtection="1"/>
    <xf numFmtId="207" fontId="6" fillId="0" borderId="9" xfId="28" applyNumberFormat="1" applyFont="1" applyFill="1" applyBorder="1" applyAlignment="1" applyProtection="1"/>
    <xf numFmtId="9" fontId="7" fillId="0" borderId="10" xfId="28" applyFont="1" applyFill="1" applyBorder="1" applyAlignment="1" applyProtection="1"/>
    <xf numFmtId="173" fontId="6" fillId="0" borderId="10" xfId="34" applyNumberFormat="1" applyFont="1" applyFill="1" applyBorder="1" applyAlignment="1"/>
    <xf numFmtId="166" fontId="6" fillId="0" borderId="8" xfId="28" applyNumberFormat="1" applyFont="1" applyFill="1" applyBorder="1"/>
    <xf numFmtId="212" fontId="14" fillId="0" borderId="9" xfId="16" applyNumberFormat="1" applyFont="1" applyBorder="1"/>
    <xf numFmtId="170" fontId="15" fillId="0" borderId="14" xfId="0" applyNumberFormat="1" applyFont="1" applyFill="1" applyBorder="1" applyAlignment="1" applyProtection="1">
      <alignment horizontal="left"/>
    </xf>
    <xf numFmtId="181" fontId="7" fillId="0" borderId="14" xfId="0" applyNumberFormat="1" applyFont="1" applyFill="1" applyBorder="1" applyAlignment="1" applyProtection="1">
      <alignment horizontal="right"/>
    </xf>
    <xf numFmtId="181" fontId="18" fillId="0" borderId="14" xfId="0" applyNumberFormat="1" applyFont="1" applyFill="1" applyBorder="1" applyAlignment="1">
      <alignment horizontal="right"/>
    </xf>
    <xf numFmtId="49" fontId="6" fillId="0" borderId="9" xfId="0" applyNumberFormat="1" applyFont="1" applyFill="1" applyBorder="1"/>
    <xf numFmtId="49" fontId="6" fillId="0" borderId="0" xfId="0" applyNumberFormat="1" applyFont="1" applyBorder="1"/>
    <xf numFmtId="198" fontId="34" fillId="0" borderId="0" xfId="28" applyNumberFormat="1" applyFont="1" applyFill="1" applyBorder="1"/>
    <xf numFmtId="166" fontId="6" fillId="0" borderId="0" xfId="28" applyNumberFormat="1" applyFont="1" applyAlignment="1">
      <alignment horizontal="right"/>
    </xf>
    <xf numFmtId="186" fontId="6" fillId="0" borderId="9" xfId="0" applyNumberFormat="1" applyFont="1" applyFill="1" applyBorder="1"/>
    <xf numFmtId="166" fontId="34" fillId="0" borderId="12" xfId="28" applyNumberFormat="1" applyFont="1" applyFill="1" applyBorder="1"/>
    <xf numFmtId="0" fontId="6" fillId="0" borderId="10" xfId="0" applyFont="1" applyBorder="1"/>
    <xf numFmtId="0" fontId="6" fillId="0" borderId="11" xfId="0" applyFont="1" applyBorder="1"/>
    <xf numFmtId="205" fontId="6" fillId="0" borderId="0" xfId="28" quotePrefix="1" applyNumberFormat="1" applyFont="1" applyBorder="1" applyAlignment="1">
      <alignment horizontal="right"/>
    </xf>
    <xf numFmtId="1" fontId="6" fillId="0" borderId="0" xfId="0" applyNumberFormat="1" applyFont="1"/>
    <xf numFmtId="0" fontId="6" fillId="0" borderId="8" xfId="0" applyFont="1" applyFill="1" applyBorder="1"/>
    <xf numFmtId="205" fontId="7" fillId="0" borderId="9" xfId="0" applyNumberFormat="1" applyFont="1" applyFill="1" applyBorder="1"/>
    <xf numFmtId="205" fontId="7" fillId="0" borderId="12" xfId="0" applyNumberFormat="1" applyFont="1" applyFill="1" applyBorder="1"/>
    <xf numFmtId="166" fontId="6" fillId="0" borderId="10" xfId="28" applyNumberFormat="1" applyFont="1" applyFill="1" applyBorder="1"/>
    <xf numFmtId="198" fontId="6" fillId="0" borderId="9" xfId="28" applyNumberFormat="1" applyFont="1" applyFill="1" applyBorder="1" applyProtection="1"/>
    <xf numFmtId="37" fontId="7" fillId="0" borderId="9" xfId="23" applyNumberFormat="1" applyFont="1" applyFill="1" applyBorder="1" applyAlignment="1"/>
    <xf numFmtId="173" fontId="6" fillId="0" borderId="12" xfId="34" applyNumberFormat="1" applyFont="1" applyFill="1" applyBorder="1" applyAlignment="1">
      <alignment horizontal="right"/>
    </xf>
    <xf numFmtId="173" fontId="6" fillId="0" borderId="0" xfId="34" applyNumberFormat="1" applyFont="1" applyFill="1" applyBorder="1" applyAlignment="1">
      <alignment horizontal="right"/>
    </xf>
    <xf numFmtId="173" fontId="6" fillId="0" borderId="8" xfId="34" applyNumberFormat="1" applyFont="1" applyFill="1" applyBorder="1" applyAlignment="1">
      <alignment horizontal="right"/>
    </xf>
    <xf numFmtId="173" fontId="6" fillId="0" borderId="9" xfId="34" applyNumberFormat="1" applyFont="1" applyFill="1" applyBorder="1" applyAlignment="1">
      <alignment horizontal="right"/>
    </xf>
    <xf numFmtId="7" fontId="8" fillId="0" borderId="8" xfId="10" applyNumberFormat="1" applyFont="1" applyFill="1" applyBorder="1"/>
    <xf numFmtId="5" fontId="6" fillId="0" borderId="10" xfId="28" applyNumberFormat="1" applyFont="1" applyFill="1" applyBorder="1"/>
    <xf numFmtId="166" fontId="7" fillId="0" borderId="0" xfId="0" applyNumberFormat="1" applyFont="1" applyFill="1" applyBorder="1" applyAlignment="1" applyProtection="1">
      <alignment horizontal="left"/>
    </xf>
    <xf numFmtId="0" fontId="34" fillId="0" borderId="0" xfId="0" applyFont="1" applyBorder="1"/>
    <xf numFmtId="0" fontId="6" fillId="0" borderId="0" xfId="0" quotePrefix="1" applyFont="1" applyBorder="1" applyAlignment="1">
      <alignment horizontal="left"/>
    </xf>
    <xf numFmtId="41" fontId="7" fillId="0" borderId="0" xfId="0" applyNumberFormat="1" applyFont="1"/>
    <xf numFmtId="41" fontId="7" fillId="0" borderId="9" xfId="0" applyNumberFormat="1" applyFont="1" applyBorder="1"/>
    <xf numFmtId="41" fontId="7" fillId="0" borderId="0" xfId="0" applyNumberFormat="1" applyFont="1" applyFill="1"/>
    <xf numFmtId="41" fontId="7" fillId="0" borderId="9" xfId="0" applyNumberFormat="1" applyFont="1" applyFill="1" applyBorder="1"/>
    <xf numFmtId="41" fontId="7" fillId="0" borderId="12" xfId="0" applyNumberFormat="1" applyFont="1" applyFill="1" applyBorder="1"/>
    <xf numFmtId="41" fontId="7" fillId="0" borderId="0" xfId="0" applyNumberFormat="1" applyFont="1" applyFill="1" applyBorder="1"/>
    <xf numFmtId="41" fontId="7" fillId="0" borderId="8" xfId="0" applyNumberFormat="1" applyFont="1" applyFill="1" applyBorder="1"/>
    <xf numFmtId="41" fontId="7" fillId="0" borderId="12" xfId="0" applyNumberFormat="1" applyFont="1" applyBorder="1"/>
    <xf numFmtId="37" fontId="7" fillId="0" borderId="0" xfId="0" applyNumberFormat="1" applyFont="1" applyProtection="1"/>
    <xf numFmtId="0" fontId="7" fillId="0" borderId="0" xfId="0" applyFont="1" applyProtection="1"/>
    <xf numFmtId="165" fontId="7" fillId="0" borderId="0" xfId="0" applyNumberFormat="1" applyFont="1" applyFill="1" applyProtection="1"/>
    <xf numFmtId="165" fontId="7" fillId="0" borderId="12" xfId="0" applyNumberFormat="1" applyFont="1" applyFill="1" applyBorder="1" applyProtection="1"/>
    <xf numFmtId="41" fontId="7" fillId="0" borderId="0" xfId="0" applyNumberFormat="1" applyFont="1" applyBorder="1"/>
    <xf numFmtId="179" fontId="6" fillId="0" borderId="0" xfId="10" applyNumberFormat="1" applyFont="1" applyFill="1" applyBorder="1"/>
    <xf numFmtId="189" fontId="6" fillId="0" borderId="0" xfId="10" applyNumberFormat="1" applyFont="1" applyFill="1" applyBorder="1"/>
    <xf numFmtId="189" fontId="6" fillId="0" borderId="9" xfId="10" applyNumberFormat="1" applyFont="1" applyFill="1" applyBorder="1"/>
    <xf numFmtId="189" fontId="6" fillId="0" borderId="12" xfId="10" applyNumberFormat="1" applyFont="1" applyFill="1" applyBorder="1"/>
    <xf numFmtId="189" fontId="6" fillId="0" borderId="0" xfId="10" applyNumberFormat="1" applyFont="1"/>
    <xf numFmtId="189" fontId="6" fillId="0" borderId="12" xfId="10" applyNumberFormat="1" applyFont="1" applyBorder="1"/>
    <xf numFmtId="41" fontId="34" fillId="0" borderId="9" xfId="10" applyNumberFormat="1" applyFont="1" applyBorder="1"/>
    <xf numFmtId="5" fontId="6" fillId="0" borderId="0" xfId="10" applyNumberFormat="1" applyFont="1" applyFill="1"/>
    <xf numFmtId="41" fontId="6" fillId="0" borderId="12" xfId="10" applyNumberFormat="1" applyFont="1" applyFill="1" applyBorder="1"/>
    <xf numFmtId="0" fontId="34" fillId="0" borderId="9" xfId="0" applyFont="1" applyFill="1" applyBorder="1"/>
    <xf numFmtId="0" fontId="34" fillId="0" borderId="9" xfId="0" applyFont="1" applyBorder="1"/>
    <xf numFmtId="183" fontId="14" fillId="0" borderId="12" xfId="0" applyNumberFormat="1" applyFont="1" applyFill="1" applyBorder="1"/>
    <xf numFmtId="183" fontId="14" fillId="0" borderId="9" xfId="0" applyNumberFormat="1" applyFont="1" applyFill="1" applyBorder="1"/>
    <xf numFmtId="0" fontId="34" fillId="0" borderId="15" xfId="0" applyFont="1" applyBorder="1"/>
    <xf numFmtId="0" fontId="15" fillId="0" borderId="0" xfId="0" applyFont="1" applyBorder="1" applyAlignment="1">
      <alignment horizontal="right"/>
    </xf>
    <xf numFmtId="0" fontId="4" fillId="3" borderId="3" xfId="34" applyFont="1" applyFill="1" applyBorder="1" applyAlignment="1"/>
    <xf numFmtId="0" fontId="4" fillId="3" borderId="14" xfId="34" applyFont="1" applyFill="1" applyBorder="1" applyAlignment="1"/>
    <xf numFmtId="173" fontId="34" fillId="0" borderId="0" xfId="10" applyNumberFormat="1" applyFont="1" applyFill="1" applyBorder="1"/>
    <xf numFmtId="0" fontId="9" fillId="0" borderId="0" xfId="0" applyFont="1"/>
    <xf numFmtId="205" fontId="8" fillId="0" borderId="0" xfId="0" applyNumberFormat="1" applyFont="1"/>
    <xf numFmtId="205" fontId="14" fillId="0" borderId="0" xfId="0" applyNumberFormat="1" applyFont="1" applyFill="1" applyBorder="1"/>
    <xf numFmtId="7" fontId="34" fillId="0" borderId="0" xfId="10" applyNumberFormat="1" applyFont="1" applyFill="1" applyBorder="1"/>
    <xf numFmtId="165" fontId="9" fillId="0" borderId="0" xfId="34" applyNumberFormat="1" applyFont="1" applyAlignment="1"/>
    <xf numFmtId="165" fontId="9" fillId="0" borderId="0" xfId="34" applyNumberFormat="1" applyFont="1" applyFill="1" applyAlignment="1"/>
    <xf numFmtId="173" fontId="2" fillId="0" borderId="0" xfId="23" applyNumberFormat="1" applyFont="1" applyFill="1" applyBorder="1"/>
    <xf numFmtId="173" fontId="2" fillId="0" borderId="0" xfId="23" applyNumberFormat="1" applyFont="1" applyFill="1" applyBorder="1" applyAlignment="1" applyProtection="1"/>
    <xf numFmtId="182" fontId="7" fillId="0" borderId="9" xfId="0" applyNumberFormat="1" applyFont="1" applyFill="1" applyBorder="1" applyAlignment="1" applyProtection="1">
      <alignment horizontal="right"/>
    </xf>
    <xf numFmtId="224" fontId="18" fillId="0" borderId="0" xfId="0" applyNumberFormat="1" applyFont="1" applyFill="1" applyBorder="1" applyAlignment="1" applyProtection="1">
      <alignment horizontal="right"/>
    </xf>
    <xf numFmtId="166" fontId="6" fillId="0" borderId="0" xfId="34" applyNumberFormat="1" applyFont="1" applyFill="1" applyBorder="1" applyAlignment="1"/>
    <xf numFmtId="172" fontId="14" fillId="0" borderId="0" xfId="10" applyNumberFormat="1" applyFont="1" applyFill="1" applyBorder="1" applyAlignment="1">
      <alignment horizontal="right"/>
    </xf>
    <xf numFmtId="7" fontId="14" fillId="0" borderId="0" xfId="28" applyNumberFormat="1" applyFont="1" applyFill="1" applyBorder="1"/>
    <xf numFmtId="8" fontId="6" fillId="0" borderId="0" xfId="0" applyNumberFormat="1" applyFont="1" applyFill="1" applyBorder="1" applyAlignment="1">
      <alignment horizontal="right"/>
    </xf>
    <xf numFmtId="217" fontId="6" fillId="0" borderId="3" xfId="0" applyNumberFormat="1" applyFont="1" applyBorder="1"/>
    <xf numFmtId="217" fontId="6" fillId="0" borderId="14" xfId="0" applyNumberFormat="1" applyFont="1" applyFill="1" applyBorder="1"/>
    <xf numFmtId="185" fontId="14" fillId="0" borderId="0" xfId="22" applyNumberFormat="1" applyFont="1" applyFill="1" applyBorder="1"/>
    <xf numFmtId="166" fontId="7" fillId="0" borderId="0" xfId="28" applyNumberFormat="1" applyFont="1" applyFill="1" applyBorder="1" applyAlignment="1">
      <alignment horizontal="right"/>
    </xf>
    <xf numFmtId="217" fontId="6" fillId="0" borderId="6" xfId="0" applyNumberFormat="1" applyFont="1" applyFill="1" applyBorder="1"/>
    <xf numFmtId="217" fontId="6" fillId="0" borderId="3" xfId="0" applyNumberFormat="1" applyFont="1" applyFill="1" applyBorder="1"/>
    <xf numFmtId="0" fontId="6" fillId="0" borderId="0" xfId="28" applyNumberFormat="1" applyFont="1" applyBorder="1"/>
    <xf numFmtId="238" fontId="6" fillId="0" borderId="0" xfId="0" applyNumberFormat="1" applyFont="1" applyFill="1"/>
    <xf numFmtId="207" fontId="6" fillId="0" borderId="0" xfId="0" applyNumberFormat="1" applyFont="1" applyFill="1" applyBorder="1"/>
    <xf numFmtId="37" fontId="6" fillId="0" borderId="8" xfId="23" applyNumberFormat="1" applyFont="1" applyBorder="1" applyAlignment="1" applyProtection="1">
      <alignment horizontal="left"/>
    </xf>
    <xf numFmtId="0" fontId="7" fillId="0" borderId="0" xfId="0" applyNumberFormat="1" applyFont="1" applyFill="1" applyBorder="1" applyAlignment="1">
      <alignment horizontal="right"/>
    </xf>
    <xf numFmtId="0" fontId="6" fillId="0" borderId="0" xfId="28" applyNumberFormat="1" applyFont="1" applyFill="1" applyBorder="1"/>
    <xf numFmtId="0" fontId="6" fillId="0" borderId="9" xfId="0" applyFont="1" applyBorder="1" applyAlignment="1">
      <alignment horizontal="right"/>
    </xf>
    <xf numFmtId="173" fontId="6" fillId="0" borderId="0" xfId="13" applyNumberFormat="1" applyFont="1" applyFill="1" applyBorder="1"/>
    <xf numFmtId="172" fontId="7" fillId="0" borderId="0" xfId="10" applyNumberFormat="1" applyFont="1" applyFill="1" applyBorder="1"/>
    <xf numFmtId="205" fontId="7" fillId="0" borderId="0" xfId="0" applyNumberFormat="1" applyFont="1" applyFill="1" applyBorder="1"/>
    <xf numFmtId="165" fontId="6" fillId="0" borderId="0" xfId="0" applyNumberFormat="1" applyFont="1" applyFill="1" applyBorder="1"/>
    <xf numFmtId="165" fontId="6" fillId="0" borderId="0" xfId="34" applyNumberFormat="1" applyFont="1" applyFill="1" applyBorder="1" applyAlignment="1"/>
    <xf numFmtId="234" fontId="6" fillId="0" borderId="12" xfId="0" applyNumberFormat="1" applyFont="1" applyBorder="1"/>
    <xf numFmtId="41" fontId="11" fillId="0" borderId="0" xfId="0" applyNumberFormat="1" applyFont="1" applyBorder="1"/>
    <xf numFmtId="236" fontId="11" fillId="0" borderId="0" xfId="0" applyNumberFormat="1" applyFont="1" applyFill="1" applyBorder="1"/>
    <xf numFmtId="181" fontId="15" fillId="0" borderId="12" xfId="0" applyNumberFormat="1" applyFont="1" applyFill="1" applyBorder="1" applyAlignment="1" applyProtection="1">
      <alignment horizontal="center"/>
    </xf>
    <xf numFmtId="205" fontId="7" fillId="0" borderId="12" xfId="10" applyNumberFormat="1" applyFont="1" applyFill="1" applyBorder="1"/>
    <xf numFmtId="37" fontId="14" fillId="0" borderId="12" xfId="10" applyNumberFormat="1" applyFont="1" applyFill="1" applyBorder="1"/>
    <xf numFmtId="165" fontId="6" fillId="0" borderId="12" xfId="0" applyNumberFormat="1" applyFont="1" applyFill="1" applyBorder="1"/>
    <xf numFmtId="188" fontId="14" fillId="0" borderId="12" xfId="0" applyNumberFormat="1" applyFont="1" applyFill="1" applyBorder="1" applyProtection="1"/>
    <xf numFmtId="188" fontId="14" fillId="0" borderId="12" xfId="10" applyNumberFormat="1" applyFont="1" applyFill="1" applyBorder="1"/>
    <xf numFmtId="205" fontId="14" fillId="0" borderId="12" xfId="0" applyNumberFormat="1" applyFont="1" applyFill="1" applyBorder="1" applyProtection="1"/>
    <xf numFmtId="173" fontId="14" fillId="0" borderId="12" xfId="0" applyNumberFormat="1" applyFont="1" applyFill="1" applyBorder="1" applyProtection="1"/>
    <xf numFmtId="173" fontId="6" fillId="0" borderId="12" xfId="23" applyNumberFormat="1" applyFont="1" applyFill="1" applyBorder="1"/>
    <xf numFmtId="173" fontId="2" fillId="0" borderId="12" xfId="23" applyNumberFormat="1" applyFont="1" applyFill="1" applyBorder="1"/>
    <xf numFmtId="37" fontId="2" fillId="0" borderId="12" xfId="0" applyNumberFormat="1" applyFont="1" applyBorder="1"/>
    <xf numFmtId="236" fontId="11" fillId="0" borderId="12" xfId="0" applyNumberFormat="1" applyFont="1" applyFill="1" applyBorder="1"/>
    <xf numFmtId="37" fontId="6" fillId="0" borderId="12" xfId="10" applyNumberFormat="1" applyFont="1" applyFill="1" applyBorder="1" applyAlignment="1"/>
    <xf numFmtId="205" fontId="7" fillId="0" borderId="12" xfId="10" applyNumberFormat="1" applyFont="1" applyFill="1" applyBorder="1" applyAlignment="1"/>
    <xf numFmtId="37" fontId="7" fillId="0" borderId="12" xfId="10" applyNumberFormat="1" applyFont="1" applyFill="1" applyBorder="1" applyAlignment="1"/>
    <xf numFmtId="38" fontId="6" fillId="0" borderId="12" xfId="10" applyNumberFormat="1" applyFont="1" applyFill="1" applyBorder="1"/>
    <xf numFmtId="10" fontId="2" fillId="0" borderId="0" xfId="0" applyNumberFormat="1" applyFont="1" applyFill="1" applyBorder="1" applyAlignment="1">
      <alignment horizontal="right" vertical="center"/>
    </xf>
    <xf numFmtId="0" fontId="2" fillId="0" borderId="0" xfId="0" applyFont="1"/>
    <xf numFmtId="172" fontId="7" fillId="0" borderId="9" xfId="10" applyNumberFormat="1" applyFont="1" applyBorder="1"/>
    <xf numFmtId="172" fontId="7" fillId="0" borderId="0" xfId="10" applyNumberFormat="1" applyFont="1" applyBorder="1"/>
    <xf numFmtId="38" fontId="7" fillId="0" borderId="0" xfId="10" applyNumberFormat="1" applyFont="1" applyFill="1" applyBorder="1" applyAlignment="1"/>
    <xf numFmtId="6" fontId="7" fillId="0" borderId="0" xfId="10" applyNumberFormat="1" applyFont="1" applyFill="1" applyBorder="1" applyAlignment="1"/>
    <xf numFmtId="165" fontId="6" fillId="0" borderId="9" xfId="28" applyNumberFormat="1" applyFont="1" applyBorder="1"/>
    <xf numFmtId="165" fontId="6" fillId="0" borderId="0" xfId="0" applyNumberFormat="1" applyFont="1" applyBorder="1"/>
    <xf numFmtId="37" fontId="34" fillId="0" borderId="0" xfId="28" applyNumberFormat="1" applyFont="1" applyFill="1" applyBorder="1"/>
    <xf numFmtId="165" fontId="6" fillId="0" borderId="16" xfId="34" applyNumberFormat="1" applyFont="1" applyBorder="1" applyAlignment="1"/>
    <xf numFmtId="183" fontId="6" fillId="0" borderId="16" xfId="0" applyNumberFormat="1" applyFont="1" applyFill="1" applyBorder="1"/>
    <xf numFmtId="5" fontId="7" fillId="0" borderId="11" xfId="10" applyNumberFormat="1" applyFont="1" applyFill="1" applyBorder="1"/>
    <xf numFmtId="5" fontId="7" fillId="0" borderId="2" xfId="10" applyNumberFormat="1" applyFont="1" applyFill="1" applyBorder="1"/>
    <xf numFmtId="5" fontId="7" fillId="0" borderId="10" xfId="10" applyNumberFormat="1" applyFont="1" applyFill="1" applyBorder="1"/>
    <xf numFmtId="6" fontId="7" fillId="0" borderId="7" xfId="10" applyNumberFormat="1" applyFont="1" applyFill="1" applyBorder="1"/>
    <xf numFmtId="6" fontId="7" fillId="0" borderId="4" xfId="10" applyNumberFormat="1" applyFont="1" applyFill="1" applyBorder="1"/>
    <xf numFmtId="6" fontId="7" fillId="0" borderId="8" xfId="10" applyNumberFormat="1" applyFont="1" applyFill="1" applyBorder="1"/>
    <xf numFmtId="6" fontId="7" fillId="0" borderId="12" xfId="10" applyNumberFormat="1" applyFont="1" applyBorder="1"/>
    <xf numFmtId="6" fontId="7" fillId="0" borderId="9" xfId="10" applyNumberFormat="1" applyFont="1" applyBorder="1"/>
    <xf numFmtId="6" fontId="7" fillId="0" borderId="4" xfId="10" applyNumberFormat="1" applyFont="1" applyBorder="1"/>
    <xf numFmtId="6" fontId="7" fillId="0" borderId="7" xfId="10" applyNumberFormat="1" applyFont="1" applyBorder="1"/>
    <xf numFmtId="6" fontId="6" fillId="0" borderId="11" xfId="10" applyNumberFormat="1" applyFont="1" applyFill="1" applyBorder="1"/>
    <xf numFmtId="6" fontId="6" fillId="0" borderId="2" xfId="10" applyNumberFormat="1" applyFont="1" applyFill="1" applyBorder="1"/>
    <xf numFmtId="6" fontId="6" fillId="0" borderId="10" xfId="10" applyNumberFormat="1" applyFont="1" applyFill="1" applyBorder="1"/>
    <xf numFmtId="6" fontId="6" fillId="0" borderId="12" xfId="10" applyNumberFormat="1" applyFont="1" applyFill="1" applyBorder="1"/>
    <xf numFmtId="6" fontId="6" fillId="0" borderId="9" xfId="10" applyNumberFormat="1" applyFont="1" applyFill="1" applyBorder="1"/>
    <xf numFmtId="6" fontId="6" fillId="0" borderId="2" xfId="10" applyNumberFormat="1" applyFont="1" applyBorder="1"/>
    <xf numFmtId="6" fontId="6" fillId="0" borderId="11" xfId="10" applyNumberFormat="1" applyFont="1" applyBorder="1"/>
    <xf numFmtId="173" fontId="6" fillId="0" borderId="9" xfId="10" applyNumberFormat="1" applyFont="1" applyFill="1" applyBorder="1" applyAlignment="1">
      <alignment horizontal="right"/>
    </xf>
    <xf numFmtId="166" fontId="6" fillId="0" borderId="9" xfId="28" applyNumberFormat="1" applyFont="1" applyFill="1" applyBorder="1" applyAlignment="1">
      <alignment horizontal="right"/>
    </xf>
    <xf numFmtId="166" fontId="6" fillId="0" borderId="9" xfId="34" applyNumberFormat="1" applyFont="1" applyFill="1" applyBorder="1" applyAlignment="1"/>
    <xf numFmtId="173" fontId="6" fillId="0" borderId="16" xfId="10" applyNumberFormat="1" applyFont="1" applyBorder="1"/>
    <xf numFmtId="41" fontId="6" fillId="0" borderId="8" xfId="0" applyNumberFormat="1" applyFont="1" applyFill="1" applyBorder="1"/>
    <xf numFmtId="0" fontId="2" fillId="0" borderId="0" xfId="23" applyFont="1" applyBorder="1" applyAlignment="1">
      <alignment horizontal="left" indent="1"/>
    </xf>
    <xf numFmtId="6" fontId="7" fillId="0" borderId="0" xfId="23" applyNumberFormat="1" applyFont="1" applyBorder="1" applyAlignment="1" applyProtection="1"/>
    <xf numFmtId="6" fontId="7" fillId="0" borderId="0" xfId="23" applyNumberFormat="1" applyFont="1" applyAlignment="1" applyProtection="1"/>
    <xf numFmtId="38" fontId="6" fillId="0" borderId="0" xfId="23" applyNumberFormat="1" applyFont="1" applyFill="1" applyBorder="1"/>
    <xf numFmtId="38" fontId="6" fillId="0" borderId="0" xfId="13" applyNumberFormat="1" applyFont="1"/>
    <xf numFmtId="6" fontId="7" fillId="0" borderId="4" xfId="23" applyNumberFormat="1" applyFont="1" applyBorder="1" applyAlignment="1" applyProtection="1"/>
    <xf numFmtId="5" fontId="6" fillId="3" borderId="4" xfId="34" applyNumberFormat="1" applyFont="1" applyFill="1" applyBorder="1" applyAlignment="1"/>
    <xf numFmtId="5" fontId="6" fillId="3" borderId="0" xfId="34" applyNumberFormat="1" applyFont="1" applyFill="1" applyAlignment="1"/>
    <xf numFmtId="38" fontId="6" fillId="0" borderId="2" xfId="23" applyNumberFormat="1" applyFont="1" applyFill="1" applyBorder="1" applyAlignment="1" applyProtection="1"/>
    <xf numFmtId="38" fontId="6" fillId="0" borderId="2" xfId="13" applyNumberFormat="1" applyFont="1" applyFill="1" applyBorder="1"/>
    <xf numFmtId="6" fontId="6" fillId="0" borderId="0" xfId="23" applyNumberFormat="1" applyFont="1" applyFill="1" applyBorder="1" applyAlignment="1" applyProtection="1"/>
    <xf numFmtId="6" fontId="6" fillId="0" borderId="0" xfId="13" applyNumberFormat="1" applyFont="1" applyFill="1"/>
    <xf numFmtId="216" fontId="6" fillId="0" borderId="0" xfId="10" applyNumberFormat="1" applyFont="1" applyFill="1" applyBorder="1"/>
    <xf numFmtId="166" fontId="7" fillId="0" borderId="0" xfId="0" applyNumberFormat="1" applyFont="1" applyFill="1" applyBorder="1" applyAlignment="1">
      <alignment horizontal="right"/>
    </xf>
    <xf numFmtId="1" fontId="6" fillId="0" borderId="9" xfId="0" applyNumberFormat="1" applyFont="1" applyBorder="1"/>
    <xf numFmtId="0" fontId="2" fillId="0" borderId="0" xfId="0" applyFont="1" applyFill="1" applyBorder="1"/>
    <xf numFmtId="6" fontId="7" fillId="0" borderId="9" xfId="10" applyNumberFormat="1" applyFont="1" applyFill="1" applyBorder="1" applyAlignment="1"/>
    <xf numFmtId="6" fontId="7" fillId="0" borderId="0" xfId="10" applyNumberFormat="1" applyFont="1" applyFill="1" applyBorder="1" applyAlignment="1">
      <alignment horizontal="right"/>
    </xf>
    <xf numFmtId="6" fontId="7" fillId="0" borderId="9" xfId="10" applyNumberFormat="1" applyFont="1" applyFill="1" applyBorder="1" applyAlignment="1">
      <alignment horizontal="right"/>
    </xf>
    <xf numFmtId="40" fontId="6" fillId="0" borderId="0" xfId="10" applyNumberFormat="1" applyFont="1" applyFill="1" applyBorder="1"/>
    <xf numFmtId="216" fontId="6" fillId="0" borderId="9" xfId="10" applyNumberFormat="1" applyFont="1" applyFill="1" applyBorder="1"/>
    <xf numFmtId="38" fontId="9" fillId="0" borderId="11" xfId="10" applyNumberFormat="1" applyFont="1" applyFill="1" applyBorder="1"/>
    <xf numFmtId="38" fontId="9" fillId="0" borderId="2" xfId="34" applyNumberFormat="1" applyFont="1" applyBorder="1" applyAlignment="1"/>
    <xf numFmtId="38" fontId="9" fillId="0" borderId="2" xfId="34" applyNumberFormat="1" applyFont="1" applyFill="1" applyBorder="1" applyAlignment="1"/>
    <xf numFmtId="38" fontId="9" fillId="0" borderId="10" xfId="34" applyNumberFormat="1" applyFont="1" applyFill="1" applyBorder="1" applyAlignment="1"/>
    <xf numFmtId="38" fontId="9" fillId="0" borderId="2" xfId="10" applyNumberFormat="1" applyFont="1" applyFill="1" applyBorder="1"/>
    <xf numFmtId="38" fontId="9" fillId="0" borderId="10" xfId="10" applyNumberFormat="1" applyFont="1" applyFill="1" applyBorder="1"/>
    <xf numFmtId="38" fontId="2" fillId="0" borderId="0" xfId="10" applyNumberFormat="1" applyFont="1" applyFill="1" applyBorder="1"/>
    <xf numFmtId="38" fontId="2" fillId="0" borderId="9" xfId="10" applyNumberFormat="1" applyFont="1" applyFill="1" applyBorder="1"/>
    <xf numFmtId="38" fontId="6" fillId="0" borderId="11" xfId="10" applyNumberFormat="1" applyFont="1" applyFill="1" applyBorder="1"/>
    <xf numFmtId="38" fontId="6" fillId="0" borderId="2" xfId="10" applyNumberFormat="1" applyFont="1" applyFill="1" applyBorder="1"/>
    <xf numFmtId="38" fontId="6" fillId="0" borderId="10" xfId="10" applyNumberFormat="1" applyFont="1" applyFill="1" applyBorder="1"/>
    <xf numFmtId="38" fontId="9" fillId="0" borderId="2" xfId="10" applyNumberFormat="1" applyFont="1" applyBorder="1"/>
    <xf numFmtId="38" fontId="6" fillId="0" borderId="2" xfId="10" applyNumberFormat="1" applyFont="1" applyBorder="1"/>
    <xf numFmtId="37" fontId="9" fillId="0" borderId="12" xfId="10" applyNumberFormat="1" applyFont="1" applyFill="1" applyBorder="1"/>
    <xf numFmtId="37" fontId="6" fillId="0" borderId="11" xfId="10" applyNumberFormat="1" applyFont="1" applyFill="1" applyBorder="1"/>
    <xf numFmtId="37" fontId="8" fillId="0" borderId="2" xfId="10" applyNumberFormat="1" applyFont="1" applyFill="1" applyBorder="1"/>
    <xf numFmtId="37" fontId="6" fillId="0" borderId="10" xfId="10" applyNumberFormat="1" applyFont="1" applyFill="1" applyBorder="1"/>
    <xf numFmtId="37" fontId="6" fillId="0" borderId="2" xfId="0" applyNumberFormat="1" applyFont="1" applyFill="1" applyBorder="1"/>
    <xf numFmtId="37" fontId="6" fillId="0" borderId="10" xfId="0" applyNumberFormat="1" applyFont="1" applyFill="1" applyBorder="1"/>
    <xf numFmtId="38" fontId="8" fillId="0" borderId="0" xfId="10" applyNumberFormat="1" applyFont="1" applyFill="1" applyBorder="1"/>
    <xf numFmtId="38" fontId="6" fillId="0" borderId="2" xfId="0" applyNumberFormat="1" applyFont="1" applyFill="1" applyBorder="1"/>
    <xf numFmtId="5" fontId="6" fillId="0" borderId="0" xfId="10" applyNumberFormat="1" applyFont="1" applyFill="1" applyBorder="1"/>
    <xf numFmtId="5" fontId="6" fillId="0" borderId="12" xfId="0" applyNumberFormat="1" applyFont="1" applyBorder="1"/>
    <xf numFmtId="216" fontId="6" fillId="0" borderId="12" xfId="10" applyNumberFormat="1" applyFont="1" applyFill="1" applyBorder="1"/>
    <xf numFmtId="219" fontId="7" fillId="0" borderId="0" xfId="34" applyNumberFormat="1" applyFont="1" applyBorder="1" applyAlignment="1">
      <alignment horizontal="right"/>
    </xf>
    <xf numFmtId="219" fontId="7" fillId="0" borderId="9" xfId="34" applyNumberFormat="1" applyFont="1" applyBorder="1" applyAlignment="1">
      <alignment horizontal="right"/>
    </xf>
    <xf numFmtId="219" fontId="7" fillId="0" borderId="9" xfId="34" applyNumberFormat="1" applyFont="1" applyFill="1" applyBorder="1" applyAlignment="1">
      <alignment horizontal="right"/>
    </xf>
    <xf numFmtId="219" fontId="7" fillId="0" borderId="0" xfId="34" applyNumberFormat="1" applyFont="1" applyFill="1" applyBorder="1" applyAlignment="1">
      <alignment horizontal="right"/>
    </xf>
    <xf numFmtId="219" fontId="7" fillId="0" borderId="12" xfId="34" applyNumberFormat="1" applyFont="1" applyFill="1" applyBorder="1" applyAlignment="1">
      <alignment horizontal="right"/>
    </xf>
    <xf numFmtId="219" fontId="7" fillId="0" borderId="12" xfId="34" applyNumberFormat="1" applyFont="1" applyBorder="1" applyAlignment="1">
      <alignment horizontal="right"/>
    </xf>
    <xf numFmtId="7" fontId="7" fillId="0" borderId="0" xfId="10" applyNumberFormat="1" applyFont="1" applyBorder="1"/>
    <xf numFmtId="43" fontId="2" fillId="0" borderId="0" xfId="10" applyFont="1" applyFill="1" applyBorder="1" applyAlignment="1">
      <alignment horizontal="right" vertical="center"/>
    </xf>
    <xf numFmtId="187" fontId="6" fillId="0" borderId="0" xfId="0" applyNumberFormat="1" applyFont="1" applyFill="1"/>
    <xf numFmtId="0" fontId="2" fillId="0" borderId="0" xfId="0" applyFont="1" applyBorder="1"/>
    <xf numFmtId="166" fontId="7" fillId="0" borderId="0" xfId="23" applyNumberFormat="1" applyFont="1"/>
    <xf numFmtId="166" fontId="7" fillId="0" borderId="0" xfId="0" applyNumberFormat="1" applyFont="1" applyBorder="1" applyAlignment="1">
      <alignment horizontal="right"/>
    </xf>
    <xf numFmtId="217" fontId="6" fillId="0" borderId="9" xfId="28" applyNumberFormat="1" applyFont="1" applyFill="1" applyBorder="1" applyAlignment="1">
      <alignment horizontal="right"/>
    </xf>
    <xf numFmtId="208" fontId="6" fillId="0" borderId="0" xfId="0" applyNumberFormat="1" applyFont="1"/>
    <xf numFmtId="208" fontId="6" fillId="0" borderId="9" xfId="0" applyNumberFormat="1" applyFont="1" applyBorder="1"/>
    <xf numFmtId="208" fontId="6" fillId="0" borderId="0" xfId="28" applyNumberFormat="1" applyFont="1" applyFill="1" applyBorder="1"/>
    <xf numFmtId="217" fontId="6" fillId="0" borderId="0" xfId="28" applyNumberFormat="1" applyFont="1" applyBorder="1" applyAlignment="1">
      <alignment horizontal="right"/>
    </xf>
    <xf numFmtId="170" fontId="11" fillId="0" borderId="0" xfId="0" applyNumberFormat="1" applyFont="1" applyFill="1" applyBorder="1" applyAlignment="1" applyProtection="1">
      <alignment horizontal="left"/>
    </xf>
    <xf numFmtId="170" fontId="2" fillId="0" borderId="0" xfId="0" applyNumberFormat="1" applyFont="1" applyFill="1" applyBorder="1" applyAlignment="1" applyProtection="1">
      <alignment horizontal="left"/>
    </xf>
    <xf numFmtId="166" fontId="2" fillId="0" borderId="0" xfId="0" applyNumberFormat="1" applyFont="1" applyFill="1" applyBorder="1" applyAlignment="1" applyProtection="1">
      <alignment horizontal="right"/>
    </xf>
    <xf numFmtId="166" fontId="4" fillId="0" borderId="0" xfId="28" applyNumberFormat="1" applyFont="1" applyAlignment="1">
      <alignment horizontal="right"/>
    </xf>
    <xf numFmtId="0" fontId="4" fillId="0" borderId="9" xfId="0" applyFont="1" applyBorder="1"/>
    <xf numFmtId="41" fontId="49" fillId="0" borderId="0" xfId="0" applyNumberFormat="1" applyFont="1" applyFill="1" applyBorder="1"/>
    <xf numFmtId="41" fontId="49" fillId="0" borderId="0" xfId="0" applyNumberFormat="1" applyFont="1" applyFill="1" applyBorder="1" applyAlignment="1" applyProtection="1">
      <alignment horizontal="right"/>
    </xf>
    <xf numFmtId="41" fontId="49" fillId="0" borderId="0" xfId="0" applyNumberFormat="1" applyFont="1" applyFill="1" applyBorder="1" applyAlignment="1" applyProtection="1">
      <alignment horizontal="left"/>
    </xf>
    <xf numFmtId="41" fontId="11" fillId="0" borderId="0" xfId="0" applyNumberFormat="1" applyFont="1" applyFill="1" applyBorder="1" applyAlignment="1" applyProtection="1">
      <alignment horizontal="left"/>
    </xf>
    <xf numFmtId="43" fontId="7" fillId="0" borderId="0" xfId="10" applyFont="1" applyFill="1" applyBorder="1" applyAlignment="1" applyProtection="1"/>
    <xf numFmtId="171" fontId="33" fillId="0" borderId="0" xfId="10" applyNumberFormat="1" applyFont="1" applyFill="1" applyBorder="1"/>
    <xf numFmtId="217" fontId="6" fillId="0" borderId="0" xfId="28" applyNumberFormat="1" applyFont="1" applyFill="1" applyBorder="1" applyAlignment="1">
      <alignment horizontal="right"/>
    </xf>
    <xf numFmtId="41" fontId="11" fillId="0" borderId="0" xfId="0" applyNumberFormat="1" applyFont="1" applyFill="1" applyBorder="1"/>
    <xf numFmtId="238" fontId="6" fillId="0" borderId="0" xfId="0" applyNumberFormat="1" applyFont="1" applyFill="1" applyBorder="1"/>
    <xf numFmtId="41" fontId="11" fillId="0" borderId="12" xfId="0" applyNumberFormat="1" applyFont="1" applyFill="1" applyBorder="1"/>
    <xf numFmtId="8" fontId="6" fillId="0" borderId="0" xfId="0" applyNumberFormat="1" applyFont="1" applyFill="1" applyBorder="1" applyAlignment="1" applyProtection="1">
      <alignment horizontal="left"/>
    </xf>
    <xf numFmtId="8" fontId="6" fillId="0" borderId="0" xfId="0" applyNumberFormat="1" applyFont="1" applyFill="1" applyBorder="1" applyAlignment="1" applyProtection="1">
      <alignment horizontal="center"/>
    </xf>
    <xf numFmtId="8" fontId="6" fillId="0" borderId="9" xfId="0" applyNumberFormat="1" applyFont="1" applyFill="1" applyBorder="1" applyAlignment="1" applyProtection="1">
      <alignment horizontal="center"/>
    </xf>
    <xf numFmtId="8" fontId="6" fillId="0" borderId="0" xfId="0" quotePrefix="1" applyNumberFormat="1" applyFont="1" applyFill="1" applyAlignment="1">
      <alignment horizontal="right"/>
    </xf>
    <xf numFmtId="8" fontId="6" fillId="0" borderId="9" xfId="0" quotePrefix="1" applyNumberFormat="1" applyFont="1" applyFill="1" applyBorder="1" applyAlignment="1">
      <alignment horizontal="right"/>
    </xf>
    <xf numFmtId="8" fontId="6" fillId="0" borderId="12" xfId="0" quotePrefix="1" applyNumberFormat="1" applyFont="1" applyFill="1" applyBorder="1" applyAlignment="1">
      <alignment horizontal="right"/>
    </xf>
    <xf numFmtId="8" fontId="6" fillId="0" borderId="0" xfId="0" quotePrefix="1" applyNumberFormat="1" applyFont="1" applyFill="1" applyBorder="1" applyAlignment="1">
      <alignment horizontal="right"/>
    </xf>
    <xf numFmtId="8" fontId="6" fillId="0" borderId="0" xfId="0" applyNumberFormat="1" applyFont="1" applyFill="1" applyBorder="1" applyAlignment="1" applyProtection="1">
      <alignment horizontal="right"/>
    </xf>
    <xf numFmtId="8" fontId="6" fillId="0" borderId="0" xfId="0" applyNumberFormat="1" applyFont="1" applyFill="1"/>
    <xf numFmtId="166" fontId="2" fillId="0" borderId="0" xfId="28" applyNumberFormat="1" applyFont="1" applyFill="1" applyBorder="1"/>
    <xf numFmtId="0" fontId="7" fillId="3" borderId="3" xfId="34" applyFont="1" applyFill="1" applyBorder="1" applyAlignment="1"/>
    <xf numFmtId="224" fontId="18" fillId="0" borderId="14" xfId="0" applyNumberFormat="1" applyFont="1" applyFill="1" applyBorder="1" applyAlignment="1" applyProtection="1">
      <alignment horizontal="right"/>
    </xf>
    <xf numFmtId="5" fontId="7" fillId="0" borderId="9" xfId="0" applyNumberFormat="1" applyFont="1" applyFill="1" applyBorder="1"/>
    <xf numFmtId="166" fontId="6" fillId="0" borderId="2" xfId="28" applyNumberFormat="1" applyFont="1" applyFill="1" applyBorder="1"/>
    <xf numFmtId="166" fontId="6" fillId="0" borderId="9" xfId="28" applyNumberFormat="1" applyFont="1" applyFill="1" applyBorder="1" applyAlignment="1"/>
    <xf numFmtId="166" fontId="6" fillId="0" borderId="0" xfId="28" applyNumberFormat="1" applyFont="1" applyFill="1" applyBorder="1" applyAlignment="1"/>
    <xf numFmtId="166" fontId="7" fillId="0" borderId="0" xfId="28" applyNumberFormat="1" applyFont="1" applyFill="1" applyBorder="1" applyAlignment="1" applyProtection="1">
      <alignment horizontal="right"/>
    </xf>
    <xf numFmtId="166" fontId="7" fillId="0" borderId="9" xfId="28" applyNumberFormat="1" applyFont="1" applyFill="1" applyBorder="1" applyAlignment="1" applyProtection="1">
      <alignment horizontal="right"/>
    </xf>
    <xf numFmtId="166" fontId="7" fillId="0" borderId="12" xfId="28" applyNumberFormat="1" applyFont="1" applyFill="1" applyBorder="1" applyAlignment="1" applyProtection="1">
      <alignment horizontal="right"/>
    </xf>
    <xf numFmtId="166" fontId="15" fillId="0" borderId="0" xfId="28" applyNumberFormat="1" applyFont="1" applyFill="1" applyBorder="1" applyAlignment="1" applyProtection="1">
      <alignment horizontal="left"/>
    </xf>
    <xf numFmtId="166" fontId="7" fillId="0" borderId="0" xfId="28" applyNumberFormat="1" applyFont="1" applyFill="1" applyBorder="1" applyAlignment="1" applyProtection="1">
      <alignment horizontal="left"/>
    </xf>
    <xf numFmtId="166" fontId="7" fillId="0" borderId="9" xfId="28" applyNumberFormat="1" applyFont="1" applyFill="1" applyBorder="1" applyAlignment="1"/>
    <xf numFmtId="166" fontId="7" fillId="0" borderId="0" xfId="28" applyNumberFormat="1" applyFont="1" applyFill="1" applyBorder="1" applyAlignment="1"/>
    <xf numFmtId="166" fontId="2" fillId="0" borderId="9" xfId="28" applyNumberFormat="1" applyFont="1" applyFill="1" applyBorder="1" applyAlignment="1"/>
    <xf numFmtId="166" fontId="2" fillId="0" borderId="0" xfId="28" applyNumberFormat="1" applyFont="1" applyFill="1" applyBorder="1" applyAlignment="1"/>
    <xf numFmtId="0" fontId="2" fillId="0" borderId="12" xfId="0" applyFont="1" applyBorder="1"/>
    <xf numFmtId="240" fontId="7" fillId="0" borderId="0" xfId="0" applyNumberFormat="1" applyFont="1" applyFill="1" applyBorder="1" applyAlignment="1">
      <alignment horizontal="right" vertical="center"/>
    </xf>
    <xf numFmtId="166" fontId="7" fillId="0" borderId="8" xfId="28" applyNumberFormat="1" applyFont="1" applyFill="1" applyBorder="1"/>
    <xf numFmtId="166" fontId="7" fillId="0" borderId="4" xfId="28" applyNumberFormat="1" applyFont="1" applyBorder="1"/>
    <xf numFmtId="166" fontId="7" fillId="0" borderId="8" xfId="28" applyNumberFormat="1" applyFont="1" applyBorder="1"/>
    <xf numFmtId="0" fontId="2" fillId="0" borderId="0" xfId="24" applyFont="1" applyAlignment="1">
      <alignment horizontal="left" indent="1"/>
    </xf>
    <xf numFmtId="166" fontId="7" fillId="0" borderId="4" xfId="28" quotePrefix="1" applyNumberFormat="1" applyFont="1" applyBorder="1" applyAlignment="1">
      <alignment horizontal="right"/>
    </xf>
    <xf numFmtId="166" fontId="7" fillId="0" borderId="8" xfId="28" quotePrefix="1" applyNumberFormat="1" applyFont="1" applyBorder="1" applyAlignment="1">
      <alignment horizontal="right"/>
    </xf>
    <xf numFmtId="166" fontId="7" fillId="0" borderId="4" xfId="28" applyNumberFormat="1" applyFont="1" applyFill="1" applyBorder="1"/>
    <xf numFmtId="166" fontId="0" fillId="0" borderId="9" xfId="28" applyNumberFormat="1" applyFont="1" applyBorder="1"/>
    <xf numFmtId="4" fontId="6" fillId="0" borderId="0" xfId="28" applyNumberFormat="1" applyFont="1" applyFill="1" applyBorder="1"/>
    <xf numFmtId="4" fontId="8" fillId="0" borderId="0" xfId="28" applyNumberFormat="1" applyFont="1" applyFill="1" applyBorder="1"/>
    <xf numFmtId="169" fontId="6" fillId="0" borderId="0" xfId="23" applyNumberFormat="1" applyFont="1" applyFill="1" applyBorder="1"/>
    <xf numFmtId="169" fontId="6" fillId="0" borderId="9" xfId="23" applyNumberFormat="1" applyFont="1" applyFill="1" applyBorder="1"/>
    <xf numFmtId="169" fontId="14" fillId="0" borderId="12" xfId="23" applyNumberFormat="1" applyFont="1" applyFill="1" applyBorder="1"/>
    <xf numFmtId="169" fontId="6" fillId="0" borderId="0" xfId="28" quotePrefix="1" applyNumberFormat="1" applyFont="1" applyFill="1" applyAlignment="1">
      <alignment horizontal="right"/>
    </xf>
    <xf numFmtId="169" fontId="6" fillId="0" borderId="12" xfId="0" applyNumberFormat="1" applyFont="1" applyBorder="1"/>
    <xf numFmtId="169" fontId="7" fillId="0" borderId="0" xfId="23" applyNumberFormat="1" applyFont="1" applyFill="1" applyBorder="1"/>
    <xf numFmtId="169" fontId="7" fillId="0" borderId="9" xfId="23" applyNumberFormat="1" applyFont="1" applyFill="1" applyBorder="1"/>
    <xf numFmtId="169" fontId="7" fillId="0" borderId="12" xfId="23" applyNumberFormat="1" applyFont="1" applyFill="1" applyBorder="1"/>
    <xf numFmtId="169" fontId="7" fillId="0" borderId="0" xfId="23" applyNumberFormat="1" applyFont="1" applyBorder="1"/>
    <xf numFmtId="169" fontId="6" fillId="0" borderId="0" xfId="23" applyNumberFormat="1" applyFont="1" applyFill="1" applyBorder="1" applyAlignment="1">
      <alignment horizontal="right"/>
    </xf>
    <xf numFmtId="169" fontId="7" fillId="0" borderId="12" xfId="0" applyNumberFormat="1" applyFont="1" applyBorder="1"/>
    <xf numFmtId="166" fontId="7" fillId="0" borderId="10" xfId="28" applyNumberFormat="1" applyFont="1" applyFill="1" applyBorder="1"/>
    <xf numFmtId="166" fontId="7" fillId="0" borderId="2" xfId="28" applyNumberFormat="1" applyFont="1" applyBorder="1"/>
    <xf numFmtId="166" fontId="7" fillId="0" borderId="0" xfId="28" quotePrefix="1" applyNumberFormat="1" applyFont="1" applyFill="1" applyBorder="1" applyAlignment="1">
      <alignment horizontal="right"/>
    </xf>
    <xf numFmtId="166" fontId="7" fillId="0" borderId="0" xfId="28" applyNumberFormat="1" applyFont="1" applyFill="1" applyBorder="1" applyAlignment="1" applyProtection="1"/>
    <xf numFmtId="0" fontId="7" fillId="0" borderId="2" xfId="0" applyFont="1" applyBorder="1"/>
    <xf numFmtId="166" fontId="7" fillId="0" borderId="0" xfId="28" applyNumberFormat="1" applyFont="1" applyFill="1" applyAlignment="1">
      <alignment horizontal="right"/>
    </xf>
    <xf numFmtId="166" fontId="52" fillId="0" borderId="9" xfId="28" applyNumberFormat="1" applyFont="1" applyBorder="1"/>
    <xf numFmtId="166" fontId="52" fillId="0" borderId="0" xfId="28" applyNumberFormat="1" applyFont="1"/>
    <xf numFmtId="166" fontId="53" fillId="0" borderId="9" xfId="28" applyNumberFormat="1" applyFont="1" applyBorder="1"/>
    <xf numFmtId="166" fontId="53" fillId="0" borderId="0" xfId="28" applyNumberFormat="1" applyFont="1"/>
    <xf numFmtId="166" fontId="53" fillId="0" borderId="0" xfId="28" applyNumberFormat="1" applyFont="1" applyBorder="1"/>
    <xf numFmtId="166" fontId="52" fillId="0" borderId="0" xfId="28" applyNumberFormat="1" applyFont="1" applyBorder="1"/>
    <xf numFmtId="0" fontId="2" fillId="0" borderId="0" xfId="23" applyFont="1" applyAlignment="1">
      <alignment horizontal="left"/>
    </xf>
    <xf numFmtId="166" fontId="2" fillId="0" borderId="0" xfId="28" quotePrefix="1" applyNumberFormat="1" applyFont="1" applyFill="1" applyAlignment="1">
      <alignment horizontal="right"/>
    </xf>
    <xf numFmtId="166" fontId="2" fillId="0" borderId="9" xfId="28" quotePrefix="1" applyNumberFormat="1" applyFont="1" applyFill="1" applyBorder="1" applyAlignment="1">
      <alignment horizontal="right"/>
    </xf>
    <xf numFmtId="173" fontId="2" fillId="0" borderId="9" xfId="23" applyNumberFormat="1" applyFont="1" applyFill="1" applyBorder="1"/>
    <xf numFmtId="41" fontId="0" fillId="0" borderId="0" xfId="0" applyNumberFormat="1"/>
    <xf numFmtId="188" fontId="0" fillId="0" borderId="0" xfId="0" applyNumberFormat="1"/>
    <xf numFmtId="188" fontId="0" fillId="0" borderId="0" xfId="0" applyNumberFormat="1" applyBorder="1"/>
    <xf numFmtId="5" fontId="0" fillId="0" borderId="0" xfId="0" applyNumberFormat="1"/>
    <xf numFmtId="5" fontId="0" fillId="0" borderId="0" xfId="0" applyNumberFormat="1" applyBorder="1"/>
    <xf numFmtId="5" fontId="11" fillId="0" borderId="0" xfId="0" applyNumberFormat="1" applyFont="1" applyFill="1" applyBorder="1" applyAlignment="1" applyProtection="1">
      <alignment horizontal="left"/>
    </xf>
    <xf numFmtId="0" fontId="0" fillId="7" borderId="0" xfId="0" applyFill="1"/>
    <xf numFmtId="166" fontId="4" fillId="0" borderId="9" xfId="28" applyNumberFormat="1" applyFont="1" applyBorder="1"/>
    <xf numFmtId="166" fontId="2" fillId="0" borderId="9" xfId="28" applyNumberFormat="1" applyFont="1" applyFill="1" applyBorder="1"/>
    <xf numFmtId="166" fontId="7" fillId="0" borderId="9" xfId="28" quotePrefix="1" applyNumberFormat="1" applyFont="1" applyFill="1" applyBorder="1" applyAlignment="1">
      <alignment horizontal="right"/>
    </xf>
    <xf numFmtId="166" fontId="7" fillId="0" borderId="0" xfId="28" applyNumberFormat="1" applyFont="1" applyFill="1" applyAlignment="1" applyProtection="1"/>
    <xf numFmtId="0" fontId="53" fillId="0" borderId="0" xfId="0" applyFont="1"/>
    <xf numFmtId="7" fontId="53" fillId="0" borderId="9" xfId="10" applyNumberFormat="1" applyFont="1" applyFill="1" applyBorder="1"/>
    <xf numFmtId="7" fontId="53" fillId="0" borderId="0" xfId="10" applyNumberFormat="1" applyFont="1" applyFill="1" applyBorder="1"/>
    <xf numFmtId="188" fontId="6" fillId="0" borderId="0" xfId="10" applyNumberFormat="1" applyFont="1" applyFill="1" applyBorder="1"/>
    <xf numFmtId="188" fontId="6" fillId="0" borderId="9" xfId="10" applyNumberFormat="1" applyFont="1" applyFill="1" applyBorder="1"/>
    <xf numFmtId="188" fontId="53" fillId="0" borderId="0" xfId="0" applyNumberFormat="1" applyFont="1"/>
    <xf numFmtId="174" fontId="53" fillId="0" borderId="0" xfId="34" applyNumberFormat="1" applyFont="1" applyFill="1" applyAlignment="1"/>
    <xf numFmtId="173" fontId="53" fillId="0" borderId="2" xfId="23" applyNumberFormat="1" applyFont="1" applyFill="1" applyBorder="1" applyAlignment="1" applyProtection="1"/>
    <xf numFmtId="173" fontId="53" fillId="0" borderId="0" xfId="23" applyNumberFormat="1" applyFont="1" applyFill="1"/>
    <xf numFmtId="217" fontId="7" fillId="0" borderId="9" xfId="0" applyNumberFormat="1" applyFont="1" applyBorder="1" applyAlignment="1">
      <alignment horizontal="right"/>
    </xf>
    <xf numFmtId="217" fontId="7" fillId="0" borderId="0" xfId="0" applyNumberFormat="1" applyFont="1" applyAlignment="1">
      <alignment horizontal="right"/>
    </xf>
    <xf numFmtId="217" fontId="7" fillId="0" borderId="12" xfId="0" applyNumberFormat="1" applyFont="1" applyBorder="1" applyAlignment="1">
      <alignment horizontal="right"/>
    </xf>
    <xf numFmtId="217" fontId="6" fillId="0" borderId="9" xfId="0" applyNumberFormat="1" applyFont="1" applyBorder="1" applyAlignment="1">
      <alignment horizontal="right"/>
    </xf>
    <xf numFmtId="217" fontId="6" fillId="0" borderId="0" xfId="0" applyNumberFormat="1" applyFont="1" applyAlignment="1">
      <alignment horizontal="right"/>
    </xf>
    <xf numFmtId="217" fontId="6" fillId="0" borderId="12" xfId="0" applyNumberFormat="1" applyFont="1" applyBorder="1" applyAlignment="1">
      <alignment horizontal="right"/>
    </xf>
    <xf numFmtId="0" fontId="2" fillId="0" borderId="9" xfId="0" applyFont="1" applyBorder="1"/>
    <xf numFmtId="217" fontId="7" fillId="0" borderId="8" xfId="0" applyNumberFormat="1" applyFont="1" applyBorder="1" applyAlignment="1">
      <alignment horizontal="right"/>
    </xf>
    <xf numFmtId="166" fontId="7" fillId="0" borderId="2" xfId="28" applyNumberFormat="1" applyFont="1" applyFill="1" applyBorder="1"/>
    <xf numFmtId="8" fontId="7" fillId="9" borderId="3" xfId="10" applyNumberFormat="1" applyFont="1" applyFill="1" applyBorder="1"/>
    <xf numFmtId="0" fontId="7" fillId="9" borderId="3" xfId="0" applyFont="1" applyFill="1" applyBorder="1"/>
    <xf numFmtId="0" fontId="7" fillId="9" borderId="14" xfId="0" applyFont="1" applyFill="1" applyBorder="1"/>
    <xf numFmtId="0" fontId="0" fillId="9" borderId="3" xfId="0" applyFill="1" applyBorder="1"/>
    <xf numFmtId="0" fontId="0" fillId="9" borderId="14" xfId="0" applyFill="1" applyBorder="1"/>
    <xf numFmtId="9" fontId="53" fillId="0" borderId="9" xfId="28" applyFont="1" applyBorder="1"/>
    <xf numFmtId="5" fontId="7" fillId="0" borderId="0" xfId="10" applyNumberFormat="1" applyFont="1" applyFill="1" applyBorder="1" applyAlignment="1">
      <alignment horizontal="right"/>
    </xf>
    <xf numFmtId="5" fontId="7" fillId="0" borderId="9" xfId="10" applyNumberFormat="1" applyFont="1" applyFill="1" applyBorder="1" applyAlignment="1">
      <alignment horizontal="right"/>
    </xf>
    <xf numFmtId="5" fontId="7" fillId="0" borderId="0" xfId="10" applyNumberFormat="1" applyFont="1" applyFill="1" applyAlignment="1">
      <alignment horizontal="right"/>
    </xf>
    <xf numFmtId="166" fontId="6" fillId="0" borderId="11" xfId="28" applyNumberFormat="1" applyFont="1" applyBorder="1"/>
    <xf numFmtId="166" fontId="6" fillId="0" borderId="2" xfId="28" applyNumberFormat="1" applyFont="1" applyBorder="1"/>
    <xf numFmtId="166" fontId="34" fillId="0" borderId="0" xfId="28" applyNumberFormat="1" applyFont="1"/>
    <xf numFmtId="0" fontId="53" fillId="0" borderId="9" xfId="0" applyFont="1" applyBorder="1"/>
    <xf numFmtId="37" fontId="53" fillId="0" borderId="9" xfId="10" applyNumberFormat="1" applyFont="1" applyFill="1" applyBorder="1"/>
    <xf numFmtId="37" fontId="53" fillId="0" borderId="0" xfId="10" applyNumberFormat="1" applyFont="1" applyAlignment="1"/>
    <xf numFmtId="166" fontId="52" fillId="0" borderId="0" xfId="28" applyNumberFormat="1" applyFont="1" applyFill="1" applyBorder="1"/>
    <xf numFmtId="166" fontId="53" fillId="0" borderId="0" xfId="28" applyNumberFormat="1" applyFont="1" applyFill="1" applyBorder="1"/>
    <xf numFmtId="198" fontId="53" fillId="0" borderId="0" xfId="28" applyNumberFormat="1" applyFont="1"/>
    <xf numFmtId="166" fontId="52" fillId="0" borderId="0" xfId="28" applyNumberFormat="1" applyFont="1" applyAlignment="1">
      <alignment horizontal="right"/>
    </xf>
    <xf numFmtId="166" fontId="53" fillId="0" borderId="0" xfId="28" applyNumberFormat="1" applyFont="1" applyAlignment="1">
      <alignment horizontal="right"/>
    </xf>
    <xf numFmtId="166" fontId="53" fillId="0" borderId="0" xfId="28" applyNumberFormat="1" applyFont="1" applyFill="1"/>
    <xf numFmtId="38" fontId="53" fillId="0" borderId="9" xfId="10" applyNumberFormat="1" applyFont="1" applyFill="1" applyBorder="1"/>
    <xf numFmtId="38" fontId="53" fillId="0" borderId="0" xfId="10" applyNumberFormat="1" applyFont="1" applyFill="1"/>
    <xf numFmtId="6" fontId="7" fillId="0" borderId="8" xfId="10" applyNumberFormat="1" applyFont="1" applyBorder="1"/>
    <xf numFmtId="38" fontId="9" fillId="0" borderId="10" xfId="10" applyNumberFormat="1" applyFont="1" applyBorder="1"/>
    <xf numFmtId="184" fontId="53" fillId="0" borderId="9" xfId="0" applyNumberFormat="1" applyFont="1" applyFill="1" applyBorder="1" applyProtection="1"/>
    <xf numFmtId="184" fontId="53" fillId="0" borderId="0" xfId="0" applyNumberFormat="1" applyFont="1" applyProtection="1"/>
    <xf numFmtId="166" fontId="53" fillId="0" borderId="9" xfId="34" applyNumberFormat="1" applyFont="1" applyFill="1" applyBorder="1" applyAlignment="1"/>
    <xf numFmtId="198" fontId="53" fillId="0" borderId="9" xfId="28" applyNumberFormat="1" applyFont="1" applyFill="1" applyBorder="1" applyProtection="1"/>
    <xf numFmtId="198" fontId="53" fillId="0" borderId="0" xfId="0" applyNumberFormat="1" applyFont="1"/>
    <xf numFmtId="198" fontId="53" fillId="0" borderId="0" xfId="28" applyNumberFormat="1" applyFont="1" applyProtection="1"/>
    <xf numFmtId="184" fontId="6" fillId="0" borderId="12" xfId="0" applyNumberFormat="1" applyFont="1" applyFill="1" applyBorder="1"/>
    <xf numFmtId="184" fontId="6" fillId="0" borderId="0" xfId="0" applyNumberFormat="1" applyFont="1" applyFill="1" applyBorder="1"/>
    <xf numFmtId="184" fontId="6" fillId="0" borderId="9" xfId="0" applyNumberFormat="1" applyFont="1" applyFill="1" applyBorder="1"/>
    <xf numFmtId="184" fontId="0" fillId="0" borderId="0" xfId="0" applyNumberFormat="1"/>
    <xf numFmtId="37" fontId="2" fillId="0" borderId="12" xfId="0" applyNumberFormat="1" applyFont="1" applyFill="1" applyBorder="1"/>
    <xf numFmtId="37" fontId="2" fillId="0" borderId="0" xfId="0" applyNumberFormat="1" applyFont="1" applyFill="1" applyBorder="1"/>
    <xf numFmtId="37" fontId="2" fillId="0" borderId="9" xfId="0" applyNumberFormat="1" applyFont="1" applyFill="1" applyBorder="1"/>
    <xf numFmtId="38" fontId="2" fillId="0" borderId="12" xfId="0" applyNumberFormat="1" applyFont="1" applyFill="1" applyBorder="1"/>
    <xf numFmtId="38" fontId="2" fillId="0" borderId="0" xfId="0" applyNumberFormat="1" applyFont="1" applyFill="1" applyBorder="1"/>
    <xf numFmtId="38" fontId="2" fillId="0" borderId="9" xfId="0" applyNumberFormat="1" applyFont="1" applyFill="1" applyBorder="1"/>
    <xf numFmtId="38" fontId="2" fillId="0" borderId="12" xfId="10" applyNumberFormat="1" applyFont="1" applyFill="1" applyBorder="1"/>
    <xf numFmtId="38" fontId="2" fillId="0" borderId="11" xfId="10" applyNumberFormat="1" applyFont="1" applyFill="1" applyBorder="1"/>
    <xf numFmtId="38" fontId="2" fillId="0" borderId="10" xfId="10" applyNumberFormat="1" applyFont="1" applyFill="1" applyBorder="1"/>
    <xf numFmtId="173" fontId="2" fillId="0" borderId="12" xfId="10" applyNumberFormat="1" applyFont="1" applyFill="1" applyBorder="1"/>
    <xf numFmtId="173" fontId="2" fillId="0" borderId="0" xfId="10" applyNumberFormat="1" applyFont="1" applyFill="1" applyBorder="1"/>
    <xf numFmtId="173" fontId="2" fillId="0" borderId="9" xfId="10" applyNumberFormat="1" applyFont="1" applyFill="1" applyBorder="1"/>
    <xf numFmtId="233" fontId="2" fillId="0" borderId="0" xfId="10" applyNumberFormat="1" applyFont="1" applyFill="1" applyBorder="1"/>
    <xf numFmtId="172" fontId="2" fillId="0" borderId="0" xfId="10" applyNumberFormat="1" applyFont="1" applyFill="1" applyBorder="1"/>
    <xf numFmtId="172" fontId="2" fillId="0" borderId="9" xfId="10" applyNumberFormat="1" applyFont="1" applyFill="1" applyBorder="1"/>
    <xf numFmtId="171" fontId="2" fillId="0" borderId="0" xfId="10" applyNumberFormat="1" applyFont="1" applyFill="1" applyBorder="1"/>
    <xf numFmtId="171" fontId="2" fillId="0" borderId="9" xfId="10" applyNumberFormat="1" applyFont="1" applyFill="1" applyBorder="1"/>
    <xf numFmtId="0" fontId="2" fillId="3" borderId="3" xfId="34" applyFont="1" applyFill="1" applyBorder="1" applyAlignment="1">
      <alignment horizontal="center"/>
    </xf>
    <xf numFmtId="0" fontId="2" fillId="3" borderId="14" xfId="34" applyFont="1" applyFill="1" applyBorder="1" applyAlignment="1">
      <alignment horizontal="center"/>
    </xf>
    <xf numFmtId="8" fontId="2" fillId="0" borderId="12" xfId="0" applyNumberFormat="1" applyFont="1" applyBorder="1"/>
    <xf numFmtId="8" fontId="2" fillId="0" borderId="0" xfId="0" applyNumberFormat="1" applyFont="1" applyBorder="1"/>
    <xf numFmtId="8" fontId="2" fillId="0" borderId="0" xfId="0" applyNumberFormat="1" applyFont="1" applyFill="1" applyBorder="1"/>
    <xf numFmtId="8" fontId="2" fillId="0" borderId="9" xfId="0" applyNumberFormat="1" applyFont="1" applyBorder="1"/>
    <xf numFmtId="0" fontId="2" fillId="0" borderId="12" xfId="0" applyFont="1" applyFill="1" applyBorder="1"/>
    <xf numFmtId="172" fontId="2" fillId="0" borderId="12" xfId="10" applyNumberFormat="1" applyFont="1" applyBorder="1"/>
    <xf numFmtId="172" fontId="2" fillId="0" borderId="9" xfId="10" applyNumberFormat="1" applyFont="1" applyBorder="1"/>
    <xf numFmtId="7" fontId="2" fillId="0" borderId="0" xfId="10" applyNumberFormat="1" applyFont="1" applyFill="1" applyBorder="1"/>
    <xf numFmtId="7" fontId="53" fillId="0" borderId="8" xfId="10" applyNumberFormat="1" applyFont="1" applyFill="1" applyBorder="1"/>
    <xf numFmtId="38" fontId="53" fillId="0" borderId="0" xfId="10" applyNumberFormat="1" applyFont="1" applyFill="1" applyBorder="1"/>
    <xf numFmtId="5" fontId="7" fillId="9" borderId="3" xfId="0" applyNumberFormat="1" applyFont="1" applyFill="1" applyBorder="1"/>
    <xf numFmtId="5" fontId="7" fillId="9" borderId="14" xfId="0" applyNumberFormat="1" applyFont="1" applyFill="1" applyBorder="1"/>
    <xf numFmtId="6" fontId="7" fillId="0" borderId="12" xfId="10" applyNumberFormat="1" applyFont="1" applyFill="1" applyBorder="1"/>
    <xf numFmtId="6" fontId="7" fillId="0" borderId="9" xfId="10" applyNumberFormat="1" applyFont="1" applyFill="1" applyBorder="1"/>
    <xf numFmtId="6" fontId="7" fillId="0" borderId="0" xfId="10" applyNumberFormat="1" applyFont="1" applyFill="1" applyBorder="1"/>
    <xf numFmtId="6" fontId="7" fillId="0" borderId="2" xfId="10" applyNumberFormat="1" applyFont="1" applyFill="1" applyBorder="1"/>
    <xf numFmtId="6" fontId="7" fillId="0" borderId="10" xfId="10" applyNumberFormat="1" applyFont="1" applyFill="1" applyBorder="1"/>
    <xf numFmtId="6" fontId="7" fillId="0" borderId="11" xfId="10" applyNumberFormat="1" applyFont="1" applyFill="1" applyBorder="1"/>
    <xf numFmtId="5" fontId="6" fillId="0" borderId="0" xfId="0" applyNumberFormat="1" applyFont="1" applyBorder="1"/>
    <xf numFmtId="38" fontId="6" fillId="0" borderId="10" xfId="0" applyNumberFormat="1" applyFont="1" applyFill="1" applyBorder="1"/>
    <xf numFmtId="37" fontId="6" fillId="0" borderId="0" xfId="0" applyNumberFormat="1" applyFont="1" applyFill="1" applyBorder="1" applyProtection="1"/>
    <xf numFmtId="38" fontId="2" fillId="0" borderId="11" xfId="0" applyNumberFormat="1" applyFont="1" applyFill="1" applyBorder="1"/>
    <xf numFmtId="38" fontId="2" fillId="0" borderId="2" xfId="0" applyNumberFormat="1" applyFont="1" applyFill="1" applyBorder="1"/>
    <xf numFmtId="38" fontId="2" fillId="0" borderId="10" xfId="0" applyNumberFormat="1" applyFont="1" applyFill="1" applyBorder="1"/>
    <xf numFmtId="38" fontId="53" fillId="0" borderId="10" xfId="10" applyNumberFormat="1" applyFont="1" applyFill="1" applyBorder="1"/>
    <xf numFmtId="173" fontId="6" fillId="7" borderId="0" xfId="0" applyNumberFormat="1" applyFont="1" applyFill="1" applyBorder="1"/>
    <xf numFmtId="173" fontId="6" fillId="7" borderId="0" xfId="23" applyNumberFormat="1" applyFont="1" applyFill="1" applyBorder="1" applyAlignment="1" applyProtection="1"/>
    <xf numFmtId="0" fontId="6" fillId="7" borderId="0" xfId="0" applyFont="1" applyFill="1" applyBorder="1"/>
    <xf numFmtId="166" fontId="6" fillId="7" borderId="0" xfId="0" applyNumberFormat="1" applyFont="1" applyFill="1" applyBorder="1"/>
    <xf numFmtId="166" fontId="6" fillId="7" borderId="0" xfId="28" applyNumberFormat="1" applyFont="1" applyFill="1" applyBorder="1"/>
    <xf numFmtId="173" fontId="6" fillId="7" borderId="0" xfId="10" applyNumberFormat="1" applyFont="1" applyFill="1" applyBorder="1"/>
    <xf numFmtId="205" fontId="6" fillId="7" borderId="0" xfId="0" applyNumberFormat="1" applyFont="1" applyFill="1" applyBorder="1"/>
    <xf numFmtId="37" fontId="6" fillId="7" borderId="0" xfId="0" applyNumberFormat="1" applyFont="1" applyFill="1" applyBorder="1"/>
    <xf numFmtId="224" fontId="18" fillId="7" borderId="3" xfId="0" applyNumberFormat="1" applyFont="1" applyFill="1" applyBorder="1" applyAlignment="1" applyProtection="1">
      <alignment horizontal="right"/>
    </xf>
    <xf numFmtId="173" fontId="6" fillId="7" borderId="0" xfId="23" applyNumberFormat="1" applyFont="1" applyFill="1" applyBorder="1"/>
    <xf numFmtId="173" fontId="2" fillId="7" borderId="0" xfId="23" applyNumberFormat="1" applyFont="1" applyFill="1" applyBorder="1"/>
    <xf numFmtId="166" fontId="6" fillId="7" borderId="0" xfId="28" applyNumberFormat="1" applyFont="1" applyFill="1"/>
    <xf numFmtId="165" fontId="6" fillId="7" borderId="0" xfId="34" applyNumberFormat="1" applyFont="1" applyFill="1" applyAlignment="1"/>
    <xf numFmtId="165" fontId="9" fillId="7" borderId="0" xfId="34" applyNumberFormat="1" applyFont="1" applyFill="1" applyAlignment="1"/>
    <xf numFmtId="172" fontId="6" fillId="7" borderId="0" xfId="10" applyNumberFormat="1" applyFont="1" applyFill="1" applyAlignment="1">
      <alignment horizontal="right"/>
    </xf>
    <xf numFmtId="172" fontId="6" fillId="7" borderId="0" xfId="10" applyNumberFormat="1" applyFont="1" applyFill="1"/>
    <xf numFmtId="7" fontId="6" fillId="7" borderId="0" xfId="28" applyNumberFormat="1" applyFont="1" applyFill="1"/>
    <xf numFmtId="172" fontId="6" fillId="7" borderId="0" xfId="0" applyNumberFormat="1" applyFont="1" applyFill="1" applyBorder="1"/>
    <xf numFmtId="7" fontId="2" fillId="7" borderId="0" xfId="10" applyNumberFormat="1" applyFont="1" applyFill="1" applyBorder="1"/>
    <xf numFmtId="200" fontId="6" fillId="7" borderId="0" xfId="28" applyNumberFormat="1" applyFont="1" applyFill="1"/>
    <xf numFmtId="173" fontId="6" fillId="7" borderId="0" xfId="10" applyNumberFormat="1" applyFont="1" applyFill="1"/>
    <xf numFmtId="40" fontId="6" fillId="7" borderId="0" xfId="10" applyNumberFormat="1" applyFont="1" applyFill="1" applyBorder="1"/>
    <xf numFmtId="5" fontId="6" fillId="7" borderId="0" xfId="28" applyNumberFormat="1" applyFont="1" applyFill="1"/>
    <xf numFmtId="0" fontId="6" fillId="7" borderId="2" xfId="0" applyFont="1" applyFill="1" applyBorder="1"/>
    <xf numFmtId="41" fontId="6" fillId="7" borderId="0" xfId="0" applyNumberFormat="1" applyFont="1" applyFill="1" applyBorder="1"/>
    <xf numFmtId="172" fontId="9" fillId="7" borderId="0" xfId="10" applyNumberFormat="1" applyFont="1" applyFill="1"/>
    <xf numFmtId="37" fontId="6" fillId="7" borderId="0" xfId="0" applyNumberFormat="1" applyFont="1" applyFill="1"/>
    <xf numFmtId="38" fontId="6" fillId="7" borderId="0" xfId="10" applyNumberFormat="1" applyFont="1" applyFill="1"/>
    <xf numFmtId="38" fontId="6" fillId="7" borderId="0" xfId="0" applyNumberFormat="1" applyFont="1" applyFill="1"/>
    <xf numFmtId="38" fontId="6" fillId="7" borderId="0" xfId="10" applyNumberFormat="1" applyFont="1" applyFill="1" applyBorder="1"/>
    <xf numFmtId="6" fontId="7" fillId="7" borderId="4" xfId="10" applyNumberFormat="1" applyFont="1" applyFill="1" applyBorder="1"/>
    <xf numFmtId="37" fontId="7" fillId="7" borderId="0" xfId="0" applyNumberFormat="1" applyFont="1" applyFill="1" applyBorder="1"/>
    <xf numFmtId="38" fontId="6" fillId="7" borderId="2" xfId="10" applyNumberFormat="1" applyFont="1" applyFill="1" applyBorder="1"/>
    <xf numFmtId="37" fontId="7" fillId="7" borderId="0" xfId="0" applyNumberFormat="1" applyFont="1" applyFill="1"/>
    <xf numFmtId="37" fontId="6" fillId="7" borderId="0" xfId="0" applyNumberFormat="1" applyFont="1" applyFill="1" applyProtection="1"/>
    <xf numFmtId="6" fontId="7" fillId="7" borderId="0" xfId="10" applyNumberFormat="1" applyFont="1" applyFill="1" applyBorder="1"/>
    <xf numFmtId="175" fontId="6" fillId="7" borderId="0" xfId="0" applyNumberFormat="1" applyFont="1" applyFill="1"/>
    <xf numFmtId="5" fontId="6" fillId="7" borderId="0" xfId="0" applyNumberFormat="1" applyFont="1" applyFill="1"/>
    <xf numFmtId="38" fontId="6" fillId="7" borderId="2" xfId="0" applyNumberFormat="1" applyFont="1" applyFill="1" applyBorder="1"/>
    <xf numFmtId="5" fontId="7" fillId="7" borderId="4" xfId="10" applyNumberFormat="1" applyFont="1" applyFill="1" applyBorder="1"/>
    <xf numFmtId="205" fontId="6" fillId="7" borderId="0" xfId="10" applyNumberFormat="1" applyFont="1" applyFill="1" applyBorder="1"/>
    <xf numFmtId="37" fontId="6" fillId="7" borderId="0" xfId="10" applyNumberFormat="1" applyFont="1" applyFill="1" applyBorder="1"/>
    <xf numFmtId="38" fontId="9" fillId="7" borderId="2" xfId="10" applyNumberFormat="1" applyFont="1" applyFill="1" applyBorder="1"/>
    <xf numFmtId="37" fontId="6" fillId="7" borderId="0" xfId="28" applyNumberFormat="1" applyFont="1" applyFill="1" applyBorder="1"/>
    <xf numFmtId="166" fontId="7" fillId="7" borderId="0" xfId="28" applyNumberFormat="1" applyFont="1" applyFill="1" applyBorder="1"/>
    <xf numFmtId="6" fontId="6" fillId="7" borderId="2" xfId="10" applyNumberFormat="1" applyFont="1" applyFill="1" applyBorder="1"/>
    <xf numFmtId="179" fontId="6" fillId="7" borderId="0" xfId="10" applyNumberFormat="1" applyFont="1" applyFill="1" applyBorder="1"/>
    <xf numFmtId="41" fontId="6" fillId="7" borderId="0" xfId="10" applyNumberFormat="1" applyFont="1" applyFill="1" applyBorder="1"/>
    <xf numFmtId="38" fontId="6" fillId="7" borderId="0" xfId="0" applyNumberFormat="1" applyFont="1" applyFill="1" applyProtection="1"/>
    <xf numFmtId="38" fontId="6" fillId="7" borderId="0" xfId="0" applyNumberFormat="1" applyFont="1" applyFill="1" applyBorder="1" applyProtection="1"/>
    <xf numFmtId="183" fontId="6" fillId="7" borderId="0" xfId="0" applyNumberFormat="1" applyFont="1" applyFill="1"/>
    <xf numFmtId="184" fontId="6" fillId="7" borderId="0" xfId="0" applyNumberFormat="1" applyFont="1" applyFill="1" applyBorder="1" applyProtection="1"/>
    <xf numFmtId="198" fontId="6" fillId="7" borderId="0" xfId="0" applyNumberFormat="1" applyFont="1" applyFill="1" applyBorder="1"/>
    <xf numFmtId="198" fontId="6" fillId="7" borderId="0" xfId="28" applyNumberFormat="1" applyFont="1" applyFill="1" applyBorder="1" applyProtection="1"/>
    <xf numFmtId="201" fontId="6" fillId="7" borderId="0" xfId="0" applyNumberFormat="1" applyFont="1" applyFill="1" applyBorder="1"/>
    <xf numFmtId="198" fontId="6" fillId="7" borderId="0" xfId="28" applyNumberFormat="1" applyFont="1" applyFill="1" applyBorder="1"/>
    <xf numFmtId="215" fontId="6" fillId="7" borderId="0" xfId="34" applyNumberFormat="1" applyFont="1" applyFill="1" applyBorder="1" applyAlignment="1"/>
    <xf numFmtId="0" fontId="12" fillId="7" borderId="0" xfId="0" applyFont="1" applyFill="1" applyBorder="1"/>
    <xf numFmtId="171" fontId="6" fillId="7" borderId="0" xfId="0" applyNumberFormat="1" applyFont="1" applyFill="1" applyBorder="1"/>
    <xf numFmtId="8" fontId="6" fillId="7" borderId="0" xfId="0" applyNumberFormat="1" applyFont="1" applyFill="1" applyBorder="1"/>
    <xf numFmtId="173" fontId="6" fillId="7" borderId="0" xfId="0" applyNumberFormat="1" applyFont="1" applyFill="1" applyBorder="1" applyProtection="1"/>
    <xf numFmtId="38" fontId="6" fillId="7" borderId="2" xfId="0" applyNumberFormat="1" applyFont="1" applyFill="1" applyBorder="1" applyProtection="1"/>
    <xf numFmtId="0" fontId="6" fillId="7" borderId="0" xfId="34" applyFont="1" applyFill="1" applyBorder="1" applyAlignment="1"/>
    <xf numFmtId="166" fontId="11" fillId="7" borderId="0" xfId="34" applyNumberFormat="1" applyFont="1" applyFill="1" applyBorder="1" applyAlignment="1" applyProtection="1">
      <protection locked="0"/>
    </xf>
    <xf numFmtId="184" fontId="6" fillId="7" borderId="0" xfId="0" applyNumberFormat="1" applyFont="1" applyFill="1" applyProtection="1"/>
    <xf numFmtId="0" fontId="6" fillId="7" borderId="0" xfId="0" applyFont="1" applyFill="1"/>
    <xf numFmtId="205" fontId="6" fillId="7" borderId="0" xfId="10" applyNumberFormat="1" applyFont="1" applyFill="1"/>
    <xf numFmtId="5" fontId="7" fillId="7" borderId="0" xfId="23" applyNumberFormat="1" applyFont="1" applyFill="1" applyBorder="1"/>
    <xf numFmtId="205" fontId="6" fillId="7" borderId="0" xfId="0" applyNumberFormat="1" applyFont="1" applyFill="1"/>
    <xf numFmtId="0" fontId="7" fillId="7" borderId="0" xfId="0" applyFont="1" applyFill="1"/>
    <xf numFmtId="166" fontId="7" fillId="7" borderId="0" xfId="28" applyNumberFormat="1" applyFont="1" applyFill="1"/>
    <xf numFmtId="37" fontId="14" fillId="7" borderId="0" xfId="23" applyNumberFormat="1" applyFont="1" applyFill="1" applyAlignment="1"/>
    <xf numFmtId="37" fontId="7" fillId="7" borderId="0" xfId="23" applyNumberFormat="1" applyFont="1" applyFill="1" applyAlignment="1"/>
    <xf numFmtId="37" fontId="6" fillId="7" borderId="0" xfId="23" applyNumberFormat="1" applyFont="1" applyFill="1" applyAlignment="1"/>
    <xf numFmtId="37" fontId="7" fillId="7" borderId="0" xfId="10" applyNumberFormat="1" applyFont="1" applyFill="1"/>
    <xf numFmtId="37" fontId="6" fillId="7" borderId="0" xfId="10" applyNumberFormat="1" applyFont="1" applyFill="1"/>
    <xf numFmtId="205" fontId="6" fillId="7" borderId="0" xfId="10" applyNumberFormat="1" applyFont="1" applyFill="1" applyAlignment="1"/>
    <xf numFmtId="166" fontId="6" fillId="7" borderId="0" xfId="0" applyNumberFormat="1" applyFont="1" applyFill="1"/>
    <xf numFmtId="166" fontId="6" fillId="7" borderId="0" xfId="28" quotePrefix="1" applyNumberFormat="1" applyFont="1" applyFill="1" applyAlignment="1">
      <alignment horizontal="right"/>
    </xf>
    <xf numFmtId="166" fontId="7" fillId="7" borderId="4" xfId="28" applyNumberFormat="1" applyFont="1" applyFill="1" applyBorder="1"/>
    <xf numFmtId="187" fontId="6" fillId="7" borderId="0" xfId="0" applyNumberFormat="1" applyFont="1" applyFill="1"/>
    <xf numFmtId="165" fontId="6" fillId="7" borderId="0" xfId="0" applyNumberFormat="1" applyFont="1" applyFill="1"/>
    <xf numFmtId="38" fontId="6" fillId="7" borderId="2" xfId="23" applyNumberFormat="1" applyFont="1" applyFill="1" applyBorder="1" applyAlignment="1" applyProtection="1"/>
    <xf numFmtId="6" fontId="6" fillId="7" borderId="0" xfId="23" applyNumberFormat="1" applyFont="1" applyFill="1" applyBorder="1" applyAlignment="1" applyProtection="1"/>
    <xf numFmtId="37" fontId="6" fillId="7" borderId="0" xfId="23" applyNumberFormat="1" applyFont="1" applyFill="1" applyBorder="1" applyAlignment="1" applyProtection="1"/>
    <xf numFmtId="38" fontId="6" fillId="7" borderId="0" xfId="23" applyNumberFormat="1" applyFont="1" applyFill="1" applyBorder="1" applyAlignment="1" applyProtection="1"/>
    <xf numFmtId="6" fontId="7" fillId="7" borderId="0" xfId="23" applyNumberFormat="1" applyFont="1" applyFill="1" applyBorder="1" applyAlignment="1" applyProtection="1"/>
    <xf numFmtId="37" fontId="7" fillId="7" borderId="0" xfId="23" applyNumberFormat="1" applyFont="1" applyFill="1" applyBorder="1" applyAlignment="1" applyProtection="1"/>
    <xf numFmtId="6" fontId="7" fillId="7" borderId="4" xfId="23" applyNumberFormat="1" applyFont="1" applyFill="1" applyBorder="1" applyAlignment="1" applyProtection="1"/>
    <xf numFmtId="173" fontId="6" fillId="7" borderId="2" xfId="23" applyNumberFormat="1" applyFont="1" applyFill="1" applyBorder="1" applyAlignment="1" applyProtection="1"/>
    <xf numFmtId="41" fontId="8" fillId="7" borderId="0" xfId="23" applyNumberFormat="1" applyFont="1" applyFill="1" applyBorder="1" applyAlignment="1" applyProtection="1"/>
    <xf numFmtId="205" fontId="7" fillId="7" borderId="4" xfId="0" applyNumberFormat="1" applyFont="1" applyFill="1" applyBorder="1" applyAlignment="1">
      <alignment horizontal="right"/>
    </xf>
    <xf numFmtId="205" fontId="6" fillId="7" borderId="0" xfId="0" applyNumberFormat="1" applyFont="1" applyFill="1" applyBorder="1" applyAlignment="1">
      <alignment horizontal="right"/>
    </xf>
    <xf numFmtId="0" fontId="6" fillId="7" borderId="3" xfId="34" applyFont="1" applyFill="1" applyBorder="1" applyAlignment="1">
      <alignment horizontal="center"/>
    </xf>
    <xf numFmtId="10" fontId="6" fillId="7" borderId="0" xfId="28" applyNumberFormat="1" applyFont="1" applyFill="1" applyBorder="1"/>
    <xf numFmtId="172" fontId="7" fillId="7" borderId="0" xfId="10" applyNumberFormat="1" applyFont="1" applyFill="1"/>
    <xf numFmtId="173" fontId="6" fillId="7" borderId="0" xfId="23" applyNumberFormat="1" applyFont="1" applyFill="1"/>
    <xf numFmtId="188" fontId="14" fillId="7" borderId="0" xfId="22" applyNumberFormat="1" applyFont="1" applyFill="1" applyBorder="1"/>
    <xf numFmtId="169" fontId="6" fillId="7" borderId="0" xfId="23" applyNumberFormat="1" applyFont="1" applyFill="1" applyBorder="1"/>
    <xf numFmtId="169" fontId="7" fillId="7" borderId="0" xfId="23" applyNumberFormat="1" applyFont="1" applyFill="1" applyBorder="1"/>
    <xf numFmtId="203" fontId="14" fillId="7" borderId="0" xfId="22" applyNumberFormat="1" applyFont="1" applyFill="1"/>
    <xf numFmtId="170" fontId="7" fillId="7" borderId="3" xfId="0" applyNumberFormat="1" applyFont="1" applyFill="1" applyBorder="1" applyAlignment="1" applyProtection="1">
      <alignment horizontal="left"/>
    </xf>
    <xf numFmtId="170" fontId="7" fillId="7" borderId="0" xfId="0" applyNumberFormat="1" applyFont="1" applyFill="1" applyBorder="1" applyAlignment="1" applyProtection="1">
      <alignment horizontal="left"/>
    </xf>
    <xf numFmtId="166" fontId="6" fillId="7" borderId="0" xfId="28" applyNumberFormat="1" applyFont="1" applyFill="1" applyBorder="1" applyAlignment="1"/>
    <xf numFmtId="166" fontId="2" fillId="7" borderId="0" xfId="28" applyNumberFormat="1" applyFont="1" applyFill="1" applyBorder="1" applyAlignment="1"/>
    <xf numFmtId="166" fontId="7" fillId="7" borderId="0" xfId="28" applyNumberFormat="1" applyFont="1" applyFill="1" applyBorder="1" applyAlignment="1" applyProtection="1">
      <alignment horizontal="left"/>
    </xf>
    <xf numFmtId="217" fontId="6" fillId="7" borderId="0" xfId="28" applyNumberFormat="1" applyFont="1" applyFill="1"/>
    <xf numFmtId="166" fontId="6" fillId="7" borderId="0" xfId="28" applyNumberFormat="1" applyFont="1" applyFill="1" applyAlignment="1">
      <alignment horizontal="right"/>
    </xf>
    <xf numFmtId="166" fontId="7" fillId="7" borderId="0" xfId="28" applyNumberFormat="1" applyFont="1" applyFill="1" applyAlignment="1">
      <alignment horizontal="right"/>
    </xf>
    <xf numFmtId="166" fontId="7" fillId="7" borderId="2" xfId="28" applyNumberFormat="1" applyFont="1" applyFill="1" applyBorder="1"/>
    <xf numFmtId="166" fontId="6" fillId="7" borderId="0" xfId="28" applyNumberFormat="1" applyFont="1" applyFill="1" applyBorder="1" applyAlignment="1" applyProtection="1"/>
    <xf numFmtId="219" fontId="6" fillId="7" borderId="0" xfId="34" applyNumberFormat="1" applyFont="1" applyFill="1" applyBorder="1" applyAlignment="1">
      <alignment horizontal="right"/>
    </xf>
    <xf numFmtId="7" fontId="7" fillId="7" borderId="0" xfId="10" applyNumberFormat="1" applyFont="1" applyFill="1" applyBorder="1" applyAlignment="1">
      <alignment horizontal="right"/>
    </xf>
    <xf numFmtId="219" fontId="7" fillId="7" borderId="0" xfId="34" applyNumberFormat="1" applyFont="1" applyFill="1" applyBorder="1" applyAlignment="1">
      <alignment horizontal="right"/>
    </xf>
    <xf numFmtId="7" fontId="7" fillId="7" borderId="0" xfId="10" applyNumberFormat="1" applyFont="1" applyFill="1" applyBorder="1"/>
    <xf numFmtId="9" fontId="6" fillId="7" borderId="3" xfId="0" applyNumberFormat="1" applyFont="1" applyFill="1" applyBorder="1"/>
    <xf numFmtId="173" fontId="6" fillId="7" borderId="0" xfId="34" applyNumberFormat="1" applyFont="1" applyFill="1" applyBorder="1" applyAlignment="1"/>
    <xf numFmtId="173" fontId="6" fillId="7" borderId="2" xfId="34" applyNumberFormat="1" applyFont="1" applyFill="1" applyBorder="1" applyAlignment="1"/>
    <xf numFmtId="173" fontId="7" fillId="7" borderId="4" xfId="0" applyNumberFormat="1" applyFont="1" applyFill="1" applyBorder="1"/>
    <xf numFmtId="173" fontId="6" fillId="7" borderId="2" xfId="10" applyNumberFormat="1" applyFont="1" applyFill="1" applyBorder="1"/>
    <xf numFmtId="173" fontId="7" fillId="7" borderId="0" xfId="10" applyNumberFormat="1" applyFont="1" applyFill="1" applyBorder="1"/>
    <xf numFmtId="171" fontId="6" fillId="7" borderId="0" xfId="10" applyNumberFormat="1" applyFont="1" applyFill="1" applyBorder="1"/>
    <xf numFmtId="7" fontId="6" fillId="7" borderId="0" xfId="10" applyNumberFormat="1" applyFont="1" applyFill="1" applyBorder="1"/>
    <xf numFmtId="216" fontId="6" fillId="7" borderId="0" xfId="10" applyNumberFormat="1" applyFont="1" applyFill="1" applyBorder="1"/>
    <xf numFmtId="0" fontId="6" fillId="7" borderId="3" xfId="0" applyFont="1" applyFill="1" applyBorder="1"/>
    <xf numFmtId="217" fontId="7" fillId="7" borderId="0" xfId="0" applyNumberFormat="1" applyFont="1" applyFill="1" applyAlignment="1">
      <alignment horizontal="right"/>
    </xf>
    <xf numFmtId="217" fontId="6" fillId="7" borderId="0" xfId="0" applyNumberFormat="1" applyFont="1" applyFill="1" applyBorder="1" applyAlignment="1">
      <alignment horizontal="right"/>
    </xf>
    <xf numFmtId="217" fontId="6" fillId="7" borderId="0" xfId="28" applyNumberFormat="1" applyFont="1" applyFill="1" applyBorder="1" applyAlignment="1">
      <alignment horizontal="right"/>
    </xf>
    <xf numFmtId="171" fontId="6" fillId="7" borderId="0" xfId="10" applyNumberFormat="1" applyFont="1" applyFill="1" applyBorder="1" applyAlignment="1">
      <alignment horizontal="center"/>
    </xf>
    <xf numFmtId="166" fontId="6" fillId="7" borderId="0" xfId="0" applyNumberFormat="1" applyFont="1" applyFill="1" applyBorder="1" applyAlignment="1" applyProtection="1">
      <alignment horizontal="right"/>
    </xf>
    <xf numFmtId="177" fontId="6" fillId="7" borderId="0" xfId="0" applyNumberFormat="1" applyFont="1" applyFill="1" applyBorder="1" applyAlignment="1" applyProtection="1">
      <alignment horizontal="right"/>
    </xf>
    <xf numFmtId="172" fontId="6" fillId="7" borderId="0" xfId="10" applyNumberFormat="1" applyFont="1" applyFill="1" applyBorder="1" applyAlignment="1">
      <alignment horizontal="center"/>
    </xf>
    <xf numFmtId="186" fontId="6" fillId="7" borderId="0" xfId="0" quotePrefix="1" applyNumberFormat="1" applyFont="1" applyFill="1" applyBorder="1" applyAlignment="1">
      <alignment horizontal="right"/>
    </xf>
    <xf numFmtId="8" fontId="6" fillId="7" borderId="0" xfId="0" quotePrefix="1" applyNumberFormat="1" applyFont="1" applyFill="1" applyBorder="1" applyAlignment="1">
      <alignment horizontal="right"/>
    </xf>
    <xf numFmtId="166" fontId="4" fillId="7" borderId="0" xfId="28" applyNumberFormat="1" applyFont="1" applyFill="1" applyAlignment="1">
      <alignment horizontal="right"/>
    </xf>
    <xf numFmtId="0" fontId="4" fillId="7" borderId="0" xfId="0" applyFont="1" applyFill="1"/>
    <xf numFmtId="166" fontId="6" fillId="0" borderId="9" xfId="28" applyNumberFormat="1" applyFont="1" applyBorder="1" applyAlignment="1">
      <alignment horizontal="right"/>
    </xf>
    <xf numFmtId="41" fontId="0" fillId="0" borderId="0" xfId="0" applyNumberFormat="1" applyBorder="1"/>
    <xf numFmtId="166" fontId="7" fillId="0" borderId="9" xfId="28" applyNumberFormat="1" applyFont="1" applyFill="1" applyBorder="1" applyAlignment="1" applyProtection="1">
      <alignment horizontal="left"/>
    </xf>
    <xf numFmtId="0" fontId="0" fillId="0" borderId="0" xfId="0"/>
    <xf numFmtId="166" fontId="4" fillId="0" borderId="0" xfId="0" applyNumberFormat="1" applyFont="1" applyFill="1"/>
    <xf numFmtId="166" fontId="4" fillId="0" borderId="0" xfId="28" applyNumberFormat="1" applyFont="1" applyFill="1" applyAlignment="1">
      <alignment horizontal="right"/>
    </xf>
    <xf numFmtId="166" fontId="0" fillId="0" borderId="9" xfId="28" applyNumberFormat="1" applyFont="1" applyFill="1" applyBorder="1"/>
    <xf numFmtId="166" fontId="0" fillId="0" borderId="12" xfId="28" applyNumberFormat="1" applyFont="1" applyFill="1" applyBorder="1"/>
    <xf numFmtId="0" fontId="2" fillId="0" borderId="0" xfId="0" applyFont="1" applyAlignment="1">
      <alignment vertical="center"/>
    </xf>
    <xf numFmtId="0" fontId="0" fillId="0" borderId="0" xfId="0" applyAlignment="1">
      <alignment vertical="center"/>
    </xf>
    <xf numFmtId="0" fontId="0" fillId="0" borderId="0" xfId="0" applyFill="1" applyBorder="1" applyAlignment="1">
      <alignment vertical="center"/>
    </xf>
    <xf numFmtId="0" fontId="0" fillId="0" borderId="12" xfId="0" applyFill="1" applyBorder="1" applyAlignment="1">
      <alignment vertical="center"/>
    </xf>
    <xf numFmtId="166" fontId="6" fillId="0" borderId="11" xfId="28" applyNumberFormat="1" applyFont="1" applyFill="1" applyBorder="1"/>
    <xf numFmtId="0" fontId="15" fillId="3" borderId="2" xfId="23" applyFont="1" applyFill="1" applyBorder="1"/>
    <xf numFmtId="166" fontId="6" fillId="0" borderId="12" xfId="28" applyNumberFormat="1" applyFont="1" applyFill="1" applyBorder="1" applyAlignment="1">
      <alignment horizontal="right"/>
    </xf>
    <xf numFmtId="0" fontId="16" fillId="9" borderId="3" xfId="0" applyFont="1" applyFill="1" applyBorder="1"/>
    <xf numFmtId="0" fontId="0" fillId="9" borderId="6" xfId="0" applyFill="1" applyBorder="1"/>
    <xf numFmtId="166" fontId="0" fillId="9" borderId="6" xfId="28" applyNumberFormat="1" applyFont="1" applyFill="1" applyBorder="1"/>
    <xf numFmtId="166" fontId="0" fillId="9" borderId="3" xfId="28" applyNumberFormat="1" applyFont="1" applyFill="1" applyBorder="1"/>
    <xf numFmtId="166" fontId="0" fillId="9" borderId="14" xfId="28" applyNumberFormat="1" applyFont="1" applyFill="1" applyBorder="1"/>
    <xf numFmtId="166" fontId="0" fillId="0" borderId="0" xfId="28" applyNumberFormat="1" applyFont="1" applyFill="1" applyBorder="1"/>
    <xf numFmtId="0" fontId="15" fillId="9" borderId="6" xfId="23" applyFont="1" applyFill="1" applyBorder="1"/>
    <xf numFmtId="0" fontId="15" fillId="9" borderId="3" xfId="23" applyFont="1" applyFill="1" applyBorder="1"/>
    <xf numFmtId="166" fontId="7" fillId="0" borderId="0" xfId="23" applyNumberFormat="1" applyFont="1" applyBorder="1" applyAlignment="1">
      <alignment horizontal="left" indent="1"/>
    </xf>
    <xf numFmtId="0" fontId="55" fillId="0" borderId="0" xfId="0" applyFont="1" applyAlignment="1">
      <alignment horizontal="center" vertical="center" wrapText="1"/>
    </xf>
    <xf numFmtId="0" fontId="55" fillId="0" borderId="9" xfId="0" applyFont="1" applyFill="1" applyBorder="1" applyAlignment="1">
      <alignment horizontal="center" vertical="center" wrapText="1"/>
    </xf>
    <xf numFmtId="0" fontId="55" fillId="0" borderId="12" xfId="0" applyFont="1" applyFill="1" applyBorder="1" applyAlignment="1">
      <alignment horizontal="center" vertical="center" wrapText="1"/>
    </xf>
    <xf numFmtId="0" fontId="55" fillId="0" borderId="9" xfId="0" applyFont="1" applyBorder="1" applyAlignment="1">
      <alignment horizontal="center" vertical="center" wrapText="1"/>
    </xf>
    <xf numFmtId="0" fontId="55" fillId="0" borderId="12" xfId="0" applyFont="1" applyBorder="1" applyAlignment="1">
      <alignment horizontal="center" vertical="center" wrapText="1"/>
    </xf>
    <xf numFmtId="0" fontId="55" fillId="0" borderId="12" xfId="0" applyFont="1" applyFill="1" applyBorder="1" applyAlignment="1">
      <alignment vertical="center"/>
    </xf>
    <xf numFmtId="0" fontId="55" fillId="0" borderId="0" xfId="0" applyFont="1" applyAlignment="1">
      <alignment vertical="center"/>
    </xf>
    <xf numFmtId="0" fontId="55" fillId="0" borderId="12" xfId="0" applyFont="1" applyBorder="1" applyAlignment="1">
      <alignment vertical="center"/>
    </xf>
    <xf numFmtId="0" fontId="55" fillId="7" borderId="0" xfId="0" applyFont="1" applyFill="1" applyAlignment="1">
      <alignment vertical="center"/>
    </xf>
    <xf numFmtId="0" fontId="56" fillId="0" borderId="0" xfId="0" applyFont="1" applyAlignment="1">
      <alignment horizontal="center" vertical="center" wrapText="1"/>
    </xf>
    <xf numFmtId="0" fontId="56" fillId="0" borderId="9" xfId="0" applyFont="1" applyFill="1" applyBorder="1" applyAlignment="1">
      <alignment horizontal="center" vertical="center" wrapText="1"/>
    </xf>
    <xf numFmtId="0" fontId="56" fillId="0" borderId="12" xfId="0" applyFont="1" applyFill="1" applyBorder="1" applyAlignment="1">
      <alignment horizontal="center" vertical="center" wrapText="1"/>
    </xf>
    <xf numFmtId="0" fontId="56" fillId="0" borderId="9" xfId="0" applyFont="1" applyBorder="1" applyAlignment="1">
      <alignment horizontal="center" vertical="center" wrapText="1"/>
    </xf>
    <xf numFmtId="0" fontId="56" fillId="0" borderId="12" xfId="0" applyFont="1" applyBorder="1" applyAlignment="1">
      <alignment horizontal="center" vertical="center" wrapText="1"/>
    </xf>
    <xf numFmtId="0" fontId="56" fillId="0" borderId="0" xfId="0" applyFont="1" applyAlignment="1">
      <alignment vertical="center" wrapText="1"/>
    </xf>
    <xf numFmtId="0" fontId="56" fillId="7" borderId="0" xfId="0" applyFont="1" applyFill="1" applyAlignment="1">
      <alignment vertical="center" wrapText="1"/>
    </xf>
    <xf numFmtId="0" fontId="56" fillId="0" borderId="12" xfId="0" applyFont="1" applyFill="1" applyBorder="1" applyAlignment="1">
      <alignment vertical="center" wrapText="1"/>
    </xf>
    <xf numFmtId="0" fontId="56" fillId="0" borderId="0" xfId="0" applyFont="1"/>
    <xf numFmtId="0" fontId="56" fillId="0" borderId="9" xfId="0" applyFont="1" applyFill="1" applyBorder="1"/>
    <xf numFmtId="0" fontId="56" fillId="0" borderId="12" xfId="0" applyFont="1" applyFill="1" applyBorder="1"/>
    <xf numFmtId="0" fontId="56" fillId="0" borderId="9" xfId="0" applyFont="1" applyBorder="1"/>
    <xf numFmtId="0" fontId="56" fillId="0" borderId="12" xfId="0" applyFont="1" applyBorder="1"/>
    <xf numFmtId="0" fontId="56" fillId="7" borderId="0" xfId="0" applyFont="1" applyFill="1"/>
    <xf numFmtId="0" fontId="16" fillId="0" borderId="0" xfId="0" applyFont="1" applyBorder="1"/>
    <xf numFmtId="181" fontId="11" fillId="0" borderId="10" xfId="0" applyNumberFormat="1" applyFont="1" applyFill="1" applyBorder="1" applyAlignment="1" applyProtection="1">
      <alignment horizontal="right"/>
    </xf>
    <xf numFmtId="181" fontId="15" fillId="0" borderId="9" xfId="0" applyNumberFormat="1" applyFont="1" applyBorder="1" applyAlignment="1" applyProtection="1">
      <alignment horizontal="center"/>
    </xf>
    <xf numFmtId="0" fontId="7" fillId="0" borderId="9" xfId="0" applyNumberFormat="1" applyFont="1" applyFill="1" applyBorder="1" applyAlignment="1" applyProtection="1">
      <alignment horizontal="right"/>
    </xf>
    <xf numFmtId="171" fontId="53" fillId="0" borderId="0" xfId="10" applyNumberFormat="1" applyFont="1" applyFill="1" applyBorder="1"/>
    <xf numFmtId="166" fontId="6" fillId="0" borderId="7" xfId="28" applyNumberFormat="1" applyFont="1" applyFill="1" applyBorder="1" applyAlignment="1">
      <alignment horizontal="right"/>
    </xf>
    <xf numFmtId="166" fontId="6" fillId="0" borderId="4" xfId="28" applyNumberFormat="1" applyFont="1" applyFill="1" applyBorder="1" applyAlignment="1">
      <alignment horizontal="right"/>
    </xf>
    <xf numFmtId="166" fontId="6" fillId="0" borderId="8" xfId="28" applyNumberFormat="1" applyFont="1" applyFill="1" applyBorder="1" applyAlignment="1">
      <alignment horizontal="right"/>
    </xf>
    <xf numFmtId="166" fontId="7" fillId="0" borderId="12" xfId="28" applyNumberFormat="1" applyFont="1" applyFill="1" applyBorder="1" applyAlignment="1">
      <alignment horizontal="right"/>
    </xf>
    <xf numFmtId="166" fontId="7" fillId="0" borderId="9" xfId="28" applyNumberFormat="1" applyFont="1" applyFill="1" applyBorder="1" applyAlignment="1">
      <alignment horizontal="right"/>
    </xf>
    <xf numFmtId="166" fontId="6" fillId="0" borderId="0" xfId="28" applyNumberFormat="1" applyFont="1" applyFill="1" applyBorder="1" applyAlignment="1" applyProtection="1">
      <alignment horizontal="right"/>
    </xf>
    <xf numFmtId="166" fontId="0" fillId="0" borderId="0" xfId="28" applyNumberFormat="1" applyFont="1" applyBorder="1" applyAlignment="1">
      <alignment horizontal="right"/>
    </xf>
    <xf numFmtId="166" fontId="0" fillId="0" borderId="0" xfId="28" applyNumberFormat="1" applyFont="1" applyAlignment="1">
      <alignment horizontal="right"/>
    </xf>
    <xf numFmtId="166" fontId="0" fillId="0" borderId="12" xfId="28" applyNumberFormat="1" applyFont="1" applyBorder="1" applyAlignment="1">
      <alignment horizontal="right"/>
    </xf>
    <xf numFmtId="166" fontId="0" fillId="0" borderId="9" xfId="28" applyNumberFormat="1" applyFont="1" applyBorder="1" applyAlignment="1">
      <alignment horizontal="right"/>
    </xf>
    <xf numFmtId="166" fontId="7" fillId="0" borderId="0" xfId="28" applyNumberFormat="1" applyFont="1" applyAlignment="1">
      <alignment horizontal="right"/>
    </xf>
    <xf numFmtId="166" fontId="7" fillId="0" borderId="9" xfId="28" applyNumberFormat="1" applyFont="1" applyBorder="1" applyAlignment="1">
      <alignment horizontal="right"/>
    </xf>
    <xf numFmtId="166" fontId="7" fillId="0" borderId="11" xfId="28" applyNumberFormat="1" applyFont="1" applyBorder="1" applyAlignment="1">
      <alignment horizontal="right"/>
    </xf>
    <xf numFmtId="166" fontId="7" fillId="0" borderId="2" xfId="28" applyNumberFormat="1" applyFont="1" applyBorder="1" applyAlignment="1">
      <alignment horizontal="right"/>
    </xf>
    <xf numFmtId="166" fontId="7" fillId="0" borderId="10" xfId="28" applyNumberFormat="1" applyFont="1" applyFill="1" applyBorder="1" applyAlignment="1">
      <alignment horizontal="right"/>
    </xf>
    <xf numFmtId="172" fontId="7" fillId="0" borderId="12" xfId="10" applyNumberFormat="1" applyFont="1" applyBorder="1"/>
    <xf numFmtId="188" fontId="6" fillId="0" borderId="12" xfId="22" applyNumberFormat="1" applyFont="1" applyFill="1" applyBorder="1"/>
    <xf numFmtId="169" fontId="6" fillId="0" borderId="12" xfId="23" applyNumberFormat="1" applyFont="1" applyFill="1" applyBorder="1"/>
    <xf numFmtId="10" fontId="6" fillId="0" borderId="11" xfId="28" applyNumberFormat="1" applyFont="1" applyFill="1" applyBorder="1"/>
    <xf numFmtId="10" fontId="6" fillId="0" borderId="10" xfId="28" applyNumberFormat="1" applyFont="1" applyFill="1" applyBorder="1"/>
    <xf numFmtId="217" fontId="7" fillId="0" borderId="7" xfId="0" applyNumberFormat="1" applyFont="1" applyBorder="1" applyAlignment="1">
      <alignment horizontal="right"/>
    </xf>
    <xf numFmtId="217" fontId="7" fillId="0" borderId="4" xfId="0" applyNumberFormat="1" applyFont="1" applyBorder="1" applyAlignment="1">
      <alignment horizontal="right"/>
    </xf>
    <xf numFmtId="217" fontId="7" fillId="0" borderId="0" xfId="0" applyNumberFormat="1" applyFont="1" applyBorder="1" applyAlignment="1">
      <alignment horizontal="right"/>
    </xf>
    <xf numFmtId="0" fontId="0" fillId="0" borderId="0" xfId="0"/>
    <xf numFmtId="0" fontId="55" fillId="0" borderId="9" xfId="0" applyFont="1" applyBorder="1" applyAlignment="1">
      <alignment vertical="center"/>
    </xf>
    <xf numFmtId="10" fontId="6" fillId="0" borderId="3" xfId="28" applyNumberFormat="1" applyFont="1" applyFill="1" applyBorder="1"/>
    <xf numFmtId="10" fontId="6" fillId="7" borderId="3" xfId="28" applyNumberFormat="1" applyFont="1" applyFill="1" applyBorder="1"/>
    <xf numFmtId="212" fontId="14" fillId="0" borderId="3" xfId="16" applyNumberFormat="1" applyFont="1" applyBorder="1"/>
    <xf numFmtId="212" fontId="14" fillId="0" borderId="14" xfId="16" applyNumberFormat="1" applyFont="1" applyBorder="1"/>
    <xf numFmtId="166" fontId="11" fillId="0" borderId="3" xfId="10" applyNumberFormat="1" applyFont="1" applyBorder="1" applyAlignment="1">
      <alignment horizontal="left"/>
    </xf>
    <xf numFmtId="43" fontId="6" fillId="0" borderId="3" xfId="10" applyFont="1" applyFill="1" applyBorder="1"/>
    <xf numFmtId="43" fontId="6" fillId="0" borderId="14" xfId="10" applyFont="1" applyFill="1" applyBorder="1"/>
    <xf numFmtId="10" fontId="6" fillId="0" borderId="14" xfId="28" applyNumberFormat="1" applyFont="1" applyFill="1" applyBorder="1"/>
    <xf numFmtId="205" fontId="6" fillId="0" borderId="0" xfId="0" applyNumberFormat="1" applyFont="1" applyFill="1" applyBorder="1" applyAlignment="1" applyProtection="1">
      <alignment horizontal="right"/>
    </xf>
    <xf numFmtId="205" fontId="6" fillId="0" borderId="9" xfId="0" applyNumberFormat="1" applyFont="1" applyFill="1" applyBorder="1" applyAlignment="1" applyProtection="1">
      <alignment horizontal="right"/>
    </xf>
    <xf numFmtId="205" fontId="6" fillId="0" borderId="12" xfId="0" applyNumberFormat="1" applyFont="1" applyFill="1" applyBorder="1" applyAlignment="1" applyProtection="1">
      <alignment horizontal="right"/>
    </xf>
    <xf numFmtId="205" fontId="6" fillId="0" borderId="0" xfId="0" applyNumberFormat="1" applyFont="1" applyFill="1" applyBorder="1" applyAlignment="1" applyProtection="1">
      <alignment horizontal="center"/>
    </xf>
    <xf numFmtId="205" fontId="6" fillId="7" borderId="0" xfId="0" applyNumberFormat="1" applyFont="1" applyFill="1" applyBorder="1" applyAlignment="1" applyProtection="1">
      <alignment horizontal="right"/>
    </xf>
    <xf numFmtId="166" fontId="7" fillId="0" borderId="0" xfId="0" applyNumberFormat="1" applyFont="1" applyFill="1" applyBorder="1" applyAlignment="1" applyProtection="1">
      <alignment horizontal="center"/>
    </xf>
    <xf numFmtId="166" fontId="7" fillId="0" borderId="9" xfId="0" applyNumberFormat="1" applyFont="1" applyFill="1" applyBorder="1" applyAlignment="1" applyProtection="1">
      <alignment horizontal="center"/>
    </xf>
    <xf numFmtId="166" fontId="7" fillId="7" borderId="0" xfId="0" applyNumberFormat="1" applyFont="1" applyFill="1" applyBorder="1" applyAlignment="1" applyProtection="1">
      <alignment horizontal="right"/>
    </xf>
    <xf numFmtId="0" fontId="0" fillId="0" borderId="0" xfId="0"/>
    <xf numFmtId="0" fontId="0" fillId="0" borderId="0" xfId="0"/>
    <xf numFmtId="0" fontId="0" fillId="0" borderId="0" xfId="0"/>
    <xf numFmtId="168" fontId="6" fillId="12" borderId="0" xfId="34" applyNumberFormat="1" applyFont="1" applyFill="1" applyAlignment="1">
      <alignment horizontal="left"/>
    </xf>
    <xf numFmtId="168" fontId="6" fillId="11" borderId="0" xfId="0" applyNumberFormat="1" applyFont="1" applyFill="1" applyAlignment="1" applyProtection="1">
      <alignment horizontal="left" indent="1"/>
    </xf>
    <xf numFmtId="168" fontId="2" fillId="0" borderId="0" xfId="34" applyNumberFormat="1" applyFont="1" applyFill="1" applyAlignment="1">
      <alignment horizontal="left"/>
    </xf>
    <xf numFmtId="38" fontId="2" fillId="0" borderId="0" xfId="0" quotePrefix="1" applyNumberFormat="1" applyFont="1"/>
    <xf numFmtId="165" fontId="0" fillId="0" borderId="0" xfId="0" applyNumberFormat="1"/>
    <xf numFmtId="2" fontId="6" fillId="0" borderId="0" xfId="34" applyNumberFormat="1" applyFont="1" applyBorder="1" applyAlignment="1"/>
    <xf numFmtId="2" fontId="6" fillId="12" borderId="0" xfId="34" applyNumberFormat="1" applyFont="1" applyFill="1" applyBorder="1" applyAlignment="1"/>
    <xf numFmtId="0" fontId="62" fillId="0" borderId="0" xfId="0" applyFont="1"/>
    <xf numFmtId="168" fontId="63" fillId="0" borderId="0" xfId="0" applyNumberFormat="1" applyFont="1" applyBorder="1" applyAlignment="1" applyProtection="1">
      <alignment horizontal="left"/>
    </xf>
    <xf numFmtId="0" fontId="64" fillId="0" borderId="0" xfId="0" applyFont="1" applyBorder="1"/>
    <xf numFmtId="240" fontId="65" fillId="0" borderId="0" xfId="0" applyNumberFormat="1" applyFont="1" applyFill="1" applyBorder="1" applyAlignment="1">
      <alignment horizontal="right" vertical="center"/>
    </xf>
    <xf numFmtId="0" fontId="65" fillId="0" borderId="0" xfId="0" applyFont="1" applyFill="1" applyBorder="1" applyAlignment="1">
      <alignment horizontal="right" vertical="center"/>
    </xf>
    <xf numFmtId="0" fontId="65" fillId="0" borderId="0" xfId="0" applyFont="1" applyBorder="1" applyAlignment="1">
      <alignment horizontal="right"/>
    </xf>
    <xf numFmtId="2" fontId="7" fillId="0" borderId="0" xfId="34" applyNumberFormat="1" applyFont="1" applyBorder="1" applyAlignment="1"/>
    <xf numFmtId="0" fontId="0" fillId="0" borderId="0" xfId="0"/>
    <xf numFmtId="166" fontId="4" fillId="0" borderId="9" xfId="28" applyNumberFormat="1" applyFont="1" applyFill="1" applyBorder="1" applyAlignment="1">
      <alignment horizontal="right"/>
    </xf>
    <xf numFmtId="205" fontId="7" fillId="7" borderId="0" xfId="0" applyNumberFormat="1" applyFont="1" applyFill="1" applyBorder="1"/>
    <xf numFmtId="175" fontId="6" fillId="0" borderId="0" xfId="0" applyNumberFormat="1" applyFont="1" applyFill="1"/>
    <xf numFmtId="172" fontId="6" fillId="0" borderId="0" xfId="10" applyNumberFormat="1" applyFont="1" applyFill="1" applyAlignment="1">
      <alignment horizontal="right"/>
    </xf>
    <xf numFmtId="172" fontId="6" fillId="0" borderId="15" xfId="10" applyNumberFormat="1" applyFont="1" applyFill="1" applyBorder="1"/>
    <xf numFmtId="171" fontId="9" fillId="0" borderId="9" xfId="10" applyNumberFormat="1" applyFont="1" applyFill="1" applyBorder="1"/>
    <xf numFmtId="173" fontId="6" fillId="0" borderId="16" xfId="10" applyNumberFormat="1" applyFont="1" applyFill="1" applyBorder="1"/>
    <xf numFmtId="166" fontId="6" fillId="0" borderId="15" xfId="28" applyNumberFormat="1" applyFont="1" applyFill="1" applyBorder="1"/>
    <xf numFmtId="37" fontId="6" fillId="0" borderId="0" xfId="34" applyNumberFormat="1" applyFont="1" applyFill="1" applyAlignment="1"/>
    <xf numFmtId="184" fontId="0" fillId="0" borderId="0" xfId="0" applyNumberFormat="1" applyFill="1" applyBorder="1"/>
    <xf numFmtId="166" fontId="2" fillId="7" borderId="0" xfId="28" applyNumberFormat="1" applyFont="1" applyFill="1" applyBorder="1"/>
    <xf numFmtId="166" fontId="7" fillId="7" borderId="0" xfId="0" applyNumberFormat="1" applyFont="1" applyFill="1" applyBorder="1"/>
    <xf numFmtId="0" fontId="53" fillId="0" borderId="9" xfId="0" applyFont="1" applyFill="1" applyBorder="1"/>
    <xf numFmtId="187" fontId="6" fillId="0" borderId="9" xfId="0" applyNumberFormat="1" applyFont="1" applyFill="1" applyBorder="1"/>
    <xf numFmtId="6" fontId="7" fillId="0" borderId="4" xfId="23" applyNumberFormat="1" applyFont="1" applyFill="1" applyBorder="1" applyAlignment="1" applyProtection="1"/>
    <xf numFmtId="9" fontId="7" fillId="0" borderId="0" xfId="23" applyNumberFormat="1" applyFont="1" applyFill="1" applyBorder="1" applyAlignment="1" applyProtection="1"/>
    <xf numFmtId="9" fontId="6" fillId="0" borderId="3" xfId="0" applyNumberFormat="1" applyFont="1" applyFill="1" applyBorder="1"/>
    <xf numFmtId="217" fontId="7" fillId="0" borderId="0" xfId="0" applyNumberFormat="1" applyFont="1" applyFill="1" applyAlignment="1">
      <alignment horizontal="right"/>
    </xf>
    <xf numFmtId="172" fontId="6" fillId="0" borderId="0" xfId="10" applyNumberFormat="1" applyFont="1" applyFill="1" applyBorder="1" applyAlignment="1">
      <alignment horizontal="center"/>
    </xf>
    <xf numFmtId="41" fontId="0" fillId="0" borderId="0" xfId="0" applyNumberFormat="1" applyFill="1"/>
    <xf numFmtId="188" fontId="0" fillId="0" borderId="0" xfId="0" applyNumberFormat="1" applyFill="1"/>
    <xf numFmtId="166" fontId="0" fillId="0" borderId="0" xfId="28" applyNumberFormat="1" applyFont="1" applyFill="1" applyAlignment="1">
      <alignment horizontal="right"/>
    </xf>
    <xf numFmtId="166" fontId="54" fillId="0" borderId="0" xfId="28" applyNumberFormat="1" applyFont="1" applyFill="1"/>
    <xf numFmtId="0" fontId="4" fillId="0" borderId="9" xfId="0" applyFont="1" applyFill="1" applyBorder="1"/>
    <xf numFmtId="166" fontId="4" fillId="0" borderId="9" xfId="28" applyNumberFormat="1" applyFont="1" applyFill="1" applyBorder="1"/>
    <xf numFmtId="5" fontId="4" fillId="0" borderId="9" xfId="0" applyNumberFormat="1" applyFont="1" applyFill="1" applyBorder="1"/>
    <xf numFmtId="0" fontId="2" fillId="7" borderId="0" xfId="0" applyFont="1" applyFill="1"/>
    <xf numFmtId="217" fontId="7" fillId="0" borderId="8" xfId="0" applyNumberFormat="1" applyFont="1" applyFill="1" applyBorder="1" applyAlignment="1">
      <alignment horizontal="right"/>
    </xf>
    <xf numFmtId="217" fontId="7" fillId="0" borderId="9" xfId="0" applyNumberFormat="1" applyFont="1" applyFill="1" applyBorder="1" applyAlignment="1">
      <alignment horizontal="right"/>
    </xf>
    <xf numFmtId="0" fontId="0" fillId="0" borderId="14" xfId="0" applyFill="1" applyBorder="1"/>
    <xf numFmtId="0" fontId="0" fillId="0" borderId="8" xfId="0" applyFill="1" applyBorder="1"/>
    <xf numFmtId="217" fontId="7" fillId="0" borderId="9" xfId="28" applyNumberFormat="1" applyFont="1" applyFill="1" applyBorder="1"/>
    <xf numFmtId="208" fontId="6" fillId="0" borderId="9" xfId="0" applyNumberFormat="1" applyFont="1" applyFill="1" applyBorder="1"/>
    <xf numFmtId="166" fontId="0" fillId="0" borderId="9" xfId="28" applyNumberFormat="1" applyFont="1" applyFill="1" applyBorder="1" applyAlignment="1">
      <alignment horizontal="right"/>
    </xf>
    <xf numFmtId="5" fontId="0" fillId="0" borderId="0" xfId="0" applyNumberFormat="1" applyFill="1"/>
    <xf numFmtId="172" fontId="53" fillId="0" borderId="9" xfId="10" applyNumberFormat="1" applyFont="1" applyFill="1" applyBorder="1"/>
    <xf numFmtId="0" fontId="53" fillId="0" borderId="0" xfId="0" applyFont="1" applyFill="1"/>
    <xf numFmtId="0" fontId="53" fillId="0" borderId="0" xfId="0" applyFont="1" applyFill="1" applyBorder="1"/>
    <xf numFmtId="172" fontId="53" fillId="0" borderId="0" xfId="10" applyNumberFormat="1" applyFont="1" applyFill="1"/>
    <xf numFmtId="172" fontId="53" fillId="0" borderId="0" xfId="10" applyNumberFormat="1" applyFont="1" applyFill="1" applyBorder="1"/>
    <xf numFmtId="37" fontId="2" fillId="0" borderId="9" xfId="10" applyNumberFormat="1" applyFont="1" applyFill="1" applyBorder="1"/>
    <xf numFmtId="236" fontId="2" fillId="0" borderId="9" xfId="0" applyNumberFormat="1" applyFont="1" applyFill="1" applyBorder="1"/>
    <xf numFmtId="236" fontId="2" fillId="0" borderId="0" xfId="0" applyNumberFormat="1" applyFont="1" applyFill="1" applyBorder="1"/>
    <xf numFmtId="41" fontId="6" fillId="0" borderId="0" xfId="0" applyNumberFormat="1" applyFont="1" applyFill="1" applyAlignment="1">
      <alignment horizontal="right"/>
    </xf>
    <xf numFmtId="41" fontId="6" fillId="0" borderId="0" xfId="10" applyNumberFormat="1" applyFont="1" applyAlignment="1">
      <alignment horizontal="right"/>
    </xf>
    <xf numFmtId="41" fontId="7" fillId="0" borderId="0" xfId="10" applyNumberFormat="1" applyFont="1" applyFill="1" applyAlignment="1">
      <alignment horizontal="right"/>
    </xf>
    <xf numFmtId="41" fontId="6" fillId="0" borderId="9" xfId="0" applyNumberFormat="1" applyFont="1" applyFill="1" applyBorder="1" applyAlignment="1">
      <alignment horizontal="right"/>
    </xf>
    <xf numFmtId="41" fontId="6" fillId="7" borderId="0" xfId="0" applyNumberFormat="1" applyFont="1" applyFill="1" applyBorder="1" applyAlignment="1">
      <alignment horizontal="right"/>
    </xf>
    <xf numFmtId="41" fontId="6" fillId="0" borderId="0" xfId="0" applyNumberFormat="1" applyFont="1" applyBorder="1" applyAlignment="1">
      <alignment horizontal="right"/>
    </xf>
    <xf numFmtId="41" fontId="6" fillId="0" borderId="9" xfId="0" applyNumberFormat="1" applyFont="1" applyBorder="1" applyAlignment="1">
      <alignment horizontal="right"/>
    </xf>
    <xf numFmtId="41" fontId="6" fillId="0" borderId="0" xfId="0" applyNumberFormat="1" applyFont="1" applyFill="1" applyBorder="1" applyAlignment="1">
      <alignment horizontal="right"/>
    </xf>
    <xf numFmtId="41" fontId="6" fillId="0" borderId="0" xfId="0" applyNumberFormat="1" applyFont="1" applyAlignment="1">
      <alignment horizontal="right"/>
    </xf>
    <xf numFmtId="41" fontId="6" fillId="7" borderId="0" xfId="0" applyNumberFormat="1" applyFont="1" applyFill="1" applyAlignment="1">
      <alignment horizontal="right"/>
    </xf>
    <xf numFmtId="41" fontId="6" fillId="0" borderId="12" xfId="0" applyNumberFormat="1" applyFont="1" applyFill="1" applyBorder="1" applyAlignment="1">
      <alignment horizontal="right"/>
    </xf>
    <xf numFmtId="41" fontId="14" fillId="0" borderId="0" xfId="10" applyNumberFormat="1" applyFont="1" applyFill="1" applyAlignment="1">
      <alignment horizontal="right"/>
    </xf>
    <xf numFmtId="41" fontId="14" fillId="0" borderId="9" xfId="10" applyNumberFormat="1" applyFont="1" applyFill="1" applyBorder="1" applyAlignment="1">
      <alignment horizontal="right"/>
    </xf>
    <xf numFmtId="41" fontId="14" fillId="0" borderId="0" xfId="10" applyNumberFormat="1" applyFont="1" applyFill="1" applyBorder="1" applyAlignment="1">
      <alignment horizontal="right"/>
    </xf>
    <xf numFmtId="41" fontId="8" fillId="0" borderId="0" xfId="23" applyNumberFormat="1" applyFont="1" applyBorder="1" applyAlignment="1" applyProtection="1">
      <alignment horizontal="right"/>
    </xf>
    <xf numFmtId="41" fontId="6" fillId="0" borderId="0" xfId="10" applyNumberFormat="1" applyFont="1" applyFill="1" applyAlignment="1">
      <alignment horizontal="right"/>
    </xf>
    <xf numFmtId="41" fontId="6" fillId="0" borderId="0" xfId="10" applyNumberFormat="1" applyFont="1" applyFill="1" applyBorder="1" applyAlignment="1">
      <alignment horizontal="right"/>
    </xf>
    <xf numFmtId="41" fontId="6" fillId="0" borderId="9" xfId="10" applyNumberFormat="1" applyFont="1" applyFill="1" applyBorder="1" applyAlignment="1">
      <alignment horizontal="right"/>
    </xf>
    <xf numFmtId="41" fontId="53" fillId="0" borderId="0" xfId="0" applyNumberFormat="1" applyFont="1" applyAlignment="1">
      <alignment horizontal="right"/>
    </xf>
    <xf numFmtId="41" fontId="53" fillId="0" borderId="0" xfId="0" applyNumberFormat="1" applyFont="1" applyFill="1" applyAlignment="1">
      <alignment horizontal="right"/>
    </xf>
    <xf numFmtId="41" fontId="53" fillId="0" borderId="9" xfId="0" applyNumberFormat="1" applyFont="1" applyBorder="1" applyAlignment="1">
      <alignment horizontal="right"/>
    </xf>
    <xf numFmtId="41" fontId="53" fillId="0" borderId="9" xfId="10" applyNumberFormat="1" applyFont="1" applyFill="1" applyBorder="1" applyAlignment="1">
      <alignment horizontal="right"/>
    </xf>
    <xf numFmtId="41" fontId="6" fillId="0" borderId="0" xfId="28" applyNumberFormat="1" applyFont="1" applyBorder="1" applyAlignment="1">
      <alignment horizontal="right"/>
    </xf>
    <xf numFmtId="41" fontId="6" fillId="0" borderId="9" xfId="28" applyNumberFormat="1" applyFont="1" applyBorder="1" applyAlignment="1">
      <alignment horizontal="right"/>
    </xf>
    <xf numFmtId="41" fontId="6" fillId="0" borderId="0" xfId="28" applyNumberFormat="1" applyFont="1" applyAlignment="1">
      <alignment horizontal="right"/>
    </xf>
    <xf numFmtId="41" fontId="6" fillId="0" borderId="0" xfId="10" applyNumberFormat="1" applyFont="1" applyBorder="1" applyAlignment="1">
      <alignment horizontal="right"/>
    </xf>
    <xf numFmtId="41" fontId="6" fillId="0" borderId="12" xfId="10" applyNumberFormat="1" applyFont="1" applyFill="1" applyBorder="1" applyAlignment="1">
      <alignment horizontal="right"/>
    </xf>
    <xf numFmtId="41" fontId="6" fillId="0" borderId="0" xfId="28" applyNumberFormat="1" applyFont="1" applyFill="1" applyAlignment="1">
      <alignment horizontal="right"/>
    </xf>
    <xf numFmtId="41" fontId="2" fillId="0" borderId="9" xfId="10" applyNumberFormat="1" applyFont="1" applyFill="1" applyBorder="1" applyAlignment="1">
      <alignment horizontal="right"/>
    </xf>
    <xf numFmtId="41" fontId="2" fillId="0" borderId="9" xfId="10" applyNumberFormat="1" applyFont="1" applyBorder="1" applyAlignment="1">
      <alignment horizontal="right"/>
    </xf>
    <xf numFmtId="41" fontId="34" fillId="0" borderId="0" xfId="28" applyNumberFormat="1" applyFont="1" applyFill="1" applyBorder="1" applyAlignment="1">
      <alignment horizontal="right"/>
    </xf>
    <xf numFmtId="41" fontId="53" fillId="0" borderId="0" xfId="10" applyNumberFormat="1" applyFont="1" applyFill="1" applyAlignment="1">
      <alignment horizontal="right"/>
    </xf>
    <xf numFmtId="41" fontId="8" fillId="0" borderId="0" xfId="10" applyNumberFormat="1" applyFont="1" applyFill="1" applyAlignment="1">
      <alignment horizontal="right"/>
    </xf>
    <xf numFmtId="41" fontId="8" fillId="0" borderId="9" xfId="10" applyNumberFormat="1" applyFont="1" applyFill="1" applyBorder="1" applyAlignment="1">
      <alignment horizontal="right"/>
    </xf>
    <xf numFmtId="41" fontId="8" fillId="0" borderId="0" xfId="10" applyNumberFormat="1" applyFont="1" applyBorder="1" applyAlignment="1">
      <alignment horizontal="right"/>
    </xf>
    <xf numFmtId="41" fontId="8" fillId="0" borderId="9" xfId="10" applyNumberFormat="1" applyFont="1" applyBorder="1" applyAlignment="1">
      <alignment horizontal="right"/>
    </xf>
    <xf numFmtId="41" fontId="8" fillId="0" borderId="0" xfId="10" applyNumberFormat="1" applyFont="1" applyAlignment="1">
      <alignment horizontal="right"/>
    </xf>
    <xf numFmtId="41" fontId="0" fillId="0" borderId="12" xfId="0" applyNumberFormat="1" applyBorder="1" applyAlignment="1">
      <alignment horizontal="right"/>
    </xf>
    <xf numFmtId="41" fontId="8" fillId="0" borderId="0" xfId="10" applyNumberFormat="1" applyFont="1" applyFill="1" applyBorder="1" applyAlignment="1">
      <alignment horizontal="right"/>
    </xf>
    <xf numFmtId="41" fontId="53" fillId="0" borderId="9" xfId="0" applyNumberFormat="1" applyFont="1" applyFill="1" applyBorder="1" applyAlignment="1">
      <alignment horizontal="right"/>
    </xf>
    <xf numFmtId="41" fontId="2" fillId="0" borderId="9" xfId="0" applyNumberFormat="1" applyFont="1" applyFill="1" applyBorder="1" applyAlignment="1">
      <alignment horizontal="right"/>
    </xf>
    <xf numFmtId="41" fontId="6" fillId="0" borderId="9" xfId="10" applyNumberFormat="1" applyFont="1" applyBorder="1" applyAlignment="1">
      <alignment horizontal="right"/>
    </xf>
    <xf numFmtId="41" fontId="6" fillId="7" borderId="0" xfId="10" applyNumberFormat="1" applyFont="1" applyFill="1" applyAlignment="1">
      <alignment horizontal="right"/>
    </xf>
    <xf numFmtId="41" fontId="7" fillId="0" borderId="9" xfId="10" applyNumberFormat="1" applyFont="1" applyFill="1" applyBorder="1" applyAlignment="1">
      <alignment horizontal="right"/>
    </xf>
    <xf numFmtId="41" fontId="7" fillId="0" borderId="0" xfId="10" applyNumberFormat="1" applyFont="1" applyFill="1" applyBorder="1" applyAlignment="1">
      <alignment horizontal="right"/>
    </xf>
    <xf numFmtId="41" fontId="7" fillId="0" borderId="0" xfId="0" applyNumberFormat="1" applyFont="1" applyAlignment="1">
      <alignment horizontal="right"/>
    </xf>
    <xf numFmtId="41" fontId="7" fillId="0" borderId="0" xfId="10" applyNumberFormat="1" applyFont="1" applyAlignment="1">
      <alignment horizontal="right"/>
    </xf>
    <xf numFmtId="41" fontId="7" fillId="7" borderId="0" xfId="10" applyNumberFormat="1" applyFont="1" applyFill="1" applyAlignment="1">
      <alignment horizontal="right"/>
    </xf>
    <xf numFmtId="41" fontId="7" fillId="0" borderId="12" xfId="10" applyNumberFormat="1" applyFont="1" applyFill="1" applyBorder="1" applyAlignment="1">
      <alignment horizontal="right"/>
    </xf>
    <xf numFmtId="41" fontId="7" fillId="0" borderId="0" xfId="0" applyNumberFormat="1" applyFont="1" applyBorder="1" applyAlignment="1">
      <alignment horizontal="right"/>
    </xf>
    <xf numFmtId="41" fontId="6" fillId="0" borderId="0" xfId="23" applyNumberFormat="1" applyFont="1" applyBorder="1" applyAlignment="1" applyProtection="1">
      <alignment horizontal="right"/>
    </xf>
    <xf numFmtId="9" fontId="2" fillId="0" borderId="9" xfId="28" applyFont="1" applyFill="1" applyBorder="1"/>
    <xf numFmtId="166" fontId="7" fillId="0" borderId="0" xfId="28" applyNumberFormat="1" applyFont="1" applyBorder="1" applyAlignment="1">
      <alignment horizontal="right"/>
    </xf>
    <xf numFmtId="41" fontId="2" fillId="0" borderId="0" xfId="10" applyNumberFormat="1" applyFont="1" applyFill="1" applyBorder="1" applyAlignment="1">
      <alignment horizontal="right"/>
    </xf>
    <xf numFmtId="41" fontId="2" fillId="0" borderId="9" xfId="0" applyNumberFormat="1" applyFont="1" applyBorder="1" applyAlignment="1">
      <alignment horizontal="right"/>
    </xf>
    <xf numFmtId="41" fontId="2" fillId="0" borderId="0" xfId="28" applyNumberFormat="1" applyFont="1" applyFill="1" applyAlignment="1">
      <alignment horizontal="right"/>
    </xf>
    <xf numFmtId="41" fontId="2" fillId="0" borderId="12" xfId="0" applyNumberFormat="1" applyFont="1" applyFill="1" applyBorder="1" applyAlignment="1">
      <alignment horizontal="right"/>
    </xf>
    <xf numFmtId="41" fontId="6" fillId="0" borderId="0" xfId="28" applyNumberFormat="1" applyFont="1" applyFill="1" applyBorder="1" applyAlignment="1">
      <alignment horizontal="right"/>
    </xf>
    <xf numFmtId="41" fontId="6" fillId="0" borderId="9" xfId="28" applyNumberFormat="1" applyFont="1" applyFill="1" applyBorder="1" applyAlignment="1">
      <alignment horizontal="right"/>
    </xf>
    <xf numFmtId="41" fontId="52" fillId="0" borderId="2" xfId="0" applyNumberFormat="1" applyFont="1" applyFill="1" applyBorder="1" applyAlignment="1">
      <alignment horizontal="right"/>
    </xf>
    <xf numFmtId="41" fontId="52" fillId="0" borderId="10" xfId="0" applyNumberFormat="1" applyFont="1" applyFill="1" applyBorder="1" applyAlignment="1">
      <alignment horizontal="right"/>
    </xf>
    <xf numFmtId="41" fontId="7" fillId="7" borderId="2" xfId="0" applyNumberFormat="1" applyFont="1" applyFill="1" applyBorder="1" applyAlignment="1">
      <alignment horizontal="right"/>
    </xf>
    <xf numFmtId="41" fontId="7" fillId="0" borderId="2" xfId="0" applyNumberFormat="1" applyFont="1" applyFill="1" applyBorder="1" applyAlignment="1">
      <alignment horizontal="right"/>
    </xf>
    <xf numFmtId="41" fontId="7" fillId="0" borderId="10" xfId="0" applyNumberFormat="1" applyFont="1" applyBorder="1" applyAlignment="1">
      <alignment horizontal="right"/>
    </xf>
    <xf numFmtId="41" fontId="7" fillId="0" borderId="2" xfId="0" applyNumberFormat="1" applyFont="1" applyBorder="1" applyAlignment="1">
      <alignment horizontal="right"/>
    </xf>
    <xf numFmtId="41" fontId="18" fillId="0" borderId="2" xfId="0" applyNumberFormat="1" applyFont="1" applyBorder="1" applyAlignment="1">
      <alignment horizontal="right"/>
    </xf>
    <xf numFmtId="41" fontId="7" fillId="0" borderId="12" xfId="0" applyNumberFormat="1" applyFont="1" applyFill="1" applyBorder="1" applyAlignment="1">
      <alignment horizontal="right"/>
    </xf>
    <xf numFmtId="173" fontId="53" fillId="0" borderId="12" xfId="23" applyNumberFormat="1" applyFont="1" applyFill="1" applyBorder="1"/>
    <xf numFmtId="173" fontId="53" fillId="0" borderId="0" xfId="23" applyNumberFormat="1" applyFont="1" applyFill="1" applyBorder="1"/>
    <xf numFmtId="173" fontId="53" fillId="0" borderId="9" xfId="23" applyNumberFormat="1" applyFont="1" applyFill="1" applyBorder="1"/>
    <xf numFmtId="37" fontId="7" fillId="0" borderId="0" xfId="23" applyNumberFormat="1" applyFont="1" applyFill="1"/>
    <xf numFmtId="173" fontId="53" fillId="0" borderId="0" xfId="10" applyNumberFormat="1" applyFont="1" applyFill="1" applyBorder="1"/>
    <xf numFmtId="173" fontId="53" fillId="0" borderId="9" xfId="10" applyNumberFormat="1" applyFont="1" applyFill="1" applyBorder="1"/>
    <xf numFmtId="173" fontId="52" fillId="0" borderId="0" xfId="10" applyNumberFormat="1" applyFont="1" applyFill="1" applyBorder="1"/>
    <xf numFmtId="173" fontId="52" fillId="0" borderId="9" xfId="10" applyNumberFormat="1" applyFont="1" applyFill="1" applyBorder="1"/>
    <xf numFmtId="173" fontId="52" fillId="0" borderId="4" xfId="0" applyNumberFormat="1" applyFont="1" applyFill="1" applyBorder="1"/>
    <xf numFmtId="173" fontId="52" fillId="0" borderId="8" xfId="0" applyNumberFormat="1" applyFont="1" applyFill="1" applyBorder="1"/>
    <xf numFmtId="7" fontId="2" fillId="0" borderId="9" xfId="10" applyNumberFormat="1" applyFont="1" applyFill="1" applyBorder="1"/>
    <xf numFmtId="184" fontId="2" fillId="0" borderId="9" xfId="0" applyNumberFormat="1" applyFont="1" applyFill="1" applyBorder="1" applyProtection="1"/>
    <xf numFmtId="166" fontId="2" fillId="0" borderId="9" xfId="34" applyNumberFormat="1" applyFont="1" applyFill="1" applyBorder="1" applyAlignment="1"/>
    <xf numFmtId="198" fontId="2" fillId="0" borderId="9" xfId="28" applyNumberFormat="1" applyFont="1" applyFill="1" applyBorder="1" applyProtection="1"/>
    <xf numFmtId="168" fontId="7" fillId="0" borderId="0" xfId="34" applyNumberFormat="1" applyFont="1" applyFill="1" applyAlignment="1">
      <alignment horizontal="left"/>
    </xf>
    <xf numFmtId="38" fontId="7" fillId="0" borderId="0" xfId="0" applyNumberFormat="1" applyFont="1" applyBorder="1"/>
    <xf numFmtId="8" fontId="7" fillId="0" borderId="0" xfId="0" applyNumberFormat="1" applyFont="1" applyFill="1" applyBorder="1" applyAlignment="1" applyProtection="1">
      <alignment horizontal="right"/>
    </xf>
    <xf numFmtId="0" fontId="0" fillId="0" borderId="0" xfId="0"/>
    <xf numFmtId="239" fontId="6" fillId="0" borderId="3" xfId="0" applyNumberFormat="1" applyFont="1" applyFill="1" applyBorder="1" applyAlignment="1">
      <alignment horizontal="right"/>
    </xf>
    <xf numFmtId="239" fontId="6" fillId="7" borderId="3" xfId="0" applyNumberFormat="1" applyFont="1" applyFill="1" applyBorder="1" applyAlignment="1">
      <alignment horizontal="right"/>
    </xf>
    <xf numFmtId="239" fontId="6" fillId="0" borderId="12" xfId="0" applyNumberFormat="1" applyFont="1" applyFill="1" applyBorder="1" applyAlignment="1">
      <alignment horizontal="right"/>
    </xf>
    <xf numFmtId="239" fontId="6" fillId="0" borderId="9" xfId="0" applyNumberFormat="1" applyFont="1" applyFill="1" applyBorder="1" applyAlignment="1">
      <alignment horizontal="right"/>
    </xf>
    <xf numFmtId="239" fontId="15" fillId="0" borderId="3" xfId="34" applyNumberFormat="1" applyFont="1" applyFill="1" applyBorder="1" applyAlignment="1" applyProtection="1">
      <alignment horizontal="right"/>
    </xf>
    <xf numFmtId="239" fontId="15" fillId="0" borderId="3" xfId="23" applyNumberFormat="1" applyFont="1" applyFill="1" applyBorder="1" applyAlignment="1">
      <alignment horizontal="right"/>
    </xf>
    <xf numFmtId="239" fontId="6" fillId="0" borderId="3" xfId="34" applyNumberFormat="1" applyFont="1" applyFill="1" applyBorder="1" applyAlignment="1">
      <alignment horizontal="right"/>
    </xf>
    <xf numFmtId="239" fontId="6" fillId="0" borderId="6" xfId="34" applyNumberFormat="1" applyFont="1" applyFill="1" applyBorder="1" applyAlignment="1">
      <alignment horizontal="right"/>
    </xf>
    <xf numFmtId="239" fontId="7" fillId="0" borderId="3" xfId="0" applyNumberFormat="1" applyFont="1" applyBorder="1" applyAlignment="1">
      <alignment horizontal="right"/>
    </xf>
    <xf numFmtId="239" fontId="7" fillId="0" borderId="14" xfId="0" applyNumberFormat="1" applyFont="1" applyBorder="1" applyAlignment="1">
      <alignment horizontal="right"/>
    </xf>
    <xf numFmtId="239" fontId="7" fillId="0" borderId="3" xfId="0" applyNumberFormat="1" applyFont="1" applyFill="1" applyBorder="1" applyAlignment="1">
      <alignment horizontal="right"/>
    </xf>
    <xf numFmtId="0" fontId="2" fillId="0" borderId="4" xfId="0" applyFont="1" applyBorder="1"/>
    <xf numFmtId="0" fontId="53" fillId="0" borderId="12" xfId="0" applyFont="1" applyFill="1" applyBorder="1"/>
    <xf numFmtId="166" fontId="52" fillId="0" borderId="4" xfId="28" applyNumberFormat="1" applyFont="1" applyBorder="1"/>
    <xf numFmtId="166" fontId="52" fillId="0" borderId="8" xfId="28" applyNumberFormat="1" applyFont="1" applyFill="1" applyBorder="1"/>
    <xf numFmtId="41" fontId="0" fillId="0" borderId="0" xfId="0" applyNumberFormat="1" applyFill="1" applyAlignment="1">
      <alignment horizontal="right"/>
    </xf>
    <xf numFmtId="41" fontId="0" fillId="7" borderId="0" xfId="0" applyNumberFormat="1" applyFill="1" applyAlignment="1">
      <alignment horizontal="right"/>
    </xf>
    <xf numFmtId="0" fontId="7" fillId="0" borderId="0" xfId="0" applyFont="1" applyBorder="1" applyAlignment="1">
      <alignment horizontal="left"/>
    </xf>
    <xf numFmtId="38" fontId="15" fillId="0" borderId="0" xfId="0" applyNumberFormat="1" applyFont="1"/>
    <xf numFmtId="41" fontId="15" fillId="0" borderId="12" xfId="0" applyNumberFormat="1" applyFont="1" applyFill="1" applyBorder="1"/>
    <xf numFmtId="41" fontId="15" fillId="0" borderId="0" xfId="0" applyNumberFormat="1" applyFont="1" applyFill="1" applyBorder="1"/>
    <xf numFmtId="0" fontId="7" fillId="0" borderId="4" xfId="0" applyFont="1" applyBorder="1" applyAlignment="1">
      <alignment horizontal="left"/>
    </xf>
    <xf numFmtId="38" fontId="15" fillId="0" borderId="4" xfId="0" applyNumberFormat="1" applyFont="1" applyBorder="1"/>
    <xf numFmtId="38" fontId="15" fillId="0" borderId="8" xfId="0" applyNumberFormat="1" applyFont="1" applyBorder="1"/>
    <xf numFmtId="0" fontId="7" fillId="0" borderId="8" xfId="0" applyFont="1" applyBorder="1"/>
    <xf numFmtId="38" fontId="15" fillId="0" borderId="4" xfId="0" applyNumberFormat="1" applyFont="1" applyFill="1" applyBorder="1"/>
    <xf numFmtId="38" fontId="15" fillId="0" borderId="8" xfId="0" applyNumberFormat="1" applyFont="1" applyFill="1" applyBorder="1"/>
    <xf numFmtId="38" fontId="7" fillId="0" borderId="8" xfId="0" applyNumberFormat="1" applyFont="1" applyFill="1" applyBorder="1"/>
    <xf numFmtId="38" fontId="7" fillId="0" borderId="4" xfId="0" applyNumberFormat="1" applyFont="1" applyFill="1" applyBorder="1"/>
    <xf numFmtId="38" fontId="52" fillId="0" borderId="4" xfId="0" applyNumberFormat="1" applyFont="1" applyFill="1" applyBorder="1"/>
    <xf numFmtId="38" fontId="52" fillId="0" borderId="8" xfId="0" applyNumberFormat="1" applyFont="1" applyFill="1" applyBorder="1"/>
    <xf numFmtId="37" fontId="52" fillId="0" borderId="4" xfId="0" applyNumberFormat="1" applyFont="1" applyFill="1" applyBorder="1"/>
    <xf numFmtId="41" fontId="7" fillId="0" borderId="4" xfId="0" applyNumberFormat="1" applyFont="1" applyFill="1" applyBorder="1" applyAlignment="1">
      <alignment horizontal="right"/>
    </xf>
    <xf numFmtId="41" fontId="7" fillId="0" borderId="8" xfId="0" applyNumberFormat="1" applyFont="1" applyBorder="1" applyAlignment="1">
      <alignment horizontal="right"/>
    </xf>
    <xf numFmtId="37" fontId="7" fillId="0" borderId="4" xfId="0" applyNumberFormat="1" applyFont="1" applyFill="1" applyBorder="1"/>
    <xf numFmtId="41" fontId="7" fillId="7" borderId="4" xfId="0" applyNumberFormat="1" applyFont="1" applyFill="1" applyBorder="1"/>
    <xf numFmtId="41" fontId="15" fillId="0" borderId="4" xfId="0" applyNumberFormat="1" applyFont="1" applyBorder="1"/>
    <xf numFmtId="38" fontId="7" fillId="0" borderId="4" xfId="0" applyNumberFormat="1" applyFont="1" applyBorder="1"/>
    <xf numFmtId="41" fontId="7" fillId="0" borderId="9" xfId="0" applyNumberFormat="1" applyFont="1" applyBorder="1" applyAlignment="1">
      <alignment horizontal="right"/>
    </xf>
    <xf numFmtId="0" fontId="7" fillId="0" borderId="4" xfId="0" applyFont="1" applyBorder="1"/>
    <xf numFmtId="38" fontId="7" fillId="0" borderId="8" xfId="0" applyNumberFormat="1" applyFont="1" applyBorder="1"/>
    <xf numFmtId="41" fontId="7" fillId="0" borderId="4" xfId="0" applyNumberFormat="1" applyFont="1" applyBorder="1" applyAlignment="1">
      <alignment horizontal="right"/>
    </xf>
    <xf numFmtId="41" fontId="7" fillId="0" borderId="8" xfId="0" applyNumberFormat="1" applyFont="1" applyFill="1" applyBorder="1" applyAlignment="1">
      <alignment horizontal="right"/>
    </xf>
    <xf numFmtId="41" fontId="7" fillId="7" borderId="4" xfId="0" applyNumberFormat="1" applyFont="1" applyFill="1" applyBorder="1" applyAlignment="1">
      <alignment horizontal="right"/>
    </xf>
    <xf numFmtId="41" fontId="7" fillId="0" borderId="12" xfId="0" applyNumberFormat="1" applyFont="1" applyBorder="1" applyAlignment="1">
      <alignment horizontal="right"/>
    </xf>
    <xf numFmtId="188" fontId="2" fillId="0" borderId="9" xfId="0" applyNumberFormat="1" applyFont="1" applyFill="1" applyBorder="1"/>
    <xf numFmtId="37" fontId="52" fillId="0" borderId="8" xfId="0" applyNumberFormat="1" applyFont="1" applyFill="1" applyBorder="1"/>
    <xf numFmtId="217" fontId="7" fillId="0" borderId="0" xfId="28" applyNumberFormat="1" applyFont="1" applyFill="1" applyBorder="1"/>
    <xf numFmtId="217" fontId="7" fillId="0" borderId="0" xfId="28" applyNumberFormat="1" applyFont="1" applyFill="1"/>
    <xf numFmtId="5" fontId="53" fillId="0" borderId="9" xfId="10" applyNumberFormat="1" applyFont="1" applyFill="1" applyBorder="1" applyAlignment="1"/>
    <xf numFmtId="205" fontId="7" fillId="0" borderId="0" xfId="0" applyNumberFormat="1" applyFont="1" applyBorder="1"/>
    <xf numFmtId="0" fontId="5" fillId="0" borderId="9" xfId="0" applyFont="1" applyFill="1" applyBorder="1"/>
    <xf numFmtId="0" fontId="5" fillId="0" borderId="12" xfId="0" applyFont="1" applyFill="1" applyBorder="1"/>
    <xf numFmtId="0" fontId="5" fillId="7" borderId="0" xfId="0" applyFont="1" applyFill="1"/>
    <xf numFmtId="205" fontId="4" fillId="0" borderId="0" xfId="0" applyNumberFormat="1" applyFont="1" applyFill="1"/>
    <xf numFmtId="205" fontId="4" fillId="0" borderId="9" xfId="0" applyNumberFormat="1" applyFont="1" applyFill="1" applyBorder="1"/>
    <xf numFmtId="5" fontId="4" fillId="0" borderId="12" xfId="0" applyNumberFormat="1" applyFont="1" applyFill="1" applyBorder="1"/>
    <xf numFmtId="5" fontId="4" fillId="0" borderId="0" xfId="0" applyNumberFormat="1" applyFont="1" applyFill="1"/>
    <xf numFmtId="205" fontId="4" fillId="0" borderId="12" xfId="0" applyNumberFormat="1" applyFont="1" applyFill="1" applyBorder="1"/>
    <xf numFmtId="205" fontId="4" fillId="0" borderId="0" xfId="0" applyNumberFormat="1" applyFont="1" applyFill="1" applyBorder="1"/>
    <xf numFmtId="166" fontId="4" fillId="0" borderId="0" xfId="28" quotePrefix="1" applyNumberFormat="1" applyFont="1" applyFill="1" applyAlignment="1">
      <alignment horizontal="right"/>
    </xf>
    <xf numFmtId="166" fontId="4" fillId="0" borderId="9" xfId="28" quotePrefix="1" applyNumberFormat="1" applyFont="1" applyFill="1" applyBorder="1" applyAlignment="1">
      <alignment horizontal="right"/>
    </xf>
    <xf numFmtId="166" fontId="4" fillId="7" borderId="0" xfId="28" applyNumberFormat="1" applyFont="1" applyFill="1"/>
    <xf numFmtId="166" fontId="36" fillId="0" borderId="12" xfId="28" applyNumberFormat="1" applyFont="1" applyFill="1" applyBorder="1"/>
    <xf numFmtId="166" fontId="36" fillId="0" borderId="9" xfId="28" applyNumberFormat="1" applyFont="1" applyFill="1" applyBorder="1"/>
    <xf numFmtId="166" fontId="5" fillId="0" borderId="0" xfId="28" quotePrefix="1" applyNumberFormat="1" applyFont="1" applyFill="1" applyAlignment="1">
      <alignment horizontal="right"/>
    </xf>
    <xf numFmtId="166" fontId="17" fillId="0" borderId="12" xfId="28" applyNumberFormat="1" applyFont="1" applyFill="1" applyBorder="1"/>
    <xf numFmtId="166" fontId="17" fillId="0" borderId="0" xfId="28" applyNumberFormat="1" applyFont="1" applyFill="1" applyBorder="1"/>
    <xf numFmtId="166" fontId="4" fillId="0" borderId="12" xfId="28" applyNumberFormat="1" applyFont="1" applyFill="1" applyBorder="1"/>
    <xf numFmtId="5" fontId="35" fillId="0" borderId="12" xfId="0" applyNumberFormat="1" applyFont="1" applyFill="1" applyBorder="1"/>
    <xf numFmtId="5" fontId="35" fillId="0" borderId="9" xfId="0" applyNumberFormat="1" applyFont="1" applyFill="1" applyBorder="1"/>
    <xf numFmtId="5" fontId="35" fillId="0" borderId="0" xfId="0" applyNumberFormat="1" applyFont="1" applyFill="1"/>
    <xf numFmtId="0" fontId="4" fillId="0" borderId="0" xfId="28" quotePrefix="1" applyNumberFormat="1" applyFont="1" applyFill="1" applyAlignment="1">
      <alignment horizontal="right"/>
    </xf>
    <xf numFmtId="0" fontId="4" fillId="0" borderId="9" xfId="28" quotePrefix="1" applyNumberFormat="1" applyFont="1" applyFill="1" applyBorder="1" applyAlignment="1">
      <alignment horizontal="right"/>
    </xf>
    <xf numFmtId="0" fontId="4" fillId="0" borderId="12" xfId="28" quotePrefix="1" applyNumberFormat="1" applyFont="1" applyFill="1" applyBorder="1" applyAlignment="1">
      <alignment horizontal="right"/>
    </xf>
    <xf numFmtId="0" fontId="5" fillId="7" borderId="0" xfId="0" applyFont="1" applyFill="1" applyBorder="1"/>
    <xf numFmtId="0" fontId="4" fillId="0" borderId="12" xfId="0" applyFont="1" applyFill="1" applyBorder="1"/>
    <xf numFmtId="0" fontId="5" fillId="0" borderId="9" xfId="0" applyFont="1" applyBorder="1"/>
    <xf numFmtId="6" fontId="5" fillId="0" borderId="0" xfId="0" applyNumberFormat="1" applyFont="1" applyFill="1"/>
    <xf numFmtId="6" fontId="5" fillId="0" borderId="9" xfId="0" applyNumberFormat="1" applyFont="1" applyFill="1" applyBorder="1"/>
    <xf numFmtId="205" fontId="5" fillId="0" borderId="0" xfId="0" applyNumberFormat="1" applyFont="1" applyFill="1"/>
    <xf numFmtId="5" fontId="5" fillId="0" borderId="0" xfId="23" applyNumberFormat="1" applyFont="1" applyFill="1" applyBorder="1"/>
    <xf numFmtId="5" fontId="5" fillId="7" borderId="0" xfId="23" applyNumberFormat="1" applyFont="1" applyFill="1" applyBorder="1"/>
    <xf numFmtId="205" fontId="5" fillId="0" borderId="12" xfId="0" applyNumberFormat="1" applyFont="1" applyFill="1" applyBorder="1"/>
    <xf numFmtId="205" fontId="5" fillId="0" borderId="0" xfId="0" applyNumberFormat="1" applyFont="1" applyFill="1" applyBorder="1"/>
    <xf numFmtId="0" fontId="30" fillId="0" borderId="9" xfId="0" applyFont="1" applyBorder="1"/>
    <xf numFmtId="166" fontId="5" fillId="0" borderId="9" xfId="28" applyNumberFormat="1" applyFont="1" applyBorder="1"/>
    <xf numFmtId="166" fontId="5" fillId="0" borderId="0" xfId="28" applyNumberFormat="1" applyFont="1" applyFill="1"/>
    <xf numFmtId="166" fontId="5" fillId="0" borderId="9" xfId="28" applyNumberFormat="1" applyFont="1" applyFill="1" applyBorder="1"/>
    <xf numFmtId="0" fontId="4" fillId="7" borderId="0" xfId="0" applyFont="1" applyFill="1" applyBorder="1"/>
    <xf numFmtId="0" fontId="66" fillId="0" borderId="12" xfId="23" applyFont="1" applyFill="1" applyBorder="1"/>
    <xf numFmtId="0" fontId="66" fillId="0" borderId="9" xfId="23" applyFont="1" applyFill="1" applyBorder="1"/>
    <xf numFmtId="0" fontId="66" fillId="0" borderId="6" xfId="23" applyFont="1" applyFill="1" applyBorder="1"/>
    <xf numFmtId="0" fontId="66" fillId="0" borderId="3" xfId="23" applyFont="1" applyFill="1" applyBorder="1"/>
    <xf numFmtId="0" fontId="66" fillId="0" borderId="0" xfId="23" applyFont="1" applyFill="1" applyBorder="1"/>
    <xf numFmtId="0" fontId="4" fillId="0" borderId="10" xfId="0" applyFont="1" applyBorder="1"/>
    <xf numFmtId="14" fontId="4" fillId="0" borderId="0" xfId="0" applyNumberFormat="1" applyFont="1"/>
    <xf numFmtId="14" fontId="4" fillId="0" borderId="9" xfId="0" applyNumberFormat="1" applyFont="1" applyBorder="1"/>
    <xf numFmtId="14" fontId="4" fillId="0" borderId="0" xfId="0" applyNumberFormat="1" applyFont="1" applyAlignment="1">
      <alignment horizontal="right"/>
    </xf>
    <xf numFmtId="14" fontId="4" fillId="0" borderId="9" xfId="0" applyNumberFormat="1" applyFont="1" applyBorder="1" applyAlignment="1">
      <alignment horizontal="right"/>
    </xf>
    <xf numFmtId="14" fontId="4" fillId="0" borderId="0" xfId="0" applyNumberFormat="1" applyFont="1" applyFill="1" applyAlignment="1">
      <alignment horizontal="right"/>
    </xf>
    <xf numFmtId="14" fontId="4" fillId="0" borderId="9" xfId="0" applyNumberFormat="1" applyFont="1" applyFill="1" applyBorder="1" applyAlignment="1">
      <alignment horizontal="right"/>
    </xf>
    <xf numFmtId="14" fontId="4" fillId="0" borderId="0" xfId="0" applyNumberFormat="1" applyFont="1" applyFill="1" applyBorder="1" applyAlignment="1">
      <alignment horizontal="right"/>
    </xf>
    <xf numFmtId="14" fontId="4" fillId="0" borderId="12" xfId="0" applyNumberFormat="1" applyFont="1" applyFill="1" applyBorder="1" applyAlignment="1">
      <alignment horizontal="right"/>
    </xf>
    <xf numFmtId="14" fontId="4" fillId="7" borderId="0" xfId="0" applyNumberFormat="1" applyFont="1" applyFill="1" applyAlignment="1">
      <alignment horizontal="right"/>
    </xf>
    <xf numFmtId="166" fontId="5" fillId="0" borderId="0" xfId="0" applyNumberFormat="1" applyFont="1"/>
    <xf numFmtId="166" fontId="54" fillId="7" borderId="0" xfId="0" applyNumberFormat="1" applyFont="1" applyFill="1"/>
    <xf numFmtId="6" fontId="4" fillId="7" borderId="0" xfId="28" applyNumberFormat="1" applyFont="1" applyFill="1" applyAlignment="1">
      <alignment horizontal="right"/>
    </xf>
    <xf numFmtId="239" fontId="4" fillId="0" borderId="0" xfId="0" applyNumberFormat="1" applyFont="1"/>
    <xf numFmtId="239" fontId="4" fillId="0" borderId="0" xfId="0" applyNumberFormat="1" applyFont="1" applyBorder="1"/>
    <xf numFmtId="239" fontId="4" fillId="0" borderId="0" xfId="28" applyNumberFormat="1" applyFont="1" applyFill="1" applyBorder="1"/>
    <xf numFmtId="239" fontId="4" fillId="7" borderId="0" xfId="28" applyNumberFormat="1" applyFont="1" applyFill="1"/>
    <xf numFmtId="8" fontId="4" fillId="0" borderId="0" xfId="28" applyNumberFormat="1" applyFont="1" applyAlignment="1">
      <alignment horizontal="right"/>
    </xf>
    <xf numFmtId="8" fontId="4" fillId="0" borderId="0" xfId="28" applyNumberFormat="1" applyFont="1" applyBorder="1" applyAlignment="1">
      <alignment horizontal="right"/>
    </xf>
    <xf numFmtId="10" fontId="6" fillId="0" borderId="9" xfId="0" applyNumberFormat="1" applyFont="1" applyBorder="1" applyAlignment="1">
      <alignment horizontal="right"/>
    </xf>
    <xf numFmtId="0" fontId="2" fillId="0" borderId="0" xfId="0" applyFont="1" applyAlignment="1">
      <alignment horizontal="left" indent="1"/>
    </xf>
    <xf numFmtId="0" fontId="0" fillId="0" borderId="0" xfId="0" applyAlignment="1">
      <alignment horizontal="left" indent="1"/>
    </xf>
    <xf numFmtId="0" fontId="0" fillId="0" borderId="0" xfId="0" applyFont="1" applyAlignment="1">
      <alignment horizontal="left" indent="1"/>
    </xf>
    <xf numFmtId="0" fontId="16" fillId="0" borderId="4" xfId="0" applyFont="1" applyBorder="1"/>
    <xf numFmtId="0" fontId="0" fillId="0" borderId="4" xfId="0" applyFill="1" applyBorder="1"/>
    <xf numFmtId="0" fontId="0" fillId="0" borderId="8" xfId="0" applyBorder="1"/>
    <xf numFmtId="0" fontId="0" fillId="0" borderId="7" xfId="0" applyBorder="1"/>
    <xf numFmtId="0" fontId="0" fillId="7" borderId="4" xfId="0" applyFill="1" applyBorder="1"/>
    <xf numFmtId="217" fontId="6" fillId="0" borderId="0" xfId="28" applyNumberFormat="1" applyFont="1" applyFill="1" applyAlignment="1">
      <alignment horizontal="right"/>
    </xf>
    <xf numFmtId="217" fontId="6" fillId="0" borderId="12" xfId="28" applyNumberFormat="1" applyFont="1" applyFill="1" applyBorder="1" applyAlignment="1">
      <alignment horizontal="right"/>
    </xf>
    <xf numFmtId="37" fontId="7" fillId="0" borderId="0" xfId="23" applyNumberFormat="1" applyFont="1" applyBorder="1" applyAlignment="1">
      <alignment horizontal="right"/>
    </xf>
    <xf numFmtId="201" fontId="7" fillId="0" borderId="0" xfId="23" applyNumberFormat="1" applyFont="1" applyBorder="1" applyAlignment="1">
      <alignment horizontal="right"/>
    </xf>
    <xf numFmtId="201" fontId="7" fillId="0" borderId="0" xfId="23" applyNumberFormat="1" applyFont="1" applyFill="1" applyBorder="1" applyAlignment="1">
      <alignment horizontal="right"/>
    </xf>
    <xf numFmtId="217" fontId="6" fillId="7" borderId="0" xfId="28" applyNumberFormat="1" applyFont="1" applyFill="1" applyAlignment="1">
      <alignment horizontal="right"/>
    </xf>
    <xf numFmtId="0" fontId="6" fillId="0" borderId="12" xfId="0" applyFont="1" applyBorder="1" applyAlignment="1">
      <alignment horizontal="right"/>
    </xf>
    <xf numFmtId="0" fontId="0" fillId="0" borderId="12" xfId="0" applyBorder="1" applyAlignment="1">
      <alignment horizontal="right"/>
    </xf>
    <xf numFmtId="0" fontId="0" fillId="0" borderId="9" xfId="0" applyBorder="1" applyAlignment="1">
      <alignment horizontal="right"/>
    </xf>
    <xf numFmtId="0" fontId="0" fillId="0" borderId="9" xfId="0" applyFill="1" applyBorder="1" applyAlignment="1">
      <alignment horizontal="right"/>
    </xf>
    <xf numFmtId="0" fontId="0" fillId="7" borderId="0" xfId="0" applyFill="1" applyAlignment="1">
      <alignment horizontal="right"/>
    </xf>
    <xf numFmtId="0" fontId="0" fillId="0" borderId="0" xfId="0" applyFill="1" applyAlignment="1">
      <alignment horizontal="right"/>
    </xf>
    <xf numFmtId="38" fontId="7" fillId="0" borderId="0" xfId="0" applyNumberFormat="1" applyFont="1" applyFill="1" applyBorder="1" applyAlignment="1">
      <alignment horizontal="right"/>
    </xf>
    <xf numFmtId="217" fontId="7" fillId="0" borderId="3" xfId="0" applyNumberFormat="1" applyFont="1" applyBorder="1"/>
    <xf numFmtId="217" fontId="7" fillId="0" borderId="3" xfId="0" applyNumberFormat="1" applyFont="1" applyFill="1" applyBorder="1"/>
    <xf numFmtId="166" fontId="4" fillId="0" borderId="12" xfId="28" applyNumberFormat="1" applyFont="1" applyFill="1" applyBorder="1" applyAlignment="1">
      <alignment horizontal="right"/>
    </xf>
    <xf numFmtId="166" fontId="5" fillId="0" borderId="0" xfId="28" applyNumberFormat="1" applyFont="1" applyAlignment="1">
      <alignment horizontal="right"/>
    </xf>
    <xf numFmtId="166" fontId="5" fillId="0" borderId="0" xfId="28" applyNumberFormat="1" applyFont="1" applyFill="1" applyAlignment="1">
      <alignment horizontal="right"/>
    </xf>
    <xf numFmtId="166" fontId="54" fillId="0" borderId="0" xfId="28" applyNumberFormat="1" applyFont="1" applyFill="1" applyBorder="1" applyAlignment="1">
      <alignment horizontal="right"/>
    </xf>
    <xf numFmtId="166" fontId="5" fillId="0" borderId="9" xfId="28" applyNumberFormat="1" applyFont="1" applyFill="1" applyBorder="1" applyAlignment="1">
      <alignment horizontal="right"/>
    </xf>
    <xf numFmtId="166" fontId="5" fillId="0" borderId="0" xfId="28" applyNumberFormat="1" applyFont="1" applyFill="1" applyBorder="1" applyAlignment="1">
      <alignment horizontal="right"/>
    </xf>
    <xf numFmtId="166" fontId="5" fillId="0" borderId="12" xfId="28" applyNumberFormat="1" applyFont="1" applyFill="1" applyBorder="1" applyAlignment="1">
      <alignment horizontal="right"/>
    </xf>
    <xf numFmtId="166" fontId="5" fillId="7" borderId="0" xfId="28" applyNumberFormat="1" applyFont="1" applyFill="1" applyAlignment="1">
      <alignment horizontal="right"/>
    </xf>
    <xf numFmtId="166" fontId="53" fillId="0" borderId="9" xfId="28" applyNumberFormat="1" applyFont="1" applyFill="1" applyBorder="1"/>
    <xf numFmtId="5" fontId="6" fillId="0" borderId="0" xfId="0" quotePrefix="1" applyNumberFormat="1" applyFont="1" applyAlignment="1">
      <alignment horizontal="right"/>
    </xf>
    <xf numFmtId="5" fontId="6" fillId="0" borderId="0" xfId="28" applyNumberFormat="1" applyFont="1" applyAlignment="1">
      <alignment horizontal="right"/>
    </xf>
    <xf numFmtId="5" fontId="6" fillId="0" borderId="0" xfId="28" applyNumberFormat="1" applyFont="1" applyFill="1" applyAlignment="1">
      <alignment horizontal="right"/>
    </xf>
    <xf numFmtId="5" fontId="6" fillId="0" borderId="9" xfId="28" applyNumberFormat="1" applyFont="1" applyFill="1" applyBorder="1" applyAlignment="1">
      <alignment horizontal="right"/>
    </xf>
    <xf numFmtId="5" fontId="6" fillId="0" borderId="0" xfId="28" applyNumberFormat="1" applyFont="1" applyFill="1" applyBorder="1" applyAlignment="1">
      <alignment horizontal="right"/>
    </xf>
    <xf numFmtId="5" fontId="6" fillId="0" borderId="0" xfId="0" applyNumberFormat="1" applyFont="1" applyBorder="1" applyAlignment="1">
      <alignment horizontal="right"/>
    </xf>
    <xf numFmtId="5" fontId="6" fillId="0" borderId="0" xfId="0" applyNumberFormat="1" applyFont="1" applyAlignment="1">
      <alignment horizontal="right"/>
    </xf>
    <xf numFmtId="5" fontId="6" fillId="7" borderId="0" xfId="28" applyNumberFormat="1" applyFont="1" applyFill="1" applyAlignment="1">
      <alignment horizontal="right"/>
    </xf>
    <xf numFmtId="5" fontId="0" fillId="0" borderId="12" xfId="0" applyNumberFormat="1" applyBorder="1" applyAlignment="1">
      <alignment horizontal="right"/>
    </xf>
    <xf numFmtId="217" fontId="7" fillId="0" borderId="14" xfId="0" applyNumberFormat="1" applyFont="1" applyBorder="1"/>
    <xf numFmtId="38" fontId="53" fillId="0" borderId="0" xfId="23" applyNumberFormat="1" applyFont="1" applyFill="1" applyBorder="1" applyAlignment="1" applyProtection="1"/>
    <xf numFmtId="166" fontId="7" fillId="0" borderId="0" xfId="0" applyNumberFormat="1" applyFont="1" applyFill="1"/>
    <xf numFmtId="8" fontId="7" fillId="0" borderId="0" xfId="0" applyNumberFormat="1" applyFont="1" applyFill="1" applyBorder="1" applyAlignment="1" applyProtection="1">
      <alignment horizontal="center"/>
    </xf>
    <xf numFmtId="8" fontId="7" fillId="0" borderId="0" xfId="0" quotePrefix="1" applyNumberFormat="1" applyFont="1" applyFill="1" applyAlignment="1">
      <alignment horizontal="right"/>
    </xf>
    <xf numFmtId="8" fontId="7" fillId="0" borderId="0" xfId="0" quotePrefix="1" applyNumberFormat="1" applyFont="1" applyFill="1" applyBorder="1" applyAlignment="1">
      <alignment horizontal="right"/>
    </xf>
    <xf numFmtId="8" fontId="7" fillId="0" borderId="9" xfId="0" quotePrefix="1" applyNumberFormat="1" applyFont="1" applyFill="1" applyBorder="1" applyAlignment="1">
      <alignment horizontal="right"/>
    </xf>
    <xf numFmtId="166" fontId="7" fillId="0" borderId="0" xfId="0" quotePrefix="1" applyNumberFormat="1" applyFont="1" applyFill="1" applyBorder="1" applyAlignment="1">
      <alignment horizontal="right"/>
    </xf>
    <xf numFmtId="166" fontId="7" fillId="0" borderId="9" xfId="0" quotePrefix="1" applyNumberFormat="1" applyFont="1" applyFill="1" applyBorder="1" applyAlignment="1">
      <alignment horizontal="right"/>
    </xf>
    <xf numFmtId="166" fontId="7" fillId="7" borderId="0" xfId="0" quotePrefix="1" applyNumberFormat="1" applyFont="1" applyFill="1" applyBorder="1" applyAlignment="1">
      <alignment horizontal="right"/>
    </xf>
    <xf numFmtId="166" fontId="7" fillId="0" borderId="12" xfId="0" quotePrefix="1" applyNumberFormat="1" applyFont="1" applyFill="1" applyBorder="1" applyAlignment="1">
      <alignment horizontal="right"/>
    </xf>
    <xf numFmtId="166" fontId="7" fillId="0" borderId="12" xfId="0" applyNumberFormat="1" applyFont="1" applyBorder="1"/>
    <xf numFmtId="166" fontId="7" fillId="0" borderId="0" xfId="0" applyNumberFormat="1" applyFont="1"/>
    <xf numFmtId="10" fontId="6" fillId="0" borderId="0" xfId="28" applyNumberFormat="1" applyFont="1" applyFill="1" applyBorder="1" applyAlignment="1">
      <alignment horizontal="right"/>
    </xf>
    <xf numFmtId="10" fontId="6" fillId="0" borderId="9" xfId="28" applyNumberFormat="1" applyFont="1" applyFill="1" applyBorder="1" applyAlignment="1">
      <alignment horizontal="right"/>
    </xf>
    <xf numFmtId="10" fontId="6" fillId="7" borderId="0" xfId="28" applyNumberFormat="1" applyFont="1" applyFill="1" applyBorder="1" applyAlignment="1">
      <alignment horizontal="right"/>
    </xf>
    <xf numFmtId="10" fontId="8" fillId="0" borderId="12" xfId="28" applyNumberFormat="1" applyFont="1" applyBorder="1" applyAlignment="1">
      <alignment horizontal="right"/>
    </xf>
    <xf numFmtId="10" fontId="6" fillId="0" borderId="0" xfId="0" applyNumberFormat="1" applyFont="1" applyAlignment="1">
      <alignment horizontal="right"/>
    </xf>
    <xf numFmtId="10" fontId="6" fillId="0" borderId="0" xfId="28" applyNumberFormat="1" applyFont="1" applyAlignment="1">
      <alignment horizontal="right"/>
    </xf>
    <xf numFmtId="10" fontId="6" fillId="0" borderId="12" xfId="28" applyNumberFormat="1" applyFont="1" applyBorder="1" applyAlignment="1">
      <alignment horizontal="right"/>
    </xf>
    <xf numFmtId="10" fontId="6" fillId="0" borderId="0" xfId="28" applyNumberFormat="1" applyFont="1" applyBorder="1" applyAlignment="1">
      <alignment horizontal="right"/>
    </xf>
    <xf numFmtId="10" fontId="53" fillId="7" borderId="0" xfId="28" applyNumberFormat="1" applyFont="1" applyFill="1" applyBorder="1" applyAlignment="1">
      <alignment horizontal="right"/>
    </xf>
    <xf numFmtId="10" fontId="53" fillId="0" borderId="0" xfId="28" applyNumberFormat="1" applyFont="1" applyAlignment="1">
      <alignment horizontal="right"/>
    </xf>
    <xf numFmtId="10" fontId="6" fillId="0" borderId="12" xfId="0" applyNumberFormat="1" applyFont="1" applyBorder="1" applyAlignment="1">
      <alignment horizontal="right"/>
    </xf>
    <xf numFmtId="10" fontId="8" fillId="0" borderId="0" xfId="28" applyNumberFormat="1" applyFont="1" applyFill="1" applyBorder="1" applyAlignment="1">
      <alignment horizontal="right"/>
    </xf>
    <xf numFmtId="217" fontId="7" fillId="7" borderId="0" xfId="28" applyNumberFormat="1" applyFont="1" applyFill="1" applyBorder="1"/>
    <xf numFmtId="173" fontId="53" fillId="0" borderId="2" xfId="10" applyNumberFormat="1" applyFont="1" applyFill="1" applyBorder="1"/>
    <xf numFmtId="166" fontId="50" fillId="0" borderId="0" xfId="28" applyNumberFormat="1" applyFont="1" applyFill="1"/>
    <xf numFmtId="208" fontId="6" fillId="0" borderId="0" xfId="0" applyNumberFormat="1" applyFont="1" applyFill="1"/>
    <xf numFmtId="166" fontId="7" fillId="0" borderId="11" xfId="28" applyNumberFormat="1" applyFont="1" applyFill="1" applyBorder="1" applyAlignment="1">
      <alignment horizontal="right"/>
    </xf>
    <xf numFmtId="166" fontId="7" fillId="0" borderId="2" xfId="28" applyNumberFormat="1" applyFont="1" applyFill="1" applyBorder="1" applyAlignment="1">
      <alignment horizontal="right"/>
    </xf>
    <xf numFmtId="166" fontId="6" fillId="0" borderId="3" xfId="0" applyNumberFormat="1" applyFont="1" applyBorder="1" applyAlignment="1">
      <alignment horizontal="right"/>
    </xf>
    <xf numFmtId="166" fontId="6" fillId="0" borderId="14" xfId="0" applyNumberFormat="1" applyFont="1" applyBorder="1" applyAlignment="1">
      <alignment horizontal="right"/>
    </xf>
    <xf numFmtId="166" fontId="6" fillId="0" borderId="3" xfId="0" applyNumberFormat="1" applyFont="1" applyFill="1" applyBorder="1" applyAlignment="1">
      <alignment horizontal="right"/>
    </xf>
    <xf numFmtId="166" fontId="6" fillId="0" borderId="3" xfId="34" applyNumberFormat="1" applyFont="1" applyFill="1" applyBorder="1" applyAlignment="1">
      <alignment horizontal="right"/>
    </xf>
    <xf numFmtId="187" fontId="6" fillId="0" borderId="0" xfId="0" applyNumberFormat="1" applyFont="1" applyFill="1" applyBorder="1"/>
    <xf numFmtId="166" fontId="52" fillId="0" borderId="4" xfId="28" applyNumberFormat="1" applyFont="1" applyFill="1" applyBorder="1"/>
    <xf numFmtId="0" fontId="56" fillId="0" borderId="0" xfId="0" applyFont="1" applyFill="1" applyAlignment="1">
      <alignment horizontal="center" vertical="center" wrapText="1"/>
    </xf>
    <xf numFmtId="0" fontId="55" fillId="0" borderId="0" xfId="0" applyFont="1" applyFill="1" applyAlignment="1">
      <alignment horizontal="center" vertical="center" wrapText="1"/>
    </xf>
    <xf numFmtId="0" fontId="56" fillId="0" borderId="0" xfId="0" applyFont="1" applyFill="1" applyAlignment="1">
      <alignment horizontal="center"/>
    </xf>
    <xf numFmtId="0" fontId="0" fillId="0" borderId="0" xfId="0" applyFill="1" applyAlignment="1">
      <alignment horizontal="center"/>
    </xf>
    <xf numFmtId="0" fontId="55" fillId="0" borderId="0" xfId="0" applyFont="1" applyFill="1" applyAlignment="1">
      <alignment horizontal="center" vertical="center"/>
    </xf>
    <xf numFmtId="41" fontId="53" fillId="0" borderId="0" xfId="0" applyNumberFormat="1" applyFont="1" applyFill="1" applyBorder="1" applyAlignment="1" applyProtection="1">
      <alignment horizontal="right"/>
    </xf>
    <xf numFmtId="205" fontId="53" fillId="0" borderId="0" xfId="0" applyNumberFormat="1" applyFont="1" applyBorder="1"/>
    <xf numFmtId="205" fontId="53" fillId="0" borderId="0" xfId="0" applyNumberFormat="1" applyFont="1" applyFill="1" applyBorder="1"/>
    <xf numFmtId="170" fontId="15" fillId="3" borderId="14" xfId="22" applyNumberFormat="1" applyFont="1" applyFill="1" applyBorder="1" applyAlignment="1" applyProtection="1">
      <alignment horizontal="left"/>
    </xf>
    <xf numFmtId="0" fontId="21" fillId="3" borderId="3" xfId="23" applyFont="1" applyFill="1" applyBorder="1"/>
    <xf numFmtId="0" fontId="2" fillId="3" borderId="3" xfId="23" applyFont="1" applyFill="1" applyBorder="1"/>
    <xf numFmtId="0" fontId="2" fillId="0" borderId="12" xfId="23" applyFont="1" applyFill="1" applyBorder="1"/>
    <xf numFmtId="0" fontId="2" fillId="0" borderId="0" xfId="23" applyFont="1" applyFill="1" applyBorder="1"/>
    <xf numFmtId="170" fontId="15" fillId="0" borderId="4" xfId="22" applyNumberFormat="1" applyFont="1" applyFill="1" applyBorder="1" applyAlignment="1" applyProtection="1">
      <alignment horizontal="left"/>
    </xf>
    <xf numFmtId="170" fontId="15" fillId="0" borderId="8" xfId="22" applyNumberFormat="1" applyFont="1" applyFill="1" applyBorder="1" applyAlignment="1" applyProtection="1">
      <alignment horizontal="left"/>
    </xf>
    <xf numFmtId="0" fontId="15" fillId="0" borderId="4" xfId="23" applyFont="1" applyFill="1" applyBorder="1"/>
    <xf numFmtId="0" fontId="15" fillId="0" borderId="8" xfId="23" applyFont="1" applyFill="1" applyBorder="1"/>
    <xf numFmtId="0" fontId="7" fillId="0" borderId="4" xfId="23" applyFont="1" applyFill="1" applyBorder="1"/>
    <xf numFmtId="0" fontId="7" fillId="0" borderId="8" xfId="23" applyFont="1" applyFill="1" applyBorder="1"/>
    <xf numFmtId="0" fontId="21" fillId="0" borderId="4" xfId="23" applyFont="1" applyFill="1" applyBorder="1"/>
    <xf numFmtId="0" fontId="15" fillId="7" borderId="4" xfId="23" applyFont="1" applyFill="1" applyBorder="1"/>
    <xf numFmtId="0" fontId="2" fillId="0" borderId="4" xfId="23" applyFont="1" applyFill="1" applyBorder="1"/>
    <xf numFmtId="198" fontId="2" fillId="0" borderId="0" xfId="28" applyNumberFormat="1" applyFont="1" applyBorder="1" applyAlignment="1">
      <alignment horizontal="left" indent="1"/>
    </xf>
    <xf numFmtId="198" fontId="2" fillId="0" borderId="0" xfId="28" applyNumberFormat="1" applyFont="1" applyBorder="1"/>
    <xf numFmtId="198" fontId="2" fillId="0" borderId="9" xfId="28" applyNumberFormat="1" applyFont="1" applyBorder="1"/>
    <xf numFmtId="198" fontId="2" fillId="0" borderId="0" xfId="28" applyNumberFormat="1" applyFont="1" applyFill="1" applyBorder="1"/>
    <xf numFmtId="198" fontId="2" fillId="0" borderId="9" xfId="28" applyNumberFormat="1" applyFont="1" applyFill="1" applyBorder="1"/>
    <xf numFmtId="198" fontId="2" fillId="7" borderId="0" xfId="28" applyNumberFormat="1" applyFont="1" applyFill="1" applyBorder="1"/>
    <xf numFmtId="166" fontId="2" fillId="0" borderId="12" xfId="28" applyNumberFormat="1" applyFont="1" applyBorder="1"/>
    <xf numFmtId="198" fontId="2" fillId="0" borderId="12" xfId="28" applyNumberFormat="1" applyFont="1" applyFill="1" applyBorder="1"/>
    <xf numFmtId="9" fontId="7" fillId="0" borderId="0" xfId="28" applyFont="1" applyBorder="1" applyAlignment="1">
      <alignment horizontal="left"/>
    </xf>
    <xf numFmtId="172" fontId="7" fillId="0" borderId="0" xfId="28" applyNumberFormat="1" applyFont="1" applyFill="1" applyBorder="1"/>
    <xf numFmtId="172" fontId="7" fillId="0" borderId="9" xfId="28" applyNumberFormat="1" applyFont="1" applyFill="1" applyBorder="1"/>
    <xf numFmtId="172" fontId="7" fillId="7" borderId="0" xfId="28" applyNumberFormat="1" applyFont="1" applyFill="1" applyBorder="1"/>
    <xf numFmtId="37" fontId="2" fillId="0" borderId="9" xfId="0" applyNumberFormat="1" applyFont="1" applyBorder="1"/>
    <xf numFmtId="9" fontId="7" fillId="0" borderId="0" xfId="28" applyFont="1" applyBorder="1"/>
    <xf numFmtId="172" fontId="7" fillId="0" borderId="12" xfId="28" applyNumberFormat="1" applyFont="1" applyFill="1" applyBorder="1"/>
    <xf numFmtId="198" fontId="2" fillId="0" borderId="0" xfId="0" applyNumberFormat="1" applyFont="1" applyBorder="1"/>
    <xf numFmtId="0" fontId="2" fillId="0" borderId="0" xfId="0" applyFont="1" applyBorder="1" applyAlignment="1">
      <alignment horizontal="left" indent="1"/>
    </xf>
    <xf numFmtId="172" fontId="2" fillId="0" borderId="0" xfId="10" applyNumberFormat="1" applyFont="1" applyBorder="1"/>
    <xf numFmtId="172" fontId="2" fillId="0" borderId="9" xfId="0" applyNumberFormat="1" applyFont="1" applyFill="1" applyBorder="1"/>
    <xf numFmtId="37" fontId="2" fillId="0" borderId="0" xfId="23" applyNumberFormat="1" applyFont="1" applyAlignment="1" applyProtection="1">
      <alignment horizontal="left"/>
    </xf>
    <xf numFmtId="37" fontId="2" fillId="0" borderId="9" xfId="23" applyNumberFormat="1" applyFont="1" applyBorder="1" applyAlignment="1" applyProtection="1">
      <alignment horizontal="left"/>
    </xf>
    <xf numFmtId="37" fontId="14" fillId="0" borderId="0" xfId="23" applyNumberFormat="1" applyFont="1" applyFill="1" applyAlignment="1" applyProtection="1"/>
    <xf numFmtId="37" fontId="14" fillId="0" borderId="9" xfId="23" applyNumberFormat="1" applyFont="1" applyFill="1" applyBorder="1" applyAlignment="1" applyProtection="1"/>
    <xf numFmtId="37" fontId="2" fillId="0" borderId="0" xfId="23" applyNumberFormat="1" applyFont="1" applyFill="1" applyAlignment="1" applyProtection="1"/>
    <xf numFmtId="37" fontId="2" fillId="0" borderId="9" xfId="23" applyNumberFormat="1" applyFont="1" applyFill="1" applyBorder="1" applyAlignment="1" applyProtection="1"/>
    <xf numFmtId="37" fontId="14" fillId="0" borderId="0" xfId="23" applyNumberFormat="1" applyFont="1" applyFill="1" applyBorder="1" applyAlignment="1" applyProtection="1"/>
    <xf numFmtId="37" fontId="2" fillId="0" borderId="0" xfId="23" applyNumberFormat="1" applyFont="1"/>
    <xf numFmtId="37" fontId="2" fillId="0" borderId="0" xfId="23" applyNumberFormat="1" applyFont="1" applyAlignment="1" applyProtection="1"/>
    <xf numFmtId="37" fontId="14" fillId="7" borderId="0" xfId="23" applyNumberFormat="1" applyFont="1" applyFill="1" applyAlignment="1" applyProtection="1"/>
    <xf numFmtId="37" fontId="14" fillId="0" borderId="0" xfId="23" applyNumberFormat="1" applyFont="1" applyAlignment="1" applyProtection="1"/>
    <xf numFmtId="38" fontId="2" fillId="0" borderId="0" xfId="23" applyNumberFormat="1" applyFont="1" applyAlignment="1" applyProtection="1">
      <alignment horizontal="left"/>
    </xf>
    <xf numFmtId="38" fontId="2" fillId="0" borderId="9" xfId="23" applyNumberFormat="1" applyFont="1" applyBorder="1" applyAlignment="1" applyProtection="1">
      <alignment horizontal="left"/>
    </xf>
    <xf numFmtId="38" fontId="2" fillId="0" borderId="0" xfId="23" applyNumberFormat="1" applyFont="1" applyFill="1" applyAlignment="1" applyProtection="1"/>
    <xf numFmtId="38" fontId="2" fillId="0" borderId="9" xfId="23" applyNumberFormat="1" applyFont="1" applyFill="1" applyBorder="1" applyAlignment="1" applyProtection="1"/>
    <xf numFmtId="38" fontId="2" fillId="0" borderId="0" xfId="23" applyNumberFormat="1" applyFont="1" applyFill="1" applyBorder="1" applyAlignment="1" applyProtection="1"/>
    <xf numFmtId="38" fontId="2" fillId="7" borderId="0" xfId="23" applyNumberFormat="1" applyFont="1" applyFill="1" applyAlignment="1" applyProtection="1"/>
    <xf numFmtId="38" fontId="2" fillId="0" borderId="0" xfId="23" applyNumberFormat="1" applyFont="1" applyAlignment="1" applyProtection="1"/>
    <xf numFmtId="38" fontId="2" fillId="0" borderId="12" xfId="23" applyNumberFormat="1" applyFont="1" applyFill="1" applyBorder="1" applyAlignment="1" applyProtection="1"/>
    <xf numFmtId="37" fontId="2" fillId="0" borderId="12" xfId="23" applyNumberFormat="1" applyFont="1" applyFill="1" applyBorder="1" applyAlignment="1" applyProtection="1"/>
    <xf numFmtId="0" fontId="2" fillId="0" borderId="0" xfId="23" applyFont="1" applyFill="1"/>
    <xf numFmtId="0" fontId="2" fillId="0" borderId="9" xfId="23" applyFont="1" applyFill="1" applyBorder="1"/>
    <xf numFmtId="37" fontId="2" fillId="0" borderId="0" xfId="23" applyNumberFormat="1" applyFont="1" applyFill="1"/>
    <xf numFmtId="37" fontId="2" fillId="0" borderId="9" xfId="23" applyNumberFormat="1" applyFont="1" applyFill="1" applyBorder="1"/>
    <xf numFmtId="37" fontId="2" fillId="0" borderId="0" xfId="23" applyNumberFormat="1" applyFont="1" applyFill="1" applyBorder="1"/>
    <xf numFmtId="37" fontId="2" fillId="0" borderId="12" xfId="23" applyNumberFormat="1" applyFont="1" applyFill="1" applyBorder="1"/>
    <xf numFmtId="38" fontId="2" fillId="0" borderId="0" xfId="23" applyNumberFormat="1" applyFont="1" applyFill="1"/>
    <xf numFmtId="38" fontId="2" fillId="7" borderId="0" xfId="23" applyNumberFormat="1" applyFont="1" applyFill="1"/>
    <xf numFmtId="38" fontId="2" fillId="0" borderId="12" xfId="23" applyNumberFormat="1" applyFont="1" applyFill="1" applyBorder="1"/>
    <xf numFmtId="38" fontId="2" fillId="0" borderId="0" xfId="23" applyNumberFormat="1" applyFont="1" applyFill="1" applyBorder="1"/>
    <xf numFmtId="38" fontId="2" fillId="0" borderId="0" xfId="23" applyNumberFormat="1" applyFont="1"/>
    <xf numFmtId="38" fontId="2" fillId="0" borderId="9" xfId="23" applyNumberFormat="1" applyFont="1" applyBorder="1"/>
    <xf numFmtId="38" fontId="2" fillId="0" borderId="0" xfId="10" applyNumberFormat="1" applyFont="1" applyFill="1"/>
    <xf numFmtId="37" fontId="2" fillId="0" borderId="0" xfId="10" applyNumberFormat="1" applyFont="1"/>
    <xf numFmtId="0" fontId="2" fillId="0" borderId="0" xfId="23" applyFont="1"/>
    <xf numFmtId="37" fontId="2" fillId="0" borderId="12" xfId="10" applyNumberFormat="1" applyFont="1" applyFill="1" applyBorder="1"/>
    <xf numFmtId="38" fontId="2" fillId="7" borderId="0" xfId="10" applyNumberFormat="1" applyFont="1" applyFill="1"/>
    <xf numFmtId="37" fontId="2" fillId="7" borderId="0" xfId="23" applyNumberFormat="1" applyFont="1" applyFill="1"/>
    <xf numFmtId="0" fontId="2" fillId="0" borderId="9" xfId="23" applyFont="1" applyBorder="1"/>
    <xf numFmtId="169" fontId="2" fillId="0" borderId="0" xfId="10" applyNumberFormat="1" applyFont="1"/>
    <xf numFmtId="169" fontId="2" fillId="0" borderId="9" xfId="10" applyNumberFormat="1" applyFont="1" applyBorder="1"/>
    <xf numFmtId="169" fontId="2" fillId="0" borderId="0" xfId="10" applyNumberFormat="1" applyFont="1" applyFill="1"/>
    <xf numFmtId="169" fontId="2" fillId="0" borderId="9" xfId="10" applyNumberFormat="1" applyFont="1" applyFill="1" applyBorder="1"/>
    <xf numFmtId="169" fontId="2" fillId="0" borderId="0" xfId="10" applyNumberFormat="1" applyFont="1" applyFill="1" applyBorder="1"/>
    <xf numFmtId="169" fontId="2" fillId="0" borderId="12" xfId="10" applyNumberFormat="1" applyFont="1" applyFill="1" applyBorder="1"/>
    <xf numFmtId="201" fontId="2" fillId="0" borderId="0" xfId="10" applyNumberFormat="1" applyFont="1"/>
    <xf numFmtId="201" fontId="2" fillId="0" borderId="0" xfId="23" applyNumberFormat="1" applyFont="1" applyAlignment="1" applyProtection="1"/>
    <xf numFmtId="205" fontId="2" fillId="0" borderId="0" xfId="10" applyNumberFormat="1" applyFont="1"/>
    <xf numFmtId="205" fontId="2" fillId="0" borderId="0" xfId="10" applyNumberFormat="1" applyFont="1" applyFill="1"/>
    <xf numFmtId="205" fontId="2" fillId="7" borderId="0" xfId="10" applyNumberFormat="1" applyFont="1" applyFill="1"/>
    <xf numFmtId="205" fontId="2" fillId="0" borderId="12" xfId="10" applyNumberFormat="1" applyFont="1" applyFill="1" applyBorder="1"/>
    <xf numFmtId="205" fontId="2" fillId="0" borderId="0" xfId="10" applyNumberFormat="1" applyFont="1" applyFill="1" applyBorder="1"/>
    <xf numFmtId="5" fontId="2" fillId="0" borderId="0" xfId="23" applyNumberFormat="1" applyFont="1" applyFill="1" applyAlignment="1" applyProtection="1"/>
    <xf numFmtId="5" fontId="2" fillId="0" borderId="9" xfId="23" applyNumberFormat="1" applyFont="1" applyFill="1" applyBorder="1" applyAlignment="1" applyProtection="1"/>
    <xf numFmtId="5" fontId="2" fillId="0" borderId="0" xfId="23" applyNumberFormat="1" applyFont="1" applyFill="1" applyBorder="1" applyAlignment="1" applyProtection="1"/>
    <xf numFmtId="5" fontId="2" fillId="0" borderId="12" xfId="23" applyNumberFormat="1" applyFont="1" applyFill="1" applyBorder="1" applyAlignment="1" applyProtection="1"/>
    <xf numFmtId="5" fontId="2" fillId="0" borderId="0" xfId="23" applyNumberFormat="1" applyFont="1" applyAlignment="1" applyProtection="1"/>
    <xf numFmtId="5" fontId="2" fillId="7" borderId="0" xfId="23" applyNumberFormat="1" applyFont="1" applyFill="1" applyAlignment="1" applyProtection="1"/>
    <xf numFmtId="5" fontId="7" fillId="0" borderId="0" xfId="23" applyNumberFormat="1" applyFont="1" applyFill="1"/>
    <xf numFmtId="5" fontId="52" fillId="0" borderId="0" xfId="23" applyNumberFormat="1" applyFont="1" applyFill="1"/>
    <xf numFmtId="5" fontId="52" fillId="0" borderId="9" xfId="23" applyNumberFormat="1" applyFont="1" applyFill="1" applyBorder="1"/>
    <xf numFmtId="6" fontId="52" fillId="0" borderId="0" xfId="23" applyNumberFormat="1" applyFont="1" applyFill="1" applyBorder="1"/>
    <xf numFmtId="5" fontId="31" fillId="0" borderId="12" xfId="23" applyNumberFormat="1" applyFont="1" applyFill="1" applyBorder="1"/>
    <xf numFmtId="201" fontId="7" fillId="0" borderId="0" xfId="23" applyNumberFormat="1" applyFont="1" applyAlignment="1" applyProtection="1"/>
    <xf numFmtId="201" fontId="7" fillId="0" borderId="0" xfId="23" applyNumberFormat="1" applyFont="1"/>
    <xf numFmtId="205" fontId="7" fillId="0" borderId="0" xfId="23" applyNumberFormat="1" applyFont="1"/>
    <xf numFmtId="205" fontId="7" fillId="0" borderId="12" xfId="23" applyNumberFormat="1" applyFont="1" applyFill="1" applyBorder="1"/>
    <xf numFmtId="0" fontId="2" fillId="0" borderId="0" xfId="23" applyFont="1" applyAlignment="1">
      <alignment horizontal="left" indent="1"/>
    </xf>
    <xf numFmtId="0" fontId="2" fillId="0" borderId="9" xfId="23" applyFont="1" applyBorder="1" applyAlignment="1">
      <alignment horizontal="left" indent="1"/>
    </xf>
    <xf numFmtId="166" fontId="14" fillId="0" borderId="12" xfId="28" applyNumberFormat="1" applyFont="1" applyFill="1" applyBorder="1"/>
    <xf numFmtId="166" fontId="14" fillId="0" borderId="9" xfId="28" applyNumberFormat="1" applyFont="1" applyFill="1" applyBorder="1"/>
    <xf numFmtId="201" fontId="2" fillId="0" borderId="0" xfId="23" applyNumberFormat="1" applyFont="1"/>
    <xf numFmtId="205" fontId="2" fillId="0" borderId="0" xfId="23" applyNumberFormat="1" applyFont="1"/>
    <xf numFmtId="5" fontId="2" fillId="0" borderId="0" xfId="23" applyNumberFormat="1" applyFont="1" applyFill="1"/>
    <xf numFmtId="5" fontId="2" fillId="0" borderId="9" xfId="23" applyNumberFormat="1" applyFont="1" applyFill="1" applyBorder="1"/>
    <xf numFmtId="5" fontId="2" fillId="0" borderId="0" xfId="23" applyNumberFormat="1" applyFont="1" applyFill="1" applyBorder="1"/>
    <xf numFmtId="5" fontId="2" fillId="7" borderId="0" xfId="23" applyNumberFormat="1" applyFont="1" applyFill="1" applyBorder="1"/>
    <xf numFmtId="5" fontId="14" fillId="0" borderId="12" xfId="23" applyNumberFormat="1" applyFont="1" applyFill="1" applyBorder="1"/>
    <xf numFmtId="5" fontId="2" fillId="7" borderId="0" xfId="23" applyNumberFormat="1" applyFont="1" applyFill="1"/>
    <xf numFmtId="6" fontId="2" fillId="0" borderId="0" xfId="28" applyNumberFormat="1" applyFont="1" applyFill="1"/>
    <xf numFmtId="6" fontId="2" fillId="0" borderId="12" xfId="28" applyNumberFormat="1" applyFont="1" applyFill="1" applyBorder="1"/>
    <xf numFmtId="5" fontId="67" fillId="0" borderId="12" xfId="23" applyNumberFormat="1" applyFont="1" applyFill="1" applyBorder="1"/>
    <xf numFmtId="5" fontId="67" fillId="0" borderId="9" xfId="23" applyNumberFormat="1" applyFont="1" applyFill="1" applyBorder="1"/>
    <xf numFmtId="201" fontId="2" fillId="0" borderId="13" xfId="23" applyNumberFormat="1" applyFont="1" applyBorder="1" applyAlignment="1" applyProtection="1"/>
    <xf numFmtId="201" fontId="2" fillId="0" borderId="13" xfId="23" applyNumberFormat="1" applyFont="1" applyBorder="1"/>
    <xf numFmtId="205" fontId="2" fillId="0" borderId="13" xfId="23" applyNumberFormat="1" applyFont="1" applyBorder="1"/>
    <xf numFmtId="37" fontId="2" fillId="0" borderId="13" xfId="23" applyNumberFormat="1" applyFont="1" applyBorder="1" applyAlignment="1" applyProtection="1"/>
    <xf numFmtId="166" fontId="2" fillId="0" borderId="13" xfId="28" applyNumberFormat="1" applyFont="1" applyBorder="1"/>
    <xf numFmtId="166" fontId="2" fillId="0" borderId="13" xfId="28" applyNumberFormat="1" applyFont="1" applyFill="1" applyBorder="1"/>
    <xf numFmtId="5" fontId="2" fillId="0" borderId="13" xfId="23" applyNumberFormat="1" applyFont="1" applyFill="1" applyBorder="1"/>
    <xf numFmtId="5" fontId="2" fillId="0" borderId="12" xfId="23" applyNumberFormat="1" applyFont="1" applyFill="1" applyBorder="1"/>
    <xf numFmtId="201" fontId="2" fillId="0" borderId="0" xfId="23" applyNumberFormat="1" applyFont="1" applyBorder="1" applyAlignment="1" applyProtection="1"/>
    <xf numFmtId="201" fontId="2" fillId="0" borderId="0" xfId="23" applyNumberFormat="1" applyFont="1" applyBorder="1"/>
    <xf numFmtId="205" fontId="2" fillId="0" borderId="0" xfId="23" applyNumberFormat="1" applyFont="1" applyBorder="1"/>
    <xf numFmtId="37" fontId="2" fillId="0" borderId="0" xfId="23" applyNumberFormat="1" applyFont="1" applyBorder="1" applyAlignment="1" applyProtection="1"/>
    <xf numFmtId="41" fontId="7" fillId="0" borderId="9" xfId="23" applyNumberFormat="1" applyFont="1" applyFill="1" applyBorder="1"/>
    <xf numFmtId="188" fontId="7" fillId="0" borderId="0" xfId="23" applyNumberFormat="1" applyFont="1" applyFill="1"/>
    <xf numFmtId="41" fontId="2" fillId="0" borderId="12" xfId="23" applyNumberFormat="1" applyFont="1" applyFill="1" applyBorder="1"/>
    <xf numFmtId="41" fontId="2" fillId="0" borderId="0" xfId="23" applyNumberFormat="1" applyFont="1" applyFill="1" applyBorder="1"/>
    <xf numFmtId="41" fontId="2" fillId="0" borderId="9" xfId="23" applyNumberFormat="1" applyFont="1" applyFill="1" applyBorder="1"/>
    <xf numFmtId="166" fontId="2" fillId="0" borderId="0" xfId="28" applyNumberFormat="1" applyFont="1" applyFill="1" applyBorder="1" applyAlignment="1">
      <alignment horizontal="right"/>
    </xf>
    <xf numFmtId="166" fontId="2" fillId="0" borderId="9" xfId="28" applyNumberFormat="1" applyFont="1" applyFill="1" applyBorder="1" applyAlignment="1">
      <alignment horizontal="right"/>
    </xf>
    <xf numFmtId="41" fontId="2" fillId="0" borderId="0" xfId="23" applyNumberFormat="1" applyFont="1" applyFill="1"/>
    <xf numFmtId="188" fontId="2" fillId="0" borderId="0" xfId="23" applyNumberFormat="1" applyFont="1" applyFill="1"/>
    <xf numFmtId="166" fontId="53" fillId="0" borderId="0" xfId="28" applyNumberFormat="1" applyFont="1" applyFill="1" applyBorder="1" applyAlignment="1">
      <alignment horizontal="right"/>
    </xf>
    <xf numFmtId="166" fontId="53" fillId="7" borderId="0" xfId="28" applyNumberFormat="1" applyFont="1" applyFill="1" applyBorder="1"/>
    <xf numFmtId="166" fontId="14" fillId="0" borderId="0" xfId="28" applyNumberFormat="1" applyFont="1" applyFill="1" applyBorder="1"/>
    <xf numFmtId="166" fontId="14" fillId="7" borderId="0" xfId="28" applyNumberFormat="1" applyFont="1" applyFill="1" applyBorder="1"/>
    <xf numFmtId="37" fontId="7" fillId="0" borderId="12" xfId="23" applyNumberFormat="1" applyFont="1" applyBorder="1"/>
    <xf numFmtId="166" fontId="7" fillId="0" borderId="0" xfId="23" applyNumberFormat="1" applyFont="1" applyFill="1" applyBorder="1"/>
    <xf numFmtId="166" fontId="7" fillId="0" borderId="9" xfId="23" applyNumberFormat="1" applyFont="1" applyFill="1" applyBorder="1"/>
    <xf numFmtId="166" fontId="2" fillId="7" borderId="0" xfId="28" applyNumberFormat="1" applyFont="1" applyFill="1"/>
    <xf numFmtId="166" fontId="7" fillId="0" borderId="0" xfId="23" applyNumberFormat="1" applyFont="1" applyBorder="1"/>
    <xf numFmtId="166" fontId="7" fillId="0" borderId="9" xfId="23" applyNumberFormat="1" applyFont="1" applyBorder="1"/>
    <xf numFmtId="198" fontId="7" fillId="0" borderId="0" xfId="10" applyNumberFormat="1" applyFont="1" applyBorder="1"/>
    <xf numFmtId="198" fontId="7" fillId="0" borderId="0" xfId="28" applyNumberFormat="1" applyFont="1" applyBorder="1"/>
    <xf numFmtId="198" fontId="7" fillId="0" borderId="12" xfId="28" applyNumberFormat="1" applyFont="1" applyFill="1" applyBorder="1"/>
    <xf numFmtId="166" fontId="7" fillId="0" borderId="0" xfId="0" applyNumberFormat="1" applyFont="1" applyBorder="1"/>
    <xf numFmtId="0" fontId="2" fillId="0" borderId="9" xfId="24" applyFont="1" applyBorder="1" applyAlignment="1">
      <alignment horizontal="left" indent="1"/>
    </xf>
    <xf numFmtId="10" fontId="2" fillId="0" borderId="0" xfId="28" applyNumberFormat="1" applyFont="1" applyFill="1"/>
    <xf numFmtId="5" fontId="2" fillId="0" borderId="0" xfId="28" applyNumberFormat="1" applyFont="1" applyFill="1"/>
    <xf numFmtId="43" fontId="2" fillId="0" borderId="0" xfId="10" applyFont="1" applyFill="1"/>
    <xf numFmtId="9" fontId="2" fillId="0" borderId="0" xfId="28" applyFont="1" applyFill="1"/>
    <xf numFmtId="9" fontId="2" fillId="0" borderId="0" xfId="28" applyFont="1" applyFill="1" applyBorder="1"/>
    <xf numFmtId="9" fontId="2" fillId="0" borderId="12" xfId="28" applyFont="1" applyFill="1" applyBorder="1"/>
    <xf numFmtId="43" fontId="2" fillId="0" borderId="0" xfId="0" applyNumberFormat="1" applyFont="1"/>
    <xf numFmtId="43" fontId="14" fillId="0" borderId="0" xfId="22" applyNumberFormat="1" applyFont="1" applyFill="1"/>
    <xf numFmtId="43" fontId="2" fillId="0" borderId="9" xfId="0" applyNumberFormat="1" applyFont="1" applyBorder="1"/>
    <xf numFmtId="43" fontId="2" fillId="0" borderId="0" xfId="0" applyNumberFormat="1" applyFont="1" applyFill="1"/>
    <xf numFmtId="43" fontId="14" fillId="0" borderId="0" xfId="22" applyNumberFormat="1" applyFont="1" applyFill="1" applyBorder="1"/>
    <xf numFmtId="43" fontId="14" fillId="0" borderId="9" xfId="22" applyNumberFormat="1" applyFont="1" applyFill="1" applyBorder="1"/>
    <xf numFmtId="43" fontId="14" fillId="0" borderId="12" xfId="22" applyNumberFormat="1" applyFont="1" applyFill="1" applyBorder="1"/>
    <xf numFmtId="43" fontId="2" fillId="0" borderId="0" xfId="23" applyNumberFormat="1" applyFont="1" applyFill="1"/>
    <xf numFmtId="43" fontId="2" fillId="0" borderId="0" xfId="28" applyNumberFormat="1" applyFont="1" applyFill="1"/>
    <xf numFmtId="43" fontId="2" fillId="7" borderId="0" xfId="0" applyNumberFormat="1" applyFont="1" applyFill="1"/>
    <xf numFmtId="0" fontId="2" fillId="0" borderId="16" xfId="0" applyFont="1" applyBorder="1"/>
    <xf numFmtId="188" fontId="14" fillId="0" borderId="17" xfId="22" applyNumberFormat="1" applyFont="1" applyFill="1" applyBorder="1"/>
    <xf numFmtId="188" fontId="14" fillId="0" borderId="16" xfId="22" applyNumberFormat="1" applyFont="1" applyFill="1" applyBorder="1"/>
    <xf numFmtId="0" fontId="2" fillId="0" borderId="15" xfId="0" applyFont="1" applyBorder="1"/>
    <xf numFmtId="0" fontId="2" fillId="0" borderId="15" xfId="0" applyFont="1" applyFill="1" applyBorder="1"/>
    <xf numFmtId="166" fontId="2" fillId="0" borderId="12" xfId="28" applyNumberFormat="1" applyFont="1" applyFill="1" applyBorder="1" applyAlignment="1">
      <alignment horizontal="right"/>
    </xf>
    <xf numFmtId="166" fontId="2" fillId="0" borderId="9" xfId="0" applyNumberFormat="1" applyFont="1" applyFill="1" applyBorder="1"/>
    <xf numFmtId="166" fontId="2" fillId="0" borderId="12" xfId="0" applyNumberFormat="1" applyFont="1" applyFill="1" applyBorder="1"/>
    <xf numFmtId="166" fontId="2" fillId="0" borderId="0" xfId="0" applyNumberFormat="1" applyFont="1"/>
    <xf numFmtId="166" fontId="2" fillId="0" borderId="9" xfId="0" applyNumberFormat="1" applyFont="1" applyBorder="1"/>
    <xf numFmtId="166" fontId="2" fillId="10" borderId="12" xfId="0" applyNumberFormat="1" applyFont="1" applyFill="1" applyBorder="1"/>
    <xf numFmtId="166" fontId="2" fillId="10" borderId="0" xfId="0" applyNumberFormat="1" applyFont="1" applyFill="1"/>
    <xf numFmtId="166" fontId="2" fillId="0" borderId="0" xfId="0" applyNumberFormat="1" applyFont="1" applyAlignment="1">
      <alignment horizontal="right"/>
    </xf>
    <xf numFmtId="166" fontId="53" fillId="0" borderId="12" xfId="28" applyNumberFormat="1" applyFont="1" applyFill="1" applyBorder="1" applyAlignment="1">
      <alignment horizontal="right"/>
    </xf>
    <xf numFmtId="166" fontId="53" fillId="0" borderId="0" xfId="0" applyNumberFormat="1" applyFont="1" applyAlignment="1">
      <alignment horizontal="right"/>
    </xf>
    <xf numFmtId="166" fontId="53" fillId="0" borderId="9" xfId="28" applyNumberFormat="1" applyFont="1" applyFill="1" applyBorder="1" applyAlignment="1">
      <alignment horizontal="right"/>
    </xf>
    <xf numFmtId="166" fontId="53" fillId="10" borderId="0" xfId="28" applyNumberFormat="1" applyFont="1" applyFill="1" applyBorder="1" applyAlignment="1">
      <alignment horizontal="right"/>
    </xf>
    <xf numFmtId="166" fontId="53" fillId="10" borderId="9" xfId="28" applyNumberFormat="1" applyFont="1" applyFill="1" applyBorder="1" applyAlignment="1">
      <alignment horizontal="right"/>
    </xf>
    <xf numFmtId="166" fontId="2" fillId="0" borderId="12" xfId="0" applyNumberFormat="1" applyFont="1" applyBorder="1"/>
    <xf numFmtId="166" fontId="53" fillId="8" borderId="9" xfId="28" applyNumberFormat="1" applyFont="1" applyFill="1" applyBorder="1" applyAlignment="1">
      <alignment horizontal="right"/>
    </xf>
    <xf numFmtId="166" fontId="2" fillId="10" borderId="4" xfId="0" applyNumberFormat="1" applyFont="1" applyFill="1" applyBorder="1" applyAlignment="1">
      <alignment horizontal="right"/>
    </xf>
    <xf numFmtId="166" fontId="2" fillId="0" borderId="8" xfId="28" applyNumberFormat="1" applyFont="1" applyFill="1" applyBorder="1" applyAlignment="1">
      <alignment horizontal="right"/>
    </xf>
    <xf numFmtId="166" fontId="2" fillId="0" borderId="7" xfId="28" applyNumberFormat="1" applyFont="1" applyFill="1" applyBorder="1" applyAlignment="1">
      <alignment horizontal="right"/>
    </xf>
    <xf numFmtId="166" fontId="2" fillId="0" borderId="4" xfId="0" applyNumberFormat="1" applyFont="1" applyBorder="1" applyAlignment="1">
      <alignment horizontal="right"/>
    </xf>
    <xf numFmtId="6" fontId="53" fillId="0" borderId="0" xfId="0" applyNumberFormat="1" applyFont="1"/>
    <xf numFmtId="6" fontId="2" fillId="0" borderId="4" xfId="0" applyNumberFormat="1" applyFont="1" applyBorder="1"/>
    <xf numFmtId="8" fontId="53" fillId="0" borderId="0" xfId="0" applyNumberFormat="1" applyFont="1"/>
    <xf numFmtId="6" fontId="2" fillId="0" borderId="0" xfId="0" applyNumberFormat="1" applyFont="1"/>
    <xf numFmtId="8" fontId="2" fillId="0" borderId="0" xfId="0" applyNumberFormat="1" applyFont="1"/>
    <xf numFmtId="0" fontId="53" fillId="0" borderId="12" xfId="0" applyFont="1" applyBorder="1"/>
    <xf numFmtId="205" fontId="2" fillId="0" borderId="0" xfId="0" applyNumberFormat="1" applyFont="1"/>
    <xf numFmtId="205" fontId="2" fillId="0" borderId="0" xfId="0" applyNumberFormat="1" applyFont="1" applyFill="1" applyBorder="1"/>
    <xf numFmtId="205" fontId="2" fillId="7" borderId="0" xfId="0" applyNumberFormat="1" applyFont="1" applyFill="1" applyBorder="1"/>
    <xf numFmtId="10" fontId="6" fillId="0" borderId="9" xfId="0" applyNumberFormat="1" applyFont="1" applyFill="1" applyBorder="1" applyAlignment="1">
      <alignment horizontal="right"/>
    </xf>
    <xf numFmtId="10" fontId="8" fillId="0" borderId="0" xfId="28" applyNumberFormat="1" applyFont="1" applyAlignment="1">
      <alignment horizontal="right"/>
    </xf>
    <xf numFmtId="10" fontId="8" fillId="0" borderId="0" xfId="28" applyNumberFormat="1" applyFont="1" applyBorder="1" applyAlignment="1">
      <alignment horizontal="right"/>
    </xf>
    <xf numFmtId="10" fontId="2" fillId="0" borderId="0" xfId="28" applyNumberFormat="1" applyFont="1" applyBorder="1" applyAlignment="1">
      <alignment horizontal="right"/>
    </xf>
    <xf numFmtId="10" fontId="2" fillId="0" borderId="0" xfId="28" applyNumberFormat="1" applyFont="1" applyFill="1" applyBorder="1" applyAlignment="1">
      <alignment horizontal="right"/>
    </xf>
    <xf numFmtId="10" fontId="53" fillId="0" borderId="0" xfId="28" applyNumberFormat="1" applyFont="1" applyBorder="1" applyAlignment="1">
      <alignment horizontal="right"/>
    </xf>
    <xf numFmtId="10" fontId="53" fillId="0" borderId="12" xfId="0" applyNumberFormat="1" applyFont="1" applyBorder="1" applyAlignment="1">
      <alignment horizontal="right"/>
    </xf>
    <xf numFmtId="10" fontId="2" fillId="0" borderId="9" xfId="10" applyNumberFormat="1" applyFont="1" applyFill="1" applyBorder="1" applyAlignment="1">
      <alignment horizontal="right"/>
    </xf>
    <xf numFmtId="10" fontId="2" fillId="0" borderId="0" xfId="10" applyNumberFormat="1" applyFont="1" applyAlignment="1">
      <alignment horizontal="right"/>
    </xf>
    <xf numFmtId="10" fontId="2" fillId="0" borderId="0" xfId="10" applyNumberFormat="1" applyFont="1" applyFill="1" applyAlignment="1">
      <alignment horizontal="right"/>
    </xf>
    <xf numFmtId="10" fontId="2" fillId="0" borderId="12" xfId="10" applyNumberFormat="1" applyFont="1" applyBorder="1" applyAlignment="1">
      <alignment horizontal="right"/>
    </xf>
    <xf numFmtId="10" fontId="2" fillId="0" borderId="0" xfId="10" applyNumberFormat="1" applyFont="1" applyBorder="1" applyAlignment="1">
      <alignment horizontal="right"/>
    </xf>
    <xf numFmtId="10" fontId="2" fillId="7" borderId="0" xfId="10" applyNumberFormat="1" applyFont="1" applyFill="1" applyAlignment="1">
      <alignment horizontal="right"/>
    </xf>
    <xf numFmtId="10" fontId="2" fillId="0" borderId="12" xfId="0" applyNumberFormat="1" applyFont="1" applyBorder="1" applyAlignment="1">
      <alignment horizontal="right"/>
    </xf>
    <xf numFmtId="8" fontId="6" fillId="0" borderId="9" xfId="0" applyNumberFormat="1" applyFont="1" applyFill="1" applyBorder="1" applyAlignment="1">
      <alignment horizontal="right"/>
    </xf>
    <xf numFmtId="8" fontId="6" fillId="0" borderId="2" xfId="0" applyNumberFormat="1" applyFont="1" applyBorder="1" applyAlignment="1">
      <alignment horizontal="right"/>
    </xf>
    <xf numFmtId="8" fontId="8" fillId="0" borderId="2" xfId="0" applyNumberFormat="1" applyFont="1" applyBorder="1" applyAlignment="1">
      <alignment horizontal="right"/>
    </xf>
    <xf numFmtId="8" fontId="8" fillId="0" borderId="11" xfId="0" applyNumberFormat="1" applyFont="1" applyBorder="1" applyAlignment="1">
      <alignment horizontal="right"/>
    </xf>
    <xf numFmtId="8" fontId="2" fillId="0" borderId="2" xfId="0" applyNumberFormat="1" applyFont="1" applyBorder="1" applyAlignment="1">
      <alignment horizontal="right"/>
    </xf>
    <xf numFmtId="8" fontId="2" fillId="0" borderId="2" xfId="0" applyNumberFormat="1" applyFont="1" applyFill="1" applyBorder="1" applyAlignment="1">
      <alignment horizontal="right"/>
    </xf>
    <xf numFmtId="8" fontId="53" fillId="7" borderId="2" xfId="0" applyNumberFormat="1" applyFont="1" applyFill="1" applyBorder="1" applyAlignment="1">
      <alignment horizontal="right"/>
    </xf>
    <xf numFmtId="8" fontId="53" fillId="0" borderId="2" xfId="0" applyNumberFormat="1" applyFont="1" applyBorder="1" applyAlignment="1">
      <alignment horizontal="right"/>
    </xf>
    <xf numFmtId="8" fontId="53" fillId="0" borderId="12" xfId="0" applyNumberFormat="1" applyFont="1" applyBorder="1" applyAlignment="1">
      <alignment horizontal="right"/>
    </xf>
    <xf numFmtId="205" fontId="7" fillId="8" borderId="0" xfId="0" applyNumberFormat="1" applyFont="1" applyFill="1" applyBorder="1"/>
    <xf numFmtId="166" fontId="2" fillId="8" borderId="0" xfId="28" applyNumberFormat="1" applyFont="1" applyFill="1" applyBorder="1"/>
    <xf numFmtId="166" fontId="7" fillId="0" borderId="0" xfId="10" applyNumberFormat="1" applyFont="1" applyFill="1" applyBorder="1"/>
    <xf numFmtId="8" fontId="7" fillId="7" borderId="0" xfId="23" applyNumberFormat="1" applyFont="1" applyFill="1" applyBorder="1" applyAlignment="1" applyProtection="1"/>
    <xf numFmtId="0" fontId="0" fillId="0" borderId="0" xfId="0"/>
    <xf numFmtId="8" fontId="7" fillId="0" borderId="4" xfId="0" applyNumberFormat="1" applyFont="1" applyFill="1" applyBorder="1" applyAlignment="1" applyProtection="1">
      <alignment horizontal="right"/>
    </xf>
    <xf numFmtId="41" fontId="53" fillId="0" borderId="0" xfId="0" applyNumberFormat="1" applyFont="1" applyFill="1" applyBorder="1" applyAlignment="1">
      <alignment horizontal="right"/>
    </xf>
    <xf numFmtId="0" fontId="7" fillId="0" borderId="3" xfId="0" applyFont="1" applyFill="1" applyBorder="1"/>
    <xf numFmtId="170" fontId="15" fillId="0" borderId="14" xfId="34" applyNumberFormat="1" applyFont="1" applyFill="1" applyBorder="1" applyAlignment="1" applyProtection="1">
      <alignment horizontal="left"/>
    </xf>
    <xf numFmtId="0" fontId="7" fillId="0" borderId="14" xfId="34" applyFont="1" applyFill="1" applyBorder="1" applyAlignment="1">
      <alignment horizontal="left"/>
    </xf>
    <xf numFmtId="0" fontId="4" fillId="0" borderId="3" xfId="34" applyFont="1" applyFill="1" applyBorder="1" applyAlignment="1"/>
    <xf numFmtId="0" fontId="4" fillId="0" borderId="14" xfId="34" applyFont="1" applyFill="1" applyBorder="1" applyAlignment="1"/>
    <xf numFmtId="170" fontId="15" fillId="0" borderId="6" xfId="34" applyNumberFormat="1" applyFont="1" applyFill="1" applyBorder="1" applyAlignment="1" applyProtection="1">
      <alignment horizontal="left"/>
    </xf>
    <xf numFmtId="166" fontId="15" fillId="0" borderId="3" xfId="28" applyNumberFormat="1" applyFont="1" applyFill="1" applyBorder="1" applyAlignment="1" applyProtection="1">
      <alignment horizontal="left"/>
    </xf>
    <xf numFmtId="5" fontId="52" fillId="0" borderId="0" xfId="23" applyNumberFormat="1" applyFont="1" applyFill="1" applyBorder="1"/>
    <xf numFmtId="184" fontId="2" fillId="0" borderId="0" xfId="0" applyNumberFormat="1" applyFont="1" applyFill="1" applyBorder="1" applyProtection="1"/>
    <xf numFmtId="166" fontId="2" fillId="0" borderId="0" xfId="34" applyNumberFormat="1" applyFont="1" applyFill="1" applyBorder="1" applyAlignment="1"/>
    <xf numFmtId="198" fontId="2" fillId="0" borderId="0" xfId="28" applyNumberFormat="1" applyFont="1" applyFill="1" applyBorder="1" applyProtection="1"/>
    <xf numFmtId="188" fontId="2" fillId="0" borderId="0" xfId="0" applyNumberFormat="1" applyFont="1" applyFill="1"/>
    <xf numFmtId="173" fontId="2" fillId="0" borderId="0" xfId="34" applyNumberFormat="1" applyFont="1" applyFill="1" applyBorder="1" applyAlignment="1"/>
    <xf numFmtId="173" fontId="2" fillId="0" borderId="2" xfId="34" applyNumberFormat="1" applyFont="1" applyFill="1" applyBorder="1" applyAlignment="1"/>
    <xf numFmtId="41" fontId="53" fillId="0" borderId="0" xfId="10" applyNumberFormat="1" applyFont="1" applyFill="1" applyBorder="1" applyAlignment="1">
      <alignment horizontal="right"/>
    </xf>
    <xf numFmtId="41" fontId="2" fillId="0" borderId="0" xfId="0" applyNumberFormat="1" applyFont="1" applyFill="1" applyAlignment="1">
      <alignment horizontal="right"/>
    </xf>
    <xf numFmtId="37" fontId="2" fillId="0" borderId="0" xfId="10" applyNumberFormat="1" applyFont="1" applyFill="1"/>
    <xf numFmtId="165" fontId="2" fillId="0" borderId="0" xfId="0" applyNumberFormat="1" applyFont="1" applyFill="1" applyBorder="1"/>
    <xf numFmtId="173" fontId="2" fillId="0" borderId="0" xfId="10" applyNumberFormat="1" applyFont="1" applyFill="1" applyBorder="1" applyAlignment="1">
      <alignment horizontal="right"/>
    </xf>
    <xf numFmtId="5" fontId="2" fillId="0" borderId="0" xfId="10" applyNumberFormat="1" applyFont="1" applyFill="1" applyBorder="1"/>
    <xf numFmtId="6" fontId="6" fillId="0" borderId="0" xfId="28" applyNumberFormat="1" applyFont="1" applyFill="1" applyBorder="1" applyAlignment="1" applyProtection="1"/>
    <xf numFmtId="6" fontId="6" fillId="0" borderId="9" xfId="28" applyNumberFormat="1" applyFont="1" applyFill="1" applyBorder="1" applyAlignment="1" applyProtection="1"/>
    <xf numFmtId="6" fontId="6" fillId="7" borderId="0" xfId="28" applyNumberFormat="1" applyFont="1" applyFill="1" applyBorder="1" applyAlignment="1" applyProtection="1"/>
    <xf numFmtId="6" fontId="6" fillId="0" borderId="12" xfId="28" applyNumberFormat="1" applyFont="1" applyFill="1" applyBorder="1" applyAlignment="1" applyProtection="1"/>
    <xf numFmtId="6" fontId="7" fillId="0" borderId="9" xfId="23" applyNumberFormat="1" applyFont="1" applyFill="1" applyBorder="1" applyAlignment="1" applyProtection="1"/>
    <xf numFmtId="6" fontId="6" fillId="0" borderId="0" xfId="28" applyNumberFormat="1" applyFont="1" applyAlignment="1" applyProtection="1"/>
    <xf numFmtId="6" fontId="6" fillId="0" borderId="12" xfId="28" applyNumberFormat="1" applyFont="1" applyBorder="1" applyAlignment="1" applyProtection="1"/>
    <xf numFmtId="6" fontId="6" fillId="0" borderId="0" xfId="28" applyNumberFormat="1" applyFont="1" applyBorder="1" applyAlignment="1" applyProtection="1"/>
    <xf numFmtId="6" fontId="6" fillId="0" borderId="12" xfId="0" applyNumberFormat="1" applyFont="1" applyBorder="1"/>
    <xf numFmtId="6" fontId="53" fillId="0" borderId="0" xfId="28" applyNumberFormat="1" applyFont="1" applyFill="1" applyBorder="1" applyAlignment="1" applyProtection="1"/>
    <xf numFmtId="6" fontId="53" fillId="0" borderId="9" xfId="28" applyNumberFormat="1" applyFont="1" applyFill="1" applyBorder="1" applyAlignment="1" applyProtection="1"/>
    <xf numFmtId="6" fontId="7" fillId="0" borderId="0" xfId="23" applyNumberFormat="1" applyFont="1" applyBorder="1" applyAlignment="1" applyProtection="1">
      <alignment horizontal="right"/>
    </xf>
    <xf numFmtId="6" fontId="7" fillId="0" borderId="9" xfId="23" applyNumberFormat="1" applyFont="1" applyBorder="1" applyAlignment="1" applyProtection="1">
      <alignment horizontal="right"/>
    </xf>
    <xf numFmtId="6" fontId="6" fillId="0" borderId="0" xfId="28" applyNumberFormat="1" applyFont="1" applyAlignment="1" applyProtection="1">
      <alignment horizontal="right"/>
    </xf>
    <xf numFmtId="6" fontId="6" fillId="0" borderId="9" xfId="28" applyNumberFormat="1" applyFont="1" applyBorder="1" applyAlignment="1" applyProtection="1">
      <alignment horizontal="right"/>
    </xf>
    <xf numFmtId="6" fontId="6" fillId="0" borderId="9" xfId="10" applyNumberFormat="1" applyFont="1" applyBorder="1" applyAlignment="1" applyProtection="1">
      <alignment horizontal="right"/>
    </xf>
    <xf numFmtId="6" fontId="6" fillId="0" borderId="9" xfId="10" applyNumberFormat="1" applyFont="1" applyFill="1" applyBorder="1" applyAlignment="1" applyProtection="1">
      <alignment horizontal="right"/>
    </xf>
    <xf numFmtId="6" fontId="6" fillId="0" borderId="0" xfId="28" applyNumberFormat="1" applyFont="1" applyFill="1" applyAlignment="1" applyProtection="1">
      <alignment horizontal="right"/>
    </xf>
    <xf numFmtId="6" fontId="6" fillId="0" borderId="9" xfId="28" applyNumberFormat="1" applyFont="1" applyFill="1" applyBorder="1" applyAlignment="1" applyProtection="1">
      <alignment horizontal="right"/>
    </xf>
    <xf numFmtId="6" fontId="6" fillId="0" borderId="12" xfId="28" applyNumberFormat="1" applyFont="1" applyFill="1" applyBorder="1" applyAlignment="1" applyProtection="1">
      <alignment horizontal="right"/>
    </xf>
    <xf numFmtId="6" fontId="6" fillId="0" borderId="0" xfId="28" applyNumberFormat="1" applyFont="1" applyFill="1" applyBorder="1" applyAlignment="1" applyProtection="1">
      <alignment horizontal="right"/>
    </xf>
    <xf numFmtId="6" fontId="53" fillId="0" borderId="0" xfId="28" applyNumberFormat="1" applyFont="1" applyFill="1" applyBorder="1" applyAlignment="1" applyProtection="1">
      <alignment horizontal="right"/>
    </xf>
    <xf numFmtId="6" fontId="53" fillId="0" borderId="9" xfId="28" applyNumberFormat="1" applyFont="1" applyFill="1" applyBorder="1" applyAlignment="1" applyProtection="1">
      <alignment horizontal="right"/>
    </xf>
    <xf numFmtId="6" fontId="52" fillId="0" borderId="0" xfId="23" applyNumberFormat="1" applyFont="1" applyBorder="1" applyAlignment="1" applyProtection="1">
      <alignment horizontal="right"/>
    </xf>
    <xf numFmtId="6" fontId="52" fillId="0" borderId="9" xfId="23" applyNumberFormat="1" applyFont="1" applyBorder="1" applyAlignment="1" applyProtection="1">
      <alignment horizontal="right"/>
    </xf>
    <xf numFmtId="6" fontId="53" fillId="0" borderId="0" xfId="28" applyNumberFormat="1" applyFont="1" applyAlignment="1" applyProtection="1">
      <alignment horizontal="right"/>
    </xf>
    <xf numFmtId="6" fontId="53" fillId="0" borderId="9" xfId="28" applyNumberFormat="1" applyFont="1" applyBorder="1" applyAlignment="1" applyProtection="1">
      <alignment horizontal="right"/>
    </xf>
    <xf numFmtId="6" fontId="53" fillId="0" borderId="9" xfId="10" applyNumberFormat="1" applyFont="1" applyBorder="1" applyAlignment="1" applyProtection="1">
      <alignment horizontal="right"/>
    </xf>
    <xf numFmtId="6" fontId="53" fillId="0" borderId="9" xfId="10" applyNumberFormat="1" applyFont="1" applyFill="1" applyBorder="1" applyAlignment="1" applyProtection="1">
      <alignment horizontal="right"/>
    </xf>
    <xf numFmtId="6" fontId="53" fillId="0" borderId="0" xfId="28" applyNumberFormat="1" applyFont="1" applyFill="1" applyAlignment="1" applyProtection="1">
      <alignment horizontal="right"/>
    </xf>
    <xf numFmtId="6" fontId="53" fillId="0" borderId="12" xfId="28" applyNumberFormat="1" applyFont="1" applyFill="1" applyBorder="1" applyAlignment="1" applyProtection="1">
      <alignment horizontal="right"/>
    </xf>
    <xf numFmtId="6" fontId="2" fillId="0" borderId="9" xfId="28" applyNumberFormat="1" applyFont="1" applyFill="1" applyBorder="1" applyAlignment="1" applyProtection="1">
      <alignment horizontal="right"/>
    </xf>
    <xf numFmtId="6" fontId="2" fillId="0" borderId="0" xfId="28" applyNumberFormat="1" applyFont="1" applyFill="1" applyBorder="1" applyAlignment="1" applyProtection="1">
      <alignment horizontal="right"/>
    </xf>
    <xf numFmtId="6" fontId="2" fillId="0" borderId="12" xfId="28" applyNumberFormat="1" applyFont="1" applyFill="1" applyBorder="1" applyAlignment="1" applyProtection="1">
      <alignment horizontal="right"/>
    </xf>
    <xf numFmtId="6" fontId="2" fillId="0" borderId="0" xfId="28" applyNumberFormat="1" applyFont="1" applyFill="1" applyBorder="1" applyAlignment="1" applyProtection="1"/>
    <xf numFmtId="6" fontId="2" fillId="0" borderId="9" xfId="28" applyNumberFormat="1" applyFont="1" applyFill="1" applyBorder="1" applyAlignment="1" applyProtection="1"/>
    <xf numFmtId="6" fontId="7" fillId="0" borderId="4" xfId="23" applyNumberFormat="1" applyFont="1" applyBorder="1" applyAlignment="1" applyProtection="1">
      <alignment horizontal="right"/>
    </xf>
    <xf numFmtId="6" fontId="7" fillId="0" borderId="8" xfId="23" applyNumberFormat="1" applyFont="1" applyBorder="1" applyAlignment="1" applyProtection="1">
      <alignment horizontal="right"/>
    </xf>
    <xf numFmtId="6" fontId="6" fillId="0" borderId="0" xfId="28" applyNumberFormat="1" applyFont="1" applyBorder="1" applyAlignment="1" applyProtection="1">
      <alignment horizontal="right"/>
    </xf>
    <xf numFmtId="9" fontId="6" fillId="0" borderId="0" xfId="28" applyFont="1" applyFill="1" applyBorder="1" applyAlignment="1" applyProtection="1">
      <alignment horizontal="right"/>
    </xf>
    <xf numFmtId="9" fontId="6" fillId="0" borderId="9" xfId="28" applyFont="1" applyFill="1" applyBorder="1" applyAlignment="1" applyProtection="1">
      <alignment horizontal="right"/>
    </xf>
    <xf numFmtId="9" fontId="7" fillId="0" borderId="0" xfId="28" applyFont="1" applyBorder="1" applyAlignment="1" applyProtection="1">
      <alignment horizontal="right"/>
    </xf>
    <xf numFmtId="9" fontId="7" fillId="0" borderId="9" xfId="28" applyFont="1" applyBorder="1" applyAlignment="1" applyProtection="1">
      <alignment horizontal="right"/>
    </xf>
    <xf numFmtId="9" fontId="6" fillId="0" borderId="0" xfId="28" applyFont="1" applyAlignment="1" applyProtection="1">
      <alignment horizontal="right"/>
    </xf>
    <xf numFmtId="9" fontId="6" fillId="0" borderId="9" xfId="28" applyFont="1" applyBorder="1" applyAlignment="1" applyProtection="1">
      <alignment horizontal="right"/>
    </xf>
    <xf numFmtId="9" fontId="6" fillId="0" borderId="0" xfId="28" applyFont="1" applyFill="1" applyAlignment="1" applyProtection="1">
      <alignment horizontal="right"/>
    </xf>
    <xf numFmtId="9" fontId="6" fillId="0" borderId="12" xfId="28" applyFont="1" applyFill="1" applyBorder="1" applyAlignment="1" applyProtection="1">
      <alignment horizontal="right"/>
    </xf>
    <xf numFmtId="9" fontId="6" fillId="7" borderId="0" xfId="28" applyFont="1" applyFill="1" applyBorder="1" applyAlignment="1" applyProtection="1">
      <alignment horizontal="right"/>
    </xf>
    <xf numFmtId="9" fontId="7" fillId="0" borderId="9" xfId="28" applyFont="1" applyFill="1" applyBorder="1" applyAlignment="1" applyProtection="1">
      <alignment horizontal="right"/>
    </xf>
    <xf numFmtId="9" fontId="6" fillId="0" borderId="12" xfId="28" applyFont="1" applyBorder="1" applyAlignment="1" applyProtection="1">
      <alignment horizontal="right"/>
    </xf>
    <xf numFmtId="9" fontId="6" fillId="0" borderId="0" xfId="28" applyFont="1" applyBorder="1" applyAlignment="1" applyProtection="1">
      <alignment horizontal="right"/>
    </xf>
    <xf numFmtId="9" fontId="6" fillId="0" borderId="12" xfId="28" applyFont="1" applyBorder="1" applyAlignment="1">
      <alignment horizontal="right"/>
    </xf>
    <xf numFmtId="9" fontId="6" fillId="0" borderId="0" xfId="28" applyFont="1" applyAlignment="1">
      <alignment horizontal="right"/>
    </xf>
    <xf numFmtId="9" fontId="6" fillId="0" borderId="0" xfId="28" applyFont="1" applyBorder="1" applyAlignment="1">
      <alignment horizontal="right"/>
    </xf>
    <xf numFmtId="9" fontId="2" fillId="0" borderId="9" xfId="28" applyFont="1" applyFill="1" applyBorder="1" applyAlignment="1" applyProtection="1">
      <alignment horizontal="right"/>
    </xf>
    <xf numFmtId="6" fontId="7" fillId="0" borderId="4" xfId="28" applyNumberFormat="1" applyFont="1" applyBorder="1" applyAlignment="1" applyProtection="1">
      <alignment horizontal="right"/>
    </xf>
    <xf numFmtId="6" fontId="7" fillId="0" borderId="8" xfId="28" applyNumberFormat="1" applyFont="1" applyBorder="1" applyAlignment="1" applyProtection="1">
      <alignment horizontal="right"/>
    </xf>
    <xf numFmtId="6" fontId="7" fillId="0" borderId="8" xfId="10" applyNumberFormat="1" applyFont="1" applyBorder="1" applyAlignment="1" applyProtection="1">
      <alignment horizontal="right"/>
    </xf>
    <xf numFmtId="6" fontId="7" fillId="0" borderId="8" xfId="10" applyNumberFormat="1" applyFont="1" applyFill="1" applyBorder="1" applyAlignment="1" applyProtection="1">
      <alignment horizontal="right"/>
    </xf>
    <xf numFmtId="6" fontId="7" fillId="0" borderId="4" xfId="28" applyNumberFormat="1" applyFont="1" applyFill="1" applyBorder="1" applyAlignment="1" applyProtection="1">
      <alignment horizontal="right"/>
    </xf>
    <xf numFmtId="6" fontId="7" fillId="0" borderId="8" xfId="28" applyNumberFormat="1" applyFont="1" applyFill="1" applyBorder="1" applyAlignment="1" applyProtection="1">
      <alignment horizontal="right"/>
    </xf>
    <xf numFmtId="6" fontId="52" fillId="0" borderId="7" xfId="28" applyNumberFormat="1" applyFont="1" applyFill="1" applyBorder="1" applyAlignment="1" applyProtection="1">
      <alignment horizontal="right"/>
    </xf>
    <xf numFmtId="6" fontId="52" fillId="0" borderId="4" xfId="28" applyNumberFormat="1" applyFont="1" applyFill="1" applyBorder="1" applyAlignment="1" applyProtection="1">
      <alignment horizontal="right"/>
    </xf>
    <xf numFmtId="6" fontId="52" fillId="0" borderId="8" xfId="28" applyNumberFormat="1" applyFont="1" applyFill="1" applyBorder="1" applyAlignment="1" applyProtection="1">
      <alignment horizontal="right"/>
    </xf>
    <xf numFmtId="6" fontId="7" fillId="0" borderId="4" xfId="28" applyNumberFormat="1" applyFont="1" applyFill="1" applyBorder="1" applyAlignment="1" applyProtection="1"/>
    <xf numFmtId="6" fontId="7" fillId="0" borderId="8" xfId="28" applyNumberFormat="1" applyFont="1" applyFill="1" applyBorder="1" applyAlignment="1" applyProtection="1"/>
    <xf numFmtId="6" fontId="7" fillId="7" borderId="4" xfId="28" applyNumberFormat="1" applyFont="1" applyFill="1" applyBorder="1" applyAlignment="1" applyProtection="1"/>
    <xf numFmtId="6" fontId="7" fillId="0" borderId="12" xfId="28" applyNumberFormat="1" applyFont="1" applyFill="1" applyBorder="1" applyAlignment="1" applyProtection="1"/>
    <xf numFmtId="6" fontId="7" fillId="0" borderId="0" xfId="28" applyNumberFormat="1" applyFont="1" applyAlignment="1" applyProtection="1"/>
    <xf numFmtId="6" fontId="7" fillId="0" borderId="4" xfId="28" applyNumberFormat="1" applyFont="1" applyBorder="1" applyAlignment="1" applyProtection="1"/>
    <xf numFmtId="6" fontId="7" fillId="0" borderId="7" xfId="28" applyNumberFormat="1" applyFont="1" applyBorder="1" applyAlignment="1" applyProtection="1"/>
    <xf numFmtId="6" fontId="7" fillId="0" borderId="8" xfId="28" applyNumberFormat="1" applyFont="1" applyBorder="1" applyAlignment="1" applyProtection="1"/>
    <xf numFmtId="6" fontId="7" fillId="0" borderId="12" xfId="0" applyNumberFormat="1" applyFont="1" applyBorder="1"/>
    <xf numFmtId="9" fontId="7" fillId="0" borderId="0" xfId="28" applyNumberFormat="1" applyFont="1" applyFill="1" applyBorder="1" applyAlignment="1">
      <alignment horizontal="right"/>
    </xf>
    <xf numFmtId="9" fontId="7" fillId="0" borderId="0" xfId="0" applyNumberFormat="1" applyFont="1" applyFill="1" applyBorder="1" applyAlignment="1">
      <alignment horizontal="right"/>
    </xf>
    <xf numFmtId="9" fontId="7" fillId="0" borderId="0" xfId="0" applyNumberFormat="1" applyFont="1" applyBorder="1" applyAlignment="1">
      <alignment horizontal="right"/>
    </xf>
    <xf numFmtId="9" fontId="6" fillId="0" borderId="0" xfId="28" applyNumberFormat="1" applyFont="1" applyFill="1"/>
    <xf numFmtId="217" fontId="7" fillId="0" borderId="4" xfId="0" applyNumberFormat="1" applyFont="1" applyBorder="1"/>
    <xf numFmtId="217" fontId="6" fillId="0" borderId="7" xfId="0" applyNumberFormat="1" applyFont="1" applyFill="1" applyBorder="1"/>
    <xf numFmtId="39" fontId="6" fillId="0" borderId="2" xfId="34" applyNumberFormat="1" applyFont="1" applyBorder="1" applyAlignment="1"/>
    <xf numFmtId="0" fontId="0" fillId="0" borderId="0" xfId="0"/>
    <xf numFmtId="0" fontId="6" fillId="0" borderId="0" xfId="34" applyFont="1" applyFill="1" applyAlignment="1">
      <alignment horizontal="left" indent="1"/>
    </xf>
    <xf numFmtId="166" fontId="2" fillId="0" borderId="0" xfId="0" applyNumberFormat="1" applyFont="1" applyFill="1" applyBorder="1" applyAlignment="1" applyProtection="1">
      <alignment horizontal="left"/>
    </xf>
    <xf numFmtId="8" fontId="7" fillId="0" borderId="0" xfId="0" applyNumberFormat="1" applyFont="1" applyFill="1" applyBorder="1" applyAlignment="1" applyProtection="1">
      <alignment horizontal="left"/>
    </xf>
    <xf numFmtId="0" fontId="0" fillId="0" borderId="0" xfId="0"/>
    <xf numFmtId="37" fontId="2" fillId="0" borderId="0" xfId="23" applyNumberFormat="1" applyFont="1" applyFill="1" applyAlignment="1" applyProtection="1">
      <alignment horizontal="left"/>
    </xf>
    <xf numFmtId="198" fontId="2" fillId="0" borderId="0" xfId="28" applyNumberFormat="1" applyFont="1" applyFill="1" applyBorder="1" applyAlignment="1">
      <alignment horizontal="left" indent="1"/>
    </xf>
    <xf numFmtId="0" fontId="56" fillId="0" borderId="0" xfId="0" applyFont="1" applyFill="1" applyBorder="1" applyAlignment="1">
      <alignment horizontal="center" vertical="center" wrapText="1"/>
    </xf>
    <xf numFmtId="0" fontId="56" fillId="0" borderId="0" xfId="0" applyFont="1" applyFill="1" applyBorder="1"/>
    <xf numFmtId="0" fontId="55" fillId="0" borderId="0" xfId="0" applyFont="1" applyFill="1" applyBorder="1" applyAlignment="1">
      <alignment horizontal="center" vertical="center" wrapText="1"/>
    </xf>
    <xf numFmtId="166" fontId="2" fillId="0" borderId="0" xfId="28" applyNumberFormat="1" applyFont="1" applyFill="1" applyAlignment="1">
      <alignment horizontal="right"/>
    </xf>
    <xf numFmtId="183" fontId="6" fillId="0" borderId="0" xfId="0" applyNumberFormat="1" applyFont="1" applyBorder="1" applyProtection="1"/>
    <xf numFmtId="183" fontId="6" fillId="0" borderId="0" xfId="0" applyNumberFormat="1" applyFont="1" applyFill="1" applyBorder="1" applyProtection="1"/>
    <xf numFmtId="183" fontId="6" fillId="7" borderId="0" xfId="0" applyNumberFormat="1" applyFont="1" applyFill="1" applyBorder="1" applyProtection="1"/>
    <xf numFmtId="183" fontId="53" fillId="0" borderId="0" xfId="0" applyNumberFormat="1" applyFont="1" applyProtection="1"/>
    <xf numFmtId="0" fontId="0" fillId="0" borderId="0" xfId="0"/>
    <xf numFmtId="41" fontId="2" fillId="0" borderId="0" xfId="10" applyNumberFormat="1" applyFont="1" applyBorder="1" applyAlignment="1">
      <alignment horizontal="right"/>
    </xf>
    <xf numFmtId="41" fontId="2" fillId="0" borderId="0" xfId="0" applyNumberFormat="1" applyFont="1" applyBorder="1" applyAlignment="1">
      <alignment horizontal="right"/>
    </xf>
    <xf numFmtId="41" fontId="53" fillId="0" borderId="0" xfId="0" applyNumberFormat="1" applyFont="1" applyBorder="1" applyAlignment="1">
      <alignment horizontal="right"/>
    </xf>
    <xf numFmtId="10" fontId="6" fillId="0" borderId="0" xfId="0" applyNumberFormat="1" applyFont="1" applyBorder="1" applyAlignment="1">
      <alignment horizontal="right"/>
    </xf>
    <xf numFmtId="37" fontId="53" fillId="0" borderId="0" xfId="10" applyNumberFormat="1" applyFont="1" applyFill="1" applyBorder="1"/>
    <xf numFmtId="166" fontId="0" fillId="0" borderId="0" xfId="28" applyNumberFormat="1" applyFont="1" applyBorder="1"/>
    <xf numFmtId="9" fontId="53" fillId="0" borderId="0" xfId="28" applyFont="1" applyBorder="1"/>
    <xf numFmtId="5" fontId="7" fillId="0" borderId="0" xfId="0" applyNumberFormat="1" applyFont="1" applyFill="1" applyBorder="1"/>
    <xf numFmtId="0" fontId="53" fillId="0" borderId="0" xfId="0" applyFont="1" applyBorder="1"/>
    <xf numFmtId="173" fontId="6" fillId="0" borderId="0" xfId="10" applyNumberFormat="1" applyFont="1" applyFill="1" applyBorder="1" applyAlignment="1">
      <alignment horizontal="right"/>
    </xf>
    <xf numFmtId="5" fontId="53" fillId="0" borderId="0" xfId="10" applyNumberFormat="1" applyFont="1" applyFill="1" applyBorder="1" applyAlignment="1"/>
    <xf numFmtId="6" fontId="2" fillId="0" borderId="0" xfId="0" applyNumberFormat="1" applyFont="1" applyBorder="1"/>
    <xf numFmtId="184" fontId="53" fillId="0" borderId="0" xfId="0" applyNumberFormat="1" applyFont="1" applyFill="1" applyBorder="1" applyProtection="1"/>
    <xf numFmtId="166" fontId="53" fillId="0" borderId="0" xfId="34" applyNumberFormat="1" applyFont="1" applyFill="1" applyBorder="1" applyAlignment="1"/>
    <xf numFmtId="198" fontId="53" fillId="0" borderId="0" xfId="28" applyNumberFormat="1" applyFont="1" applyFill="1" applyBorder="1" applyProtection="1"/>
    <xf numFmtId="181" fontId="18" fillId="0" borderId="3" xfId="0" applyNumberFormat="1" applyFont="1" applyFill="1" applyBorder="1" applyAlignment="1">
      <alignment horizontal="right"/>
    </xf>
    <xf numFmtId="5" fontId="6" fillId="0" borderId="0" xfId="28" applyNumberFormat="1" applyFont="1" applyBorder="1"/>
    <xf numFmtId="172" fontId="14" fillId="0" borderId="0" xfId="10" applyNumberFormat="1" applyFont="1" applyBorder="1" applyAlignment="1">
      <alignment horizontal="right"/>
    </xf>
    <xf numFmtId="238" fontId="6" fillId="0" borderId="9" xfId="0" applyNumberFormat="1" applyFont="1" applyFill="1" applyBorder="1"/>
    <xf numFmtId="166" fontId="54" fillId="0" borderId="9" xfId="28" applyNumberFormat="1" applyFont="1" applyFill="1" applyBorder="1" applyAlignment="1">
      <alignment horizontal="right"/>
    </xf>
    <xf numFmtId="166" fontId="2" fillId="0" borderId="0" xfId="28" applyNumberFormat="1" applyFont="1" applyBorder="1" applyAlignment="1">
      <alignment horizontal="right"/>
    </xf>
    <xf numFmtId="166" fontId="2" fillId="0" borderId="0" xfId="0" applyNumberFormat="1" applyFont="1" applyBorder="1" applyAlignment="1">
      <alignment horizontal="right"/>
    </xf>
    <xf numFmtId="166" fontId="53" fillId="0" borderId="9" xfId="0" applyNumberFormat="1" applyFont="1" applyBorder="1" applyAlignment="1">
      <alignment horizontal="right"/>
    </xf>
    <xf numFmtId="166" fontId="2" fillId="0" borderId="8" xfId="0" applyNumberFormat="1" applyFont="1" applyBorder="1" applyAlignment="1">
      <alignment horizontal="right"/>
    </xf>
    <xf numFmtId="188" fontId="53" fillId="0" borderId="9" xfId="0" applyNumberFormat="1" applyFont="1" applyBorder="1"/>
    <xf numFmtId="166" fontId="6" fillId="0" borderId="14" xfId="34" applyNumberFormat="1" applyFont="1" applyFill="1" applyBorder="1" applyAlignment="1">
      <alignment horizontal="right"/>
    </xf>
    <xf numFmtId="185" fontId="14" fillId="0" borderId="9" xfId="22" applyNumberFormat="1" applyFont="1" applyFill="1" applyBorder="1"/>
    <xf numFmtId="8" fontId="7" fillId="0" borderId="9" xfId="0" applyNumberFormat="1" applyFont="1" applyFill="1" applyBorder="1" applyAlignment="1" applyProtection="1">
      <alignment horizontal="right"/>
    </xf>
    <xf numFmtId="208" fontId="6" fillId="0" borderId="9" xfId="28" applyNumberFormat="1" applyFont="1" applyFill="1" applyBorder="1"/>
    <xf numFmtId="217" fontId="6" fillId="0" borderId="10" xfId="28" applyNumberFormat="1" applyFont="1" applyFill="1" applyBorder="1" applyAlignment="1">
      <alignment horizontal="right"/>
    </xf>
    <xf numFmtId="173" fontId="2" fillId="0" borderId="10" xfId="34" applyNumberFormat="1" applyFont="1" applyFill="1" applyBorder="1" applyAlignment="1"/>
    <xf numFmtId="38" fontId="53" fillId="0" borderId="2" xfId="10" applyNumberFormat="1" applyFont="1" applyFill="1" applyBorder="1"/>
    <xf numFmtId="188" fontId="6" fillId="0" borderId="0" xfId="23" applyNumberFormat="1" applyFont="1" applyFill="1" applyBorder="1" applyAlignment="1" applyProtection="1"/>
    <xf numFmtId="212" fontId="6" fillId="0" borderId="0" xfId="16" applyNumberFormat="1" applyFont="1" applyFill="1" applyBorder="1"/>
    <xf numFmtId="5" fontId="6" fillId="0" borderId="0" xfId="34" applyNumberFormat="1" applyFont="1" applyFill="1" applyBorder="1" applyAlignment="1"/>
    <xf numFmtId="38" fontId="6" fillId="0" borderId="0" xfId="13" applyNumberFormat="1" applyFont="1" applyFill="1" applyBorder="1"/>
    <xf numFmtId="6" fontId="6" fillId="0" borderId="0" xfId="13" applyNumberFormat="1" applyFont="1" applyFill="1" applyBorder="1"/>
    <xf numFmtId="173" fontId="53" fillId="0" borderId="0" xfId="23" applyNumberFormat="1" applyFont="1" applyFill="1" applyBorder="1" applyAlignment="1" applyProtection="1"/>
    <xf numFmtId="8" fontId="7" fillId="0" borderId="0" xfId="10" applyNumberFormat="1" applyFont="1" applyFill="1" applyBorder="1"/>
    <xf numFmtId="6" fontId="7" fillId="0" borderId="0" xfId="28" applyNumberFormat="1" applyFont="1" applyFill="1" applyBorder="1" applyAlignment="1" applyProtection="1"/>
    <xf numFmtId="7" fontId="53" fillId="0" borderId="0" xfId="0" applyNumberFormat="1" applyFont="1" applyFill="1" applyBorder="1"/>
    <xf numFmtId="10" fontId="53" fillId="0" borderId="0" xfId="28" applyNumberFormat="1" applyFont="1" applyFill="1" applyBorder="1" applyAlignment="1">
      <alignment horizontal="right"/>
    </xf>
    <xf numFmtId="217" fontId="7" fillId="0" borderId="0" xfId="0" applyNumberFormat="1" applyFont="1" applyFill="1" applyBorder="1" applyAlignment="1">
      <alignment horizontal="right"/>
    </xf>
    <xf numFmtId="239" fontId="15" fillId="0" borderId="0" xfId="23" applyNumberFormat="1" applyFont="1" applyFill="1" applyBorder="1" applyAlignment="1">
      <alignment horizontal="right"/>
    </xf>
    <xf numFmtId="212" fontId="14" fillId="0" borderId="0" xfId="16" applyNumberFormat="1" applyFont="1" applyFill="1" applyBorder="1"/>
    <xf numFmtId="0" fontId="0" fillId="0" borderId="0" xfId="0" applyFill="1" applyBorder="1" applyAlignment="1">
      <alignment horizontal="right"/>
    </xf>
    <xf numFmtId="41" fontId="0" fillId="0" borderId="0" xfId="0" applyNumberFormat="1" applyFill="1" applyBorder="1"/>
    <xf numFmtId="188" fontId="0" fillId="0" borderId="0" xfId="0" applyNumberFormat="1" applyFill="1" applyBorder="1"/>
    <xf numFmtId="198" fontId="53" fillId="0" borderId="0" xfId="28" applyNumberFormat="1" applyFont="1" applyFill="1" applyBorder="1"/>
    <xf numFmtId="41" fontId="7" fillId="0" borderId="0" xfId="0" applyNumberFormat="1" applyFont="1" applyFill="1" applyBorder="1" applyAlignment="1">
      <alignment horizontal="right"/>
    </xf>
    <xf numFmtId="41" fontId="2" fillId="0" borderId="0" xfId="28" applyNumberFormat="1" applyFont="1" applyFill="1" applyBorder="1" applyAlignment="1">
      <alignment horizontal="right"/>
    </xf>
    <xf numFmtId="37" fontId="53" fillId="0" borderId="0" xfId="10" applyNumberFormat="1" applyFont="1" applyFill="1" applyBorder="1" applyAlignment="1"/>
    <xf numFmtId="5" fontId="6" fillId="0" borderId="0" xfId="0" applyNumberFormat="1" applyFont="1" applyFill="1" applyBorder="1"/>
    <xf numFmtId="166" fontId="52" fillId="0" borderId="0" xfId="28" applyNumberFormat="1" applyFont="1" applyFill="1" applyBorder="1" applyAlignment="1">
      <alignment horizontal="right"/>
    </xf>
    <xf numFmtId="0" fontId="56" fillId="0" borderId="0" xfId="0" applyFont="1" applyFill="1" applyBorder="1" applyAlignment="1">
      <alignment vertical="center" wrapText="1"/>
    </xf>
    <xf numFmtId="0" fontId="55" fillId="0" borderId="0" xfId="0" applyFont="1" applyFill="1" applyBorder="1" applyAlignment="1">
      <alignment vertical="center"/>
    </xf>
    <xf numFmtId="37" fontId="7" fillId="0" borderId="0" xfId="10" applyNumberFormat="1" applyFont="1" applyFill="1" applyBorder="1" applyAlignment="1"/>
    <xf numFmtId="166" fontId="54" fillId="0" borderId="0" xfId="28" applyNumberFormat="1" applyFont="1" applyFill="1" applyBorder="1"/>
    <xf numFmtId="6" fontId="2" fillId="0" borderId="0" xfId="28" applyNumberFormat="1" applyFont="1" applyFill="1" applyBorder="1"/>
    <xf numFmtId="38" fontId="9" fillId="0" borderId="0" xfId="10" applyNumberFormat="1" applyFont="1" applyFill="1" applyBorder="1"/>
    <xf numFmtId="6" fontId="6" fillId="0" borderId="0" xfId="10" applyNumberFormat="1" applyFont="1" applyFill="1" applyBorder="1"/>
    <xf numFmtId="183" fontId="53" fillId="0" borderId="0" xfId="0" applyNumberFormat="1" applyFont="1" applyFill="1" applyBorder="1" applyProtection="1"/>
    <xf numFmtId="198" fontId="53" fillId="0" borderId="0" xfId="0" applyNumberFormat="1" applyFont="1" applyFill="1" applyBorder="1"/>
    <xf numFmtId="216" fontId="6" fillId="0" borderId="0" xfId="34" applyNumberFormat="1" applyFont="1" applyFill="1" applyBorder="1" applyAlignment="1"/>
    <xf numFmtId="9" fontId="6" fillId="0" borderId="0" xfId="34" applyNumberFormat="1" applyFont="1" applyFill="1" applyBorder="1" applyAlignment="1"/>
    <xf numFmtId="165" fontId="0" fillId="0" borderId="0" xfId="0" applyNumberFormat="1" applyFill="1" applyBorder="1"/>
    <xf numFmtId="8" fontId="53" fillId="0" borderId="0" xfId="0" applyNumberFormat="1" applyFont="1" applyFill="1" applyBorder="1" applyAlignment="1">
      <alignment horizontal="right"/>
    </xf>
    <xf numFmtId="10" fontId="2" fillId="0" borderId="0" xfId="10" applyNumberFormat="1" applyFont="1" applyFill="1" applyBorder="1" applyAlignment="1">
      <alignment horizontal="right"/>
    </xf>
    <xf numFmtId="5" fontId="6" fillId="0" borderId="0" xfId="28" applyNumberFormat="1" applyFont="1" applyFill="1" applyBorder="1"/>
    <xf numFmtId="170" fontId="15" fillId="0" borderId="0" xfId="34" applyNumberFormat="1" applyFont="1" applyFill="1" applyBorder="1" applyAlignment="1" applyProtection="1">
      <alignment horizontal="left"/>
    </xf>
    <xf numFmtId="172" fontId="6" fillId="0" borderId="0" xfId="10" applyNumberFormat="1" applyFont="1" applyFill="1" applyBorder="1" applyAlignment="1">
      <alignment horizontal="right"/>
    </xf>
    <xf numFmtId="7" fontId="6" fillId="0" borderId="0" xfId="28" applyNumberFormat="1" applyFont="1" applyFill="1" applyBorder="1"/>
    <xf numFmtId="165" fontId="9" fillId="0" borderId="0" xfId="34" applyNumberFormat="1" applyFont="1" applyFill="1" applyBorder="1" applyAlignment="1"/>
    <xf numFmtId="10" fontId="7" fillId="0" borderId="0" xfId="28" applyNumberFormat="1" applyFont="1" applyFill="1" applyBorder="1"/>
    <xf numFmtId="10" fontId="7" fillId="7" borderId="0" xfId="28" applyNumberFormat="1" applyFont="1" applyFill="1" applyBorder="1"/>
    <xf numFmtId="10" fontId="7" fillId="0" borderId="0" xfId="28" applyNumberFormat="1" applyFont="1"/>
    <xf numFmtId="166" fontId="2" fillId="0" borderId="15" xfId="0" applyNumberFormat="1" applyFont="1" applyBorder="1"/>
    <xf numFmtId="0" fontId="4" fillId="0" borderId="0" xfId="68"/>
    <xf numFmtId="0" fontId="0" fillId="0" borderId="0" xfId="0"/>
    <xf numFmtId="166" fontId="2" fillId="0" borderId="15" xfId="28" applyNumberFormat="1" applyFont="1" applyBorder="1"/>
    <xf numFmtId="240" fontId="9" fillId="7" borderId="0" xfId="10" applyNumberFormat="1" applyFont="1" applyFill="1"/>
    <xf numFmtId="6" fontId="7" fillId="7" borderId="2" xfId="10" applyNumberFormat="1" applyFont="1" applyFill="1" applyBorder="1"/>
    <xf numFmtId="38" fontId="7" fillId="0" borderId="0" xfId="10" applyNumberFormat="1" applyFont="1" applyFill="1" applyBorder="1"/>
    <xf numFmtId="6" fontId="68" fillId="6" borderId="0" xfId="2" applyNumberFormat="1" applyFont="1" applyFill="1" applyBorder="1"/>
    <xf numFmtId="0" fontId="0" fillId="0" borderId="0" xfId="0"/>
    <xf numFmtId="0" fontId="0" fillId="0" borderId="0" xfId="0"/>
    <xf numFmtId="0" fontId="62" fillId="0" borderId="0" xfId="0" applyFont="1" applyBorder="1"/>
    <xf numFmtId="182" fontId="18" fillId="7" borderId="3" xfId="0" applyNumberFormat="1" applyFont="1" applyFill="1" applyBorder="1" applyAlignment="1">
      <alignment horizontal="right"/>
    </xf>
    <xf numFmtId="205" fontId="6" fillId="7" borderId="0" xfId="23" applyNumberFormat="1" applyFont="1" applyFill="1" applyBorder="1" applyAlignment="1" applyProtection="1"/>
    <xf numFmtId="205" fontId="7" fillId="7" borderId="0" xfId="23" applyNumberFormat="1" applyFont="1" applyFill="1" applyBorder="1" applyAlignment="1" applyProtection="1"/>
    <xf numFmtId="173" fontId="6" fillId="7" borderId="0" xfId="13" applyNumberFormat="1" applyFont="1" applyFill="1" applyBorder="1"/>
    <xf numFmtId="10" fontId="7" fillId="7" borderId="0" xfId="28" applyNumberFormat="1" applyFont="1" applyFill="1" applyBorder="1" applyAlignment="1" applyProtection="1"/>
    <xf numFmtId="205" fontId="7" fillId="7" borderId="4" xfId="23" applyNumberFormat="1" applyFont="1" applyFill="1" applyBorder="1" applyAlignment="1" applyProtection="1"/>
    <xf numFmtId="41" fontId="6" fillId="7" borderId="0" xfId="23" applyNumberFormat="1" applyFont="1" applyFill="1" applyBorder="1" applyAlignment="1" applyProtection="1"/>
    <xf numFmtId="43" fontId="7" fillId="7" borderId="0" xfId="10" applyFont="1" applyFill="1" applyBorder="1" applyAlignment="1" applyProtection="1"/>
    <xf numFmtId="6" fontId="53" fillId="7" borderId="0" xfId="28" applyNumberFormat="1" applyFont="1" applyFill="1" applyBorder="1" applyAlignment="1" applyProtection="1"/>
    <xf numFmtId="6" fontId="2" fillId="7" borderId="0" xfId="28" applyNumberFormat="1" applyFont="1" applyFill="1" applyBorder="1" applyAlignment="1" applyProtection="1"/>
    <xf numFmtId="7" fontId="7" fillId="7" borderId="2" xfId="10" applyNumberFormat="1" applyFont="1" applyFill="1" applyBorder="1"/>
    <xf numFmtId="173" fontId="53" fillId="7" borderId="2" xfId="34" applyNumberFormat="1" applyFont="1" applyFill="1" applyBorder="1" applyAlignment="1"/>
    <xf numFmtId="188" fontId="53" fillId="7" borderId="0" xfId="0" applyNumberFormat="1" applyFont="1" applyFill="1" applyBorder="1"/>
    <xf numFmtId="7" fontId="53" fillId="7" borderId="0" xfId="10" applyNumberFormat="1" applyFont="1" applyFill="1" applyBorder="1"/>
    <xf numFmtId="217" fontId="6" fillId="7" borderId="3" xfId="0" applyNumberFormat="1" applyFont="1" applyFill="1" applyBorder="1"/>
    <xf numFmtId="217" fontId="7" fillId="7" borderId="3" xfId="0" applyNumberFormat="1" applyFont="1" applyFill="1" applyBorder="1"/>
    <xf numFmtId="217" fontId="7" fillId="7" borderId="0" xfId="0" applyNumberFormat="1" applyFont="1" applyFill="1" applyBorder="1" applyAlignment="1">
      <alignment horizontal="right"/>
    </xf>
    <xf numFmtId="239" fontId="7" fillId="7" borderId="3" xfId="0" applyNumberFormat="1" applyFont="1" applyFill="1" applyBorder="1" applyAlignment="1">
      <alignment horizontal="right"/>
    </xf>
    <xf numFmtId="166" fontId="6" fillId="7" borderId="3" xfId="34" applyNumberFormat="1" applyFont="1" applyFill="1" applyBorder="1" applyAlignment="1">
      <alignment horizontal="right"/>
    </xf>
    <xf numFmtId="173" fontId="6" fillId="7" borderId="0" xfId="34" applyNumberFormat="1" applyFont="1" applyFill="1" applyBorder="1" applyAlignment="1">
      <alignment horizontal="right"/>
    </xf>
    <xf numFmtId="0" fontId="6" fillId="7" borderId="0" xfId="0" quotePrefix="1" applyFont="1" applyFill="1" applyBorder="1" applyAlignment="1">
      <alignment horizontal="right"/>
    </xf>
    <xf numFmtId="172" fontId="7" fillId="7" borderId="0" xfId="10" applyNumberFormat="1" applyFont="1" applyFill="1" applyBorder="1"/>
    <xf numFmtId="188" fontId="6" fillId="7" borderId="0" xfId="22" applyNumberFormat="1" applyFont="1" applyFill="1" applyBorder="1"/>
    <xf numFmtId="185" fontId="14" fillId="7" borderId="0" xfId="22" applyNumberFormat="1" applyFont="1" applyFill="1" applyBorder="1"/>
    <xf numFmtId="8" fontId="7" fillId="7" borderId="0" xfId="0" applyNumberFormat="1" applyFont="1" applyFill="1" applyBorder="1" applyAlignment="1" applyProtection="1">
      <alignment horizontal="right"/>
    </xf>
    <xf numFmtId="166" fontId="52" fillId="7" borderId="0" xfId="28" applyNumberFormat="1" applyFont="1" applyFill="1" applyBorder="1"/>
    <xf numFmtId="166" fontId="7" fillId="7" borderId="0" xfId="28" applyNumberFormat="1" applyFont="1" applyFill="1" applyBorder="1" applyAlignment="1" applyProtection="1">
      <alignment horizontal="right"/>
    </xf>
    <xf numFmtId="166" fontId="7" fillId="7" borderId="3" xfId="0" applyNumberFormat="1" applyFont="1" applyFill="1" applyBorder="1" applyAlignment="1" applyProtection="1">
      <alignment horizontal="right"/>
    </xf>
    <xf numFmtId="217" fontId="6" fillId="7" borderId="0" xfId="28" applyNumberFormat="1" applyFont="1" applyFill="1" applyBorder="1"/>
    <xf numFmtId="208" fontId="6" fillId="7" borderId="0" xfId="28" applyNumberFormat="1" applyFont="1" applyFill="1" applyBorder="1"/>
    <xf numFmtId="166" fontId="6" fillId="7" borderId="0" xfId="28" applyNumberFormat="1" applyFont="1" applyFill="1" applyBorder="1" applyAlignment="1">
      <alignment horizontal="right"/>
    </xf>
    <xf numFmtId="166" fontId="7" fillId="7" borderId="0" xfId="28" applyNumberFormat="1" applyFont="1" applyFill="1" applyBorder="1" applyAlignment="1">
      <alignment horizontal="right"/>
    </xf>
    <xf numFmtId="166" fontId="6" fillId="7" borderId="0" xfId="28" quotePrefix="1" applyNumberFormat="1" applyFont="1" applyFill="1" applyBorder="1" applyAlignment="1">
      <alignment horizontal="right"/>
    </xf>
    <xf numFmtId="166" fontId="7" fillId="7" borderId="2" xfId="28" applyNumberFormat="1" applyFont="1" applyFill="1" applyBorder="1" applyAlignment="1">
      <alignment horizontal="right"/>
    </xf>
    <xf numFmtId="0" fontId="0" fillId="7" borderId="0" xfId="0" applyFill="1" applyBorder="1"/>
    <xf numFmtId="0" fontId="0" fillId="7" borderId="0" xfId="0" applyFill="1" applyBorder="1" applyAlignment="1">
      <alignment horizontal="right"/>
    </xf>
    <xf numFmtId="217" fontId="6" fillId="7" borderId="2" xfId="28" applyNumberFormat="1" applyFont="1" applyFill="1" applyBorder="1" applyAlignment="1">
      <alignment horizontal="right"/>
    </xf>
    <xf numFmtId="0" fontId="6" fillId="0" borderId="0" xfId="0" applyFont="1" applyAlignment="1">
      <alignment horizontal="centerContinuous"/>
    </xf>
    <xf numFmtId="173" fontId="53" fillId="10" borderId="9" xfId="10" applyNumberFormat="1" applyFont="1" applyFill="1" applyBorder="1"/>
    <xf numFmtId="38" fontId="53" fillId="10" borderId="0" xfId="23" applyNumberFormat="1" applyFont="1" applyFill="1" applyBorder="1" applyAlignment="1" applyProtection="1"/>
    <xf numFmtId="49" fontId="14" fillId="7" borderId="0" xfId="10" applyNumberFormat="1" applyFont="1" applyFill="1" applyBorder="1" applyAlignment="1"/>
    <xf numFmtId="172" fontId="6" fillId="7" borderId="0" xfId="10" applyNumberFormat="1" applyFont="1" applyFill="1" applyBorder="1"/>
    <xf numFmtId="41" fontId="11" fillId="7" borderId="0" xfId="0" applyNumberFormat="1" applyFont="1" applyFill="1" applyBorder="1"/>
    <xf numFmtId="236" fontId="2" fillId="7" borderId="0" xfId="0" applyNumberFormat="1" applyFont="1" applyFill="1" applyBorder="1"/>
    <xf numFmtId="41" fontId="6" fillId="7" borderId="0" xfId="10" applyNumberFormat="1" applyFont="1" applyFill="1" applyBorder="1" applyAlignment="1">
      <alignment horizontal="right"/>
    </xf>
    <xf numFmtId="198" fontId="7" fillId="7" borderId="0" xfId="0" applyNumberFormat="1" applyFont="1" applyFill="1" applyBorder="1"/>
    <xf numFmtId="41" fontId="14" fillId="7" borderId="0" xfId="10" applyNumberFormat="1" applyFont="1" applyFill="1" applyBorder="1" applyAlignment="1">
      <alignment horizontal="right"/>
    </xf>
    <xf numFmtId="41" fontId="2" fillId="7" borderId="0" xfId="10" applyNumberFormat="1" applyFont="1" applyFill="1" applyBorder="1" applyAlignment="1">
      <alignment horizontal="right"/>
    </xf>
    <xf numFmtId="41" fontId="8" fillId="7" borderId="0" xfId="10" applyNumberFormat="1" applyFont="1" applyFill="1" applyBorder="1" applyAlignment="1">
      <alignment horizontal="right"/>
    </xf>
    <xf numFmtId="41" fontId="2" fillId="7" borderId="0" xfId="0" applyNumberFormat="1" applyFont="1" applyFill="1" applyBorder="1" applyAlignment="1">
      <alignment horizontal="right"/>
    </xf>
    <xf numFmtId="41" fontId="53" fillId="7" borderId="0" xfId="0" applyNumberFormat="1" applyFont="1" applyFill="1" applyBorder="1" applyAlignment="1">
      <alignment horizontal="right"/>
    </xf>
    <xf numFmtId="10" fontId="6" fillId="7" borderId="0" xfId="0" applyNumberFormat="1" applyFont="1" applyFill="1" applyBorder="1" applyAlignment="1">
      <alignment horizontal="right"/>
    </xf>
    <xf numFmtId="41" fontId="7" fillId="7" borderId="0" xfId="10" applyNumberFormat="1" applyFont="1" applyFill="1" applyBorder="1" applyAlignment="1">
      <alignment horizontal="right"/>
    </xf>
    <xf numFmtId="37" fontId="53" fillId="7" borderId="0" xfId="10" applyNumberFormat="1" applyFont="1" applyFill="1" applyBorder="1"/>
    <xf numFmtId="205" fontId="6" fillId="7" borderId="0" xfId="10" applyNumberFormat="1" applyFont="1" applyFill="1" applyBorder="1" applyAlignment="1"/>
    <xf numFmtId="5" fontId="6" fillId="7" borderId="0" xfId="10" applyNumberFormat="1" applyFont="1" applyFill="1" applyBorder="1" applyAlignment="1"/>
    <xf numFmtId="5" fontId="7" fillId="7" borderId="0" xfId="10" applyNumberFormat="1" applyFont="1" applyFill="1" applyBorder="1" applyAlignment="1">
      <alignment horizontal="right"/>
    </xf>
    <xf numFmtId="187" fontId="6" fillId="7" borderId="0" xfId="0" applyNumberFormat="1" applyFont="1" applyFill="1" applyBorder="1"/>
    <xf numFmtId="165" fontId="6" fillId="7" borderId="0" xfId="0" applyNumberFormat="1" applyFont="1" applyFill="1" applyBorder="1"/>
    <xf numFmtId="9" fontId="53" fillId="7" borderId="0" xfId="28" applyFont="1" applyFill="1" applyBorder="1"/>
    <xf numFmtId="5" fontId="6" fillId="7" borderId="0" xfId="28" applyNumberFormat="1" applyFont="1" applyFill="1" applyBorder="1" applyAlignment="1">
      <alignment horizontal="right"/>
    </xf>
    <xf numFmtId="0" fontId="7" fillId="7" borderId="0" xfId="0" applyFont="1" applyFill="1" applyBorder="1"/>
    <xf numFmtId="5" fontId="7" fillId="7" borderId="0" xfId="0" applyNumberFormat="1" applyFont="1" applyFill="1" applyBorder="1"/>
    <xf numFmtId="238" fontId="6" fillId="7" borderId="0" xfId="0" applyNumberFormat="1" applyFont="1" applyFill="1" applyBorder="1"/>
    <xf numFmtId="0" fontId="56" fillId="7" borderId="0" xfId="0" applyFont="1" applyFill="1" applyBorder="1" applyAlignment="1">
      <alignment horizontal="center" vertical="center" wrapText="1"/>
    </xf>
    <xf numFmtId="0" fontId="56" fillId="7" borderId="0" xfId="0" applyFont="1" applyFill="1" applyBorder="1"/>
    <xf numFmtId="0" fontId="55" fillId="7" borderId="0" xfId="0" applyFont="1" applyFill="1" applyBorder="1" applyAlignment="1">
      <alignment horizontal="center" vertical="center" wrapText="1"/>
    </xf>
    <xf numFmtId="37" fontId="14" fillId="7" borderId="0" xfId="23" applyNumberFormat="1" applyFont="1" applyFill="1" applyBorder="1" applyAlignment="1"/>
    <xf numFmtId="0" fontId="53" fillId="7" borderId="0" xfId="0" applyFont="1" applyFill="1" applyBorder="1"/>
    <xf numFmtId="172" fontId="53" fillId="7" borderId="0" xfId="10" applyNumberFormat="1" applyFont="1" applyFill="1" applyBorder="1"/>
    <xf numFmtId="37" fontId="7" fillId="7" borderId="0" xfId="23" applyNumberFormat="1" applyFont="1" applyFill="1" applyBorder="1" applyAlignment="1"/>
    <xf numFmtId="37" fontId="6" fillId="7" borderId="0" xfId="23" applyNumberFormat="1" applyFont="1" applyFill="1" applyBorder="1" applyAlignment="1"/>
    <xf numFmtId="38" fontId="7" fillId="7" borderId="0" xfId="10" applyNumberFormat="1" applyFont="1" applyFill="1" applyBorder="1"/>
    <xf numFmtId="38" fontId="53" fillId="7" borderId="0" xfId="10" applyNumberFormat="1" applyFont="1" applyFill="1" applyBorder="1"/>
    <xf numFmtId="169" fontId="6" fillId="7" borderId="0" xfId="10" applyNumberFormat="1" applyFont="1" applyFill="1" applyBorder="1" applyAlignment="1"/>
    <xf numFmtId="6" fontId="7" fillId="7" borderId="0" xfId="10" applyNumberFormat="1" applyFont="1" applyFill="1" applyBorder="1" applyAlignment="1"/>
    <xf numFmtId="166" fontId="18" fillId="7" borderId="0" xfId="28" applyNumberFormat="1" applyFont="1" applyFill="1" applyBorder="1"/>
    <xf numFmtId="173" fontId="6" fillId="7" borderId="0" xfId="10" applyNumberFormat="1" applyFont="1" applyFill="1" applyBorder="1" applyAlignment="1">
      <alignment horizontal="right"/>
    </xf>
    <xf numFmtId="5" fontId="53" fillId="7" borderId="0" xfId="10" applyNumberFormat="1" applyFont="1" applyFill="1" applyBorder="1" applyAlignment="1"/>
    <xf numFmtId="173" fontId="6" fillId="7" borderId="0" xfId="10" applyNumberFormat="1" applyFont="1" applyFill="1" applyBorder="1" applyAlignment="1"/>
    <xf numFmtId="166" fontId="53" fillId="7" borderId="0" xfId="28" applyNumberFormat="1" applyFont="1" applyFill="1" applyBorder="1" applyAlignment="1">
      <alignment horizontal="right"/>
    </xf>
    <xf numFmtId="166" fontId="4" fillId="7" borderId="0" xfId="28" applyNumberFormat="1" applyFont="1" applyFill="1" applyBorder="1" applyAlignment="1">
      <alignment horizontal="right"/>
    </xf>
    <xf numFmtId="166" fontId="54" fillId="7" borderId="0" xfId="28" applyNumberFormat="1" applyFont="1" applyFill="1" applyBorder="1" applyAlignment="1">
      <alignment horizontal="right"/>
    </xf>
    <xf numFmtId="166" fontId="5" fillId="7" borderId="0" xfId="28" applyNumberFormat="1" applyFont="1" applyFill="1" applyBorder="1" applyAlignment="1">
      <alignment horizontal="right"/>
    </xf>
    <xf numFmtId="14" fontId="4" fillId="7" borderId="0" xfId="0" applyNumberFormat="1" applyFont="1" applyFill="1" applyBorder="1" applyAlignment="1">
      <alignment horizontal="right"/>
    </xf>
    <xf numFmtId="37" fontId="14" fillId="7" borderId="0" xfId="23" applyNumberFormat="1" applyFont="1" applyFill="1" applyBorder="1" applyAlignment="1" applyProtection="1"/>
    <xf numFmtId="38" fontId="2" fillId="7" borderId="0" xfId="23" applyNumberFormat="1" applyFont="1" applyFill="1" applyBorder="1" applyAlignment="1" applyProtection="1"/>
    <xf numFmtId="0" fontId="2" fillId="7" borderId="0" xfId="0" applyFont="1" applyFill="1" applyBorder="1"/>
    <xf numFmtId="37" fontId="2" fillId="7" borderId="0" xfId="23" applyNumberFormat="1" applyFont="1" applyFill="1" applyBorder="1"/>
    <xf numFmtId="38" fontId="2" fillId="7" borderId="0" xfId="10" applyNumberFormat="1" applyFont="1" applyFill="1" applyBorder="1"/>
    <xf numFmtId="169" fontId="2" fillId="7" borderId="0" xfId="10" applyNumberFormat="1" applyFont="1" applyFill="1" applyBorder="1"/>
    <xf numFmtId="5" fontId="2" fillId="7" borderId="0" xfId="23" applyNumberFormat="1" applyFont="1" applyFill="1" applyBorder="1" applyAlignment="1" applyProtection="1"/>
    <xf numFmtId="6" fontId="7" fillId="7" borderId="0" xfId="23" applyNumberFormat="1" applyFont="1" applyFill="1" applyBorder="1"/>
    <xf numFmtId="9" fontId="2" fillId="7" borderId="0" xfId="28" applyFont="1" applyFill="1" applyBorder="1"/>
    <xf numFmtId="43" fontId="14" fillId="7" borderId="0" xfId="22" applyNumberFormat="1" applyFont="1" applyFill="1" applyBorder="1"/>
    <xf numFmtId="188" fontId="14" fillId="7" borderId="17" xfId="22" applyNumberFormat="1" applyFont="1" applyFill="1" applyBorder="1"/>
    <xf numFmtId="166" fontId="2" fillId="0" borderId="4" xfId="28" applyNumberFormat="1" applyFont="1" applyFill="1" applyBorder="1" applyAlignment="1">
      <alignment horizontal="right"/>
    </xf>
    <xf numFmtId="6" fontId="53" fillId="0" borderId="0" xfId="0" applyNumberFormat="1" applyFont="1" applyBorder="1"/>
    <xf numFmtId="8" fontId="53" fillId="0" borderId="0" xfId="0" applyNumberFormat="1" applyFont="1" applyBorder="1"/>
    <xf numFmtId="0" fontId="6" fillId="0" borderId="2" xfId="0" applyFont="1" applyBorder="1" applyAlignment="1">
      <alignment horizontal="centerContinuous"/>
    </xf>
    <xf numFmtId="166" fontId="53" fillId="7" borderId="12" xfId="28" applyNumberFormat="1" applyFont="1" applyFill="1" applyBorder="1" applyAlignment="1">
      <alignment horizontal="right"/>
    </xf>
    <xf numFmtId="166" fontId="6" fillId="7" borderId="12" xfId="28" applyNumberFormat="1" applyFont="1" applyFill="1" applyBorder="1"/>
    <xf numFmtId="0" fontId="4" fillId="7" borderId="12" xfId="0" applyFont="1" applyFill="1" applyBorder="1"/>
    <xf numFmtId="205" fontId="6" fillId="7" borderId="12" xfId="0" applyNumberFormat="1" applyFont="1" applyFill="1" applyBorder="1"/>
    <xf numFmtId="0" fontId="5" fillId="7" borderId="12" xfId="0" applyFont="1" applyFill="1" applyBorder="1"/>
    <xf numFmtId="6" fontId="5" fillId="7" borderId="12" xfId="0" applyNumberFormat="1" applyFont="1" applyFill="1" applyBorder="1"/>
    <xf numFmtId="166" fontId="7" fillId="10" borderId="0" xfId="28" applyNumberFormat="1" applyFont="1" applyFill="1"/>
    <xf numFmtId="0" fontId="56" fillId="10" borderId="0" xfId="0" applyFont="1" applyFill="1" applyAlignment="1">
      <alignment horizontal="center" vertical="center" wrapText="1"/>
    </xf>
    <xf numFmtId="0" fontId="55" fillId="10" borderId="0" xfId="0" applyFont="1" applyFill="1" applyAlignment="1">
      <alignment horizontal="center" vertical="center"/>
    </xf>
    <xf numFmtId="0" fontId="55" fillId="10" borderId="0" xfId="0" applyFont="1" applyFill="1" applyAlignment="1">
      <alignment horizontal="center" vertical="center" wrapText="1"/>
    </xf>
    <xf numFmtId="181" fontId="18" fillId="7" borderId="3" xfId="0" applyNumberFormat="1" applyFont="1" applyFill="1" applyBorder="1" applyAlignment="1">
      <alignment horizontal="right"/>
    </xf>
    <xf numFmtId="41" fontId="7" fillId="7" borderId="0" xfId="0" applyNumberFormat="1" applyFont="1" applyFill="1" applyBorder="1"/>
    <xf numFmtId="37" fontId="7" fillId="7" borderId="0" xfId="10" applyNumberFormat="1" applyFont="1" applyFill="1" applyBorder="1"/>
    <xf numFmtId="189" fontId="6" fillId="7" borderId="0" xfId="10" applyNumberFormat="1" applyFont="1" applyFill="1" applyBorder="1"/>
    <xf numFmtId="184" fontId="53" fillId="7" borderId="0" xfId="0" applyNumberFormat="1" applyFont="1" applyFill="1" applyBorder="1" applyProtection="1"/>
    <xf numFmtId="184" fontId="8" fillId="7" borderId="0" xfId="0" applyNumberFormat="1" applyFont="1" applyFill="1" applyBorder="1" applyProtection="1"/>
    <xf numFmtId="166" fontId="53" fillId="7" borderId="0" xfId="34" applyNumberFormat="1" applyFont="1" applyFill="1" applyBorder="1" applyAlignment="1"/>
    <xf numFmtId="198" fontId="53" fillId="7" borderId="0" xfId="28" applyNumberFormat="1" applyFont="1" applyFill="1" applyBorder="1" applyProtection="1"/>
    <xf numFmtId="183" fontId="6" fillId="7" borderId="17" xfId="0" applyNumberFormat="1" applyFont="1" applyFill="1" applyBorder="1"/>
    <xf numFmtId="38" fontId="6" fillId="10" borderId="9" xfId="10" applyNumberFormat="1" applyFont="1" applyFill="1" applyBorder="1"/>
    <xf numFmtId="38" fontId="2" fillId="10" borderId="9" xfId="10" applyNumberFormat="1" applyFont="1" applyFill="1" applyBorder="1"/>
    <xf numFmtId="38" fontId="6" fillId="10" borderId="10" xfId="10" applyNumberFormat="1" applyFont="1" applyFill="1" applyBorder="1"/>
    <xf numFmtId="184" fontId="6" fillId="7" borderId="12" xfId="0" applyNumberFormat="1" applyFont="1" applyFill="1" applyBorder="1"/>
    <xf numFmtId="5" fontId="6" fillId="7" borderId="0" xfId="10" applyNumberFormat="1" applyFont="1" applyFill="1" applyBorder="1"/>
    <xf numFmtId="38" fontId="6" fillId="7" borderId="0" xfId="0" applyNumberFormat="1" applyFont="1" applyFill="1" applyBorder="1"/>
    <xf numFmtId="38" fontId="2" fillId="7" borderId="0" xfId="0" applyNumberFormat="1" applyFont="1" applyFill="1" applyBorder="1"/>
    <xf numFmtId="38" fontId="53" fillId="7" borderId="2" xfId="10" applyNumberFormat="1" applyFont="1" applyFill="1" applyBorder="1"/>
    <xf numFmtId="37" fontId="24" fillId="7" borderId="0" xfId="0" applyNumberFormat="1" applyFont="1" applyFill="1" applyBorder="1"/>
    <xf numFmtId="172" fontId="9" fillId="7" borderId="0" xfId="10" applyNumberFormat="1" applyFont="1" applyFill="1" applyBorder="1"/>
    <xf numFmtId="200" fontId="6" fillId="7" borderId="0" xfId="28" applyNumberFormat="1" applyFont="1" applyFill="1" applyBorder="1"/>
    <xf numFmtId="5" fontId="6" fillId="7" borderId="2" xfId="28" applyNumberFormat="1" applyFont="1" applyFill="1" applyBorder="1"/>
    <xf numFmtId="172" fontId="14" fillId="7" borderId="0" xfId="10" applyNumberFormat="1" applyFont="1" applyFill="1" applyBorder="1" applyAlignment="1">
      <alignment horizontal="right"/>
    </xf>
    <xf numFmtId="7" fontId="14" fillId="7" borderId="0" xfId="28" applyNumberFormat="1" applyFont="1" applyFill="1" applyBorder="1"/>
    <xf numFmtId="173" fontId="6" fillId="7" borderId="17" xfId="10" applyNumberFormat="1" applyFont="1" applyFill="1" applyBorder="1"/>
    <xf numFmtId="7" fontId="53" fillId="10" borderId="8" xfId="10" applyNumberFormat="1" applyFont="1" applyFill="1" applyBorder="1"/>
    <xf numFmtId="205" fontId="53" fillId="10" borderId="0" xfId="0" applyNumberFormat="1" applyFont="1" applyFill="1" applyBorder="1"/>
    <xf numFmtId="205" fontId="6" fillId="10" borderId="0" xfId="0" applyNumberFormat="1" applyFont="1" applyFill="1" applyBorder="1"/>
    <xf numFmtId="0" fontId="69" fillId="0" borderId="12" xfId="0" applyFont="1" applyFill="1" applyBorder="1" applyAlignment="1">
      <alignment horizontal="center" vertical="center" wrapText="1"/>
    </xf>
    <xf numFmtId="0" fontId="69" fillId="0" borderId="0" xfId="0" applyFont="1" applyFill="1" applyAlignment="1">
      <alignment horizontal="center" vertical="center" wrapText="1"/>
    </xf>
    <xf numFmtId="0" fontId="69" fillId="0" borderId="9" xfId="0" applyFont="1" applyFill="1" applyBorder="1" applyAlignment="1">
      <alignment horizontal="center" vertical="center" wrapText="1"/>
    </xf>
    <xf numFmtId="0" fontId="69" fillId="0" borderId="0" xfId="0" applyFont="1" applyFill="1" applyBorder="1" applyAlignment="1">
      <alignment horizontal="center" vertical="center" wrapText="1"/>
    </xf>
    <xf numFmtId="0" fontId="69" fillId="0" borderId="12" xfId="0" applyFont="1" applyFill="1" applyBorder="1"/>
    <xf numFmtId="0" fontId="69" fillId="0" borderId="0" xfId="0" applyFont="1" applyFill="1"/>
    <xf numFmtId="0" fontId="69" fillId="0" borderId="9" xfId="0" applyFont="1" applyFill="1" applyBorder="1"/>
    <xf numFmtId="0" fontId="69" fillId="0" borderId="0" xfId="0" applyFont="1" applyFill="1" applyBorder="1"/>
    <xf numFmtId="0" fontId="70" fillId="0" borderId="12" xfId="0" applyFont="1" applyFill="1" applyBorder="1"/>
    <xf numFmtId="0" fontId="70" fillId="0" borderId="0" xfId="0" applyFont="1" applyFill="1"/>
    <xf numFmtId="0" fontId="70" fillId="0" borderId="9" xfId="0" applyFont="1" applyFill="1" applyBorder="1"/>
    <xf numFmtId="0" fontId="70" fillId="0" borderId="0" xfId="0" applyFont="1" applyFill="1" applyBorder="1"/>
    <xf numFmtId="0" fontId="71" fillId="0" borderId="12" xfId="0" applyFont="1" applyFill="1" applyBorder="1" applyAlignment="1">
      <alignment horizontal="center" vertical="center" wrapText="1"/>
    </xf>
    <xf numFmtId="0" fontId="71" fillId="0" borderId="0" xfId="0" applyFont="1" applyFill="1" applyAlignment="1">
      <alignment horizontal="center" vertical="center" wrapText="1"/>
    </xf>
    <xf numFmtId="0" fontId="71" fillId="0" borderId="9" xfId="0" applyFont="1" applyFill="1" applyBorder="1" applyAlignment="1">
      <alignment horizontal="center" vertical="center" wrapText="1"/>
    </xf>
    <xf numFmtId="0" fontId="71" fillId="0" borderId="0" xfId="0" applyFont="1" applyFill="1" applyBorder="1" applyAlignment="1">
      <alignment horizontal="center" vertical="center" wrapText="1"/>
    </xf>
    <xf numFmtId="166" fontId="70" fillId="0" borderId="0" xfId="28" applyNumberFormat="1" applyFont="1" applyFill="1"/>
    <xf numFmtId="166" fontId="70" fillId="0" borderId="9" xfId="0" applyNumberFormat="1" applyFont="1" applyFill="1" applyBorder="1"/>
    <xf numFmtId="166" fontId="70" fillId="0" borderId="0" xfId="0" applyNumberFormat="1" applyFont="1" applyFill="1" applyBorder="1"/>
    <xf numFmtId="43" fontId="7" fillId="0" borderId="0" xfId="10" applyFont="1" applyBorder="1" applyAlignment="1">
      <alignment horizontal="right"/>
    </xf>
    <xf numFmtId="242" fontId="2" fillId="0" borderId="0" xfId="10" applyNumberFormat="1" applyFont="1" applyFill="1" applyBorder="1" applyAlignment="1">
      <alignment horizontal="right" vertical="center"/>
    </xf>
    <xf numFmtId="7" fontId="7" fillId="0" borderId="0" xfId="0" applyNumberFormat="1" applyFont="1" applyFill="1" applyBorder="1" applyAlignment="1">
      <alignment horizontal="right"/>
    </xf>
    <xf numFmtId="220" fontId="2" fillId="0" borderId="0" xfId="0" applyNumberFormat="1" applyFont="1" applyFill="1" applyBorder="1"/>
    <xf numFmtId="43" fontId="7" fillId="0" borderId="0" xfId="10" applyFont="1" applyFill="1" applyBorder="1" applyAlignment="1">
      <alignment horizontal="right"/>
    </xf>
    <xf numFmtId="43" fontId="7" fillId="0" borderId="0" xfId="0" applyNumberFormat="1" applyFont="1" applyFill="1" applyBorder="1" applyAlignment="1">
      <alignment horizontal="right" vertical="center"/>
    </xf>
    <xf numFmtId="8" fontId="7" fillId="0" borderId="0" xfId="10" applyNumberFormat="1" applyFont="1" applyFill="1" applyBorder="1" applyAlignment="1">
      <alignment horizontal="right"/>
    </xf>
    <xf numFmtId="8" fontId="7" fillId="0" borderId="0" xfId="0" applyNumberFormat="1" applyFont="1" applyFill="1" applyBorder="1" applyAlignment="1">
      <alignment horizontal="right" vertical="center"/>
    </xf>
    <xf numFmtId="0" fontId="4" fillId="14" borderId="0" xfId="85" applyFont="1" applyFill="1" applyAlignment="1">
      <alignment vertical="top"/>
    </xf>
    <xf numFmtId="0" fontId="73" fillId="14" borderId="0" xfId="86" applyFill="1" applyAlignment="1">
      <alignment vertical="top"/>
    </xf>
    <xf numFmtId="0" fontId="73" fillId="14" borderId="0" xfId="86" applyFill="1"/>
    <xf numFmtId="0" fontId="46" fillId="14" borderId="0" xfId="85" applyFont="1" applyFill="1" applyAlignment="1">
      <alignment horizontal="left" vertical="top"/>
    </xf>
    <xf numFmtId="0" fontId="4" fillId="14" borderId="0" xfId="86" applyFont="1" applyFill="1" applyAlignment="1">
      <alignment vertical="top"/>
    </xf>
    <xf numFmtId="0" fontId="29" fillId="14" borderId="0" xfId="85" applyFont="1" applyFill="1" applyAlignment="1">
      <alignment vertical="top"/>
    </xf>
    <xf numFmtId="0" fontId="0" fillId="14" borderId="0" xfId="0" applyFill="1" applyAlignment="1">
      <alignment vertical="top"/>
    </xf>
    <xf numFmtId="0" fontId="74" fillId="14" borderId="0" xfId="0" applyFont="1" applyFill="1" applyAlignment="1">
      <alignment vertical="top"/>
    </xf>
    <xf numFmtId="0" fontId="75" fillId="14" borderId="0" xfId="0" applyFont="1" applyFill="1" applyAlignment="1">
      <alignment vertical="top"/>
    </xf>
    <xf numFmtId="0" fontId="75" fillId="14" borderId="0" xfId="0" applyFont="1" applyFill="1" applyAlignment="1">
      <alignment vertical="top"/>
    </xf>
    <xf numFmtId="0" fontId="74" fillId="14" borderId="0" xfId="0" applyFont="1" applyFill="1" applyAlignment="1">
      <alignment vertical="top"/>
    </xf>
    <xf numFmtId="0" fontId="0" fillId="14" borderId="0" xfId="0" applyFill="1" applyAlignment="1">
      <alignment vertical="top"/>
    </xf>
    <xf numFmtId="0" fontId="0" fillId="14" borderId="22" xfId="0" applyFill="1" applyBorder="1" applyAlignment="1">
      <alignment vertical="top"/>
    </xf>
    <xf numFmtId="0" fontId="74" fillId="14" borderId="18" xfId="0" applyFont="1" applyFill="1" applyBorder="1" applyAlignment="1">
      <alignment vertical="top"/>
    </xf>
    <xf numFmtId="0" fontId="74" fillId="14" borderId="19" xfId="0" applyFont="1" applyFill="1" applyBorder="1" applyAlignment="1">
      <alignment vertical="top"/>
    </xf>
    <xf numFmtId="0" fontId="74" fillId="14" borderId="20" xfId="0" applyFont="1" applyFill="1" applyBorder="1" applyAlignment="1">
      <alignment vertical="top"/>
    </xf>
    <xf numFmtId="0" fontId="74" fillId="14" borderId="21" xfId="0" applyFont="1" applyFill="1" applyBorder="1" applyAlignment="1">
      <alignment vertical="top"/>
    </xf>
    <xf numFmtId="9" fontId="74" fillId="14" borderId="18" xfId="0" applyNumberFormat="1" applyFont="1" applyFill="1" applyBorder="1" applyAlignment="1">
      <alignment vertical="top"/>
    </xf>
    <xf numFmtId="3" fontId="74" fillId="14" borderId="18" xfId="0" applyNumberFormat="1" applyFont="1" applyFill="1" applyBorder="1" applyAlignment="1">
      <alignment vertical="top"/>
    </xf>
    <xf numFmtId="0" fontId="0" fillId="14" borderId="23" xfId="0" applyFill="1" applyBorder="1" applyAlignment="1">
      <alignment vertical="top"/>
    </xf>
    <xf numFmtId="2" fontId="4" fillId="0" borderId="0" xfId="68" applyNumberFormat="1" applyAlignment="1">
      <alignment horizontal="left"/>
    </xf>
    <xf numFmtId="0" fontId="4" fillId="0" borderId="0" xfId="68" applyNumberFormat="1" applyAlignment="1">
      <alignment horizontal="left"/>
    </xf>
    <xf numFmtId="1" fontId="4" fillId="0" borderId="0" xfId="68" applyNumberFormat="1" applyAlignment="1">
      <alignment horizontal="left"/>
    </xf>
    <xf numFmtId="0" fontId="4" fillId="0" borderId="0" xfId="68" applyFont="1"/>
    <xf numFmtId="251" fontId="4" fillId="0" borderId="0" xfId="68" applyNumberFormat="1" applyAlignment="1">
      <alignment horizontal="left"/>
    </xf>
    <xf numFmtId="49" fontId="4" fillId="0" borderId="0" xfId="68" applyNumberFormat="1"/>
  </cellXfs>
  <cellStyles count="87">
    <cellStyle name=" 1" xfId="1"/>
    <cellStyle name="%" xfId="41"/>
    <cellStyle name="% 2" xfId="42"/>
    <cellStyle name="******************************************" xfId="2"/>
    <cellStyle name="****************************************** 2" xfId="44"/>
    <cellStyle name="****************************************** 3" xfId="43"/>
    <cellStyle name="_ORLY" xfId="3"/>
    <cellStyle name="_ORLY_Simeon" xfId="45"/>
    <cellStyle name="_ORLY_Simeon 2" xfId="46"/>
    <cellStyle name="_SUMMARY " xfId="4"/>
    <cellStyle name="=C:\WINNT35\SYSTEM32\COMMAND.COM" xfId="47"/>
    <cellStyle name="=C:\WINNT35\SYSTEM32\COMMAND.COM 2" xfId="48"/>
    <cellStyle name="0_Capex &amp; Depreciation " xfId="5"/>
    <cellStyle name="0_Capex &amp; Depreciation _RRST1" xfId="49"/>
    <cellStyle name="0_P&amp;L-adj " xfId="6"/>
    <cellStyle name="0_P&amp;L-adj  2" xfId="50"/>
    <cellStyle name="0_P&amp;L-adj _Divisional Revenue" xfId="51"/>
    <cellStyle name="0_P&amp;L-adj _Income Statement" xfId="52"/>
    <cellStyle name="0_Quarterly " xfId="7"/>
    <cellStyle name="0_Quarterly  2" xfId="53"/>
    <cellStyle name="0_Quarterly _Divisional Revenue" xfId="54"/>
    <cellStyle name="0_Quarterly _Income Statement" xfId="55"/>
    <cellStyle name="0_Valuing BP " xfId="8"/>
    <cellStyle name="0_Valuing BP _RRST1" xfId="56"/>
    <cellStyle name="c_HardInc " xfId="9"/>
    <cellStyle name="c_HardInc _RRST1" xfId="57"/>
    <cellStyle name="Comma" xfId="10" builtinId="3"/>
    <cellStyle name="comma (1)" xfId="11"/>
    <cellStyle name="Comma 2" xfId="12"/>
    <cellStyle name="Comma 3" xfId="59"/>
    <cellStyle name="Comma 4" xfId="58"/>
    <cellStyle name="Comma 5" xfId="38"/>
    <cellStyle name="Currency" xfId="13" builtinId="4"/>
    <cellStyle name="Currency (1)" xfId="14"/>
    <cellStyle name="Currency 2" xfId="61"/>
    <cellStyle name="Currency 3" xfId="15"/>
    <cellStyle name="Currency 3 2" xfId="60"/>
    <cellStyle name="Currency_CVC" xfId="16"/>
    <cellStyle name="Fail" xfId="62"/>
    <cellStyle name="FiscalPeriod" xfId="63"/>
    <cellStyle name="Hidden" xfId="64"/>
    <cellStyle name="Hyperlink" xfId="17" builtinId="8"/>
    <cellStyle name="MetricLabel" xfId="65"/>
    <cellStyle name="MetricLabelBlue" xfId="66"/>
    <cellStyle name="MetricValue" xfId="67"/>
    <cellStyle name="Normal" xfId="0" builtinId="0"/>
    <cellStyle name="Normal 2" xfId="68"/>
    <cellStyle name="Normal 3" xfId="18"/>
    <cellStyle name="Normal 3 2" xfId="69"/>
    <cellStyle name="Normal 4" xfId="19"/>
    <cellStyle name="Normal 4 2" xfId="70"/>
    <cellStyle name="Normal 4 3" xfId="20"/>
    <cellStyle name="Normal 5" xfId="71"/>
    <cellStyle name="Normal 6" xfId="21"/>
    <cellStyle name="Normal 7" xfId="40"/>
    <cellStyle name="Normal 8" xfId="36"/>
    <cellStyle name="Normal 9" xfId="86"/>
    <cellStyle name="Normal_AZO" xfId="22"/>
    <cellStyle name="Normal_BBYin progress" xfId="23"/>
    <cellStyle name="Normal_BBYin progress_AZO" xfId="24"/>
    <cellStyle name="Normal_DisclaimerSheet Samples" xfId="85"/>
    <cellStyle name="Normal_SBH_Draft_032514" xfId="25"/>
    <cellStyle name="Onedec_FT Valuation " xfId="26"/>
    <cellStyle name="p " xfId="27"/>
    <cellStyle name="p  2" xfId="73"/>
    <cellStyle name="p  3" xfId="72"/>
    <cellStyle name="Pass" xfId="74"/>
    <cellStyle name="Percent" xfId="28" builtinId="5"/>
    <cellStyle name="Percent 2" xfId="29"/>
    <cellStyle name="Percent 2 2" xfId="76"/>
    <cellStyle name="Percent 3" xfId="77"/>
    <cellStyle name="Percent 4" xfId="75"/>
    <cellStyle name="Percent 5" xfId="37"/>
    <cellStyle name="RRSInstruction" xfId="35"/>
    <cellStyle name="RRSInstruction 2" xfId="30"/>
    <cellStyle name="s_HardInc " xfId="31"/>
    <cellStyle name="s_HardInc _RRST1" xfId="78"/>
    <cellStyle name="s_Valuation " xfId="32"/>
    <cellStyle name="s_Valuation _RRST1" xfId="79"/>
    <cellStyle name="ssp " xfId="33"/>
    <cellStyle name="Style 1" xfId="34"/>
    <cellStyle name="Style 1 2" xfId="81"/>
    <cellStyle name="Style 1 3" xfId="80"/>
    <cellStyle name="Style 1 4" xfId="39"/>
    <cellStyle name="Style 2" xfId="82"/>
    <cellStyle name="Style 2 2" xfId="83"/>
    <cellStyle name="Style 32" xfId="84"/>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74BE74"/>
      <rgbColor rgb="002270AB"/>
      <rgbColor rgb="00F8CD14"/>
      <rgbColor rgb="00F26163"/>
      <rgbColor rgb="00A8D7E2"/>
      <rgbColor rgb="00B2122B"/>
      <rgbColor rgb="00238B45"/>
      <rgbColor rgb="001B4694"/>
      <rgbColor rgb="0041A95C"/>
      <rgbColor rgb="00800080"/>
      <rgbColor rgb="00238B45"/>
      <rgbColor rgb="00C0C0C0"/>
      <rgbColor rgb="00808080"/>
      <rgbColor rgb="00137CB1"/>
      <rgbColor rgb="00EACC80"/>
      <rgbColor rgb="004AAC6B"/>
      <rgbColor rgb="00A8D7E2"/>
      <rgbColor rgb="00E58061"/>
      <rgbColor rgb="00BCE3A1"/>
      <rgbColor rgb="008E466A"/>
      <rgbColor rgb="00F3A7A9"/>
      <rgbColor rgb="001275A6"/>
      <rgbColor rgb="00E5BF61"/>
      <rgbColor rgb="004AAC6B"/>
      <rgbColor rgb="0097D0DD"/>
      <rgbColor rgb="00763A58"/>
      <rgbColor rgb="00EF8D8F"/>
      <rgbColor rgb="00E2704C"/>
      <rgbColor rgb="00A5D981"/>
      <rgbColor rgb="0069ADCA"/>
      <rgbColor rgb="00C6D9E2"/>
      <rgbColor rgb="00E3EEDE"/>
      <rgbColor rgb="00F3EEA1"/>
      <rgbColor rgb="009DC9DC"/>
      <rgbColor rgb="00EFC1D2"/>
      <rgbColor rgb="009DC9DC"/>
      <rgbColor rgb="00EFC49F"/>
      <rgbColor rgb="004091BF"/>
      <rgbColor rgb="0097D0DD"/>
      <rgbColor rgb="00A5D981"/>
      <rgbColor rgb="00F8CD14"/>
      <rgbColor rgb="00EACC80"/>
      <rgbColor rgb="00FC7114"/>
      <rgbColor rgb="004091BF"/>
      <rgbColor rgb="00969696"/>
      <rgbColor rgb="00003366"/>
      <rgbColor rgb="0041A95C"/>
      <rgbColor rgb="00125A31"/>
      <rgbColor rgb="00125A31"/>
      <rgbColor rgb="00DDDDDD"/>
      <rgbColor rgb="008E466A"/>
      <rgbColor rgb="001B4694"/>
      <rgbColor rgb="00333333"/>
    </indexedColors>
    <mruColors>
      <color rgb="FF0000FF"/>
      <color rgb="FFFFFF99"/>
      <color rgb="FF006600"/>
      <color rgb="FF9DC9D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theme/theme1.xml" Type="http://schemas.openxmlformats.org/officeDocument/2006/relationships/theme"/>
<Relationship Id="rId12" Target="styles.xml" Type="http://schemas.openxmlformats.org/officeDocument/2006/relationships/styles"/>
<Relationship Id="rId13" Target="sharedStrings.xml" Type="http://schemas.openxmlformats.org/officeDocument/2006/relationships/sharedStrings"/>
<Relationship Id="rId14" Target="calcChain.xml" Type="http://schemas.openxmlformats.org/officeDocument/2006/relationships/calcChain"/>
<Relationship Id="rId15" Target="../customXml/item1.xml" Type="http://schemas.openxmlformats.org/officeDocument/2006/relationships/customXml"/>
<Relationship Id="rId16" Target="../customXml/item2.xml" Type="http://schemas.openxmlformats.org/officeDocument/2006/relationships/customXml"/>
<Relationship Id="rId17" Target="vbaProject.bin" Type="http://schemas.microsoft.com/office/2006/relationships/vbaProjec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ctrlProps/ctrlProp1.xml><?xml version="1.0" encoding="utf-8"?>
<formControlPr xmlns="http://schemas.microsoft.com/office/spreadsheetml/2009/9/main" objectType="Radio" firstButton="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Drop" dropLines="3" dropStyle="combo" dx="16" fmlaLink="#REF!" fmlaRange="#REF!" noThreeD="1" sel="0" val="0"/>
</file>

<file path=xl/ctrlProps/ctrlProp7.xml><?xml version="1.0" encoding="utf-8"?>
<formControlPr xmlns="http://schemas.microsoft.com/office/spreadsheetml/2009/9/main" objectType="Drop" dropLines="3" dropStyle="combo" dx="16" fmlaLink="#REF!" fmlaRange="#REF!" noThreeD="1" sel="0" val="0"/>
</file>

<file path=xl/drawings/_rels/drawing1.xml.rels><?xml version="1.0" encoding="UTF-8" standalone="yes"?>
<Relationships xmlns="http://schemas.openxmlformats.org/package/2006/relationships">
<Relationship Id="rId1" Target="../media/image1.png" Type="http://schemas.openxmlformats.org/officeDocument/2006/relationships/image"/>
<Relationship Id="rId2" Target="../media/image2.jpeg" Type="http://schemas.openxmlformats.org/officeDocument/2006/relationships/image"/>
<Relationship Id="rId3" Target="../media/image3.gif" Type="http://schemas.openxmlformats.org/officeDocument/2006/relationships/image"/>
</Relationships>

</file>

<file path=xl/drawings/_rels/drawing2.xml.rels><?xml version="1.0" encoding="UTF-8" standalone="yes"?>
<Relationships xmlns="http://schemas.openxmlformats.org/package/2006/relationships">
<Relationship Id="rId1" Target="../media/image4.png" Type="http://schemas.openxmlformats.org/officeDocument/2006/relationships/image"/>
</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28575</xdr:rowOff>
    </xdr:from>
    <xdr:to>
      <xdr:col>1</xdr:col>
      <xdr:colOff>104775</xdr:colOff>
      <xdr:row>0</xdr:row>
      <xdr:rowOff>323850</xdr:rowOff>
    </xdr:to>
    <xdr:pic>
      <xdr:nvPicPr>
        <xdr:cNvPr id="2" name="Picture 4"/>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050" y="28575"/>
          <a:ext cx="15621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19050</xdr:colOff>
      <xdr:row>0</xdr:row>
      <xdr:rowOff>95250</xdr:rowOff>
    </xdr:from>
    <xdr:to>
      <xdr:col>2</xdr:col>
      <xdr:colOff>228600</xdr:colOff>
      <xdr:row>0</xdr:row>
      <xdr:rowOff>314325</xdr:rowOff>
    </xdr:to>
    <xdr:pic>
      <xdr:nvPicPr>
        <xdr:cNvPr id="3" name="Picture 6" descr="MSMS_logo_3" hidden="1"/>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9050" y="95250"/>
          <a:ext cx="2219325"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0</xdr:colOff>
      <xdr:row>167</xdr:row>
      <xdr:rowOff>0</xdr:rowOff>
    </xdr:from>
    <xdr:to>
      <xdr:col>9</xdr:col>
      <xdr:colOff>114300</xdr:colOff>
      <xdr:row>190</xdr:row>
      <xdr:rowOff>104775</xdr:rowOff>
    </xdr:to>
    <xdr:pic>
      <xdr:nvPicPr>
        <xdr:cNvPr id="3708929" name="Picture 1" descr="C:\Users\siber\AppData\Local\Temp\MercuryPriceRatingHistoryChart\BBY.N_2018_03_01_13_01_37.gif"/>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25993725"/>
          <a:ext cx="6400800" cy="38290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10</xdr:col>
      <xdr:colOff>333375</xdr:colOff>
      <xdr:row>0</xdr:row>
      <xdr:rowOff>19050</xdr:rowOff>
    </xdr:from>
    <xdr:to>
      <xdr:col>15</xdr:col>
      <xdr:colOff>600075</xdr:colOff>
      <xdr:row>1</xdr:row>
      <xdr:rowOff>219075</xdr:rowOff>
    </xdr:to>
    <xdr:pic>
      <xdr:nvPicPr>
        <xdr:cNvPr id="3597894" name="Picture 1" descr="Research Link Banne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29650" y="19050"/>
          <a:ext cx="3314700"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0</xdr:rowOff>
        </xdr:from>
        <xdr:to>
          <xdr:col>0</xdr:col>
          <xdr:colOff>457200</xdr:colOff>
          <xdr:row>1</xdr:row>
          <xdr:rowOff>9525</xdr:rowOff>
        </xdr:to>
        <xdr:sp macro="" textlink="">
          <xdr:nvSpPr>
            <xdr:cNvPr id="213364" name="Option Button 2420" hidden="1">
              <a:extLst>
                <a:ext uri="{63B3BB69-23CF-44E3-9099-C40C66FF867C}">
                  <a14:compatExt spid="_x0000_s21336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1Q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466725</xdr:colOff>
          <xdr:row>0</xdr:row>
          <xdr:rowOff>0</xdr:rowOff>
        </xdr:from>
        <xdr:to>
          <xdr:col>0</xdr:col>
          <xdr:colOff>800100</xdr:colOff>
          <xdr:row>1</xdr:row>
          <xdr:rowOff>9525</xdr:rowOff>
        </xdr:to>
        <xdr:sp macro="" textlink="">
          <xdr:nvSpPr>
            <xdr:cNvPr id="213365" name="Option Button 2421" hidden="1">
              <a:extLst>
                <a:ext uri="{63B3BB69-23CF-44E3-9099-C40C66FF867C}">
                  <a14:compatExt spid="_x0000_s21336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2Q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828675</xdr:colOff>
          <xdr:row>0</xdr:row>
          <xdr:rowOff>0</xdr:rowOff>
        </xdr:from>
        <xdr:to>
          <xdr:col>0</xdr:col>
          <xdr:colOff>1162050</xdr:colOff>
          <xdr:row>1</xdr:row>
          <xdr:rowOff>9525</xdr:rowOff>
        </xdr:to>
        <xdr:sp macro="" textlink="">
          <xdr:nvSpPr>
            <xdr:cNvPr id="213366" name="Option Button 2422" hidden="1">
              <a:extLst>
                <a:ext uri="{63B3BB69-23CF-44E3-9099-C40C66FF867C}">
                  <a14:compatExt spid="_x0000_s21336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3Q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1247775</xdr:colOff>
          <xdr:row>0</xdr:row>
          <xdr:rowOff>0</xdr:rowOff>
        </xdr:from>
        <xdr:to>
          <xdr:col>0</xdr:col>
          <xdr:colOff>1581150</xdr:colOff>
          <xdr:row>1</xdr:row>
          <xdr:rowOff>9525</xdr:rowOff>
        </xdr:to>
        <xdr:sp macro="" textlink="">
          <xdr:nvSpPr>
            <xdr:cNvPr id="213367" name="Option Button 2423" hidden="1">
              <a:extLst>
                <a:ext uri="{63B3BB69-23CF-44E3-9099-C40C66FF867C}">
                  <a14:compatExt spid="_x0000_s21336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4Q</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1685925</xdr:colOff>
          <xdr:row>0</xdr:row>
          <xdr:rowOff>19050</xdr:rowOff>
        </xdr:from>
        <xdr:to>
          <xdr:col>0</xdr:col>
          <xdr:colOff>2295525</xdr:colOff>
          <xdr:row>1</xdr:row>
          <xdr:rowOff>28575</xdr:rowOff>
        </xdr:to>
        <xdr:sp macro="" textlink="">
          <xdr:nvSpPr>
            <xdr:cNvPr id="213368" name="Option Button 2424" hidden="1">
              <a:extLst>
                <a:ext uri="{63B3BB69-23CF-44E3-9099-C40C66FF867C}">
                  <a14:compatExt spid="_x0000_s21336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1676400</xdr:colOff>
          <xdr:row>1</xdr:row>
          <xdr:rowOff>123825</xdr:rowOff>
        </xdr:from>
        <xdr:to>
          <xdr:col>0</xdr:col>
          <xdr:colOff>2743200</xdr:colOff>
          <xdr:row>3</xdr:row>
          <xdr:rowOff>0</xdr:rowOff>
        </xdr:to>
        <xdr:sp macro="" textlink="">
          <xdr:nvSpPr>
            <xdr:cNvPr id="213369" name="Drop Down 2425" hidden="1">
              <a:extLst>
                <a:ext uri="{63B3BB69-23CF-44E3-9099-C40C66FF867C}">
                  <a14:compatExt spid="_x0000_s213369"/>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1428750</xdr:colOff>
          <xdr:row>2</xdr:row>
          <xdr:rowOff>76200</xdr:rowOff>
        </xdr:from>
        <xdr:to>
          <xdr:col>0</xdr:col>
          <xdr:colOff>2486025</xdr:colOff>
          <xdr:row>3</xdr:row>
          <xdr:rowOff>133350</xdr:rowOff>
        </xdr:to>
        <xdr:sp macro="" textlink="">
          <xdr:nvSpPr>
            <xdr:cNvPr id="584829" name="Drop Down 1149" hidden="1">
              <a:extLst>
                <a:ext uri="{63B3BB69-23CF-44E3-9099-C40C66FF867C}">
                  <a14:compatExt spid="_x0000_s58482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500000"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E1" mc:Ignorable="a14" a14:legacySpreadsheetColorIndex="80"/>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 Id="rId2" Target="../drawings/vmlDrawing1.vml" Type="http://schemas.openxmlformats.org/officeDocument/2006/relationships/vmlDrawing"/>
<Relationship Id="rId3" Target="../comments1.xml" Type="http://schemas.openxmlformats.org/officeDocument/2006/relationships/comments"/>
</Relationships>

</file>

<file path=xl/worksheets/_rels/sheet2.xml.rels><?xml version="1.0" encoding="UTF-8" standalone="yes"?>
<Relationships xmlns="http://schemas.openxmlformats.org/package/2006/relationships">
<Relationship Id="rId1" Target="../printerSettings/printerSettings2.bin" Type="http://schemas.openxmlformats.org/officeDocument/2006/relationships/printerSettings"/>
<Relationship Id="rId2" Target="../drawings/drawing1.xml" Type="http://schemas.openxmlformats.org/officeDocument/2006/relationships/drawing"/>
</Relationships>

</file>

<file path=xl/worksheets/_rels/sheet3.xml.rels><?xml version="1.0" encoding="UTF-8" standalone="yes"?>
<Relationships xmlns="http://schemas.openxmlformats.org/package/2006/relationships">
<Relationship Id="rId1" Target="mailto:joshua.siber@morganstanley.com" TargetMode="External" Type="http://schemas.openxmlformats.org/officeDocument/2006/relationships/hyperlink"/>
<Relationship Id="rId2" Target="mailto:simeon.gutman@morganstanley.com" TargetMode="External" Type="http://schemas.openxmlformats.org/officeDocument/2006/relationships/hyperlink"/>
<Relationship Id="rId3" Target="../printerSettings/printerSettings3.bin" Type="http://schemas.openxmlformats.org/officeDocument/2006/relationships/printerSettings"/>
<Relationship Id="rId4" Target="../drawings/drawing2.xml" Type="http://schemas.openxmlformats.org/officeDocument/2006/relationships/drawing"/>
</Relationships>

</file>

<file path=xl/worksheets/_rels/sheet4.xml.rels><?xml version="1.0" encoding="UTF-8" standalone="yes"?>
<Relationships xmlns="http://schemas.openxmlformats.org/package/2006/relationships">
<Relationship Id="rId1" Target="../printerSettings/printerSettings4.bin" Type="http://schemas.openxmlformats.org/officeDocument/2006/relationships/printerSettings"/>
<Relationship Id="rId10" Target="../comments2.xml" Type="http://schemas.openxmlformats.org/officeDocument/2006/relationships/comments"/>
<Relationship Id="rId2" Target="../drawings/drawing3.xml" Type="http://schemas.openxmlformats.org/officeDocument/2006/relationships/drawing"/>
<Relationship Id="rId3" Target="../drawings/vmlDrawing2.vml" Type="http://schemas.openxmlformats.org/officeDocument/2006/relationships/vmlDrawing"/>
<Relationship Id="rId4" Target="../ctrlProps/ctrlProp1.xml" Type="http://schemas.openxmlformats.org/officeDocument/2006/relationships/ctrlProp"/>
<Relationship Id="rId5" Target="../ctrlProps/ctrlProp2.xml" Type="http://schemas.openxmlformats.org/officeDocument/2006/relationships/ctrlProp"/>
<Relationship Id="rId6" Target="../ctrlProps/ctrlProp3.xml" Type="http://schemas.openxmlformats.org/officeDocument/2006/relationships/ctrlProp"/>
<Relationship Id="rId7" Target="../ctrlProps/ctrlProp4.xml" Type="http://schemas.openxmlformats.org/officeDocument/2006/relationships/ctrlProp"/>
<Relationship Id="rId8" Target="../ctrlProps/ctrlProp5.xml" Type="http://schemas.openxmlformats.org/officeDocument/2006/relationships/ctrlProp"/>
<Relationship Id="rId9" Target="../ctrlProps/ctrlProp6.xml" Type="http://schemas.openxmlformats.org/officeDocument/2006/relationships/ctrlProp"/>
</Relationships>

</file>

<file path=xl/worksheets/_rels/sheet5.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6.xml.rels><?xml version="1.0" encoding="UTF-8" standalone="yes"?>
<Relationships xmlns="http://schemas.openxmlformats.org/package/2006/relationships">
<Relationship Id="rId1" Target="../printerSettings/printerSettings6.bin" Type="http://schemas.openxmlformats.org/officeDocument/2006/relationships/printerSettings"/>
<Relationship Id="rId2" Target="../drawings/drawing4.xml" Type="http://schemas.openxmlformats.org/officeDocument/2006/relationships/drawing"/>
<Relationship Id="rId3" Target="../drawings/vmlDrawing3.vml" Type="http://schemas.openxmlformats.org/officeDocument/2006/relationships/vmlDrawing"/>
<Relationship Id="rId4" Target="../ctrlProps/ctrlProp7.xml" Type="http://schemas.openxmlformats.org/officeDocument/2006/relationships/ctrlProp"/>
<Relationship Id="rId5" Target="../comments3.xml" Type="http://schemas.openxmlformats.org/officeDocument/2006/relationships/comments"/>
</Relationships>

</file>

<file path=xl/worksheets/_rels/sheet7.xml.rels><?xml version="1.0" encoding="UTF-8" standalone="yes"?>
<Relationships xmlns="http://schemas.openxmlformats.org/package/2006/relationships">
<Relationship Id="rId1" Target="../printerSettings/printerSettings7.bin" Type="http://schemas.openxmlformats.org/officeDocument/2006/relationships/printerSettings"/>
<Relationship Id="rId2" Target="../drawings/vmlDrawing4.vml" Type="http://schemas.openxmlformats.org/officeDocument/2006/relationships/vmlDrawing"/>
<Relationship Id="rId3" Target="../comments4.xml" Type="http://schemas.openxmlformats.org/officeDocument/2006/relationships/comments"/>
</Relationships>

</file>

<file path=xl/worksheets/_rels/sheet8.xml.rels><?xml version="1.0" encoding="UTF-8" standalone="yes"?>
<Relationships xmlns="http://schemas.openxmlformats.org/package/2006/relationships">
<Relationship Id="rId1" Target="../printerSettings/printerSettings8.bin" Type="http://schemas.openxmlformats.org/officeDocument/2006/relationships/printerSettings"/>
<Relationship Id="rId2" Target="../drawings/vmlDrawing5.vml" Type="http://schemas.openxmlformats.org/officeDocument/2006/relationships/vmlDrawing"/>
<Relationship Id="rId3" Target="../comments5.xml" Type="http://schemas.openxmlformats.org/officeDocument/2006/relationships/comments"/>
</Relationships>

</file>

<file path=xl/worksheets/_rels/sheet9.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B2"/>
  <sheetViews>
    <sheetView workbookViewId="0"/>
  </sheetViews>
  <sheetFormatPr defaultRowHeight="11.25" x14ac:dyDescent="0.2"/>
  <sheetData>
    <row r="1" spans="1:2" x14ac:dyDescent="0.2">
      <c r="A1" s="381"/>
      <c r="B1" t="s">
        <v>565</v>
      </c>
    </row>
    <row r="2" spans="1:2" x14ac:dyDescent="0.2"/>
  </sheetData>
  <phoneticPr fontId="19" type="noConversion"/>
  <pageMargins left="0.75" right="0.75" top="1" bottom="1" header="0.5" footer="0.5"/>
  <pageSetup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384"/>
  <sheetViews>
    <sheetView showGridLines="0" tabSelected="1" workbookViewId="0">
      <selection activeCell="Z1" sqref="Z1"/>
    </sheetView>
  </sheetViews>
  <sheetFormatPr defaultRowHeight="12.75" x14ac:dyDescent="0.2"/>
  <cols>
    <col min="1" max="1" width="25.83203125" style="2845" customWidth="1"/>
    <col min="2" max="5" width="9.33203125" style="2845"/>
    <col min="6" max="6" width="18.83203125" style="2845" customWidth="1"/>
    <col min="7" max="256" width="9.33203125" style="2845"/>
    <col min="257" max="257" width="117.5" style="2845" customWidth="1"/>
    <col min="258" max="512" width="9.33203125" style="2845"/>
    <col min="513" max="513" width="117.5" style="2845" customWidth="1"/>
    <col min="514" max="768" width="9.33203125" style="2845"/>
    <col min="769" max="769" width="117.5" style="2845" customWidth="1"/>
    <col min="770" max="1024" width="9.33203125" style="2845"/>
    <col min="1025" max="1025" width="117.5" style="2845" customWidth="1"/>
    <col min="1026" max="1280" width="9.33203125" style="2845"/>
    <col min="1281" max="1281" width="117.5" style="2845" customWidth="1"/>
    <col min="1282" max="1536" width="9.33203125" style="2845"/>
    <col min="1537" max="1537" width="117.5" style="2845" customWidth="1"/>
    <col min="1538" max="1792" width="9.33203125" style="2845"/>
    <col min="1793" max="1793" width="117.5" style="2845" customWidth="1"/>
    <col min="1794" max="2048" width="9.33203125" style="2845"/>
    <col min="2049" max="2049" width="117.5" style="2845" customWidth="1"/>
    <col min="2050" max="2304" width="9.33203125" style="2845"/>
    <col min="2305" max="2305" width="117.5" style="2845" customWidth="1"/>
    <col min="2306" max="2560" width="9.33203125" style="2845"/>
    <col min="2561" max="2561" width="117.5" style="2845" customWidth="1"/>
    <col min="2562" max="2816" width="9.33203125" style="2845"/>
    <col min="2817" max="2817" width="117.5" style="2845" customWidth="1"/>
    <col min="2818" max="3072" width="9.33203125" style="2845"/>
    <col min="3073" max="3073" width="117.5" style="2845" customWidth="1"/>
    <col min="3074" max="3328" width="9.33203125" style="2845"/>
    <col min="3329" max="3329" width="117.5" style="2845" customWidth="1"/>
    <col min="3330" max="3584" width="9.33203125" style="2845"/>
    <col min="3585" max="3585" width="117.5" style="2845" customWidth="1"/>
    <col min="3586" max="3840" width="9.33203125" style="2845"/>
    <col min="3841" max="3841" width="117.5" style="2845" customWidth="1"/>
    <col min="3842" max="4096" width="9.33203125" style="2845"/>
    <col min="4097" max="4097" width="117.5" style="2845" customWidth="1"/>
    <col min="4098" max="4352" width="9.33203125" style="2845"/>
    <col min="4353" max="4353" width="117.5" style="2845" customWidth="1"/>
    <col min="4354" max="4608" width="9.33203125" style="2845"/>
    <col min="4609" max="4609" width="117.5" style="2845" customWidth="1"/>
    <col min="4610" max="4864" width="9.33203125" style="2845"/>
    <col min="4865" max="4865" width="117.5" style="2845" customWidth="1"/>
    <col min="4866" max="5120" width="9.33203125" style="2845"/>
    <col min="5121" max="5121" width="117.5" style="2845" customWidth="1"/>
    <col min="5122" max="5376" width="9.33203125" style="2845"/>
    <col min="5377" max="5377" width="117.5" style="2845" customWidth="1"/>
    <col min="5378" max="5632" width="9.33203125" style="2845"/>
    <col min="5633" max="5633" width="117.5" style="2845" customWidth="1"/>
    <col min="5634" max="5888" width="9.33203125" style="2845"/>
    <col min="5889" max="5889" width="117.5" style="2845" customWidth="1"/>
    <col min="5890" max="6144" width="9.33203125" style="2845"/>
    <col min="6145" max="6145" width="117.5" style="2845" customWidth="1"/>
    <col min="6146" max="6400" width="9.33203125" style="2845"/>
    <col min="6401" max="6401" width="117.5" style="2845" customWidth="1"/>
    <col min="6402" max="6656" width="9.33203125" style="2845"/>
    <col min="6657" max="6657" width="117.5" style="2845" customWidth="1"/>
    <col min="6658" max="6912" width="9.33203125" style="2845"/>
    <col min="6913" max="6913" width="117.5" style="2845" customWidth="1"/>
    <col min="6914" max="7168" width="9.33203125" style="2845"/>
    <col min="7169" max="7169" width="117.5" style="2845" customWidth="1"/>
    <col min="7170" max="7424" width="9.33203125" style="2845"/>
    <col min="7425" max="7425" width="117.5" style="2845" customWidth="1"/>
    <col min="7426" max="7680" width="9.33203125" style="2845"/>
    <col min="7681" max="7681" width="117.5" style="2845" customWidth="1"/>
    <col min="7682" max="7936" width="9.33203125" style="2845"/>
    <col min="7937" max="7937" width="117.5" style="2845" customWidth="1"/>
    <col min="7938" max="8192" width="9.33203125" style="2845"/>
    <col min="8193" max="8193" width="117.5" style="2845" customWidth="1"/>
    <col min="8194" max="8448" width="9.33203125" style="2845"/>
    <col min="8449" max="8449" width="117.5" style="2845" customWidth="1"/>
    <col min="8450" max="8704" width="9.33203125" style="2845"/>
    <col min="8705" max="8705" width="117.5" style="2845" customWidth="1"/>
    <col min="8706" max="8960" width="9.33203125" style="2845"/>
    <col min="8961" max="8961" width="117.5" style="2845" customWidth="1"/>
    <col min="8962" max="9216" width="9.33203125" style="2845"/>
    <col min="9217" max="9217" width="117.5" style="2845" customWidth="1"/>
    <col min="9218" max="9472" width="9.33203125" style="2845"/>
    <col min="9473" max="9473" width="117.5" style="2845" customWidth="1"/>
    <col min="9474" max="9728" width="9.33203125" style="2845"/>
    <col min="9729" max="9729" width="117.5" style="2845" customWidth="1"/>
    <col min="9730" max="9984" width="9.33203125" style="2845"/>
    <col min="9985" max="9985" width="117.5" style="2845" customWidth="1"/>
    <col min="9986" max="10240" width="9.33203125" style="2845"/>
    <col min="10241" max="10241" width="117.5" style="2845" customWidth="1"/>
    <col min="10242" max="10496" width="9.33203125" style="2845"/>
    <col min="10497" max="10497" width="117.5" style="2845" customWidth="1"/>
    <col min="10498" max="10752" width="9.33203125" style="2845"/>
    <col min="10753" max="10753" width="117.5" style="2845" customWidth="1"/>
    <col min="10754" max="11008" width="9.33203125" style="2845"/>
    <col min="11009" max="11009" width="117.5" style="2845" customWidth="1"/>
    <col min="11010" max="11264" width="9.33203125" style="2845"/>
    <col min="11265" max="11265" width="117.5" style="2845" customWidth="1"/>
    <col min="11266" max="11520" width="9.33203125" style="2845"/>
    <col min="11521" max="11521" width="117.5" style="2845" customWidth="1"/>
    <col min="11522" max="11776" width="9.33203125" style="2845"/>
    <col min="11777" max="11777" width="117.5" style="2845" customWidth="1"/>
    <col min="11778" max="12032" width="9.33203125" style="2845"/>
    <col min="12033" max="12033" width="117.5" style="2845" customWidth="1"/>
    <col min="12034" max="12288" width="9.33203125" style="2845"/>
    <col min="12289" max="12289" width="117.5" style="2845" customWidth="1"/>
    <col min="12290" max="12544" width="9.33203125" style="2845"/>
    <col min="12545" max="12545" width="117.5" style="2845" customWidth="1"/>
    <col min="12546" max="12800" width="9.33203125" style="2845"/>
    <col min="12801" max="12801" width="117.5" style="2845" customWidth="1"/>
    <col min="12802" max="13056" width="9.33203125" style="2845"/>
    <col min="13057" max="13057" width="117.5" style="2845" customWidth="1"/>
    <col min="13058" max="13312" width="9.33203125" style="2845"/>
    <col min="13313" max="13313" width="117.5" style="2845" customWidth="1"/>
    <col min="13314" max="13568" width="9.33203125" style="2845"/>
    <col min="13569" max="13569" width="117.5" style="2845" customWidth="1"/>
    <col min="13570" max="13824" width="9.33203125" style="2845"/>
    <col min="13825" max="13825" width="117.5" style="2845" customWidth="1"/>
    <col min="13826" max="14080" width="9.33203125" style="2845"/>
    <col min="14081" max="14081" width="117.5" style="2845" customWidth="1"/>
    <col min="14082" max="14336" width="9.33203125" style="2845"/>
    <col min="14337" max="14337" width="117.5" style="2845" customWidth="1"/>
    <col min="14338" max="14592" width="9.33203125" style="2845"/>
    <col min="14593" max="14593" width="117.5" style="2845" customWidth="1"/>
    <col min="14594" max="14848" width="9.33203125" style="2845"/>
    <col min="14849" max="14849" width="117.5" style="2845" customWidth="1"/>
    <col min="14850" max="15104" width="9.33203125" style="2845"/>
    <col min="15105" max="15105" width="117.5" style="2845" customWidth="1"/>
    <col min="15106" max="15360" width="9.33203125" style="2845"/>
    <col min="15361" max="15361" width="117.5" style="2845" customWidth="1"/>
    <col min="15362" max="15616" width="9.33203125" style="2845"/>
    <col min="15617" max="15617" width="117.5" style="2845" customWidth="1"/>
    <col min="15618" max="15872" width="9.33203125" style="2845"/>
    <col min="15873" max="15873" width="117.5" style="2845" customWidth="1"/>
    <col min="15874" max="16128" width="9.33203125" style="2845"/>
    <col min="16129" max="16129" width="117.5" style="2845" customWidth="1"/>
    <col min="16130" max="16384" width="9.33203125" style="2845"/>
  </cols>
  <sheetData>
    <row r="1" spans="1:8" ht="30" customHeight="1" x14ac:dyDescent="0.2">
      <c r="A1" s="2843"/>
      <c r="B1" s="2844"/>
      <c r="C1" s="2844"/>
      <c r="D1" s="2844"/>
      <c r="E1" s="2844"/>
      <c r="F1" s="2844"/>
      <c r="G1" s="2844"/>
      <c r="H1" s="2844"/>
    </row>
    <row r="2" spans="1:8" ht="14.25" x14ac:dyDescent="0.2">
      <c r="A2" s="2846" t="s">
        <v>759</v>
      </c>
      <c r="B2" s="2844"/>
      <c r="C2" s="2844"/>
      <c r="D2" s="2844"/>
      <c r="E2" s="2844"/>
      <c r="F2" s="2844"/>
      <c r="G2" s="2844"/>
      <c r="H2" s="2844"/>
    </row>
    <row r="3" spans="1:8" ht="14.25" x14ac:dyDescent="0.2">
      <c r="A3" s="2846" t="s">
        <v>760</v>
      </c>
      <c r="B3" s="2844"/>
      <c r="C3" s="2844"/>
      <c r="D3" s="2844"/>
      <c r="E3" s="2844"/>
      <c r="F3" s="2844"/>
      <c r="G3" s="2844"/>
      <c r="H3" s="2844"/>
    </row>
    <row r="4" spans="1:8" ht="14.25" x14ac:dyDescent="0.2">
      <c r="A4" s="2846" t="s">
        <v>761</v>
      </c>
      <c r="B4" s="2844"/>
      <c r="C4" s="2844"/>
      <c r="D4" s="2844"/>
      <c r="E4" s="2844"/>
      <c r="F4" s="2844"/>
      <c r="G4" s="2844"/>
      <c r="H4" s="2844"/>
    </row>
    <row r="5" spans="1:8" ht="14.25" x14ac:dyDescent="0.2">
      <c r="A5" s="2846" t="s">
        <v>762</v>
      </c>
      <c r="B5" s="2844"/>
      <c r="C5" s="2844"/>
      <c r="D5" s="2844"/>
      <c r="E5" s="2844"/>
      <c r="F5" s="2844"/>
      <c r="G5" s="2844"/>
      <c r="H5" s="2844"/>
    </row>
    <row r="6" spans="1:8" ht="14.25" x14ac:dyDescent="0.2">
      <c r="A6" s="2846"/>
      <c r="B6" s="2844"/>
      <c r="C6" s="2844"/>
      <c r="D6" s="2844"/>
      <c r="E6" s="2844"/>
      <c r="F6" s="2844"/>
      <c r="G6" s="2844"/>
      <c r="H6" s="2844"/>
    </row>
    <row r="7" spans="1:8" x14ac:dyDescent="0.2">
      <c r="A7" s="2843" t="s">
        <v>763</v>
      </c>
      <c r="B7" s="2844"/>
      <c r="C7" s="2844"/>
      <c r="D7" s="2844"/>
      <c r="E7" s="2844"/>
      <c r="F7" s="2844"/>
      <c r="G7" s="2844"/>
      <c r="H7" s="2844"/>
    </row>
    <row r="8" spans="1:8" x14ac:dyDescent="0.2">
      <c r="A8" s="2843" t="s">
        <v>764</v>
      </c>
      <c r="B8" s="2844"/>
      <c r="C8" s="2844"/>
      <c r="D8" s="2844"/>
      <c r="E8" s="2844"/>
      <c r="F8" s="2844"/>
      <c r="G8" s="2844"/>
      <c r="H8" s="2844"/>
    </row>
    <row r="9" spans="1:8" x14ac:dyDescent="0.2">
      <c r="A9" s="2843"/>
      <c r="B9" s="2844"/>
      <c r="C9" s="2844"/>
      <c r="D9" s="2844"/>
      <c r="E9" s="2844"/>
      <c r="F9" s="2844"/>
      <c r="G9" s="2844"/>
      <c r="H9" s="2844"/>
    </row>
    <row r="10" spans="1:8" x14ac:dyDescent="0.2">
      <c r="A10" s="2847" t="s">
        <v>765</v>
      </c>
      <c r="B10" s="2844"/>
      <c r="C10" s="2844"/>
      <c r="D10" s="2844"/>
      <c r="E10" s="2844"/>
      <c r="F10" s="2844"/>
      <c r="G10" s="2844"/>
      <c r="H10" s="2844"/>
    </row>
    <row r="11" spans="1:8" x14ac:dyDescent="0.2">
      <c r="A11" s="2847" t="s">
        <v>766</v>
      </c>
      <c r="B11" s="2844"/>
      <c r="C11" s="2844"/>
      <c r="D11" s="2844"/>
      <c r="E11" s="2844"/>
      <c r="F11" s="2844"/>
      <c r="G11" s="2844"/>
      <c r="H11" s="2844"/>
    </row>
    <row r="12" spans="1:8" x14ac:dyDescent="0.2">
      <c r="A12" s="2847" t="s">
        <v>767</v>
      </c>
      <c r="B12" s="2844"/>
      <c r="C12" s="2844"/>
      <c r="D12" s="2844"/>
      <c r="E12" s="2844"/>
      <c r="F12" s="2844"/>
      <c r="G12" s="2844"/>
      <c r="H12" s="2844"/>
    </row>
    <row r="13" spans="1:8" x14ac:dyDescent="0.2">
      <c r="A13" s="2847" t="s">
        <v>768</v>
      </c>
      <c r="B13" s="2844"/>
      <c r="C13" s="2844"/>
      <c r="D13" s="2844"/>
      <c r="E13" s="2844"/>
      <c r="F13" s="2844"/>
      <c r="G13" s="2844"/>
      <c r="H13" s="2844"/>
    </row>
    <row r="14" spans="1:8" x14ac:dyDescent="0.2">
      <c r="A14" s="2847" t="s">
        <v>769</v>
      </c>
      <c r="B14" s="2844"/>
      <c r="C14" s="2844"/>
      <c r="D14" s="2844"/>
      <c r="E14" s="2844"/>
      <c r="F14" s="2844"/>
      <c r="G14" s="2844"/>
      <c r="H14" s="2844"/>
    </row>
    <row r="15" spans="1:8" x14ac:dyDescent="0.2">
      <c r="A15" s="2847" t="s">
        <v>770</v>
      </c>
      <c r="B15" s="2844"/>
      <c r="C15" s="2844"/>
      <c r="D15" s="2844"/>
      <c r="E15" s="2844"/>
      <c r="F15" s="2844"/>
      <c r="G15" s="2844"/>
      <c r="H15" s="2844"/>
    </row>
    <row r="16" spans="1:8" x14ac:dyDescent="0.2">
      <c r="A16" s="2847"/>
      <c r="B16" s="2844"/>
      <c r="C16" s="2844"/>
      <c r="D16" s="2844"/>
      <c r="E16" s="2844"/>
      <c r="F16" s="2844"/>
      <c r="G16" s="2844"/>
      <c r="H16" s="2844"/>
    </row>
    <row r="17" spans="1:8" x14ac:dyDescent="0.2">
      <c r="A17" s="2847" t="s">
        <v>756</v>
      </c>
      <c r="B17" s="2844"/>
      <c r="C17" s="2844"/>
      <c r="D17" s="2844"/>
      <c r="E17" s="2844"/>
      <c r="F17" s="2844"/>
      <c r="G17" s="2844"/>
      <c r="H17" s="2844"/>
    </row>
    <row r="18" spans="1:8" x14ac:dyDescent="0.2">
      <c r="A18" s="2847"/>
      <c r="B18" s="2844"/>
      <c r="C18" s="2844"/>
      <c r="D18" s="2844"/>
      <c r="E18" s="2844"/>
      <c r="F18" s="2844"/>
      <c r="G18" s="2844"/>
      <c r="H18" s="2844"/>
    </row>
    <row r="19" spans="1:8" x14ac:dyDescent="0.2">
      <c r="A19" s="2847" t="s">
        <v>757</v>
      </c>
      <c r="B19" s="2844"/>
      <c r="C19" s="2844"/>
      <c r="D19" s="2844"/>
      <c r="E19" s="2844"/>
      <c r="F19" s="2844"/>
      <c r="G19" s="2844"/>
      <c r="H19" s="2844"/>
    </row>
    <row r="20" spans="1:8" x14ac:dyDescent="0.2">
      <c r="A20" s="2843"/>
      <c r="B20" s="2844"/>
      <c r="C20" s="2844"/>
      <c r="D20" s="2844"/>
      <c r="E20" s="2844"/>
      <c r="F20" s="2844"/>
      <c r="G20" s="2844"/>
      <c r="H20" s="2844"/>
    </row>
    <row r="21" spans="1:8" x14ac:dyDescent="0.2">
      <c r="A21" s="2848" t="s">
        <v>758</v>
      </c>
      <c r="B21" s="2844"/>
      <c r="C21" s="2844"/>
      <c r="D21" s="2844"/>
      <c r="E21" s="2844"/>
      <c r="F21" s="2844"/>
      <c r="G21" s="2844"/>
      <c r="H21" s="2844"/>
    </row>
    <row r="22" spans="1:8" x14ac:dyDescent="0.2">
      <c r="A22" s="2849"/>
      <c r="B22" s="2849"/>
      <c r="C22" s="2849"/>
      <c r="D22" s="2849"/>
      <c r="E22" s="2849"/>
      <c r="F22" s="2849"/>
      <c r="G22" s="2849"/>
      <c r="H22" s="2849"/>
    </row>
    <row r="23" spans="1:8" x14ac:dyDescent="0.2">
      <c r="A23" s="2850" t="s">
        <v>1044</v>
      </c>
      <c r="B23" s="2849"/>
      <c r="C23" s="2849"/>
      <c r="D23" s="2849"/>
      <c r="E23" s="2849"/>
      <c r="F23" s="2849"/>
      <c r="G23" s="2849"/>
      <c r="H23" s="2849"/>
    </row>
    <row r="24" spans="1:8" x14ac:dyDescent="0.2">
      <c r="A24" s="2850" t="s">
        <v>1045</v>
      </c>
      <c r="B24" s="2849"/>
      <c r="C24" s="2849"/>
      <c r="D24" s="2849"/>
      <c r="E24" s="2849"/>
      <c r="F24" s="2849"/>
      <c r="G24" s="2849"/>
      <c r="H24" s="2849"/>
    </row>
    <row r="25" spans="1:8" x14ac:dyDescent="0.2">
      <c r="A25" s="2850" t="s">
        <v>1046</v>
      </c>
      <c r="B25" s="2849"/>
      <c r="C25" s="2849"/>
      <c r="D25" s="2849"/>
      <c r="E25" s="2849"/>
      <c r="F25" s="2849"/>
      <c r="G25" s="2849"/>
      <c r="H25" s="2849"/>
    </row>
    <row r="26" spans="1:8" x14ac:dyDescent="0.2">
      <c r="A26" s="2850" t="s">
        <v>1047</v>
      </c>
      <c r="B26" s="2849"/>
      <c r="C26" s="2849"/>
      <c r="D26" s="2849"/>
      <c r="E26" s="2849"/>
      <c r="F26" s="2849"/>
      <c r="G26" s="2849"/>
      <c r="H26" s="2849"/>
    </row>
    <row r="27" spans="1:8" x14ac:dyDescent="0.2">
      <c r="A27" s="2849"/>
      <c r="B27" s="2849"/>
      <c r="C27" s="2849"/>
      <c r="D27" s="2849"/>
      <c r="E27" s="2849"/>
      <c r="F27" s="2849"/>
      <c r="G27" s="2849"/>
      <c r="H27" s="2849"/>
    </row>
    <row r="28" spans="1:8" x14ac:dyDescent="0.2">
      <c r="A28" s="2849"/>
      <c r="B28" s="2849"/>
      <c r="C28" s="2849"/>
      <c r="D28" s="2849"/>
      <c r="E28" s="2849"/>
      <c r="F28" s="2849"/>
      <c r="G28" s="2849"/>
      <c r="H28" s="2849"/>
    </row>
    <row r="29" spans="1:8" x14ac:dyDescent="0.2">
      <c r="A29" s="2850" t="s">
        <v>1039</v>
      </c>
      <c r="B29" s="2849"/>
      <c r="C29" s="2849"/>
      <c r="D29" s="2849"/>
      <c r="E29" s="2849"/>
      <c r="F29" s="2849"/>
      <c r="G29" s="2849"/>
      <c r="H29" s="2849"/>
    </row>
    <row r="30" spans="1:8" x14ac:dyDescent="0.2">
      <c r="A30" s="2850" t="s">
        <v>1040</v>
      </c>
      <c r="B30" s="2849"/>
      <c r="C30" s="2849"/>
      <c r="D30" s="2849"/>
      <c r="E30" s="2849"/>
      <c r="F30" s="2849"/>
      <c r="G30" s="2849"/>
      <c r="H30" s="2849"/>
    </row>
    <row r="31" spans="1:8" x14ac:dyDescent="0.2">
      <c r="A31" s="2850" t="s">
        <v>1041</v>
      </c>
      <c r="B31" s="2849"/>
      <c r="C31" s="2849"/>
      <c r="D31" s="2849"/>
      <c r="E31" s="2849"/>
      <c r="F31" s="2849"/>
      <c r="G31" s="2849"/>
      <c r="H31" s="2849"/>
    </row>
    <row r="32" spans="1:8" x14ac:dyDescent="0.2">
      <c r="A32" s="2850" t="s">
        <v>1042</v>
      </c>
      <c r="B32" s="2849"/>
      <c r="C32" s="2849"/>
      <c r="D32" s="2849"/>
      <c r="E32" s="2849"/>
      <c r="F32" s="2849"/>
      <c r="G32" s="2849"/>
      <c r="H32" s="2849"/>
    </row>
    <row r="33" spans="1:8" x14ac:dyDescent="0.2">
      <c r="A33" s="2850" t="s">
        <v>1043</v>
      </c>
      <c r="B33" s="2849"/>
      <c r="C33" s="2849"/>
      <c r="D33" s="2849"/>
      <c r="E33" s="2849"/>
      <c r="F33" s="2849"/>
      <c r="G33" s="2849"/>
      <c r="H33" s="2849"/>
    </row>
    <row r="34" spans="1:8" x14ac:dyDescent="0.2">
      <c r="A34" s="2849"/>
      <c r="B34" s="2849"/>
      <c r="C34" s="2849"/>
      <c r="D34" s="2849"/>
      <c r="E34" s="2849"/>
      <c r="F34" s="2849"/>
      <c r="G34" s="2849"/>
      <c r="H34" s="2849"/>
    </row>
    <row r="35" spans="1:8" x14ac:dyDescent="0.2">
      <c r="A35" s="2850" t="s">
        <v>1035</v>
      </c>
      <c r="B35" s="2849"/>
      <c r="C35" s="2849"/>
      <c r="D35" s="2849"/>
      <c r="E35" s="2849"/>
      <c r="F35" s="2849"/>
      <c r="G35" s="2849"/>
      <c r="H35" s="2849"/>
    </row>
    <row r="36" spans="1:8" x14ac:dyDescent="0.2">
      <c r="A36" s="2850" t="s">
        <v>1036</v>
      </c>
      <c r="B36" s="2849"/>
      <c r="C36" s="2849"/>
      <c r="D36" s="2849"/>
      <c r="E36" s="2849"/>
      <c r="F36" s="2849"/>
      <c r="G36" s="2849"/>
      <c r="H36" s="2849"/>
    </row>
    <row r="37" spans="1:8" x14ac:dyDescent="0.2">
      <c r="A37" s="2850" t="s">
        <v>1037</v>
      </c>
      <c r="B37" s="2849"/>
      <c r="C37" s="2849"/>
      <c r="D37" s="2849"/>
      <c r="E37" s="2849"/>
      <c r="F37" s="2849"/>
      <c r="G37" s="2849"/>
      <c r="H37" s="2849"/>
    </row>
    <row r="38" spans="1:8" x14ac:dyDescent="0.2">
      <c r="A38" s="2850" t="s">
        <v>1038</v>
      </c>
      <c r="B38" s="2849"/>
      <c r="C38" s="2849"/>
      <c r="D38" s="2849"/>
      <c r="E38" s="2849"/>
      <c r="F38" s="2849"/>
      <c r="G38" s="2849"/>
      <c r="H38" s="2849"/>
    </row>
    <row r="39" spans="1:8" x14ac:dyDescent="0.2">
      <c r="A39" s="2849"/>
      <c r="B39" s="2849"/>
      <c r="C39" s="2849"/>
      <c r="D39" s="2849"/>
      <c r="E39" s="2849"/>
      <c r="F39" s="2849"/>
      <c r="G39" s="2849"/>
      <c r="H39" s="2849"/>
    </row>
    <row r="40" spans="1:8" x14ac:dyDescent="0.2">
      <c r="A40" s="2850" t="s">
        <v>1029</v>
      </c>
      <c r="B40" s="2849"/>
      <c r="C40" s="2849"/>
      <c r="D40" s="2849"/>
      <c r="E40" s="2849"/>
      <c r="F40" s="2849"/>
      <c r="G40" s="2849"/>
      <c r="H40" s="2849"/>
    </row>
    <row r="41" spans="1:8" x14ac:dyDescent="0.2">
      <c r="A41" s="2850" t="s">
        <v>1030</v>
      </c>
      <c r="B41" s="2849"/>
      <c r="C41" s="2849"/>
      <c r="D41" s="2849"/>
      <c r="E41" s="2849"/>
      <c r="F41" s="2849"/>
      <c r="G41" s="2849"/>
      <c r="H41" s="2849"/>
    </row>
    <row r="42" spans="1:8" x14ac:dyDescent="0.2">
      <c r="A42" s="2850" t="s">
        <v>1031</v>
      </c>
      <c r="B42" s="2849"/>
      <c r="C42" s="2849"/>
      <c r="D42" s="2849"/>
      <c r="E42" s="2849"/>
      <c r="F42" s="2849"/>
      <c r="G42" s="2849"/>
      <c r="H42" s="2849"/>
    </row>
    <row r="43" spans="1:8" x14ac:dyDescent="0.2">
      <c r="A43" s="2850" t="s">
        <v>1032</v>
      </c>
      <c r="B43" s="2849"/>
      <c r="C43" s="2849"/>
      <c r="D43" s="2849"/>
      <c r="E43" s="2849"/>
      <c r="F43" s="2849"/>
      <c r="G43" s="2849"/>
      <c r="H43" s="2849"/>
    </row>
    <row r="44" spans="1:8" x14ac:dyDescent="0.2">
      <c r="A44" s="2850" t="s">
        <v>1033</v>
      </c>
      <c r="B44" s="2849"/>
      <c r="C44" s="2849"/>
      <c r="D44" s="2849"/>
      <c r="E44" s="2849"/>
      <c r="F44" s="2849"/>
      <c r="G44" s="2849"/>
      <c r="H44" s="2849"/>
    </row>
    <row r="45" spans="1:8" x14ac:dyDescent="0.2">
      <c r="A45" s="2850" t="s">
        <v>1034</v>
      </c>
      <c r="B45" s="2849"/>
      <c r="C45" s="2849"/>
      <c r="D45" s="2849"/>
      <c r="E45" s="2849"/>
      <c r="F45" s="2849"/>
      <c r="G45" s="2849"/>
      <c r="H45" s="2849"/>
    </row>
    <row r="46" spans="1:8" x14ac:dyDescent="0.2">
      <c r="A46" s="2849"/>
      <c r="B46" s="2849"/>
      <c r="C46" s="2849"/>
      <c r="D46" s="2849"/>
      <c r="E46" s="2849"/>
      <c r="F46" s="2849"/>
      <c r="G46" s="2849"/>
      <c r="H46" s="2849"/>
    </row>
    <row r="47" spans="1:8" ht="15.75" x14ac:dyDescent="0.2">
      <c r="A47" s="2851" t="s">
        <v>771</v>
      </c>
      <c r="B47" s="2849"/>
      <c r="C47" s="2849"/>
      <c r="D47" s="2849"/>
      <c r="E47" s="2849"/>
      <c r="F47" s="2849"/>
      <c r="G47" s="2849"/>
      <c r="H47" s="2849"/>
    </row>
    <row r="48" spans="1:8" x14ac:dyDescent="0.2">
      <c r="A48" s="2849"/>
      <c r="B48" s="2849"/>
      <c r="C48" s="2849"/>
      <c r="D48" s="2849"/>
      <c r="E48" s="2849"/>
      <c r="F48" s="2849"/>
      <c r="G48" s="2849"/>
      <c r="H48" s="2849"/>
    </row>
    <row r="49" spans="1:8" x14ac:dyDescent="0.2">
      <c r="A49" s="2850" t="s">
        <v>1025</v>
      </c>
      <c r="B49" s="2849"/>
      <c r="C49" s="2849"/>
      <c r="D49" s="2849"/>
      <c r="E49" s="2849"/>
      <c r="F49" s="2849"/>
      <c r="G49" s="2849"/>
      <c r="H49" s="2849"/>
    </row>
    <row r="50" spans="1:8" x14ac:dyDescent="0.2">
      <c r="A50" s="2850" t="s">
        <v>1026</v>
      </c>
      <c r="B50" s="2849"/>
      <c r="C50" s="2849"/>
      <c r="D50" s="2849"/>
      <c r="E50" s="2849"/>
      <c r="F50" s="2849"/>
      <c r="G50" s="2849"/>
      <c r="H50" s="2849"/>
    </row>
    <row r="51" spans="1:8" x14ac:dyDescent="0.2">
      <c r="A51" s="2850" t="s">
        <v>1027</v>
      </c>
      <c r="B51" s="2849"/>
      <c r="C51" s="2849"/>
      <c r="D51" s="2849"/>
      <c r="E51" s="2849"/>
      <c r="F51" s="2849"/>
      <c r="G51" s="2849"/>
      <c r="H51" s="2849"/>
    </row>
    <row r="52" spans="1:8" x14ac:dyDescent="0.2">
      <c r="A52" s="2850" t="s">
        <v>1028</v>
      </c>
      <c r="B52" s="2849"/>
      <c r="C52" s="2849"/>
      <c r="D52" s="2849"/>
      <c r="E52" s="2849"/>
      <c r="F52" s="2849"/>
      <c r="G52" s="2849"/>
      <c r="H52" s="2849"/>
    </row>
    <row r="53" spans="1:8" x14ac:dyDescent="0.2">
      <c r="A53" s="2849"/>
      <c r="B53" s="2849"/>
      <c r="C53" s="2849"/>
      <c r="D53" s="2849"/>
      <c r="E53" s="2849"/>
      <c r="F53" s="2849"/>
      <c r="G53" s="2849"/>
      <c r="H53" s="2849"/>
    </row>
    <row r="54" spans="1:8" x14ac:dyDescent="0.2">
      <c r="A54" s="2850" t="s">
        <v>772</v>
      </c>
      <c r="B54" s="2849"/>
      <c r="C54" s="2849"/>
      <c r="D54" s="2849"/>
      <c r="E54" s="2849"/>
      <c r="F54" s="2849"/>
      <c r="G54" s="2849"/>
      <c r="H54" s="2849"/>
    </row>
    <row r="55" spans="1:8" x14ac:dyDescent="0.2">
      <c r="A55" s="2849"/>
      <c r="B55" s="2849"/>
      <c r="C55" s="2849"/>
      <c r="D55" s="2849"/>
      <c r="E55" s="2849"/>
      <c r="F55" s="2849"/>
      <c r="G55" s="2849"/>
      <c r="H55" s="2849"/>
    </row>
    <row r="56" spans="1:8" ht="15.75" x14ac:dyDescent="0.2">
      <c r="A56" s="2851" t="s">
        <v>773</v>
      </c>
      <c r="B56" s="2849"/>
      <c r="C56" s="2849"/>
      <c r="D56" s="2849"/>
      <c r="E56" s="2849"/>
      <c r="F56" s="2849"/>
      <c r="G56" s="2849"/>
      <c r="H56" s="2849"/>
    </row>
    <row r="57" spans="1:8" x14ac:dyDescent="0.2">
      <c r="A57" s="2849"/>
      <c r="B57" s="2849"/>
      <c r="C57" s="2849"/>
      <c r="D57" s="2849"/>
      <c r="E57" s="2849"/>
      <c r="F57" s="2849"/>
      <c r="G57" s="2849"/>
      <c r="H57" s="2849"/>
    </row>
    <row r="58" spans="1:8" x14ac:dyDescent="0.2">
      <c r="A58" s="2850" t="s">
        <v>1023</v>
      </c>
      <c r="B58" s="2849"/>
      <c r="C58" s="2849"/>
      <c r="D58" s="2849"/>
      <c r="E58" s="2849"/>
      <c r="F58" s="2849"/>
      <c r="G58" s="2849"/>
      <c r="H58" s="2849"/>
    </row>
    <row r="59" spans="1:8" x14ac:dyDescent="0.2">
      <c r="A59" s="2850" t="s">
        <v>1024</v>
      </c>
      <c r="B59" s="2849"/>
      <c r="C59" s="2849"/>
      <c r="D59" s="2849"/>
      <c r="E59" s="2849"/>
      <c r="F59" s="2849"/>
      <c r="G59" s="2849"/>
      <c r="H59" s="2849"/>
    </row>
    <row r="60" spans="1:8" x14ac:dyDescent="0.2">
      <c r="A60" s="2849"/>
      <c r="B60" s="2849"/>
      <c r="C60" s="2849"/>
      <c r="D60" s="2849"/>
      <c r="E60" s="2849"/>
      <c r="F60" s="2849"/>
      <c r="G60" s="2849"/>
      <c r="H60" s="2849"/>
    </row>
    <row r="61" spans="1:8" ht="15.75" x14ac:dyDescent="0.2">
      <c r="A61" s="2851" t="s">
        <v>774</v>
      </c>
      <c r="B61" s="2849"/>
      <c r="C61" s="2849"/>
      <c r="D61" s="2849"/>
      <c r="E61" s="2849"/>
      <c r="F61" s="2849"/>
      <c r="G61" s="2849"/>
      <c r="H61" s="2849"/>
    </row>
    <row r="62" spans="1:8" x14ac:dyDescent="0.2">
      <c r="A62" s="2849"/>
      <c r="B62" s="2849"/>
      <c r="C62" s="2849"/>
      <c r="D62" s="2849"/>
      <c r="E62" s="2849"/>
      <c r="F62" s="2849"/>
      <c r="G62" s="2849"/>
      <c r="H62" s="2849"/>
    </row>
    <row r="63" spans="1:8" x14ac:dyDescent="0.2">
      <c r="A63" s="2850" t="s">
        <v>1021</v>
      </c>
      <c r="B63" s="2849"/>
      <c r="C63" s="2849"/>
      <c r="D63" s="2849"/>
      <c r="E63" s="2849"/>
      <c r="F63" s="2849"/>
      <c r="G63" s="2849"/>
      <c r="H63" s="2849"/>
    </row>
    <row r="64" spans="1:8" x14ac:dyDescent="0.2">
      <c r="A64" s="2850" t="s">
        <v>1022</v>
      </c>
      <c r="B64" s="2849"/>
      <c r="C64" s="2849"/>
      <c r="D64" s="2849"/>
      <c r="E64" s="2849"/>
      <c r="F64" s="2849"/>
      <c r="G64" s="2849"/>
      <c r="H64" s="2849"/>
    </row>
    <row r="65" spans="1:8" x14ac:dyDescent="0.2">
      <c r="A65" s="2849"/>
      <c r="B65" s="2849"/>
      <c r="C65" s="2849"/>
      <c r="D65" s="2849"/>
      <c r="E65" s="2849"/>
      <c r="F65" s="2849"/>
      <c r="G65" s="2849"/>
      <c r="H65" s="2849"/>
    </row>
    <row r="66" spans="1:8" x14ac:dyDescent="0.2">
      <c r="A66" s="2850" t="s">
        <v>1019</v>
      </c>
      <c r="B66" s="2849"/>
      <c r="C66" s="2849"/>
      <c r="D66" s="2849"/>
      <c r="E66" s="2849"/>
      <c r="F66" s="2849"/>
      <c r="G66" s="2849"/>
      <c r="H66" s="2849"/>
    </row>
    <row r="67" spans="1:8" x14ac:dyDescent="0.2">
      <c r="A67" s="2850" t="s">
        <v>1020</v>
      </c>
      <c r="B67" s="2849"/>
      <c r="C67" s="2849"/>
      <c r="D67" s="2849"/>
      <c r="E67" s="2849"/>
      <c r="F67" s="2849"/>
      <c r="G67" s="2849"/>
      <c r="H67" s="2849"/>
    </row>
    <row r="68" spans="1:8" x14ac:dyDescent="0.2">
      <c r="A68" s="2849"/>
      <c r="B68" s="2849"/>
      <c r="C68" s="2849"/>
      <c r="D68" s="2849"/>
      <c r="E68" s="2849"/>
      <c r="F68" s="2849"/>
      <c r="G68" s="2849"/>
      <c r="H68" s="2849"/>
    </row>
    <row r="69" spans="1:8" x14ac:dyDescent="0.2">
      <c r="A69" s="2850" t="s">
        <v>775</v>
      </c>
      <c r="B69" s="2849"/>
      <c r="C69" s="2849"/>
      <c r="D69" s="2849"/>
      <c r="E69" s="2849"/>
      <c r="F69" s="2849"/>
      <c r="G69" s="2849"/>
      <c r="H69" s="2849"/>
    </row>
    <row r="70" spans="1:8" x14ac:dyDescent="0.2">
      <c r="A70" s="2849"/>
      <c r="B70" s="2849"/>
      <c r="C70" s="2849"/>
      <c r="D70" s="2849"/>
      <c r="E70" s="2849"/>
      <c r="F70" s="2849"/>
      <c r="G70" s="2849"/>
      <c r="H70" s="2849"/>
    </row>
    <row r="71" spans="1:8" x14ac:dyDescent="0.2">
      <c r="A71" s="2850" t="s">
        <v>1014</v>
      </c>
      <c r="B71" s="2849"/>
      <c r="C71" s="2849"/>
      <c r="D71" s="2849"/>
      <c r="E71" s="2849"/>
      <c r="F71" s="2849"/>
      <c r="G71" s="2849"/>
      <c r="H71" s="2849"/>
    </row>
    <row r="72" spans="1:8" x14ac:dyDescent="0.2">
      <c r="A72" s="2850" t="s">
        <v>1015</v>
      </c>
      <c r="B72" s="2849"/>
      <c r="C72" s="2849"/>
      <c r="D72" s="2849"/>
      <c r="E72" s="2849"/>
      <c r="F72" s="2849"/>
      <c r="G72" s="2849"/>
      <c r="H72" s="2849"/>
    </row>
    <row r="73" spans="1:8" x14ac:dyDescent="0.2">
      <c r="A73" s="2850" t="s">
        <v>1016</v>
      </c>
      <c r="B73" s="2849"/>
      <c r="C73" s="2849"/>
      <c r="D73" s="2849"/>
      <c r="E73" s="2849"/>
      <c r="F73" s="2849"/>
      <c r="G73" s="2849"/>
      <c r="H73" s="2849"/>
    </row>
    <row r="74" spans="1:8" x14ac:dyDescent="0.2">
      <c r="A74" s="2850" t="s">
        <v>1017</v>
      </c>
      <c r="B74" s="2849"/>
      <c r="C74" s="2849"/>
      <c r="D74" s="2849"/>
      <c r="E74" s="2849"/>
      <c r="F74" s="2849"/>
      <c r="G74" s="2849"/>
      <c r="H74" s="2849"/>
    </row>
    <row r="75" spans="1:8" x14ac:dyDescent="0.2">
      <c r="A75" s="2850" t="s">
        <v>1018</v>
      </c>
      <c r="B75" s="2849"/>
      <c r="C75" s="2849"/>
      <c r="D75" s="2849"/>
      <c r="E75" s="2849"/>
      <c r="F75" s="2849"/>
      <c r="G75" s="2849"/>
      <c r="H75" s="2849"/>
    </row>
    <row r="76" spans="1:8" x14ac:dyDescent="0.2">
      <c r="A76" s="2850" t="s">
        <v>901</v>
      </c>
      <c r="B76" s="2849"/>
      <c r="C76" s="2849"/>
      <c r="D76" s="2849"/>
      <c r="E76" s="2849"/>
      <c r="F76" s="2849"/>
      <c r="G76" s="2849"/>
      <c r="H76" s="2849"/>
    </row>
    <row r="77" spans="1:8" x14ac:dyDescent="0.2">
      <c r="A77" s="2849"/>
      <c r="B77" s="2849"/>
      <c r="C77" s="2849"/>
      <c r="D77" s="2849"/>
      <c r="E77" s="2849"/>
      <c r="F77" s="2849"/>
      <c r="G77" s="2849"/>
      <c r="H77" s="2849"/>
    </row>
    <row r="78" spans="1:8" x14ac:dyDescent="0.2">
      <c r="A78" s="2850" t="s">
        <v>1007</v>
      </c>
      <c r="B78" s="2849"/>
      <c r="C78" s="2849"/>
      <c r="D78" s="2849"/>
      <c r="E78" s="2849"/>
      <c r="F78" s="2849"/>
      <c r="G78" s="2849"/>
      <c r="H78" s="2849"/>
    </row>
    <row r="79" spans="1:8" x14ac:dyDescent="0.2">
      <c r="A79" s="2850" t="s">
        <v>1008</v>
      </c>
      <c r="B79" s="2849"/>
      <c r="C79" s="2849"/>
      <c r="D79" s="2849"/>
      <c r="E79" s="2849"/>
      <c r="F79" s="2849"/>
      <c r="G79" s="2849"/>
      <c r="H79" s="2849"/>
    </row>
    <row r="80" spans="1:8" x14ac:dyDescent="0.2">
      <c r="A80" s="2850" t="s">
        <v>1009</v>
      </c>
      <c r="B80" s="2849"/>
      <c r="C80" s="2849"/>
      <c r="D80" s="2849"/>
      <c r="E80" s="2849"/>
      <c r="F80" s="2849"/>
      <c r="G80" s="2849"/>
      <c r="H80" s="2849"/>
    </row>
    <row r="81" spans="1:8" x14ac:dyDescent="0.2">
      <c r="A81" s="2850" t="s">
        <v>1010</v>
      </c>
      <c r="B81" s="2849"/>
      <c r="C81" s="2849"/>
      <c r="D81" s="2849"/>
      <c r="E81" s="2849"/>
      <c r="F81" s="2849"/>
      <c r="G81" s="2849"/>
      <c r="H81" s="2849"/>
    </row>
    <row r="82" spans="1:8" x14ac:dyDescent="0.2">
      <c r="A82" s="2850" t="s">
        <v>1011</v>
      </c>
      <c r="B82" s="2849"/>
      <c r="C82" s="2849"/>
      <c r="D82" s="2849"/>
      <c r="E82" s="2849"/>
      <c r="F82" s="2849"/>
      <c r="G82" s="2849"/>
      <c r="H82" s="2849"/>
    </row>
    <row r="83" spans="1:8" x14ac:dyDescent="0.2">
      <c r="A83" s="2850" t="s">
        <v>1012</v>
      </c>
      <c r="B83" s="2849"/>
      <c r="C83" s="2849"/>
      <c r="D83" s="2849"/>
      <c r="E83" s="2849"/>
      <c r="F83" s="2849"/>
      <c r="G83" s="2849"/>
      <c r="H83" s="2849"/>
    </row>
    <row r="84" spans="1:8" x14ac:dyDescent="0.2">
      <c r="A84" s="2850" t="s">
        <v>1013</v>
      </c>
      <c r="B84" s="2849"/>
      <c r="C84" s="2849"/>
      <c r="D84" s="2849"/>
      <c r="E84" s="2849"/>
      <c r="F84" s="2849"/>
      <c r="G84" s="2849"/>
      <c r="H84" s="2849"/>
    </row>
    <row r="85" spans="1:8" x14ac:dyDescent="0.2">
      <c r="A85" s="2849"/>
      <c r="B85" s="2849"/>
      <c r="C85" s="2849"/>
      <c r="D85" s="2849"/>
      <c r="E85" s="2849"/>
      <c r="F85" s="2849"/>
      <c r="G85" s="2849"/>
      <c r="H85" s="2849"/>
    </row>
    <row r="86" spans="1:8" x14ac:dyDescent="0.2">
      <c r="A86" s="2850" t="s">
        <v>1005</v>
      </c>
      <c r="B86" s="2849"/>
      <c r="C86" s="2849"/>
      <c r="D86" s="2849"/>
      <c r="E86" s="2849"/>
      <c r="F86" s="2849"/>
      <c r="G86" s="2849"/>
      <c r="H86" s="2849"/>
    </row>
    <row r="87" spans="1:8" x14ac:dyDescent="0.2">
      <c r="A87" s="2850" t="s">
        <v>1006</v>
      </c>
      <c r="B87" s="2849"/>
      <c r="C87" s="2849"/>
      <c r="D87" s="2849"/>
      <c r="E87" s="2849"/>
      <c r="F87" s="2849"/>
      <c r="G87" s="2849"/>
      <c r="H87" s="2849"/>
    </row>
    <row r="88" spans="1:8" x14ac:dyDescent="0.2">
      <c r="A88" s="2849"/>
      <c r="B88" s="2849"/>
      <c r="C88" s="2849"/>
      <c r="D88" s="2849"/>
      <c r="E88" s="2849"/>
      <c r="F88" s="2849"/>
      <c r="G88" s="2849"/>
      <c r="H88" s="2849"/>
    </row>
    <row r="89" spans="1:8" ht="15.75" x14ac:dyDescent="0.2">
      <c r="A89" s="2851" t="s">
        <v>776</v>
      </c>
      <c r="B89" s="2849"/>
      <c r="C89" s="2849"/>
      <c r="D89" s="2849"/>
      <c r="E89" s="2849"/>
      <c r="F89" s="2849"/>
      <c r="G89" s="2849"/>
      <c r="H89" s="2849"/>
    </row>
    <row r="90" spans="1:8" x14ac:dyDescent="0.2">
      <c r="A90" s="2849"/>
      <c r="B90" s="2849"/>
      <c r="C90" s="2849"/>
      <c r="D90" s="2849"/>
      <c r="E90" s="2849"/>
      <c r="F90" s="2849"/>
      <c r="G90" s="2849"/>
      <c r="H90" s="2849"/>
    </row>
    <row r="91" spans="1:8" x14ac:dyDescent="0.2">
      <c r="A91" s="2850" t="s">
        <v>996</v>
      </c>
      <c r="B91" s="2849"/>
      <c r="C91" s="2849"/>
      <c r="D91" s="2849"/>
      <c r="E91" s="2849"/>
      <c r="F91" s="2849"/>
      <c r="G91" s="2849"/>
      <c r="H91" s="2849"/>
    </row>
    <row r="92" spans="1:8" x14ac:dyDescent="0.2">
      <c r="A92" s="2850" t="s">
        <v>997</v>
      </c>
      <c r="B92" s="2849"/>
      <c r="C92" s="2849"/>
      <c r="D92" s="2849"/>
      <c r="E92" s="2849"/>
      <c r="F92" s="2849"/>
      <c r="G92" s="2849"/>
      <c r="H92" s="2849"/>
    </row>
    <row r="93" spans="1:8" x14ac:dyDescent="0.2">
      <c r="A93" s="2850" t="s">
        <v>998</v>
      </c>
      <c r="B93" s="2849"/>
      <c r="C93" s="2849"/>
      <c r="D93" s="2849"/>
      <c r="E93" s="2849"/>
      <c r="F93" s="2849"/>
      <c r="G93" s="2849"/>
      <c r="H93" s="2849"/>
    </row>
    <row r="94" spans="1:8" x14ac:dyDescent="0.2">
      <c r="A94" s="2850" t="s">
        <v>999</v>
      </c>
      <c r="B94" s="2849"/>
      <c r="C94" s="2849"/>
      <c r="D94" s="2849"/>
      <c r="E94" s="2849"/>
      <c r="F94" s="2849"/>
      <c r="G94" s="2849"/>
      <c r="H94" s="2849"/>
    </row>
    <row r="95" spans="1:8" x14ac:dyDescent="0.2">
      <c r="A95" s="2850" t="s">
        <v>1000</v>
      </c>
      <c r="B95" s="2849"/>
      <c r="C95" s="2849"/>
      <c r="D95" s="2849"/>
      <c r="E95" s="2849"/>
      <c r="F95" s="2849"/>
      <c r="G95" s="2849"/>
      <c r="H95" s="2849"/>
    </row>
    <row r="96" spans="1:8" x14ac:dyDescent="0.2">
      <c r="A96" s="2850" t="s">
        <v>1001</v>
      </c>
      <c r="B96" s="2849"/>
      <c r="C96" s="2849"/>
      <c r="D96" s="2849"/>
      <c r="E96" s="2849"/>
      <c r="F96" s="2849"/>
      <c r="G96" s="2849"/>
      <c r="H96" s="2849"/>
    </row>
    <row r="97" spans="1:8" x14ac:dyDescent="0.2">
      <c r="A97" s="2850" t="s">
        <v>1002</v>
      </c>
      <c r="B97" s="2849"/>
      <c r="C97" s="2849"/>
      <c r="D97" s="2849"/>
      <c r="E97" s="2849"/>
      <c r="F97" s="2849"/>
      <c r="G97" s="2849"/>
      <c r="H97" s="2849"/>
    </row>
    <row r="98" spans="1:8" x14ac:dyDescent="0.2">
      <c r="A98" s="2850" t="s">
        <v>1003</v>
      </c>
      <c r="B98" s="2849"/>
      <c r="C98" s="2849"/>
      <c r="D98" s="2849"/>
      <c r="E98" s="2849"/>
      <c r="F98" s="2849"/>
      <c r="G98" s="2849"/>
      <c r="H98" s="2849"/>
    </row>
    <row r="99" spans="1:8" x14ac:dyDescent="0.2">
      <c r="A99" s="2850" t="s">
        <v>1004</v>
      </c>
      <c r="B99" s="2849"/>
      <c r="C99" s="2849"/>
      <c r="D99" s="2849"/>
      <c r="E99" s="2849"/>
      <c r="F99" s="2849"/>
      <c r="G99" s="2849"/>
      <c r="H99" s="2849"/>
    </row>
    <row r="100" spans="1:8" x14ac:dyDescent="0.2">
      <c r="A100" s="2849"/>
      <c r="B100" s="2849"/>
      <c r="C100" s="2849"/>
      <c r="D100" s="2849"/>
      <c r="E100" s="2849"/>
      <c r="F100" s="2849"/>
      <c r="G100" s="2849"/>
      <c r="H100" s="2849"/>
    </row>
    <row r="101" spans="1:8" ht="15.75" x14ac:dyDescent="0.2">
      <c r="A101" s="2852" t="s">
        <v>777</v>
      </c>
      <c r="B101" s="2852"/>
      <c r="C101" s="2852"/>
      <c r="D101" s="2852"/>
      <c r="E101" s="2852"/>
      <c r="F101" s="2852"/>
      <c r="G101" s="2852"/>
      <c r="H101" s="2852"/>
    </row>
    <row r="102" spans="1:8" x14ac:dyDescent="0.2">
      <c r="A102" s="2853" t="s">
        <v>778</v>
      </c>
      <c r="B102" s="2853"/>
      <c r="C102" s="2853"/>
      <c r="D102" s="2853"/>
      <c r="E102" s="2853"/>
      <c r="F102" s="2853"/>
      <c r="G102" s="2853"/>
      <c r="H102" s="2853"/>
    </row>
    <row r="103" spans="1:8" x14ac:dyDescent="0.2">
      <c r="A103" s="2854"/>
      <c r="B103" s="2854"/>
      <c r="C103" s="2854"/>
      <c r="D103" s="2854"/>
      <c r="E103" s="2854"/>
      <c r="F103" s="2854"/>
      <c r="G103" s="2854"/>
      <c r="H103" s="2854"/>
    </row>
    <row r="104" spans="1:8" x14ac:dyDescent="0.2">
      <c r="A104" s="2853" t="s">
        <v>994</v>
      </c>
      <c r="B104" s="2853"/>
      <c r="C104" s="2853"/>
      <c r="D104" s="2853"/>
      <c r="E104" s="2853"/>
      <c r="F104" s="2853"/>
      <c r="G104" s="2853"/>
      <c r="H104" s="2853"/>
    </row>
    <row r="105" spans="1:8" x14ac:dyDescent="0.2">
      <c r="A105" s="2850" t="s">
        <v>995</v>
      </c>
      <c r="B105" s="2850"/>
      <c r="C105" s="2850"/>
      <c r="D105" s="2850"/>
      <c r="E105" s="2850"/>
      <c r="F105" s="2850"/>
      <c r="G105" s="2850"/>
      <c r="H105" s="2850"/>
    </row>
    <row r="106" spans="1:8" x14ac:dyDescent="0.2">
      <c r="A106" s="2854"/>
      <c r="B106" s="2854"/>
      <c r="C106" s="2854"/>
      <c r="D106" s="2854"/>
      <c r="E106" s="2854"/>
      <c r="F106" s="2854"/>
      <c r="G106" s="2854"/>
      <c r="H106" s="2854"/>
    </row>
    <row r="107" spans="1:8" x14ac:dyDescent="0.2">
      <c r="A107" s="2853" t="s">
        <v>987</v>
      </c>
      <c r="B107" s="2853"/>
      <c r="C107" s="2853"/>
      <c r="D107" s="2853"/>
      <c r="E107" s="2853"/>
      <c r="F107" s="2853"/>
      <c r="G107" s="2853"/>
      <c r="H107" s="2853"/>
    </row>
    <row r="108" spans="1:8" x14ac:dyDescent="0.2">
      <c r="A108" s="2850" t="s">
        <v>988</v>
      </c>
      <c r="B108" s="2850"/>
      <c r="C108" s="2850"/>
      <c r="D108" s="2850"/>
      <c r="E108" s="2850"/>
      <c r="F108" s="2850"/>
      <c r="G108" s="2850"/>
      <c r="H108" s="2850"/>
    </row>
    <row r="109" spans="1:8" x14ac:dyDescent="0.2">
      <c r="A109" s="2850" t="s">
        <v>989</v>
      </c>
      <c r="B109" s="2850"/>
      <c r="C109" s="2850"/>
      <c r="D109" s="2850"/>
      <c r="E109" s="2850"/>
      <c r="F109" s="2850"/>
      <c r="G109" s="2850"/>
      <c r="H109" s="2850"/>
    </row>
    <row r="110" spans="1:8" x14ac:dyDescent="0.2">
      <c r="A110" s="2850" t="s">
        <v>990</v>
      </c>
      <c r="B110" s="2850"/>
      <c r="C110" s="2850"/>
      <c r="D110" s="2850"/>
      <c r="E110" s="2850"/>
      <c r="F110" s="2850"/>
      <c r="G110" s="2850"/>
      <c r="H110" s="2850"/>
    </row>
    <row r="111" spans="1:8" x14ac:dyDescent="0.2">
      <c r="A111" s="2850" t="s">
        <v>991</v>
      </c>
      <c r="B111" s="2850"/>
      <c r="C111" s="2850"/>
      <c r="D111" s="2850"/>
      <c r="E111" s="2850"/>
      <c r="F111" s="2850"/>
      <c r="G111" s="2850"/>
      <c r="H111" s="2850"/>
    </row>
    <row r="112" spans="1:8" x14ac:dyDescent="0.2">
      <c r="A112" s="2850" t="s">
        <v>992</v>
      </c>
      <c r="B112" s="2850"/>
      <c r="C112" s="2850"/>
      <c r="D112" s="2850"/>
      <c r="E112" s="2850"/>
      <c r="F112" s="2850"/>
      <c r="G112" s="2850"/>
      <c r="H112" s="2850"/>
    </row>
    <row r="113" spans="1:8" x14ac:dyDescent="0.2">
      <c r="A113" s="2850" t="s">
        <v>993</v>
      </c>
      <c r="B113" s="2850"/>
      <c r="C113" s="2850"/>
      <c r="D113" s="2850"/>
      <c r="E113" s="2850"/>
      <c r="F113" s="2850"/>
      <c r="G113" s="2850"/>
      <c r="H113" s="2850"/>
    </row>
    <row r="114" spans="1:8" x14ac:dyDescent="0.2">
      <c r="A114" s="2855"/>
      <c r="B114" s="2855"/>
      <c r="C114" s="2855"/>
      <c r="D114" s="2855"/>
      <c r="E114" s="2855"/>
      <c r="F114" s="2855"/>
      <c r="G114" s="2855"/>
      <c r="H114" s="2855"/>
    </row>
    <row r="115" spans="1:8" x14ac:dyDescent="0.2">
      <c r="A115" s="2856"/>
      <c r="B115" s="2857" t="s">
        <v>779</v>
      </c>
      <c r="C115" s="2858"/>
      <c r="D115" s="2857" t="s">
        <v>780</v>
      </c>
      <c r="E115" s="2859"/>
      <c r="F115" s="2858"/>
      <c r="G115" s="2857" t="s">
        <v>781</v>
      </c>
      <c r="H115" s="2858"/>
    </row>
    <row r="116" spans="1:8" x14ac:dyDescent="0.2">
      <c r="A116" s="2856" t="s">
        <v>782</v>
      </c>
      <c r="B116" s="2856" t="s">
        <v>331</v>
      </c>
      <c r="C116" s="2856" t="s">
        <v>783</v>
      </c>
      <c r="D116" s="2856" t="s">
        <v>331</v>
      </c>
      <c r="E116" s="2856" t="s">
        <v>784</v>
      </c>
      <c r="F116" s="2856" t="s">
        <v>785</v>
      </c>
      <c r="G116" s="2856" t="s">
        <v>331</v>
      </c>
      <c r="H116" s="2856" t="s">
        <v>786</v>
      </c>
    </row>
    <row r="117" spans="1:8" x14ac:dyDescent="0.2">
      <c r="A117" s="2856" t="s">
        <v>787</v>
      </c>
      <c r="B117" s="2856">
        <v>1175</v>
      </c>
      <c r="C117" s="2860">
        <v>0.37</v>
      </c>
      <c r="D117" s="2856">
        <v>315</v>
      </c>
      <c r="E117" s="2860">
        <v>0.41</v>
      </c>
      <c r="F117" s="2860">
        <v>0.27</v>
      </c>
      <c r="G117" s="2856">
        <v>555</v>
      </c>
      <c r="H117" s="2860">
        <v>0.39</v>
      </c>
    </row>
    <row r="118" spans="1:8" x14ac:dyDescent="0.2">
      <c r="A118" s="2856" t="s">
        <v>788</v>
      </c>
      <c r="B118" s="2856">
        <v>1369</v>
      </c>
      <c r="C118" s="2860">
        <v>0.43</v>
      </c>
      <c r="D118" s="2856">
        <v>357</v>
      </c>
      <c r="E118" s="2860">
        <v>0.47</v>
      </c>
      <c r="F118" s="2860">
        <v>0.26</v>
      </c>
      <c r="G118" s="2856">
        <v>643</v>
      </c>
      <c r="H118" s="2860">
        <v>0.45</v>
      </c>
    </row>
    <row r="119" spans="1:8" x14ac:dyDescent="0.2">
      <c r="A119" s="2856" t="s">
        <v>789</v>
      </c>
      <c r="B119" s="2856">
        <v>53</v>
      </c>
      <c r="C119" s="2860">
        <v>0.02</v>
      </c>
      <c r="D119" s="2856">
        <v>5</v>
      </c>
      <c r="E119" s="2860">
        <v>0.01</v>
      </c>
      <c r="F119" s="2860">
        <v>0.09</v>
      </c>
      <c r="G119" s="2856">
        <v>7</v>
      </c>
      <c r="H119" s="2860">
        <v>0</v>
      </c>
    </row>
    <row r="120" spans="1:8" x14ac:dyDescent="0.2">
      <c r="A120" s="2856" t="s">
        <v>790</v>
      </c>
      <c r="B120" s="2856">
        <v>552</v>
      </c>
      <c r="C120" s="2860">
        <v>0.18</v>
      </c>
      <c r="D120" s="2856">
        <v>87</v>
      </c>
      <c r="E120" s="2860">
        <v>0.11</v>
      </c>
      <c r="F120" s="2860">
        <v>0.16</v>
      </c>
      <c r="G120" s="2856">
        <v>222</v>
      </c>
      <c r="H120" s="2860">
        <v>0.16</v>
      </c>
    </row>
    <row r="121" spans="1:8" x14ac:dyDescent="0.2">
      <c r="A121" s="2856" t="s">
        <v>457</v>
      </c>
      <c r="B121" s="2861">
        <v>3149</v>
      </c>
      <c r="C121" s="2856"/>
      <c r="D121" s="2856">
        <v>764</v>
      </c>
      <c r="E121" s="2856"/>
      <c r="F121" s="2856"/>
      <c r="G121" s="2856">
        <v>1427</v>
      </c>
      <c r="H121" s="2856"/>
    </row>
    <row r="122" spans="1:8" x14ac:dyDescent="0.2">
      <c r="A122" s="2862"/>
      <c r="B122" s="2862"/>
      <c r="C122" s="2862"/>
      <c r="D122" s="2862"/>
      <c r="E122" s="2862"/>
      <c r="F122" s="2862"/>
      <c r="G122" s="2862"/>
      <c r="H122" s="2862"/>
    </row>
    <row r="123" spans="1:8" x14ac:dyDescent="0.2">
      <c r="A123" s="2853" t="s">
        <v>983</v>
      </c>
      <c r="B123" s="2853"/>
      <c r="C123" s="2853"/>
      <c r="D123" s="2853"/>
      <c r="E123" s="2853"/>
      <c r="F123" s="2853"/>
      <c r="G123" s="2853"/>
      <c r="H123" s="2853"/>
    </row>
    <row r="124" spans="1:8" x14ac:dyDescent="0.2">
      <c r="A124" s="2850" t="s">
        <v>984</v>
      </c>
      <c r="B124" s="2850"/>
      <c r="C124" s="2850"/>
      <c r="D124" s="2850"/>
      <c r="E124" s="2850"/>
      <c r="F124" s="2850"/>
      <c r="G124" s="2850"/>
      <c r="H124" s="2850"/>
    </row>
    <row r="125" spans="1:8" x14ac:dyDescent="0.2">
      <c r="A125" s="2850" t="s">
        <v>985</v>
      </c>
      <c r="B125" s="2850"/>
      <c r="C125" s="2850"/>
      <c r="D125" s="2850"/>
      <c r="E125" s="2850"/>
      <c r="F125" s="2850"/>
      <c r="G125" s="2850"/>
      <c r="H125" s="2850"/>
    </row>
    <row r="126" spans="1:8" x14ac:dyDescent="0.2">
      <c r="A126" s="2850" t="s">
        <v>986</v>
      </c>
      <c r="B126" s="2850"/>
      <c r="C126" s="2850"/>
      <c r="D126" s="2850"/>
      <c r="E126" s="2850"/>
      <c r="F126" s="2850"/>
      <c r="G126" s="2850"/>
      <c r="H126" s="2850"/>
    </row>
    <row r="127" spans="1:8" x14ac:dyDescent="0.2">
      <c r="A127" s="2849"/>
      <c r="B127" s="2849"/>
      <c r="C127" s="2849"/>
      <c r="D127" s="2849"/>
      <c r="E127" s="2849"/>
      <c r="F127" s="2849"/>
      <c r="G127" s="2849"/>
      <c r="H127" s="2849"/>
    </row>
    <row r="128" spans="1:8" ht="15.75" x14ac:dyDescent="0.2">
      <c r="A128" s="2851" t="s">
        <v>791</v>
      </c>
      <c r="B128" s="2849"/>
      <c r="C128" s="2849"/>
      <c r="D128" s="2849"/>
      <c r="E128" s="2849"/>
      <c r="F128" s="2849"/>
      <c r="G128" s="2849"/>
      <c r="H128" s="2849"/>
    </row>
    <row r="129" spans="1:8" x14ac:dyDescent="0.2">
      <c r="A129" s="2849"/>
      <c r="B129" s="2849"/>
      <c r="C129" s="2849"/>
      <c r="D129" s="2849"/>
      <c r="E129" s="2849"/>
      <c r="F129" s="2849"/>
      <c r="G129" s="2849"/>
      <c r="H129" s="2849"/>
    </row>
    <row r="130" spans="1:8" x14ac:dyDescent="0.2">
      <c r="A130" s="2850" t="s">
        <v>981</v>
      </c>
      <c r="B130" s="2849"/>
      <c r="C130" s="2849"/>
      <c r="D130" s="2849"/>
      <c r="E130" s="2849"/>
      <c r="F130" s="2849"/>
      <c r="G130" s="2849"/>
      <c r="H130" s="2849"/>
    </row>
    <row r="131" spans="1:8" x14ac:dyDescent="0.2">
      <c r="A131" s="2850" t="s">
        <v>982</v>
      </c>
      <c r="B131" s="2849"/>
      <c r="C131" s="2849"/>
      <c r="D131" s="2849"/>
      <c r="E131" s="2849"/>
      <c r="F131" s="2849"/>
      <c r="G131" s="2849"/>
      <c r="H131" s="2849"/>
    </row>
    <row r="132" spans="1:8" x14ac:dyDescent="0.2">
      <c r="A132" s="2849"/>
      <c r="B132" s="2849"/>
      <c r="C132" s="2849"/>
      <c r="D132" s="2849"/>
      <c r="E132" s="2849"/>
      <c r="F132" s="2849"/>
      <c r="G132" s="2849"/>
      <c r="H132" s="2849"/>
    </row>
    <row r="133" spans="1:8" x14ac:dyDescent="0.2">
      <c r="A133" s="2850" t="s">
        <v>978</v>
      </c>
      <c r="B133" s="2849"/>
      <c r="C133" s="2849"/>
      <c r="D133" s="2849"/>
      <c r="E133" s="2849"/>
      <c r="F133" s="2849"/>
      <c r="G133" s="2849"/>
      <c r="H133" s="2849"/>
    </row>
    <row r="134" spans="1:8" x14ac:dyDescent="0.2">
      <c r="A134" s="2850" t="s">
        <v>979</v>
      </c>
      <c r="B134" s="2849"/>
      <c r="C134" s="2849"/>
      <c r="D134" s="2849"/>
      <c r="E134" s="2849"/>
      <c r="F134" s="2849"/>
      <c r="G134" s="2849"/>
      <c r="H134" s="2849"/>
    </row>
    <row r="135" spans="1:8" x14ac:dyDescent="0.2">
      <c r="A135" s="2850" t="s">
        <v>980</v>
      </c>
      <c r="B135" s="2849"/>
      <c r="C135" s="2849"/>
      <c r="D135" s="2849"/>
      <c r="E135" s="2849"/>
      <c r="F135" s="2849"/>
      <c r="G135" s="2849"/>
      <c r="H135" s="2849"/>
    </row>
    <row r="136" spans="1:8" x14ac:dyDescent="0.2">
      <c r="A136" s="2849"/>
      <c r="B136" s="2849"/>
      <c r="C136" s="2849"/>
      <c r="D136" s="2849"/>
      <c r="E136" s="2849"/>
      <c r="F136" s="2849"/>
      <c r="G136" s="2849"/>
      <c r="H136" s="2849"/>
    </row>
    <row r="137" spans="1:8" x14ac:dyDescent="0.2">
      <c r="A137" s="2850" t="s">
        <v>975</v>
      </c>
      <c r="B137" s="2849"/>
      <c r="C137" s="2849"/>
      <c r="D137" s="2849"/>
      <c r="E137" s="2849"/>
      <c r="F137" s="2849"/>
      <c r="G137" s="2849"/>
      <c r="H137" s="2849"/>
    </row>
    <row r="138" spans="1:8" x14ac:dyDescent="0.2">
      <c r="A138" s="2850" t="s">
        <v>976</v>
      </c>
      <c r="B138" s="2849"/>
      <c r="C138" s="2849"/>
      <c r="D138" s="2849"/>
      <c r="E138" s="2849"/>
      <c r="F138" s="2849"/>
      <c r="G138" s="2849"/>
      <c r="H138" s="2849"/>
    </row>
    <row r="139" spans="1:8" x14ac:dyDescent="0.2">
      <c r="A139" s="2850" t="s">
        <v>977</v>
      </c>
      <c r="B139" s="2849"/>
      <c r="C139" s="2849"/>
      <c r="D139" s="2849"/>
      <c r="E139" s="2849"/>
      <c r="F139" s="2849"/>
      <c r="G139" s="2849"/>
      <c r="H139" s="2849"/>
    </row>
    <row r="140" spans="1:8" x14ac:dyDescent="0.2">
      <c r="A140" s="2849"/>
      <c r="B140" s="2849"/>
      <c r="C140" s="2849"/>
      <c r="D140" s="2849"/>
      <c r="E140" s="2849"/>
      <c r="F140" s="2849"/>
      <c r="G140" s="2849"/>
      <c r="H140" s="2849"/>
    </row>
    <row r="141" spans="1:8" x14ac:dyDescent="0.2">
      <c r="A141" s="2850" t="s">
        <v>972</v>
      </c>
      <c r="B141" s="2849"/>
      <c r="C141" s="2849"/>
      <c r="D141" s="2849"/>
      <c r="E141" s="2849"/>
      <c r="F141" s="2849"/>
      <c r="G141" s="2849"/>
      <c r="H141" s="2849"/>
    </row>
    <row r="142" spans="1:8" x14ac:dyDescent="0.2">
      <c r="A142" s="2850" t="s">
        <v>973</v>
      </c>
      <c r="B142" s="2849"/>
      <c r="C142" s="2849"/>
      <c r="D142" s="2849"/>
      <c r="E142" s="2849"/>
      <c r="F142" s="2849"/>
      <c r="G142" s="2849"/>
      <c r="H142" s="2849"/>
    </row>
    <row r="143" spans="1:8" x14ac:dyDescent="0.2">
      <c r="A143" s="2850" t="s">
        <v>974</v>
      </c>
      <c r="B143" s="2849"/>
      <c r="C143" s="2849"/>
      <c r="D143" s="2849"/>
      <c r="E143" s="2849"/>
      <c r="F143" s="2849"/>
      <c r="G143" s="2849"/>
      <c r="H143" s="2849"/>
    </row>
    <row r="144" spans="1:8" x14ac:dyDescent="0.2">
      <c r="A144" s="2849"/>
      <c r="B144" s="2849"/>
      <c r="C144" s="2849"/>
      <c r="D144" s="2849"/>
      <c r="E144" s="2849"/>
      <c r="F144" s="2849"/>
      <c r="G144" s="2849"/>
      <c r="H144" s="2849"/>
    </row>
    <row r="145" spans="1:8" x14ac:dyDescent="0.2">
      <c r="A145" s="2850" t="s">
        <v>970</v>
      </c>
      <c r="B145" s="2849"/>
      <c r="C145" s="2849"/>
      <c r="D145" s="2849"/>
      <c r="E145" s="2849"/>
      <c r="F145" s="2849"/>
      <c r="G145" s="2849"/>
      <c r="H145" s="2849"/>
    </row>
    <row r="146" spans="1:8" x14ac:dyDescent="0.2">
      <c r="A146" s="2850" t="s">
        <v>971</v>
      </c>
      <c r="B146" s="2849"/>
      <c r="C146" s="2849"/>
      <c r="D146" s="2849"/>
      <c r="E146" s="2849"/>
      <c r="F146" s="2849"/>
      <c r="G146" s="2849"/>
      <c r="H146" s="2849"/>
    </row>
    <row r="147" spans="1:8" x14ac:dyDescent="0.2">
      <c r="A147" s="2849"/>
      <c r="B147" s="2849"/>
      <c r="C147" s="2849"/>
      <c r="D147" s="2849"/>
      <c r="E147" s="2849"/>
      <c r="F147" s="2849"/>
      <c r="G147" s="2849"/>
      <c r="H147" s="2849"/>
    </row>
    <row r="148" spans="1:8" ht="15.75" x14ac:dyDescent="0.2">
      <c r="A148" s="2851" t="s">
        <v>792</v>
      </c>
      <c r="B148" s="2849"/>
      <c r="C148" s="2849"/>
      <c r="D148" s="2849"/>
      <c r="E148" s="2849"/>
      <c r="F148" s="2849"/>
      <c r="G148" s="2849"/>
      <c r="H148" s="2849"/>
    </row>
    <row r="149" spans="1:8" x14ac:dyDescent="0.2">
      <c r="A149" s="2849"/>
      <c r="B149" s="2849"/>
      <c r="C149" s="2849"/>
      <c r="D149" s="2849"/>
      <c r="E149" s="2849"/>
      <c r="F149" s="2849"/>
      <c r="G149" s="2849"/>
      <c r="H149" s="2849"/>
    </row>
    <row r="150" spans="1:8" x14ac:dyDescent="0.2">
      <c r="A150" s="2850" t="s">
        <v>968</v>
      </c>
      <c r="B150" s="2849"/>
      <c r="C150" s="2849"/>
      <c r="D150" s="2849"/>
      <c r="E150" s="2849"/>
      <c r="F150" s="2849"/>
      <c r="G150" s="2849"/>
      <c r="H150" s="2849"/>
    </row>
    <row r="151" spans="1:8" x14ac:dyDescent="0.2">
      <c r="A151" s="2850" t="s">
        <v>969</v>
      </c>
      <c r="B151" s="2849"/>
      <c r="C151" s="2849"/>
      <c r="D151" s="2849"/>
      <c r="E151" s="2849"/>
      <c r="F151" s="2849"/>
      <c r="G151" s="2849"/>
      <c r="H151" s="2849"/>
    </row>
    <row r="152" spans="1:8" x14ac:dyDescent="0.2">
      <c r="A152" s="2849"/>
      <c r="B152" s="2849"/>
      <c r="C152" s="2849"/>
      <c r="D152" s="2849"/>
      <c r="E152" s="2849"/>
      <c r="F152" s="2849"/>
      <c r="G152" s="2849"/>
      <c r="H152" s="2849"/>
    </row>
    <row r="153" spans="1:8" x14ac:dyDescent="0.2">
      <c r="A153" s="2850" t="s">
        <v>966</v>
      </c>
      <c r="B153" s="2849"/>
      <c r="C153" s="2849"/>
      <c r="D153" s="2849"/>
      <c r="E153" s="2849"/>
      <c r="F153" s="2849"/>
      <c r="G153" s="2849"/>
      <c r="H153" s="2849"/>
    </row>
    <row r="154" spans="1:8" x14ac:dyDescent="0.2">
      <c r="A154" s="2850" t="s">
        <v>967</v>
      </c>
      <c r="B154" s="2849"/>
      <c r="C154" s="2849"/>
      <c r="D154" s="2849"/>
      <c r="E154" s="2849"/>
      <c r="F154" s="2849"/>
      <c r="G154" s="2849"/>
      <c r="H154" s="2849"/>
    </row>
    <row r="155" spans="1:8" x14ac:dyDescent="0.2">
      <c r="A155" s="2849"/>
      <c r="B155" s="2849"/>
      <c r="C155" s="2849"/>
      <c r="D155" s="2849"/>
      <c r="E155" s="2849"/>
      <c r="F155" s="2849"/>
      <c r="G155" s="2849"/>
      <c r="H155" s="2849"/>
    </row>
    <row r="156" spans="1:8" x14ac:dyDescent="0.2">
      <c r="A156" s="2850" t="s">
        <v>964</v>
      </c>
      <c r="B156" s="2849"/>
      <c r="C156" s="2849"/>
      <c r="D156" s="2849"/>
      <c r="E156" s="2849"/>
      <c r="F156" s="2849"/>
      <c r="G156" s="2849"/>
      <c r="H156" s="2849"/>
    </row>
    <row r="157" spans="1:8" x14ac:dyDescent="0.2">
      <c r="A157" s="2850" t="s">
        <v>965</v>
      </c>
      <c r="B157" s="2849"/>
      <c r="C157" s="2849"/>
      <c r="D157" s="2849"/>
      <c r="E157" s="2849"/>
      <c r="F157" s="2849"/>
      <c r="G157" s="2849"/>
      <c r="H157" s="2849"/>
    </row>
    <row r="158" spans="1:8" x14ac:dyDescent="0.2">
      <c r="A158" s="2849"/>
      <c r="B158" s="2849"/>
      <c r="C158" s="2849"/>
      <c r="D158" s="2849"/>
      <c r="E158" s="2849"/>
      <c r="F158" s="2849"/>
      <c r="G158" s="2849"/>
      <c r="H158" s="2849"/>
    </row>
    <row r="159" spans="1:8" x14ac:dyDescent="0.2">
      <c r="A159" s="2850" t="s">
        <v>961</v>
      </c>
      <c r="B159" s="2849"/>
      <c r="C159" s="2849"/>
      <c r="D159" s="2849"/>
      <c r="E159" s="2849"/>
      <c r="F159" s="2849"/>
      <c r="G159" s="2849"/>
      <c r="H159" s="2849"/>
    </row>
    <row r="160" spans="1:8" x14ac:dyDescent="0.2">
      <c r="A160" s="2850" t="s">
        <v>962</v>
      </c>
      <c r="B160" s="2849"/>
      <c r="C160" s="2849"/>
      <c r="D160" s="2849"/>
      <c r="E160" s="2849"/>
      <c r="F160" s="2849"/>
      <c r="G160" s="2849"/>
      <c r="H160" s="2849"/>
    </row>
    <row r="161" spans="1:8" x14ac:dyDescent="0.2">
      <c r="A161" s="2850" t="s">
        <v>963</v>
      </c>
      <c r="B161" s="2849"/>
      <c r="C161" s="2849"/>
      <c r="D161" s="2849"/>
      <c r="E161" s="2849"/>
      <c r="F161" s="2849"/>
      <c r="G161" s="2849"/>
      <c r="H161" s="2849"/>
    </row>
    <row r="162" spans="1:8" x14ac:dyDescent="0.2">
      <c r="A162" s="2849"/>
      <c r="B162" s="2849"/>
      <c r="C162" s="2849"/>
      <c r="D162" s="2849"/>
      <c r="E162" s="2849"/>
      <c r="F162" s="2849"/>
      <c r="G162" s="2849"/>
      <c r="H162" s="2849"/>
    </row>
    <row r="163" spans="1:8" x14ac:dyDescent="0.2">
      <c r="A163" s="2849"/>
      <c r="B163" s="2849"/>
      <c r="C163" s="2849"/>
      <c r="D163" s="2849"/>
      <c r="E163" s="2849"/>
      <c r="F163" s="2849"/>
      <c r="G163" s="2849"/>
      <c r="H163" s="2849"/>
    </row>
    <row r="164" spans="1:8" x14ac:dyDescent="0.2">
      <c r="A164" s="2850" t="s">
        <v>793</v>
      </c>
      <c r="B164" s="2849"/>
      <c r="C164" s="2849"/>
      <c r="D164" s="2849"/>
      <c r="E164" s="2849"/>
      <c r="F164" s="2849"/>
      <c r="G164" s="2849"/>
      <c r="H164" s="2849"/>
    </row>
    <row r="165" spans="1:8" x14ac:dyDescent="0.2">
      <c r="A165" s="2849"/>
      <c r="B165" s="2849"/>
      <c r="C165" s="2849"/>
      <c r="D165" s="2849"/>
      <c r="E165" s="2849"/>
      <c r="F165" s="2849"/>
      <c r="G165" s="2849"/>
      <c r="H165" s="2849"/>
    </row>
    <row r="166" spans="1:8" ht="15.75" x14ac:dyDescent="0.2">
      <c r="A166" s="2851" t="s">
        <v>794</v>
      </c>
      <c r="B166" s="2849"/>
      <c r="C166" s="2849"/>
      <c r="D166" s="2849"/>
      <c r="E166" s="2849"/>
      <c r="F166" s="2849"/>
      <c r="G166" s="2849"/>
      <c r="H166" s="2849"/>
    </row>
    <row r="167" spans="1:8" x14ac:dyDescent="0.2">
      <c r="A167" s="2849"/>
      <c r="B167" s="2849"/>
      <c r="C167" s="2849"/>
      <c r="D167" s="2849"/>
      <c r="E167" s="2849"/>
      <c r="F167" s="2849"/>
      <c r="G167" s="2849"/>
      <c r="H167" s="2849"/>
    </row>
    <row r="168" spans="1:8" x14ac:dyDescent="0.2">
      <c r="A168" s="2849"/>
      <c r="B168" s="2849"/>
      <c r="C168" s="2849"/>
      <c r="D168" s="2849"/>
      <c r="E168" s="2849"/>
      <c r="F168" s="2849"/>
      <c r="G168" s="2849"/>
      <c r="H168" s="2849"/>
    </row>
    <row r="169" spans="1:8" x14ac:dyDescent="0.2">
      <c r="A169" s="2849"/>
      <c r="B169" s="2849"/>
      <c r="C169" s="2849"/>
      <c r="D169" s="2849"/>
      <c r="E169" s="2849"/>
      <c r="F169" s="2849"/>
      <c r="G169" s="2849"/>
      <c r="H169" s="2849"/>
    </row>
    <row r="170" spans="1:8" x14ac:dyDescent="0.2">
      <c r="A170" s="2849"/>
      <c r="B170" s="2849"/>
      <c r="C170" s="2849"/>
      <c r="D170" s="2849"/>
      <c r="E170" s="2849"/>
      <c r="F170" s="2849"/>
      <c r="G170" s="2849"/>
      <c r="H170" s="2849"/>
    </row>
    <row r="171" spans="1:8" x14ac:dyDescent="0.2">
      <c r="A171" s="2849"/>
      <c r="B171" s="2849"/>
      <c r="C171" s="2849"/>
      <c r="D171" s="2849"/>
      <c r="E171" s="2849"/>
      <c r="F171" s="2849"/>
      <c r="G171" s="2849"/>
      <c r="H171" s="2849"/>
    </row>
    <row r="172" spans="1:8" x14ac:dyDescent="0.2">
      <c r="A172" s="2849"/>
      <c r="B172" s="2849"/>
      <c r="C172" s="2849"/>
      <c r="D172" s="2849"/>
      <c r="E172" s="2849"/>
      <c r="F172" s="2849"/>
      <c r="G172" s="2849"/>
      <c r="H172" s="2849"/>
    </row>
    <row r="173" spans="1:8" x14ac:dyDescent="0.2">
      <c r="A173" s="2849"/>
      <c r="B173" s="2849"/>
      <c r="C173" s="2849"/>
      <c r="D173" s="2849"/>
      <c r="E173" s="2849"/>
      <c r="F173" s="2849"/>
      <c r="G173" s="2849"/>
      <c r="H173" s="2849"/>
    </row>
    <row r="174" spans="1:8" x14ac:dyDescent="0.2">
      <c r="A174" s="2849"/>
      <c r="B174" s="2849"/>
      <c r="C174" s="2849"/>
      <c r="D174" s="2849"/>
      <c r="E174" s="2849"/>
      <c r="F174" s="2849"/>
      <c r="G174" s="2849"/>
      <c r="H174" s="2849"/>
    </row>
    <row r="175" spans="1:8" x14ac:dyDescent="0.2">
      <c r="A175" s="2849"/>
      <c r="B175" s="2849"/>
      <c r="C175" s="2849"/>
      <c r="D175" s="2849"/>
      <c r="E175" s="2849"/>
      <c r="F175" s="2849"/>
      <c r="G175" s="2849"/>
      <c r="H175" s="2849"/>
    </row>
    <row r="176" spans="1:8" x14ac:dyDescent="0.2">
      <c r="A176" s="2849"/>
      <c r="B176" s="2849"/>
      <c r="C176" s="2849"/>
      <c r="D176" s="2849"/>
      <c r="E176" s="2849"/>
      <c r="F176" s="2849"/>
      <c r="G176" s="2849"/>
      <c r="H176" s="2849"/>
    </row>
    <row r="177" spans="1:8" x14ac:dyDescent="0.2">
      <c r="A177" s="2849"/>
      <c r="B177" s="2849"/>
      <c r="C177" s="2849"/>
      <c r="D177" s="2849"/>
      <c r="E177" s="2849"/>
      <c r="F177" s="2849"/>
      <c r="G177" s="2849"/>
      <c r="H177" s="2849"/>
    </row>
    <row r="178" spans="1:8" x14ac:dyDescent="0.2">
      <c r="A178" s="2849"/>
      <c r="B178" s="2849"/>
      <c r="C178" s="2849"/>
      <c r="D178" s="2849"/>
      <c r="E178" s="2849"/>
      <c r="F178" s="2849"/>
      <c r="G178" s="2849"/>
      <c r="H178" s="2849"/>
    </row>
    <row r="179" spans="1:8" x14ac:dyDescent="0.2">
      <c r="A179" s="2849"/>
      <c r="B179" s="2849"/>
      <c r="C179" s="2849"/>
      <c r="D179" s="2849"/>
      <c r="E179" s="2849"/>
      <c r="F179" s="2849"/>
      <c r="G179" s="2849"/>
      <c r="H179" s="2849"/>
    </row>
    <row r="180" spans="1:8" x14ac:dyDescent="0.2">
      <c r="A180" s="2849"/>
      <c r="B180" s="2849"/>
      <c r="C180" s="2849"/>
      <c r="D180" s="2849"/>
      <c r="E180" s="2849"/>
      <c r="F180" s="2849"/>
      <c r="G180" s="2849"/>
      <c r="H180" s="2849"/>
    </row>
    <row r="181" spans="1:8" x14ac:dyDescent="0.2">
      <c r="A181" s="2849"/>
      <c r="B181" s="2849"/>
      <c r="C181" s="2849"/>
      <c r="D181" s="2849"/>
      <c r="E181" s="2849"/>
      <c r="F181" s="2849"/>
      <c r="G181" s="2849"/>
      <c r="H181" s="2849"/>
    </row>
    <row r="182" spans="1:8" x14ac:dyDescent="0.2">
      <c r="A182" s="2849"/>
      <c r="B182" s="2849"/>
      <c r="C182" s="2849"/>
      <c r="D182" s="2849"/>
      <c r="E182" s="2849"/>
      <c r="F182" s="2849"/>
      <c r="G182" s="2849"/>
      <c r="H182" s="2849"/>
    </row>
    <row r="183" spans="1:8" x14ac:dyDescent="0.2">
      <c r="A183" s="2849"/>
      <c r="B183" s="2849"/>
      <c r="C183" s="2849"/>
      <c r="D183" s="2849"/>
      <c r="E183" s="2849"/>
      <c r="F183" s="2849"/>
      <c r="G183" s="2849"/>
      <c r="H183" s="2849"/>
    </row>
    <row r="184" spans="1:8" x14ac:dyDescent="0.2">
      <c r="A184" s="2849"/>
      <c r="B184" s="2849"/>
      <c r="C184" s="2849"/>
      <c r="D184" s="2849"/>
      <c r="E184" s="2849"/>
      <c r="F184" s="2849"/>
      <c r="G184" s="2849"/>
      <c r="H184" s="2849"/>
    </row>
    <row r="185" spans="1:8" x14ac:dyDescent="0.2">
      <c r="A185" s="2849"/>
      <c r="B185" s="2849"/>
      <c r="C185" s="2849"/>
      <c r="D185" s="2849"/>
      <c r="E185" s="2849"/>
      <c r="F185" s="2849"/>
      <c r="G185" s="2849"/>
      <c r="H185" s="2849"/>
    </row>
    <row r="186" spans="1:8" x14ac:dyDescent="0.2">
      <c r="A186" s="2849"/>
      <c r="B186" s="2849"/>
      <c r="C186" s="2849"/>
      <c r="D186" s="2849"/>
      <c r="E186" s="2849"/>
      <c r="F186" s="2849"/>
      <c r="G186" s="2849"/>
      <c r="H186" s="2849"/>
    </row>
    <row r="187" spans="1:8" x14ac:dyDescent="0.2">
      <c r="A187" s="2849"/>
      <c r="B187" s="2849"/>
      <c r="C187" s="2849"/>
      <c r="D187" s="2849"/>
      <c r="E187" s="2849"/>
      <c r="F187" s="2849"/>
      <c r="G187" s="2849"/>
      <c r="H187" s="2849"/>
    </row>
    <row r="188" spans="1:8" x14ac:dyDescent="0.2">
      <c r="A188" s="2849"/>
      <c r="B188" s="2849"/>
      <c r="C188" s="2849"/>
      <c r="D188" s="2849"/>
      <c r="E188" s="2849"/>
      <c r="F188" s="2849"/>
      <c r="G188" s="2849"/>
      <c r="H188" s="2849"/>
    </row>
    <row r="189" spans="1:8" x14ac:dyDescent="0.2">
      <c r="A189" s="2849"/>
      <c r="B189" s="2849"/>
      <c r="C189" s="2849"/>
      <c r="D189" s="2849"/>
      <c r="E189" s="2849"/>
      <c r="F189" s="2849"/>
      <c r="G189" s="2849"/>
      <c r="H189" s="2849"/>
    </row>
    <row r="190" spans="1:8" x14ac:dyDescent="0.2">
      <c r="A190" s="2849"/>
      <c r="B190" s="2849"/>
      <c r="C190" s="2849"/>
      <c r="D190" s="2849"/>
      <c r="E190" s="2849"/>
      <c r="F190" s="2849"/>
      <c r="G190" s="2849"/>
      <c r="H190" s="2849"/>
    </row>
    <row r="191" spans="1:8" x14ac:dyDescent="0.2">
      <c r="A191" s="2849"/>
      <c r="B191" s="2849"/>
      <c r="C191" s="2849"/>
      <c r="D191" s="2849"/>
      <c r="E191" s="2849"/>
      <c r="F191" s="2849"/>
      <c r="G191" s="2849"/>
      <c r="H191" s="2849"/>
    </row>
    <row r="192" spans="1:8" x14ac:dyDescent="0.2">
      <c r="A192" s="2849"/>
      <c r="B192" s="2849"/>
      <c r="C192" s="2849"/>
      <c r="D192" s="2849"/>
      <c r="E192" s="2849"/>
      <c r="F192" s="2849"/>
      <c r="G192" s="2849"/>
      <c r="H192" s="2849"/>
    </row>
    <row r="193" spans="1:8" ht="15.75" x14ac:dyDescent="0.2">
      <c r="A193" s="2851" t="s">
        <v>795</v>
      </c>
      <c r="B193" s="2849"/>
      <c r="C193" s="2849"/>
      <c r="D193" s="2849"/>
      <c r="E193" s="2849"/>
      <c r="F193" s="2849"/>
      <c r="G193" s="2849"/>
      <c r="H193" s="2849"/>
    </row>
    <row r="194" spans="1:8" x14ac:dyDescent="0.2">
      <c r="A194" s="2849"/>
      <c r="B194" s="2849"/>
      <c r="C194" s="2849"/>
      <c r="D194" s="2849"/>
      <c r="E194" s="2849"/>
      <c r="F194" s="2849"/>
      <c r="G194" s="2849"/>
      <c r="H194" s="2849"/>
    </row>
    <row r="195" spans="1:8" x14ac:dyDescent="0.2">
      <c r="A195" s="2850" t="s">
        <v>956</v>
      </c>
      <c r="B195" s="2849"/>
      <c r="C195" s="2849"/>
      <c r="D195" s="2849"/>
      <c r="E195" s="2849"/>
      <c r="F195" s="2849"/>
      <c r="G195" s="2849"/>
      <c r="H195" s="2849"/>
    </row>
    <row r="196" spans="1:8" x14ac:dyDescent="0.2">
      <c r="A196" s="2850" t="s">
        <v>957</v>
      </c>
      <c r="B196" s="2849"/>
      <c r="C196" s="2849"/>
      <c r="D196" s="2849"/>
      <c r="E196" s="2849"/>
      <c r="F196" s="2849"/>
      <c r="G196" s="2849"/>
      <c r="H196" s="2849"/>
    </row>
    <row r="197" spans="1:8" x14ac:dyDescent="0.2">
      <c r="A197" s="2850" t="s">
        <v>958</v>
      </c>
      <c r="B197" s="2849"/>
      <c r="C197" s="2849"/>
      <c r="D197" s="2849"/>
      <c r="E197" s="2849"/>
      <c r="F197" s="2849"/>
      <c r="G197" s="2849"/>
      <c r="H197" s="2849"/>
    </row>
    <row r="198" spans="1:8" x14ac:dyDescent="0.2">
      <c r="A198" s="2850" t="s">
        <v>959</v>
      </c>
      <c r="B198" s="2849"/>
      <c r="C198" s="2849"/>
      <c r="D198" s="2849"/>
      <c r="E198" s="2849"/>
      <c r="F198" s="2849"/>
      <c r="G198" s="2849"/>
      <c r="H198" s="2849"/>
    </row>
    <row r="199" spans="1:8" x14ac:dyDescent="0.2">
      <c r="A199" s="2850" t="s">
        <v>960</v>
      </c>
      <c r="B199" s="2849"/>
      <c r="C199" s="2849"/>
      <c r="D199" s="2849"/>
      <c r="E199" s="2849"/>
      <c r="F199" s="2849"/>
      <c r="G199" s="2849"/>
      <c r="H199" s="2849"/>
    </row>
    <row r="200" spans="1:8" x14ac:dyDescent="0.2">
      <c r="A200" s="2849"/>
      <c r="B200" s="2849"/>
      <c r="C200" s="2849"/>
      <c r="D200" s="2849"/>
      <c r="E200" s="2849"/>
      <c r="F200" s="2849"/>
      <c r="G200" s="2849"/>
      <c r="H200" s="2849"/>
    </row>
    <row r="201" spans="1:8" x14ac:dyDescent="0.2">
      <c r="A201" s="2850" t="s">
        <v>953</v>
      </c>
      <c r="B201" s="2849"/>
      <c r="C201" s="2849"/>
      <c r="D201" s="2849"/>
      <c r="E201" s="2849"/>
      <c r="F201" s="2849"/>
      <c r="G201" s="2849"/>
      <c r="H201" s="2849"/>
    </row>
    <row r="202" spans="1:8" x14ac:dyDescent="0.2">
      <c r="A202" s="2850" t="s">
        <v>954</v>
      </c>
      <c r="B202" s="2849"/>
      <c r="C202" s="2849"/>
      <c r="D202" s="2849"/>
      <c r="E202" s="2849"/>
      <c r="F202" s="2849"/>
      <c r="G202" s="2849"/>
      <c r="H202" s="2849"/>
    </row>
    <row r="203" spans="1:8" x14ac:dyDescent="0.2">
      <c r="A203" s="2850" t="s">
        <v>955</v>
      </c>
      <c r="B203" s="2849"/>
      <c r="C203" s="2849"/>
      <c r="D203" s="2849"/>
      <c r="E203" s="2849"/>
      <c r="F203" s="2849"/>
      <c r="G203" s="2849"/>
      <c r="H203" s="2849"/>
    </row>
    <row r="204" spans="1:8" ht="15.75" x14ac:dyDescent="0.2">
      <c r="A204" s="2851" t="s">
        <v>796</v>
      </c>
      <c r="B204" s="2849"/>
      <c r="C204" s="2849"/>
      <c r="D204" s="2849"/>
      <c r="E204" s="2849"/>
      <c r="F204" s="2849"/>
      <c r="G204" s="2849"/>
      <c r="H204" s="2849"/>
    </row>
    <row r="205" spans="1:8" x14ac:dyDescent="0.2">
      <c r="A205" s="2849"/>
      <c r="B205" s="2849"/>
      <c r="C205" s="2849"/>
      <c r="D205" s="2849"/>
      <c r="E205" s="2849"/>
      <c r="F205" s="2849"/>
      <c r="G205" s="2849"/>
      <c r="H205" s="2849"/>
    </row>
    <row r="206" spans="1:8" x14ac:dyDescent="0.2">
      <c r="A206" s="2850" t="s">
        <v>951</v>
      </c>
      <c r="B206" s="2849"/>
      <c r="C206" s="2849"/>
      <c r="D206" s="2849"/>
      <c r="E206" s="2849"/>
      <c r="F206" s="2849"/>
      <c r="G206" s="2849"/>
      <c r="H206" s="2849"/>
    </row>
    <row r="207" spans="1:8" x14ac:dyDescent="0.2">
      <c r="A207" s="2850" t="s">
        <v>952</v>
      </c>
      <c r="B207" s="2849"/>
      <c r="C207" s="2849"/>
      <c r="D207" s="2849"/>
      <c r="E207" s="2849"/>
      <c r="F207" s="2849"/>
      <c r="G207" s="2849"/>
      <c r="H207" s="2849"/>
    </row>
    <row r="208" spans="1:8" x14ac:dyDescent="0.2">
      <c r="A208" s="2849"/>
      <c r="B208" s="2849"/>
      <c r="C208" s="2849"/>
      <c r="D208" s="2849"/>
      <c r="E208" s="2849"/>
      <c r="F208" s="2849"/>
      <c r="G208" s="2849"/>
      <c r="H208" s="2849"/>
    </row>
    <row r="209" spans="1:8" x14ac:dyDescent="0.2">
      <c r="A209" s="2850" t="s">
        <v>944</v>
      </c>
      <c r="B209" s="2849"/>
      <c r="C209" s="2849"/>
      <c r="D209" s="2849"/>
      <c r="E209" s="2849"/>
      <c r="F209" s="2849"/>
      <c r="G209" s="2849"/>
      <c r="H209" s="2849"/>
    </row>
    <row r="210" spans="1:8" x14ac:dyDescent="0.2">
      <c r="A210" s="2850" t="s">
        <v>945</v>
      </c>
      <c r="B210" s="2849"/>
      <c r="C210" s="2849"/>
      <c r="D210" s="2849"/>
      <c r="E210" s="2849"/>
      <c r="F210" s="2849"/>
      <c r="G210" s="2849"/>
      <c r="H210" s="2849"/>
    </row>
    <row r="211" spans="1:8" x14ac:dyDescent="0.2">
      <c r="A211" s="2850" t="s">
        <v>946</v>
      </c>
      <c r="B211" s="2849"/>
      <c r="C211" s="2849"/>
      <c r="D211" s="2849"/>
      <c r="E211" s="2849"/>
      <c r="F211" s="2849"/>
      <c r="G211" s="2849"/>
      <c r="H211" s="2849"/>
    </row>
    <row r="212" spans="1:8" x14ac:dyDescent="0.2">
      <c r="A212" s="2850" t="s">
        <v>947</v>
      </c>
      <c r="B212" s="2849"/>
      <c r="C212" s="2849"/>
      <c r="D212" s="2849"/>
      <c r="E212" s="2849"/>
      <c r="F212" s="2849"/>
      <c r="G212" s="2849"/>
      <c r="H212" s="2849"/>
    </row>
    <row r="213" spans="1:8" x14ac:dyDescent="0.2">
      <c r="A213" s="2850" t="s">
        <v>948</v>
      </c>
      <c r="B213" s="2849"/>
      <c r="C213" s="2849"/>
      <c r="D213" s="2849"/>
      <c r="E213" s="2849"/>
      <c r="F213" s="2849"/>
      <c r="G213" s="2849"/>
      <c r="H213" s="2849"/>
    </row>
    <row r="214" spans="1:8" x14ac:dyDescent="0.2">
      <c r="A214" s="2850" t="s">
        <v>949</v>
      </c>
      <c r="B214" s="2849"/>
      <c r="C214" s="2849"/>
      <c r="D214" s="2849"/>
      <c r="E214" s="2849"/>
      <c r="F214" s="2849"/>
      <c r="G214" s="2849"/>
      <c r="H214" s="2849"/>
    </row>
    <row r="215" spans="1:8" x14ac:dyDescent="0.2">
      <c r="A215" s="2850" t="s">
        <v>950</v>
      </c>
      <c r="B215" s="2849"/>
      <c r="C215" s="2849"/>
      <c r="D215" s="2849"/>
      <c r="E215" s="2849"/>
      <c r="F215" s="2849"/>
      <c r="G215" s="2849"/>
      <c r="H215" s="2849"/>
    </row>
    <row r="216" spans="1:8" x14ac:dyDescent="0.2">
      <c r="A216" s="2849"/>
      <c r="B216" s="2849"/>
      <c r="C216" s="2849"/>
      <c r="D216" s="2849"/>
      <c r="E216" s="2849"/>
      <c r="F216" s="2849"/>
      <c r="G216" s="2849"/>
      <c r="H216" s="2849"/>
    </row>
    <row r="217" spans="1:8" x14ac:dyDescent="0.2">
      <c r="A217" s="2850" t="s">
        <v>941</v>
      </c>
      <c r="B217" s="2849"/>
      <c r="C217" s="2849"/>
      <c r="D217" s="2849"/>
      <c r="E217" s="2849"/>
      <c r="F217" s="2849"/>
      <c r="G217" s="2849"/>
      <c r="H217" s="2849"/>
    </row>
    <row r="218" spans="1:8" x14ac:dyDescent="0.2">
      <c r="A218" s="2850" t="s">
        <v>942</v>
      </c>
      <c r="B218" s="2849"/>
      <c r="C218" s="2849"/>
      <c r="D218" s="2849"/>
      <c r="E218" s="2849"/>
      <c r="F218" s="2849"/>
      <c r="G218" s="2849"/>
      <c r="H218" s="2849"/>
    </row>
    <row r="219" spans="1:8" x14ac:dyDescent="0.2">
      <c r="A219" s="2850" t="s">
        <v>943</v>
      </c>
      <c r="B219" s="2849"/>
      <c r="C219" s="2849"/>
      <c r="D219" s="2849"/>
      <c r="E219" s="2849"/>
      <c r="F219" s="2849"/>
      <c r="G219" s="2849"/>
      <c r="H219" s="2849"/>
    </row>
    <row r="220" spans="1:8" x14ac:dyDescent="0.2">
      <c r="A220" s="2849"/>
      <c r="B220" s="2849"/>
      <c r="C220" s="2849"/>
      <c r="D220" s="2849"/>
      <c r="E220" s="2849"/>
      <c r="F220" s="2849"/>
      <c r="G220" s="2849"/>
      <c r="H220" s="2849"/>
    </row>
    <row r="221" spans="1:8" x14ac:dyDescent="0.2">
      <c r="A221" s="2850" t="s">
        <v>936</v>
      </c>
      <c r="B221" s="2849"/>
      <c r="C221" s="2849"/>
      <c r="D221" s="2849"/>
      <c r="E221" s="2849"/>
      <c r="F221" s="2849"/>
      <c r="G221" s="2849"/>
      <c r="H221" s="2849"/>
    </row>
    <row r="222" spans="1:8" x14ac:dyDescent="0.2">
      <c r="A222" s="2850" t="s">
        <v>937</v>
      </c>
      <c r="B222" s="2849"/>
      <c r="C222" s="2849"/>
      <c r="D222" s="2849"/>
      <c r="E222" s="2849"/>
      <c r="F222" s="2849"/>
      <c r="G222" s="2849"/>
      <c r="H222" s="2849"/>
    </row>
    <row r="223" spans="1:8" x14ac:dyDescent="0.2">
      <c r="A223" s="2850" t="s">
        <v>938</v>
      </c>
      <c r="B223" s="2849"/>
      <c r="C223" s="2849"/>
      <c r="D223" s="2849"/>
      <c r="E223" s="2849"/>
      <c r="F223" s="2849"/>
      <c r="G223" s="2849"/>
      <c r="H223" s="2849"/>
    </row>
    <row r="224" spans="1:8" x14ac:dyDescent="0.2">
      <c r="A224" s="2850" t="s">
        <v>939</v>
      </c>
      <c r="B224" s="2849"/>
      <c r="C224" s="2849"/>
      <c r="D224" s="2849"/>
      <c r="E224" s="2849"/>
      <c r="F224" s="2849"/>
      <c r="G224" s="2849"/>
      <c r="H224" s="2849"/>
    </row>
    <row r="225" spans="1:8" x14ac:dyDescent="0.2">
      <c r="A225" s="2850" t="s">
        <v>940</v>
      </c>
      <c r="B225" s="2849"/>
      <c r="C225" s="2849"/>
      <c r="D225" s="2849"/>
      <c r="E225" s="2849"/>
      <c r="F225" s="2849"/>
      <c r="G225" s="2849"/>
      <c r="H225" s="2849"/>
    </row>
    <row r="226" spans="1:8" x14ac:dyDescent="0.2">
      <c r="A226" s="2849"/>
      <c r="B226" s="2849"/>
      <c r="C226" s="2849"/>
      <c r="D226" s="2849"/>
      <c r="E226" s="2849"/>
      <c r="F226" s="2849"/>
      <c r="G226" s="2849"/>
      <c r="H226" s="2849"/>
    </row>
    <row r="227" spans="1:8" x14ac:dyDescent="0.2">
      <c r="A227" s="2850" t="s">
        <v>930</v>
      </c>
      <c r="B227" s="2849"/>
      <c r="C227" s="2849"/>
      <c r="D227" s="2849"/>
      <c r="E227" s="2849"/>
      <c r="F227" s="2849"/>
      <c r="G227" s="2849"/>
      <c r="H227" s="2849"/>
    </row>
    <row r="228" spans="1:8" x14ac:dyDescent="0.2">
      <c r="A228" s="2850" t="s">
        <v>931</v>
      </c>
      <c r="B228" s="2849"/>
      <c r="C228" s="2849"/>
      <c r="D228" s="2849"/>
      <c r="E228" s="2849"/>
      <c r="F228" s="2849"/>
      <c r="G228" s="2849"/>
      <c r="H228" s="2849"/>
    </row>
    <row r="229" spans="1:8" x14ac:dyDescent="0.2">
      <c r="A229" s="2850" t="s">
        <v>932</v>
      </c>
      <c r="B229" s="2849"/>
      <c r="C229" s="2849"/>
      <c r="D229" s="2849"/>
      <c r="E229" s="2849"/>
      <c r="F229" s="2849"/>
      <c r="G229" s="2849"/>
      <c r="H229" s="2849"/>
    </row>
    <row r="230" spans="1:8" x14ac:dyDescent="0.2">
      <c r="A230" s="2850" t="s">
        <v>933</v>
      </c>
      <c r="B230" s="2849"/>
      <c r="C230" s="2849"/>
      <c r="D230" s="2849"/>
      <c r="E230" s="2849"/>
      <c r="F230" s="2849"/>
      <c r="G230" s="2849"/>
      <c r="H230" s="2849"/>
    </row>
    <row r="231" spans="1:8" x14ac:dyDescent="0.2">
      <c r="A231" s="2850" t="s">
        <v>934</v>
      </c>
      <c r="B231" s="2849"/>
      <c r="C231" s="2849"/>
      <c r="D231" s="2849"/>
      <c r="E231" s="2849"/>
      <c r="F231" s="2849"/>
      <c r="G231" s="2849"/>
      <c r="H231" s="2849"/>
    </row>
    <row r="232" spans="1:8" x14ac:dyDescent="0.2">
      <c r="A232" s="2850" t="s">
        <v>935</v>
      </c>
      <c r="B232" s="2849"/>
      <c r="C232" s="2849"/>
      <c r="D232" s="2849"/>
      <c r="E232" s="2849"/>
      <c r="F232" s="2849"/>
      <c r="G232" s="2849"/>
      <c r="H232" s="2849"/>
    </row>
    <row r="233" spans="1:8" x14ac:dyDescent="0.2">
      <c r="A233" s="2849"/>
      <c r="B233" s="2849"/>
      <c r="C233" s="2849"/>
      <c r="D233" s="2849"/>
      <c r="E233" s="2849"/>
      <c r="F233" s="2849"/>
      <c r="G233" s="2849"/>
      <c r="H233" s="2849"/>
    </row>
    <row r="234" spans="1:8" x14ac:dyDescent="0.2">
      <c r="A234" s="2850" t="s">
        <v>920</v>
      </c>
      <c r="B234" s="2849"/>
      <c r="C234" s="2849"/>
      <c r="D234" s="2849"/>
      <c r="E234" s="2849"/>
      <c r="F234" s="2849"/>
      <c r="G234" s="2849"/>
      <c r="H234" s="2849"/>
    </row>
    <row r="235" spans="1:8" x14ac:dyDescent="0.2">
      <c r="A235" s="2850" t="s">
        <v>921</v>
      </c>
      <c r="B235" s="2849"/>
      <c r="C235" s="2849"/>
      <c r="D235" s="2849"/>
      <c r="E235" s="2849"/>
      <c r="F235" s="2849"/>
      <c r="G235" s="2849"/>
      <c r="H235" s="2849"/>
    </row>
    <row r="236" spans="1:8" x14ac:dyDescent="0.2">
      <c r="A236" s="2850" t="s">
        <v>922</v>
      </c>
      <c r="B236" s="2849"/>
      <c r="C236" s="2849"/>
      <c r="D236" s="2849"/>
      <c r="E236" s="2849"/>
      <c r="F236" s="2849"/>
      <c r="G236" s="2849"/>
      <c r="H236" s="2849"/>
    </row>
    <row r="237" spans="1:8" x14ac:dyDescent="0.2">
      <c r="A237" s="2850" t="s">
        <v>923</v>
      </c>
      <c r="B237" s="2849"/>
      <c r="C237" s="2849"/>
      <c r="D237" s="2849"/>
      <c r="E237" s="2849"/>
      <c r="F237" s="2849"/>
      <c r="G237" s="2849"/>
      <c r="H237" s="2849"/>
    </row>
    <row r="238" spans="1:8" x14ac:dyDescent="0.2">
      <c r="A238" s="2850" t="s">
        <v>924</v>
      </c>
      <c r="B238" s="2849"/>
      <c r="C238" s="2849"/>
      <c r="D238" s="2849"/>
      <c r="E238" s="2849"/>
      <c r="F238" s="2849"/>
      <c r="G238" s="2849"/>
      <c r="H238" s="2849"/>
    </row>
    <row r="239" spans="1:8" x14ac:dyDescent="0.2">
      <c r="A239" s="2850" t="s">
        <v>925</v>
      </c>
      <c r="B239" s="2849"/>
      <c r="C239" s="2849"/>
      <c r="D239" s="2849"/>
      <c r="E239" s="2849"/>
      <c r="F239" s="2849"/>
      <c r="G239" s="2849"/>
      <c r="H239" s="2849"/>
    </row>
    <row r="240" spans="1:8" x14ac:dyDescent="0.2">
      <c r="A240" s="2850" t="s">
        <v>926</v>
      </c>
      <c r="B240" s="2849"/>
      <c r="C240" s="2849"/>
      <c r="D240" s="2849"/>
      <c r="E240" s="2849"/>
      <c r="F240" s="2849"/>
      <c r="G240" s="2849"/>
      <c r="H240" s="2849"/>
    </row>
    <row r="241" spans="1:8" x14ac:dyDescent="0.2">
      <c r="A241" s="2850" t="s">
        <v>927</v>
      </c>
      <c r="B241" s="2849"/>
      <c r="C241" s="2849"/>
      <c r="D241" s="2849"/>
      <c r="E241" s="2849"/>
      <c r="F241" s="2849"/>
      <c r="G241" s="2849"/>
      <c r="H241" s="2849"/>
    </row>
    <row r="242" spans="1:8" x14ac:dyDescent="0.2">
      <c r="A242" s="2850" t="s">
        <v>928</v>
      </c>
      <c r="B242" s="2849"/>
      <c r="C242" s="2849"/>
      <c r="D242" s="2849"/>
      <c r="E242" s="2849"/>
      <c r="F242" s="2849"/>
      <c r="G242" s="2849"/>
      <c r="H242" s="2849"/>
    </row>
    <row r="243" spans="1:8" x14ac:dyDescent="0.2">
      <c r="A243" s="2850" t="s">
        <v>929</v>
      </c>
      <c r="B243" s="2849"/>
      <c r="C243" s="2849"/>
      <c r="D243" s="2849"/>
      <c r="E243" s="2849"/>
      <c r="F243" s="2849"/>
      <c r="G243" s="2849"/>
      <c r="H243" s="2849"/>
    </row>
    <row r="244" spans="1:8" x14ac:dyDescent="0.2">
      <c r="A244" s="2849"/>
      <c r="B244" s="2849"/>
      <c r="C244" s="2849"/>
      <c r="D244" s="2849"/>
      <c r="E244" s="2849"/>
      <c r="F244" s="2849"/>
      <c r="G244" s="2849"/>
      <c r="H244" s="2849"/>
    </row>
    <row r="245" spans="1:8" x14ac:dyDescent="0.2">
      <c r="A245" s="2850" t="s">
        <v>918</v>
      </c>
      <c r="B245" s="2849"/>
      <c r="C245" s="2849"/>
      <c r="D245" s="2849"/>
      <c r="E245" s="2849"/>
      <c r="F245" s="2849"/>
      <c r="G245" s="2849"/>
      <c r="H245" s="2849"/>
    </row>
    <row r="246" spans="1:8" x14ac:dyDescent="0.2">
      <c r="A246" s="2850" t="s">
        <v>919</v>
      </c>
      <c r="B246" s="2849"/>
      <c r="C246" s="2849"/>
      <c r="D246" s="2849"/>
      <c r="E246" s="2849"/>
      <c r="F246" s="2849"/>
      <c r="G246" s="2849"/>
      <c r="H246" s="2849"/>
    </row>
    <row r="247" spans="1:8" x14ac:dyDescent="0.2">
      <c r="A247" s="2849"/>
      <c r="B247" s="2849"/>
      <c r="C247" s="2849"/>
      <c r="D247" s="2849"/>
      <c r="E247" s="2849"/>
      <c r="F247" s="2849"/>
      <c r="G247" s="2849"/>
      <c r="H247" s="2849"/>
    </row>
    <row r="248" spans="1:8" x14ac:dyDescent="0.2">
      <c r="A248" s="2850" t="s">
        <v>902</v>
      </c>
      <c r="B248" s="2849"/>
      <c r="C248" s="2849"/>
      <c r="D248" s="2849"/>
      <c r="E248" s="2849"/>
      <c r="F248" s="2849"/>
      <c r="G248" s="2849"/>
      <c r="H248" s="2849"/>
    </row>
    <row r="249" spans="1:8" x14ac:dyDescent="0.2">
      <c r="A249" s="2850" t="s">
        <v>903</v>
      </c>
      <c r="B249" s="2849"/>
      <c r="C249" s="2849"/>
      <c r="D249" s="2849"/>
      <c r="E249" s="2849"/>
      <c r="F249" s="2849"/>
      <c r="G249" s="2849"/>
      <c r="H249" s="2849"/>
    </row>
    <row r="250" spans="1:8" x14ac:dyDescent="0.2">
      <c r="A250" s="2850" t="s">
        <v>904</v>
      </c>
      <c r="B250" s="2849"/>
      <c r="C250" s="2849"/>
      <c r="D250" s="2849"/>
      <c r="E250" s="2849"/>
      <c r="F250" s="2849"/>
      <c r="G250" s="2849"/>
      <c r="H250" s="2849"/>
    </row>
    <row r="251" spans="1:8" x14ac:dyDescent="0.2">
      <c r="A251" s="2850" t="s">
        <v>905</v>
      </c>
      <c r="B251" s="2849"/>
      <c r="C251" s="2849"/>
      <c r="D251" s="2849"/>
      <c r="E251" s="2849"/>
      <c r="F251" s="2849"/>
      <c r="G251" s="2849"/>
      <c r="H251" s="2849"/>
    </row>
    <row r="252" spans="1:8" x14ac:dyDescent="0.2">
      <c r="A252" s="2850" t="s">
        <v>906</v>
      </c>
      <c r="B252" s="2849"/>
      <c r="C252" s="2849"/>
      <c r="D252" s="2849"/>
      <c r="E252" s="2849"/>
      <c r="F252" s="2849"/>
      <c r="G252" s="2849"/>
      <c r="H252" s="2849"/>
    </row>
    <row r="253" spans="1:8" x14ac:dyDescent="0.2">
      <c r="A253" s="2850" t="s">
        <v>907</v>
      </c>
      <c r="B253" s="2849"/>
      <c r="C253" s="2849"/>
      <c r="D253" s="2849"/>
      <c r="E253" s="2849"/>
      <c r="F253" s="2849"/>
      <c r="G253" s="2849"/>
      <c r="H253" s="2849"/>
    </row>
    <row r="254" spans="1:8" x14ac:dyDescent="0.2">
      <c r="A254" s="2850" t="s">
        <v>908</v>
      </c>
      <c r="B254" s="2849"/>
      <c r="C254" s="2849"/>
      <c r="D254" s="2849"/>
      <c r="E254" s="2849"/>
      <c r="F254" s="2849"/>
      <c r="G254" s="2849"/>
      <c r="H254" s="2849"/>
    </row>
    <row r="255" spans="1:8" x14ac:dyDescent="0.2">
      <c r="A255" s="2850" t="s">
        <v>909</v>
      </c>
      <c r="B255" s="2849"/>
      <c r="C255" s="2849"/>
      <c r="D255" s="2849"/>
      <c r="E255" s="2849"/>
      <c r="F255" s="2849"/>
      <c r="G255" s="2849"/>
      <c r="H255" s="2849"/>
    </row>
    <row r="256" spans="1:8" x14ac:dyDescent="0.2">
      <c r="A256" s="2850" t="s">
        <v>910</v>
      </c>
      <c r="B256" s="2849"/>
      <c r="C256" s="2849"/>
      <c r="D256" s="2849"/>
      <c r="E256" s="2849"/>
      <c r="F256" s="2849"/>
      <c r="G256" s="2849"/>
      <c r="H256" s="2849"/>
    </row>
    <row r="257" spans="1:8" x14ac:dyDescent="0.2">
      <c r="A257" s="2850" t="s">
        <v>911</v>
      </c>
      <c r="B257" s="2849"/>
      <c r="C257" s="2849"/>
      <c r="D257" s="2849"/>
      <c r="E257" s="2849"/>
      <c r="F257" s="2849"/>
      <c r="G257" s="2849"/>
      <c r="H257" s="2849"/>
    </row>
    <row r="258" spans="1:8" x14ac:dyDescent="0.2">
      <c r="A258" s="2850" t="s">
        <v>912</v>
      </c>
      <c r="B258" s="2849"/>
      <c r="C258" s="2849"/>
      <c r="D258" s="2849"/>
      <c r="E258" s="2849"/>
      <c r="F258" s="2849"/>
      <c r="G258" s="2849"/>
      <c r="H258" s="2849"/>
    </row>
    <row r="259" spans="1:8" x14ac:dyDescent="0.2">
      <c r="A259" s="2850" t="s">
        <v>913</v>
      </c>
      <c r="B259" s="2849"/>
      <c r="C259" s="2849"/>
      <c r="D259" s="2849"/>
      <c r="E259" s="2849"/>
      <c r="F259" s="2849"/>
      <c r="G259" s="2849"/>
      <c r="H259" s="2849"/>
    </row>
    <row r="260" spans="1:8" x14ac:dyDescent="0.2">
      <c r="A260" s="2850" t="s">
        <v>914</v>
      </c>
      <c r="B260" s="2849"/>
      <c r="C260" s="2849"/>
      <c r="D260" s="2849"/>
      <c r="E260" s="2849"/>
      <c r="F260" s="2849"/>
      <c r="G260" s="2849"/>
      <c r="H260" s="2849"/>
    </row>
    <row r="261" spans="1:8" x14ac:dyDescent="0.2">
      <c r="A261" s="2850" t="s">
        <v>915</v>
      </c>
      <c r="B261" s="2849"/>
      <c r="C261" s="2849"/>
      <c r="D261" s="2849"/>
      <c r="E261" s="2849"/>
      <c r="F261" s="2849"/>
      <c r="G261" s="2849"/>
      <c r="H261" s="2849"/>
    </row>
    <row r="262" spans="1:8" x14ac:dyDescent="0.2">
      <c r="A262" s="2850" t="s">
        <v>916</v>
      </c>
      <c r="B262" s="2849"/>
      <c r="C262" s="2849"/>
      <c r="D262" s="2849"/>
      <c r="E262" s="2849"/>
      <c r="F262" s="2849"/>
      <c r="G262" s="2849"/>
      <c r="H262" s="2849"/>
    </row>
    <row r="263" spans="1:8" x14ac:dyDescent="0.2">
      <c r="A263" s="2850" t="s">
        <v>917</v>
      </c>
      <c r="B263" s="2849"/>
      <c r="C263" s="2849"/>
      <c r="D263" s="2849"/>
      <c r="E263" s="2849"/>
      <c r="F263" s="2849"/>
      <c r="G263" s="2849"/>
      <c r="H263" s="2849"/>
    </row>
    <row r="264" spans="1:8" x14ac:dyDescent="0.2">
      <c r="A264" s="2849"/>
      <c r="B264" s="2849"/>
      <c r="C264" s="2849"/>
      <c r="D264" s="2849"/>
      <c r="E264" s="2849"/>
      <c r="F264" s="2849"/>
      <c r="G264" s="2849"/>
      <c r="H264" s="2849"/>
    </row>
    <row r="265" spans="1:8" x14ac:dyDescent="0.2">
      <c r="A265" s="2850" t="s">
        <v>895</v>
      </c>
      <c r="B265" s="2849"/>
      <c r="C265" s="2849"/>
      <c r="D265" s="2849"/>
      <c r="E265" s="2849"/>
      <c r="F265" s="2849"/>
      <c r="G265" s="2849"/>
      <c r="H265" s="2849"/>
    </row>
    <row r="266" spans="1:8" x14ac:dyDescent="0.2">
      <c r="A266" s="2850" t="s">
        <v>896</v>
      </c>
      <c r="B266" s="2849"/>
      <c r="C266" s="2849"/>
      <c r="D266" s="2849"/>
      <c r="E266" s="2849"/>
      <c r="F266" s="2849"/>
      <c r="G266" s="2849"/>
      <c r="H266" s="2849"/>
    </row>
    <row r="267" spans="1:8" x14ac:dyDescent="0.2">
      <c r="A267" s="2850" t="s">
        <v>897</v>
      </c>
      <c r="B267" s="2849"/>
      <c r="C267" s="2849"/>
      <c r="D267" s="2849"/>
      <c r="E267" s="2849"/>
      <c r="F267" s="2849"/>
      <c r="G267" s="2849"/>
      <c r="H267" s="2849"/>
    </row>
    <row r="268" spans="1:8" x14ac:dyDescent="0.2">
      <c r="A268" s="2850" t="s">
        <v>898</v>
      </c>
      <c r="B268" s="2849"/>
      <c r="C268" s="2849"/>
      <c r="D268" s="2849"/>
      <c r="E268" s="2849"/>
      <c r="F268" s="2849"/>
      <c r="G268" s="2849"/>
      <c r="H268" s="2849"/>
    </row>
    <row r="269" spans="1:8" x14ac:dyDescent="0.2">
      <c r="A269" s="2850" t="s">
        <v>899</v>
      </c>
      <c r="B269" s="2849"/>
      <c r="C269" s="2849"/>
      <c r="D269" s="2849"/>
      <c r="E269" s="2849"/>
      <c r="F269" s="2849"/>
      <c r="G269" s="2849"/>
      <c r="H269" s="2849"/>
    </row>
    <row r="270" spans="1:8" x14ac:dyDescent="0.2">
      <c r="A270" s="2850" t="s">
        <v>900</v>
      </c>
      <c r="B270" s="2849"/>
      <c r="C270" s="2849"/>
      <c r="D270" s="2849"/>
      <c r="E270" s="2849"/>
      <c r="F270" s="2849"/>
      <c r="G270" s="2849"/>
      <c r="H270" s="2849"/>
    </row>
    <row r="271" spans="1:8" x14ac:dyDescent="0.2">
      <c r="A271" s="2850" t="s">
        <v>901</v>
      </c>
      <c r="B271" s="2849"/>
      <c r="C271" s="2849"/>
      <c r="D271" s="2849"/>
      <c r="E271" s="2849"/>
      <c r="F271" s="2849"/>
      <c r="G271" s="2849"/>
      <c r="H271" s="2849"/>
    </row>
    <row r="272" spans="1:8" x14ac:dyDescent="0.2">
      <c r="A272" s="2849"/>
      <c r="B272" s="2849"/>
      <c r="C272" s="2849"/>
      <c r="D272" s="2849"/>
      <c r="E272" s="2849"/>
      <c r="F272" s="2849"/>
      <c r="G272" s="2849"/>
      <c r="H272" s="2849"/>
    </row>
    <row r="273" spans="1:8" x14ac:dyDescent="0.2">
      <c r="A273" s="2850" t="s">
        <v>886</v>
      </c>
      <c r="B273" s="2849"/>
      <c r="C273" s="2849"/>
      <c r="D273" s="2849"/>
      <c r="E273" s="2849"/>
      <c r="F273" s="2849"/>
      <c r="G273" s="2849"/>
      <c r="H273" s="2849"/>
    </row>
    <row r="274" spans="1:8" x14ac:dyDescent="0.2">
      <c r="A274" s="2850" t="s">
        <v>887</v>
      </c>
      <c r="B274" s="2849"/>
      <c r="C274" s="2849"/>
      <c r="D274" s="2849"/>
      <c r="E274" s="2849"/>
      <c r="F274" s="2849"/>
      <c r="G274" s="2849"/>
      <c r="H274" s="2849"/>
    </row>
    <row r="275" spans="1:8" x14ac:dyDescent="0.2">
      <c r="A275" s="2850" t="s">
        <v>888</v>
      </c>
      <c r="B275" s="2849"/>
      <c r="C275" s="2849"/>
      <c r="D275" s="2849"/>
      <c r="E275" s="2849"/>
      <c r="F275" s="2849"/>
      <c r="G275" s="2849"/>
      <c r="H275" s="2849"/>
    </row>
    <row r="276" spans="1:8" x14ac:dyDescent="0.2">
      <c r="A276" s="2850" t="s">
        <v>889</v>
      </c>
      <c r="B276" s="2849"/>
      <c r="C276" s="2849"/>
      <c r="D276" s="2849"/>
      <c r="E276" s="2849"/>
      <c r="F276" s="2849"/>
      <c r="G276" s="2849"/>
      <c r="H276" s="2849"/>
    </row>
    <row r="277" spans="1:8" x14ac:dyDescent="0.2">
      <c r="A277" s="2850" t="s">
        <v>890</v>
      </c>
      <c r="B277" s="2849"/>
      <c r="C277" s="2849"/>
      <c r="D277" s="2849"/>
      <c r="E277" s="2849"/>
      <c r="F277" s="2849"/>
      <c r="G277" s="2849"/>
      <c r="H277" s="2849"/>
    </row>
    <row r="278" spans="1:8" x14ac:dyDescent="0.2">
      <c r="A278" s="2850" t="s">
        <v>891</v>
      </c>
      <c r="B278" s="2849"/>
      <c r="C278" s="2849"/>
      <c r="D278" s="2849"/>
      <c r="E278" s="2849"/>
      <c r="F278" s="2849"/>
      <c r="G278" s="2849"/>
      <c r="H278" s="2849"/>
    </row>
    <row r="279" spans="1:8" x14ac:dyDescent="0.2">
      <c r="A279" s="2850" t="s">
        <v>892</v>
      </c>
      <c r="B279" s="2849"/>
      <c r="C279" s="2849"/>
      <c r="D279" s="2849"/>
      <c r="E279" s="2849"/>
      <c r="F279" s="2849"/>
      <c r="G279" s="2849"/>
      <c r="H279" s="2849"/>
    </row>
    <row r="280" spans="1:8" x14ac:dyDescent="0.2">
      <c r="A280" s="2850" t="s">
        <v>893</v>
      </c>
      <c r="B280" s="2849"/>
      <c r="C280" s="2849"/>
      <c r="D280" s="2849"/>
      <c r="E280" s="2849"/>
      <c r="F280" s="2849"/>
      <c r="G280" s="2849"/>
      <c r="H280" s="2849"/>
    </row>
    <row r="281" spans="1:8" x14ac:dyDescent="0.2">
      <c r="A281" s="2850" t="s">
        <v>894</v>
      </c>
      <c r="B281" s="2849"/>
      <c r="C281" s="2849"/>
      <c r="D281" s="2849"/>
      <c r="E281" s="2849"/>
      <c r="F281" s="2849"/>
      <c r="G281" s="2849"/>
      <c r="H281" s="2849"/>
    </row>
    <row r="282" spans="1:8" x14ac:dyDescent="0.2">
      <c r="A282" s="2849"/>
      <c r="B282" s="2849"/>
      <c r="C282" s="2849"/>
      <c r="D282" s="2849"/>
      <c r="E282" s="2849"/>
      <c r="F282" s="2849"/>
      <c r="G282" s="2849"/>
      <c r="H282" s="2849"/>
    </row>
    <row r="283" spans="1:8" x14ac:dyDescent="0.2">
      <c r="A283" s="2850" t="s">
        <v>879</v>
      </c>
      <c r="B283" s="2849"/>
      <c r="C283" s="2849"/>
      <c r="D283" s="2849"/>
      <c r="E283" s="2849"/>
      <c r="F283" s="2849"/>
      <c r="G283" s="2849"/>
      <c r="H283" s="2849"/>
    </row>
    <row r="284" spans="1:8" x14ac:dyDescent="0.2">
      <c r="A284" s="2850" t="s">
        <v>880</v>
      </c>
      <c r="B284" s="2849"/>
      <c r="C284" s="2849"/>
      <c r="D284" s="2849"/>
      <c r="E284" s="2849"/>
      <c r="F284" s="2849"/>
      <c r="G284" s="2849"/>
      <c r="H284" s="2849"/>
    </row>
    <row r="285" spans="1:8" x14ac:dyDescent="0.2">
      <c r="A285" s="2850" t="s">
        <v>881</v>
      </c>
      <c r="B285" s="2849"/>
      <c r="C285" s="2849"/>
      <c r="D285" s="2849"/>
      <c r="E285" s="2849"/>
      <c r="F285" s="2849"/>
      <c r="G285" s="2849"/>
      <c r="H285" s="2849"/>
    </row>
    <row r="286" spans="1:8" x14ac:dyDescent="0.2">
      <c r="A286" s="2850" t="s">
        <v>882</v>
      </c>
      <c r="B286" s="2849"/>
      <c r="C286" s="2849"/>
      <c r="D286" s="2849"/>
      <c r="E286" s="2849"/>
      <c r="F286" s="2849"/>
      <c r="G286" s="2849"/>
      <c r="H286" s="2849"/>
    </row>
    <row r="287" spans="1:8" x14ac:dyDescent="0.2">
      <c r="A287" s="2850" t="s">
        <v>883</v>
      </c>
      <c r="B287" s="2849"/>
      <c r="C287" s="2849"/>
      <c r="D287" s="2849"/>
      <c r="E287" s="2849"/>
      <c r="F287" s="2849"/>
      <c r="G287" s="2849"/>
      <c r="H287" s="2849"/>
    </row>
    <row r="288" spans="1:8" x14ac:dyDescent="0.2">
      <c r="A288" s="2850" t="s">
        <v>884</v>
      </c>
      <c r="B288" s="2849"/>
      <c r="C288" s="2849"/>
      <c r="D288" s="2849"/>
      <c r="E288" s="2849"/>
      <c r="F288" s="2849"/>
      <c r="G288" s="2849"/>
      <c r="H288" s="2849"/>
    </row>
    <row r="289" spans="1:8" x14ac:dyDescent="0.2">
      <c r="A289" s="2850" t="s">
        <v>885</v>
      </c>
      <c r="B289" s="2849"/>
      <c r="C289" s="2849"/>
      <c r="D289" s="2849"/>
      <c r="E289" s="2849"/>
      <c r="F289" s="2849"/>
      <c r="G289" s="2849"/>
      <c r="H289" s="2849"/>
    </row>
    <row r="290" spans="1:8" x14ac:dyDescent="0.2">
      <c r="A290" s="2849"/>
      <c r="B290" s="2849"/>
      <c r="C290" s="2849"/>
      <c r="D290" s="2849"/>
      <c r="E290" s="2849"/>
      <c r="F290" s="2849"/>
      <c r="G290" s="2849"/>
      <c r="H290" s="2849"/>
    </row>
    <row r="291" spans="1:8" x14ac:dyDescent="0.2">
      <c r="A291" s="2850" t="s">
        <v>876</v>
      </c>
      <c r="B291" s="2849"/>
      <c r="C291" s="2849"/>
      <c r="D291" s="2849"/>
      <c r="E291" s="2849"/>
      <c r="F291" s="2849"/>
      <c r="G291" s="2849"/>
      <c r="H291" s="2849"/>
    </row>
    <row r="292" spans="1:8" x14ac:dyDescent="0.2">
      <c r="A292" s="2850" t="s">
        <v>877</v>
      </c>
      <c r="B292" s="2849"/>
      <c r="C292" s="2849"/>
      <c r="D292" s="2849"/>
      <c r="E292" s="2849"/>
      <c r="F292" s="2849"/>
      <c r="G292" s="2849"/>
      <c r="H292" s="2849"/>
    </row>
    <row r="293" spans="1:8" x14ac:dyDescent="0.2">
      <c r="A293" s="2850" t="s">
        <v>878</v>
      </c>
      <c r="B293" s="2849"/>
      <c r="C293" s="2849"/>
      <c r="D293" s="2849"/>
      <c r="E293" s="2849"/>
      <c r="F293" s="2849"/>
      <c r="G293" s="2849"/>
      <c r="H293" s="2849"/>
    </row>
    <row r="294" spans="1:8" x14ac:dyDescent="0.2">
      <c r="A294" s="2849"/>
      <c r="B294" s="2849"/>
      <c r="C294" s="2849"/>
      <c r="D294" s="2849"/>
      <c r="E294" s="2849"/>
      <c r="F294" s="2849"/>
      <c r="G294" s="2849"/>
      <c r="H294" s="2849"/>
    </row>
    <row r="295" spans="1:8" x14ac:dyDescent="0.2">
      <c r="A295" s="2850" t="s">
        <v>874</v>
      </c>
      <c r="B295" s="2849"/>
      <c r="C295" s="2849"/>
      <c r="D295" s="2849"/>
      <c r="E295" s="2849"/>
      <c r="F295" s="2849"/>
      <c r="G295" s="2849"/>
      <c r="H295" s="2849"/>
    </row>
    <row r="296" spans="1:8" x14ac:dyDescent="0.2">
      <c r="A296" s="2850" t="s">
        <v>875</v>
      </c>
      <c r="B296" s="2849"/>
      <c r="C296" s="2849"/>
      <c r="D296" s="2849"/>
      <c r="E296" s="2849"/>
      <c r="F296" s="2849"/>
      <c r="G296" s="2849"/>
      <c r="H296" s="2849"/>
    </row>
    <row r="297" spans="1:8" x14ac:dyDescent="0.2">
      <c r="A297" s="2849"/>
      <c r="B297" s="2849"/>
      <c r="C297" s="2849"/>
      <c r="D297" s="2849"/>
      <c r="E297" s="2849"/>
      <c r="F297" s="2849"/>
      <c r="G297" s="2849"/>
      <c r="H297" s="2849"/>
    </row>
    <row r="298" spans="1:8" x14ac:dyDescent="0.2">
      <c r="A298" s="2850" t="s">
        <v>861</v>
      </c>
      <c r="B298" s="2849"/>
      <c r="C298" s="2849"/>
      <c r="D298" s="2849"/>
      <c r="E298" s="2849"/>
      <c r="F298" s="2849"/>
      <c r="G298" s="2849"/>
      <c r="H298" s="2849"/>
    </row>
    <row r="299" spans="1:8" x14ac:dyDescent="0.2">
      <c r="A299" s="2850" t="s">
        <v>862</v>
      </c>
      <c r="B299" s="2849"/>
      <c r="C299" s="2849"/>
      <c r="D299" s="2849"/>
      <c r="E299" s="2849"/>
      <c r="F299" s="2849"/>
      <c r="G299" s="2849"/>
      <c r="H299" s="2849"/>
    </row>
    <row r="300" spans="1:8" x14ac:dyDescent="0.2">
      <c r="A300" s="2850" t="s">
        <v>863</v>
      </c>
      <c r="B300" s="2849"/>
      <c r="C300" s="2849"/>
      <c r="D300" s="2849"/>
      <c r="E300" s="2849"/>
      <c r="F300" s="2849"/>
      <c r="G300" s="2849"/>
      <c r="H300" s="2849"/>
    </row>
    <row r="301" spans="1:8" x14ac:dyDescent="0.2">
      <c r="A301" s="2850" t="s">
        <v>864</v>
      </c>
      <c r="B301" s="2849"/>
      <c r="C301" s="2849"/>
      <c r="D301" s="2849"/>
      <c r="E301" s="2849"/>
      <c r="F301" s="2849"/>
      <c r="G301" s="2849"/>
      <c r="H301" s="2849"/>
    </row>
    <row r="302" spans="1:8" x14ac:dyDescent="0.2">
      <c r="A302" s="2850" t="s">
        <v>865</v>
      </c>
      <c r="B302" s="2849"/>
      <c r="C302" s="2849"/>
      <c r="D302" s="2849"/>
      <c r="E302" s="2849"/>
      <c r="F302" s="2849"/>
      <c r="G302" s="2849"/>
      <c r="H302" s="2849"/>
    </row>
    <row r="303" spans="1:8" x14ac:dyDescent="0.2">
      <c r="A303" s="2850" t="s">
        <v>866</v>
      </c>
      <c r="B303" s="2849"/>
      <c r="C303" s="2849"/>
      <c r="D303" s="2849"/>
      <c r="E303" s="2849"/>
      <c r="F303" s="2849"/>
      <c r="G303" s="2849"/>
      <c r="H303" s="2849"/>
    </row>
    <row r="304" spans="1:8" x14ac:dyDescent="0.2">
      <c r="A304" s="2850" t="s">
        <v>867</v>
      </c>
      <c r="B304" s="2849"/>
      <c r="C304" s="2849"/>
      <c r="D304" s="2849"/>
      <c r="E304" s="2849"/>
      <c r="F304" s="2849"/>
      <c r="G304" s="2849"/>
      <c r="H304" s="2849"/>
    </row>
    <row r="305" spans="1:8" x14ac:dyDescent="0.2">
      <c r="A305" s="2850" t="s">
        <v>868</v>
      </c>
      <c r="B305" s="2849"/>
      <c r="C305" s="2849"/>
      <c r="D305" s="2849"/>
      <c r="E305" s="2849"/>
      <c r="F305" s="2849"/>
      <c r="G305" s="2849"/>
      <c r="H305" s="2849"/>
    </row>
    <row r="306" spans="1:8" x14ac:dyDescent="0.2">
      <c r="A306" s="2850" t="s">
        <v>869</v>
      </c>
      <c r="B306" s="2849"/>
      <c r="C306" s="2849"/>
      <c r="D306" s="2849"/>
      <c r="E306" s="2849"/>
      <c r="F306" s="2849"/>
      <c r="G306" s="2849"/>
      <c r="H306" s="2849"/>
    </row>
    <row r="307" spans="1:8" x14ac:dyDescent="0.2">
      <c r="A307" s="2850" t="s">
        <v>870</v>
      </c>
      <c r="B307" s="2849"/>
      <c r="C307" s="2849"/>
      <c r="D307" s="2849"/>
      <c r="E307" s="2849"/>
      <c r="F307" s="2849"/>
      <c r="G307" s="2849"/>
      <c r="H307" s="2849"/>
    </row>
    <row r="308" spans="1:8" x14ac:dyDescent="0.2">
      <c r="A308" s="2850" t="s">
        <v>871</v>
      </c>
      <c r="B308" s="2849"/>
      <c r="C308" s="2849"/>
      <c r="D308" s="2849"/>
      <c r="E308" s="2849"/>
      <c r="F308" s="2849"/>
      <c r="G308" s="2849"/>
      <c r="H308" s="2849"/>
    </row>
    <row r="309" spans="1:8" x14ac:dyDescent="0.2">
      <c r="A309" s="2850" t="s">
        <v>872</v>
      </c>
      <c r="B309" s="2849"/>
      <c r="C309" s="2849"/>
      <c r="D309" s="2849"/>
      <c r="E309" s="2849"/>
      <c r="F309" s="2849"/>
      <c r="G309" s="2849"/>
      <c r="H309" s="2849"/>
    </row>
    <row r="310" spans="1:8" x14ac:dyDescent="0.2">
      <c r="A310" s="2850" t="s">
        <v>873</v>
      </c>
      <c r="B310" s="2849"/>
      <c r="C310" s="2849"/>
      <c r="D310" s="2849"/>
      <c r="E310" s="2849"/>
      <c r="F310" s="2849"/>
      <c r="G310" s="2849"/>
      <c r="H310" s="2849"/>
    </row>
    <row r="311" spans="1:8" x14ac:dyDescent="0.2">
      <c r="A311" s="2849"/>
      <c r="B311" s="2849"/>
      <c r="C311" s="2849"/>
      <c r="D311" s="2849"/>
      <c r="E311" s="2849"/>
      <c r="F311" s="2849"/>
      <c r="G311" s="2849"/>
      <c r="H311" s="2849"/>
    </row>
    <row r="312" spans="1:8" x14ac:dyDescent="0.2">
      <c r="A312" s="2850" t="s">
        <v>853</v>
      </c>
      <c r="B312" s="2849"/>
      <c r="C312" s="2849"/>
      <c r="D312" s="2849"/>
      <c r="E312" s="2849"/>
      <c r="F312" s="2849"/>
      <c r="G312" s="2849"/>
      <c r="H312" s="2849"/>
    </row>
    <row r="313" spans="1:8" x14ac:dyDescent="0.2">
      <c r="A313" s="2850" t="s">
        <v>854</v>
      </c>
      <c r="B313" s="2849"/>
      <c r="C313" s="2849"/>
      <c r="D313" s="2849"/>
      <c r="E313" s="2849"/>
      <c r="F313" s="2849"/>
      <c r="G313" s="2849"/>
      <c r="H313" s="2849"/>
    </row>
    <row r="314" spans="1:8" x14ac:dyDescent="0.2">
      <c r="A314" s="2850" t="s">
        <v>855</v>
      </c>
      <c r="B314" s="2849"/>
      <c r="C314" s="2849"/>
      <c r="D314" s="2849"/>
      <c r="E314" s="2849"/>
      <c r="F314" s="2849"/>
      <c r="G314" s="2849"/>
      <c r="H314" s="2849"/>
    </row>
    <row r="315" spans="1:8" x14ac:dyDescent="0.2">
      <c r="A315" s="2850" t="s">
        <v>856</v>
      </c>
      <c r="B315" s="2849"/>
      <c r="C315" s="2849"/>
      <c r="D315" s="2849"/>
      <c r="E315" s="2849"/>
      <c r="F315" s="2849"/>
      <c r="G315" s="2849"/>
      <c r="H315" s="2849"/>
    </row>
    <row r="316" spans="1:8" x14ac:dyDescent="0.2">
      <c r="A316" s="2850" t="s">
        <v>857</v>
      </c>
      <c r="B316" s="2849"/>
      <c r="C316" s="2849"/>
      <c r="D316" s="2849"/>
      <c r="E316" s="2849"/>
      <c r="F316" s="2849"/>
      <c r="G316" s="2849"/>
      <c r="H316" s="2849"/>
    </row>
    <row r="317" spans="1:8" x14ac:dyDescent="0.2">
      <c r="A317" s="2850" t="s">
        <v>858</v>
      </c>
      <c r="B317" s="2849"/>
      <c r="C317" s="2849"/>
      <c r="D317" s="2849"/>
      <c r="E317" s="2849"/>
      <c r="F317" s="2849"/>
      <c r="G317" s="2849"/>
      <c r="H317" s="2849"/>
    </row>
    <row r="318" spans="1:8" x14ac:dyDescent="0.2">
      <c r="A318" s="2850" t="s">
        <v>859</v>
      </c>
      <c r="B318" s="2849"/>
      <c r="C318" s="2849"/>
      <c r="D318" s="2849"/>
      <c r="E318" s="2849"/>
      <c r="F318" s="2849"/>
      <c r="G318" s="2849"/>
      <c r="H318" s="2849"/>
    </row>
    <row r="319" spans="1:8" x14ac:dyDescent="0.2">
      <c r="A319" s="2850" t="s">
        <v>860</v>
      </c>
      <c r="B319" s="2849"/>
      <c r="C319" s="2849"/>
      <c r="D319" s="2849"/>
      <c r="E319" s="2849"/>
      <c r="F319" s="2849"/>
      <c r="G319" s="2849"/>
      <c r="H319" s="2849"/>
    </row>
    <row r="320" spans="1:8" x14ac:dyDescent="0.2">
      <c r="A320" s="2849"/>
      <c r="B320" s="2849"/>
      <c r="C320" s="2849"/>
      <c r="D320" s="2849"/>
      <c r="E320" s="2849"/>
      <c r="F320" s="2849"/>
      <c r="G320" s="2849"/>
      <c r="H320" s="2849"/>
    </row>
    <row r="321" spans="1:8" x14ac:dyDescent="0.2">
      <c r="A321" s="2850" t="s">
        <v>818</v>
      </c>
      <c r="B321" s="2849"/>
      <c r="C321" s="2849"/>
      <c r="D321" s="2849"/>
      <c r="E321" s="2849"/>
      <c r="F321" s="2849"/>
      <c r="G321" s="2849"/>
      <c r="H321" s="2849"/>
    </row>
    <row r="322" spans="1:8" x14ac:dyDescent="0.2">
      <c r="A322" s="2850" t="s">
        <v>819</v>
      </c>
      <c r="B322" s="2849"/>
      <c r="C322" s="2849"/>
      <c r="D322" s="2849"/>
      <c r="E322" s="2849"/>
      <c r="F322" s="2849"/>
      <c r="G322" s="2849"/>
      <c r="H322" s="2849"/>
    </row>
    <row r="323" spans="1:8" x14ac:dyDescent="0.2">
      <c r="A323" s="2850" t="s">
        <v>820</v>
      </c>
      <c r="B323" s="2849"/>
      <c r="C323" s="2849"/>
      <c r="D323" s="2849"/>
      <c r="E323" s="2849"/>
      <c r="F323" s="2849"/>
      <c r="G323" s="2849"/>
      <c r="H323" s="2849"/>
    </row>
    <row r="324" spans="1:8" x14ac:dyDescent="0.2">
      <c r="A324" s="2850" t="s">
        <v>821</v>
      </c>
      <c r="B324" s="2849"/>
      <c r="C324" s="2849"/>
      <c r="D324" s="2849"/>
      <c r="E324" s="2849"/>
      <c r="F324" s="2849"/>
      <c r="G324" s="2849"/>
      <c r="H324" s="2849"/>
    </row>
    <row r="325" spans="1:8" x14ac:dyDescent="0.2">
      <c r="A325" s="2850" t="s">
        <v>822</v>
      </c>
      <c r="B325" s="2849"/>
      <c r="C325" s="2849"/>
      <c r="D325" s="2849"/>
      <c r="E325" s="2849"/>
      <c r="F325" s="2849"/>
      <c r="G325" s="2849"/>
      <c r="H325" s="2849"/>
    </row>
    <row r="326" spans="1:8" x14ac:dyDescent="0.2">
      <c r="A326" s="2850" t="s">
        <v>823</v>
      </c>
      <c r="B326" s="2849"/>
      <c r="C326" s="2849"/>
      <c r="D326" s="2849"/>
      <c r="E326" s="2849"/>
      <c r="F326" s="2849"/>
      <c r="G326" s="2849"/>
      <c r="H326" s="2849"/>
    </row>
    <row r="327" spans="1:8" x14ac:dyDescent="0.2">
      <c r="A327" s="2850" t="s">
        <v>824</v>
      </c>
      <c r="B327" s="2849"/>
      <c r="C327" s="2849"/>
      <c r="D327" s="2849"/>
      <c r="E327" s="2849"/>
      <c r="F327" s="2849"/>
      <c r="G327" s="2849"/>
      <c r="H327" s="2849"/>
    </row>
    <row r="328" spans="1:8" x14ac:dyDescent="0.2">
      <c r="A328" s="2850" t="s">
        <v>825</v>
      </c>
      <c r="B328" s="2849"/>
      <c r="C328" s="2849"/>
      <c r="D328" s="2849"/>
      <c r="E328" s="2849"/>
      <c r="F328" s="2849"/>
      <c r="G328" s="2849"/>
      <c r="H328" s="2849"/>
    </row>
    <row r="329" spans="1:8" x14ac:dyDescent="0.2">
      <c r="A329" s="2850" t="s">
        <v>826</v>
      </c>
      <c r="B329" s="2849"/>
      <c r="C329" s="2849"/>
      <c r="D329" s="2849"/>
      <c r="E329" s="2849"/>
      <c r="F329" s="2849"/>
      <c r="G329" s="2849"/>
      <c r="H329" s="2849"/>
    </row>
    <row r="330" spans="1:8" x14ac:dyDescent="0.2">
      <c r="A330" s="2850" t="s">
        <v>827</v>
      </c>
      <c r="B330" s="2849"/>
      <c r="C330" s="2849"/>
      <c r="D330" s="2849"/>
      <c r="E330" s="2849"/>
      <c r="F330" s="2849"/>
      <c r="G330" s="2849"/>
      <c r="H330" s="2849"/>
    </row>
    <row r="331" spans="1:8" x14ac:dyDescent="0.2">
      <c r="A331" s="2850" t="s">
        <v>828</v>
      </c>
      <c r="B331" s="2849"/>
      <c r="C331" s="2849"/>
      <c r="D331" s="2849"/>
      <c r="E331" s="2849"/>
      <c r="F331" s="2849"/>
      <c r="G331" s="2849"/>
      <c r="H331" s="2849"/>
    </row>
    <row r="332" spans="1:8" x14ac:dyDescent="0.2">
      <c r="A332" s="2850" t="s">
        <v>829</v>
      </c>
      <c r="B332" s="2849"/>
      <c r="C332" s="2849"/>
      <c r="D332" s="2849"/>
      <c r="E332" s="2849"/>
      <c r="F332" s="2849"/>
      <c r="G332" s="2849"/>
      <c r="H332" s="2849"/>
    </row>
    <row r="333" spans="1:8" x14ac:dyDescent="0.2">
      <c r="A333" s="2850" t="s">
        <v>830</v>
      </c>
      <c r="B333" s="2849"/>
      <c r="C333" s="2849"/>
      <c r="D333" s="2849"/>
      <c r="E333" s="2849"/>
      <c r="F333" s="2849"/>
      <c r="G333" s="2849"/>
      <c r="H333" s="2849"/>
    </row>
    <row r="334" spans="1:8" x14ac:dyDescent="0.2">
      <c r="A334" s="2850" t="s">
        <v>831</v>
      </c>
      <c r="B334" s="2849"/>
      <c r="C334" s="2849"/>
      <c r="D334" s="2849"/>
      <c r="E334" s="2849"/>
      <c r="F334" s="2849"/>
      <c r="G334" s="2849"/>
      <c r="H334" s="2849"/>
    </row>
    <row r="335" spans="1:8" x14ac:dyDescent="0.2">
      <c r="A335" s="2850" t="s">
        <v>832</v>
      </c>
      <c r="B335" s="2849"/>
      <c r="C335" s="2849"/>
      <c r="D335" s="2849"/>
      <c r="E335" s="2849"/>
      <c r="F335" s="2849"/>
      <c r="G335" s="2849"/>
      <c r="H335" s="2849"/>
    </row>
    <row r="336" spans="1:8" x14ac:dyDescent="0.2">
      <c r="A336" s="2850" t="s">
        <v>833</v>
      </c>
      <c r="B336" s="2849"/>
      <c r="C336" s="2849"/>
      <c r="D336" s="2849"/>
      <c r="E336" s="2849"/>
      <c r="F336" s="2849"/>
      <c r="G336" s="2849"/>
      <c r="H336" s="2849"/>
    </row>
    <row r="337" spans="1:8" x14ac:dyDescent="0.2">
      <c r="A337" s="2850" t="s">
        <v>834</v>
      </c>
      <c r="B337" s="2849"/>
      <c r="C337" s="2849"/>
      <c r="D337" s="2849"/>
      <c r="E337" s="2849"/>
      <c r="F337" s="2849"/>
      <c r="G337" s="2849"/>
      <c r="H337" s="2849"/>
    </row>
    <row r="338" spans="1:8" x14ac:dyDescent="0.2">
      <c r="A338" s="2850" t="s">
        <v>835</v>
      </c>
      <c r="B338" s="2849"/>
      <c r="C338" s="2849"/>
      <c r="D338" s="2849"/>
      <c r="E338" s="2849"/>
      <c r="F338" s="2849"/>
      <c r="G338" s="2849"/>
      <c r="H338" s="2849"/>
    </row>
    <row r="339" spans="1:8" x14ac:dyDescent="0.2">
      <c r="A339" s="2850" t="s">
        <v>836</v>
      </c>
      <c r="B339" s="2849"/>
      <c r="C339" s="2849"/>
      <c r="D339" s="2849"/>
      <c r="E339" s="2849"/>
      <c r="F339" s="2849"/>
      <c r="G339" s="2849"/>
      <c r="H339" s="2849"/>
    </row>
    <row r="340" spans="1:8" x14ac:dyDescent="0.2">
      <c r="A340" s="2850" t="s">
        <v>837</v>
      </c>
      <c r="B340" s="2849"/>
      <c r="C340" s="2849"/>
      <c r="D340" s="2849"/>
      <c r="E340" s="2849"/>
      <c r="F340" s="2849"/>
      <c r="G340" s="2849"/>
      <c r="H340" s="2849"/>
    </row>
    <row r="341" spans="1:8" x14ac:dyDescent="0.2">
      <c r="A341" s="2850" t="s">
        <v>838</v>
      </c>
      <c r="B341" s="2849"/>
      <c r="C341" s="2849"/>
      <c r="D341" s="2849"/>
      <c r="E341" s="2849"/>
      <c r="F341" s="2849"/>
      <c r="G341" s="2849"/>
      <c r="H341" s="2849"/>
    </row>
    <row r="342" spans="1:8" x14ac:dyDescent="0.2">
      <c r="A342" s="2850" t="s">
        <v>839</v>
      </c>
      <c r="B342" s="2849"/>
      <c r="C342" s="2849"/>
      <c r="D342" s="2849"/>
      <c r="E342" s="2849"/>
      <c r="F342" s="2849"/>
      <c r="G342" s="2849"/>
      <c r="H342" s="2849"/>
    </row>
    <row r="343" spans="1:8" x14ac:dyDescent="0.2">
      <c r="A343" s="2850" t="s">
        <v>840</v>
      </c>
      <c r="B343" s="2849"/>
      <c r="C343" s="2849"/>
      <c r="D343" s="2849"/>
      <c r="E343" s="2849"/>
      <c r="F343" s="2849"/>
      <c r="G343" s="2849"/>
      <c r="H343" s="2849"/>
    </row>
    <row r="344" spans="1:8" x14ac:dyDescent="0.2">
      <c r="A344" s="2850" t="s">
        <v>841</v>
      </c>
      <c r="B344" s="2849"/>
      <c r="C344" s="2849"/>
      <c r="D344" s="2849"/>
      <c r="E344" s="2849"/>
      <c r="F344" s="2849"/>
      <c r="G344" s="2849"/>
      <c r="H344" s="2849"/>
    </row>
    <row r="345" spans="1:8" x14ac:dyDescent="0.2">
      <c r="A345" s="2850" t="s">
        <v>842</v>
      </c>
      <c r="B345" s="2849"/>
      <c r="C345" s="2849"/>
      <c r="D345" s="2849"/>
      <c r="E345" s="2849"/>
      <c r="F345" s="2849"/>
      <c r="G345" s="2849"/>
      <c r="H345" s="2849"/>
    </row>
    <row r="346" spans="1:8" x14ac:dyDescent="0.2">
      <c r="A346" s="2850" t="s">
        <v>843</v>
      </c>
      <c r="B346" s="2849"/>
      <c r="C346" s="2849"/>
      <c r="D346" s="2849"/>
      <c r="E346" s="2849"/>
      <c r="F346" s="2849"/>
      <c r="G346" s="2849"/>
      <c r="H346" s="2849"/>
    </row>
    <row r="347" spans="1:8" x14ac:dyDescent="0.2">
      <c r="A347" s="2850" t="s">
        <v>844</v>
      </c>
      <c r="B347" s="2849"/>
      <c r="C347" s="2849"/>
      <c r="D347" s="2849"/>
      <c r="E347" s="2849"/>
      <c r="F347" s="2849"/>
      <c r="G347" s="2849"/>
      <c r="H347" s="2849"/>
    </row>
    <row r="348" spans="1:8" x14ac:dyDescent="0.2">
      <c r="A348" s="2850" t="s">
        <v>845</v>
      </c>
      <c r="B348" s="2849"/>
      <c r="C348" s="2849"/>
      <c r="D348" s="2849"/>
      <c r="E348" s="2849"/>
      <c r="F348" s="2849"/>
      <c r="G348" s="2849"/>
      <c r="H348" s="2849"/>
    </row>
    <row r="349" spans="1:8" x14ac:dyDescent="0.2">
      <c r="A349" s="2850" t="s">
        <v>846</v>
      </c>
      <c r="B349" s="2849"/>
      <c r="C349" s="2849"/>
      <c r="D349" s="2849"/>
      <c r="E349" s="2849"/>
      <c r="F349" s="2849"/>
      <c r="G349" s="2849"/>
      <c r="H349" s="2849"/>
    </row>
    <row r="350" spans="1:8" x14ac:dyDescent="0.2">
      <c r="A350" s="2850" t="s">
        <v>847</v>
      </c>
      <c r="B350" s="2849"/>
      <c r="C350" s="2849"/>
      <c r="D350" s="2849"/>
      <c r="E350" s="2849"/>
      <c r="F350" s="2849"/>
      <c r="G350" s="2849"/>
      <c r="H350" s="2849"/>
    </row>
    <row r="351" spans="1:8" x14ac:dyDescent="0.2">
      <c r="A351" s="2850" t="s">
        <v>848</v>
      </c>
      <c r="B351" s="2849"/>
      <c r="C351" s="2849"/>
      <c r="D351" s="2849"/>
      <c r="E351" s="2849"/>
      <c r="F351" s="2849"/>
      <c r="G351" s="2849"/>
      <c r="H351" s="2849"/>
    </row>
    <row r="352" spans="1:8" x14ac:dyDescent="0.2">
      <c r="A352" s="2850" t="s">
        <v>849</v>
      </c>
      <c r="B352" s="2849"/>
      <c r="C352" s="2849"/>
      <c r="D352" s="2849"/>
      <c r="E352" s="2849"/>
      <c r="F352" s="2849"/>
      <c r="G352" s="2849"/>
      <c r="H352" s="2849"/>
    </row>
    <row r="353" spans="1:8" x14ac:dyDescent="0.2">
      <c r="A353" s="2850" t="s">
        <v>850</v>
      </c>
      <c r="B353" s="2849"/>
      <c r="C353" s="2849"/>
      <c r="D353" s="2849"/>
      <c r="E353" s="2849"/>
      <c r="F353" s="2849"/>
      <c r="G353" s="2849"/>
      <c r="H353" s="2849"/>
    </row>
    <row r="354" spans="1:8" x14ac:dyDescent="0.2">
      <c r="A354" s="2850" t="s">
        <v>851</v>
      </c>
      <c r="B354" s="2849"/>
      <c r="C354" s="2849"/>
      <c r="D354" s="2849"/>
      <c r="E354" s="2849"/>
      <c r="F354" s="2849"/>
      <c r="G354" s="2849"/>
      <c r="H354" s="2849"/>
    </row>
    <row r="355" spans="1:8" x14ac:dyDescent="0.2">
      <c r="A355" s="2850" t="s">
        <v>852</v>
      </c>
      <c r="B355" s="2849"/>
      <c r="C355" s="2849"/>
      <c r="D355" s="2849"/>
      <c r="E355" s="2849"/>
      <c r="F355" s="2849"/>
      <c r="G355" s="2849"/>
      <c r="H355" s="2849"/>
    </row>
    <row r="356" spans="1:8" x14ac:dyDescent="0.2">
      <c r="A356" s="2849"/>
      <c r="B356" s="2849"/>
      <c r="C356" s="2849"/>
      <c r="D356" s="2849"/>
      <c r="E356" s="2849"/>
      <c r="F356" s="2849"/>
      <c r="G356" s="2849"/>
      <c r="H356" s="2849"/>
    </row>
    <row r="357" spans="1:8" x14ac:dyDescent="0.2">
      <c r="A357" s="2850" t="s">
        <v>810</v>
      </c>
      <c r="B357" s="2849"/>
      <c r="C357" s="2849"/>
      <c r="D357" s="2849"/>
      <c r="E357" s="2849"/>
      <c r="F357" s="2849"/>
      <c r="G357" s="2849"/>
      <c r="H357" s="2849"/>
    </row>
    <row r="358" spans="1:8" x14ac:dyDescent="0.2">
      <c r="A358" s="2850" t="s">
        <v>814</v>
      </c>
      <c r="B358" s="2849"/>
      <c r="C358" s="2849"/>
      <c r="D358" s="2849"/>
      <c r="E358" s="2849"/>
      <c r="F358" s="2849"/>
      <c r="G358" s="2849"/>
      <c r="H358" s="2849"/>
    </row>
    <row r="359" spans="1:8" x14ac:dyDescent="0.2">
      <c r="A359" s="2850" t="s">
        <v>815</v>
      </c>
      <c r="B359" s="2849"/>
      <c r="C359" s="2849"/>
      <c r="D359" s="2849"/>
      <c r="E359" s="2849"/>
      <c r="F359" s="2849"/>
      <c r="G359" s="2849"/>
      <c r="H359" s="2849"/>
    </row>
    <row r="360" spans="1:8" x14ac:dyDescent="0.2">
      <c r="A360" s="2850" t="s">
        <v>816</v>
      </c>
      <c r="B360" s="2849"/>
      <c r="C360" s="2849"/>
      <c r="D360" s="2849"/>
      <c r="E360" s="2849"/>
      <c r="F360" s="2849"/>
      <c r="G360" s="2849"/>
      <c r="H360" s="2849"/>
    </row>
    <row r="361" spans="1:8" x14ac:dyDescent="0.2">
      <c r="A361" s="2850" t="s">
        <v>817</v>
      </c>
      <c r="B361" s="2849"/>
      <c r="C361" s="2849"/>
      <c r="D361" s="2849"/>
      <c r="E361" s="2849"/>
      <c r="F361" s="2849"/>
      <c r="G361" s="2849"/>
      <c r="H361" s="2849"/>
    </row>
    <row r="362" spans="1:8" x14ac:dyDescent="0.2">
      <c r="A362" s="2849"/>
      <c r="B362" s="2849"/>
      <c r="C362" s="2849"/>
      <c r="D362" s="2849"/>
      <c r="E362" s="2849"/>
      <c r="F362" s="2849"/>
      <c r="G362" s="2849"/>
      <c r="H362" s="2849"/>
    </row>
    <row r="363" spans="1:8" x14ac:dyDescent="0.2">
      <c r="A363" s="2850" t="s">
        <v>810</v>
      </c>
      <c r="B363" s="2849"/>
      <c r="C363" s="2849"/>
      <c r="D363" s="2849"/>
      <c r="E363" s="2849"/>
      <c r="F363" s="2849"/>
      <c r="G363" s="2849"/>
      <c r="H363" s="2849"/>
    </row>
    <row r="364" spans="1:8" x14ac:dyDescent="0.2">
      <c r="A364" s="2850" t="s">
        <v>811</v>
      </c>
      <c r="B364" s="2849"/>
      <c r="C364" s="2849"/>
      <c r="D364" s="2849"/>
      <c r="E364" s="2849"/>
      <c r="F364" s="2849"/>
      <c r="G364" s="2849"/>
      <c r="H364" s="2849"/>
    </row>
    <row r="365" spans="1:8" x14ac:dyDescent="0.2">
      <c r="A365" s="2850" t="s">
        <v>812</v>
      </c>
      <c r="B365" s="2849"/>
      <c r="C365" s="2849"/>
      <c r="D365" s="2849"/>
      <c r="E365" s="2849"/>
      <c r="F365" s="2849"/>
      <c r="G365" s="2849"/>
      <c r="H365" s="2849"/>
    </row>
    <row r="366" spans="1:8" x14ac:dyDescent="0.2">
      <c r="A366" s="2850" t="s">
        <v>813</v>
      </c>
      <c r="B366" s="2849"/>
      <c r="C366" s="2849"/>
      <c r="D366" s="2849"/>
      <c r="E366" s="2849"/>
      <c r="F366" s="2849"/>
      <c r="G366" s="2849"/>
      <c r="H366" s="2849"/>
    </row>
    <row r="367" spans="1:8" x14ac:dyDescent="0.2">
      <c r="A367" s="2849"/>
      <c r="B367" s="2849"/>
      <c r="C367" s="2849"/>
      <c r="D367" s="2849"/>
      <c r="E367" s="2849"/>
      <c r="F367" s="2849"/>
      <c r="G367" s="2849"/>
      <c r="H367" s="2849"/>
    </row>
    <row r="368" spans="1:8" x14ac:dyDescent="0.2">
      <c r="A368" s="2850" t="s">
        <v>804</v>
      </c>
      <c r="B368" s="2849"/>
      <c r="C368" s="2849"/>
      <c r="D368" s="2849"/>
      <c r="E368" s="2849"/>
      <c r="F368" s="2849"/>
      <c r="G368" s="2849"/>
      <c r="H368" s="2849"/>
    </row>
    <row r="369" spans="1:8" x14ac:dyDescent="0.2">
      <c r="A369" s="2850" t="s">
        <v>805</v>
      </c>
      <c r="B369" s="2849"/>
      <c r="C369" s="2849"/>
      <c r="D369" s="2849"/>
      <c r="E369" s="2849"/>
      <c r="F369" s="2849"/>
      <c r="G369" s="2849"/>
      <c r="H369" s="2849"/>
    </row>
    <row r="370" spans="1:8" x14ac:dyDescent="0.2">
      <c r="A370" s="2850" t="s">
        <v>806</v>
      </c>
      <c r="B370" s="2849"/>
      <c r="C370" s="2849"/>
      <c r="D370" s="2849"/>
      <c r="E370" s="2849"/>
      <c r="F370" s="2849"/>
      <c r="G370" s="2849"/>
      <c r="H370" s="2849"/>
    </row>
    <row r="371" spans="1:8" x14ac:dyDescent="0.2">
      <c r="A371" s="2850" t="s">
        <v>807</v>
      </c>
      <c r="B371" s="2849"/>
      <c r="C371" s="2849"/>
      <c r="D371" s="2849"/>
      <c r="E371" s="2849"/>
      <c r="F371" s="2849"/>
      <c r="G371" s="2849"/>
      <c r="H371" s="2849"/>
    </row>
    <row r="372" spans="1:8" x14ac:dyDescent="0.2">
      <c r="A372" s="2850" t="s">
        <v>808</v>
      </c>
      <c r="B372" s="2849"/>
      <c r="C372" s="2849"/>
      <c r="D372" s="2849"/>
      <c r="E372" s="2849"/>
      <c r="F372" s="2849"/>
      <c r="G372" s="2849"/>
      <c r="H372" s="2849"/>
    </row>
    <row r="373" spans="1:8" x14ac:dyDescent="0.2">
      <c r="A373" s="2850" t="s">
        <v>809</v>
      </c>
      <c r="B373" s="2849"/>
      <c r="C373" s="2849"/>
      <c r="D373" s="2849"/>
      <c r="E373" s="2849"/>
      <c r="F373" s="2849"/>
      <c r="G373" s="2849"/>
      <c r="H373" s="2849"/>
    </row>
    <row r="374" spans="1:8" x14ac:dyDescent="0.2">
      <c r="A374" s="2849"/>
      <c r="B374" s="2849"/>
      <c r="C374" s="2849"/>
      <c r="D374" s="2849"/>
      <c r="E374" s="2849"/>
      <c r="F374" s="2849"/>
      <c r="G374" s="2849"/>
      <c r="H374" s="2849"/>
    </row>
    <row r="375" spans="1:8" x14ac:dyDescent="0.2">
      <c r="A375" s="2850" t="s">
        <v>799</v>
      </c>
      <c r="B375" s="2849"/>
      <c r="C375" s="2849"/>
      <c r="D375" s="2849"/>
      <c r="E375" s="2849"/>
      <c r="F375" s="2849"/>
      <c r="G375" s="2849"/>
      <c r="H375" s="2849"/>
    </row>
    <row r="376" spans="1:8" x14ac:dyDescent="0.2">
      <c r="A376" s="2850" t="s">
        <v>800</v>
      </c>
      <c r="B376" s="2849"/>
      <c r="C376" s="2849"/>
      <c r="D376" s="2849"/>
      <c r="E376" s="2849"/>
      <c r="F376" s="2849"/>
      <c r="G376" s="2849"/>
      <c r="H376" s="2849"/>
    </row>
    <row r="377" spans="1:8" x14ac:dyDescent="0.2">
      <c r="A377" s="2850" t="s">
        <v>801</v>
      </c>
      <c r="B377" s="2849"/>
      <c r="C377" s="2849"/>
      <c r="D377" s="2849"/>
      <c r="E377" s="2849"/>
      <c r="F377" s="2849"/>
      <c r="G377" s="2849"/>
      <c r="H377" s="2849"/>
    </row>
    <row r="378" spans="1:8" x14ac:dyDescent="0.2">
      <c r="A378" s="2850" t="s">
        <v>802</v>
      </c>
      <c r="B378" s="2849"/>
      <c r="C378" s="2849"/>
      <c r="D378" s="2849"/>
      <c r="E378" s="2849"/>
      <c r="F378" s="2849"/>
      <c r="G378" s="2849"/>
      <c r="H378" s="2849"/>
    </row>
    <row r="379" spans="1:8" x14ac:dyDescent="0.2">
      <c r="A379" s="2850" t="s">
        <v>803</v>
      </c>
      <c r="B379" s="2849"/>
      <c r="C379" s="2849"/>
      <c r="D379" s="2849"/>
      <c r="E379" s="2849"/>
      <c r="F379" s="2849"/>
      <c r="G379" s="2849"/>
      <c r="H379" s="2849"/>
    </row>
    <row r="380" spans="1:8" x14ac:dyDescent="0.2">
      <c r="A380" s="2849"/>
      <c r="B380" s="2849"/>
      <c r="C380" s="2849"/>
      <c r="D380" s="2849"/>
      <c r="E380" s="2849"/>
      <c r="F380" s="2849"/>
      <c r="G380" s="2849"/>
      <c r="H380" s="2849"/>
    </row>
    <row r="381" spans="1:8" x14ac:dyDescent="0.2">
      <c r="A381" s="2850" t="s">
        <v>797</v>
      </c>
      <c r="B381" s="2849"/>
      <c r="C381" s="2849"/>
      <c r="D381" s="2849"/>
      <c r="E381" s="2849"/>
      <c r="F381" s="2849"/>
      <c r="G381" s="2849"/>
      <c r="H381" s="2849"/>
    </row>
    <row r="382" spans="1:8" x14ac:dyDescent="0.2">
      <c r="A382" s="2850" t="s">
        <v>798</v>
      </c>
      <c r="B382" s="2849"/>
      <c r="C382" s="2849"/>
      <c r="D382" s="2849"/>
      <c r="E382" s="2849"/>
      <c r="F382" s="2849"/>
      <c r="G382" s="2849"/>
      <c r="H382" s="2849"/>
    </row>
    <row r="384" spans="1:8" x14ac:dyDescent="0.2">
      <c r="A384" s="2845" t="s">
        <v>1048</v>
      </c>
    </row>
  </sheetData>
  <mergeCells count="12">
    <mergeCell ref="A122:H122"/>
    <mergeCell ref="A123:H123"/>
    <mergeCell ref="B115:C115"/>
    <mergeCell ref="D115:F115"/>
    <mergeCell ref="G115:H115"/>
    <mergeCell ref="A101:H101"/>
    <mergeCell ref="A102:H102"/>
    <mergeCell ref="A103:H103"/>
    <mergeCell ref="A104:H104"/>
    <mergeCell ref="A106:H106"/>
    <mergeCell ref="A107:H107"/>
    <mergeCell ref="A114:H114"/>
  </mergeCells>
  <pageMargins left="0.5" right="0.5" top="0.5" bottom="0.5" header="0.5" footer="0.5"/>
  <pageSetup orientation="portrait" horizont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16"/>
  <sheetViews>
    <sheetView showGridLines="0" zoomScale="85" workbookViewId="0"/>
  </sheetViews>
  <sheetFormatPr defaultColWidth="10.6640625" defaultRowHeight="11.25" x14ac:dyDescent="0.2"/>
  <cols>
    <col min="1" max="1" width="10.6640625" customWidth="1"/>
    <col min="2" max="2" width="44.83203125" customWidth="1"/>
    <col min="3" max="3" width="15" customWidth="1"/>
  </cols>
  <sheetData>
    <row r="1" spans="1:16" ht="12.75" x14ac:dyDescent="0.2">
      <c r="A1" s="931"/>
      <c r="B1" s="931"/>
      <c r="C1" s="931"/>
      <c r="D1" s="931"/>
      <c r="E1" s="931"/>
      <c r="F1" s="931"/>
      <c r="G1" s="931"/>
      <c r="H1" s="931"/>
      <c r="I1" s="931"/>
      <c r="J1" s="931"/>
      <c r="K1" s="931"/>
      <c r="L1" s="931"/>
      <c r="M1" s="931"/>
      <c r="N1" s="931"/>
      <c r="O1" s="931"/>
      <c r="P1" s="931"/>
    </row>
    <row r="2" spans="1:16" ht="28.5" customHeight="1" x14ac:dyDescent="0.35">
      <c r="A2" s="931"/>
      <c r="B2" s="933" t="s">
        <v>182</v>
      </c>
      <c r="C2" s="931"/>
      <c r="D2" s="931"/>
      <c r="E2" s="931"/>
      <c r="F2" s="931"/>
      <c r="G2" s="931"/>
      <c r="H2" s="931"/>
      <c r="I2" s="931"/>
      <c r="J2" s="931"/>
      <c r="K2" s="931"/>
      <c r="L2" s="931"/>
      <c r="M2" s="931"/>
      <c r="N2" s="931"/>
      <c r="O2" s="931"/>
      <c r="P2" s="931"/>
    </row>
    <row r="3" spans="1:16" ht="15.75" x14ac:dyDescent="0.25">
      <c r="A3" s="931"/>
      <c r="B3" s="934" t="s">
        <v>174</v>
      </c>
      <c r="C3" s="934" t="s">
        <v>0</v>
      </c>
      <c r="D3" s="934"/>
      <c r="E3" s="934"/>
      <c r="F3" s="934"/>
      <c r="G3" s="934"/>
      <c r="H3" s="934"/>
      <c r="I3" s="934"/>
      <c r="J3" s="934"/>
      <c r="K3" s="934"/>
      <c r="L3" s="934"/>
      <c r="M3" s="934"/>
      <c r="N3" s="934"/>
      <c r="O3" s="934"/>
      <c r="P3" s="934"/>
    </row>
    <row r="4" spans="1:16" ht="15.75" x14ac:dyDescent="0.25">
      <c r="A4" s="931"/>
      <c r="B4" s="934" t="s">
        <v>175</v>
      </c>
      <c r="C4" s="934" t="s">
        <v>619</v>
      </c>
      <c r="D4" s="934"/>
      <c r="E4" s="934"/>
      <c r="F4" s="934"/>
      <c r="G4" s="934"/>
      <c r="H4" s="934"/>
      <c r="I4" s="934"/>
      <c r="J4" s="934"/>
      <c r="K4" s="934"/>
      <c r="L4" s="934"/>
      <c r="M4" s="934"/>
      <c r="N4" s="934"/>
      <c r="O4" s="934"/>
      <c r="P4" s="934"/>
    </row>
    <row r="5" spans="1:16" ht="15.75" x14ac:dyDescent="0.25">
      <c r="A5" s="931"/>
      <c r="B5" s="934" t="s">
        <v>176</v>
      </c>
      <c r="C5" s="2675">
        <v>74</v>
      </c>
      <c r="D5" s="1046"/>
      <c r="E5" s="1046"/>
      <c r="F5" s="1046"/>
      <c r="G5" s="1046"/>
      <c r="H5" s="1046"/>
      <c r="I5" s="1046"/>
      <c r="J5" s="1046"/>
      <c r="K5" s="1046"/>
      <c r="L5" s="1046"/>
      <c r="M5" s="1046"/>
      <c r="N5" s="1046"/>
      <c r="O5" s="1046"/>
      <c r="P5" s="1046"/>
    </row>
    <row r="6" spans="1:16" ht="15.75" x14ac:dyDescent="0.25">
      <c r="A6" s="931"/>
      <c r="B6" s="934" t="s">
        <v>177</v>
      </c>
      <c r="C6" s="935" t="s">
        <v>178</v>
      </c>
      <c r="D6" s="935"/>
      <c r="E6" s="935"/>
      <c r="F6" s="935"/>
      <c r="G6" s="935"/>
      <c r="H6" s="935"/>
      <c r="I6" s="935"/>
      <c r="J6" s="935"/>
      <c r="K6" s="935"/>
      <c r="L6" s="935"/>
      <c r="M6" s="935"/>
      <c r="N6" s="935"/>
      <c r="O6" s="935"/>
      <c r="P6" s="935"/>
    </row>
    <row r="7" spans="1:16" ht="12.75" x14ac:dyDescent="0.2">
      <c r="A7" s="931"/>
      <c r="B7" s="931"/>
      <c r="C7" s="931"/>
      <c r="D7" s="931"/>
      <c r="E7" s="931"/>
      <c r="F7" s="931"/>
      <c r="G7" s="931"/>
      <c r="H7" s="931"/>
      <c r="I7" s="931"/>
      <c r="J7" s="931"/>
      <c r="K7" s="931"/>
      <c r="L7" s="931"/>
      <c r="M7" s="931"/>
      <c r="N7" s="931"/>
      <c r="O7" s="931"/>
      <c r="P7" s="931"/>
    </row>
    <row r="8" spans="1:16" ht="12.75" x14ac:dyDescent="0.2">
      <c r="A8" s="936"/>
      <c r="B8" s="937"/>
      <c r="C8" s="937"/>
    </row>
    <row r="9" spans="1:16" ht="12.75" x14ac:dyDescent="0.2">
      <c r="A9" s="936"/>
      <c r="B9" s="937"/>
      <c r="C9" s="937"/>
    </row>
    <row r="10" spans="1:16" ht="15" x14ac:dyDescent="0.25">
      <c r="A10" s="936"/>
      <c r="B10" s="938" t="s">
        <v>179</v>
      </c>
      <c r="C10" s="938"/>
    </row>
    <row r="11" spans="1:16" ht="15" x14ac:dyDescent="0.25">
      <c r="A11" s="936"/>
      <c r="B11" s="938" t="s">
        <v>180</v>
      </c>
      <c r="C11" s="938"/>
    </row>
    <row r="12" spans="1:16" ht="15" x14ac:dyDescent="0.25">
      <c r="A12" s="936"/>
      <c r="B12" s="1045" t="s">
        <v>181</v>
      </c>
      <c r="C12" s="938"/>
    </row>
    <row r="13" spans="1:16" ht="12.75" x14ac:dyDescent="0.2">
      <c r="A13" s="932"/>
      <c r="C13" s="932"/>
    </row>
    <row r="14" spans="1:16" ht="15" x14ac:dyDescent="0.25">
      <c r="A14" s="932"/>
      <c r="B14" s="938" t="s">
        <v>601</v>
      </c>
      <c r="C14" s="932"/>
    </row>
    <row r="15" spans="1:16" ht="15" x14ac:dyDescent="0.25">
      <c r="A15" s="932"/>
      <c r="B15" s="938" t="s">
        <v>602</v>
      </c>
      <c r="C15" s="932"/>
    </row>
    <row r="16" spans="1:16" ht="12.75" x14ac:dyDescent="0.2">
      <c r="A16" s="932"/>
      <c r="B16" s="1045" t="s">
        <v>603</v>
      </c>
      <c r="C16" s="932"/>
    </row>
  </sheetData>
  <phoneticPr fontId="6" type="noConversion"/>
  <hyperlinks>
    <hyperlink ref="B16" r:id="rId1"/>
    <hyperlink ref="B12" r:id="rId2"/>
  </hyperlinks>
  <pageMargins left="0.75" right="0.75" top="1" bottom="1" header="0.5" footer="0.5"/>
  <pageSetup orientation="portrait" r:id="rId3"/>
  <headerFooter alignWithMargins="0"/>
  <drawing r:id="rId4"/>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indexed="29"/>
    <pageSetUpPr autoPageBreaks="0" fitToPage="1"/>
  </sheetPr>
  <dimension ref="A1:IZ348"/>
  <sheetViews>
    <sheetView showGridLines="0" zoomScale="85" zoomScaleNormal="85" zoomScaleSheetLayoutView="85" workbookViewId="0">
      <pane xSplit="1" ySplit="6" topLeftCell="DB7" activePane="bottomRight" state="frozen"/>
      <selection activeCell="DE144" sqref="DE144"/>
      <selection pane="topRight" activeCell="DE144" sqref="DE144"/>
      <selection pane="bottomLeft" activeCell="DE144" sqref="DE144"/>
      <selection pane="bottomRight" activeCell="DB7" sqref="DB7"/>
    </sheetView>
  </sheetViews>
  <sheetFormatPr defaultRowHeight="11.25" customHeight="1" outlineLevelRow="1" outlineLevelCol="2" x14ac:dyDescent="0.2"/>
  <cols>
    <col min="1" max="1" width="48.83203125" style="99" bestFit="1" customWidth="1"/>
    <col min="2" max="65" width="10.33203125" style="99" hidden="1" customWidth="1" outlineLevel="1"/>
    <col min="66" max="68" width="9.5" style="99" hidden="1" customWidth="1" outlineLevel="1"/>
    <col min="69" max="93" width="10.33203125" style="99" hidden="1" customWidth="1" outlineLevel="1"/>
    <col min="94" max="94" width="10.33203125" style="99" hidden="1" customWidth="1" outlineLevel="1" collapsed="1"/>
    <col min="95" max="97" width="10.33203125" style="99" hidden="1" customWidth="1" outlineLevel="1"/>
    <col min="98" max="98" width="9.1640625" style="99" hidden="1" customWidth="1" outlineLevel="1" collapsed="1"/>
    <col min="99" max="100" width="9.1640625" style="99" hidden="1" customWidth="1" outlineLevel="1"/>
    <col min="101" max="101" width="9.83203125" style="99" hidden="1" customWidth="1" outlineLevel="1"/>
    <col min="102" max="104" width="9.1640625" style="99" hidden="1" customWidth="1" outlineLevel="1"/>
    <col min="105" max="105" width="10" style="99" hidden="1" customWidth="1" outlineLevel="1"/>
    <col min="106" max="106" width="9.1640625" style="99" customWidth="1" collapsed="1"/>
    <col min="107" max="113" width="9.83203125" style="99" customWidth="1"/>
    <col min="114" max="114" width="9.83203125" style="190" customWidth="1"/>
    <col min="115" max="117" width="9.83203125" style="99" customWidth="1"/>
    <col min="118" max="119" width="1.1640625" style="99" customWidth="1"/>
    <col min="120" max="138" width="10.33203125" style="99" hidden="1" customWidth="1" outlineLevel="2"/>
    <col min="139" max="139" width="10.33203125" style="99" hidden="1" customWidth="1" outlineLevel="2" collapsed="1"/>
    <col min="140" max="142" width="11" style="99" hidden="1" customWidth="1" outlineLevel="2"/>
    <col min="143" max="143" width="11" style="99" hidden="1" customWidth="1" outlineLevel="1" collapsed="1"/>
    <col min="144" max="144" width="11" style="99" hidden="1" customWidth="1" outlineLevel="1"/>
    <col min="145" max="145" width="11" style="99" hidden="1" customWidth="1" outlineLevel="2"/>
    <col min="146" max="146" width="11.83203125" style="99" hidden="1" customWidth="1" outlineLevel="2"/>
    <col min="147" max="147" width="11" style="99" hidden="1" customWidth="1" outlineLevel="1" collapsed="1"/>
    <col min="148" max="148" width="11.83203125" style="99" hidden="1" customWidth="1" outlineLevel="1"/>
    <col min="149" max="149" width="10.33203125" style="99" hidden="1" customWidth="1" outlineLevel="2"/>
    <col min="150" max="150" width="10.5" style="99" hidden="1" customWidth="1" outlineLevel="1" collapsed="1"/>
    <col min="151" max="151" width="10" style="99" hidden="1" customWidth="1" outlineLevel="1" collapsed="1"/>
    <col min="152" max="152" width="10.1640625" style="99" hidden="1" customWidth="1" outlineLevel="1"/>
    <col min="153" max="153" width="10.33203125" style="99" customWidth="1" collapsed="1"/>
    <col min="154" max="156" width="10.33203125" style="99" bestFit="1" customWidth="1"/>
    <col min="157" max="157" width="10" style="99" customWidth="1"/>
    <col min="158" max="158" width="10.33203125" style="99" customWidth="1"/>
    <col min="159" max="159" width="10.33203125" style="99" hidden="1" customWidth="1" outlineLevel="1"/>
    <col min="160" max="160" width="10.5" style="99" hidden="1" customWidth="1" outlineLevel="1"/>
    <col min="161" max="164" width="10" style="99" hidden="1" customWidth="1" outlineLevel="1"/>
    <col min="165" max="165" width="9.33203125" style="99" customWidth="1" collapsed="1"/>
    <col min="166" max="166" width="49" hidden="1" customWidth="1" outlineLevel="1"/>
    <col min="167" max="171" width="7.83203125" hidden="1" customWidth="1" outlineLevel="1"/>
    <col min="172" max="172" width="9.33203125" style="99" customWidth="1" collapsed="1"/>
    <col min="173" max="174" width="9.33203125" style="99" customWidth="1"/>
    <col min="175" max="176" width="10.33203125" style="259" customWidth="1"/>
    <col min="177" max="177" width="9.33203125" style="99"/>
    <col min="178" max="180" width="10.5" style="259" bestFit="1" customWidth="1"/>
    <col min="181" max="16384" width="9.33203125" style="99"/>
  </cols>
  <sheetData>
    <row r="1" spans="1:260" s="4" customFormat="1" ht="16.5" customHeight="1" x14ac:dyDescent="0.2">
      <c r="B1" s="1908"/>
      <c r="C1" s="1908"/>
      <c r="D1" s="1908"/>
      <c r="E1" s="1908"/>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1908"/>
      <c r="AI1" s="1908"/>
      <c r="AJ1" s="1908"/>
      <c r="AK1" s="1908"/>
      <c r="AL1" s="1908"/>
      <c r="AM1" s="1908"/>
      <c r="AN1" s="1908"/>
      <c r="AO1" s="1908"/>
      <c r="AP1" s="1908"/>
      <c r="AQ1" s="1908"/>
      <c r="AR1" s="1908"/>
      <c r="AS1" s="1908"/>
      <c r="AT1" s="1908">
        <f t="shared" ref="AT1:BM1" si="0">AT255</f>
        <v>0</v>
      </c>
      <c r="AU1" s="1908">
        <f t="shared" si="0"/>
        <v>0</v>
      </c>
      <c r="AV1" s="1908">
        <f t="shared" si="0"/>
        <v>0</v>
      </c>
      <c r="AW1" s="1908">
        <f t="shared" si="0"/>
        <v>0</v>
      </c>
      <c r="AX1" s="1908">
        <f t="shared" si="0"/>
        <v>0</v>
      </c>
      <c r="AY1" s="1908">
        <f t="shared" si="0"/>
        <v>0</v>
      </c>
      <c r="AZ1" s="1908">
        <f t="shared" si="0"/>
        <v>0</v>
      </c>
      <c r="BA1" s="1908">
        <f t="shared" si="0"/>
        <v>0</v>
      </c>
      <c r="BB1" s="1908">
        <f t="shared" si="0"/>
        <v>0</v>
      </c>
      <c r="BC1" s="1908">
        <f t="shared" si="0"/>
        <v>0</v>
      </c>
      <c r="BD1" s="1908">
        <f t="shared" si="0"/>
        <v>0</v>
      </c>
      <c r="BE1" s="1908">
        <f t="shared" si="0"/>
        <v>0</v>
      </c>
      <c r="BF1" s="1908">
        <f t="shared" si="0"/>
        <v>0</v>
      </c>
      <c r="BG1" s="1908">
        <f t="shared" si="0"/>
        <v>0</v>
      </c>
      <c r="BH1" s="1908">
        <f t="shared" si="0"/>
        <v>0</v>
      </c>
      <c r="BI1" s="1908">
        <f t="shared" si="0"/>
        <v>0</v>
      </c>
      <c r="BJ1" s="1908">
        <f t="shared" si="0"/>
        <v>0</v>
      </c>
      <c r="BK1" s="1908">
        <f t="shared" si="0"/>
        <v>0</v>
      </c>
      <c r="BL1" s="1908">
        <f t="shared" si="0"/>
        <v>0</v>
      </c>
      <c r="BM1" s="1908">
        <f t="shared" si="0"/>
        <v>0</v>
      </c>
      <c r="BN1" s="1908">
        <f t="shared" ref="BN1:CW1" si="1">BN255</f>
        <v>0</v>
      </c>
      <c r="BO1" s="1908">
        <f t="shared" si="1"/>
        <v>0</v>
      </c>
      <c r="BP1" s="1908">
        <f t="shared" si="1"/>
        <v>0</v>
      </c>
      <c r="BQ1" s="1908">
        <f t="shared" si="1"/>
        <v>0</v>
      </c>
      <c r="BR1" s="1908">
        <f t="shared" si="1"/>
        <v>0</v>
      </c>
      <c r="BS1" s="1908">
        <f t="shared" si="1"/>
        <v>0</v>
      </c>
      <c r="BT1" s="1908">
        <f t="shared" si="1"/>
        <v>0</v>
      </c>
      <c r="BU1" s="1908">
        <f t="shared" si="1"/>
        <v>0</v>
      </c>
      <c r="BV1" s="1908">
        <f t="shared" si="1"/>
        <v>0</v>
      </c>
      <c r="BW1" s="1908">
        <f t="shared" si="1"/>
        <v>0</v>
      </c>
      <c r="BX1" s="1908">
        <f t="shared" si="1"/>
        <v>0</v>
      </c>
      <c r="BY1" s="1908">
        <f t="shared" si="1"/>
        <v>0</v>
      </c>
      <c r="BZ1" s="1908">
        <f t="shared" si="1"/>
        <v>0</v>
      </c>
      <c r="CA1" s="1908">
        <f t="shared" si="1"/>
        <v>0</v>
      </c>
      <c r="CB1" s="1908">
        <f t="shared" si="1"/>
        <v>0</v>
      </c>
      <c r="CC1" s="1908">
        <f t="shared" si="1"/>
        <v>0</v>
      </c>
      <c r="CD1" s="1908">
        <f t="shared" si="1"/>
        <v>0</v>
      </c>
      <c r="CE1" s="1908">
        <f t="shared" si="1"/>
        <v>0</v>
      </c>
      <c r="CF1" s="1908">
        <f t="shared" si="1"/>
        <v>0</v>
      </c>
      <c r="CG1" s="1908">
        <f t="shared" si="1"/>
        <v>0</v>
      </c>
      <c r="CH1" s="1908">
        <f t="shared" si="1"/>
        <v>0</v>
      </c>
      <c r="CI1" s="1908">
        <f t="shared" si="1"/>
        <v>0</v>
      </c>
      <c r="CJ1" s="1908">
        <f t="shared" si="1"/>
        <v>0</v>
      </c>
      <c r="CK1" s="1908">
        <f t="shared" si="1"/>
        <v>0</v>
      </c>
      <c r="CL1" s="1908">
        <f t="shared" si="1"/>
        <v>0</v>
      </c>
      <c r="CM1" s="1908">
        <f t="shared" si="1"/>
        <v>0</v>
      </c>
      <c r="CN1" s="1908">
        <f t="shared" si="1"/>
        <v>0</v>
      </c>
      <c r="CO1" s="1908">
        <f t="shared" si="1"/>
        <v>0</v>
      </c>
      <c r="CP1" s="1908">
        <f t="shared" si="1"/>
        <v>0</v>
      </c>
      <c r="CQ1" s="1908">
        <f t="shared" si="1"/>
        <v>0</v>
      </c>
      <c r="CR1" s="1908">
        <f t="shared" si="1"/>
        <v>0</v>
      </c>
      <c r="CS1" s="1908">
        <f t="shared" si="1"/>
        <v>0</v>
      </c>
      <c r="CT1" s="1908">
        <f t="shared" si="1"/>
        <v>0</v>
      </c>
      <c r="CU1" s="1908">
        <f t="shared" si="1"/>
        <v>0</v>
      </c>
      <c r="CV1" s="1908">
        <f t="shared" si="1"/>
        <v>0</v>
      </c>
      <c r="CW1" s="1908">
        <f t="shared" si="1"/>
        <v>0</v>
      </c>
      <c r="CX1" s="1908">
        <f>CX255</f>
        <v>0</v>
      </c>
      <c r="CY1" s="1908">
        <f t="shared" ref="CY1:FH1" si="2">CY255</f>
        <v>0</v>
      </c>
      <c r="CZ1" s="1908">
        <f t="shared" si="2"/>
        <v>0</v>
      </c>
      <c r="DA1" s="1908">
        <f t="shared" si="2"/>
        <v>0</v>
      </c>
      <c r="DB1" s="1908">
        <f t="shared" si="2"/>
        <v>0</v>
      </c>
      <c r="DC1" s="1908">
        <f t="shared" si="2"/>
        <v>0</v>
      </c>
      <c r="DD1" s="1908">
        <f t="shared" si="2"/>
        <v>0</v>
      </c>
      <c r="DE1" s="1908">
        <f t="shared" si="2"/>
        <v>0</v>
      </c>
      <c r="DF1" s="1908">
        <f t="shared" si="2"/>
        <v>0</v>
      </c>
      <c r="DG1" s="1908">
        <f t="shared" si="2"/>
        <v>0</v>
      </c>
      <c r="DH1" s="1908">
        <f t="shared" si="2"/>
        <v>0</v>
      </c>
      <c r="DI1" s="1908">
        <f t="shared" si="2"/>
        <v>0</v>
      </c>
      <c r="DJ1" s="2678">
        <f t="shared" si="2"/>
        <v>0</v>
      </c>
      <c r="DK1" s="1908">
        <f t="shared" si="2"/>
        <v>0</v>
      </c>
      <c r="DL1" s="1908">
        <f t="shared" si="2"/>
        <v>0</v>
      </c>
      <c r="DM1" s="1908">
        <f t="shared" si="2"/>
        <v>0</v>
      </c>
      <c r="DN1" s="1908"/>
      <c r="DO1" s="1908"/>
      <c r="DP1" s="1908">
        <f t="shared" si="2"/>
        <v>0</v>
      </c>
      <c r="DQ1" s="1908">
        <f t="shared" si="2"/>
        <v>0</v>
      </c>
      <c r="DR1" s="1908">
        <f t="shared" si="2"/>
        <v>0</v>
      </c>
      <c r="DS1" s="1908">
        <f t="shared" si="2"/>
        <v>0</v>
      </c>
      <c r="DT1" s="1908">
        <f t="shared" si="2"/>
        <v>0</v>
      </c>
      <c r="DU1" s="1908">
        <f t="shared" si="2"/>
        <v>0</v>
      </c>
      <c r="DV1" s="1908">
        <f t="shared" si="2"/>
        <v>0</v>
      </c>
      <c r="DW1" s="1908">
        <f t="shared" si="2"/>
        <v>0</v>
      </c>
      <c r="DX1" s="1908">
        <f t="shared" si="2"/>
        <v>0</v>
      </c>
      <c r="DY1" s="1908">
        <f t="shared" si="2"/>
        <v>0</v>
      </c>
      <c r="DZ1" s="1908">
        <f t="shared" si="2"/>
        <v>0</v>
      </c>
      <c r="EA1" s="1908">
        <f t="shared" si="2"/>
        <v>0</v>
      </c>
      <c r="EB1" s="1908">
        <f t="shared" si="2"/>
        <v>0</v>
      </c>
      <c r="EC1" s="1908">
        <f t="shared" si="2"/>
        <v>0</v>
      </c>
      <c r="ED1" s="1908">
        <f t="shared" si="2"/>
        <v>0</v>
      </c>
      <c r="EE1" s="1908">
        <f t="shared" si="2"/>
        <v>0</v>
      </c>
      <c r="EF1" s="1908">
        <f t="shared" si="2"/>
        <v>0</v>
      </c>
      <c r="EG1" s="1908">
        <f t="shared" si="2"/>
        <v>0</v>
      </c>
      <c r="EH1" s="1908">
        <f t="shared" si="2"/>
        <v>0</v>
      </c>
      <c r="EI1" s="1908">
        <f t="shared" si="2"/>
        <v>0</v>
      </c>
      <c r="EJ1" s="1908">
        <f t="shared" si="2"/>
        <v>0</v>
      </c>
      <c r="EK1" s="1908">
        <f t="shared" si="2"/>
        <v>0</v>
      </c>
      <c r="EL1" s="1908">
        <f t="shared" si="2"/>
        <v>0</v>
      </c>
      <c r="EM1" s="1908">
        <f t="shared" si="2"/>
        <v>0</v>
      </c>
      <c r="EN1" s="1908">
        <f t="shared" si="2"/>
        <v>0</v>
      </c>
      <c r="EO1" s="1908">
        <f t="shared" si="2"/>
        <v>0</v>
      </c>
      <c r="EP1" s="1908">
        <f t="shared" si="2"/>
        <v>0</v>
      </c>
      <c r="EQ1" s="1908">
        <f t="shared" si="2"/>
        <v>0</v>
      </c>
      <c r="ER1" s="1908">
        <f t="shared" si="2"/>
        <v>0</v>
      </c>
      <c r="ES1" s="1908">
        <f t="shared" si="2"/>
        <v>0</v>
      </c>
      <c r="ET1" s="1908">
        <f t="shared" si="2"/>
        <v>0</v>
      </c>
      <c r="EU1" s="1908">
        <f t="shared" si="2"/>
        <v>0</v>
      </c>
      <c r="EV1" s="1908">
        <f t="shared" si="2"/>
        <v>0</v>
      </c>
      <c r="EW1" s="1908">
        <f t="shared" si="2"/>
        <v>0</v>
      </c>
      <c r="EX1" s="1908">
        <f t="shared" si="2"/>
        <v>0</v>
      </c>
      <c r="EY1" s="1908">
        <f t="shared" si="2"/>
        <v>0</v>
      </c>
      <c r="EZ1" s="1908">
        <f t="shared" si="2"/>
        <v>0</v>
      </c>
      <c r="FA1" s="1908">
        <f t="shared" si="2"/>
        <v>0</v>
      </c>
      <c r="FB1" s="1908">
        <f t="shared" si="2"/>
        <v>0</v>
      </c>
      <c r="FC1" s="1908">
        <f t="shared" si="2"/>
        <v>0</v>
      </c>
      <c r="FD1" s="1908">
        <f t="shared" si="2"/>
        <v>0</v>
      </c>
      <c r="FE1" s="1908">
        <f t="shared" si="2"/>
        <v>0</v>
      </c>
      <c r="FF1" s="1908">
        <f t="shared" si="2"/>
        <v>0</v>
      </c>
      <c r="FG1" s="1908">
        <f t="shared" si="2"/>
        <v>0</v>
      </c>
      <c r="FH1" s="1908">
        <f t="shared" si="2"/>
        <v>0</v>
      </c>
      <c r="FJ1"/>
      <c r="FK1"/>
      <c r="FL1"/>
      <c r="FM1"/>
      <c r="FN1"/>
      <c r="FO1"/>
      <c r="FS1"/>
      <c r="FT1"/>
      <c r="FU1"/>
      <c r="FV1" s="134"/>
      <c r="FW1" s="134"/>
      <c r="FX1" s="134"/>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row>
    <row r="2" spans="1:260" s="190" customFormat="1" ht="12.75" x14ac:dyDescent="0.2">
      <c r="A2" s="2" t="s">
        <v>182</v>
      </c>
      <c r="AW2" s="265"/>
      <c r="BB2" s="185"/>
      <c r="BC2" s="185"/>
      <c r="BE2" s="185"/>
      <c r="BF2" s="185"/>
      <c r="BG2" s="185"/>
      <c r="BH2" s="259"/>
      <c r="BI2" s="185"/>
      <c r="BJ2" s="185"/>
      <c r="BK2" s="185"/>
      <c r="BL2" s="185"/>
      <c r="BM2" s="185"/>
      <c r="BN2" s="1047"/>
      <c r="BO2" s="1047"/>
      <c r="BP2" s="1047"/>
      <c r="BQ2" s="1047"/>
      <c r="BR2" s="1047"/>
      <c r="BS2" s="1047"/>
      <c r="BT2" s="1047"/>
      <c r="BU2" s="185"/>
      <c r="BV2" s="1047"/>
      <c r="BW2" s="1047"/>
      <c r="BX2" s="1047"/>
      <c r="BY2" s="185"/>
      <c r="BZ2" s="1047"/>
      <c r="CA2" s="1047"/>
      <c r="CB2" s="1047"/>
      <c r="CC2" s="185"/>
      <c r="CD2" s="1047"/>
      <c r="CE2" s="1047"/>
      <c r="CF2" s="1047"/>
      <c r="CG2" s="185"/>
      <c r="CH2" s="1047"/>
      <c r="CI2" s="1047"/>
      <c r="CJ2" s="1047"/>
      <c r="CK2" s="185"/>
      <c r="CL2" s="1047"/>
      <c r="CM2" s="1047"/>
      <c r="CN2" s="1047"/>
      <c r="CO2" s="185"/>
      <c r="CP2" s="185"/>
      <c r="CQ2" s="185"/>
      <c r="CR2" s="185"/>
      <c r="CS2" s="185"/>
      <c r="CT2" s="185"/>
      <c r="CU2" s="161"/>
      <c r="CV2" s="161"/>
      <c r="CW2" s="1085"/>
      <c r="CX2" s="1356"/>
      <c r="CY2" s="353"/>
      <c r="CZ2" s="1356"/>
      <c r="DA2" s="185"/>
      <c r="DB2" s="2840"/>
      <c r="DC2" s="2840"/>
      <c r="DD2" s="2840"/>
      <c r="DE2" s="2840"/>
      <c r="DF2" s="2840"/>
      <c r="DG2" s="2840"/>
      <c r="DH2" s="2840"/>
      <c r="DI2" s="1356"/>
      <c r="DJ2" s="1356"/>
      <c r="DK2" s="1356"/>
      <c r="DL2" s="1356"/>
      <c r="DM2" s="1356"/>
      <c r="DN2" s="185"/>
      <c r="EI2" s="1047"/>
      <c r="EJ2" s="1047"/>
      <c r="EL2" s="185"/>
      <c r="EM2" s="1047"/>
      <c r="EN2" s="1047"/>
      <c r="EV2" s="185"/>
      <c r="EW2" s="185"/>
      <c r="EX2" s="185"/>
      <c r="EY2" s="185"/>
      <c r="EZ2" s="2842"/>
      <c r="FA2" s="2842"/>
      <c r="FB2" s="2842"/>
      <c r="FC2" s="185"/>
      <c r="FD2" s="185"/>
      <c r="FE2" s="185"/>
      <c r="FG2" s="185"/>
      <c r="FI2" s="3"/>
      <c r="FJ2"/>
      <c r="FK2"/>
      <c r="FL2"/>
      <c r="FM2"/>
      <c r="FN2"/>
      <c r="FO2"/>
      <c r="FP2" s="3"/>
      <c r="FQ2" s="4"/>
      <c r="FR2" s="4"/>
      <c r="FS2" s="185"/>
      <c r="FT2" s="185"/>
      <c r="FU2"/>
      <c r="FV2" s="134"/>
      <c r="FW2" s="134"/>
      <c r="FX2" s="134"/>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row>
    <row r="3" spans="1:260" s="190" customFormat="1" ht="12.75" x14ac:dyDescent="0.2">
      <c r="A3" s="2" t="s">
        <v>53</v>
      </c>
      <c r="B3" s="2569"/>
      <c r="C3" s="2570"/>
      <c r="D3" s="2571"/>
      <c r="E3" s="2571"/>
      <c r="F3" s="2569"/>
      <c r="G3" s="2570"/>
      <c r="H3" s="2571"/>
      <c r="I3" s="2571"/>
      <c r="J3" s="2569"/>
      <c r="K3" s="2570"/>
      <c r="L3" s="2571"/>
      <c r="M3" s="2571"/>
      <c r="N3" s="2569"/>
      <c r="O3" s="2570"/>
      <c r="P3" s="2571"/>
      <c r="Q3" s="2571"/>
      <c r="R3" s="2569"/>
      <c r="S3" s="2570"/>
      <c r="T3" s="2571"/>
      <c r="U3" s="2571"/>
      <c r="V3" s="2569"/>
      <c r="W3" s="2570"/>
      <c r="X3" s="2571"/>
      <c r="Y3" s="2571"/>
      <c r="Z3" s="2569"/>
      <c r="AA3" s="2570"/>
      <c r="AB3" s="2571"/>
      <c r="AC3" s="2571"/>
      <c r="AD3" s="2569"/>
      <c r="AE3" s="2570"/>
      <c r="AF3" s="2571"/>
      <c r="AG3" s="2571"/>
      <c r="AH3" s="2569"/>
      <c r="AI3" s="2570"/>
      <c r="AJ3" s="2571"/>
      <c r="AK3" s="2571"/>
      <c r="AL3" s="2569"/>
      <c r="AM3" s="2570"/>
      <c r="AN3" s="2571"/>
      <c r="AO3" s="2571"/>
      <c r="AP3" s="2569"/>
      <c r="AQ3" s="2570"/>
      <c r="AR3" s="2571"/>
      <c r="AS3" s="2571"/>
      <c r="AT3" s="2569"/>
      <c r="AU3" s="2570"/>
      <c r="AV3" s="2571"/>
      <c r="AW3" s="2571"/>
      <c r="AX3" s="2569"/>
      <c r="AY3" s="2570"/>
      <c r="AZ3" s="2571"/>
      <c r="BA3" s="2571"/>
      <c r="BB3" s="2569"/>
      <c r="BC3" s="2570"/>
      <c r="BD3" s="2571"/>
      <c r="BE3" s="2571"/>
      <c r="BF3" s="2569"/>
      <c r="BG3" s="2570"/>
      <c r="BH3" s="2571"/>
      <c r="BI3" s="2571"/>
      <c r="BJ3" s="2569"/>
      <c r="BK3" s="2570"/>
      <c r="BL3" s="2571"/>
      <c r="BM3" s="2571"/>
      <c r="BN3" s="2569"/>
      <c r="BO3" s="2570"/>
      <c r="BP3" s="2571"/>
      <c r="BQ3" s="2571"/>
      <c r="BR3" s="2569"/>
      <c r="BS3" s="2570"/>
      <c r="BT3" s="2571"/>
      <c r="BU3" s="2571"/>
      <c r="BV3" s="2569"/>
      <c r="BW3" s="2570"/>
      <c r="BX3" s="2571"/>
      <c r="BY3" s="2571"/>
      <c r="BZ3" s="2569"/>
      <c r="CA3" s="2570"/>
      <c r="CB3" s="2571"/>
      <c r="CC3" s="2571"/>
      <c r="CD3" s="2569"/>
      <c r="CE3" s="2570"/>
      <c r="CF3" s="2571"/>
      <c r="CG3" s="2571"/>
      <c r="CH3" s="2569"/>
      <c r="CI3" s="2570"/>
      <c r="CJ3" s="2571"/>
      <c r="CK3" s="2571"/>
      <c r="CL3" s="2569"/>
      <c r="CM3" s="2570"/>
      <c r="CN3" s="2571"/>
      <c r="CO3" s="2571"/>
      <c r="CP3" s="2569"/>
      <c r="CQ3" s="2570"/>
      <c r="CR3" s="2571"/>
      <c r="CS3" s="2571"/>
      <c r="CT3" s="2569"/>
      <c r="CU3" s="2570"/>
      <c r="CV3" s="2571"/>
      <c r="CW3" s="2571"/>
      <c r="CX3" s="2569"/>
      <c r="CY3" s="2570"/>
      <c r="CZ3" s="2571"/>
      <c r="DA3" s="2571"/>
      <c r="DB3" s="2839"/>
      <c r="DC3" s="2839"/>
      <c r="DD3" s="2835"/>
      <c r="DE3" s="2835"/>
      <c r="DF3" s="2835"/>
      <c r="DG3" s="2835"/>
      <c r="DH3" s="2835"/>
      <c r="DI3" s="2835"/>
      <c r="DJ3" s="1476"/>
      <c r="DK3" s="1476"/>
      <c r="DL3" s="1476"/>
      <c r="DM3" s="1476"/>
      <c r="DN3" s="82"/>
      <c r="EI3" s="5"/>
      <c r="EJ3" s="5"/>
      <c r="EL3" s="82"/>
      <c r="EM3" s="5"/>
      <c r="EN3" s="5"/>
      <c r="EU3" s="1387"/>
      <c r="EV3" s="1387"/>
      <c r="EW3" s="2179"/>
      <c r="EX3" s="2179"/>
      <c r="EY3" s="2179"/>
      <c r="EZ3" s="2841"/>
      <c r="FA3" s="2839"/>
      <c r="FB3" s="2839"/>
      <c r="FC3" s="82"/>
      <c r="FD3" s="82"/>
      <c r="FE3" s="82"/>
      <c r="FG3" s="82"/>
      <c r="FI3" s="3"/>
      <c r="FJ3"/>
      <c r="FK3"/>
      <c r="FL3"/>
      <c r="FM3"/>
      <c r="FN3"/>
      <c r="FO3"/>
      <c r="FP3" s="3"/>
      <c r="FQ3" s="4"/>
      <c r="FR3" s="4"/>
      <c r="FS3" s="82"/>
      <c r="FT3" s="82"/>
      <c r="FU3"/>
      <c r="FV3" s="134"/>
      <c r="FW3" s="134"/>
      <c r="FX3" s="134"/>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row>
    <row r="4" spans="1:260" s="3" customFormat="1" ht="11.25" customHeight="1" x14ac:dyDescent="0.2">
      <c r="A4" s="3" t="s">
        <v>288</v>
      </c>
      <c r="BB4" s="95"/>
      <c r="BC4" s="95"/>
      <c r="BE4" s="95"/>
      <c r="BF4" s="95"/>
      <c r="BG4" s="95"/>
      <c r="BH4" s="7"/>
      <c r="BI4" s="95"/>
      <c r="BJ4" s="7"/>
      <c r="BK4" s="7"/>
      <c r="BL4" s="7"/>
      <c r="BM4" s="7"/>
      <c r="BN4" s="7"/>
      <c r="BO4" s="7"/>
      <c r="BP4" s="7"/>
      <c r="BQ4" s="7"/>
      <c r="BR4" s="7"/>
      <c r="BS4" s="7"/>
      <c r="BT4" s="7"/>
      <c r="BU4" s="7"/>
      <c r="BV4" s="7"/>
      <c r="BW4" s="7"/>
      <c r="BX4" s="7"/>
      <c r="BY4" s="7"/>
      <c r="BZ4" s="7"/>
      <c r="CA4" s="7"/>
      <c r="CB4" s="7"/>
      <c r="CC4" s="7"/>
      <c r="CD4" s="7"/>
      <c r="CE4" s="7"/>
      <c r="CF4" s="7"/>
      <c r="CG4" s="7"/>
      <c r="CH4" s="7"/>
      <c r="CI4" s="7"/>
      <c r="CJ4" s="7"/>
      <c r="CK4" s="7"/>
      <c r="CL4" s="7"/>
      <c r="CM4" s="7"/>
      <c r="CN4" s="7"/>
      <c r="CO4" s="7"/>
      <c r="CP4" s="7"/>
      <c r="CQ4" s="7"/>
      <c r="CR4" s="7"/>
      <c r="CS4" s="7"/>
      <c r="CT4" s="7"/>
      <c r="CU4" s="7"/>
      <c r="CV4" s="7"/>
      <c r="CW4" s="7"/>
      <c r="CX4" s="7"/>
      <c r="CY4" s="1472"/>
      <c r="CZ4" s="1472"/>
      <c r="DA4" s="1472"/>
      <c r="DB4" s="1472"/>
      <c r="DC4" s="1472"/>
      <c r="DD4" s="1472"/>
      <c r="DE4" s="1472"/>
      <c r="DF4" s="1472"/>
      <c r="DG4" s="1472"/>
      <c r="DH4" s="1472"/>
      <c r="DI4" s="2836"/>
      <c r="DJ4" s="1472"/>
      <c r="DK4" s="1472"/>
      <c r="DL4" s="1472"/>
      <c r="DM4" s="1472"/>
      <c r="DN4" s="7"/>
      <c r="DO4" s="7"/>
      <c r="EJ4" s="81"/>
      <c r="EK4" s="7"/>
      <c r="EL4" s="7"/>
      <c r="EM4" s="7"/>
      <c r="EN4" s="7"/>
      <c r="EO4" s="7"/>
      <c r="EP4" s="7"/>
      <c r="EQ4" s="7"/>
      <c r="ER4" s="7"/>
      <c r="ES4" s="7"/>
      <c r="ET4" s="7"/>
      <c r="EU4" s="7"/>
      <c r="EV4" s="841"/>
      <c r="EW4" s="841"/>
      <c r="EX4" s="65"/>
      <c r="EY4" s="65"/>
      <c r="EZ4" s="769"/>
      <c r="FA4" s="841"/>
      <c r="FB4" s="7"/>
      <c r="FC4" s="7"/>
      <c r="FD4" s="7"/>
      <c r="FE4" s="7"/>
      <c r="FG4" s="7"/>
      <c r="FJ4"/>
      <c r="FK4"/>
      <c r="FL4"/>
      <c r="FM4"/>
      <c r="FN4"/>
      <c r="FO4"/>
      <c r="FQ4" s="4"/>
      <c r="FR4" s="4"/>
      <c r="FS4" s="7"/>
      <c r="FT4" s="7"/>
      <c r="FU4"/>
      <c r="FV4" s="134"/>
      <c r="FW4" s="134"/>
      <c r="FX4" s="13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row>
    <row r="5" spans="1:260" s="4" customFormat="1" ht="11.25" customHeight="1" x14ac:dyDescent="0.2">
      <c r="A5" s="3"/>
      <c r="B5" s="209">
        <v>1993</v>
      </c>
      <c r="C5" s="32"/>
      <c r="D5" s="210"/>
      <c r="E5" s="32"/>
      <c r="F5" s="209">
        <f>+B5+1</f>
        <v>1994</v>
      </c>
      <c r="G5" s="32"/>
      <c r="H5" s="210"/>
      <c r="I5" s="32"/>
      <c r="J5" s="209">
        <f>+F5+1</f>
        <v>1995</v>
      </c>
      <c r="K5" s="32"/>
      <c r="L5" s="210"/>
      <c r="M5" s="32"/>
      <c r="N5" s="209">
        <f>+J5+1</f>
        <v>1996</v>
      </c>
      <c r="O5" s="32"/>
      <c r="P5" s="210"/>
      <c r="Q5" s="32"/>
      <c r="R5" s="209">
        <f>+N5+1</f>
        <v>1997</v>
      </c>
      <c r="S5" s="32"/>
      <c r="T5" s="210"/>
      <c r="U5" s="32"/>
      <c r="V5" s="209">
        <f>+R5+1</f>
        <v>1998</v>
      </c>
      <c r="W5" s="32"/>
      <c r="X5" s="210"/>
      <c r="Y5" s="32"/>
      <c r="Z5" s="209">
        <f>+V5+1</f>
        <v>1999</v>
      </c>
      <c r="AA5" s="32"/>
      <c r="AB5" s="210"/>
      <c r="AC5" s="32"/>
      <c r="AD5" s="209">
        <f>+Z5+1</f>
        <v>2000</v>
      </c>
      <c r="AE5" s="32"/>
      <c r="AF5" s="210"/>
      <c r="AG5" s="32"/>
      <c r="AH5" s="209">
        <f>+AD5+1</f>
        <v>2001</v>
      </c>
      <c r="AI5" s="32"/>
      <c r="AJ5" s="210"/>
      <c r="AK5" s="32"/>
      <c r="AL5" s="209">
        <f>+AH5+1</f>
        <v>2002</v>
      </c>
      <c r="AM5" s="32"/>
      <c r="AN5" s="210"/>
      <c r="AO5" s="32"/>
      <c r="AP5" s="209">
        <f>+AL5+1</f>
        <v>2003</v>
      </c>
      <c r="AQ5" s="32"/>
      <c r="AR5" s="32"/>
      <c r="AS5" s="32"/>
      <c r="AT5" s="209">
        <f>+AP5+1</f>
        <v>2004</v>
      </c>
      <c r="AU5" s="32"/>
      <c r="AV5" s="32"/>
      <c r="AW5" s="32"/>
      <c r="AX5" s="86">
        <v>2005</v>
      </c>
      <c r="AY5" s="32"/>
      <c r="AZ5" s="32"/>
      <c r="BA5" s="32"/>
      <c r="BB5" s="86">
        <v>2006</v>
      </c>
      <c r="BC5" s="32"/>
      <c r="BD5" s="32"/>
      <c r="BE5" s="32"/>
      <c r="BF5" s="86">
        <v>2007</v>
      </c>
      <c r="BG5" s="32"/>
      <c r="BH5" s="32"/>
      <c r="BI5" s="32"/>
      <c r="BJ5" s="86">
        <v>2008</v>
      </c>
      <c r="BK5" s="32"/>
      <c r="BL5" s="32"/>
      <c r="BM5" s="32"/>
      <c r="BN5" s="86">
        <v>2009</v>
      </c>
      <c r="BO5" s="32"/>
      <c r="BP5" s="32"/>
      <c r="BQ5" s="32"/>
      <c r="BR5" s="86">
        <v>2010</v>
      </c>
      <c r="BS5" s="32"/>
      <c r="BT5" s="32"/>
      <c r="BU5" s="32"/>
      <c r="BV5" s="86">
        <v>2011</v>
      </c>
      <c r="BW5" s="32"/>
      <c r="BX5" s="32"/>
      <c r="BY5" s="32"/>
      <c r="BZ5" s="209" t="s">
        <v>357</v>
      </c>
      <c r="CA5" s="32"/>
      <c r="CB5" s="210"/>
      <c r="CC5" s="32"/>
      <c r="CD5" s="209" t="s">
        <v>358</v>
      </c>
      <c r="CE5" s="32"/>
      <c r="CF5" s="210"/>
      <c r="CG5" s="32"/>
      <c r="CH5" s="86">
        <v>2012</v>
      </c>
      <c r="CI5" s="32"/>
      <c r="CJ5" s="32"/>
      <c r="CK5" s="32"/>
      <c r="CL5" s="86" t="s">
        <v>501</v>
      </c>
      <c r="CM5" s="32"/>
      <c r="CN5" s="32"/>
      <c r="CO5" s="32"/>
      <c r="CP5" s="86">
        <v>2013</v>
      </c>
      <c r="CQ5" s="32"/>
      <c r="CR5" s="32"/>
      <c r="CS5" s="32"/>
      <c r="CT5" s="86">
        <v>2014</v>
      </c>
      <c r="CU5" s="929"/>
      <c r="CV5" s="929"/>
      <c r="CW5" s="1159"/>
      <c r="CX5" s="86">
        <v>2015</v>
      </c>
      <c r="CY5" s="1159"/>
      <c r="CZ5" s="1159"/>
      <c r="DA5" s="1159"/>
      <c r="DB5" s="86">
        <v>2016</v>
      </c>
      <c r="DC5" s="2716"/>
      <c r="DD5" s="1159"/>
      <c r="DE5" s="1159"/>
      <c r="DF5" s="86">
        <v>2017</v>
      </c>
      <c r="DG5" s="2716"/>
      <c r="DH5" s="1159"/>
      <c r="DI5" s="1159"/>
      <c r="DJ5" s="1159" t="s">
        <v>745</v>
      </c>
      <c r="DK5" s="2716"/>
      <c r="DL5" s="1159"/>
      <c r="DM5" s="1159"/>
      <c r="DN5" s="96"/>
      <c r="DO5" s="7"/>
      <c r="DP5" s="3"/>
      <c r="DQ5" s="3"/>
      <c r="DR5" s="3"/>
      <c r="DS5" s="3"/>
      <c r="DT5" s="3"/>
      <c r="DU5" s="3"/>
      <c r="DV5" s="3"/>
      <c r="DW5" s="3"/>
      <c r="DX5" s="3"/>
      <c r="DY5" s="3"/>
      <c r="DZ5" s="3"/>
      <c r="EA5" s="3"/>
      <c r="EB5" s="3"/>
      <c r="EC5" s="3"/>
      <c r="ED5" s="3"/>
      <c r="EE5" s="3"/>
      <c r="EF5" s="3"/>
      <c r="EG5" s="3"/>
      <c r="EH5" s="3"/>
      <c r="EI5" s="3"/>
      <c r="EJ5" s="3"/>
      <c r="EK5" s="3"/>
      <c r="EL5" s="3"/>
      <c r="EM5" s="3"/>
      <c r="EN5" s="3"/>
      <c r="EO5" s="3"/>
      <c r="EP5" s="3"/>
      <c r="EQ5" s="3"/>
      <c r="ER5" s="3"/>
      <c r="ES5" s="3"/>
      <c r="ET5" s="3"/>
      <c r="EU5" s="3"/>
      <c r="EV5" s="3"/>
      <c r="EW5" s="987"/>
      <c r="EZ5" s="427"/>
      <c r="FJ5"/>
      <c r="FK5"/>
      <c r="FL5"/>
      <c r="FM5"/>
      <c r="FN5"/>
      <c r="FO5"/>
      <c r="FS5" s="573"/>
      <c r="FT5" s="573"/>
      <c r="FU5"/>
      <c r="FV5" s="134"/>
      <c r="FW5" s="134"/>
      <c r="FX5" s="134"/>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row>
    <row r="6" spans="1:260" s="1214" customFormat="1" x14ac:dyDescent="0.2">
      <c r="A6" s="1213" t="s">
        <v>132</v>
      </c>
      <c r="B6" s="451" t="s">
        <v>393</v>
      </c>
      <c r="C6" s="451" t="s">
        <v>394</v>
      </c>
      <c r="D6" s="451" t="s">
        <v>395</v>
      </c>
      <c r="E6" s="452" t="s">
        <v>396</v>
      </c>
      <c r="F6" s="451" t="s">
        <v>397</v>
      </c>
      <c r="G6" s="451" t="s">
        <v>398</v>
      </c>
      <c r="H6" s="451" t="s">
        <v>399</v>
      </c>
      <c r="I6" s="452" t="s">
        <v>400</v>
      </c>
      <c r="J6" s="451" t="s">
        <v>401</v>
      </c>
      <c r="K6" s="451" t="s">
        <v>402</v>
      </c>
      <c r="L6" s="451" t="s">
        <v>403</v>
      </c>
      <c r="M6" s="452" t="s">
        <v>404</v>
      </c>
      <c r="N6" s="451" t="s">
        <v>405</v>
      </c>
      <c r="O6" s="451" t="s">
        <v>406</v>
      </c>
      <c r="P6" s="451" t="s">
        <v>407</v>
      </c>
      <c r="Q6" s="452" t="s">
        <v>408</v>
      </c>
      <c r="R6" s="451" t="s">
        <v>409</v>
      </c>
      <c r="S6" s="451" t="s">
        <v>410</v>
      </c>
      <c r="T6" s="451" t="s">
        <v>411</v>
      </c>
      <c r="U6" s="452" t="s">
        <v>412</v>
      </c>
      <c r="V6" s="451" t="s">
        <v>413</v>
      </c>
      <c r="W6" s="451" t="s">
        <v>414</v>
      </c>
      <c r="X6" s="451" t="s">
        <v>415</v>
      </c>
      <c r="Y6" s="452" t="s">
        <v>416</v>
      </c>
      <c r="Z6" s="451" t="s">
        <v>417</v>
      </c>
      <c r="AA6" s="451" t="s">
        <v>418</v>
      </c>
      <c r="AB6" s="451" t="s">
        <v>419</v>
      </c>
      <c r="AC6" s="452" t="s">
        <v>420</v>
      </c>
      <c r="AD6" s="451" t="s">
        <v>421</v>
      </c>
      <c r="AE6" s="451" t="s">
        <v>422</v>
      </c>
      <c r="AF6" s="451" t="s">
        <v>423</v>
      </c>
      <c r="AG6" s="452" t="s">
        <v>424</v>
      </c>
      <c r="AH6" s="451" t="s">
        <v>425</v>
      </c>
      <c r="AI6" s="451" t="s">
        <v>426</v>
      </c>
      <c r="AJ6" s="451" t="s">
        <v>427</v>
      </c>
      <c r="AK6" s="452" t="s">
        <v>428</v>
      </c>
      <c r="AL6" s="451" t="s">
        <v>429</v>
      </c>
      <c r="AM6" s="451" t="s">
        <v>430</v>
      </c>
      <c r="AN6" s="451" t="s">
        <v>431</v>
      </c>
      <c r="AO6" s="452" t="s">
        <v>432</v>
      </c>
      <c r="AP6" s="451" t="s">
        <v>433</v>
      </c>
      <c r="AQ6" s="451" t="s">
        <v>434</v>
      </c>
      <c r="AR6" s="451" t="s">
        <v>435</v>
      </c>
      <c r="AS6" s="452" t="s">
        <v>436</v>
      </c>
      <c r="AT6" s="451" t="s">
        <v>437</v>
      </c>
      <c r="AU6" s="451" t="s">
        <v>438</v>
      </c>
      <c r="AV6" s="451" t="s">
        <v>439</v>
      </c>
      <c r="AW6" s="452" t="s">
        <v>440</v>
      </c>
      <c r="AX6" s="451" t="s">
        <v>441</v>
      </c>
      <c r="AY6" s="451" t="s">
        <v>442</v>
      </c>
      <c r="AZ6" s="451" t="s">
        <v>443</v>
      </c>
      <c r="BA6" s="452" t="s">
        <v>444</v>
      </c>
      <c r="BB6" s="451" t="s">
        <v>475</v>
      </c>
      <c r="BC6" s="451" t="s">
        <v>561</v>
      </c>
      <c r="BD6" s="451" t="s">
        <v>102</v>
      </c>
      <c r="BE6" s="452" t="s">
        <v>562</v>
      </c>
      <c r="BF6" s="451" t="s">
        <v>125</v>
      </c>
      <c r="BG6" s="451" t="s">
        <v>386</v>
      </c>
      <c r="BH6" s="451" t="s">
        <v>114</v>
      </c>
      <c r="BI6" s="452" t="s">
        <v>566</v>
      </c>
      <c r="BJ6" s="451" t="s">
        <v>464</v>
      </c>
      <c r="BK6" s="451" t="s">
        <v>465</v>
      </c>
      <c r="BL6" s="451" t="s">
        <v>466</v>
      </c>
      <c r="BM6" s="452" t="s">
        <v>467</v>
      </c>
      <c r="BN6" s="451" t="s">
        <v>34</v>
      </c>
      <c r="BO6" s="451" t="s">
        <v>6</v>
      </c>
      <c r="BP6" s="451" t="s">
        <v>7</v>
      </c>
      <c r="BQ6" s="452" t="s">
        <v>8</v>
      </c>
      <c r="BR6" s="451" t="s">
        <v>9</v>
      </c>
      <c r="BS6" s="451" t="s">
        <v>10</v>
      </c>
      <c r="BT6" s="451" t="s">
        <v>11</v>
      </c>
      <c r="BU6" s="451" t="s">
        <v>12</v>
      </c>
      <c r="BV6" s="451" t="s">
        <v>300</v>
      </c>
      <c r="BW6" s="945" t="s">
        <v>307</v>
      </c>
      <c r="BX6" s="945" t="s">
        <v>344</v>
      </c>
      <c r="BY6" s="506" t="s">
        <v>345</v>
      </c>
      <c r="BZ6" s="946" t="s">
        <v>9</v>
      </c>
      <c r="CA6" s="946" t="s">
        <v>10</v>
      </c>
      <c r="CB6" s="946" t="s">
        <v>11</v>
      </c>
      <c r="CC6" s="696" t="s">
        <v>12</v>
      </c>
      <c r="CD6" s="946" t="s">
        <v>300</v>
      </c>
      <c r="CE6" s="946" t="s">
        <v>307</v>
      </c>
      <c r="CF6" s="946" t="s">
        <v>344</v>
      </c>
      <c r="CG6" s="696" t="s">
        <v>345</v>
      </c>
      <c r="CH6" s="451" t="s">
        <v>550</v>
      </c>
      <c r="CI6" s="945" t="s">
        <v>304</v>
      </c>
      <c r="CJ6" s="945" t="s">
        <v>387</v>
      </c>
      <c r="CK6" s="945" t="s">
        <v>101</v>
      </c>
      <c r="CL6" s="451" t="s">
        <v>550</v>
      </c>
      <c r="CM6" s="945" t="s">
        <v>304</v>
      </c>
      <c r="CN6" s="945" t="s">
        <v>387</v>
      </c>
      <c r="CO6" s="506" t="s">
        <v>101</v>
      </c>
      <c r="CP6" s="1049" t="s">
        <v>500</v>
      </c>
      <c r="CQ6" s="945" t="s">
        <v>340</v>
      </c>
      <c r="CR6" s="945" t="s">
        <v>572</v>
      </c>
      <c r="CS6" s="506" t="s">
        <v>390</v>
      </c>
      <c r="CT6" s="1049" t="s">
        <v>474</v>
      </c>
      <c r="CU6" s="945" t="s">
        <v>604</v>
      </c>
      <c r="CV6" s="945" t="s">
        <v>606</v>
      </c>
      <c r="CW6" s="506" t="s">
        <v>607</v>
      </c>
      <c r="CX6" s="1049" t="s">
        <v>608</v>
      </c>
      <c r="CY6" s="945" t="s">
        <v>613</v>
      </c>
      <c r="CZ6" s="945" t="s">
        <v>618</v>
      </c>
      <c r="DA6" s="506" t="s">
        <v>620</v>
      </c>
      <c r="DB6" s="1049" t="s">
        <v>623</v>
      </c>
      <c r="DC6" s="945" t="s">
        <v>625</v>
      </c>
      <c r="DD6" s="945" t="s">
        <v>636</v>
      </c>
      <c r="DE6" s="506" t="s">
        <v>637</v>
      </c>
      <c r="DF6" s="1049" t="s">
        <v>732</v>
      </c>
      <c r="DG6" s="945" t="s">
        <v>741</v>
      </c>
      <c r="DH6" s="945" t="s">
        <v>750</v>
      </c>
      <c r="DI6" s="506" t="s">
        <v>751</v>
      </c>
      <c r="DJ6" s="2679" t="s">
        <v>746</v>
      </c>
      <c r="DK6" s="1164" t="s">
        <v>747</v>
      </c>
      <c r="DL6" s="1164" t="s">
        <v>748</v>
      </c>
      <c r="DM6" s="1165" t="s">
        <v>749</v>
      </c>
      <c r="DN6" s="979"/>
      <c r="DO6" s="1344"/>
      <c r="DP6" s="930">
        <v>1985</v>
      </c>
      <c r="DQ6" s="930">
        <v>1986</v>
      </c>
      <c r="DR6" s="930">
        <v>1987</v>
      </c>
      <c r="DS6" s="930">
        <v>1988</v>
      </c>
      <c r="DT6" s="930">
        <v>1989</v>
      </c>
      <c r="DU6" s="930" t="s">
        <v>103</v>
      </c>
      <c r="DV6" s="930" t="s">
        <v>104</v>
      </c>
      <c r="DW6" s="930">
        <v>1992</v>
      </c>
      <c r="DX6" s="930">
        <v>1993</v>
      </c>
      <c r="DY6" s="930">
        <v>1994</v>
      </c>
      <c r="DZ6" s="930">
        <v>1995</v>
      </c>
      <c r="EA6" s="930">
        <v>1996</v>
      </c>
      <c r="EB6" s="930">
        <v>1997</v>
      </c>
      <c r="EC6" s="930">
        <v>1998</v>
      </c>
      <c r="ED6" s="930">
        <v>1999</v>
      </c>
      <c r="EE6" s="930">
        <v>2000</v>
      </c>
      <c r="EF6" s="930">
        <v>2001</v>
      </c>
      <c r="EG6" s="930">
        <v>2002</v>
      </c>
      <c r="EH6" s="930">
        <v>2003</v>
      </c>
      <c r="EI6" s="930">
        <v>2004</v>
      </c>
      <c r="EJ6" s="930">
        <v>2005</v>
      </c>
      <c r="EK6" s="930">
        <v>2006</v>
      </c>
      <c r="EL6" s="930">
        <v>2007</v>
      </c>
      <c r="EM6" s="930">
        <v>2008</v>
      </c>
      <c r="EN6" s="930">
        <v>2009</v>
      </c>
      <c r="EO6" s="930">
        <v>2010</v>
      </c>
      <c r="EP6" s="930">
        <v>2011</v>
      </c>
      <c r="EQ6" s="930" t="s">
        <v>357</v>
      </c>
      <c r="ER6" s="930" t="s">
        <v>358</v>
      </c>
      <c r="ES6" s="930">
        <v>2012</v>
      </c>
      <c r="ET6" s="930" t="s">
        <v>501</v>
      </c>
      <c r="EU6" s="1107">
        <v>2013</v>
      </c>
      <c r="EV6" s="1108">
        <f>EU6+1</f>
        <v>2014</v>
      </c>
      <c r="EW6" s="1108">
        <v>2015</v>
      </c>
      <c r="EX6" s="1108">
        <f t="shared" ref="EX6:FH6" si="3">EW6+1</f>
        <v>2016</v>
      </c>
      <c r="EY6" s="1108">
        <f t="shared" si="3"/>
        <v>2017</v>
      </c>
      <c r="EZ6" s="1677">
        <f t="shared" si="3"/>
        <v>2018</v>
      </c>
      <c r="FA6" s="1109">
        <f t="shared" si="3"/>
        <v>2019</v>
      </c>
      <c r="FB6" s="1109">
        <f t="shared" si="3"/>
        <v>2020</v>
      </c>
      <c r="FC6" s="1109">
        <f t="shared" si="3"/>
        <v>2021</v>
      </c>
      <c r="FD6" s="1109">
        <f t="shared" si="3"/>
        <v>2022</v>
      </c>
      <c r="FE6" s="1109">
        <f t="shared" si="3"/>
        <v>2023</v>
      </c>
      <c r="FF6" s="1109">
        <f t="shared" si="3"/>
        <v>2024</v>
      </c>
      <c r="FG6" s="1109">
        <f t="shared" si="3"/>
        <v>2025</v>
      </c>
      <c r="FH6" s="1109">
        <f t="shared" si="3"/>
        <v>2026</v>
      </c>
      <c r="FI6" s="413"/>
      <c r="FJ6"/>
      <c r="FK6"/>
      <c r="FL6"/>
      <c r="FM6"/>
      <c r="FN6"/>
      <c r="FO6"/>
      <c r="FP6" s="4"/>
      <c r="FQ6" s="4"/>
      <c r="FR6" s="4"/>
      <c r="FS6" s="1345"/>
      <c r="FT6" s="1345"/>
      <c r="FU6"/>
      <c r="FV6" s="134"/>
      <c r="FW6" s="134"/>
      <c r="FX6" s="134"/>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row>
    <row r="7" spans="1:260" s="1215" customFormat="1" ht="13.5" customHeight="1" x14ac:dyDescent="0.2">
      <c r="A7" s="888" t="s">
        <v>29</v>
      </c>
      <c r="B7" s="1039">
        <v>441.91899999999998</v>
      </c>
      <c r="C7" s="1039">
        <v>562.98</v>
      </c>
      <c r="D7" s="1039">
        <v>808.476</v>
      </c>
      <c r="E7" s="1040">
        <v>1193.1590000000001</v>
      </c>
      <c r="F7" s="1041">
        <v>849.4</v>
      </c>
      <c r="G7" s="1041">
        <v>933.17200000000003</v>
      </c>
      <c r="H7" s="1041">
        <v>1349.8710000000001</v>
      </c>
      <c r="I7" s="1040">
        <v>1947.1110000000001</v>
      </c>
      <c r="J7" s="1041">
        <v>1274.6690000000001</v>
      </c>
      <c r="K7" s="1041">
        <v>1437.9110000000001</v>
      </c>
      <c r="L7" s="1041">
        <v>1929.277</v>
      </c>
      <c r="M7" s="1040">
        <v>2575.5639999999999</v>
      </c>
      <c r="N7" s="1041">
        <v>1637.184</v>
      </c>
      <c r="O7" s="1041">
        <v>1778.64</v>
      </c>
      <c r="P7" s="1041">
        <v>2007.3240000000001</v>
      </c>
      <c r="Q7" s="1040">
        <v>2347.5349999999999</v>
      </c>
      <c r="R7" s="1041">
        <v>1606.5509999999999</v>
      </c>
      <c r="S7" s="1041">
        <v>1793.204</v>
      </c>
      <c r="T7" s="1041">
        <v>2106.3409999999999</v>
      </c>
      <c r="U7" s="1040">
        <v>2852.096</v>
      </c>
      <c r="V7" s="1041">
        <v>1938.383</v>
      </c>
      <c r="W7" s="1041">
        <v>2177.7660000000001</v>
      </c>
      <c r="X7" s="1041">
        <v>2492.4670000000001</v>
      </c>
      <c r="Y7" s="1040">
        <v>3456.03</v>
      </c>
      <c r="Z7" s="1041">
        <v>2385.431</v>
      </c>
      <c r="AA7" s="1041">
        <v>2686.64</v>
      </c>
      <c r="AB7" s="1041">
        <v>3107.337</v>
      </c>
      <c r="AC7" s="1040">
        <v>4314.6149999999998</v>
      </c>
      <c r="AD7" s="1041">
        <v>2963.7179999999998</v>
      </c>
      <c r="AE7" s="1041">
        <v>3169.1709999999998</v>
      </c>
      <c r="AF7" s="1041">
        <v>3732.08</v>
      </c>
      <c r="AG7" s="1040">
        <v>5461.6</v>
      </c>
      <c r="AH7" s="1041">
        <v>3697</v>
      </c>
      <c r="AI7" s="1041">
        <v>4164</v>
      </c>
      <c r="AJ7" s="1041">
        <v>4756</v>
      </c>
      <c r="AK7" s="1040">
        <v>6980</v>
      </c>
      <c r="AL7" s="1041">
        <f>+'Revenue Model'!AL404</f>
        <v>4202</v>
      </c>
      <c r="AM7" s="1041">
        <f>+'Revenue Model'!AM404</f>
        <v>4624</v>
      </c>
      <c r="AN7" s="1041">
        <f>+'Revenue Model'!AN404</f>
        <v>5131</v>
      </c>
      <c r="AO7" s="1040">
        <f>+'Revenue Model'!AO404</f>
        <v>6989</v>
      </c>
      <c r="AP7" s="1041">
        <f>+'Revenue Model'!AP404</f>
        <v>4668</v>
      </c>
      <c r="AQ7" s="1041">
        <f>+'Revenue Model'!AQ404</f>
        <v>5396</v>
      </c>
      <c r="AR7" s="1041">
        <f>+'Revenue Model'!AR404</f>
        <v>6032</v>
      </c>
      <c r="AS7" s="1040">
        <f>+'Revenue Model'!AS404</f>
        <v>8449</v>
      </c>
      <c r="AT7" s="1041">
        <v>5479</v>
      </c>
      <c r="AU7" s="1041">
        <f>+'Revenue Model'!AU404</f>
        <v>6080</v>
      </c>
      <c r="AV7" s="1041">
        <v>6647</v>
      </c>
      <c r="AW7" s="1040">
        <f>+'Revenue Model'!AW404</f>
        <v>9227</v>
      </c>
      <c r="AX7" s="1041">
        <f>'Revenue Model'!AX404</f>
        <v>6118</v>
      </c>
      <c r="AY7" s="1041">
        <f>'Revenue Model'!AY404</f>
        <v>6702</v>
      </c>
      <c r="AZ7" s="1041">
        <f>'Revenue Model'!AZ404</f>
        <v>7335</v>
      </c>
      <c r="BA7" s="1040">
        <f>'Revenue Model'!BA404</f>
        <v>10693</v>
      </c>
      <c r="BB7" s="1041">
        <f>'Revenue Model'!BB404</f>
        <v>6959</v>
      </c>
      <c r="BC7" s="1041">
        <f>'Revenue Model'!BC404</f>
        <v>7603</v>
      </c>
      <c r="BD7" s="1041">
        <f>'Revenue Model'!BD404</f>
        <v>8473</v>
      </c>
      <c r="BE7" s="1040">
        <f>'Revenue Model'!BE404</f>
        <v>12899</v>
      </c>
      <c r="BF7" s="1041">
        <f>'Revenue Model'!BF404</f>
        <v>7927</v>
      </c>
      <c r="BG7" s="1041">
        <f>'Revenue Model'!BG404</f>
        <v>8750</v>
      </c>
      <c r="BH7" s="1041">
        <f>'Revenue Model'!BH404</f>
        <v>9928</v>
      </c>
      <c r="BI7" s="1040">
        <f>'Revenue Model'!BI404</f>
        <v>13418</v>
      </c>
      <c r="BJ7" s="1041">
        <f>'Revenue Model'!BJ404</f>
        <v>8990</v>
      </c>
      <c r="BK7" s="1041">
        <f>'Revenue Model'!BK404</f>
        <v>9801</v>
      </c>
      <c r="BL7" s="1041">
        <f>'Revenue Model'!BL404</f>
        <v>11500</v>
      </c>
      <c r="BM7" s="1040">
        <f>'Revenue Model'!BM404</f>
        <v>14724</v>
      </c>
      <c r="BN7" s="1041">
        <f>'Revenue Model'!BN404</f>
        <v>10095</v>
      </c>
      <c r="BO7" s="1041">
        <f>'Revenue Model'!BO404</f>
        <v>11022</v>
      </c>
      <c r="BP7" s="1041">
        <f>'Revenue Model'!BP404</f>
        <v>12024</v>
      </c>
      <c r="BQ7" s="1040">
        <f>'Revenue Model'!BQ404</f>
        <v>16553</v>
      </c>
      <c r="BR7" s="1041">
        <f>'Revenue Model'!BR404</f>
        <v>10787</v>
      </c>
      <c r="BS7" s="1041">
        <f>'Revenue Model'!BS404</f>
        <v>11339</v>
      </c>
      <c r="BT7" s="1041">
        <f>'Revenue Model'!BT404</f>
        <v>11890</v>
      </c>
      <c r="BU7" s="1040">
        <f>'Revenue Model'!BU404</f>
        <v>16256</v>
      </c>
      <c r="BV7" s="1041">
        <f>'Revenue Model'!BV404</f>
        <v>10940</v>
      </c>
      <c r="BW7" s="1041">
        <f>'Revenue Model'!BW404</f>
        <v>11347</v>
      </c>
      <c r="BX7" s="1041">
        <f>'Revenue Model'!BX404</f>
        <v>12099</v>
      </c>
      <c r="BY7" s="1040">
        <f>'Revenue Model'!BY404</f>
        <v>16630</v>
      </c>
      <c r="BZ7" s="1041">
        <f>'Revenue Model'!BZ404</f>
        <v>11322</v>
      </c>
      <c r="CA7" s="1041">
        <f>'Revenue Model'!CA404</f>
        <v>10902</v>
      </c>
      <c r="CB7" s="1041">
        <f>'Revenue Model'!CB404</f>
        <v>10981</v>
      </c>
      <c r="CC7" s="1040">
        <f>'Revenue Model'!CC404</f>
        <v>16697</v>
      </c>
      <c r="CD7" s="1041">
        <f>'Revenue Model'!CD404</f>
        <v>11369</v>
      </c>
      <c r="CE7" s="1041">
        <f>'Revenue Model'!CE404</f>
        <v>10856</v>
      </c>
      <c r="CF7" s="1041">
        <f>'Revenue Model'!CF404</f>
        <v>11145</v>
      </c>
      <c r="CG7" s="1040">
        <f>'Revenue Model'!CG404</f>
        <v>16671</v>
      </c>
      <c r="CH7" s="1041">
        <f>'Revenue Model'!CH404</f>
        <v>11610</v>
      </c>
      <c r="CI7" s="1041">
        <f>'Revenue Model'!CI404</f>
        <v>10547</v>
      </c>
      <c r="CJ7" s="1041">
        <f>'Revenue Model'!CJ404</f>
        <v>10753</v>
      </c>
      <c r="CK7" s="1040">
        <f>'Revenue Model'!CK404</f>
        <v>16711</v>
      </c>
      <c r="CL7" s="1041">
        <f>'Revenue Model'!CL404</f>
        <v>10373</v>
      </c>
      <c r="CM7" s="1041">
        <f>'Revenue Model'!CM404</f>
        <v>9339</v>
      </c>
      <c r="CN7" s="1041">
        <f>'Revenue Model'!CN404</f>
        <v>9381</v>
      </c>
      <c r="CO7" s="1040">
        <f>'Revenue Model'!CO404</f>
        <v>14952</v>
      </c>
      <c r="CP7" s="1050">
        <f>'Revenue Model'!CP404</f>
        <v>8928</v>
      </c>
      <c r="CQ7" s="1039">
        <f>'Revenue Model'!CQ404</f>
        <v>8734</v>
      </c>
      <c r="CR7" s="1039">
        <f>'Revenue Model'!CR404</f>
        <v>8924</v>
      </c>
      <c r="CS7" s="1040">
        <f>'Revenue Model'!CS404</f>
        <v>14025</v>
      </c>
      <c r="CT7" s="1050">
        <f>'Revenue Model'!CT404</f>
        <v>8639</v>
      </c>
      <c r="CU7" s="1039">
        <f>'Revenue Model'!CU404</f>
        <v>8459</v>
      </c>
      <c r="CV7" s="1039">
        <f>'Revenue Model'!CV404</f>
        <v>9032</v>
      </c>
      <c r="CW7" s="1073">
        <f>'Revenue Model'!CW404</f>
        <v>14209</v>
      </c>
      <c r="CX7" s="1039">
        <f>'Revenue Model'!CX404</f>
        <v>8558</v>
      </c>
      <c r="CY7" s="1039">
        <f>'Revenue Model'!CY404</f>
        <v>8528</v>
      </c>
      <c r="CZ7" s="1039">
        <f>'Revenue Model'!CZ404</f>
        <v>8819</v>
      </c>
      <c r="DA7" s="1040">
        <f>'Revenue Model'!DA404</f>
        <v>13623</v>
      </c>
      <c r="DB7" s="1072">
        <f>'Revenue Model'!DB404</f>
        <v>8443</v>
      </c>
      <c r="DC7" s="1039">
        <f>'Revenue Model'!DC404</f>
        <v>8533</v>
      </c>
      <c r="DD7" s="1072">
        <f>'Revenue Model'!DD404</f>
        <v>8945</v>
      </c>
      <c r="DE7" s="1040">
        <f>'Revenue Model'!DE404</f>
        <v>13482</v>
      </c>
      <c r="DF7" s="1039">
        <f>'Revenue Model'!DF404</f>
        <v>8528</v>
      </c>
      <c r="DG7" s="1039">
        <f>'Revenue Model'!DG404</f>
        <v>8940</v>
      </c>
      <c r="DH7" s="1039">
        <f>'Revenue Model'!DH404</f>
        <v>9320</v>
      </c>
      <c r="DI7" s="1040">
        <f>'Revenue Model'!DI404</f>
        <v>15363</v>
      </c>
      <c r="DJ7" s="1039">
        <f>'Revenue Model'!DJ404</f>
        <v>8711.2301459186638</v>
      </c>
      <c r="DK7" s="1039">
        <f>'Revenue Model'!DK404</f>
        <v>8988.9687197025032</v>
      </c>
      <c r="DL7" s="1039">
        <f>'Revenue Model'!DL404</f>
        <v>9397.9518577439158</v>
      </c>
      <c r="DM7" s="1073">
        <f>'Revenue Model'!DM404</f>
        <v>15216.8565322838</v>
      </c>
      <c r="DN7" s="948"/>
      <c r="DO7" s="513"/>
      <c r="DP7" s="1041">
        <v>113.134</v>
      </c>
      <c r="DQ7" s="1041">
        <v>239.49600000000001</v>
      </c>
      <c r="DR7" s="1041">
        <v>439.04</v>
      </c>
      <c r="DS7" s="1041">
        <v>506.67399999999998</v>
      </c>
      <c r="DT7" s="1041">
        <v>512.85</v>
      </c>
      <c r="DU7" s="1041">
        <v>664.82299999999998</v>
      </c>
      <c r="DV7" s="1041">
        <v>929.69200000000001</v>
      </c>
      <c r="DW7" s="1041">
        <v>1619.9780000000001</v>
      </c>
      <c r="DX7" s="1041">
        <f>+B7+C7+D7+E7</f>
        <v>3006.5340000000001</v>
      </c>
      <c r="DY7" s="1041">
        <f>SUM(F7:I7)</f>
        <v>5079.5540000000001</v>
      </c>
      <c r="DZ7" s="1041">
        <f>SUM(J7:M7)</f>
        <v>7217.4210000000003</v>
      </c>
      <c r="EA7" s="1041">
        <f>SUM(N7:Q7)</f>
        <v>7770.683</v>
      </c>
      <c r="EB7" s="1041">
        <f>SUM(R7:U7)</f>
        <v>8358.1919999999991</v>
      </c>
      <c r="EC7" s="1041">
        <f>SUM(V7:Y7)</f>
        <v>10064.646000000001</v>
      </c>
      <c r="ED7" s="1041">
        <f>+Z7+AA7+AB7+AC7</f>
        <v>12494.022999999999</v>
      </c>
      <c r="EE7" s="1041">
        <f>+AD7+AE7+AF7+AG7</f>
        <v>15326.569</v>
      </c>
      <c r="EF7" s="1041">
        <f>+AH7+AI7+AJ7+AK7</f>
        <v>19597</v>
      </c>
      <c r="EG7" s="1041">
        <f>+AL7+AM7+AN7+AO7</f>
        <v>20946</v>
      </c>
      <c r="EH7" s="1041">
        <f>+AP7+AQ7+AR7+AS7</f>
        <v>24545</v>
      </c>
      <c r="EI7" s="1041">
        <f>+AT7+AU7+AV7+AW7</f>
        <v>27433</v>
      </c>
      <c r="EJ7" s="1041">
        <f>SUM(AX7:BA7)</f>
        <v>30848</v>
      </c>
      <c r="EK7" s="1041">
        <f>SUM(BB7:BE7)</f>
        <v>35934</v>
      </c>
      <c r="EL7" s="1041">
        <f>SUM(BF7:BI7)</f>
        <v>40023</v>
      </c>
      <c r="EM7" s="1041">
        <f>SUM(BJ7:BM7)</f>
        <v>45015</v>
      </c>
      <c r="EN7" s="1041">
        <f>SUM(BN7:BQ7)</f>
        <v>49694</v>
      </c>
      <c r="EO7" s="1041">
        <f>SUM(BR7:BU7)</f>
        <v>50272</v>
      </c>
      <c r="EP7" s="1041">
        <f>SUM(BV7:BY7)</f>
        <v>51016</v>
      </c>
      <c r="EQ7" s="1041">
        <f>SUM(BZ7:CC7)</f>
        <v>49902</v>
      </c>
      <c r="ER7" s="1071">
        <f>SUM(CD7:CG7)</f>
        <v>50041</v>
      </c>
      <c r="ES7" s="1072">
        <f>SUM(CH7:CK7)</f>
        <v>49621</v>
      </c>
      <c r="ET7" s="1072">
        <f>SUM(CL7:CO7)</f>
        <v>44045</v>
      </c>
      <c r="EU7" s="1426">
        <f>SUM(CP7:CS7)</f>
        <v>40611</v>
      </c>
      <c r="EV7" s="1426">
        <f>SUM(CT7:CW7)</f>
        <v>40339</v>
      </c>
      <c r="EW7" s="1426">
        <f>SUM(CX7:DA7)</f>
        <v>39528</v>
      </c>
      <c r="EX7" s="1426">
        <f>SUM(DB7:DE7)</f>
        <v>39403</v>
      </c>
      <c r="EY7" s="1426">
        <f>SUM(DF7:DI7)</f>
        <v>42151</v>
      </c>
      <c r="EZ7" s="1426">
        <f>SUM(DJ7:DM7)</f>
        <v>42315.007255648889</v>
      </c>
      <c r="FA7" s="1427">
        <f>'Revenue Model'!FA404</f>
        <v>42741.505738567968</v>
      </c>
      <c r="FB7" s="1073">
        <f>'Revenue Model'!FB404</f>
        <v>43166.084012970176</v>
      </c>
      <c r="FC7" s="1427">
        <f>'Revenue Model'!FC404</f>
        <v>43542.078949888339</v>
      </c>
      <c r="FD7" s="1427">
        <f>'Revenue Model'!FD404</f>
        <v>44094.716422977304</v>
      </c>
      <c r="FE7" s="1427">
        <f>'Revenue Model'!FE404</f>
        <v>44669.094188004266</v>
      </c>
      <c r="FF7" s="1427">
        <f>'Revenue Model'!FF404</f>
        <v>45266.289294580514</v>
      </c>
      <c r="FG7" s="1427">
        <f>'Revenue Model'!FG404</f>
        <v>45887.432566183001</v>
      </c>
      <c r="FH7" s="1427">
        <f>'Revenue Model'!FH404</f>
        <v>46533.711289341292</v>
      </c>
      <c r="FI7" s="413"/>
      <c r="FJ7"/>
      <c r="FK7"/>
      <c r="FL7"/>
      <c r="FM7"/>
      <c r="FN7"/>
      <c r="FO7"/>
      <c r="FP7" s="4"/>
      <c r="FQ7" s="15"/>
      <c r="FR7" s="72"/>
      <c r="FS7" s="72"/>
      <c r="FT7"/>
      <c r="FU7"/>
      <c r="FV7" s="2626"/>
      <c r="FW7" s="2626"/>
      <c r="FX7" s="2626"/>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row>
    <row r="8" spans="1:260" s="4" customFormat="1" x14ac:dyDescent="0.2">
      <c r="A8" s="20" t="s">
        <v>30</v>
      </c>
      <c r="B8" s="792">
        <v>367.44299999999998</v>
      </c>
      <c r="C8" s="792">
        <v>468.78199999999998</v>
      </c>
      <c r="D8" s="792">
        <v>687.36800000000005</v>
      </c>
      <c r="E8" s="793">
        <v>1026.0160000000001</v>
      </c>
      <c r="F8" s="792">
        <v>730.4</v>
      </c>
      <c r="G8" s="792">
        <v>800.98800000000006</v>
      </c>
      <c r="H8" s="792">
        <v>1166.162</v>
      </c>
      <c r="I8" s="793">
        <v>1691.5630000000001</v>
      </c>
      <c r="J8" s="792">
        <v>1092.4079999999999</v>
      </c>
      <c r="K8" s="792">
        <v>1241.29</v>
      </c>
      <c r="L8" s="792">
        <v>1686.394</v>
      </c>
      <c r="M8" s="793">
        <v>2260.7849999999999</v>
      </c>
      <c r="N8" s="792">
        <v>1404.5340000000001</v>
      </c>
      <c r="O8" s="792">
        <v>1526.9739999999999</v>
      </c>
      <c r="P8" s="792">
        <v>1758.556</v>
      </c>
      <c r="Q8" s="793">
        <v>2021.7380000000001</v>
      </c>
      <c r="R8" s="792">
        <v>1358.6679999999999</v>
      </c>
      <c r="S8" s="792">
        <v>1504.296</v>
      </c>
      <c r="T8" s="792">
        <v>1768.471</v>
      </c>
      <c r="U8" s="793">
        <v>2394.6390000000001</v>
      </c>
      <c r="V8" s="792">
        <v>1589.4449999999999</v>
      </c>
      <c r="W8" s="792">
        <v>1771.7750000000001</v>
      </c>
      <c r="X8" s="792">
        <v>2048.252</v>
      </c>
      <c r="Y8" s="793">
        <v>2840.6509999999998</v>
      </c>
      <c r="Z8" s="792">
        <v>1923.4290000000001</v>
      </c>
      <c r="AA8" s="792">
        <v>2156.12</v>
      </c>
      <c r="AB8" s="792">
        <v>2516.9699999999998</v>
      </c>
      <c r="AC8" s="793">
        <v>3504.0749999999998</v>
      </c>
      <c r="AD8" s="792">
        <v>2358.125</v>
      </c>
      <c r="AE8" s="792">
        <v>2520.4259999999999</v>
      </c>
      <c r="AF8" s="792">
        <v>3043.0390000000002</v>
      </c>
      <c r="AG8" s="793">
        <v>4345.6000000000004</v>
      </c>
      <c r="AH8" s="792">
        <v>2851</v>
      </c>
      <c r="AI8" s="792">
        <v>3216</v>
      </c>
      <c r="AJ8" s="792">
        <v>3728</v>
      </c>
      <c r="AK8" s="793">
        <v>5372</v>
      </c>
      <c r="AL8" s="792">
        <v>3122</v>
      </c>
      <c r="AM8" s="792">
        <v>3471</v>
      </c>
      <c r="AN8" s="792">
        <v>3881</v>
      </c>
      <c r="AO8" s="793">
        <v>5236</v>
      </c>
      <c r="AP8" s="792">
        <v>3483</v>
      </c>
      <c r="AQ8" s="792">
        <v>4024</v>
      </c>
      <c r="AR8" s="792">
        <v>4546</v>
      </c>
      <c r="AS8" s="793">
        <v>6400</v>
      </c>
      <c r="AT8" s="792">
        <v>4168</v>
      </c>
      <c r="AU8" s="792">
        <v>4610</v>
      </c>
      <c r="AV8" s="792">
        <v>5104</v>
      </c>
      <c r="AW8" s="793">
        <v>7056</v>
      </c>
      <c r="AX8" s="794">
        <f>'Income Statement'!AX153</f>
        <v>4560</v>
      </c>
      <c r="AY8" s="794">
        <f>'Income Statement'!AY153</f>
        <v>4991</v>
      </c>
      <c r="AZ8" s="794">
        <f>'Income Statement'!AZ153</f>
        <v>5547</v>
      </c>
      <c r="BA8" s="795">
        <f>'Income Statement'!BA153</f>
        <v>8024</v>
      </c>
      <c r="BB8" s="794">
        <f>'Income Statement'!BB153</f>
        <v>5194</v>
      </c>
      <c r="BC8" s="794">
        <f>'Income Statement'!BC153</f>
        <v>5701</v>
      </c>
      <c r="BD8" s="794">
        <f>'Income Statement'!BD153</f>
        <v>6478</v>
      </c>
      <c r="BE8" s="795">
        <f>'Income Statement'!BE153</f>
        <v>9792</v>
      </c>
      <c r="BF8" s="794">
        <f>'Income Statement'!BF153</f>
        <v>6035</v>
      </c>
      <c r="BG8" s="794">
        <f>'Income Statement'!BG153</f>
        <v>6611</v>
      </c>
      <c r="BH8" s="794">
        <f>'Income Statement'!BH153</f>
        <v>7591</v>
      </c>
      <c r="BI8" s="795">
        <f>'Income Statement'!BI153</f>
        <v>10240</v>
      </c>
      <c r="BJ8" s="794">
        <f>'Income Statement'!BJ153</f>
        <v>6857</v>
      </c>
      <c r="BK8" s="794">
        <f>'Income Statement'!BK153</f>
        <v>7420</v>
      </c>
      <c r="BL8" s="794">
        <f>'Income Statement'!BL153</f>
        <v>8639</v>
      </c>
      <c r="BM8" s="795">
        <f>'Income Statement'!BM153</f>
        <v>11101</v>
      </c>
      <c r="BN8" s="794">
        <f>'Income Statement'!BN153</f>
        <v>7538</v>
      </c>
      <c r="BO8" s="794">
        <f>'Income Statement'!BO153</f>
        <v>8338</v>
      </c>
      <c r="BP8" s="794">
        <f>'Income Statement'!BP153</f>
        <v>9082</v>
      </c>
      <c r="BQ8" s="795">
        <f>'Income Statement'!BQ153</f>
        <v>12576</v>
      </c>
      <c r="BR8" s="794">
        <f>'Income Statement'!BR153</f>
        <v>7994</v>
      </c>
      <c r="BS8" s="794">
        <f>'Income Statement'!BS153</f>
        <v>8421</v>
      </c>
      <c r="BT8" s="794">
        <f>'Income Statement'!BT153</f>
        <v>8907</v>
      </c>
      <c r="BU8" s="795">
        <f>'Income Statement'!BU153</f>
        <v>12289</v>
      </c>
      <c r="BV8" s="794">
        <f>'Income Statement'!BV153</f>
        <v>8172</v>
      </c>
      <c r="BW8" s="794">
        <f>'Income Statement'!BW153</f>
        <v>8475</v>
      </c>
      <c r="BX8" s="794">
        <f>'Income Statement'!BX153</f>
        <v>9155</v>
      </c>
      <c r="BY8" s="795">
        <f>'Income Statement'!BY153</f>
        <v>12554</v>
      </c>
      <c r="BZ8" s="794">
        <f>'Income Statement'!BZ153</f>
        <v>8467</v>
      </c>
      <c r="CA8" s="794">
        <f>'Income Statement'!CA153</f>
        <v>8076</v>
      </c>
      <c r="CB8" s="794">
        <f>'Income Statement'!CB153</f>
        <v>8106</v>
      </c>
      <c r="CC8" s="795">
        <f>'Income Statement'!CC153</f>
        <v>12728</v>
      </c>
      <c r="CD8" s="794">
        <f>'Income Statement'!CD153</f>
        <v>8448</v>
      </c>
      <c r="CE8" s="794">
        <f>'Income Statement'!CE153</f>
        <v>8094</v>
      </c>
      <c r="CF8" s="794">
        <f>'Income Statement'!CF153</f>
        <v>8292</v>
      </c>
      <c r="CG8" s="795">
        <f>'Income Statement'!CG153</f>
        <v>12798</v>
      </c>
      <c r="CH8" s="794">
        <f>'Income Statement'!CH153</f>
        <v>8703</v>
      </c>
      <c r="CI8" s="794">
        <f>'Income Statement'!CI153</f>
        <v>7983</v>
      </c>
      <c r="CJ8" s="794">
        <f>'Income Statement'!CJ153</f>
        <v>8167</v>
      </c>
      <c r="CK8" s="795">
        <f>'Income Statement'!CK153</f>
        <v>12929</v>
      </c>
      <c r="CL8" s="794">
        <f>'Income Statement'!CL153</f>
        <v>7789</v>
      </c>
      <c r="CM8" s="794">
        <f>'Income Statement'!CM153</f>
        <v>7078</v>
      </c>
      <c r="CN8" s="794">
        <f>'Income Statement'!CN153</f>
        <v>7153</v>
      </c>
      <c r="CO8" s="795">
        <f>'Income Statement'!CO153</f>
        <v>11607</v>
      </c>
      <c r="CP8" s="1051">
        <f>'Income Statement'!CP153</f>
        <v>6823</v>
      </c>
      <c r="CQ8" s="794">
        <f>'Income Statement'!CQ153</f>
        <v>6625</v>
      </c>
      <c r="CR8" s="794">
        <f>'Income Statement'!CR153</f>
        <v>6831</v>
      </c>
      <c r="CS8" s="795">
        <f>'Income Statement'!CS153</f>
        <v>11197</v>
      </c>
      <c r="CT8" s="1051">
        <f>'Income Statement'!CT153</f>
        <v>6672</v>
      </c>
      <c r="CU8" s="794">
        <f>'Income Statement'!CU153</f>
        <v>6481</v>
      </c>
      <c r="CV8" s="794">
        <f>'Income Statement'!CV153</f>
        <v>6956</v>
      </c>
      <c r="CW8" s="795">
        <f>'Income Statement'!CW153</f>
        <v>11183</v>
      </c>
      <c r="CX8" s="794">
        <f>'Income Statement'!CX153</f>
        <v>6598</v>
      </c>
      <c r="CY8" s="794">
        <f>'Income Statement'!CY153</f>
        <v>6443</v>
      </c>
      <c r="CZ8" s="794">
        <f>'Income Statement'!CZ153</f>
        <v>6708</v>
      </c>
      <c r="DA8" s="795">
        <f>'Income Statement'!DA153</f>
        <v>10675</v>
      </c>
      <c r="DB8" s="794">
        <f>'Income Statement'!DB153</f>
        <v>6481</v>
      </c>
      <c r="DC8" s="794">
        <f>'Income Statement'!DC153</f>
        <v>6471</v>
      </c>
      <c r="DD8" s="794">
        <f>'Income Statement'!DD153</f>
        <v>6742</v>
      </c>
      <c r="DE8" s="795">
        <f>'Income Statement'!DE153</f>
        <v>10452</v>
      </c>
      <c r="DF8" s="794">
        <f>'Income Statement'!DF153</f>
        <v>6506</v>
      </c>
      <c r="DG8" s="794">
        <f>'Income Statement'!DG153</f>
        <v>6787</v>
      </c>
      <c r="DH8" s="794">
        <f>'Income Statement'!DH153</f>
        <v>7040</v>
      </c>
      <c r="DI8" s="795">
        <f>'Income Statement'!DI153</f>
        <v>11942</v>
      </c>
      <c r="DJ8" s="1758">
        <f>'Income Statement'!DJ153</f>
        <v>6665.9725182131442</v>
      </c>
      <c r="DK8" s="794">
        <f>'Income Statement'!DK153</f>
        <v>6836.5894318525461</v>
      </c>
      <c r="DL8" s="794">
        <f>'Income Statement'!DL153</f>
        <v>7106.9879507389142</v>
      </c>
      <c r="DM8" s="795">
        <f>'Income Statement'!DM153</f>
        <v>11821.938353850655</v>
      </c>
      <c r="DN8" s="592"/>
      <c r="DO8" s="494"/>
      <c r="DP8" s="794">
        <v>84.564990000000009</v>
      </c>
      <c r="DQ8" s="794">
        <v>179.26400000000001</v>
      </c>
      <c r="DR8" s="794">
        <v>334.5068</v>
      </c>
      <c r="DS8" s="794">
        <v>390.62190000000004</v>
      </c>
      <c r="DT8" s="794">
        <v>392.50900000000001</v>
      </c>
      <c r="DU8" s="794">
        <v>523.16600000000005</v>
      </c>
      <c r="DV8" s="794">
        <v>748.63</v>
      </c>
      <c r="DW8" s="794">
        <v>1335.944</v>
      </c>
      <c r="DX8" s="792">
        <f>+B8+C8+D8+E8</f>
        <v>2549.6089999999999</v>
      </c>
      <c r="DY8" s="792">
        <f>SUM(F8:I8)</f>
        <v>4389.1130000000003</v>
      </c>
      <c r="DZ8" s="792">
        <f>SUM(J8:M8)</f>
        <v>6280.8769999999995</v>
      </c>
      <c r="EA8" s="792">
        <f>SUM(N8:Q8)</f>
        <v>6711.8020000000006</v>
      </c>
      <c r="EB8" s="792">
        <f>SUM(R8:U8)</f>
        <v>7026.0739999999996</v>
      </c>
      <c r="EC8" s="792">
        <f>SUM(V8:Y8)</f>
        <v>8250.1229999999996</v>
      </c>
      <c r="ED8" s="792">
        <f>+Z8+AA8+AB8+AC8</f>
        <v>10100.594000000001</v>
      </c>
      <c r="EE8" s="792">
        <f>+AD8+AE8+AF8+AG8</f>
        <v>12267.19</v>
      </c>
      <c r="EF8" s="792">
        <f>+AH8+AI8+AJ8+AK8</f>
        <v>15167</v>
      </c>
      <c r="EG8" s="792">
        <f>+AL8+AM8+AN8+AO8</f>
        <v>15710</v>
      </c>
      <c r="EH8" s="792">
        <f>+AP8+AQ8+AR8+AS8</f>
        <v>18453</v>
      </c>
      <c r="EI8" s="792">
        <f>+AT8+AU8+AV8+AW8</f>
        <v>20938</v>
      </c>
      <c r="EJ8" s="794">
        <f>SUM(AX8:BA8)</f>
        <v>23122</v>
      </c>
      <c r="EK8" s="794">
        <f>SUM(BB8:BE8)</f>
        <v>27165</v>
      </c>
      <c r="EL8" s="794">
        <f>SUM(BF8:BI8)</f>
        <v>30477</v>
      </c>
      <c r="EM8" s="794">
        <f>SUM(BJ8:BM8)</f>
        <v>34017</v>
      </c>
      <c r="EN8" s="794">
        <f>SUM(BN8:BQ8)</f>
        <v>37534</v>
      </c>
      <c r="EO8" s="794">
        <f>SUM(BR8:BU8)</f>
        <v>37611</v>
      </c>
      <c r="EP8" s="794">
        <f>SUM(BV8:BY8)</f>
        <v>38356</v>
      </c>
      <c r="EQ8" s="794">
        <f>SUM(BZ8:CC8)</f>
        <v>37377</v>
      </c>
      <c r="ER8" s="1051">
        <f>SUM(CD8:CG8)</f>
        <v>37632</v>
      </c>
      <c r="ES8" s="794">
        <f>SUM(CH8:CK8)</f>
        <v>37782</v>
      </c>
      <c r="ET8" s="794">
        <f>SUM(CL8:CO8)</f>
        <v>33627</v>
      </c>
      <c r="EU8" s="1428">
        <f>SUM(CP8:CS8)</f>
        <v>31476</v>
      </c>
      <c r="EV8" s="1428">
        <f>SUM(CT8:CW8)</f>
        <v>31292</v>
      </c>
      <c r="EW8" s="1428">
        <f>SUM(CX8:DA8)</f>
        <v>30424</v>
      </c>
      <c r="EX8" s="1428">
        <f>SUM(DB8:DE8)</f>
        <v>30146</v>
      </c>
      <c r="EY8" s="1428">
        <f>SUM(DF8:DI8)</f>
        <v>32275</v>
      </c>
      <c r="EZ8" s="1751">
        <f>SUM(DJ8:DM8)</f>
        <v>32431.488254655258</v>
      </c>
      <c r="FA8" s="1429">
        <f>'Income Statement'!FA153</f>
        <v>32781.722800693969</v>
      </c>
      <c r="FB8" s="1429">
        <f>'Income Statement'!FB153</f>
        <v>33095.509833496646</v>
      </c>
      <c r="FC8" s="1429">
        <f>'Income Statement'!FC153</f>
        <v>33403.656351321821</v>
      </c>
      <c r="FD8" s="1429">
        <f>'Income Statement'!FD153</f>
        <v>33847.727292457756</v>
      </c>
      <c r="FE8" s="1429">
        <f>'Income Statement'!FE153</f>
        <v>34309.038215930894</v>
      </c>
      <c r="FF8" s="1429">
        <f>'Income Statement'!FF153</f>
        <v>34788.449365392044</v>
      </c>
      <c r="FG8" s="1429">
        <f>'Income Statement'!FG153</f>
        <v>35286.86448504361</v>
      </c>
      <c r="FH8" s="1429">
        <f>'Income Statement'!FH153</f>
        <v>35805.233023138775</v>
      </c>
      <c r="FI8" s="413"/>
      <c r="FJ8"/>
      <c r="FK8"/>
      <c r="FL8"/>
      <c r="FM8"/>
      <c r="FN8"/>
      <c r="FO8"/>
      <c r="FR8" s="3"/>
      <c r="FS8" s="72"/>
      <c r="FT8"/>
      <c r="FU8"/>
      <c r="FV8" s="2627"/>
      <c r="FW8" s="2627"/>
      <c r="FX8" s="2627"/>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row>
    <row r="9" spans="1:260" s="1215" customFormat="1" x14ac:dyDescent="0.2">
      <c r="A9" s="291" t="s">
        <v>31</v>
      </c>
      <c r="B9" s="394">
        <f t="shared" ref="B9:AG9" si="4">B7-B8</f>
        <v>74.475999999999999</v>
      </c>
      <c r="C9" s="394">
        <f t="shared" si="4"/>
        <v>94.198000000000036</v>
      </c>
      <c r="D9" s="394">
        <f t="shared" si="4"/>
        <v>121.10799999999995</v>
      </c>
      <c r="E9" s="889">
        <f t="shared" si="4"/>
        <v>167.14300000000003</v>
      </c>
      <c r="F9" s="890">
        <f t="shared" si="4"/>
        <v>119</v>
      </c>
      <c r="G9" s="890">
        <f t="shared" si="4"/>
        <v>132.18399999999997</v>
      </c>
      <c r="H9" s="890">
        <f t="shared" si="4"/>
        <v>183.70900000000006</v>
      </c>
      <c r="I9" s="889">
        <f t="shared" si="4"/>
        <v>255.548</v>
      </c>
      <c r="J9" s="890">
        <f t="shared" si="4"/>
        <v>182.26100000000019</v>
      </c>
      <c r="K9" s="890">
        <f t="shared" si="4"/>
        <v>196.62100000000009</v>
      </c>
      <c r="L9" s="890">
        <f t="shared" si="4"/>
        <v>242.88300000000004</v>
      </c>
      <c r="M9" s="889">
        <f t="shared" si="4"/>
        <v>314.779</v>
      </c>
      <c r="N9" s="890">
        <f t="shared" si="4"/>
        <v>232.64999999999986</v>
      </c>
      <c r="O9" s="890">
        <f t="shared" si="4"/>
        <v>251.66600000000017</v>
      </c>
      <c r="P9" s="890">
        <f t="shared" si="4"/>
        <v>248.76800000000003</v>
      </c>
      <c r="Q9" s="889">
        <f t="shared" si="4"/>
        <v>325.7969999999998</v>
      </c>
      <c r="R9" s="890">
        <f t="shared" si="4"/>
        <v>247.88300000000004</v>
      </c>
      <c r="S9" s="890">
        <f t="shared" si="4"/>
        <v>288.9079999999999</v>
      </c>
      <c r="T9" s="890">
        <f t="shared" si="4"/>
        <v>337.86999999999989</v>
      </c>
      <c r="U9" s="889">
        <f t="shared" si="4"/>
        <v>457.45699999999988</v>
      </c>
      <c r="V9" s="890">
        <f t="shared" si="4"/>
        <v>348.9380000000001</v>
      </c>
      <c r="W9" s="890">
        <f t="shared" si="4"/>
        <v>405.99099999999999</v>
      </c>
      <c r="X9" s="890">
        <f t="shared" si="4"/>
        <v>444.21500000000015</v>
      </c>
      <c r="Y9" s="889">
        <f t="shared" si="4"/>
        <v>615.37900000000036</v>
      </c>
      <c r="Z9" s="890">
        <f t="shared" si="4"/>
        <v>462.00199999999995</v>
      </c>
      <c r="AA9" s="890">
        <f t="shared" si="4"/>
        <v>530.52</v>
      </c>
      <c r="AB9" s="890">
        <f t="shared" si="4"/>
        <v>590.36700000000019</v>
      </c>
      <c r="AC9" s="889">
        <f t="shared" si="4"/>
        <v>810.54</v>
      </c>
      <c r="AD9" s="890">
        <f t="shared" si="4"/>
        <v>605.59299999999985</v>
      </c>
      <c r="AE9" s="890">
        <f t="shared" si="4"/>
        <v>648.74499999999989</v>
      </c>
      <c r="AF9" s="890">
        <f t="shared" si="4"/>
        <v>689.04099999999971</v>
      </c>
      <c r="AG9" s="889">
        <f t="shared" si="4"/>
        <v>1116</v>
      </c>
      <c r="AH9" s="890">
        <f t="shared" ref="AH9:BM9" si="5">AH7-AH8</f>
        <v>846</v>
      </c>
      <c r="AI9" s="890">
        <f t="shared" si="5"/>
        <v>948</v>
      </c>
      <c r="AJ9" s="890">
        <f t="shared" si="5"/>
        <v>1028</v>
      </c>
      <c r="AK9" s="889">
        <f t="shared" si="5"/>
        <v>1608</v>
      </c>
      <c r="AL9" s="890">
        <f t="shared" si="5"/>
        <v>1080</v>
      </c>
      <c r="AM9" s="890">
        <f t="shared" si="5"/>
        <v>1153</v>
      </c>
      <c r="AN9" s="890">
        <f t="shared" si="5"/>
        <v>1250</v>
      </c>
      <c r="AO9" s="889">
        <f t="shared" si="5"/>
        <v>1753</v>
      </c>
      <c r="AP9" s="890">
        <f t="shared" si="5"/>
        <v>1185</v>
      </c>
      <c r="AQ9" s="890">
        <f t="shared" si="5"/>
        <v>1372</v>
      </c>
      <c r="AR9" s="890">
        <f t="shared" si="5"/>
        <v>1486</v>
      </c>
      <c r="AS9" s="889">
        <f t="shared" si="5"/>
        <v>2049</v>
      </c>
      <c r="AT9" s="890">
        <f t="shared" si="5"/>
        <v>1311</v>
      </c>
      <c r="AU9" s="890">
        <f t="shared" si="5"/>
        <v>1470</v>
      </c>
      <c r="AV9" s="890">
        <f t="shared" si="5"/>
        <v>1543</v>
      </c>
      <c r="AW9" s="889">
        <f t="shared" si="5"/>
        <v>2171</v>
      </c>
      <c r="AX9" s="890">
        <f t="shared" si="5"/>
        <v>1558</v>
      </c>
      <c r="AY9" s="890">
        <f t="shared" si="5"/>
        <v>1711</v>
      </c>
      <c r="AZ9" s="890">
        <f t="shared" si="5"/>
        <v>1788</v>
      </c>
      <c r="BA9" s="889">
        <f t="shared" si="5"/>
        <v>2669</v>
      </c>
      <c r="BB9" s="890">
        <f t="shared" si="5"/>
        <v>1765</v>
      </c>
      <c r="BC9" s="890">
        <f t="shared" si="5"/>
        <v>1902</v>
      </c>
      <c r="BD9" s="891">
        <f t="shared" si="5"/>
        <v>1995</v>
      </c>
      <c r="BE9" s="889">
        <f t="shared" si="5"/>
        <v>3107</v>
      </c>
      <c r="BF9" s="890">
        <f t="shared" si="5"/>
        <v>1892</v>
      </c>
      <c r="BG9" s="890">
        <f t="shared" si="5"/>
        <v>2139</v>
      </c>
      <c r="BH9" s="890">
        <f t="shared" si="5"/>
        <v>2337</v>
      </c>
      <c r="BI9" s="889">
        <f t="shared" si="5"/>
        <v>3178</v>
      </c>
      <c r="BJ9" s="890">
        <f t="shared" si="5"/>
        <v>2133</v>
      </c>
      <c r="BK9" s="890">
        <f t="shared" si="5"/>
        <v>2381</v>
      </c>
      <c r="BL9" s="891">
        <f t="shared" si="5"/>
        <v>2861</v>
      </c>
      <c r="BM9" s="889">
        <f t="shared" si="5"/>
        <v>3623</v>
      </c>
      <c r="BN9" s="890">
        <f t="shared" ref="BN9:CS9" si="6">BN7-BN8</f>
        <v>2557</v>
      </c>
      <c r="BO9" s="890">
        <f t="shared" si="6"/>
        <v>2684</v>
      </c>
      <c r="BP9" s="890">
        <f t="shared" si="6"/>
        <v>2942</v>
      </c>
      <c r="BQ9" s="889">
        <f t="shared" si="6"/>
        <v>3977</v>
      </c>
      <c r="BR9" s="890">
        <f t="shared" si="6"/>
        <v>2793</v>
      </c>
      <c r="BS9" s="890">
        <f t="shared" si="6"/>
        <v>2918</v>
      </c>
      <c r="BT9" s="890">
        <f t="shared" si="6"/>
        <v>2983</v>
      </c>
      <c r="BU9" s="889">
        <f t="shared" si="6"/>
        <v>3967</v>
      </c>
      <c r="BV9" s="890">
        <f t="shared" si="6"/>
        <v>2768</v>
      </c>
      <c r="BW9" s="890">
        <f t="shared" si="6"/>
        <v>2872</v>
      </c>
      <c r="BX9" s="890">
        <f t="shared" si="6"/>
        <v>2944</v>
      </c>
      <c r="BY9" s="889">
        <f t="shared" si="6"/>
        <v>4076</v>
      </c>
      <c r="BZ9" s="890">
        <f t="shared" si="6"/>
        <v>2855</v>
      </c>
      <c r="CA9" s="890">
        <f t="shared" si="6"/>
        <v>2826</v>
      </c>
      <c r="CB9" s="890">
        <f t="shared" si="6"/>
        <v>2875</v>
      </c>
      <c r="CC9" s="889">
        <f t="shared" si="6"/>
        <v>3969</v>
      </c>
      <c r="CD9" s="890">
        <f t="shared" si="6"/>
        <v>2921</v>
      </c>
      <c r="CE9" s="890">
        <f t="shared" si="6"/>
        <v>2762</v>
      </c>
      <c r="CF9" s="890">
        <f t="shared" si="6"/>
        <v>2853</v>
      </c>
      <c r="CG9" s="889">
        <f t="shared" si="6"/>
        <v>3873</v>
      </c>
      <c r="CH9" s="890">
        <f t="shared" si="6"/>
        <v>2907</v>
      </c>
      <c r="CI9" s="890">
        <f t="shared" si="6"/>
        <v>2564</v>
      </c>
      <c r="CJ9" s="890">
        <f t="shared" si="6"/>
        <v>2586</v>
      </c>
      <c r="CK9" s="889">
        <f t="shared" si="6"/>
        <v>3782</v>
      </c>
      <c r="CL9" s="891">
        <f t="shared" si="6"/>
        <v>2584</v>
      </c>
      <c r="CM9" s="891">
        <f t="shared" si="6"/>
        <v>2261</v>
      </c>
      <c r="CN9" s="891">
        <f t="shared" si="6"/>
        <v>2228</v>
      </c>
      <c r="CO9" s="532">
        <f t="shared" si="6"/>
        <v>3345</v>
      </c>
      <c r="CP9" s="1052">
        <f t="shared" si="6"/>
        <v>2105</v>
      </c>
      <c r="CQ9" s="892">
        <f t="shared" si="6"/>
        <v>2109</v>
      </c>
      <c r="CR9" s="892">
        <f t="shared" si="6"/>
        <v>2093</v>
      </c>
      <c r="CS9" s="532">
        <f t="shared" si="6"/>
        <v>2828</v>
      </c>
      <c r="CT9" s="1052">
        <f t="shared" ref="CT9:DA9" si="7">CT7-CT8</f>
        <v>1967</v>
      </c>
      <c r="CU9" s="892">
        <f t="shared" si="7"/>
        <v>1978</v>
      </c>
      <c r="CV9" s="892">
        <f t="shared" si="7"/>
        <v>2076</v>
      </c>
      <c r="CW9" s="1271">
        <f>CW7-CW8</f>
        <v>3026</v>
      </c>
      <c r="CX9" s="892">
        <f>CX7-CX8</f>
        <v>1960</v>
      </c>
      <c r="CY9" s="892">
        <f t="shared" si="7"/>
        <v>2085</v>
      </c>
      <c r="CZ9" s="892">
        <f t="shared" si="7"/>
        <v>2111</v>
      </c>
      <c r="DA9" s="532">
        <f t="shared" si="7"/>
        <v>2948</v>
      </c>
      <c r="DB9" s="892">
        <f t="shared" ref="DB9:DI9" si="8">DB7-DB8</f>
        <v>1962</v>
      </c>
      <c r="DC9" s="892">
        <f t="shared" si="8"/>
        <v>2062</v>
      </c>
      <c r="DD9" s="892">
        <f t="shared" si="8"/>
        <v>2203</v>
      </c>
      <c r="DE9" s="532">
        <f t="shared" si="8"/>
        <v>3030</v>
      </c>
      <c r="DF9" s="892">
        <f t="shared" si="8"/>
        <v>2022</v>
      </c>
      <c r="DG9" s="892">
        <f t="shared" si="8"/>
        <v>2153</v>
      </c>
      <c r="DH9" s="892">
        <f t="shared" si="8"/>
        <v>2280</v>
      </c>
      <c r="DI9" s="532">
        <f t="shared" si="8"/>
        <v>3421</v>
      </c>
      <c r="DJ9" s="2680">
        <f t="shared" ref="DJ9:DK9" si="9">DJ7-DJ8</f>
        <v>2045.2576277055196</v>
      </c>
      <c r="DK9" s="892">
        <f t="shared" si="9"/>
        <v>2152.3792878499571</v>
      </c>
      <c r="DL9" s="892">
        <f t="shared" ref="DL9:DM9" si="10">DL7-DL8</f>
        <v>2290.9639070050016</v>
      </c>
      <c r="DM9" s="532">
        <f t="shared" si="10"/>
        <v>3394.9181784331449</v>
      </c>
      <c r="DN9" s="949"/>
      <c r="DO9" s="513"/>
      <c r="DP9" s="890">
        <f t="shared" ref="DP9:DW9" si="11">DP7-DP8</f>
        <v>28.569009999999992</v>
      </c>
      <c r="DQ9" s="890">
        <f t="shared" si="11"/>
        <v>60.231999999999999</v>
      </c>
      <c r="DR9" s="890">
        <f t="shared" si="11"/>
        <v>104.53320000000002</v>
      </c>
      <c r="DS9" s="890">
        <f t="shared" si="11"/>
        <v>116.05209999999994</v>
      </c>
      <c r="DT9" s="890">
        <f t="shared" si="11"/>
        <v>120.34100000000001</v>
      </c>
      <c r="DU9" s="890">
        <f t="shared" si="11"/>
        <v>141.65699999999993</v>
      </c>
      <c r="DV9" s="890">
        <f t="shared" si="11"/>
        <v>181.06200000000001</v>
      </c>
      <c r="DW9" s="890">
        <f t="shared" si="11"/>
        <v>284.03400000000011</v>
      </c>
      <c r="DX9" s="890">
        <f>+B9+C9+D9+E9</f>
        <v>456.92500000000001</v>
      </c>
      <c r="DY9" s="890">
        <f>SUM(F9:I9)</f>
        <v>690.44100000000003</v>
      </c>
      <c r="DZ9" s="890">
        <f>SUM(J9:M9)</f>
        <v>936.54400000000032</v>
      </c>
      <c r="EA9" s="890">
        <f>EA7-EA8</f>
        <v>1058.8809999999994</v>
      </c>
      <c r="EB9" s="890">
        <f>SUM(R9:U9)</f>
        <v>1332.1179999999997</v>
      </c>
      <c r="EC9" s="890">
        <f>EC7-EC8</f>
        <v>1814.523000000001</v>
      </c>
      <c r="ED9" s="890">
        <f>+Z9+AA9+AB9+AC9</f>
        <v>2393.4290000000001</v>
      </c>
      <c r="EE9" s="890">
        <f>+AD9+AE9+AF9+AG9</f>
        <v>3059.3789999999995</v>
      </c>
      <c r="EF9" s="890">
        <f>+AH9+AI9+AJ9+AK9</f>
        <v>4430</v>
      </c>
      <c r="EG9" s="890">
        <f>+AL9+AM9+AN9+AO9</f>
        <v>5236</v>
      </c>
      <c r="EH9" s="890">
        <f>+AP9+AQ9+AR9+AS9</f>
        <v>6092</v>
      </c>
      <c r="EI9" s="890">
        <f>+AT9+AU9+AV9+AW9</f>
        <v>6495</v>
      </c>
      <c r="EJ9" s="892">
        <f>SUM(AX9:BA9)</f>
        <v>7726</v>
      </c>
      <c r="EK9" s="892">
        <f>SUM(BB9:BE9)</f>
        <v>8769</v>
      </c>
      <c r="EL9" s="892">
        <f>SUM(BF9:BI9)</f>
        <v>9546</v>
      </c>
      <c r="EM9" s="892">
        <f>SUM(BJ9:BM9)</f>
        <v>10998</v>
      </c>
      <c r="EN9" s="892">
        <f>SUM(BN9:BQ9)</f>
        <v>12160</v>
      </c>
      <c r="EO9" s="892">
        <f>SUM(BR9:BU9)</f>
        <v>12661</v>
      </c>
      <c r="EP9" s="892">
        <f>SUM(BV9:BY9)</f>
        <v>12660</v>
      </c>
      <c r="EQ9" s="892">
        <f>SUM(BZ9:CC9)</f>
        <v>12525</v>
      </c>
      <c r="ER9" s="1052">
        <f>SUM(CD9:CG9)</f>
        <v>12409</v>
      </c>
      <c r="ES9" s="892">
        <f>SUM(CH9:CK9)</f>
        <v>11839</v>
      </c>
      <c r="ET9" s="892">
        <f>SUM(CL9:CO9)</f>
        <v>10418</v>
      </c>
      <c r="EU9" s="1430">
        <f>SUM(CP9:CS9)</f>
        <v>9135</v>
      </c>
      <c r="EV9" s="1430">
        <f>SUM(CT9:CW9)</f>
        <v>9047</v>
      </c>
      <c r="EW9" s="1430">
        <f>SUM(CX9:DA9)</f>
        <v>9104</v>
      </c>
      <c r="EX9" s="1430">
        <f>SUM(DB9:DE9)</f>
        <v>9257</v>
      </c>
      <c r="EY9" s="1430">
        <f>SUM(DF9:DI9)</f>
        <v>9876</v>
      </c>
      <c r="EZ9" s="1752">
        <f>SUM(DJ9:DM9)</f>
        <v>9883.5190009936232</v>
      </c>
      <c r="FA9" s="1431">
        <f t="shared" ref="FA9:FF9" si="12">FA7-FA8</f>
        <v>9959.7829378739989</v>
      </c>
      <c r="FB9" s="1431">
        <f t="shared" si="12"/>
        <v>10070.57417947353</v>
      </c>
      <c r="FC9" s="1431">
        <f t="shared" si="12"/>
        <v>10138.422598566518</v>
      </c>
      <c r="FD9" s="1431">
        <f t="shared" si="12"/>
        <v>10246.989130519549</v>
      </c>
      <c r="FE9" s="1431">
        <f t="shared" si="12"/>
        <v>10360.055972073373</v>
      </c>
      <c r="FF9" s="1431">
        <f t="shared" si="12"/>
        <v>10477.839929188471</v>
      </c>
      <c r="FG9" s="1431">
        <f>FG7-FG8</f>
        <v>10600.56808113939</v>
      </c>
      <c r="FH9" s="1431">
        <f>FH7-FH8</f>
        <v>10728.478266202517</v>
      </c>
      <c r="FI9" s="413"/>
      <c r="FJ9"/>
      <c r="FK9"/>
      <c r="FL9"/>
      <c r="FM9"/>
      <c r="FN9"/>
      <c r="FO9"/>
      <c r="FP9" s="4"/>
      <c r="FQ9" s="4"/>
      <c r="FR9" s="3"/>
      <c r="FS9" s="72"/>
      <c r="FT9"/>
      <c r="FU9"/>
      <c r="FV9" s="2628"/>
      <c r="FW9" s="2628"/>
      <c r="FX9" s="2628"/>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row>
    <row r="10" spans="1:260" s="4" customFormat="1" x14ac:dyDescent="0.2">
      <c r="A10" s="25"/>
      <c r="B10" s="145"/>
      <c r="C10" s="145"/>
      <c r="D10" s="145"/>
      <c r="E10" s="454"/>
      <c r="F10" s="123"/>
      <c r="G10" s="123"/>
      <c r="H10" s="123"/>
      <c r="I10" s="454"/>
      <c r="J10" s="123"/>
      <c r="K10" s="123"/>
      <c r="L10" s="123"/>
      <c r="M10" s="454"/>
      <c r="N10" s="123"/>
      <c r="O10" s="123"/>
      <c r="P10" s="123"/>
      <c r="Q10" s="454"/>
      <c r="R10" s="123"/>
      <c r="S10" s="123"/>
      <c r="T10" s="123"/>
      <c r="U10" s="454"/>
      <c r="V10" s="123"/>
      <c r="W10" s="123"/>
      <c r="X10" s="123"/>
      <c r="Y10" s="454"/>
      <c r="Z10" s="123"/>
      <c r="AA10" s="123"/>
      <c r="AB10" s="123"/>
      <c r="AC10" s="454"/>
      <c r="AD10" s="123"/>
      <c r="AE10" s="123"/>
      <c r="AF10" s="123"/>
      <c r="AG10" s="454"/>
      <c r="AH10" s="123"/>
      <c r="AI10" s="123"/>
      <c r="AJ10" s="123"/>
      <c r="AK10" s="454"/>
      <c r="AL10" s="123"/>
      <c r="AM10" s="123"/>
      <c r="AN10" s="123"/>
      <c r="AO10" s="454"/>
      <c r="AP10" s="123"/>
      <c r="AQ10" s="123"/>
      <c r="AR10" s="123"/>
      <c r="AS10" s="454"/>
      <c r="AT10" s="123"/>
      <c r="AU10" s="123"/>
      <c r="AV10" s="123"/>
      <c r="AW10" s="454"/>
      <c r="AX10" s="22"/>
      <c r="AY10" s="22"/>
      <c r="AZ10" s="22"/>
      <c r="BA10" s="455"/>
      <c r="BB10" s="22"/>
      <c r="BC10" s="22"/>
      <c r="BD10" s="83"/>
      <c r="BE10" s="455"/>
      <c r="BF10" s="22"/>
      <c r="BG10" s="22"/>
      <c r="BH10" s="22"/>
      <c r="BI10" s="455"/>
      <c r="BJ10" s="22"/>
      <c r="BK10" s="22"/>
      <c r="BL10" s="83"/>
      <c r="BM10" s="455"/>
      <c r="BN10" s="22"/>
      <c r="BO10" s="22"/>
      <c r="BP10" s="22"/>
      <c r="BQ10" s="455"/>
      <c r="BR10" s="22"/>
      <c r="BS10" s="22"/>
      <c r="BT10" s="22"/>
      <c r="BU10" s="455"/>
      <c r="BV10" s="22"/>
      <c r="BW10" s="22"/>
      <c r="BX10" s="388"/>
      <c r="BY10" s="455"/>
      <c r="BZ10" s="22"/>
      <c r="CA10" s="22"/>
      <c r="CB10" s="388"/>
      <c r="CC10" s="455"/>
      <c r="CD10" s="22"/>
      <c r="CE10" s="22"/>
      <c r="CF10" s="388"/>
      <c r="CG10" s="455"/>
      <c r="CH10" s="22"/>
      <c r="CI10" s="286"/>
      <c r="CJ10" s="286"/>
      <c r="CK10" s="455"/>
      <c r="CL10" s="83"/>
      <c r="CM10" s="83"/>
      <c r="CN10" s="83"/>
      <c r="CO10" s="494"/>
      <c r="CP10" s="958"/>
      <c r="CQ10" s="159"/>
      <c r="CR10" s="1053"/>
      <c r="CS10" s="494"/>
      <c r="CT10" s="958"/>
      <c r="CU10" s="159"/>
      <c r="CV10" s="1053"/>
      <c r="CW10" s="1272"/>
      <c r="CX10" s="159"/>
      <c r="CY10" s="159"/>
      <c r="CZ10" s="1053"/>
      <c r="DA10" s="1272"/>
      <c r="DB10" s="1053"/>
      <c r="DC10" s="1053"/>
      <c r="DD10" s="159"/>
      <c r="DE10" s="494"/>
      <c r="DF10" s="159"/>
      <c r="DG10" s="159"/>
      <c r="DH10" s="159"/>
      <c r="DI10" s="494"/>
      <c r="DJ10" s="1753"/>
      <c r="DK10" s="159"/>
      <c r="DL10" s="159"/>
      <c r="DM10" s="494"/>
      <c r="DN10" s="593"/>
      <c r="DO10" s="494"/>
      <c r="DP10" s="22"/>
      <c r="DQ10" s="22"/>
      <c r="DR10" s="22"/>
      <c r="DS10" s="22"/>
      <c r="DT10" s="22"/>
      <c r="DU10" s="22"/>
      <c r="DV10" s="22"/>
      <c r="DW10" s="22"/>
      <c r="DX10" s="123"/>
      <c r="DY10" s="123"/>
      <c r="DZ10" s="123"/>
      <c r="EA10" s="123"/>
      <c r="EB10" s="123"/>
      <c r="EC10" s="123"/>
      <c r="ED10" s="123"/>
      <c r="EE10" s="123"/>
      <c r="EF10" s="123"/>
      <c r="EG10" s="123"/>
      <c r="EH10" s="123"/>
      <c r="EI10" s="22"/>
      <c r="EJ10" s="83"/>
      <c r="EK10" s="83"/>
      <c r="EL10" s="83"/>
      <c r="EM10" s="83"/>
      <c r="EN10" s="83"/>
      <c r="EO10" s="83"/>
      <c r="EP10" s="83"/>
      <c r="EQ10" s="83"/>
      <c r="ER10" s="593"/>
      <c r="ES10" s="159"/>
      <c r="ET10" s="159"/>
      <c r="EU10" s="159"/>
      <c r="EV10" s="159"/>
      <c r="EW10" s="159"/>
      <c r="EX10" s="159"/>
      <c r="EY10" s="159"/>
      <c r="EZ10" s="1753"/>
      <c r="FA10" s="22"/>
      <c r="FB10" s="22"/>
      <c r="FC10" s="22"/>
      <c r="FD10" s="22"/>
      <c r="FE10" s="22"/>
      <c r="FF10" s="22"/>
      <c r="FG10" s="22"/>
      <c r="FH10" s="22"/>
      <c r="FI10" s="413"/>
      <c r="FJ10"/>
      <c r="FK10"/>
      <c r="FL10"/>
      <c r="FM10"/>
      <c r="FN10"/>
      <c r="FO10"/>
      <c r="FR10" s="3"/>
      <c r="FS10" s="159"/>
      <c r="FT10" s="159"/>
      <c r="FU10"/>
      <c r="FV10" s="159"/>
      <c r="FW10" s="159"/>
      <c r="FX10" s="159"/>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row>
    <row r="11" spans="1:260" s="4" customFormat="1" hidden="1" outlineLevel="1" x14ac:dyDescent="0.2">
      <c r="A11" s="1216" t="s">
        <v>115</v>
      </c>
      <c r="B11" s="796">
        <f>'Cash Flow'!B9</f>
        <v>4.476</v>
      </c>
      <c r="C11" s="796">
        <f>'Cash Flow'!C9</f>
        <v>4.8929999999999998</v>
      </c>
      <c r="D11" s="796">
        <f>'Cash Flow'!D9</f>
        <v>5.6859999999999991</v>
      </c>
      <c r="E11" s="797">
        <f>'Cash Flow'!E9</f>
        <v>7.3569999999999984</v>
      </c>
      <c r="F11" s="800">
        <f>'Cash Flow'!F9</f>
        <v>8.1389999999999993</v>
      </c>
      <c r="G11" s="800">
        <f>'Cash Flow'!G9</f>
        <v>8.4930000000000021</v>
      </c>
      <c r="H11" s="800">
        <f>'Cash Flow'!H9</f>
        <v>10.361999999999998</v>
      </c>
      <c r="I11" s="797">
        <f>'Cash Flow'!I9</f>
        <v>11.576000000000001</v>
      </c>
      <c r="J11" s="800">
        <f>'Cash Flow'!J9</f>
        <v>12.763</v>
      </c>
      <c r="K11" s="800">
        <f>'Cash Flow'!K9</f>
        <v>13.208</v>
      </c>
      <c r="L11" s="800">
        <f>'Cash Flow'!L9</f>
        <v>14.349000000000002</v>
      </c>
      <c r="M11" s="797">
        <f>'Cash Flow'!M9</f>
        <v>14.542</v>
      </c>
      <c r="N11" s="800">
        <f>'Cash Flow'!N9</f>
        <v>17.042000000000002</v>
      </c>
      <c r="O11" s="800">
        <f>'Cash Flow'!O9</f>
        <v>16.829999999999998</v>
      </c>
      <c r="P11" s="800">
        <f>'Cash Flow'!P9</f>
        <v>16.871000000000002</v>
      </c>
      <c r="Q11" s="797">
        <f>'Cash Flow'!Q9</f>
        <v>16.100999999999992</v>
      </c>
      <c r="R11" s="800">
        <f>'Cash Flow'!R9</f>
        <v>17.094999999999999</v>
      </c>
      <c r="S11" s="800">
        <f>'Cash Flow'!S9</f>
        <v>18.246000000000002</v>
      </c>
      <c r="T11" s="800">
        <f>'Cash Flow'!T9</f>
        <v>17.286999999999999</v>
      </c>
      <c r="U11" s="797">
        <f>'Cash Flow'!U9</f>
        <v>18.956000000000003</v>
      </c>
      <c r="V11" s="800">
        <f>'Cash Flow'!V9</f>
        <v>17.603999999999999</v>
      </c>
      <c r="W11" s="800">
        <f>'Cash Flow'!W9</f>
        <v>18.718000000000004</v>
      </c>
      <c r="X11" s="800">
        <f>'Cash Flow'!X9</f>
        <v>20.071999999999996</v>
      </c>
      <c r="Y11" s="797">
        <f>'Cash Flow'!Y9</f>
        <v>21.973000000000006</v>
      </c>
      <c r="Z11" s="800">
        <f>'Cash Flow'!Z9</f>
        <v>23.638000000000002</v>
      </c>
      <c r="AA11" s="800">
        <f>'Cash Flow'!AA9</f>
        <v>22.471999999999998</v>
      </c>
      <c r="AB11" s="800">
        <f>'Cash Flow'!AB9</f>
        <v>25.024000000000001</v>
      </c>
      <c r="AC11" s="797">
        <f>'Cash Flow'!AC9</f>
        <v>38.406999999999996</v>
      </c>
      <c r="AD11" s="800">
        <f>'Cash Flow'!AD9</f>
        <v>32</v>
      </c>
      <c r="AE11" s="800">
        <f>'Cash Flow'!AE9</f>
        <v>37</v>
      </c>
      <c r="AF11" s="800">
        <f>'Cash Flow'!AF9</f>
        <v>43</v>
      </c>
      <c r="AG11" s="797">
        <f>'Cash Flow'!AG9</f>
        <v>53</v>
      </c>
      <c r="AH11" s="800">
        <v>67</v>
      </c>
      <c r="AI11" s="800">
        <v>67</v>
      </c>
      <c r="AJ11" s="800">
        <v>77</v>
      </c>
      <c r="AK11" s="797">
        <v>78</v>
      </c>
      <c r="AL11" s="800">
        <v>85</v>
      </c>
      <c r="AM11" s="800">
        <v>86</v>
      </c>
      <c r="AN11" s="800">
        <v>94</v>
      </c>
      <c r="AO11" s="797">
        <v>45</v>
      </c>
      <c r="AP11" s="800">
        <f>+'Cash Flow'!AP9</f>
        <v>98</v>
      </c>
      <c r="AQ11" s="800">
        <f>+'Cash Flow'!AQ9</f>
        <v>92</v>
      </c>
      <c r="AR11" s="800">
        <f>+'Cash Flow'!AR9</f>
        <v>93</v>
      </c>
      <c r="AS11" s="797">
        <f>+'Cash Flow'!AS9</f>
        <v>102</v>
      </c>
      <c r="AT11" s="800">
        <f>+'Cash Flow'!AT9</f>
        <v>103</v>
      </c>
      <c r="AU11" s="800">
        <f>+'Cash Flow'!AU9</f>
        <v>103</v>
      </c>
      <c r="AV11" s="800">
        <f>+'Cash Flow'!AV9</f>
        <v>106</v>
      </c>
      <c r="AW11" s="797">
        <f>+'Cash Flow'!AW9</f>
        <v>147</v>
      </c>
      <c r="AX11" s="801">
        <f>'Cash Flow'!AX9</f>
        <v>109</v>
      </c>
      <c r="AY11" s="801">
        <f>'Cash Flow'!AY9</f>
        <v>113</v>
      </c>
      <c r="AZ11" s="801">
        <f>'Cash Flow'!AZ9</f>
        <v>111</v>
      </c>
      <c r="BA11" s="799">
        <f>'Cash Flow'!BA9</f>
        <v>123</v>
      </c>
      <c r="BB11" s="801">
        <f>'Cash Flow'!BB9</f>
        <v>121</v>
      </c>
      <c r="BC11" s="801">
        <f>'Cash Flow'!BC9</f>
        <v>125</v>
      </c>
      <c r="BD11" s="801">
        <f>'Cash Flow'!BD9</f>
        <v>123</v>
      </c>
      <c r="BE11" s="799">
        <f>'Cash Flow'!BE9</f>
        <v>140</v>
      </c>
      <c r="BF11" s="801">
        <f>'Cash Flow'!BF9</f>
        <v>135</v>
      </c>
      <c r="BG11" s="801">
        <f>'Cash Flow'!BG9</f>
        <v>144</v>
      </c>
      <c r="BH11" s="801">
        <f>'Cash Flow'!BH9</f>
        <v>140</v>
      </c>
      <c r="BI11" s="799">
        <f>'Cash Flow'!BI9</f>
        <v>161</v>
      </c>
      <c r="BJ11" s="801">
        <f>'Cash Flow'!BJ9</f>
        <v>153</v>
      </c>
      <c r="BK11" s="801">
        <f>'Cash Flow'!BK9</f>
        <v>159</v>
      </c>
      <c r="BL11" s="801">
        <f>'Cash Flow'!BL9</f>
        <v>208</v>
      </c>
      <c r="BM11" s="799">
        <f>'Cash Flow'!BM9</f>
        <v>210</v>
      </c>
      <c r="BN11" s="801">
        <f>'Cash Flow'!BN9</f>
        <v>196</v>
      </c>
      <c r="BO11" s="801">
        <f>'Cash Flow'!BO9</f>
        <v>211</v>
      </c>
      <c r="BP11" s="801">
        <f>'Cash Flow'!BP9</f>
        <v>207</v>
      </c>
      <c r="BQ11" s="799">
        <f>'Cash Flow'!BQ9</f>
        <v>224</v>
      </c>
      <c r="BR11" s="801">
        <f>'Cash Flow'!BR9</f>
        <v>221</v>
      </c>
      <c r="BS11" s="801">
        <f>'Cash Flow'!BS9</f>
        <v>217</v>
      </c>
      <c r="BT11" s="801">
        <f>'Cash Flow'!BT9</f>
        <v>230</v>
      </c>
      <c r="BU11" s="799">
        <f>'Cash Flow'!BU9</f>
        <v>228</v>
      </c>
      <c r="BV11" s="801">
        <f>'Cash Flow'!BV9</f>
        <v>221</v>
      </c>
      <c r="BW11" s="801">
        <f>'Cash Flow'!BW9</f>
        <v>224</v>
      </c>
      <c r="BX11" s="801">
        <f>'Cash Flow'!BX9</f>
        <v>223</v>
      </c>
      <c r="BY11" s="799">
        <f>'Cash Flow'!BY9</f>
        <v>229</v>
      </c>
      <c r="BZ11" s="801">
        <f t="shared" ref="BZ11:CC12" si="13">BR11</f>
        <v>221</v>
      </c>
      <c r="CA11" s="801">
        <f t="shared" si="13"/>
        <v>217</v>
      </c>
      <c r="CB11" s="801">
        <f t="shared" si="13"/>
        <v>230</v>
      </c>
      <c r="CC11" s="799">
        <f t="shared" si="13"/>
        <v>228</v>
      </c>
      <c r="CD11" s="801">
        <f t="shared" ref="CD11:CG12" si="14">BV11</f>
        <v>221</v>
      </c>
      <c r="CE11" s="801">
        <f t="shared" si="14"/>
        <v>224</v>
      </c>
      <c r="CF11" s="801">
        <f t="shared" si="14"/>
        <v>223</v>
      </c>
      <c r="CG11" s="799">
        <f t="shared" si="14"/>
        <v>229</v>
      </c>
      <c r="CH11" s="801">
        <f>'Cash Flow'!BZ9</f>
        <v>227</v>
      </c>
      <c r="CI11" s="801">
        <f>'Cash Flow'!CA9</f>
        <v>218</v>
      </c>
      <c r="CJ11" s="801">
        <f>'Cash Flow'!CB9</f>
        <v>212</v>
      </c>
      <c r="CK11" s="799">
        <f>'Cash Flow'!CC9</f>
        <v>219</v>
      </c>
      <c r="CL11" s="801">
        <f t="shared" ref="CL11:CO12" si="15">CH11</f>
        <v>227</v>
      </c>
      <c r="CM11" s="801">
        <f t="shared" si="15"/>
        <v>218</v>
      </c>
      <c r="CN11" s="801">
        <f t="shared" si="15"/>
        <v>212</v>
      </c>
      <c r="CO11" s="799">
        <f t="shared" si="15"/>
        <v>219</v>
      </c>
      <c r="CP11" s="954">
        <f>'Cash Flow'!CD9</f>
        <v>200</v>
      </c>
      <c r="CQ11" s="798">
        <f>'Cash Flow'!CE9</f>
        <v>175</v>
      </c>
      <c r="CR11" s="798">
        <f>'Cash Flow'!CF9</f>
        <v>162</v>
      </c>
      <c r="CS11" s="799">
        <f>'Cash Flow'!CG9</f>
        <v>164</v>
      </c>
      <c r="CT11" s="1062">
        <f>'Cash Flow'!CH9</f>
        <v>161</v>
      </c>
      <c r="CU11" s="798">
        <f>'Cash Flow'!CI9</f>
        <v>158</v>
      </c>
      <c r="CV11" s="798">
        <f>'Cash Flow'!CJ9</f>
        <v>165</v>
      </c>
      <c r="CW11" s="799">
        <f>'Cash Flow'!CK9</f>
        <v>172</v>
      </c>
      <c r="CX11" s="798">
        <f>'Cash Flow'!CL9</f>
        <v>163</v>
      </c>
      <c r="CY11" s="798">
        <f>'Cash Flow'!CM9</f>
        <v>163</v>
      </c>
      <c r="CZ11" s="798">
        <f>'Cash Flow'!CN9</f>
        <v>168</v>
      </c>
      <c r="DA11" s="799">
        <f>'Cash Flow'!CO9</f>
        <v>163</v>
      </c>
      <c r="DB11" s="798">
        <f>'Cash Flow'!CP9</f>
        <v>162</v>
      </c>
      <c r="DC11" s="798">
        <f>'Cash Flow'!CQ9</f>
        <v>165</v>
      </c>
      <c r="DD11" s="798">
        <f>'Cash Flow'!CR9</f>
        <v>164</v>
      </c>
      <c r="DE11" s="874">
        <f>'Cash Flow'!CS9</f>
        <v>163</v>
      </c>
      <c r="DF11" s="947">
        <f>'Cash Flow'!CT9</f>
        <v>161</v>
      </c>
      <c r="DG11" s="947">
        <f>'Cash Flow'!CU9</f>
        <v>168</v>
      </c>
      <c r="DH11" s="947">
        <f>'Cash Flow'!CV9</f>
        <v>171</v>
      </c>
      <c r="DI11" s="874">
        <f>'Cash Flow'!CW9</f>
        <v>183</v>
      </c>
      <c r="DJ11" s="1669">
        <f t="shared" ref="DJ11:DM11" si="16">DJ19</f>
        <v>153.31765056816849</v>
      </c>
      <c r="DK11" s="947">
        <f t="shared" si="16"/>
        <v>158.20584946676408</v>
      </c>
      <c r="DL11" s="947">
        <f t="shared" si="16"/>
        <v>165.40395269629292</v>
      </c>
      <c r="DM11" s="874">
        <f t="shared" si="16"/>
        <v>267.81667496819489</v>
      </c>
      <c r="DN11" s="732"/>
      <c r="DO11" s="1217"/>
      <c r="DP11" s="801">
        <v>0.51400000000000001</v>
      </c>
      <c r="DQ11" s="801">
        <v>1.645</v>
      </c>
      <c r="DR11" s="801">
        <v>4.9560000000000004</v>
      </c>
      <c r="DS11" s="801">
        <v>6.9409999999999998</v>
      </c>
      <c r="DT11" s="801">
        <v>5.476</v>
      </c>
      <c r="DU11" s="801">
        <v>7.7930000000000001</v>
      </c>
      <c r="DV11" s="801">
        <v>10.013</v>
      </c>
      <c r="DW11" s="801">
        <v>14.832000000000001</v>
      </c>
      <c r="DX11" s="1218">
        <f>+B11+C11+D11+E11</f>
        <v>22.411999999999999</v>
      </c>
      <c r="DY11" s="1218">
        <f>+F11+G11+H11+I11</f>
        <v>38.57</v>
      </c>
      <c r="DZ11" s="1218">
        <f>+J11+K11+L11+M11</f>
        <v>54.862000000000002</v>
      </c>
      <c r="EA11" s="1218">
        <f>+N11+O11+P11+Q11</f>
        <v>66.843999999999994</v>
      </c>
      <c r="EB11" s="1218">
        <f>+R11+S11+T11+U11</f>
        <v>71.584000000000003</v>
      </c>
      <c r="EC11" s="800">
        <f>+V11+W11+X11+Y11</f>
        <v>78.367000000000004</v>
      </c>
      <c r="ED11" s="800">
        <f>+Z11+AA11+AB11+AC11</f>
        <v>109.541</v>
      </c>
      <c r="EE11" s="800">
        <f>+AD11+AE11+AF11+AG11</f>
        <v>165</v>
      </c>
      <c r="EF11" s="800">
        <f>+AH11+AI11+AJ11+AK11</f>
        <v>289</v>
      </c>
      <c r="EG11" s="800">
        <f>+AL11+AM11+AN11+AO11</f>
        <v>310</v>
      </c>
      <c r="EH11" s="800">
        <f>+AP11+AQ11+AR11+AS11</f>
        <v>385</v>
      </c>
      <c r="EI11" s="800">
        <f>+AT11+AU11+AV11+AW11</f>
        <v>459</v>
      </c>
      <c r="EJ11" s="798">
        <f>SUM(AX11:BA11)</f>
        <v>456</v>
      </c>
      <c r="EK11" s="798">
        <f>SUM(BB11:BE11)</f>
        <v>509</v>
      </c>
      <c r="EL11" s="798">
        <f>SUM(BF11:BI11)</f>
        <v>580</v>
      </c>
      <c r="EM11" s="798">
        <f>SUM(BJ11:BM11)</f>
        <v>730</v>
      </c>
      <c r="EN11" s="798">
        <f>SUM(BN11:BQ11)</f>
        <v>838</v>
      </c>
      <c r="EO11" s="798">
        <f>SUM(BR11:BU11)</f>
        <v>896</v>
      </c>
      <c r="EP11" s="798">
        <f>SUM(BV11:BY11)</f>
        <v>897</v>
      </c>
      <c r="EQ11" s="798">
        <f>SUM(BZ11:CC11)</f>
        <v>896</v>
      </c>
      <c r="ER11" s="954">
        <f>SUM(CD11:CG11)</f>
        <v>897</v>
      </c>
      <c r="ES11" s="798">
        <f>SUM(CH11:CK11)</f>
        <v>876</v>
      </c>
      <c r="ET11" s="798">
        <f t="shared" ref="ET11:ET16" si="17">SUM(CL11:CO11)</f>
        <v>876</v>
      </c>
      <c r="EU11" s="858">
        <f t="shared" ref="EU11:EU16" si="18">SUM(CP11:CS11)</f>
        <v>701</v>
      </c>
      <c r="EV11" s="858">
        <f>+SUM(CT11:CW11)</f>
        <v>656</v>
      </c>
      <c r="EW11" s="858">
        <f t="shared" ref="EW11:FF11" si="19">EW19-EW12</f>
        <v>657</v>
      </c>
      <c r="EX11" s="858">
        <f t="shared" si="19"/>
        <v>654</v>
      </c>
      <c r="EY11" s="858">
        <f>EY19-EY12</f>
        <v>683</v>
      </c>
      <c r="EZ11" s="1754">
        <f>EZ19-EZ12</f>
        <v>744.74412769942035</v>
      </c>
      <c r="FA11" s="857">
        <f t="shared" si="19"/>
        <v>752.25050099879616</v>
      </c>
      <c r="FB11" s="857">
        <f>FB19-FB12</f>
        <v>759.72307862827495</v>
      </c>
      <c r="FC11" s="857">
        <f t="shared" si="19"/>
        <v>766.34058951803468</v>
      </c>
      <c r="FD11" s="857">
        <f t="shared" si="19"/>
        <v>776.06700904440049</v>
      </c>
      <c r="FE11" s="857">
        <f t="shared" si="19"/>
        <v>786.17605770887496</v>
      </c>
      <c r="FF11" s="857">
        <f t="shared" si="19"/>
        <v>796.68669158461694</v>
      </c>
      <c r="FG11" s="857">
        <f>FG19-FG12</f>
        <v>807.61881316482072</v>
      </c>
      <c r="FH11" s="857">
        <f>FH19-FH12</f>
        <v>818.99331869240666</v>
      </c>
      <c r="FI11" s="413"/>
      <c r="FJ11"/>
      <c r="FK11"/>
      <c r="FL11"/>
      <c r="FM11"/>
      <c r="FN11"/>
      <c r="FO11"/>
      <c r="FR11" s="3"/>
      <c r="FS11" s="858"/>
      <c r="FT11" s="858"/>
      <c r="FU11"/>
      <c r="FV11" s="858"/>
      <c r="FW11" s="858"/>
      <c r="FX11" s="858"/>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row>
    <row r="12" spans="1:260" s="4" customFormat="1" hidden="1" outlineLevel="1" x14ac:dyDescent="0.2">
      <c r="A12" s="1216" t="s">
        <v>487</v>
      </c>
      <c r="B12" s="796">
        <v>0</v>
      </c>
      <c r="C12" s="796">
        <v>0</v>
      </c>
      <c r="D12" s="796">
        <v>0</v>
      </c>
      <c r="E12" s="797">
        <v>0</v>
      </c>
      <c r="F12" s="800">
        <v>0</v>
      </c>
      <c r="G12" s="800">
        <v>0</v>
      </c>
      <c r="H12" s="800">
        <v>0</v>
      </c>
      <c r="I12" s="797">
        <v>0</v>
      </c>
      <c r="J12" s="800">
        <v>0</v>
      </c>
      <c r="K12" s="800">
        <v>0</v>
      </c>
      <c r="L12" s="800">
        <v>0</v>
      </c>
      <c r="M12" s="797">
        <v>0</v>
      </c>
      <c r="N12" s="800">
        <v>0</v>
      </c>
      <c r="O12" s="800">
        <v>0</v>
      </c>
      <c r="P12" s="800">
        <v>0</v>
      </c>
      <c r="Q12" s="797">
        <v>0</v>
      </c>
      <c r="R12" s="800">
        <v>0</v>
      </c>
      <c r="S12" s="800">
        <v>0</v>
      </c>
      <c r="T12" s="800">
        <v>0</v>
      </c>
      <c r="U12" s="797">
        <v>0</v>
      </c>
      <c r="V12" s="800">
        <v>0</v>
      </c>
      <c r="W12" s="800">
        <v>0</v>
      </c>
      <c r="X12" s="800">
        <v>0</v>
      </c>
      <c r="Y12" s="797">
        <v>0</v>
      </c>
      <c r="Z12" s="800"/>
      <c r="AA12" s="800"/>
      <c r="AB12" s="800"/>
      <c r="AC12" s="797"/>
      <c r="AD12" s="800"/>
      <c r="AE12" s="800"/>
      <c r="AF12" s="800"/>
      <c r="AG12" s="797"/>
      <c r="AH12" s="800"/>
      <c r="AI12" s="800"/>
      <c r="AJ12" s="800"/>
      <c r="AK12" s="797"/>
      <c r="AL12" s="800"/>
      <c r="AM12" s="800"/>
      <c r="AN12" s="800"/>
      <c r="AO12" s="797"/>
      <c r="AP12" s="800"/>
      <c r="AQ12" s="800"/>
      <c r="AR12" s="800"/>
      <c r="AS12" s="797"/>
      <c r="AT12" s="800"/>
      <c r="AU12" s="800"/>
      <c r="AV12" s="800"/>
      <c r="AW12" s="797"/>
      <c r="AX12" s="801">
        <f>'Cash Flow'!AX10</f>
        <v>0</v>
      </c>
      <c r="AY12" s="801">
        <f>'Cash Flow'!AY10</f>
        <v>0</v>
      </c>
      <c r="AZ12" s="801">
        <f>'Cash Flow'!AZ10</f>
        <v>0</v>
      </c>
      <c r="BA12" s="799">
        <f>'Cash Flow'!BA10</f>
        <v>0</v>
      </c>
      <c r="BB12" s="801">
        <f>'Cash Flow'!BB10</f>
        <v>0</v>
      </c>
      <c r="BC12" s="801">
        <f>'Cash Flow'!BC10</f>
        <v>0</v>
      </c>
      <c r="BD12" s="801">
        <f>'Cash Flow'!BD10</f>
        <v>0</v>
      </c>
      <c r="BE12" s="799">
        <f>'Cash Flow'!BE10</f>
        <v>0</v>
      </c>
      <c r="BF12" s="801">
        <f>'Cash Flow'!BF10</f>
        <v>0</v>
      </c>
      <c r="BG12" s="801">
        <f>'Cash Flow'!BG10</f>
        <v>0</v>
      </c>
      <c r="BH12" s="801">
        <f>'Cash Flow'!BH10</f>
        <v>0</v>
      </c>
      <c r="BI12" s="799">
        <f>'Cash Flow'!BI10</f>
        <v>0</v>
      </c>
      <c r="BJ12" s="801">
        <f>'Cash Flow'!BJ10</f>
        <v>0</v>
      </c>
      <c r="BK12" s="801">
        <f>'Cash Flow'!BK10</f>
        <v>1</v>
      </c>
      <c r="BL12" s="801">
        <f>'Cash Flow'!BL10</f>
        <v>41</v>
      </c>
      <c r="BM12" s="799">
        <f>'Cash Flow'!BM10</f>
        <v>21</v>
      </c>
      <c r="BN12" s="801">
        <f>'Cash Flow'!BN10</f>
        <v>21</v>
      </c>
      <c r="BO12" s="801">
        <f>'Cash Flow'!BO10</f>
        <v>21</v>
      </c>
      <c r="BP12" s="801">
        <f>'Cash Flow'!BP10</f>
        <v>24</v>
      </c>
      <c r="BQ12" s="799">
        <f>'Cash Flow'!BQ10</f>
        <v>22</v>
      </c>
      <c r="BR12" s="801">
        <f>'Cash Flow'!BR10</f>
        <v>22</v>
      </c>
      <c r="BS12" s="801">
        <f>'Cash Flow'!BS10</f>
        <v>21</v>
      </c>
      <c r="BT12" s="801">
        <f>'Cash Flow'!BT10</f>
        <v>20</v>
      </c>
      <c r="BU12" s="799">
        <f>'Cash Flow'!BU10</f>
        <v>19</v>
      </c>
      <c r="BV12" s="801">
        <f>'Cash Flow'!BV10</f>
        <v>15</v>
      </c>
      <c r="BW12" s="801">
        <f>'Cash Flow'!BW10</f>
        <v>15</v>
      </c>
      <c r="BX12" s="801">
        <f>'Cash Flow'!BX10</f>
        <v>8</v>
      </c>
      <c r="BY12" s="799">
        <f>'Cash Flow'!BY10</f>
        <v>10</v>
      </c>
      <c r="BZ12" s="801">
        <f t="shared" si="13"/>
        <v>22</v>
      </c>
      <c r="CA12" s="801">
        <f t="shared" si="13"/>
        <v>21</v>
      </c>
      <c r="CB12" s="801">
        <f t="shared" si="13"/>
        <v>20</v>
      </c>
      <c r="CC12" s="799">
        <f t="shared" si="13"/>
        <v>19</v>
      </c>
      <c r="CD12" s="801">
        <f t="shared" si="14"/>
        <v>15</v>
      </c>
      <c r="CE12" s="801">
        <f t="shared" si="14"/>
        <v>15</v>
      </c>
      <c r="CF12" s="801">
        <f t="shared" si="14"/>
        <v>8</v>
      </c>
      <c r="CG12" s="799">
        <f t="shared" si="14"/>
        <v>10</v>
      </c>
      <c r="CH12" s="801">
        <f>'Cash Flow'!BZ10</f>
        <v>10</v>
      </c>
      <c r="CI12" s="801">
        <f>'Cash Flow'!CA10</f>
        <v>10</v>
      </c>
      <c r="CJ12" s="801">
        <f>'Cash Flow'!CB10</f>
        <v>10</v>
      </c>
      <c r="CK12" s="799">
        <f>'Cash Flow'!CC10</f>
        <v>11</v>
      </c>
      <c r="CL12" s="801">
        <f t="shared" si="15"/>
        <v>10</v>
      </c>
      <c r="CM12" s="801">
        <f t="shared" si="15"/>
        <v>10</v>
      </c>
      <c r="CN12" s="801">
        <f t="shared" si="15"/>
        <v>10</v>
      </c>
      <c r="CO12" s="799">
        <f t="shared" si="15"/>
        <v>11</v>
      </c>
      <c r="CP12" s="954">
        <f>'Cash Flow'!CD10</f>
        <v>10</v>
      </c>
      <c r="CQ12" s="798">
        <f>'Cash Flow'!CE10</f>
        <v>2</v>
      </c>
      <c r="CR12" s="798">
        <f>'Cash Flow'!CF10</f>
        <v>1</v>
      </c>
      <c r="CS12" s="799">
        <f>'Cash Flow'!CG10</f>
        <v>2</v>
      </c>
      <c r="CT12" s="954">
        <f>'Cash Flow'!CH10</f>
        <v>0</v>
      </c>
      <c r="CU12" s="798">
        <f>'Cash Flow'!CI10</f>
        <v>0</v>
      </c>
      <c r="CV12" s="798">
        <f>'Cash Flow'!CJ10</f>
        <v>0</v>
      </c>
      <c r="CW12" s="799">
        <f>'Cash Flow'!CK10</f>
        <v>0</v>
      </c>
      <c r="CX12" s="798">
        <f>'Cash Flow'!CL10</f>
        <v>0</v>
      </c>
      <c r="CY12" s="798">
        <f>'Cash Flow'!CM10</f>
        <v>0</v>
      </c>
      <c r="CZ12" s="798">
        <f>'Cash Flow'!CN10</f>
        <v>0</v>
      </c>
      <c r="DA12" s="799">
        <f>'Cash Flow'!CO10</f>
        <v>0</v>
      </c>
      <c r="DB12" s="798">
        <f>'Cash Flow'!CP10</f>
        <v>0</v>
      </c>
      <c r="DC12" s="798">
        <f>'Cash Flow'!CQ10</f>
        <v>0</v>
      </c>
      <c r="DD12" s="798">
        <f>'Cash Flow'!CR10</f>
        <v>0</v>
      </c>
      <c r="DE12" s="799">
        <f>'Cash Flow'!CS10</f>
        <v>0</v>
      </c>
      <c r="DF12" s="798">
        <f>'Cash Flow'!CT10</f>
        <v>0</v>
      </c>
      <c r="DG12" s="798">
        <f>'Cash Flow'!CU10</f>
        <v>0</v>
      </c>
      <c r="DH12" s="798">
        <f>'Cash Flow'!CV10</f>
        <v>0</v>
      </c>
      <c r="DI12" s="799">
        <f>'Cash Flow'!CW10</f>
        <v>0</v>
      </c>
      <c r="DJ12" s="1670">
        <f>$EZ$12/4</f>
        <v>0</v>
      </c>
      <c r="DK12" s="798">
        <f>$EZ$12/4</f>
        <v>0</v>
      </c>
      <c r="DL12" s="798">
        <f>$EZ$12/4</f>
        <v>0</v>
      </c>
      <c r="DM12" s="799">
        <f>$EZ$12/4</f>
        <v>0</v>
      </c>
      <c r="DN12" s="593"/>
      <c r="DO12" s="1217"/>
      <c r="DP12" s="801">
        <v>0</v>
      </c>
      <c r="DQ12" s="801">
        <v>0</v>
      </c>
      <c r="DR12" s="801">
        <v>0</v>
      </c>
      <c r="DS12" s="801">
        <v>0</v>
      </c>
      <c r="DT12" s="801">
        <v>0</v>
      </c>
      <c r="DU12" s="801">
        <v>0</v>
      </c>
      <c r="DV12" s="801">
        <v>0</v>
      </c>
      <c r="DW12" s="801">
        <v>0</v>
      </c>
      <c r="DX12" s="1218">
        <v>0</v>
      </c>
      <c r="DY12" s="1218">
        <v>0</v>
      </c>
      <c r="DZ12" s="1218">
        <v>0</v>
      </c>
      <c r="EA12" s="1218">
        <v>0</v>
      </c>
      <c r="EB12" s="1218">
        <v>0</v>
      </c>
      <c r="EC12" s="800">
        <v>0</v>
      </c>
      <c r="ED12" s="800">
        <v>0</v>
      </c>
      <c r="EE12" s="800">
        <v>0</v>
      </c>
      <c r="EF12" s="800">
        <v>0</v>
      </c>
      <c r="EG12" s="800">
        <v>0</v>
      </c>
      <c r="EH12" s="800">
        <v>0</v>
      </c>
      <c r="EI12" s="800">
        <v>0</v>
      </c>
      <c r="EJ12" s="798">
        <f>SUM(AX12:BA12)</f>
        <v>0</v>
      </c>
      <c r="EK12" s="798">
        <f>SUM(BB12:BE12)</f>
        <v>0</v>
      </c>
      <c r="EL12" s="798">
        <f>SUM(BF12:BI12)</f>
        <v>0</v>
      </c>
      <c r="EM12" s="798">
        <f>SUM(BJ12:BM12)</f>
        <v>63</v>
      </c>
      <c r="EN12" s="798">
        <f>SUM(BN12:BQ12)</f>
        <v>88</v>
      </c>
      <c r="EO12" s="798">
        <f>SUM(BR12:BU12)</f>
        <v>82</v>
      </c>
      <c r="EP12" s="798">
        <f>SUM(BV12:BY12)</f>
        <v>48</v>
      </c>
      <c r="EQ12" s="798">
        <f>SUM(BZ12:CC12)</f>
        <v>82</v>
      </c>
      <c r="ER12" s="954">
        <f>SUM(CD12:CG12)</f>
        <v>48</v>
      </c>
      <c r="ES12" s="798">
        <f>SUM(CH12:CK12)</f>
        <v>41</v>
      </c>
      <c r="ET12" s="798">
        <f t="shared" si="17"/>
        <v>41</v>
      </c>
      <c r="EU12" s="858">
        <f t="shared" si="18"/>
        <v>15</v>
      </c>
      <c r="EV12" s="858">
        <f>+SUM(CT12:CW12)</f>
        <v>0</v>
      </c>
      <c r="EW12" s="858">
        <v>0</v>
      </c>
      <c r="EX12" s="858">
        <v>0</v>
      </c>
      <c r="EY12" s="858">
        <v>0</v>
      </c>
      <c r="EZ12" s="1754">
        <v>0</v>
      </c>
      <c r="FA12" s="1423">
        <v>0</v>
      </c>
      <c r="FB12" s="1423">
        <v>0</v>
      </c>
      <c r="FC12" s="1423">
        <v>0</v>
      </c>
      <c r="FD12" s="1423">
        <v>0</v>
      </c>
      <c r="FE12" s="1423">
        <v>0</v>
      </c>
      <c r="FF12" s="1423">
        <v>0</v>
      </c>
      <c r="FG12" s="1423">
        <v>0</v>
      </c>
      <c r="FH12" s="1423">
        <v>0</v>
      </c>
      <c r="FI12" s="413"/>
      <c r="FJ12"/>
      <c r="FK12"/>
      <c r="FL12"/>
      <c r="FM12"/>
      <c r="FN12"/>
      <c r="FO12"/>
      <c r="FR12" s="3"/>
      <c r="FS12" s="1423"/>
      <c r="FT12" s="1423"/>
      <c r="FU12"/>
      <c r="FV12" s="1423"/>
      <c r="FW12" s="1423"/>
      <c r="FX12" s="1423"/>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row>
    <row r="13" spans="1:260" s="4" customFormat="1" hidden="1" outlineLevel="1" x14ac:dyDescent="0.2">
      <c r="A13" s="1216" t="s">
        <v>91</v>
      </c>
      <c r="B13" s="796">
        <v>7.6115166874888462</v>
      </c>
      <c r="C13" s="796">
        <v>8.3206325182937704</v>
      </c>
      <c r="D13" s="796">
        <v>9.6691429591290383</v>
      </c>
      <c r="E13" s="797">
        <v>12.510707835088343</v>
      </c>
      <c r="F13" s="800">
        <v>13.824060902255638</v>
      </c>
      <c r="G13" s="800">
        <v>14.425328571428574</v>
      </c>
      <c r="H13" s="800">
        <v>17.599818045112777</v>
      </c>
      <c r="I13" s="797">
        <v>19.661792481203005</v>
      </c>
      <c r="J13" s="800">
        <v>24.63313437351901</v>
      </c>
      <c r="K13" s="800">
        <v>25.492003353869706</v>
      </c>
      <c r="L13" s="800">
        <v>27.694182020341952</v>
      </c>
      <c r="M13" s="797">
        <v>28.066680252269329</v>
      </c>
      <c r="N13" s="800">
        <v>35.615495631619901</v>
      </c>
      <c r="O13" s="800">
        <v>35.172444048830108</v>
      </c>
      <c r="P13" s="800">
        <v>35.258128553048898</v>
      </c>
      <c r="Q13" s="797">
        <v>33.648931766501093</v>
      </c>
      <c r="R13" s="800">
        <v>38.663395451497536</v>
      </c>
      <c r="S13" s="800">
        <v>41.266587505587843</v>
      </c>
      <c r="T13" s="800">
        <v>39.09763774027715</v>
      </c>
      <c r="U13" s="797">
        <v>42.872379302637469</v>
      </c>
      <c r="V13" s="800">
        <v>41.916959944874748</v>
      </c>
      <c r="W13" s="800">
        <v>44.569510125435457</v>
      </c>
      <c r="X13" s="800">
        <v>47.793525335919441</v>
      </c>
      <c r="Y13" s="797">
        <v>52.320004593770342</v>
      </c>
      <c r="Z13" s="800">
        <v>51.967177390583267</v>
      </c>
      <c r="AA13" s="800">
        <v>49.403774021541032</v>
      </c>
      <c r="AB13" s="800">
        <v>55.014241772652326</v>
      </c>
      <c r="AC13" s="797">
        <v>71.614806815223375</v>
      </c>
      <c r="AD13" s="800">
        <v>57.301889836230117</v>
      </c>
      <c r="AE13" s="800">
        <v>66.255310123141072</v>
      </c>
      <c r="AF13" s="800">
        <v>76.999414467434235</v>
      </c>
      <c r="AG13" s="797">
        <v>99.14838557319456</v>
      </c>
      <c r="AH13" s="800">
        <v>120.55363321799308</v>
      </c>
      <c r="AI13" s="800">
        <v>120.55363321799308</v>
      </c>
      <c r="AJ13" s="800">
        <v>138.54671280276816</v>
      </c>
      <c r="AK13" s="797">
        <v>140.34602076124568</v>
      </c>
      <c r="AL13" s="800">
        <v>120.64516129032258</v>
      </c>
      <c r="AM13" s="800">
        <v>122.06451612903226</v>
      </c>
      <c r="AN13" s="800">
        <v>133.41935483870967</v>
      </c>
      <c r="AO13" s="797">
        <v>63.870967741935488</v>
      </c>
      <c r="AP13" s="800">
        <v>119.12727272727271</v>
      </c>
      <c r="AQ13" s="800">
        <v>111.83376623376623</v>
      </c>
      <c r="AR13" s="800">
        <v>113.04935064935064</v>
      </c>
      <c r="AS13" s="797">
        <v>123.98961038961038</v>
      </c>
      <c r="AT13" s="800">
        <v>112.20043572984748</v>
      </c>
      <c r="AU13" s="800">
        <v>112.20043572984748</v>
      </c>
      <c r="AV13" s="800">
        <v>115.46840958605664</v>
      </c>
      <c r="AW13" s="797">
        <v>160.13071895424835</v>
      </c>
      <c r="AX13" s="801">
        <v>127.15384615384616</v>
      </c>
      <c r="AY13" s="801">
        <v>127.15384615384616</v>
      </c>
      <c r="AZ13" s="801">
        <v>127.15384615384616</v>
      </c>
      <c r="BA13" s="799">
        <v>169.53846153846155</v>
      </c>
      <c r="BB13" s="801">
        <v>152.07692307692307</v>
      </c>
      <c r="BC13" s="801">
        <v>152.07692307692307</v>
      </c>
      <c r="BD13" s="801">
        <v>152.07692307692307</v>
      </c>
      <c r="BE13" s="799">
        <v>202.76923076923083</v>
      </c>
      <c r="BF13" s="801">
        <v>169.61538461538461</v>
      </c>
      <c r="BG13" s="801">
        <v>169.61538461538461</v>
      </c>
      <c r="BH13" s="801">
        <v>169.61538461538461</v>
      </c>
      <c r="BI13" s="799">
        <v>226.15384615384619</v>
      </c>
      <c r="BJ13" s="801">
        <v>217.15384615384616</v>
      </c>
      <c r="BK13" s="801">
        <v>217.15384615384616</v>
      </c>
      <c r="BL13" s="801">
        <v>217.15384615384616</v>
      </c>
      <c r="BM13" s="799">
        <v>289.53846153846155</v>
      </c>
      <c r="BN13" s="801">
        <v>252.23076923076923</v>
      </c>
      <c r="BO13" s="801">
        <v>252.23076923076923</v>
      </c>
      <c r="BP13" s="801">
        <v>252.23076923076923</v>
      </c>
      <c r="BQ13" s="799">
        <v>336.30769230769238</v>
      </c>
      <c r="BR13" s="801">
        <v>259.38461538461536</v>
      </c>
      <c r="BS13" s="801">
        <v>259.38461538461536</v>
      </c>
      <c r="BT13" s="801">
        <v>259.38461538461536</v>
      </c>
      <c r="BU13" s="799">
        <v>345.84615384615392</v>
      </c>
      <c r="BV13" s="801">
        <v>267.41078904243574</v>
      </c>
      <c r="BW13" s="801">
        <v>267.41078904243574</v>
      </c>
      <c r="BX13" s="801">
        <v>267.41078904243574</v>
      </c>
      <c r="BY13" s="799">
        <v>356.54771872324773</v>
      </c>
      <c r="BZ13" s="801">
        <v>259.38461538461536</v>
      </c>
      <c r="CA13" s="801">
        <v>259.38461538461536</v>
      </c>
      <c r="CB13" s="801">
        <v>259.38461538461536</v>
      </c>
      <c r="CC13" s="799">
        <v>345.84615384615392</v>
      </c>
      <c r="CD13" s="801">
        <v>293.75</v>
      </c>
      <c r="CE13" s="801">
        <v>293.75</v>
      </c>
      <c r="CF13" s="801">
        <v>293.75</v>
      </c>
      <c r="CG13" s="799">
        <v>293.75</v>
      </c>
      <c r="CH13" s="801">
        <v>306.8953687821612</v>
      </c>
      <c r="CI13" s="801">
        <v>284.97427101200685</v>
      </c>
      <c r="CJ13" s="801">
        <v>284.97427101200685</v>
      </c>
      <c r="CK13" s="799">
        <v>284.97427101200685</v>
      </c>
      <c r="CL13" s="801">
        <v>306.8953687821612</v>
      </c>
      <c r="CM13" s="801">
        <v>284.97427101200685</v>
      </c>
      <c r="CN13" s="801">
        <v>284.97427101200685</v>
      </c>
      <c r="CO13" s="799">
        <v>284.97427101200685</v>
      </c>
      <c r="CP13" s="798">
        <f>$EU$13/4</f>
        <v>212</v>
      </c>
      <c r="CQ13" s="798">
        <f>$EU$13/4</f>
        <v>212</v>
      </c>
      <c r="CR13" s="798">
        <f>$EU$13/4</f>
        <v>212</v>
      </c>
      <c r="CS13" s="799">
        <f>$EU$13/4</f>
        <v>212</v>
      </c>
      <c r="CT13" s="947">
        <f>EV13/4</f>
        <v>208</v>
      </c>
      <c r="CU13" s="947">
        <f>EV13/4</f>
        <v>208</v>
      </c>
      <c r="CV13" s="947">
        <f>EV13/4</f>
        <v>208</v>
      </c>
      <c r="CW13" s="874">
        <f>EV13/4</f>
        <v>208</v>
      </c>
      <c r="CX13" s="947">
        <f>$EW$13/4</f>
        <v>195.75</v>
      </c>
      <c r="CY13" s="947">
        <f>$EW$13/4</f>
        <v>195.75</v>
      </c>
      <c r="CZ13" s="947">
        <f>$EW$13/4</f>
        <v>195.75</v>
      </c>
      <c r="DA13" s="874">
        <f>$EW$13/4</f>
        <v>195.75</v>
      </c>
      <c r="DB13" s="947">
        <f>$EX$13/4</f>
        <v>193.5</v>
      </c>
      <c r="DC13" s="947">
        <f>$EX$13/4</f>
        <v>193.5</v>
      </c>
      <c r="DD13" s="947">
        <f>$EX$13/4</f>
        <v>193.5</v>
      </c>
      <c r="DE13" s="874">
        <f>$EX$13/4</f>
        <v>193.5</v>
      </c>
      <c r="DF13" s="947">
        <f>$EY$13/4</f>
        <v>201.68183696374155</v>
      </c>
      <c r="DG13" s="947">
        <f>$EY$13/4</f>
        <v>201.68183696374155</v>
      </c>
      <c r="DH13" s="947">
        <f>$EY$13/4</f>
        <v>201.68183696374155</v>
      </c>
      <c r="DI13" s="874">
        <f>$EY$13/4</f>
        <v>201.68183696374155</v>
      </c>
      <c r="DJ13" s="1669">
        <f>$EZ$13/4</f>
        <v>207.34353555267955</v>
      </c>
      <c r="DK13" s="947">
        <f>$EZ$13/4</f>
        <v>207.34353555267955</v>
      </c>
      <c r="DL13" s="947">
        <f>$EZ$13/4</f>
        <v>207.34353555267955</v>
      </c>
      <c r="DM13" s="874">
        <f>$EZ$13/4</f>
        <v>207.34353555267955</v>
      </c>
      <c r="DN13" s="732"/>
      <c r="DO13" s="1217"/>
      <c r="DP13" s="801">
        <v>0</v>
      </c>
      <c r="DQ13" s="801">
        <v>0</v>
      </c>
      <c r="DR13" s="801">
        <v>0</v>
      </c>
      <c r="DS13" s="801">
        <v>0</v>
      </c>
      <c r="DT13" s="801">
        <v>0</v>
      </c>
      <c r="DU13" s="801">
        <v>13.691000000000001</v>
      </c>
      <c r="DV13" s="801">
        <v>16.541</v>
      </c>
      <c r="DW13" s="801">
        <v>23.161999999999999</v>
      </c>
      <c r="DX13" s="800">
        <v>38.112000000000002</v>
      </c>
      <c r="DY13" s="800">
        <v>65.510999999999996</v>
      </c>
      <c r="DZ13" s="800">
        <v>105.886</v>
      </c>
      <c r="EA13" s="800">
        <v>139.69499999999999</v>
      </c>
      <c r="EB13" s="800">
        <v>161.9</v>
      </c>
      <c r="EC13" s="800">
        <v>186.6</v>
      </c>
      <c r="ED13" s="800">
        <v>228</v>
      </c>
      <c r="EE13" s="800">
        <v>299.70499999999998</v>
      </c>
      <c r="EF13" s="800">
        <v>520</v>
      </c>
      <c r="EG13" s="800">
        <v>440</v>
      </c>
      <c r="EH13" s="800">
        <v>468</v>
      </c>
      <c r="EI13" s="800">
        <v>500</v>
      </c>
      <c r="EJ13" s="798">
        <v>551</v>
      </c>
      <c r="EK13" s="798">
        <v>659</v>
      </c>
      <c r="EL13" s="798">
        <v>735</v>
      </c>
      <c r="EM13" s="798">
        <v>941</v>
      </c>
      <c r="EN13" s="798">
        <v>1093</v>
      </c>
      <c r="EO13" s="798">
        <v>1124</v>
      </c>
      <c r="EP13" s="798">
        <v>1158.780085850555</v>
      </c>
      <c r="EQ13" s="798">
        <v>1124</v>
      </c>
      <c r="ER13" s="954">
        <v>1175</v>
      </c>
      <c r="ES13" s="798">
        <v>1161.8181818181818</v>
      </c>
      <c r="ET13" s="798">
        <f t="shared" si="17"/>
        <v>1161.8181818181818</v>
      </c>
      <c r="EU13" s="2201">
        <v>848</v>
      </c>
      <c r="EV13" s="2201">
        <v>832</v>
      </c>
      <c r="EW13" s="2201">
        <v>783</v>
      </c>
      <c r="EX13" s="2201">
        <v>774</v>
      </c>
      <c r="EY13" s="2718">
        <v>806.72734785496618</v>
      </c>
      <c r="EZ13" s="1754">
        <f>EZ7*EZ77</f>
        <v>829.37414221071822</v>
      </c>
      <c r="FA13" s="857">
        <f t="shared" ref="FA13:FG13" si="20">FA7*FA77</f>
        <v>837.73351247593212</v>
      </c>
      <c r="FB13" s="857">
        <f t="shared" si="20"/>
        <v>846.05524665421547</v>
      </c>
      <c r="FC13" s="857">
        <f t="shared" si="20"/>
        <v>853.42474741781143</v>
      </c>
      <c r="FD13" s="857">
        <f t="shared" si="20"/>
        <v>864.25644189035518</v>
      </c>
      <c r="FE13" s="857">
        <f t="shared" si="20"/>
        <v>875.51424608488355</v>
      </c>
      <c r="FF13" s="857">
        <f t="shared" si="20"/>
        <v>887.219270173778</v>
      </c>
      <c r="FG13" s="857">
        <f t="shared" si="20"/>
        <v>899.39367829718674</v>
      </c>
      <c r="FH13" s="857">
        <f>FH7*FH77</f>
        <v>912.06074127108934</v>
      </c>
      <c r="FI13" s="413"/>
      <c r="FJ13"/>
      <c r="FK13"/>
      <c r="FL13"/>
      <c r="FM13"/>
      <c r="FN13"/>
      <c r="FO13"/>
      <c r="FR13" s="3"/>
      <c r="FS13" s="858"/>
      <c r="FT13" s="858"/>
      <c r="FU13"/>
      <c r="FV13" s="858"/>
      <c r="FW13" s="858"/>
      <c r="FX13" s="858"/>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row>
    <row r="14" spans="1:260" s="4" customFormat="1" hidden="1" outlineLevel="1" x14ac:dyDescent="0.2">
      <c r="A14" s="1219" t="s">
        <v>92</v>
      </c>
      <c r="B14" s="796">
        <v>0</v>
      </c>
      <c r="C14" s="796">
        <v>0</v>
      </c>
      <c r="D14" s="796">
        <v>0</v>
      </c>
      <c r="E14" s="797">
        <v>0</v>
      </c>
      <c r="F14" s="800">
        <v>0</v>
      </c>
      <c r="G14" s="800">
        <v>0</v>
      </c>
      <c r="H14" s="800">
        <v>0</v>
      </c>
      <c r="I14" s="797">
        <v>0</v>
      </c>
      <c r="J14" s="800">
        <v>0</v>
      </c>
      <c r="K14" s="800">
        <v>0</v>
      </c>
      <c r="L14" s="800">
        <v>0</v>
      </c>
      <c r="M14" s="797">
        <v>0</v>
      </c>
      <c r="N14" s="800">
        <v>0</v>
      </c>
      <c r="O14" s="800">
        <v>0</v>
      </c>
      <c r="P14" s="800">
        <v>0</v>
      </c>
      <c r="Q14" s="797">
        <v>0</v>
      </c>
      <c r="R14" s="800">
        <v>0</v>
      </c>
      <c r="S14" s="800">
        <v>0</v>
      </c>
      <c r="T14" s="800">
        <v>0</v>
      </c>
      <c r="U14" s="797">
        <v>0</v>
      </c>
      <c r="V14" s="800">
        <v>0</v>
      </c>
      <c r="W14" s="800">
        <v>0</v>
      </c>
      <c r="X14" s="800">
        <v>0</v>
      </c>
      <c r="Y14" s="797">
        <v>0</v>
      </c>
      <c r="Z14" s="800">
        <v>76.911623118761185</v>
      </c>
      <c r="AA14" s="800">
        <v>73.253546041902638</v>
      </c>
      <c r="AB14" s="800">
        <v>87.325038759459133</v>
      </c>
      <c r="AC14" s="797">
        <v>136.50980405339408</v>
      </c>
      <c r="AD14" s="800">
        <v>98.504458486327835</v>
      </c>
      <c r="AE14" s="800">
        <v>93.819381160618619</v>
      </c>
      <c r="AF14" s="800">
        <v>111.84142664647305</v>
      </c>
      <c r="AG14" s="797">
        <v>174.83474904164643</v>
      </c>
      <c r="AH14" s="800">
        <v>111.04900000000001</v>
      </c>
      <c r="AI14" s="800">
        <v>105.767</v>
      </c>
      <c r="AJ14" s="800">
        <v>126.084</v>
      </c>
      <c r="AK14" s="797">
        <v>197.01</v>
      </c>
      <c r="AL14" s="800">
        <v>107.982</v>
      </c>
      <c r="AM14" s="800">
        <v>113.38109999999999</v>
      </c>
      <c r="AN14" s="800">
        <v>161.97299999999998</v>
      </c>
      <c r="AO14" s="797">
        <v>156.57389999999998</v>
      </c>
      <c r="AP14" s="800">
        <v>135</v>
      </c>
      <c r="AQ14" s="800">
        <v>141.75</v>
      </c>
      <c r="AR14" s="800">
        <v>202.5</v>
      </c>
      <c r="AS14" s="797">
        <v>195.75</v>
      </c>
      <c r="AT14" s="800">
        <v>142.4</v>
      </c>
      <c r="AU14" s="800">
        <v>149.52000000000001</v>
      </c>
      <c r="AV14" s="800">
        <v>213.6</v>
      </c>
      <c r="AW14" s="797">
        <v>206.48</v>
      </c>
      <c r="AX14" s="800">
        <v>176.53846153846155</v>
      </c>
      <c r="AY14" s="800">
        <v>176.53846153846155</v>
      </c>
      <c r="AZ14" s="800">
        <v>176.53846153846155</v>
      </c>
      <c r="BA14" s="797">
        <v>235.38461538461536</v>
      </c>
      <c r="BB14" s="800">
        <v>176.53846153846155</v>
      </c>
      <c r="BC14" s="800">
        <v>176.53846153846155</v>
      </c>
      <c r="BD14" s="800">
        <v>176.53846153846155</v>
      </c>
      <c r="BE14" s="797">
        <v>235.38461538461536</v>
      </c>
      <c r="BF14" s="800">
        <v>176.53846153846155</v>
      </c>
      <c r="BG14" s="800">
        <v>176.53846153846155</v>
      </c>
      <c r="BH14" s="800">
        <v>176.53846153846155</v>
      </c>
      <c r="BI14" s="797">
        <v>235.38461538461536</v>
      </c>
      <c r="BJ14" s="800">
        <v>176.53846153846155</v>
      </c>
      <c r="BK14" s="800">
        <v>176.53846153846155</v>
      </c>
      <c r="BL14" s="800">
        <v>176.53846153846155</v>
      </c>
      <c r="BM14" s="797">
        <v>235.38461538461536</v>
      </c>
      <c r="BN14" s="800">
        <v>163.61538461538461</v>
      </c>
      <c r="BO14" s="800">
        <v>163.61538461538461</v>
      </c>
      <c r="BP14" s="800">
        <v>163.61538461538461</v>
      </c>
      <c r="BQ14" s="797">
        <v>218.15384615384619</v>
      </c>
      <c r="BR14" s="800">
        <v>207.92307692307691</v>
      </c>
      <c r="BS14" s="800">
        <v>207.92307692307691</v>
      </c>
      <c r="BT14" s="800">
        <v>207.92307692307691</v>
      </c>
      <c r="BU14" s="797">
        <v>277.23076923076928</v>
      </c>
      <c r="BV14" s="800">
        <v>210.87220372100316</v>
      </c>
      <c r="BW14" s="800">
        <v>208.06977280590471</v>
      </c>
      <c r="BX14" s="800">
        <v>211.57790645015203</v>
      </c>
      <c r="BY14" s="797">
        <v>283.60898697758938</v>
      </c>
      <c r="BZ14" s="800">
        <v>207.92307692307691</v>
      </c>
      <c r="CA14" s="800">
        <v>207.92307692307691</v>
      </c>
      <c r="CB14" s="800">
        <v>207.92307692307691</v>
      </c>
      <c r="CC14" s="797">
        <v>238.23076923076928</v>
      </c>
      <c r="CD14" s="800">
        <v>248.75</v>
      </c>
      <c r="CE14" s="800">
        <v>248.75</v>
      </c>
      <c r="CF14" s="800">
        <v>248.75</v>
      </c>
      <c r="CG14" s="797">
        <v>248.75</v>
      </c>
      <c r="CH14" s="800">
        <v>263.09433962264154</v>
      </c>
      <c r="CI14" s="800">
        <v>244.30188679245282</v>
      </c>
      <c r="CJ14" s="800">
        <v>244.30188679245282</v>
      </c>
      <c r="CK14" s="797">
        <v>244.30188679245282</v>
      </c>
      <c r="CL14" s="801">
        <v>263.09433962264154</v>
      </c>
      <c r="CM14" s="801">
        <v>244.30188679245282</v>
      </c>
      <c r="CN14" s="801">
        <v>244.30188679245282</v>
      </c>
      <c r="CO14" s="799">
        <v>244.30188679245282</v>
      </c>
      <c r="CP14" s="954">
        <v>237.9085033896055</v>
      </c>
      <c r="CQ14" s="798">
        <v>243.28167332367613</v>
      </c>
      <c r="CR14" s="798">
        <v>243.80708497504992</v>
      </c>
      <c r="CS14" s="799">
        <v>250</v>
      </c>
      <c r="CT14" s="1062">
        <f>EV14/4</f>
        <v>177.75</v>
      </c>
      <c r="CU14" s="947">
        <f>EV14/4</f>
        <v>177.75</v>
      </c>
      <c r="CV14" s="947">
        <f>EV14/4</f>
        <v>177.75</v>
      </c>
      <c r="CW14" s="874">
        <f>EV14/4</f>
        <v>177.75</v>
      </c>
      <c r="CX14" s="947">
        <f>$EW$14/4</f>
        <v>185.5</v>
      </c>
      <c r="CY14" s="947">
        <f>$EW$14/4</f>
        <v>185.5</v>
      </c>
      <c r="CZ14" s="947">
        <f>$EW$14/4</f>
        <v>185.5</v>
      </c>
      <c r="DA14" s="874">
        <f>$EW$14/4</f>
        <v>185.5</v>
      </c>
      <c r="DB14" s="947">
        <f>$EX$14/4</f>
        <v>185.75</v>
      </c>
      <c r="DC14" s="947">
        <f>$EX$14/4</f>
        <v>185.75</v>
      </c>
      <c r="DD14" s="947">
        <f>$EX$14/4</f>
        <v>185.75</v>
      </c>
      <c r="DE14" s="874">
        <f>$EX$14/4</f>
        <v>185.75</v>
      </c>
      <c r="DF14" s="947">
        <f>$EY$14/4</f>
        <v>181.9294921064679</v>
      </c>
      <c r="DG14" s="947">
        <f>$EY$14/4</f>
        <v>181.9294921064679</v>
      </c>
      <c r="DH14" s="947">
        <f>$EY$14/4</f>
        <v>181.9294921064679</v>
      </c>
      <c r="DI14" s="874">
        <f>$EY$14/4</f>
        <v>181.9294921064679</v>
      </c>
      <c r="DJ14" s="1669">
        <f>$EZ$14/4</f>
        <v>182.63736989636558</v>
      </c>
      <c r="DK14" s="947">
        <f>$EZ$14/4</f>
        <v>182.63736989636558</v>
      </c>
      <c r="DL14" s="947">
        <f>$EZ$14/4</f>
        <v>182.63736989636558</v>
      </c>
      <c r="DM14" s="874">
        <f>$EZ$14/4</f>
        <v>182.63736989636558</v>
      </c>
      <c r="DN14" s="732"/>
      <c r="DO14" s="1217"/>
      <c r="DP14" s="800"/>
      <c r="DQ14" s="800"/>
      <c r="DR14" s="800"/>
      <c r="DS14" s="800"/>
      <c r="DT14" s="800"/>
      <c r="DU14" s="800"/>
      <c r="DV14" s="800"/>
      <c r="DW14" s="800"/>
      <c r="DX14" s="1218"/>
      <c r="DY14" s="1218"/>
      <c r="DZ14" s="1218"/>
      <c r="EA14" s="1218"/>
      <c r="EB14" s="1218"/>
      <c r="EC14" s="800"/>
      <c r="ED14" s="800">
        <v>374.00001197351702</v>
      </c>
      <c r="EE14" s="800">
        <v>479.00001533506594</v>
      </c>
      <c r="EF14" s="800">
        <v>539.91</v>
      </c>
      <c r="EG14" s="800">
        <v>539.91</v>
      </c>
      <c r="EH14" s="800">
        <v>675</v>
      </c>
      <c r="EI14" s="800">
        <v>712</v>
      </c>
      <c r="EJ14" s="798">
        <v>765</v>
      </c>
      <c r="EK14" s="798">
        <v>765</v>
      </c>
      <c r="EL14" s="798">
        <v>765</v>
      </c>
      <c r="EM14" s="798">
        <v>765</v>
      </c>
      <c r="EN14" s="798">
        <v>709</v>
      </c>
      <c r="EO14" s="798">
        <v>901</v>
      </c>
      <c r="EP14" s="798">
        <v>914.12886995464919</v>
      </c>
      <c r="EQ14" s="798">
        <v>862</v>
      </c>
      <c r="ER14" s="954">
        <v>995</v>
      </c>
      <c r="ES14" s="798">
        <v>996</v>
      </c>
      <c r="ET14" s="798">
        <f t="shared" si="17"/>
        <v>996</v>
      </c>
      <c r="EU14" s="2201">
        <v>757</v>
      </c>
      <c r="EV14" s="2201">
        <v>711</v>
      </c>
      <c r="EW14" s="2201">
        <v>742</v>
      </c>
      <c r="EX14" s="2201">
        <v>743</v>
      </c>
      <c r="EY14" s="2718">
        <v>727.71796842587162</v>
      </c>
      <c r="EZ14" s="1754">
        <f>EZ7*EZ78</f>
        <v>730.54947958546234</v>
      </c>
      <c r="FA14" s="865">
        <f t="shared" ref="FA14:FG14" si="21">FA7*FA78</f>
        <v>737.91278317319666</v>
      </c>
      <c r="FB14" s="865">
        <f t="shared" si="21"/>
        <v>745.24293522856271</v>
      </c>
      <c r="FC14" s="865">
        <f t="shared" si="21"/>
        <v>751.7343179153911</v>
      </c>
      <c r="FD14" s="865">
        <f t="shared" si="21"/>
        <v>761.27535417057618</v>
      </c>
      <c r="FE14" s="865">
        <f t="shared" si="21"/>
        <v>771.19172674238746</v>
      </c>
      <c r="FF14" s="865">
        <f t="shared" si="21"/>
        <v>781.50203040568215</v>
      </c>
      <c r="FG14" s="865">
        <f t="shared" si="21"/>
        <v>792.22578831681028</v>
      </c>
      <c r="FH14" s="865">
        <f>FH7*FH78</f>
        <v>803.38349844121115</v>
      </c>
      <c r="FI14" s="413"/>
      <c r="FJ14"/>
      <c r="FK14"/>
      <c r="FL14"/>
      <c r="FM14"/>
      <c r="FN14"/>
      <c r="FO14"/>
      <c r="FR14" s="3"/>
      <c r="FS14" s="858"/>
      <c r="FT14" s="858"/>
      <c r="FU14"/>
      <c r="FV14" s="858"/>
      <c r="FW14" s="858"/>
      <c r="FX14" s="858"/>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row>
    <row r="15" spans="1:260" s="4" customFormat="1" hidden="1" outlineLevel="1" x14ac:dyDescent="0.2">
      <c r="A15" s="1219" t="s">
        <v>93</v>
      </c>
      <c r="B15" s="798">
        <f t="shared" ref="B15:AG15" si="22">B16-SUM(B11:B14)</f>
        <v>58.714483312511163</v>
      </c>
      <c r="C15" s="798">
        <f t="shared" si="22"/>
        <v>67.89436748170624</v>
      </c>
      <c r="D15" s="798">
        <f t="shared" si="22"/>
        <v>84.90385704087096</v>
      </c>
      <c r="E15" s="799">
        <f t="shared" si="22"/>
        <v>107.71029216491166</v>
      </c>
      <c r="F15" s="798">
        <f t="shared" si="22"/>
        <v>85.336939097744363</v>
      </c>
      <c r="G15" s="798">
        <f t="shared" si="22"/>
        <v>91.606671428571431</v>
      </c>
      <c r="H15" s="798">
        <f t="shared" si="22"/>
        <v>117.73418195488722</v>
      </c>
      <c r="I15" s="799">
        <f t="shared" si="22"/>
        <v>169.74120751879701</v>
      </c>
      <c r="J15" s="798">
        <f t="shared" si="22"/>
        <v>128.52886562648101</v>
      </c>
      <c r="K15" s="798">
        <f t="shared" si="22"/>
        <v>138.7179966461303</v>
      </c>
      <c r="L15" s="798">
        <f t="shared" si="22"/>
        <v>158.25181797965803</v>
      </c>
      <c r="M15" s="799">
        <f t="shared" si="22"/>
        <v>227.7413197477307</v>
      </c>
      <c r="N15" s="798">
        <f t="shared" si="22"/>
        <v>167.04050436838011</v>
      </c>
      <c r="O15" s="798">
        <f t="shared" si="22"/>
        <v>179.97955595116989</v>
      </c>
      <c r="P15" s="798">
        <f t="shared" si="22"/>
        <v>199.74887144695109</v>
      </c>
      <c r="Q15" s="799">
        <f t="shared" si="22"/>
        <v>252.36706823349894</v>
      </c>
      <c r="R15" s="798">
        <f t="shared" si="22"/>
        <v>186.90860454850247</v>
      </c>
      <c r="S15" s="798">
        <f t="shared" si="22"/>
        <v>209.46941249441218</v>
      </c>
      <c r="T15" s="798">
        <f t="shared" si="22"/>
        <v>228.58636225972285</v>
      </c>
      <c r="U15" s="799">
        <f t="shared" si="22"/>
        <v>286.83162069736255</v>
      </c>
      <c r="V15" s="798">
        <f t="shared" si="22"/>
        <v>266.63304005512526</v>
      </c>
      <c r="W15" s="798">
        <f t="shared" si="22"/>
        <v>274.26648987456451</v>
      </c>
      <c r="X15" s="798">
        <f t="shared" si="22"/>
        <v>286.1194746640806</v>
      </c>
      <c r="Y15" s="799">
        <f t="shared" si="22"/>
        <v>371.29499540622965</v>
      </c>
      <c r="Z15" s="798">
        <f t="shared" si="22"/>
        <v>237.78419949065554</v>
      </c>
      <c r="AA15" s="798">
        <f t="shared" si="22"/>
        <v>295.7846799365563</v>
      </c>
      <c r="AB15" s="798">
        <f t="shared" si="22"/>
        <v>300.41571946788855</v>
      </c>
      <c r="AC15" s="799">
        <f t="shared" si="22"/>
        <v>308.64438913138258</v>
      </c>
      <c r="AD15" s="798">
        <f t="shared" si="22"/>
        <v>309.26865167744205</v>
      </c>
      <c r="AE15" s="798">
        <f t="shared" si="22"/>
        <v>336.32030871624028</v>
      </c>
      <c r="AF15" s="798">
        <f t="shared" si="22"/>
        <v>372.18715888609273</v>
      </c>
      <c r="AG15" s="799">
        <f t="shared" si="22"/>
        <v>493.31686538515896</v>
      </c>
      <c r="AH15" s="798">
        <f t="shared" ref="AH15:BM15" si="23">AH16-SUM(AH11:AH14)</f>
        <v>457.39736678200688</v>
      </c>
      <c r="AI15" s="798">
        <f t="shared" si="23"/>
        <v>506.67936678200692</v>
      </c>
      <c r="AJ15" s="798">
        <f t="shared" si="23"/>
        <v>557.36928719723187</v>
      </c>
      <c r="AK15" s="799">
        <f t="shared" si="23"/>
        <v>622.64397923875435</v>
      </c>
      <c r="AL15" s="798">
        <f t="shared" si="23"/>
        <v>637.37283870967747</v>
      </c>
      <c r="AM15" s="798">
        <f t="shared" si="23"/>
        <v>702.55438387096774</v>
      </c>
      <c r="AN15" s="798">
        <f t="shared" si="23"/>
        <v>720.60764516129029</v>
      </c>
      <c r="AO15" s="799">
        <f t="shared" si="23"/>
        <v>875.55513225806453</v>
      </c>
      <c r="AP15" s="798">
        <f t="shared" si="23"/>
        <v>718.87272727272727</v>
      </c>
      <c r="AQ15" s="798">
        <f t="shared" si="23"/>
        <v>797.41623376623374</v>
      </c>
      <c r="AR15" s="798">
        <f t="shared" si="23"/>
        <v>875.45064935064943</v>
      </c>
      <c r="AS15" s="799">
        <f t="shared" si="23"/>
        <v>868.26038961038967</v>
      </c>
      <c r="AT15" s="798">
        <f t="shared" si="23"/>
        <v>769.3995642701525</v>
      </c>
      <c r="AU15" s="798">
        <f t="shared" si="23"/>
        <v>863.27956427015249</v>
      </c>
      <c r="AV15" s="798">
        <f t="shared" si="23"/>
        <v>874.93159041394335</v>
      </c>
      <c r="AW15" s="799">
        <f t="shared" si="23"/>
        <v>874.38928104575166</v>
      </c>
      <c r="AX15" s="798">
        <f t="shared" si="23"/>
        <v>906.30769230769226</v>
      </c>
      <c r="AY15" s="798">
        <f t="shared" si="23"/>
        <v>1033.3076923076924</v>
      </c>
      <c r="AZ15" s="798">
        <f t="shared" si="23"/>
        <v>1184.3076923076924</v>
      </c>
      <c r="BA15" s="799">
        <f t="shared" si="23"/>
        <v>1186.0769230769231</v>
      </c>
      <c r="BB15" s="798">
        <f t="shared" si="23"/>
        <v>978.38461538461536</v>
      </c>
      <c r="BC15" s="798">
        <f t="shared" si="23"/>
        <v>1118.3846153846152</v>
      </c>
      <c r="BD15" s="798">
        <f t="shared" si="23"/>
        <v>1347.3846153846152</v>
      </c>
      <c r="BE15" s="799">
        <f t="shared" si="23"/>
        <v>1392.8461538461538</v>
      </c>
      <c r="BF15" s="798">
        <f t="shared" si="23"/>
        <v>1144.8461538461538</v>
      </c>
      <c r="BG15" s="798">
        <f t="shared" si="23"/>
        <v>1247.8461538461538</v>
      </c>
      <c r="BH15" s="798">
        <f t="shared" si="23"/>
        <v>1499.8461538461538</v>
      </c>
      <c r="BI15" s="799">
        <f t="shared" si="23"/>
        <v>1412.4615384615386</v>
      </c>
      <c r="BJ15" s="798">
        <f t="shared" si="23"/>
        <v>1309.3076923076924</v>
      </c>
      <c r="BK15" s="798">
        <f t="shared" si="23"/>
        <v>1488.3076923076924</v>
      </c>
      <c r="BL15" s="798">
        <f t="shared" si="23"/>
        <v>1944.3076923076924</v>
      </c>
      <c r="BM15" s="799">
        <f t="shared" si="23"/>
        <v>1743.0769230769231</v>
      </c>
      <c r="BN15" s="798">
        <f t="shared" ref="BN15:CS15" si="24">BN16-SUM(BN11:BN14)</f>
        <v>1576.1538461538462</v>
      </c>
      <c r="BO15" s="798">
        <f t="shared" si="24"/>
        <v>1756.1538461538462</v>
      </c>
      <c r="BP15" s="798">
        <f t="shared" si="24"/>
        <v>1919.1538461538462</v>
      </c>
      <c r="BQ15" s="799">
        <f t="shared" si="24"/>
        <v>1893.5384615384614</v>
      </c>
      <c r="BR15" s="798">
        <f t="shared" si="24"/>
        <v>1769.6923076923076</v>
      </c>
      <c r="BS15" s="798">
        <f t="shared" si="24"/>
        <v>1801.6923076923076</v>
      </c>
      <c r="BT15" s="798">
        <f t="shared" si="24"/>
        <v>1880.6923076923076</v>
      </c>
      <c r="BU15" s="799">
        <f t="shared" si="24"/>
        <v>1869.9230769230767</v>
      </c>
      <c r="BV15" s="798">
        <f t="shared" si="24"/>
        <v>1769.7170072365611</v>
      </c>
      <c r="BW15" s="798">
        <f t="shared" si="24"/>
        <v>1868.5194381516594</v>
      </c>
      <c r="BX15" s="798">
        <f t="shared" si="24"/>
        <v>1906.0113045074122</v>
      </c>
      <c r="BY15" s="799">
        <f t="shared" si="24"/>
        <v>1839.8432942991628</v>
      </c>
      <c r="BZ15" s="798">
        <f t="shared" si="24"/>
        <v>1716.6923076923076</v>
      </c>
      <c r="CA15" s="798">
        <f t="shared" si="24"/>
        <v>1729.6923076923076</v>
      </c>
      <c r="CB15" s="798">
        <f t="shared" si="24"/>
        <v>1726.6923076923076</v>
      </c>
      <c r="CC15" s="799">
        <f t="shared" si="24"/>
        <v>1870.9230769230767</v>
      </c>
      <c r="CD15" s="798">
        <f t="shared" si="24"/>
        <v>1678.5</v>
      </c>
      <c r="CE15" s="798">
        <f t="shared" si="24"/>
        <v>1720.5</v>
      </c>
      <c r="CF15" s="798">
        <f t="shared" si="24"/>
        <v>1698.5</v>
      </c>
      <c r="CG15" s="799">
        <f t="shared" si="24"/>
        <v>1897.5</v>
      </c>
      <c r="CH15" s="798">
        <f t="shared" si="24"/>
        <v>1711.0102915951973</v>
      </c>
      <c r="CI15" s="798">
        <f t="shared" si="24"/>
        <v>1682.7238421955403</v>
      </c>
      <c r="CJ15" s="798">
        <f t="shared" si="24"/>
        <v>1786.7238421955403</v>
      </c>
      <c r="CK15" s="799">
        <f t="shared" si="24"/>
        <v>2098.7238421955403</v>
      </c>
      <c r="CL15" s="798">
        <f t="shared" si="24"/>
        <v>1372.0102915951973</v>
      </c>
      <c r="CM15" s="798">
        <f t="shared" si="24"/>
        <v>1322.7238421955403</v>
      </c>
      <c r="CN15" s="798">
        <f t="shared" si="24"/>
        <v>1440.7238421955403</v>
      </c>
      <c r="CO15" s="799">
        <f t="shared" si="24"/>
        <v>1732.7238421955403</v>
      </c>
      <c r="CP15" s="954">
        <f t="shared" si="24"/>
        <v>1241.0914966103946</v>
      </c>
      <c r="CQ15" s="798">
        <f t="shared" si="24"/>
        <v>1281.7183266763238</v>
      </c>
      <c r="CR15" s="798">
        <f t="shared" si="24"/>
        <v>1339.19291502495</v>
      </c>
      <c r="CS15" s="799">
        <f t="shared" si="24"/>
        <v>1571</v>
      </c>
      <c r="CT15" s="954">
        <f t="shared" ref="CT15:DB15" si="25">CT16-SUM(CT11:CT14)</f>
        <v>1199.25</v>
      </c>
      <c r="CU15" s="798">
        <f t="shared" si="25"/>
        <v>1192.25</v>
      </c>
      <c r="CV15" s="798">
        <f t="shared" si="25"/>
        <v>1309.25</v>
      </c>
      <c r="CW15" s="799">
        <f t="shared" si="25"/>
        <v>1650.25</v>
      </c>
      <c r="CX15" s="798">
        <f t="shared" si="25"/>
        <v>1207.75</v>
      </c>
      <c r="CY15" s="798">
        <f t="shared" si="25"/>
        <v>1262.75</v>
      </c>
      <c r="CZ15" s="798">
        <f t="shared" si="25"/>
        <v>1323.75</v>
      </c>
      <c r="DA15" s="799">
        <f t="shared" si="25"/>
        <v>1622.75</v>
      </c>
      <c r="DB15" s="798">
        <f t="shared" si="25"/>
        <v>1180.75</v>
      </c>
      <c r="DC15" s="798">
        <f t="shared" ref="DC15:DI15" si="26">DC16-SUM(DC11:DC14)</f>
        <v>1227.75</v>
      </c>
      <c r="DD15" s="798">
        <f t="shared" si="26"/>
        <v>1346.75</v>
      </c>
      <c r="DE15" s="799">
        <f t="shared" si="26"/>
        <v>1597.75</v>
      </c>
      <c r="DF15" s="798">
        <f t="shared" si="26"/>
        <v>1177.3886709297906</v>
      </c>
      <c r="DG15" s="798">
        <f t="shared" si="26"/>
        <v>1271.3886709297906</v>
      </c>
      <c r="DH15" s="798">
        <f t="shared" si="26"/>
        <v>1377.3886709297906</v>
      </c>
      <c r="DI15" s="799">
        <f t="shared" si="26"/>
        <v>1872.3886709297906</v>
      </c>
      <c r="DJ15" s="1670">
        <f t="shared" ref="DJ15:DK15" si="27">DJ16-SUM(DJ11:DJ14)</f>
        <v>1214.6951786303566</v>
      </c>
      <c r="DK15" s="798">
        <f t="shared" si="27"/>
        <v>1283.3598347642614</v>
      </c>
      <c r="DL15" s="798">
        <f t="shared" ref="DL15:DM15" si="28">DL16-SUM(DL11:DL14)</f>
        <v>1378.7308826921646</v>
      </c>
      <c r="DM15" s="799">
        <f t="shared" si="28"/>
        <v>1771.8529516836002</v>
      </c>
      <c r="DN15" s="1220"/>
      <c r="DO15" s="1217"/>
      <c r="DP15" s="798">
        <f t="shared" ref="DP15:DW15" si="29">DP16-SUM(DP11:DP14)</f>
        <v>19.638999999999999</v>
      </c>
      <c r="DQ15" s="798">
        <f t="shared" si="29"/>
        <v>43.261999999999993</v>
      </c>
      <c r="DR15" s="798">
        <f t="shared" si="29"/>
        <v>90.453999999999994</v>
      </c>
      <c r="DS15" s="798">
        <f t="shared" si="29"/>
        <v>100.38200000000001</v>
      </c>
      <c r="DT15" s="798">
        <f t="shared" si="29"/>
        <v>101.718</v>
      </c>
      <c r="DU15" s="798">
        <f t="shared" si="29"/>
        <v>109.197</v>
      </c>
      <c r="DV15" s="798">
        <f t="shared" si="29"/>
        <v>135.732</v>
      </c>
      <c r="DW15" s="798">
        <f t="shared" si="29"/>
        <v>210.13200000000001</v>
      </c>
      <c r="DX15" s="796">
        <f>+B15+C15+D15+E15</f>
        <v>319.22300000000001</v>
      </c>
      <c r="DY15" s="796">
        <f>+F15+G15+H15+I15</f>
        <v>464.41900000000004</v>
      </c>
      <c r="DZ15" s="796">
        <f>+J15+K15+L15+M15</f>
        <v>653.24</v>
      </c>
      <c r="EA15" s="796">
        <f>+N15+O15+P15+Q15</f>
        <v>799.13599999999997</v>
      </c>
      <c r="EB15" s="796">
        <f>+R15+S15+T15+U15</f>
        <v>911.79600000000005</v>
      </c>
      <c r="EC15" s="796">
        <f>+V15+W15+X15+Y15</f>
        <v>1198.3140000000001</v>
      </c>
      <c r="ED15" s="796">
        <f>+Z15+AA15+AB15+AC15</f>
        <v>1142.6289880264831</v>
      </c>
      <c r="EE15" s="796">
        <f>+AD15+AE15+AF15+AG15</f>
        <v>1511.092984664934</v>
      </c>
      <c r="EF15" s="796">
        <f>+AH15+AI15+AJ15+AK15</f>
        <v>2144.09</v>
      </c>
      <c r="EG15" s="796">
        <f>+AL15+AM15+AN15+AO15</f>
        <v>2936.09</v>
      </c>
      <c r="EH15" s="796">
        <f>+AP15+AQ15+AR15+AS15</f>
        <v>3260.0000000000005</v>
      </c>
      <c r="EI15" s="796">
        <f>+AT15+AU15+AV15+AW15</f>
        <v>3382</v>
      </c>
      <c r="EJ15" s="798">
        <f>SUM(AX15:BA15)</f>
        <v>4310</v>
      </c>
      <c r="EK15" s="798">
        <f>SUM(BB15:BE15)</f>
        <v>4837</v>
      </c>
      <c r="EL15" s="798">
        <f>SUM(BF15:BI15)</f>
        <v>5305</v>
      </c>
      <c r="EM15" s="798">
        <f>SUM(BJ15:BM15)</f>
        <v>6485</v>
      </c>
      <c r="EN15" s="798">
        <f>SUM(BN15:BQ15)</f>
        <v>7145</v>
      </c>
      <c r="EO15" s="798">
        <f>SUM(BR15:BU15)</f>
        <v>7322</v>
      </c>
      <c r="EP15" s="798">
        <f>SUM(BV15:BY15)</f>
        <v>7384.0910441947954</v>
      </c>
      <c r="EQ15" s="798">
        <f>SUM(BZ15:CC15)</f>
        <v>7044</v>
      </c>
      <c r="ER15" s="954">
        <f>SUM(CD15:CG15)</f>
        <v>6995</v>
      </c>
      <c r="ES15" s="798">
        <f>SUM(CH15:CK15)</f>
        <v>7279.181818181818</v>
      </c>
      <c r="ET15" s="798">
        <f t="shared" si="17"/>
        <v>5868.181818181818</v>
      </c>
      <c r="EU15" s="858">
        <f t="shared" si="18"/>
        <v>5433.0027383116685</v>
      </c>
      <c r="EV15" s="858">
        <f t="shared" ref="EV15:FF15" si="30">EV16-SUM(EV11:EV14)</f>
        <v>5351</v>
      </c>
      <c r="EW15" s="858">
        <f t="shared" si="30"/>
        <v>5417</v>
      </c>
      <c r="EX15" s="858">
        <f t="shared" si="30"/>
        <v>5353</v>
      </c>
      <c r="EY15" s="858">
        <f>EY16-SUM(EY11:EY14)</f>
        <v>5698.5546837191623</v>
      </c>
      <c r="EZ15" s="1754">
        <f>EZ16-SUM(EZ11:EZ14)</f>
        <v>5648.6388477703831</v>
      </c>
      <c r="FA15" s="858">
        <f t="shared" si="30"/>
        <v>5661.5963321022627</v>
      </c>
      <c r="FB15" s="858">
        <f t="shared" si="30"/>
        <v>5696.3240334916372</v>
      </c>
      <c r="FC15" s="858">
        <f t="shared" si="30"/>
        <v>5743.5655580741623</v>
      </c>
      <c r="FD15" s="858">
        <f t="shared" si="30"/>
        <v>5813.7694550221804</v>
      </c>
      <c r="FE15" s="858">
        <f t="shared" si="30"/>
        <v>5886.7929722420704</v>
      </c>
      <c r="FF15" s="858">
        <f t="shared" si="30"/>
        <v>5962.7761952884084</v>
      </c>
      <c r="FG15" s="858">
        <f>FG16-SUM(FG11:FG14)</f>
        <v>6041.8662019208423</v>
      </c>
      <c r="FH15" s="858">
        <f>FH16-SUM(FH11:FH14)</f>
        <v>6124.2174117982395</v>
      </c>
      <c r="FI15" s="413"/>
      <c r="FJ15"/>
      <c r="FK15"/>
      <c r="FL15"/>
      <c r="FM15"/>
      <c r="FN15"/>
      <c r="FO15"/>
      <c r="FR15" s="3"/>
      <c r="FS15" s="858"/>
      <c r="FT15" s="858"/>
      <c r="FU15"/>
      <c r="FV15" s="858"/>
      <c r="FW15" s="858"/>
      <c r="FX15" s="858"/>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row>
    <row r="16" spans="1:260" s="3" customFormat="1" collapsed="1" x14ac:dyDescent="0.2">
      <c r="A16" s="162" t="s">
        <v>163</v>
      </c>
      <c r="B16" s="796">
        <v>70.802000000000007</v>
      </c>
      <c r="C16" s="796">
        <v>81.108000000000004</v>
      </c>
      <c r="D16" s="796">
        <v>100.259</v>
      </c>
      <c r="E16" s="797">
        <v>127.578</v>
      </c>
      <c r="F16" s="796">
        <v>107.3</v>
      </c>
      <c r="G16" s="796">
        <v>114.52500000000001</v>
      </c>
      <c r="H16" s="796">
        <v>145.696</v>
      </c>
      <c r="I16" s="797">
        <v>200.97900000000001</v>
      </c>
      <c r="J16" s="796">
        <v>165.92500000000001</v>
      </c>
      <c r="K16" s="796">
        <v>177.41800000000001</v>
      </c>
      <c r="L16" s="796">
        <v>200.29499999999999</v>
      </c>
      <c r="M16" s="797">
        <v>270.35000000000002</v>
      </c>
      <c r="N16" s="796">
        <v>219.69800000000001</v>
      </c>
      <c r="O16" s="796">
        <v>231.982</v>
      </c>
      <c r="P16" s="796">
        <v>251.87799999999999</v>
      </c>
      <c r="Q16" s="797">
        <v>302.11700000000002</v>
      </c>
      <c r="R16" s="796">
        <v>242.667</v>
      </c>
      <c r="S16" s="796">
        <v>268.98200000000003</v>
      </c>
      <c r="T16" s="796">
        <v>284.971</v>
      </c>
      <c r="U16" s="797">
        <v>348.66</v>
      </c>
      <c r="V16" s="796">
        <v>326.154</v>
      </c>
      <c r="W16" s="796">
        <v>337.55399999999997</v>
      </c>
      <c r="X16" s="796">
        <v>353.98500000000001</v>
      </c>
      <c r="Y16" s="797">
        <v>445.58800000000002</v>
      </c>
      <c r="Z16" s="796">
        <v>390.30099999999999</v>
      </c>
      <c r="AA16" s="796">
        <v>440.91399999999999</v>
      </c>
      <c r="AB16" s="796">
        <v>467.779</v>
      </c>
      <c r="AC16" s="797">
        <v>555.17600000000004</v>
      </c>
      <c r="AD16" s="796">
        <v>497.07499999999999</v>
      </c>
      <c r="AE16" s="796">
        <v>533.39499999999998</v>
      </c>
      <c r="AF16" s="796">
        <v>604.02800000000002</v>
      </c>
      <c r="AG16" s="797">
        <v>820.3</v>
      </c>
      <c r="AH16" s="796">
        <v>756</v>
      </c>
      <c r="AI16" s="796">
        <v>800</v>
      </c>
      <c r="AJ16" s="796">
        <v>899</v>
      </c>
      <c r="AK16" s="797">
        <v>1038</v>
      </c>
      <c r="AL16" s="796">
        <v>951</v>
      </c>
      <c r="AM16" s="796">
        <v>1024</v>
      </c>
      <c r="AN16" s="796">
        <v>1110</v>
      </c>
      <c r="AO16" s="797">
        <v>1141</v>
      </c>
      <c r="AP16" s="796">
        <v>1071</v>
      </c>
      <c r="AQ16" s="796">
        <v>1143</v>
      </c>
      <c r="AR16" s="796">
        <v>1284</v>
      </c>
      <c r="AS16" s="797">
        <v>1290</v>
      </c>
      <c r="AT16" s="796">
        <v>1127</v>
      </c>
      <c r="AU16" s="796">
        <f>1228</f>
        <v>1228</v>
      </c>
      <c r="AV16" s="796">
        <v>1310</v>
      </c>
      <c r="AW16" s="797">
        <v>1388</v>
      </c>
      <c r="AX16" s="798">
        <f>'Income Statement'!AX162</f>
        <v>1319</v>
      </c>
      <c r="AY16" s="798">
        <f>'Income Statement'!AY162</f>
        <v>1450</v>
      </c>
      <c r="AZ16" s="798">
        <f>'Income Statement'!AZ162</f>
        <v>1599</v>
      </c>
      <c r="BA16" s="799">
        <f>'Income Statement'!BA162</f>
        <v>1714</v>
      </c>
      <c r="BB16" s="798">
        <f>'Income Statement'!BB162</f>
        <v>1428</v>
      </c>
      <c r="BC16" s="798">
        <f>'Income Statement'!BC162</f>
        <v>1572</v>
      </c>
      <c r="BD16" s="798">
        <f>'Income Statement'!BD162</f>
        <v>1799</v>
      </c>
      <c r="BE16" s="799">
        <f>'Income Statement'!BE162</f>
        <v>1971</v>
      </c>
      <c r="BF16" s="798">
        <f>'Income Statement'!BF162</f>
        <v>1626</v>
      </c>
      <c r="BG16" s="798">
        <f>'Income Statement'!BG162</f>
        <v>1738</v>
      </c>
      <c r="BH16" s="798">
        <f>'Income Statement'!BH162</f>
        <v>1986</v>
      </c>
      <c r="BI16" s="799">
        <f>'Income Statement'!BI162</f>
        <v>2035</v>
      </c>
      <c r="BJ16" s="798">
        <f>'Income Statement'!BJ162</f>
        <v>1856</v>
      </c>
      <c r="BK16" s="798">
        <f>'Income Statement'!BK162</f>
        <v>2042</v>
      </c>
      <c r="BL16" s="798">
        <f>'Income Statement'!BL162</f>
        <v>2587</v>
      </c>
      <c r="BM16" s="799">
        <f>'Income Statement'!BM162</f>
        <v>2499</v>
      </c>
      <c r="BN16" s="798">
        <f>'Income Statement'!BN162</f>
        <v>2209</v>
      </c>
      <c r="BO16" s="798">
        <f>'Income Statement'!BO162</f>
        <v>2404</v>
      </c>
      <c r="BP16" s="798">
        <f>'Income Statement'!BP162</f>
        <v>2566</v>
      </c>
      <c r="BQ16" s="799">
        <f>'Income Statement'!BQ162</f>
        <v>2694</v>
      </c>
      <c r="BR16" s="798">
        <f>'Income Statement'!BR162</f>
        <v>2480</v>
      </c>
      <c r="BS16" s="798">
        <f>'Income Statement'!BS162</f>
        <v>2507</v>
      </c>
      <c r="BT16" s="798">
        <f>'Income Statement'!BT162</f>
        <v>2598</v>
      </c>
      <c r="BU16" s="799">
        <f>'Income Statement'!BU162</f>
        <v>2740</v>
      </c>
      <c r="BV16" s="798">
        <f>'Income Statement'!BV162</f>
        <v>2484</v>
      </c>
      <c r="BW16" s="798">
        <f>'Income Statement'!BW162</f>
        <v>2583</v>
      </c>
      <c r="BX16" s="798">
        <f>'Income Statement'!BX162</f>
        <v>2616</v>
      </c>
      <c r="BY16" s="799">
        <f>'Income Statement'!BY162</f>
        <v>2719</v>
      </c>
      <c r="BZ16" s="798">
        <f>'Income Statement'!BZ162</f>
        <v>2427</v>
      </c>
      <c r="CA16" s="798">
        <f>'Income Statement'!CA162</f>
        <v>2435</v>
      </c>
      <c r="CB16" s="798">
        <f>'Income Statement'!CB162</f>
        <v>2444</v>
      </c>
      <c r="CC16" s="799">
        <f>'Income Statement'!CC162</f>
        <v>2702</v>
      </c>
      <c r="CD16" s="798">
        <f>'Income Statement'!CD162</f>
        <v>2457</v>
      </c>
      <c r="CE16" s="798">
        <f>'Income Statement'!CE162</f>
        <v>2502</v>
      </c>
      <c r="CF16" s="798">
        <f>'Income Statement'!CF162</f>
        <v>2472</v>
      </c>
      <c r="CG16" s="799">
        <f>'Income Statement'!CG162</f>
        <v>2679</v>
      </c>
      <c r="CH16" s="798">
        <f>'Income Statement'!CH162</f>
        <v>2518</v>
      </c>
      <c r="CI16" s="798">
        <f>'Income Statement'!CI162</f>
        <v>2440</v>
      </c>
      <c r="CJ16" s="798">
        <f>'Income Statement'!CJ162</f>
        <v>2538</v>
      </c>
      <c r="CK16" s="799">
        <f>'Income Statement'!CK162</f>
        <v>2858</v>
      </c>
      <c r="CL16" s="798">
        <f>'Income Statement'!CL162</f>
        <v>2179</v>
      </c>
      <c r="CM16" s="798">
        <f>'Income Statement'!CM162</f>
        <v>2080</v>
      </c>
      <c r="CN16" s="798">
        <f>'Income Statement'!CN162</f>
        <v>2192</v>
      </c>
      <c r="CO16" s="799">
        <f>'Income Statement'!CO162</f>
        <v>2492</v>
      </c>
      <c r="CP16" s="954">
        <f>'Income Statement'!CP162</f>
        <v>1901</v>
      </c>
      <c r="CQ16" s="798">
        <f>'Income Statement'!CQ162</f>
        <v>1914</v>
      </c>
      <c r="CR16" s="798">
        <f>'Income Statement'!CR162</f>
        <v>1958</v>
      </c>
      <c r="CS16" s="799">
        <f>'Income Statement'!CS162</f>
        <v>2199</v>
      </c>
      <c r="CT16" s="954">
        <f>'Income Statement'!CT162</f>
        <v>1746</v>
      </c>
      <c r="CU16" s="798">
        <f>'Income Statement'!CU162</f>
        <v>1736</v>
      </c>
      <c r="CV16" s="798">
        <f>'Income Statement'!CV162</f>
        <v>1860</v>
      </c>
      <c r="CW16" s="799">
        <f>'Income Statement'!CW162</f>
        <v>2208</v>
      </c>
      <c r="CX16" s="798">
        <f>'Income Statement'!CX162</f>
        <v>1752</v>
      </c>
      <c r="CY16" s="798">
        <f>'Income Statement'!CY162</f>
        <v>1807</v>
      </c>
      <c r="CZ16" s="798">
        <f>'Income Statement'!CZ162</f>
        <v>1873</v>
      </c>
      <c r="DA16" s="799">
        <f>'Income Statement'!DA162</f>
        <v>2167</v>
      </c>
      <c r="DB16" s="798">
        <f>'Income Statement'!DB162</f>
        <v>1722</v>
      </c>
      <c r="DC16" s="798">
        <f>'Income Statement'!DC162</f>
        <v>1772</v>
      </c>
      <c r="DD16" s="798">
        <f>'Income Statement'!DD162</f>
        <v>1890</v>
      </c>
      <c r="DE16" s="799">
        <f>'Income Statement'!DE162</f>
        <v>2140</v>
      </c>
      <c r="DF16" s="798">
        <f>'Income Statement'!DF162</f>
        <v>1722</v>
      </c>
      <c r="DG16" s="798">
        <f>'Income Statement'!DG162-2-5</f>
        <v>1823</v>
      </c>
      <c r="DH16" s="798">
        <f>'Income Statement'!DH162</f>
        <v>1932</v>
      </c>
      <c r="DI16" s="799">
        <f>'Income Statement'!DI162</f>
        <v>2439</v>
      </c>
      <c r="DJ16" s="1670">
        <f>'Income Statement'!DJ162</f>
        <v>1757.9937346475704</v>
      </c>
      <c r="DK16" s="798">
        <f>'Income Statement'!DK162</f>
        <v>1831.5465896800708</v>
      </c>
      <c r="DL16" s="798">
        <f>'Income Statement'!DL162</f>
        <v>1934.1157408375027</v>
      </c>
      <c r="DM16" s="799">
        <f>'Income Statement'!DM162</f>
        <v>2429.6505321008403</v>
      </c>
      <c r="DN16" s="592"/>
      <c r="DO16" s="494"/>
      <c r="DP16" s="798">
        <v>20.152999999999999</v>
      </c>
      <c r="DQ16" s="798">
        <v>44.906999999999996</v>
      </c>
      <c r="DR16" s="798">
        <v>95.41</v>
      </c>
      <c r="DS16" s="798">
        <f>106.033+1.29</f>
        <v>107.32300000000001</v>
      </c>
      <c r="DT16" s="798">
        <v>107.194</v>
      </c>
      <c r="DU16" s="798">
        <v>130.68100000000001</v>
      </c>
      <c r="DV16" s="798">
        <v>162.286</v>
      </c>
      <c r="DW16" s="798">
        <v>248.126</v>
      </c>
      <c r="DX16" s="796">
        <f>+B16+C16+D16+E16</f>
        <v>379.74700000000007</v>
      </c>
      <c r="DY16" s="796">
        <f>SUM(F16:I16)</f>
        <v>568.5</v>
      </c>
      <c r="DZ16" s="796">
        <f>SUM(J16:M16)</f>
        <v>813.98800000000006</v>
      </c>
      <c r="EA16" s="796">
        <f>SUM(N16:Q16)</f>
        <v>1005.675</v>
      </c>
      <c r="EB16" s="796">
        <f>SUM(R16:U16)</f>
        <v>1145.28</v>
      </c>
      <c r="EC16" s="796">
        <f>SUM(V16:Y16)</f>
        <v>1463.2809999999999</v>
      </c>
      <c r="ED16" s="796">
        <f>+Z16+AA16+AB16+AC16</f>
        <v>1854.17</v>
      </c>
      <c r="EE16" s="796">
        <f>+AD16+AE16+AF16+AG16</f>
        <v>2454.7979999999998</v>
      </c>
      <c r="EF16" s="796">
        <f>+AH16+AI16+AJ16+AK16</f>
        <v>3493</v>
      </c>
      <c r="EG16" s="796">
        <f>+AL16+AM16+AN16+AO16</f>
        <v>4226</v>
      </c>
      <c r="EH16" s="796">
        <f>+AP16+AQ16+AR16+AS16</f>
        <v>4788</v>
      </c>
      <c r="EI16" s="796">
        <f>+AT16+AU16+AV16+AW16</f>
        <v>5053</v>
      </c>
      <c r="EJ16" s="798">
        <f>SUM(AX16:BA16)</f>
        <v>6082</v>
      </c>
      <c r="EK16" s="798">
        <f>SUM(BB16:BE16)</f>
        <v>6770</v>
      </c>
      <c r="EL16" s="798">
        <f>SUM(BF16:BI16)</f>
        <v>7385</v>
      </c>
      <c r="EM16" s="798">
        <f>SUM(BJ16:BM16)</f>
        <v>8984</v>
      </c>
      <c r="EN16" s="798">
        <f>SUM(BN16:BQ16)</f>
        <v>9873</v>
      </c>
      <c r="EO16" s="798">
        <f>SUM(BR16:BU16)</f>
        <v>10325</v>
      </c>
      <c r="EP16" s="798">
        <f>SUM(BV16:BY16)</f>
        <v>10402</v>
      </c>
      <c r="EQ16" s="798">
        <f>SUM(BZ16:CC16)</f>
        <v>10008</v>
      </c>
      <c r="ER16" s="954">
        <f>SUM(CD16:CG16)</f>
        <v>10110</v>
      </c>
      <c r="ES16" s="798">
        <f>SUM(CH16:CK16)</f>
        <v>10354</v>
      </c>
      <c r="ET16" s="798">
        <f t="shared" si="17"/>
        <v>8943</v>
      </c>
      <c r="EU16" s="858">
        <f t="shared" si="18"/>
        <v>7972</v>
      </c>
      <c r="EV16" s="858">
        <f>SUM(CT16:CW16)</f>
        <v>7550</v>
      </c>
      <c r="EW16" s="858">
        <f>SUM(CX16:DA16)</f>
        <v>7599</v>
      </c>
      <c r="EX16" s="858">
        <f>SUM(DB16:DE16)</f>
        <v>7524</v>
      </c>
      <c r="EY16" s="858">
        <f>SUM(DF16:DI16)</f>
        <v>7916</v>
      </c>
      <c r="EZ16" s="1754">
        <f>SUM(DJ16:DM16)</f>
        <v>7953.3065972659842</v>
      </c>
      <c r="FA16" s="858">
        <f>'Income Statement'!FA162</f>
        <v>7989.4931287501877</v>
      </c>
      <c r="FB16" s="858">
        <f>'Income Statement'!FB162</f>
        <v>8047.3452940026909</v>
      </c>
      <c r="FC16" s="858">
        <f>'Income Statement'!FC162</f>
        <v>8115.0652129253995</v>
      </c>
      <c r="FD16" s="858">
        <f>'Income Statement'!FD162</f>
        <v>8215.3682601275123</v>
      </c>
      <c r="FE16" s="858">
        <f>'Income Statement'!FE162</f>
        <v>8319.6750027782164</v>
      </c>
      <c r="FF16" s="858">
        <f>'Income Statement'!FF162</f>
        <v>8428.1841874524853</v>
      </c>
      <c r="FG16" s="858">
        <f>'Income Statement'!FG162</f>
        <v>8541.10448169966</v>
      </c>
      <c r="FH16" s="858">
        <f>'Income Statement'!FH162</f>
        <v>8658.6549702029461</v>
      </c>
      <c r="FI16" s="413"/>
      <c r="FJ16"/>
      <c r="FK16"/>
      <c r="FL16"/>
      <c r="FM16"/>
      <c r="FN16"/>
      <c r="FO16"/>
      <c r="FP16" s="4"/>
      <c r="FQ16" s="4"/>
      <c r="FS16" s="858"/>
      <c r="FT16" s="858"/>
      <c r="FU16"/>
      <c r="FV16" s="858"/>
      <c r="FW16" s="858"/>
      <c r="FX16" s="858"/>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row>
    <row r="17" spans="1:260" s="1215" customFormat="1" x14ac:dyDescent="0.2">
      <c r="A17" s="292" t="s">
        <v>587</v>
      </c>
      <c r="B17" s="811">
        <f t="shared" ref="B17:AG17" si="31">B9-B16</f>
        <v>3.6739999999999924</v>
      </c>
      <c r="C17" s="811">
        <f t="shared" si="31"/>
        <v>13.090000000000032</v>
      </c>
      <c r="D17" s="811">
        <f t="shared" si="31"/>
        <v>20.848999999999947</v>
      </c>
      <c r="E17" s="812">
        <f t="shared" si="31"/>
        <v>39.565000000000026</v>
      </c>
      <c r="F17" s="893">
        <f t="shared" si="31"/>
        <v>11.700000000000003</v>
      </c>
      <c r="G17" s="893">
        <f t="shared" si="31"/>
        <v>17.658999999999963</v>
      </c>
      <c r="H17" s="893">
        <f t="shared" si="31"/>
        <v>38.013000000000062</v>
      </c>
      <c r="I17" s="812">
        <f t="shared" si="31"/>
        <v>54.568999999999988</v>
      </c>
      <c r="J17" s="893">
        <f t="shared" si="31"/>
        <v>16.336000000000183</v>
      </c>
      <c r="K17" s="893">
        <f t="shared" si="31"/>
        <v>19.203000000000088</v>
      </c>
      <c r="L17" s="893">
        <f t="shared" si="31"/>
        <v>42.588000000000051</v>
      </c>
      <c r="M17" s="812">
        <f t="shared" si="31"/>
        <v>44.428999999999974</v>
      </c>
      <c r="N17" s="893">
        <f t="shared" si="31"/>
        <v>12.951999999999856</v>
      </c>
      <c r="O17" s="893">
        <f t="shared" si="31"/>
        <v>19.684000000000168</v>
      </c>
      <c r="P17" s="893">
        <f t="shared" si="31"/>
        <v>-3.1099999999999568</v>
      </c>
      <c r="Q17" s="812">
        <f t="shared" si="31"/>
        <v>23.679999999999779</v>
      </c>
      <c r="R17" s="893">
        <f t="shared" si="31"/>
        <v>5.2160000000000366</v>
      </c>
      <c r="S17" s="893">
        <f t="shared" si="31"/>
        <v>19.925999999999874</v>
      </c>
      <c r="T17" s="893">
        <f t="shared" si="31"/>
        <v>52.898999999999887</v>
      </c>
      <c r="U17" s="812">
        <f t="shared" si="31"/>
        <v>108.79699999999985</v>
      </c>
      <c r="V17" s="893">
        <f t="shared" si="31"/>
        <v>22.784000000000106</v>
      </c>
      <c r="W17" s="893">
        <f t="shared" si="31"/>
        <v>68.437000000000012</v>
      </c>
      <c r="X17" s="893">
        <f t="shared" si="31"/>
        <v>90.230000000000132</v>
      </c>
      <c r="Y17" s="812">
        <f t="shared" si="31"/>
        <v>169.79100000000034</v>
      </c>
      <c r="Z17" s="893">
        <f t="shared" si="31"/>
        <v>71.700999999999965</v>
      </c>
      <c r="AA17" s="893">
        <f t="shared" si="31"/>
        <v>89.605999999999995</v>
      </c>
      <c r="AB17" s="893">
        <f t="shared" si="31"/>
        <v>122.58800000000019</v>
      </c>
      <c r="AC17" s="812">
        <f t="shared" si="31"/>
        <v>255.36399999999992</v>
      </c>
      <c r="AD17" s="893">
        <f t="shared" si="31"/>
        <v>108.51799999999986</v>
      </c>
      <c r="AE17" s="893">
        <f t="shared" si="31"/>
        <v>115.34999999999991</v>
      </c>
      <c r="AF17" s="893">
        <f t="shared" si="31"/>
        <v>85.012999999999693</v>
      </c>
      <c r="AG17" s="812">
        <f t="shared" si="31"/>
        <v>295.70000000000005</v>
      </c>
      <c r="AH17" s="893">
        <f t="shared" ref="AH17:BM17" si="32">AH9-AH16</f>
        <v>90</v>
      </c>
      <c r="AI17" s="893">
        <f t="shared" si="32"/>
        <v>148</v>
      </c>
      <c r="AJ17" s="893">
        <f t="shared" si="32"/>
        <v>129</v>
      </c>
      <c r="AK17" s="812">
        <f t="shared" si="32"/>
        <v>570</v>
      </c>
      <c r="AL17" s="893">
        <f t="shared" si="32"/>
        <v>129</v>
      </c>
      <c r="AM17" s="893">
        <f t="shared" si="32"/>
        <v>129</v>
      </c>
      <c r="AN17" s="893">
        <f t="shared" si="32"/>
        <v>140</v>
      </c>
      <c r="AO17" s="812">
        <f t="shared" si="32"/>
        <v>612</v>
      </c>
      <c r="AP17" s="893">
        <f t="shared" si="32"/>
        <v>114</v>
      </c>
      <c r="AQ17" s="893">
        <f t="shared" si="32"/>
        <v>229</v>
      </c>
      <c r="AR17" s="893">
        <f t="shared" si="32"/>
        <v>202</v>
      </c>
      <c r="AS17" s="812">
        <f t="shared" si="32"/>
        <v>759</v>
      </c>
      <c r="AT17" s="893">
        <f t="shared" si="32"/>
        <v>184</v>
      </c>
      <c r="AU17" s="893">
        <f t="shared" si="32"/>
        <v>242</v>
      </c>
      <c r="AV17" s="893">
        <f t="shared" si="32"/>
        <v>233</v>
      </c>
      <c r="AW17" s="812">
        <f t="shared" si="32"/>
        <v>783</v>
      </c>
      <c r="AX17" s="893">
        <f t="shared" si="32"/>
        <v>239</v>
      </c>
      <c r="AY17" s="893">
        <f t="shared" si="32"/>
        <v>261</v>
      </c>
      <c r="AZ17" s="893">
        <f t="shared" si="32"/>
        <v>189</v>
      </c>
      <c r="BA17" s="812">
        <f t="shared" si="32"/>
        <v>955</v>
      </c>
      <c r="BB17" s="893">
        <f t="shared" si="32"/>
        <v>337</v>
      </c>
      <c r="BC17" s="893">
        <f t="shared" si="32"/>
        <v>330</v>
      </c>
      <c r="BD17" s="894">
        <f t="shared" si="32"/>
        <v>196</v>
      </c>
      <c r="BE17" s="812">
        <f t="shared" si="32"/>
        <v>1136</v>
      </c>
      <c r="BF17" s="893">
        <f t="shared" si="32"/>
        <v>266</v>
      </c>
      <c r="BG17" s="893">
        <f t="shared" si="32"/>
        <v>401</v>
      </c>
      <c r="BH17" s="893">
        <f t="shared" si="32"/>
        <v>351</v>
      </c>
      <c r="BI17" s="812">
        <f t="shared" si="32"/>
        <v>1143</v>
      </c>
      <c r="BJ17" s="893">
        <f t="shared" si="32"/>
        <v>277</v>
      </c>
      <c r="BK17" s="893">
        <f t="shared" si="32"/>
        <v>339</v>
      </c>
      <c r="BL17" s="894">
        <f t="shared" si="32"/>
        <v>274</v>
      </c>
      <c r="BM17" s="812">
        <f t="shared" si="32"/>
        <v>1124</v>
      </c>
      <c r="BN17" s="893">
        <f t="shared" ref="BN17:CS17" si="33">BN9-BN16</f>
        <v>348</v>
      </c>
      <c r="BO17" s="893">
        <f t="shared" si="33"/>
        <v>280</v>
      </c>
      <c r="BP17" s="893">
        <f t="shared" si="33"/>
        <v>376</v>
      </c>
      <c r="BQ17" s="812">
        <f t="shared" si="33"/>
        <v>1283</v>
      </c>
      <c r="BR17" s="893">
        <f t="shared" si="33"/>
        <v>313</v>
      </c>
      <c r="BS17" s="893">
        <f t="shared" si="33"/>
        <v>411</v>
      </c>
      <c r="BT17" s="893">
        <f t="shared" si="33"/>
        <v>385</v>
      </c>
      <c r="BU17" s="812">
        <f t="shared" si="33"/>
        <v>1227</v>
      </c>
      <c r="BV17" s="893">
        <f t="shared" si="33"/>
        <v>284</v>
      </c>
      <c r="BW17" s="893">
        <f t="shared" si="33"/>
        <v>289</v>
      </c>
      <c r="BX17" s="893">
        <f t="shared" si="33"/>
        <v>328</v>
      </c>
      <c r="BY17" s="812">
        <f t="shared" si="33"/>
        <v>1357</v>
      </c>
      <c r="BZ17" s="893">
        <f t="shared" si="33"/>
        <v>428</v>
      </c>
      <c r="CA17" s="893">
        <f t="shared" si="33"/>
        <v>391</v>
      </c>
      <c r="CB17" s="893">
        <f t="shared" si="33"/>
        <v>431</v>
      </c>
      <c r="CC17" s="812">
        <f t="shared" si="33"/>
        <v>1267</v>
      </c>
      <c r="CD17" s="893">
        <f t="shared" si="33"/>
        <v>464</v>
      </c>
      <c r="CE17" s="893">
        <f t="shared" si="33"/>
        <v>260</v>
      </c>
      <c r="CF17" s="893">
        <f t="shared" si="33"/>
        <v>381</v>
      </c>
      <c r="CG17" s="812">
        <f t="shared" si="33"/>
        <v>1194</v>
      </c>
      <c r="CH17" s="893">
        <f t="shared" si="33"/>
        <v>389</v>
      </c>
      <c r="CI17" s="893">
        <f t="shared" si="33"/>
        <v>124</v>
      </c>
      <c r="CJ17" s="893">
        <f t="shared" si="33"/>
        <v>48</v>
      </c>
      <c r="CK17" s="812">
        <f t="shared" si="33"/>
        <v>924</v>
      </c>
      <c r="CL17" s="894">
        <f t="shared" si="33"/>
        <v>405</v>
      </c>
      <c r="CM17" s="894">
        <f t="shared" si="33"/>
        <v>181</v>
      </c>
      <c r="CN17" s="894">
        <f t="shared" si="33"/>
        <v>36</v>
      </c>
      <c r="CO17" s="814">
        <f t="shared" si="33"/>
        <v>853</v>
      </c>
      <c r="CP17" s="950">
        <f t="shared" si="33"/>
        <v>204</v>
      </c>
      <c r="CQ17" s="813">
        <f t="shared" si="33"/>
        <v>195</v>
      </c>
      <c r="CR17" s="813">
        <f t="shared" si="33"/>
        <v>135</v>
      </c>
      <c r="CS17" s="814">
        <f t="shared" si="33"/>
        <v>629</v>
      </c>
      <c r="CT17" s="950">
        <f t="shared" ref="CT17:CZ17" si="34">CT9-CT16</f>
        <v>221</v>
      </c>
      <c r="CU17" s="813">
        <f t="shared" si="34"/>
        <v>242</v>
      </c>
      <c r="CV17" s="813">
        <f t="shared" si="34"/>
        <v>216</v>
      </c>
      <c r="CW17" s="814">
        <f t="shared" si="34"/>
        <v>818</v>
      </c>
      <c r="CX17" s="813">
        <f t="shared" si="34"/>
        <v>208</v>
      </c>
      <c r="CY17" s="813">
        <f t="shared" si="34"/>
        <v>278</v>
      </c>
      <c r="CZ17" s="813">
        <f t="shared" si="34"/>
        <v>238</v>
      </c>
      <c r="DA17" s="814">
        <f t="shared" ref="DA17:DI17" si="35">DA9-DA16</f>
        <v>781</v>
      </c>
      <c r="DB17" s="813">
        <f t="shared" si="35"/>
        <v>240</v>
      </c>
      <c r="DC17" s="813">
        <f t="shared" si="35"/>
        <v>290</v>
      </c>
      <c r="DD17" s="813">
        <f t="shared" si="35"/>
        <v>313</v>
      </c>
      <c r="DE17" s="814">
        <f t="shared" si="35"/>
        <v>890</v>
      </c>
      <c r="DF17" s="813">
        <f t="shared" si="35"/>
        <v>300</v>
      </c>
      <c r="DG17" s="813">
        <f t="shared" ref="DG17" si="36">DG9-DG16</f>
        <v>330</v>
      </c>
      <c r="DH17" s="813">
        <f t="shared" si="35"/>
        <v>348</v>
      </c>
      <c r="DI17" s="814">
        <f t="shared" si="35"/>
        <v>982</v>
      </c>
      <c r="DJ17" s="2681">
        <f t="shared" ref="DJ17:DK17" si="37">DJ9-DJ16</f>
        <v>287.26389305794919</v>
      </c>
      <c r="DK17" s="813">
        <f t="shared" si="37"/>
        <v>320.83269816988627</v>
      </c>
      <c r="DL17" s="813">
        <f t="shared" ref="DL17:DM17" si="38">DL9-DL16</f>
        <v>356.8481661674989</v>
      </c>
      <c r="DM17" s="814">
        <f t="shared" si="38"/>
        <v>965.26764633230459</v>
      </c>
      <c r="DN17" s="950"/>
      <c r="DO17" s="814"/>
      <c r="DP17" s="893">
        <f t="shared" ref="DP17:DW17" si="39">DP9-DP16</f>
        <v>8.4160099999999929</v>
      </c>
      <c r="DQ17" s="893">
        <f t="shared" si="39"/>
        <v>15.325000000000003</v>
      </c>
      <c r="DR17" s="893">
        <f t="shared" si="39"/>
        <v>9.1232000000000255</v>
      </c>
      <c r="DS17" s="893">
        <f t="shared" si="39"/>
        <v>8.7290999999999315</v>
      </c>
      <c r="DT17" s="893">
        <f t="shared" si="39"/>
        <v>13.147000000000006</v>
      </c>
      <c r="DU17" s="893">
        <f t="shared" si="39"/>
        <v>10.975999999999914</v>
      </c>
      <c r="DV17" s="893">
        <f t="shared" si="39"/>
        <v>18.77600000000001</v>
      </c>
      <c r="DW17" s="893">
        <f t="shared" si="39"/>
        <v>35.908000000000101</v>
      </c>
      <c r="DX17" s="893">
        <f>SUM(B17:E17)</f>
        <v>77.177999999999997</v>
      </c>
      <c r="DY17" s="893">
        <f>SUM(F17:I17)</f>
        <v>121.94100000000002</v>
      </c>
      <c r="DZ17" s="893">
        <f>SUM(J17:M17)</f>
        <v>122.5560000000003</v>
      </c>
      <c r="EA17" s="893">
        <f>EA9-EA16</f>
        <v>53.205999999999449</v>
      </c>
      <c r="EB17" s="893">
        <f>SUM(R17:U17)</f>
        <v>186.83799999999965</v>
      </c>
      <c r="EC17" s="893">
        <f>EC9-EC16</f>
        <v>351.2420000000011</v>
      </c>
      <c r="ED17" s="893">
        <f>ED9-ED16</f>
        <v>539.25900000000001</v>
      </c>
      <c r="EE17" s="893">
        <f>+AD17+AE17+AF17+AG17</f>
        <v>604.58099999999945</v>
      </c>
      <c r="EF17" s="893">
        <f>+AH17+AI17+AJ17+AK17</f>
        <v>937</v>
      </c>
      <c r="EG17" s="893">
        <f>+AL17+AM17+AN17+AO17</f>
        <v>1010</v>
      </c>
      <c r="EH17" s="893">
        <f>+AP17+AQ17+AR17+AS17</f>
        <v>1304</v>
      </c>
      <c r="EI17" s="893">
        <f>+AT17+AU17+AV17+AW17</f>
        <v>1442</v>
      </c>
      <c r="EJ17" s="893">
        <f t="shared" ref="EJ17:EV17" si="40">EJ9-EJ16</f>
        <v>1644</v>
      </c>
      <c r="EK17" s="893">
        <f t="shared" si="40"/>
        <v>1999</v>
      </c>
      <c r="EL17" s="893">
        <f t="shared" si="40"/>
        <v>2161</v>
      </c>
      <c r="EM17" s="893">
        <f t="shared" si="40"/>
        <v>2014</v>
      </c>
      <c r="EN17" s="893">
        <f t="shared" si="40"/>
        <v>2287</v>
      </c>
      <c r="EO17" s="893">
        <f t="shared" si="40"/>
        <v>2336</v>
      </c>
      <c r="EP17" s="893">
        <f t="shared" si="40"/>
        <v>2258</v>
      </c>
      <c r="EQ17" s="893">
        <f t="shared" si="40"/>
        <v>2517</v>
      </c>
      <c r="ER17" s="1074">
        <f t="shared" si="40"/>
        <v>2299</v>
      </c>
      <c r="ES17" s="811">
        <f t="shared" si="40"/>
        <v>1485</v>
      </c>
      <c r="ET17" s="813">
        <f t="shared" si="40"/>
        <v>1475</v>
      </c>
      <c r="EU17" s="1421">
        <f t="shared" si="40"/>
        <v>1163</v>
      </c>
      <c r="EV17" s="1421">
        <f t="shared" si="40"/>
        <v>1497</v>
      </c>
      <c r="EW17" s="1421">
        <f t="shared" ref="EW17:FF17" si="41">EW9-EW16</f>
        <v>1505</v>
      </c>
      <c r="EX17" s="293">
        <f t="shared" si="41"/>
        <v>1733</v>
      </c>
      <c r="EY17" s="293">
        <f>EY9-EY16</f>
        <v>1960</v>
      </c>
      <c r="EZ17" s="1755">
        <f>EZ9-EZ16</f>
        <v>1930.212403727639</v>
      </c>
      <c r="FA17" s="1422">
        <f t="shared" si="41"/>
        <v>1970.2898091238112</v>
      </c>
      <c r="FB17" s="1422">
        <f t="shared" si="41"/>
        <v>2023.2288854708386</v>
      </c>
      <c r="FC17" s="1422">
        <f t="shared" si="41"/>
        <v>2023.3573856411185</v>
      </c>
      <c r="FD17" s="1422">
        <f t="shared" si="41"/>
        <v>2031.6208703920365</v>
      </c>
      <c r="FE17" s="1422">
        <f t="shared" si="41"/>
        <v>2040.3809692951563</v>
      </c>
      <c r="FF17" s="1422">
        <f t="shared" si="41"/>
        <v>2049.6557417359854</v>
      </c>
      <c r="FG17" s="1422">
        <f>FG9-FG16</f>
        <v>2059.4635994397304</v>
      </c>
      <c r="FH17" s="1422">
        <f>FH9-FH16</f>
        <v>2069.8232959995712</v>
      </c>
      <c r="FI17" s="413"/>
      <c r="FJ17"/>
      <c r="FK17"/>
      <c r="FL17"/>
      <c r="FM17"/>
      <c r="FN17"/>
      <c r="FO17"/>
      <c r="FP17" s="4"/>
      <c r="FQ17" s="4"/>
      <c r="FR17" s="1035"/>
      <c r="FS17" s="72"/>
      <c r="FT17" s="293"/>
      <c r="FU17"/>
      <c r="FV17" s="293"/>
      <c r="FW17" s="293"/>
      <c r="FX17" s="293"/>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row>
    <row r="18" spans="1:260" s="4" customFormat="1" x14ac:dyDescent="0.2">
      <c r="A18" s="122"/>
      <c r="B18" s="456"/>
      <c r="C18" s="456"/>
      <c r="D18" s="456"/>
      <c r="E18" s="457"/>
      <c r="F18" s="125"/>
      <c r="G18" s="125"/>
      <c r="H18" s="125"/>
      <c r="I18" s="457"/>
      <c r="J18" s="125"/>
      <c r="K18" s="125"/>
      <c r="L18" s="125"/>
      <c r="M18" s="457"/>
      <c r="N18" s="125"/>
      <c r="O18" s="125"/>
      <c r="P18" s="125"/>
      <c r="Q18" s="457"/>
      <c r="R18" s="125"/>
      <c r="S18" s="125"/>
      <c r="T18" s="125"/>
      <c r="U18" s="457"/>
      <c r="V18" s="125"/>
      <c r="W18" s="125"/>
      <c r="X18" s="125"/>
      <c r="Y18" s="457"/>
      <c r="Z18" s="125"/>
      <c r="AA18" s="125"/>
      <c r="AB18" s="125"/>
      <c r="AC18" s="457"/>
      <c r="AD18" s="125"/>
      <c r="AE18" s="125"/>
      <c r="AF18" s="125"/>
      <c r="AG18" s="457"/>
      <c r="AH18" s="125"/>
      <c r="AI18" s="125"/>
      <c r="AJ18" s="125"/>
      <c r="AK18" s="457"/>
      <c r="AL18" s="125"/>
      <c r="AM18" s="125"/>
      <c r="AN18" s="125"/>
      <c r="AO18" s="457"/>
      <c r="AP18" s="125"/>
      <c r="AQ18" s="125"/>
      <c r="AR18" s="125"/>
      <c r="AS18" s="457"/>
      <c r="AT18" s="125"/>
      <c r="AU18" s="125"/>
      <c r="AV18" s="125"/>
      <c r="AW18" s="457"/>
      <c r="AX18" s="26"/>
      <c r="AY18" s="26"/>
      <c r="AZ18" s="26"/>
      <c r="BA18" s="485"/>
      <c r="BB18" s="26"/>
      <c r="BC18" s="26"/>
      <c r="BD18" s="158"/>
      <c r="BE18" s="485"/>
      <c r="BF18" s="26"/>
      <c r="BG18" s="26"/>
      <c r="BH18" s="26"/>
      <c r="BI18" s="485"/>
      <c r="BJ18" s="26"/>
      <c r="BK18" s="26"/>
      <c r="BL18" s="158"/>
      <c r="BM18" s="485"/>
      <c r="BN18" s="26"/>
      <c r="BO18" s="26"/>
      <c r="BP18" s="26"/>
      <c r="BQ18" s="485"/>
      <c r="BR18" s="26"/>
      <c r="BS18" s="26"/>
      <c r="BT18" s="26"/>
      <c r="BU18" s="485"/>
      <c r="BV18" s="26"/>
      <c r="BW18" s="26"/>
      <c r="BX18" s="26"/>
      <c r="BY18" s="485"/>
      <c r="BZ18" s="26"/>
      <c r="CA18" s="26"/>
      <c r="CB18" s="26"/>
      <c r="CC18" s="485"/>
      <c r="CD18" s="26"/>
      <c r="CE18" s="26"/>
      <c r="CF18" s="26"/>
      <c r="CG18" s="485"/>
      <c r="CH18" s="26"/>
      <c r="CI18" s="26"/>
      <c r="CJ18" s="26"/>
      <c r="CK18" s="485"/>
      <c r="CL18" s="158"/>
      <c r="CM18" s="158"/>
      <c r="CN18" s="158"/>
      <c r="CO18" s="514"/>
      <c r="CP18" s="951"/>
      <c r="CQ18" s="202"/>
      <c r="CR18" s="202"/>
      <c r="CS18" s="514"/>
      <c r="CT18" s="951"/>
      <c r="CU18" s="202"/>
      <c r="CV18" s="202"/>
      <c r="CW18" s="514"/>
      <c r="CX18" s="202"/>
      <c r="CY18" s="202"/>
      <c r="CZ18" s="202"/>
      <c r="DA18" s="514"/>
      <c r="DB18" s="202"/>
      <c r="DC18" s="202"/>
      <c r="DD18" s="202"/>
      <c r="DE18" s="514"/>
      <c r="DF18" s="202"/>
      <c r="DG18" s="202"/>
      <c r="DH18" s="202"/>
      <c r="DI18" s="514"/>
      <c r="DJ18" s="1756"/>
      <c r="DK18" s="202"/>
      <c r="DL18" s="202"/>
      <c r="DM18" s="514"/>
      <c r="DN18" s="951"/>
      <c r="DO18" s="514"/>
      <c r="DP18" s="125"/>
      <c r="DQ18" s="125"/>
      <c r="DR18" s="125"/>
      <c r="DS18" s="125"/>
      <c r="DT18" s="125"/>
      <c r="DU18" s="125"/>
      <c r="DV18" s="125"/>
      <c r="DW18" s="125"/>
      <c r="DX18" s="125"/>
      <c r="DY18" s="125"/>
      <c r="DZ18" s="125"/>
      <c r="EA18" s="125"/>
      <c r="EB18" s="125"/>
      <c r="EC18" s="125"/>
      <c r="ED18" s="125"/>
      <c r="EE18" s="125"/>
      <c r="EF18" s="125"/>
      <c r="EG18" s="125"/>
      <c r="EH18" s="125"/>
      <c r="EI18" s="26"/>
      <c r="EJ18" s="26"/>
      <c r="EK18" s="26"/>
      <c r="EL18" s="26"/>
      <c r="EM18" s="26"/>
      <c r="EN18" s="26"/>
      <c r="EO18" s="26"/>
      <c r="EP18" s="26"/>
      <c r="EQ18" s="26"/>
      <c r="ER18" s="1075"/>
      <c r="ES18" s="1076"/>
      <c r="ET18" s="202"/>
      <c r="EU18" s="1076"/>
      <c r="EV18" s="1076"/>
      <c r="EW18" s="1076"/>
      <c r="EX18" s="202"/>
      <c r="EY18" s="202"/>
      <c r="EZ18" s="1756"/>
      <c r="FA18" s="285"/>
      <c r="FB18" s="285"/>
      <c r="FC18" s="285"/>
      <c r="FD18" s="285"/>
      <c r="FE18" s="285"/>
      <c r="FF18" s="285"/>
      <c r="FG18" s="285"/>
      <c r="FH18" s="285"/>
      <c r="FI18" s="413"/>
      <c r="FJ18"/>
      <c r="FK18"/>
      <c r="FL18"/>
      <c r="FM18"/>
      <c r="FN18"/>
      <c r="FO18"/>
      <c r="FR18" s="3"/>
      <c r="FS18" s="72"/>
      <c r="FT18"/>
      <c r="FU18"/>
      <c r="FV18" s="1548"/>
      <c r="FW18" s="1548"/>
      <c r="FX18" s="154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row>
    <row r="19" spans="1:260" s="4" customFormat="1" ht="11.25" hidden="1" customHeight="1" outlineLevel="1" x14ac:dyDescent="0.2">
      <c r="A19" s="409" t="s">
        <v>161</v>
      </c>
      <c r="B19" s="800">
        <f t="shared" ref="B19:AC19" si="42">B11+B12</f>
        <v>4.476</v>
      </c>
      <c r="C19" s="800">
        <f t="shared" si="42"/>
        <v>4.8929999999999998</v>
      </c>
      <c r="D19" s="800">
        <f t="shared" si="42"/>
        <v>5.6859999999999991</v>
      </c>
      <c r="E19" s="797">
        <f t="shared" si="42"/>
        <v>7.3569999999999984</v>
      </c>
      <c r="F19" s="800">
        <f t="shared" si="42"/>
        <v>8.1389999999999993</v>
      </c>
      <c r="G19" s="800">
        <f t="shared" si="42"/>
        <v>8.4930000000000021</v>
      </c>
      <c r="H19" s="800">
        <f t="shared" si="42"/>
        <v>10.361999999999998</v>
      </c>
      <c r="I19" s="797">
        <f t="shared" si="42"/>
        <v>11.576000000000001</v>
      </c>
      <c r="J19" s="800">
        <f t="shared" si="42"/>
        <v>12.763</v>
      </c>
      <c r="K19" s="800">
        <f t="shared" si="42"/>
        <v>13.208</v>
      </c>
      <c r="L19" s="800">
        <f t="shared" si="42"/>
        <v>14.349000000000002</v>
      </c>
      <c r="M19" s="797">
        <f t="shared" si="42"/>
        <v>14.542</v>
      </c>
      <c r="N19" s="800">
        <f t="shared" si="42"/>
        <v>17.042000000000002</v>
      </c>
      <c r="O19" s="800">
        <f t="shared" si="42"/>
        <v>16.829999999999998</v>
      </c>
      <c r="P19" s="800">
        <f t="shared" si="42"/>
        <v>16.871000000000002</v>
      </c>
      <c r="Q19" s="797">
        <f t="shared" si="42"/>
        <v>16.100999999999992</v>
      </c>
      <c r="R19" s="800">
        <f t="shared" si="42"/>
        <v>17.094999999999999</v>
      </c>
      <c r="S19" s="800">
        <f t="shared" si="42"/>
        <v>18.246000000000002</v>
      </c>
      <c r="T19" s="800">
        <f t="shared" si="42"/>
        <v>17.286999999999999</v>
      </c>
      <c r="U19" s="797">
        <f t="shared" si="42"/>
        <v>18.956000000000003</v>
      </c>
      <c r="V19" s="800">
        <f t="shared" si="42"/>
        <v>17.603999999999999</v>
      </c>
      <c r="W19" s="800">
        <f t="shared" si="42"/>
        <v>18.718000000000004</v>
      </c>
      <c r="X19" s="800">
        <f t="shared" si="42"/>
        <v>20.071999999999996</v>
      </c>
      <c r="Y19" s="797">
        <f t="shared" si="42"/>
        <v>21.973000000000006</v>
      </c>
      <c r="Z19" s="800">
        <f t="shared" si="42"/>
        <v>23.638000000000002</v>
      </c>
      <c r="AA19" s="800">
        <f t="shared" si="42"/>
        <v>22.471999999999998</v>
      </c>
      <c r="AB19" s="800">
        <f t="shared" si="42"/>
        <v>25.024000000000001</v>
      </c>
      <c r="AC19" s="797">
        <f t="shared" si="42"/>
        <v>38.406999999999996</v>
      </c>
      <c r="AD19" s="800">
        <f t="shared" ref="AD19:BI19" si="43">AD11+AD12</f>
        <v>32</v>
      </c>
      <c r="AE19" s="800">
        <f t="shared" si="43"/>
        <v>37</v>
      </c>
      <c r="AF19" s="800">
        <f t="shared" si="43"/>
        <v>43</v>
      </c>
      <c r="AG19" s="797">
        <f t="shared" si="43"/>
        <v>53</v>
      </c>
      <c r="AH19" s="800">
        <f t="shared" si="43"/>
        <v>67</v>
      </c>
      <c r="AI19" s="800">
        <f t="shared" si="43"/>
        <v>67</v>
      </c>
      <c r="AJ19" s="800">
        <f t="shared" si="43"/>
        <v>77</v>
      </c>
      <c r="AK19" s="797">
        <f t="shared" si="43"/>
        <v>78</v>
      </c>
      <c r="AL19" s="800">
        <f t="shared" si="43"/>
        <v>85</v>
      </c>
      <c r="AM19" s="800">
        <f t="shared" si="43"/>
        <v>86</v>
      </c>
      <c r="AN19" s="800">
        <f t="shared" si="43"/>
        <v>94</v>
      </c>
      <c r="AO19" s="797">
        <f t="shared" si="43"/>
        <v>45</v>
      </c>
      <c r="AP19" s="800">
        <f t="shared" si="43"/>
        <v>98</v>
      </c>
      <c r="AQ19" s="800">
        <f t="shared" si="43"/>
        <v>92</v>
      </c>
      <c r="AR19" s="800">
        <f t="shared" si="43"/>
        <v>93</v>
      </c>
      <c r="AS19" s="797">
        <f t="shared" si="43"/>
        <v>102</v>
      </c>
      <c r="AT19" s="800">
        <f t="shared" si="43"/>
        <v>103</v>
      </c>
      <c r="AU19" s="800">
        <f t="shared" si="43"/>
        <v>103</v>
      </c>
      <c r="AV19" s="800">
        <f t="shared" si="43"/>
        <v>106</v>
      </c>
      <c r="AW19" s="797">
        <f t="shared" si="43"/>
        <v>147</v>
      </c>
      <c r="AX19" s="800">
        <f t="shared" si="43"/>
        <v>109</v>
      </c>
      <c r="AY19" s="800">
        <f t="shared" si="43"/>
        <v>113</v>
      </c>
      <c r="AZ19" s="800">
        <f t="shared" si="43"/>
        <v>111</v>
      </c>
      <c r="BA19" s="797">
        <f t="shared" si="43"/>
        <v>123</v>
      </c>
      <c r="BB19" s="800">
        <f t="shared" si="43"/>
        <v>121</v>
      </c>
      <c r="BC19" s="800">
        <f t="shared" si="43"/>
        <v>125</v>
      </c>
      <c r="BD19" s="800">
        <f t="shared" si="43"/>
        <v>123</v>
      </c>
      <c r="BE19" s="797">
        <f t="shared" si="43"/>
        <v>140</v>
      </c>
      <c r="BF19" s="800">
        <f t="shared" si="43"/>
        <v>135</v>
      </c>
      <c r="BG19" s="800">
        <f t="shared" si="43"/>
        <v>144</v>
      </c>
      <c r="BH19" s="800">
        <f t="shared" si="43"/>
        <v>140</v>
      </c>
      <c r="BI19" s="797">
        <f t="shared" si="43"/>
        <v>161</v>
      </c>
      <c r="BJ19" s="800">
        <f t="shared" ref="BJ19:CW19" si="44">BJ11+BJ12</f>
        <v>153</v>
      </c>
      <c r="BK19" s="800">
        <f t="shared" si="44"/>
        <v>160</v>
      </c>
      <c r="BL19" s="800">
        <f t="shared" si="44"/>
        <v>249</v>
      </c>
      <c r="BM19" s="797">
        <f t="shared" si="44"/>
        <v>231</v>
      </c>
      <c r="BN19" s="800">
        <f t="shared" si="44"/>
        <v>217</v>
      </c>
      <c r="BO19" s="800">
        <f t="shared" si="44"/>
        <v>232</v>
      </c>
      <c r="BP19" s="800">
        <f t="shared" si="44"/>
        <v>231</v>
      </c>
      <c r="BQ19" s="797">
        <f t="shared" si="44"/>
        <v>246</v>
      </c>
      <c r="BR19" s="800">
        <f t="shared" si="44"/>
        <v>243</v>
      </c>
      <c r="BS19" s="800">
        <f t="shared" si="44"/>
        <v>238</v>
      </c>
      <c r="BT19" s="800">
        <f t="shared" si="44"/>
        <v>250</v>
      </c>
      <c r="BU19" s="797">
        <f t="shared" si="44"/>
        <v>247</v>
      </c>
      <c r="BV19" s="800">
        <f t="shared" si="44"/>
        <v>236</v>
      </c>
      <c r="BW19" s="800">
        <f t="shared" si="44"/>
        <v>239</v>
      </c>
      <c r="BX19" s="800">
        <f t="shared" si="44"/>
        <v>231</v>
      </c>
      <c r="BY19" s="797">
        <f t="shared" si="44"/>
        <v>239</v>
      </c>
      <c r="BZ19" s="800">
        <f t="shared" si="44"/>
        <v>243</v>
      </c>
      <c r="CA19" s="800">
        <f t="shared" si="44"/>
        <v>238</v>
      </c>
      <c r="CB19" s="800">
        <f t="shared" si="44"/>
        <v>250</v>
      </c>
      <c r="CC19" s="797">
        <f t="shared" si="44"/>
        <v>247</v>
      </c>
      <c r="CD19" s="800">
        <f t="shared" si="44"/>
        <v>236</v>
      </c>
      <c r="CE19" s="800">
        <f t="shared" si="44"/>
        <v>239</v>
      </c>
      <c r="CF19" s="800">
        <f t="shared" si="44"/>
        <v>231</v>
      </c>
      <c r="CG19" s="797">
        <f t="shared" si="44"/>
        <v>239</v>
      </c>
      <c r="CH19" s="800">
        <f t="shared" si="44"/>
        <v>237</v>
      </c>
      <c r="CI19" s="800">
        <f t="shared" si="44"/>
        <v>228</v>
      </c>
      <c r="CJ19" s="800">
        <f t="shared" si="44"/>
        <v>222</v>
      </c>
      <c r="CK19" s="797">
        <f t="shared" si="44"/>
        <v>230</v>
      </c>
      <c r="CL19" s="800">
        <f t="shared" si="44"/>
        <v>237</v>
      </c>
      <c r="CM19" s="800">
        <f t="shared" si="44"/>
        <v>228</v>
      </c>
      <c r="CN19" s="800">
        <f t="shared" si="44"/>
        <v>222</v>
      </c>
      <c r="CO19" s="797">
        <f t="shared" si="44"/>
        <v>230</v>
      </c>
      <c r="CP19" s="1054">
        <f t="shared" si="44"/>
        <v>210</v>
      </c>
      <c r="CQ19" s="796">
        <f t="shared" si="44"/>
        <v>177</v>
      </c>
      <c r="CR19" s="796">
        <f t="shared" si="44"/>
        <v>163</v>
      </c>
      <c r="CS19" s="799">
        <f t="shared" si="44"/>
        <v>166</v>
      </c>
      <c r="CT19" s="1054">
        <f t="shared" si="44"/>
        <v>161</v>
      </c>
      <c r="CU19" s="798">
        <f t="shared" si="44"/>
        <v>158</v>
      </c>
      <c r="CV19" s="798">
        <f t="shared" si="44"/>
        <v>165</v>
      </c>
      <c r="CW19" s="799">
        <f t="shared" si="44"/>
        <v>172</v>
      </c>
      <c r="CX19" s="798">
        <f t="shared" ref="CX19:DI19" si="45">CX11+CX12</f>
        <v>163</v>
      </c>
      <c r="CY19" s="798">
        <f t="shared" si="45"/>
        <v>163</v>
      </c>
      <c r="CZ19" s="798">
        <f t="shared" si="45"/>
        <v>168</v>
      </c>
      <c r="DA19" s="799">
        <f t="shared" si="45"/>
        <v>163</v>
      </c>
      <c r="DB19" s="798">
        <f t="shared" si="45"/>
        <v>162</v>
      </c>
      <c r="DC19" s="798">
        <f t="shared" si="45"/>
        <v>165</v>
      </c>
      <c r="DD19" s="798">
        <f t="shared" si="45"/>
        <v>164</v>
      </c>
      <c r="DE19" s="1166">
        <f t="shared" si="45"/>
        <v>163</v>
      </c>
      <c r="DF19" s="1363">
        <f t="shared" si="45"/>
        <v>161</v>
      </c>
      <c r="DG19" s="1363">
        <f t="shared" si="45"/>
        <v>168</v>
      </c>
      <c r="DH19" s="1363">
        <f t="shared" si="45"/>
        <v>171</v>
      </c>
      <c r="DI19" s="1166">
        <f t="shared" si="45"/>
        <v>183</v>
      </c>
      <c r="DJ19" s="2682">
        <f t="shared" ref="DJ19:DM19" si="46">DJ7*DJ81</f>
        <v>153.31765056816849</v>
      </c>
      <c r="DK19" s="1363">
        <f t="shared" si="46"/>
        <v>158.20584946676408</v>
      </c>
      <c r="DL19" s="1363">
        <f t="shared" si="46"/>
        <v>165.40395269629292</v>
      </c>
      <c r="DM19" s="1166">
        <f t="shared" si="46"/>
        <v>267.81667496819489</v>
      </c>
      <c r="DN19" s="952"/>
      <c r="DO19" s="514"/>
      <c r="DP19" s="800">
        <f t="shared" ref="DP19:ED19" si="47">DP11+DP12</f>
        <v>0.51400000000000001</v>
      </c>
      <c r="DQ19" s="800">
        <f t="shared" si="47"/>
        <v>1.645</v>
      </c>
      <c r="DR19" s="800">
        <f t="shared" si="47"/>
        <v>4.9560000000000004</v>
      </c>
      <c r="DS19" s="800">
        <f t="shared" si="47"/>
        <v>6.9409999999999998</v>
      </c>
      <c r="DT19" s="800">
        <f t="shared" si="47"/>
        <v>5.476</v>
      </c>
      <c r="DU19" s="800">
        <f t="shared" si="47"/>
        <v>7.7930000000000001</v>
      </c>
      <c r="DV19" s="800">
        <f t="shared" si="47"/>
        <v>10.013</v>
      </c>
      <c r="DW19" s="800">
        <f t="shared" si="47"/>
        <v>14.832000000000001</v>
      </c>
      <c r="DX19" s="800">
        <f t="shared" si="47"/>
        <v>22.411999999999999</v>
      </c>
      <c r="DY19" s="800">
        <f t="shared" si="47"/>
        <v>38.57</v>
      </c>
      <c r="DZ19" s="800">
        <f t="shared" si="47"/>
        <v>54.862000000000002</v>
      </c>
      <c r="EA19" s="800">
        <f t="shared" si="47"/>
        <v>66.843999999999994</v>
      </c>
      <c r="EB19" s="800">
        <f t="shared" si="47"/>
        <v>71.584000000000003</v>
      </c>
      <c r="EC19" s="800">
        <f t="shared" si="47"/>
        <v>78.367000000000004</v>
      </c>
      <c r="ED19" s="800">
        <f t="shared" si="47"/>
        <v>109.541</v>
      </c>
      <c r="EE19" s="800">
        <f t="shared" ref="EE19:EU19" si="48">EE11+EE12</f>
        <v>165</v>
      </c>
      <c r="EF19" s="800">
        <f t="shared" si="48"/>
        <v>289</v>
      </c>
      <c r="EG19" s="800">
        <f t="shared" si="48"/>
        <v>310</v>
      </c>
      <c r="EH19" s="800">
        <f t="shared" si="48"/>
        <v>385</v>
      </c>
      <c r="EI19" s="800">
        <f t="shared" si="48"/>
        <v>459</v>
      </c>
      <c r="EJ19" s="800">
        <f t="shared" si="48"/>
        <v>456</v>
      </c>
      <c r="EK19" s="800">
        <f t="shared" si="48"/>
        <v>509</v>
      </c>
      <c r="EL19" s="800">
        <f t="shared" si="48"/>
        <v>580</v>
      </c>
      <c r="EM19" s="800">
        <f t="shared" si="48"/>
        <v>793</v>
      </c>
      <c r="EN19" s="800">
        <f t="shared" si="48"/>
        <v>926</v>
      </c>
      <c r="EO19" s="800">
        <f t="shared" si="48"/>
        <v>978</v>
      </c>
      <c r="EP19" s="800">
        <f t="shared" si="48"/>
        <v>945</v>
      </c>
      <c r="EQ19" s="800">
        <f t="shared" si="48"/>
        <v>978</v>
      </c>
      <c r="ER19" s="1054">
        <f t="shared" si="48"/>
        <v>945</v>
      </c>
      <c r="ES19" s="796">
        <f t="shared" si="48"/>
        <v>917</v>
      </c>
      <c r="ET19" s="796">
        <f t="shared" si="48"/>
        <v>917</v>
      </c>
      <c r="EU19" s="861">
        <f t="shared" si="48"/>
        <v>716</v>
      </c>
      <c r="EV19" s="861">
        <f>SUM(CT19:CW19)</f>
        <v>656</v>
      </c>
      <c r="EW19" s="861">
        <f>SUM(CX19:DA19)</f>
        <v>657</v>
      </c>
      <c r="EX19" s="858">
        <f>SUM(DB19:DE19)</f>
        <v>654</v>
      </c>
      <c r="EY19" s="858">
        <f>SUM(DF19:DI19)</f>
        <v>683</v>
      </c>
      <c r="EZ19" s="1754">
        <f>SUM(DJ19:DM19)</f>
        <v>744.74412769942035</v>
      </c>
      <c r="FA19" s="1424">
        <f t="shared" ref="FA19:FG19" si="49">FA7*FA81</f>
        <v>752.25050099879616</v>
      </c>
      <c r="FB19" s="1424">
        <f t="shared" si="49"/>
        <v>759.72307862827495</v>
      </c>
      <c r="FC19" s="1424">
        <f t="shared" si="49"/>
        <v>766.34058951803468</v>
      </c>
      <c r="FD19" s="1424">
        <f t="shared" si="49"/>
        <v>776.06700904440049</v>
      </c>
      <c r="FE19" s="1424">
        <f t="shared" si="49"/>
        <v>786.17605770887496</v>
      </c>
      <c r="FF19" s="1424">
        <f t="shared" si="49"/>
        <v>796.68669158461694</v>
      </c>
      <c r="FG19" s="1424">
        <f t="shared" si="49"/>
        <v>807.61881316482072</v>
      </c>
      <c r="FH19" s="1424">
        <f>FH7*FH81</f>
        <v>818.99331869240666</v>
      </c>
      <c r="FI19" s="413"/>
      <c r="FJ19"/>
      <c r="FK19"/>
      <c r="FL19"/>
      <c r="FM19"/>
      <c r="FN19"/>
      <c r="FO19"/>
      <c r="FR19" s="3"/>
      <c r="FS19" s="72"/>
      <c r="FT19"/>
      <c r="FU19"/>
      <c r="FV19" s="2627"/>
      <c r="FW19" s="2627"/>
      <c r="FX19" s="2627"/>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row>
    <row r="20" spans="1:260" s="4" customFormat="1" collapsed="1" x14ac:dyDescent="0.2">
      <c r="A20" s="410" t="s">
        <v>349</v>
      </c>
      <c r="B20" s="800">
        <f t="shared" ref="B20:AC20" si="50">B19+B17</f>
        <v>8.1499999999999915</v>
      </c>
      <c r="C20" s="800">
        <f t="shared" si="50"/>
        <v>17.983000000000033</v>
      </c>
      <c r="D20" s="800">
        <f t="shared" si="50"/>
        <v>26.534999999999947</v>
      </c>
      <c r="E20" s="797">
        <f t="shared" si="50"/>
        <v>46.922000000000025</v>
      </c>
      <c r="F20" s="800">
        <f t="shared" si="50"/>
        <v>19.839000000000002</v>
      </c>
      <c r="G20" s="800">
        <f t="shared" si="50"/>
        <v>26.151999999999965</v>
      </c>
      <c r="H20" s="800">
        <f t="shared" si="50"/>
        <v>48.375000000000057</v>
      </c>
      <c r="I20" s="797">
        <f t="shared" si="50"/>
        <v>66.144999999999982</v>
      </c>
      <c r="J20" s="800">
        <f t="shared" si="50"/>
        <v>29.099000000000181</v>
      </c>
      <c r="K20" s="800">
        <f t="shared" si="50"/>
        <v>32.411000000000087</v>
      </c>
      <c r="L20" s="800">
        <f t="shared" si="50"/>
        <v>56.937000000000054</v>
      </c>
      <c r="M20" s="797">
        <f t="shared" si="50"/>
        <v>58.970999999999975</v>
      </c>
      <c r="N20" s="800">
        <f t="shared" si="50"/>
        <v>29.993999999999858</v>
      </c>
      <c r="O20" s="800">
        <f t="shared" si="50"/>
        <v>36.514000000000166</v>
      </c>
      <c r="P20" s="800">
        <f t="shared" si="50"/>
        <v>13.761000000000045</v>
      </c>
      <c r="Q20" s="797">
        <f t="shared" si="50"/>
        <v>39.780999999999771</v>
      </c>
      <c r="R20" s="800">
        <f t="shared" si="50"/>
        <v>22.311000000000035</v>
      </c>
      <c r="S20" s="800">
        <f t="shared" si="50"/>
        <v>38.171999999999876</v>
      </c>
      <c r="T20" s="800">
        <f t="shared" si="50"/>
        <v>70.185999999999893</v>
      </c>
      <c r="U20" s="797">
        <f t="shared" si="50"/>
        <v>127.75299999999986</v>
      </c>
      <c r="V20" s="800">
        <f t="shared" si="50"/>
        <v>40.388000000000105</v>
      </c>
      <c r="W20" s="800">
        <f t="shared" si="50"/>
        <v>87.155000000000015</v>
      </c>
      <c r="X20" s="800">
        <f t="shared" si="50"/>
        <v>110.30200000000013</v>
      </c>
      <c r="Y20" s="797">
        <f t="shared" si="50"/>
        <v>191.76400000000035</v>
      </c>
      <c r="Z20" s="800">
        <f t="shared" si="50"/>
        <v>95.33899999999997</v>
      </c>
      <c r="AA20" s="800">
        <f t="shared" si="50"/>
        <v>112.07799999999999</v>
      </c>
      <c r="AB20" s="800">
        <f t="shared" si="50"/>
        <v>147.61200000000019</v>
      </c>
      <c r="AC20" s="797">
        <f t="shared" si="50"/>
        <v>293.7709999999999</v>
      </c>
      <c r="AD20" s="800">
        <f t="shared" ref="AD20:BI20" si="51">AD19+AD17</f>
        <v>140.51799999999986</v>
      </c>
      <c r="AE20" s="800">
        <f t="shared" si="51"/>
        <v>152.34999999999991</v>
      </c>
      <c r="AF20" s="800">
        <f t="shared" si="51"/>
        <v>128.01299999999969</v>
      </c>
      <c r="AG20" s="797">
        <f t="shared" si="51"/>
        <v>348.70000000000005</v>
      </c>
      <c r="AH20" s="800">
        <f t="shared" si="51"/>
        <v>157</v>
      </c>
      <c r="AI20" s="800">
        <f t="shared" si="51"/>
        <v>215</v>
      </c>
      <c r="AJ20" s="800">
        <f t="shared" si="51"/>
        <v>206</v>
      </c>
      <c r="AK20" s="797">
        <f t="shared" si="51"/>
        <v>648</v>
      </c>
      <c r="AL20" s="800">
        <f t="shared" si="51"/>
        <v>214</v>
      </c>
      <c r="AM20" s="800">
        <f t="shared" si="51"/>
        <v>215</v>
      </c>
      <c r="AN20" s="800">
        <f t="shared" si="51"/>
        <v>234</v>
      </c>
      <c r="AO20" s="797">
        <f t="shared" si="51"/>
        <v>657</v>
      </c>
      <c r="AP20" s="800">
        <f t="shared" si="51"/>
        <v>212</v>
      </c>
      <c r="AQ20" s="800">
        <f t="shared" si="51"/>
        <v>321</v>
      </c>
      <c r="AR20" s="800">
        <f t="shared" si="51"/>
        <v>295</v>
      </c>
      <c r="AS20" s="797">
        <f t="shared" si="51"/>
        <v>861</v>
      </c>
      <c r="AT20" s="800">
        <f t="shared" si="51"/>
        <v>287</v>
      </c>
      <c r="AU20" s="800">
        <f t="shared" si="51"/>
        <v>345</v>
      </c>
      <c r="AV20" s="800">
        <f t="shared" si="51"/>
        <v>339</v>
      </c>
      <c r="AW20" s="797">
        <f t="shared" si="51"/>
        <v>930</v>
      </c>
      <c r="AX20" s="800">
        <f t="shared" si="51"/>
        <v>348</v>
      </c>
      <c r="AY20" s="800">
        <f t="shared" si="51"/>
        <v>374</v>
      </c>
      <c r="AZ20" s="800">
        <f t="shared" si="51"/>
        <v>300</v>
      </c>
      <c r="BA20" s="797">
        <f t="shared" si="51"/>
        <v>1078</v>
      </c>
      <c r="BB20" s="800">
        <f t="shared" si="51"/>
        <v>458</v>
      </c>
      <c r="BC20" s="800">
        <f t="shared" si="51"/>
        <v>455</v>
      </c>
      <c r="BD20" s="800">
        <f t="shared" si="51"/>
        <v>319</v>
      </c>
      <c r="BE20" s="797">
        <f t="shared" si="51"/>
        <v>1276</v>
      </c>
      <c r="BF20" s="800">
        <f t="shared" si="51"/>
        <v>401</v>
      </c>
      <c r="BG20" s="800">
        <f t="shared" si="51"/>
        <v>545</v>
      </c>
      <c r="BH20" s="800">
        <f t="shared" si="51"/>
        <v>491</v>
      </c>
      <c r="BI20" s="797">
        <f t="shared" si="51"/>
        <v>1304</v>
      </c>
      <c r="BJ20" s="800">
        <f t="shared" ref="BJ20:CO20" si="52">BJ19+BJ17</f>
        <v>430</v>
      </c>
      <c r="BK20" s="800">
        <f t="shared" si="52"/>
        <v>499</v>
      </c>
      <c r="BL20" s="800">
        <f t="shared" si="52"/>
        <v>523</v>
      </c>
      <c r="BM20" s="797">
        <f t="shared" si="52"/>
        <v>1355</v>
      </c>
      <c r="BN20" s="800">
        <f t="shared" si="52"/>
        <v>565</v>
      </c>
      <c r="BO20" s="800">
        <f t="shared" si="52"/>
        <v>512</v>
      </c>
      <c r="BP20" s="800">
        <f t="shared" si="52"/>
        <v>607</v>
      </c>
      <c r="BQ20" s="797">
        <f t="shared" si="52"/>
        <v>1529</v>
      </c>
      <c r="BR20" s="800">
        <f t="shared" si="52"/>
        <v>556</v>
      </c>
      <c r="BS20" s="800">
        <f t="shared" si="52"/>
        <v>649</v>
      </c>
      <c r="BT20" s="800">
        <f t="shared" si="52"/>
        <v>635</v>
      </c>
      <c r="BU20" s="797">
        <f t="shared" si="52"/>
        <v>1474</v>
      </c>
      <c r="BV20" s="800">
        <f t="shared" si="52"/>
        <v>520</v>
      </c>
      <c r="BW20" s="800">
        <f t="shared" si="52"/>
        <v>528</v>
      </c>
      <c r="BX20" s="800">
        <f t="shared" si="52"/>
        <v>559</v>
      </c>
      <c r="BY20" s="797">
        <f t="shared" si="52"/>
        <v>1596</v>
      </c>
      <c r="BZ20" s="800">
        <f t="shared" si="52"/>
        <v>671</v>
      </c>
      <c r="CA20" s="800">
        <f t="shared" si="52"/>
        <v>629</v>
      </c>
      <c r="CB20" s="800">
        <f t="shared" si="52"/>
        <v>681</v>
      </c>
      <c r="CC20" s="797">
        <f t="shared" si="52"/>
        <v>1514</v>
      </c>
      <c r="CD20" s="800">
        <f t="shared" si="52"/>
        <v>700</v>
      </c>
      <c r="CE20" s="800">
        <f t="shared" si="52"/>
        <v>499</v>
      </c>
      <c r="CF20" s="800">
        <f t="shared" si="52"/>
        <v>612</v>
      </c>
      <c r="CG20" s="797">
        <f t="shared" si="52"/>
        <v>1433</v>
      </c>
      <c r="CH20" s="800">
        <f t="shared" si="52"/>
        <v>626</v>
      </c>
      <c r="CI20" s="800">
        <f t="shared" si="52"/>
        <v>352</v>
      </c>
      <c r="CJ20" s="800">
        <f t="shared" si="52"/>
        <v>270</v>
      </c>
      <c r="CK20" s="797">
        <f t="shared" si="52"/>
        <v>1154</v>
      </c>
      <c r="CL20" s="800">
        <f t="shared" si="52"/>
        <v>642</v>
      </c>
      <c r="CM20" s="800">
        <f t="shared" si="52"/>
        <v>409</v>
      </c>
      <c r="CN20" s="800">
        <f t="shared" si="52"/>
        <v>258</v>
      </c>
      <c r="CO20" s="797">
        <f t="shared" si="52"/>
        <v>1083</v>
      </c>
      <c r="CP20" s="1054">
        <f t="shared" ref="CP20:CW20" si="53">CP19+CP17</f>
        <v>414</v>
      </c>
      <c r="CQ20" s="796">
        <f t="shared" si="53"/>
        <v>372</v>
      </c>
      <c r="CR20" s="796">
        <f t="shared" si="53"/>
        <v>298</v>
      </c>
      <c r="CS20" s="799">
        <f t="shared" si="53"/>
        <v>795</v>
      </c>
      <c r="CT20" s="1054">
        <f t="shared" si="53"/>
        <v>382</v>
      </c>
      <c r="CU20" s="798">
        <f t="shared" si="53"/>
        <v>400</v>
      </c>
      <c r="CV20" s="798">
        <f t="shared" si="53"/>
        <v>381</v>
      </c>
      <c r="CW20" s="799">
        <f t="shared" si="53"/>
        <v>990</v>
      </c>
      <c r="CX20" s="798">
        <f t="shared" ref="CX20:DE20" si="54">CX19+CX17</f>
        <v>371</v>
      </c>
      <c r="CY20" s="798">
        <f t="shared" si="54"/>
        <v>441</v>
      </c>
      <c r="CZ20" s="798">
        <f t="shared" si="54"/>
        <v>406</v>
      </c>
      <c r="DA20" s="799">
        <f>DA19+DA17</f>
        <v>944</v>
      </c>
      <c r="DB20" s="798">
        <f>DB19+DB17</f>
        <v>402</v>
      </c>
      <c r="DC20" s="798">
        <f t="shared" si="54"/>
        <v>455</v>
      </c>
      <c r="DD20" s="798">
        <f t="shared" si="54"/>
        <v>477</v>
      </c>
      <c r="DE20" s="799">
        <f t="shared" si="54"/>
        <v>1053</v>
      </c>
      <c r="DF20" s="798">
        <f t="shared" ref="DF20:DM20" si="55">DF19+DF17</f>
        <v>461</v>
      </c>
      <c r="DG20" s="798">
        <f t="shared" si="55"/>
        <v>498</v>
      </c>
      <c r="DH20" s="798">
        <f t="shared" si="55"/>
        <v>519</v>
      </c>
      <c r="DI20" s="799">
        <f t="shared" si="55"/>
        <v>1165</v>
      </c>
      <c r="DJ20" s="1670">
        <f t="shared" si="55"/>
        <v>440.58154362611765</v>
      </c>
      <c r="DK20" s="798">
        <f t="shared" si="55"/>
        <v>479.03854763665038</v>
      </c>
      <c r="DL20" s="798">
        <f t="shared" si="55"/>
        <v>522.25211886379179</v>
      </c>
      <c r="DM20" s="799">
        <f t="shared" si="55"/>
        <v>1233.0843213004996</v>
      </c>
      <c r="DN20" s="593"/>
      <c r="DO20" s="514"/>
      <c r="DP20" s="800">
        <f t="shared" ref="DP20:ED20" si="56">DP19+DP17</f>
        <v>8.9300099999999922</v>
      </c>
      <c r="DQ20" s="800">
        <f t="shared" si="56"/>
        <v>16.970000000000002</v>
      </c>
      <c r="DR20" s="800">
        <f t="shared" si="56"/>
        <v>14.079200000000025</v>
      </c>
      <c r="DS20" s="800">
        <f t="shared" si="56"/>
        <v>15.67009999999993</v>
      </c>
      <c r="DT20" s="800">
        <f t="shared" si="56"/>
        <v>18.623000000000005</v>
      </c>
      <c r="DU20" s="800">
        <f t="shared" si="56"/>
        <v>18.768999999999913</v>
      </c>
      <c r="DV20" s="800">
        <f t="shared" si="56"/>
        <v>28.789000000000009</v>
      </c>
      <c r="DW20" s="800">
        <f t="shared" si="56"/>
        <v>50.740000000000101</v>
      </c>
      <c r="DX20" s="800">
        <f t="shared" si="56"/>
        <v>99.59</v>
      </c>
      <c r="DY20" s="800">
        <f t="shared" si="56"/>
        <v>160.51100000000002</v>
      </c>
      <c r="DZ20" s="800">
        <f t="shared" si="56"/>
        <v>177.41800000000029</v>
      </c>
      <c r="EA20" s="800">
        <f t="shared" si="56"/>
        <v>120.04999999999944</v>
      </c>
      <c r="EB20" s="800">
        <f t="shared" si="56"/>
        <v>258.42199999999968</v>
      </c>
      <c r="EC20" s="800">
        <f t="shared" si="56"/>
        <v>429.60900000000112</v>
      </c>
      <c r="ED20" s="800">
        <f t="shared" si="56"/>
        <v>648.79999999999995</v>
      </c>
      <c r="EE20" s="800">
        <f t="shared" ref="EE20:ET20" si="57">EE19+EE17</f>
        <v>769.58099999999945</v>
      </c>
      <c r="EF20" s="800">
        <f t="shared" si="57"/>
        <v>1226</v>
      </c>
      <c r="EG20" s="800">
        <f t="shared" si="57"/>
        <v>1320</v>
      </c>
      <c r="EH20" s="800">
        <f t="shared" si="57"/>
        <v>1689</v>
      </c>
      <c r="EI20" s="800">
        <f t="shared" si="57"/>
        <v>1901</v>
      </c>
      <c r="EJ20" s="800">
        <f t="shared" si="57"/>
        <v>2100</v>
      </c>
      <c r="EK20" s="800">
        <f t="shared" si="57"/>
        <v>2508</v>
      </c>
      <c r="EL20" s="800">
        <f t="shared" si="57"/>
        <v>2741</v>
      </c>
      <c r="EM20" s="800">
        <f t="shared" si="57"/>
        <v>2807</v>
      </c>
      <c r="EN20" s="800">
        <f t="shared" si="57"/>
        <v>3213</v>
      </c>
      <c r="EO20" s="800">
        <f t="shared" si="57"/>
        <v>3314</v>
      </c>
      <c r="EP20" s="800">
        <f t="shared" si="57"/>
        <v>3203</v>
      </c>
      <c r="EQ20" s="800">
        <f t="shared" si="57"/>
        <v>3495</v>
      </c>
      <c r="ER20" s="1054">
        <f t="shared" si="57"/>
        <v>3244</v>
      </c>
      <c r="ES20" s="796">
        <f t="shared" si="57"/>
        <v>2402</v>
      </c>
      <c r="ET20" s="796">
        <f t="shared" si="57"/>
        <v>2392</v>
      </c>
      <c r="EU20" s="861">
        <f>EU19+EN17</f>
        <v>3003</v>
      </c>
      <c r="EV20" s="861">
        <f>SUM(CT20:CW20)</f>
        <v>2153</v>
      </c>
      <c r="EW20" s="861">
        <f>SUM(CX20:DA20)</f>
        <v>2162</v>
      </c>
      <c r="EX20" s="858">
        <f>SUM(DB20:DE20)</f>
        <v>2387</v>
      </c>
      <c r="EY20" s="858">
        <f>SUM(DF20:DI20)</f>
        <v>2643</v>
      </c>
      <c r="EZ20" s="1754">
        <f>SUM(DJ20:DM20)</f>
        <v>2674.9565314270594</v>
      </c>
      <c r="FA20" s="865">
        <f t="shared" ref="FA20:FF20" si="58">FA19+FA17</f>
        <v>2722.5403101226075</v>
      </c>
      <c r="FB20" s="865">
        <f t="shared" si="58"/>
        <v>2782.9519640991134</v>
      </c>
      <c r="FC20" s="865">
        <f t="shared" si="58"/>
        <v>2789.6979751591534</v>
      </c>
      <c r="FD20" s="865">
        <f t="shared" si="58"/>
        <v>2807.687879436437</v>
      </c>
      <c r="FE20" s="865">
        <f t="shared" si="58"/>
        <v>2826.5570270040312</v>
      </c>
      <c r="FF20" s="865">
        <f t="shared" si="58"/>
        <v>2846.3424333206021</v>
      </c>
      <c r="FG20" s="865">
        <f>FG19+FG17</f>
        <v>2867.0824126045509</v>
      </c>
      <c r="FH20" s="865">
        <f>FH19+FH17</f>
        <v>2888.816614691978</v>
      </c>
      <c r="FI20" s="413"/>
      <c r="FJ20"/>
      <c r="FK20"/>
      <c r="FL20"/>
      <c r="FM20"/>
      <c r="FN20"/>
      <c r="FO20"/>
      <c r="FR20" s="3"/>
      <c r="FS20" s="858"/>
      <c r="FT20" s="858"/>
      <c r="FU20"/>
      <c r="FV20" s="858"/>
      <c r="FW20" s="858"/>
      <c r="FX20" s="858"/>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row>
    <row r="21" spans="1:260" s="4" customFormat="1" x14ac:dyDescent="0.2">
      <c r="A21" s="122"/>
      <c r="B21" s="456"/>
      <c r="C21" s="456"/>
      <c r="D21" s="456"/>
      <c r="E21" s="457"/>
      <c r="F21" s="125"/>
      <c r="G21" s="125"/>
      <c r="H21" s="125"/>
      <c r="I21" s="457"/>
      <c r="J21" s="125"/>
      <c r="K21" s="125"/>
      <c r="L21" s="125"/>
      <c r="M21" s="457"/>
      <c r="N21" s="125"/>
      <c r="O21" s="125"/>
      <c r="P21" s="125"/>
      <c r="Q21" s="457"/>
      <c r="R21" s="125"/>
      <c r="S21" s="125"/>
      <c r="T21" s="125"/>
      <c r="U21" s="457"/>
      <c r="V21" s="125"/>
      <c r="W21" s="125"/>
      <c r="X21" s="125"/>
      <c r="Y21" s="457"/>
      <c r="Z21" s="125"/>
      <c r="AA21" s="125"/>
      <c r="AB21" s="125"/>
      <c r="AC21" s="457"/>
      <c r="AD21" s="125"/>
      <c r="AE21" s="125"/>
      <c r="AF21" s="125"/>
      <c r="AG21" s="457"/>
      <c r="AH21" s="125"/>
      <c r="AI21" s="125"/>
      <c r="AJ21" s="125"/>
      <c r="AK21" s="457"/>
      <c r="AL21" s="125"/>
      <c r="AM21" s="125"/>
      <c r="AN21" s="125"/>
      <c r="AO21" s="457"/>
      <c r="AP21" s="125"/>
      <c r="AQ21" s="125"/>
      <c r="AR21" s="125"/>
      <c r="AS21" s="457"/>
      <c r="AT21" s="125"/>
      <c r="AU21" s="125"/>
      <c r="AV21" s="125"/>
      <c r="AW21" s="457"/>
      <c r="AX21" s="26"/>
      <c r="AY21" s="26"/>
      <c r="AZ21" s="26"/>
      <c r="BA21" s="485"/>
      <c r="BB21" s="26"/>
      <c r="BC21" s="26"/>
      <c r="BD21" s="158"/>
      <c r="BE21" s="485"/>
      <c r="BF21" s="26"/>
      <c r="BG21" s="26"/>
      <c r="BH21" s="26"/>
      <c r="BI21" s="485"/>
      <c r="BJ21" s="26"/>
      <c r="BK21" s="26"/>
      <c r="BL21" s="158"/>
      <c r="BM21" s="485"/>
      <c r="BN21" s="26"/>
      <c r="BO21" s="26"/>
      <c r="BP21" s="26"/>
      <c r="BQ21" s="485"/>
      <c r="BR21" s="26"/>
      <c r="BS21" s="26"/>
      <c r="BT21" s="26"/>
      <c r="BU21" s="485"/>
      <c r="BV21" s="26"/>
      <c r="BW21" s="26"/>
      <c r="BX21" s="26"/>
      <c r="BY21" s="485"/>
      <c r="BZ21" s="26"/>
      <c r="CA21" s="26"/>
      <c r="CB21" s="26"/>
      <c r="CC21" s="485"/>
      <c r="CD21" s="26"/>
      <c r="CE21" s="26"/>
      <c r="CF21" s="26"/>
      <c r="CG21" s="485"/>
      <c r="CH21" s="26"/>
      <c r="CI21" s="26"/>
      <c r="CJ21" s="26"/>
      <c r="CK21" s="485"/>
      <c r="CL21" s="158"/>
      <c r="CM21" s="158"/>
      <c r="CN21" s="158"/>
      <c r="CO21" s="514"/>
      <c r="CP21" s="1055"/>
      <c r="CQ21" s="1043"/>
      <c r="CR21" s="1043"/>
      <c r="CS21" s="1044"/>
      <c r="CT21" s="1055"/>
      <c r="CU21" s="1043"/>
      <c r="CV21" s="1043"/>
      <c r="CW21" s="1044"/>
      <c r="CX21" s="1043"/>
      <c r="CY21" s="1043"/>
      <c r="CZ21" s="1043"/>
      <c r="DA21" s="1044"/>
      <c r="DB21" s="1043"/>
      <c r="DC21" s="1043"/>
      <c r="DD21" s="1043"/>
      <c r="DE21" s="1044"/>
      <c r="DF21" s="1043"/>
      <c r="DG21" s="1043"/>
      <c r="DH21" s="1043"/>
      <c r="DI21" s="1044"/>
      <c r="DJ21" s="2683"/>
      <c r="DK21" s="1043"/>
      <c r="DL21" s="1043"/>
      <c r="DM21" s="1044"/>
      <c r="DN21" s="951"/>
      <c r="DO21" s="514"/>
      <c r="DP21" s="125"/>
      <c r="DQ21" s="125"/>
      <c r="DR21" s="125"/>
      <c r="DS21" s="125"/>
      <c r="DT21" s="125"/>
      <c r="DU21" s="125"/>
      <c r="DV21" s="125"/>
      <c r="DW21" s="125"/>
      <c r="DX21" s="125"/>
      <c r="DY21" s="125"/>
      <c r="DZ21" s="125"/>
      <c r="EA21" s="125"/>
      <c r="EB21" s="125"/>
      <c r="EC21" s="125"/>
      <c r="ED21" s="125"/>
      <c r="EE21" s="125"/>
      <c r="EF21" s="125"/>
      <c r="EG21" s="125"/>
      <c r="EH21" s="125"/>
      <c r="EI21" s="26"/>
      <c r="EJ21" s="26"/>
      <c r="EK21" s="26"/>
      <c r="EL21" s="26"/>
      <c r="EM21" s="26"/>
      <c r="EN21" s="26"/>
      <c r="EO21" s="26"/>
      <c r="EP21" s="26"/>
      <c r="EQ21" s="26"/>
      <c r="ER21" s="1075"/>
      <c r="ES21" s="1076"/>
      <c r="ET21" s="202"/>
      <c r="EU21" s="1076"/>
      <c r="EV21" s="1076"/>
      <c r="EW21" s="1076"/>
      <c r="EX21" s="202"/>
      <c r="EY21" s="202"/>
      <c r="EZ21" s="1756"/>
      <c r="FA21" s="285"/>
      <c r="FB21" s="285"/>
      <c r="FC21" s="285"/>
      <c r="FD21" s="285"/>
      <c r="FE21" s="285"/>
      <c r="FF21" s="285"/>
      <c r="FG21" s="285"/>
      <c r="FH21" s="285"/>
      <c r="FI21" s="413"/>
      <c r="FJ21"/>
      <c r="FK21"/>
      <c r="FL21"/>
      <c r="FM21"/>
      <c r="FN21"/>
      <c r="FO21"/>
      <c r="FR21" s="3"/>
      <c r="FS21" s="72"/>
      <c r="FT21"/>
      <c r="FU21"/>
      <c r="FV21" s="1548"/>
      <c r="FW21" s="1548"/>
      <c r="FX21" s="1548"/>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row>
    <row r="22" spans="1:260" s="4" customFormat="1" x14ac:dyDescent="0.2">
      <c r="A22" s="60" t="s">
        <v>126</v>
      </c>
      <c r="B22" s="802" t="s">
        <v>599</v>
      </c>
      <c r="C22" s="802" t="s">
        <v>599</v>
      </c>
      <c r="D22" s="802" t="s">
        <v>599</v>
      </c>
      <c r="E22" s="804" t="s">
        <v>599</v>
      </c>
      <c r="F22" s="802" t="s">
        <v>599</v>
      </c>
      <c r="G22" s="802" t="s">
        <v>599</v>
      </c>
      <c r="H22" s="802" t="s">
        <v>599</v>
      </c>
      <c r="I22" s="804" t="s">
        <v>599</v>
      </c>
      <c r="J22" s="802" t="s">
        <v>599</v>
      </c>
      <c r="K22" s="802" t="s">
        <v>599</v>
      </c>
      <c r="L22" s="802" t="s">
        <v>599</v>
      </c>
      <c r="M22" s="804" t="s">
        <v>599</v>
      </c>
      <c r="N22" s="802" t="s">
        <v>599</v>
      </c>
      <c r="O22" s="802" t="s">
        <v>599</v>
      </c>
      <c r="P22" s="802" t="s">
        <v>599</v>
      </c>
      <c r="Q22" s="804" t="s">
        <v>599</v>
      </c>
      <c r="R22" s="802" t="s">
        <v>599</v>
      </c>
      <c r="S22" s="802" t="s">
        <v>599</v>
      </c>
      <c r="T22" s="802" t="s">
        <v>599</v>
      </c>
      <c r="U22" s="804" t="s">
        <v>599</v>
      </c>
      <c r="V22" s="802" t="s">
        <v>599</v>
      </c>
      <c r="W22" s="802" t="s">
        <v>599</v>
      </c>
      <c r="X22" s="802" t="s">
        <v>599</v>
      </c>
      <c r="Y22" s="804" t="s">
        <v>599</v>
      </c>
      <c r="Z22" s="802" t="s">
        <v>599</v>
      </c>
      <c r="AA22" s="802" t="s">
        <v>599</v>
      </c>
      <c r="AB22" s="802" t="s">
        <v>599</v>
      </c>
      <c r="AC22" s="804" t="s">
        <v>599</v>
      </c>
      <c r="AD22" s="802" t="s">
        <v>599</v>
      </c>
      <c r="AE22" s="802" t="s">
        <v>599</v>
      </c>
      <c r="AF22" s="802" t="s">
        <v>599</v>
      </c>
      <c r="AG22" s="804" t="s">
        <v>599</v>
      </c>
      <c r="AH22" s="802" t="s">
        <v>599</v>
      </c>
      <c r="AI22" s="802" t="s">
        <v>599</v>
      </c>
      <c r="AJ22" s="802" t="s">
        <v>599</v>
      </c>
      <c r="AK22" s="804" t="s">
        <v>599</v>
      </c>
      <c r="AL22" s="802" t="s">
        <v>599</v>
      </c>
      <c r="AM22" s="802" t="s">
        <v>599</v>
      </c>
      <c r="AN22" s="802" t="s">
        <v>599</v>
      </c>
      <c r="AO22" s="804" t="s">
        <v>599</v>
      </c>
      <c r="AP22" s="802" t="s">
        <v>599</v>
      </c>
      <c r="AQ22" s="802" t="s">
        <v>599</v>
      </c>
      <c r="AR22" s="802" t="s">
        <v>599</v>
      </c>
      <c r="AS22" s="804" t="s">
        <v>599</v>
      </c>
      <c r="AT22" s="800">
        <v>7</v>
      </c>
      <c r="AU22" s="800">
        <v>6</v>
      </c>
      <c r="AV22" s="800">
        <v>4</v>
      </c>
      <c r="AW22" s="797">
        <v>14</v>
      </c>
      <c r="AX22" s="800">
        <v>8</v>
      </c>
      <c r="AY22" s="800">
        <v>7</v>
      </c>
      <c r="AZ22" s="800">
        <v>5.5</v>
      </c>
      <c r="BA22" s="797">
        <v>0</v>
      </c>
      <c r="BB22" s="802">
        <v>8</v>
      </c>
      <c r="BC22" s="802">
        <v>8</v>
      </c>
      <c r="BD22" s="803">
        <v>7</v>
      </c>
      <c r="BE22" s="804">
        <v>8</v>
      </c>
      <c r="BF22" s="802">
        <v>7</v>
      </c>
      <c r="BG22" s="800">
        <v>23</v>
      </c>
      <c r="BH22" s="800">
        <v>23</v>
      </c>
      <c r="BI22" s="797">
        <v>9</v>
      </c>
      <c r="BJ22" s="803">
        <v>13</v>
      </c>
      <c r="BK22" s="803">
        <v>21</v>
      </c>
      <c r="BL22" s="803">
        <v>35</v>
      </c>
      <c r="BM22" s="805">
        <v>25</v>
      </c>
      <c r="BN22" s="803">
        <v>23</v>
      </c>
      <c r="BO22" s="803">
        <v>22</v>
      </c>
      <c r="BP22" s="803">
        <v>23</v>
      </c>
      <c r="BQ22" s="805">
        <v>26</v>
      </c>
      <c r="BR22" s="803">
        <v>23</v>
      </c>
      <c r="BS22" s="803">
        <v>21</v>
      </c>
      <c r="BT22" s="803">
        <v>20</v>
      </c>
      <c r="BU22" s="805">
        <v>23</v>
      </c>
      <c r="BV22" s="801">
        <v>31</v>
      </c>
      <c r="BW22" s="801">
        <v>34</v>
      </c>
      <c r="BX22" s="801">
        <v>37</v>
      </c>
      <c r="BY22" s="799">
        <v>32</v>
      </c>
      <c r="BZ22" s="801">
        <v>24</v>
      </c>
      <c r="CA22" s="801">
        <v>20</v>
      </c>
      <c r="CB22" s="801">
        <v>19</v>
      </c>
      <c r="CC22" s="799">
        <v>22</v>
      </c>
      <c r="CD22" s="801">
        <v>28</v>
      </c>
      <c r="CE22" s="801">
        <v>33</v>
      </c>
      <c r="CF22" s="801">
        <v>37</v>
      </c>
      <c r="CG22" s="799">
        <v>31</v>
      </c>
      <c r="CH22" s="801">
        <v>33</v>
      </c>
      <c r="CI22" s="801">
        <v>30</v>
      </c>
      <c r="CJ22" s="801">
        <v>31</v>
      </c>
      <c r="CK22" s="799">
        <v>31</v>
      </c>
      <c r="CL22" s="801">
        <v>28</v>
      </c>
      <c r="CM22" s="801">
        <v>26</v>
      </c>
      <c r="CN22" s="801">
        <v>27</v>
      </c>
      <c r="CO22" s="799">
        <v>28</v>
      </c>
      <c r="CP22" s="954">
        <v>27</v>
      </c>
      <c r="CQ22" s="798">
        <v>26</v>
      </c>
      <c r="CR22" s="798">
        <v>24</v>
      </c>
      <c r="CS22" s="799">
        <v>23</v>
      </c>
      <c r="CT22" s="954">
        <v>23</v>
      </c>
      <c r="CU22" s="798">
        <v>23</v>
      </c>
      <c r="CV22" s="798">
        <v>22</v>
      </c>
      <c r="CW22" s="799">
        <v>22</v>
      </c>
      <c r="CX22" s="798">
        <v>20</v>
      </c>
      <c r="CY22" s="798">
        <v>20</v>
      </c>
      <c r="CZ22" s="798">
        <v>20</v>
      </c>
      <c r="DA22" s="799">
        <v>20</v>
      </c>
      <c r="DB22" s="798">
        <v>20</v>
      </c>
      <c r="DC22" s="798">
        <v>18</v>
      </c>
      <c r="DD22" s="798">
        <v>16</v>
      </c>
      <c r="DE22" s="799">
        <v>18</v>
      </c>
      <c r="DF22" s="798">
        <v>19</v>
      </c>
      <c r="DG22" s="798">
        <v>18</v>
      </c>
      <c r="DH22" s="798">
        <v>20</v>
      </c>
      <c r="DI22" s="799">
        <v>18</v>
      </c>
      <c r="DJ22" s="1670">
        <v>17.424999999999997</v>
      </c>
      <c r="DK22" s="798">
        <v>14.3</v>
      </c>
      <c r="DL22" s="798">
        <v>11.175000000000001</v>
      </c>
      <c r="DM22" s="799">
        <v>32.424999999999997</v>
      </c>
      <c r="DN22" s="953"/>
      <c r="DO22" s="799"/>
      <c r="DP22" s="802" t="s">
        <v>599</v>
      </c>
      <c r="DQ22" s="802" t="s">
        <v>599</v>
      </c>
      <c r="DR22" s="802" t="s">
        <v>599</v>
      </c>
      <c r="DS22" s="802" t="s">
        <v>599</v>
      </c>
      <c r="DT22" s="802" t="s">
        <v>599</v>
      </c>
      <c r="DU22" s="802" t="s">
        <v>599</v>
      </c>
      <c r="DV22" s="802" t="s">
        <v>599</v>
      </c>
      <c r="DW22" s="802" t="s">
        <v>599</v>
      </c>
      <c r="DX22" s="802" t="s">
        <v>599</v>
      </c>
      <c r="DY22" s="802" t="s">
        <v>599</v>
      </c>
      <c r="DZ22" s="802" t="s">
        <v>599</v>
      </c>
      <c r="EA22" s="802" t="s">
        <v>599</v>
      </c>
      <c r="EB22" s="800">
        <f>EB24</f>
        <v>33.004999999999995</v>
      </c>
      <c r="EC22" s="800">
        <v>23.8</v>
      </c>
      <c r="ED22" s="800">
        <v>5.3</v>
      </c>
      <c r="EE22" s="800">
        <v>7</v>
      </c>
      <c r="EF22" s="800">
        <f>21+8</f>
        <v>29</v>
      </c>
      <c r="EG22" s="800">
        <v>24</v>
      </c>
      <c r="EH22" s="800">
        <v>32</v>
      </c>
      <c r="EI22" s="800">
        <f>SUM(AT22:AW22)</f>
        <v>31</v>
      </c>
      <c r="EJ22" s="800">
        <f>AX22+AY22+AZ22+BA22</f>
        <v>20.5</v>
      </c>
      <c r="EK22" s="800">
        <f>SUM(BB22:BE22)</f>
        <v>31</v>
      </c>
      <c r="EL22" s="800">
        <v>62</v>
      </c>
      <c r="EM22" s="801">
        <f>SUM(BJ22:BM22)</f>
        <v>94</v>
      </c>
      <c r="EN22" s="801">
        <f>SUM(BN22:BQ22)</f>
        <v>94</v>
      </c>
      <c r="EO22" s="801">
        <f>SUM(BR22:BU22)</f>
        <v>87</v>
      </c>
      <c r="EP22" s="798">
        <f>SUM(BV22:BY22)</f>
        <v>134</v>
      </c>
      <c r="EQ22" s="798">
        <f>SUM(BZ22:CC22)</f>
        <v>85</v>
      </c>
      <c r="ER22" s="954">
        <f>SUM(CD22:CG22)</f>
        <v>129</v>
      </c>
      <c r="ES22" s="798">
        <f>SUM(CH22:CK22)</f>
        <v>125</v>
      </c>
      <c r="ET22" s="798">
        <f>SUM(CL22:CO22)</f>
        <v>109</v>
      </c>
      <c r="EU22" s="798">
        <f>SUM(CP22:CS22)</f>
        <v>100</v>
      </c>
      <c r="EV22" s="798">
        <f>SUM(CT22:CW22)</f>
        <v>90</v>
      </c>
      <c r="EW22" s="798">
        <f>SUM(CX22:DA22)</f>
        <v>80</v>
      </c>
      <c r="EX22" s="798">
        <f>SUM(DB22:DE22)</f>
        <v>72</v>
      </c>
      <c r="EY22" s="798">
        <f>SUM(DF22:DI22)</f>
        <v>75</v>
      </c>
      <c r="EZ22" s="1670">
        <f>SUM(DJ22:DM22)</f>
        <v>75.324999999999989</v>
      </c>
      <c r="FA22" s="800">
        <v>73.45</v>
      </c>
      <c r="FB22" s="800">
        <v>88.45</v>
      </c>
      <c r="FC22" s="800">
        <v>116.825</v>
      </c>
      <c r="FD22" s="800">
        <v>128.94999999999999</v>
      </c>
      <c r="FE22" s="800">
        <v>128.94999999999999</v>
      </c>
      <c r="FF22" s="800">
        <v>143.94999999999999</v>
      </c>
      <c r="FG22" s="800">
        <v>158.94999999999999</v>
      </c>
      <c r="FH22" s="800">
        <v>158.94999999999999</v>
      </c>
      <c r="FI22" s="413"/>
      <c r="FJ22"/>
      <c r="FK22"/>
      <c r="FL22"/>
      <c r="FM22"/>
      <c r="FN22"/>
      <c r="FO22"/>
      <c r="FR22" s="3"/>
      <c r="FS22" s="798"/>
      <c r="FT22" s="798"/>
      <c r="FU22"/>
      <c r="FV22" s="798"/>
      <c r="FW22" s="798"/>
      <c r="FX22" s="798"/>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row>
    <row r="23" spans="1:260" s="4" customFormat="1" x14ac:dyDescent="0.2">
      <c r="A23" s="60" t="s">
        <v>228</v>
      </c>
      <c r="B23" s="802" t="s">
        <v>599</v>
      </c>
      <c r="C23" s="802" t="s">
        <v>599</v>
      </c>
      <c r="D23" s="802" t="s">
        <v>599</v>
      </c>
      <c r="E23" s="804" t="s">
        <v>599</v>
      </c>
      <c r="F23" s="802" t="s">
        <v>599</v>
      </c>
      <c r="G23" s="802" t="s">
        <v>599</v>
      </c>
      <c r="H23" s="802" t="s">
        <v>599</v>
      </c>
      <c r="I23" s="804" t="s">
        <v>599</v>
      </c>
      <c r="J23" s="802" t="s">
        <v>599</v>
      </c>
      <c r="K23" s="802" t="s">
        <v>599</v>
      </c>
      <c r="L23" s="802" t="s">
        <v>599</v>
      </c>
      <c r="M23" s="804" t="s">
        <v>599</v>
      </c>
      <c r="N23" s="802" t="s">
        <v>599</v>
      </c>
      <c r="O23" s="802" t="s">
        <v>599</v>
      </c>
      <c r="P23" s="802" t="s">
        <v>599</v>
      </c>
      <c r="Q23" s="804" t="s">
        <v>599</v>
      </c>
      <c r="R23" s="802" t="s">
        <v>599</v>
      </c>
      <c r="S23" s="802" t="s">
        <v>599</v>
      </c>
      <c r="T23" s="802" t="s">
        <v>599</v>
      </c>
      <c r="U23" s="804" t="s">
        <v>599</v>
      </c>
      <c r="V23" s="802" t="s">
        <v>599</v>
      </c>
      <c r="W23" s="802" t="s">
        <v>599</v>
      </c>
      <c r="X23" s="802" t="s">
        <v>599</v>
      </c>
      <c r="Y23" s="804" t="s">
        <v>599</v>
      </c>
      <c r="Z23" s="802" t="s">
        <v>599</v>
      </c>
      <c r="AA23" s="802" t="s">
        <v>599</v>
      </c>
      <c r="AB23" s="802" t="s">
        <v>599</v>
      </c>
      <c r="AC23" s="804" t="s">
        <v>599</v>
      </c>
      <c r="AD23" s="802" t="s">
        <v>599</v>
      </c>
      <c r="AE23" s="802" t="s">
        <v>599</v>
      </c>
      <c r="AF23" s="802" t="s">
        <v>599</v>
      </c>
      <c r="AG23" s="804" t="s">
        <v>599</v>
      </c>
      <c r="AH23" s="802" t="s">
        <v>599</v>
      </c>
      <c r="AI23" s="802" t="s">
        <v>599</v>
      </c>
      <c r="AJ23" s="802" t="s">
        <v>599</v>
      </c>
      <c r="AK23" s="804" t="s">
        <v>599</v>
      </c>
      <c r="AL23" s="802" t="s">
        <v>599</v>
      </c>
      <c r="AM23" s="802" t="s">
        <v>599</v>
      </c>
      <c r="AN23" s="802" t="s">
        <v>599</v>
      </c>
      <c r="AO23" s="804" t="s">
        <v>599</v>
      </c>
      <c r="AP23" s="802" t="s">
        <v>599</v>
      </c>
      <c r="AQ23" s="802" t="s">
        <v>599</v>
      </c>
      <c r="AR23" s="802" t="s">
        <v>599</v>
      </c>
      <c r="AS23" s="804" t="s">
        <v>599</v>
      </c>
      <c r="AT23" s="800">
        <v>-7</v>
      </c>
      <c r="AU23" s="800">
        <v>-7</v>
      </c>
      <c r="AV23" s="800">
        <v>-10</v>
      </c>
      <c r="AW23" s="797">
        <v>-8</v>
      </c>
      <c r="AX23" s="800">
        <v>-21</v>
      </c>
      <c r="AY23" s="800">
        <f>-21-4</f>
        <v>-25</v>
      </c>
      <c r="AZ23" s="800">
        <f>AZ24-AZ22</f>
        <v>-19.5</v>
      </c>
      <c r="BA23" s="797">
        <f>BA24</f>
        <v>-32</v>
      </c>
      <c r="BB23" s="800">
        <v>-31</v>
      </c>
      <c r="BC23" s="800">
        <v>-29</v>
      </c>
      <c r="BD23" s="801">
        <v>-31</v>
      </c>
      <c r="BE23" s="797">
        <v>-71</v>
      </c>
      <c r="BF23" s="800">
        <v>-44</v>
      </c>
      <c r="BG23" s="801">
        <v>-22</v>
      </c>
      <c r="BH23" s="801">
        <v>-32</v>
      </c>
      <c r="BI23" s="799">
        <v>-31</v>
      </c>
      <c r="BJ23" s="801">
        <v>-21</v>
      </c>
      <c r="BK23" s="801">
        <v>-9</v>
      </c>
      <c r="BL23" s="801">
        <v>3</v>
      </c>
      <c r="BM23" s="799">
        <v>-8</v>
      </c>
      <c r="BN23" s="801">
        <v>-9</v>
      </c>
      <c r="BO23" s="801">
        <v>-18</v>
      </c>
      <c r="BP23" s="801">
        <v>-11</v>
      </c>
      <c r="BQ23" s="799">
        <v>-16</v>
      </c>
      <c r="BR23" s="803">
        <v>-12</v>
      </c>
      <c r="BS23" s="803">
        <v>-13</v>
      </c>
      <c r="BT23" s="803">
        <v>-8</v>
      </c>
      <c r="BU23" s="805">
        <v>-18</v>
      </c>
      <c r="BV23" s="801">
        <v>-12</v>
      </c>
      <c r="BW23" s="801">
        <v>-6</v>
      </c>
      <c r="BX23" s="801">
        <v>-8</v>
      </c>
      <c r="BY23" s="799">
        <v>-11</v>
      </c>
      <c r="BZ23" s="801">
        <v>-13</v>
      </c>
      <c r="CA23" s="801">
        <v>-5</v>
      </c>
      <c r="CB23" s="801">
        <v>-9</v>
      </c>
      <c r="CC23" s="799">
        <v>-12</v>
      </c>
      <c r="CD23" s="801">
        <v>-17</v>
      </c>
      <c r="CE23" s="801">
        <v>-8</v>
      </c>
      <c r="CF23" s="798">
        <v>0</v>
      </c>
      <c r="CG23" s="799">
        <f>-21-55</f>
        <v>-76</v>
      </c>
      <c r="CH23" s="801">
        <v>-6</v>
      </c>
      <c r="CI23" s="801">
        <v>-6</v>
      </c>
      <c r="CJ23" s="801">
        <v>-13</v>
      </c>
      <c r="CK23" s="799">
        <f>-7-18</f>
        <v>-25</v>
      </c>
      <c r="CL23" s="801">
        <f>-3</f>
        <v>-3</v>
      </c>
      <c r="CM23" s="801">
        <f>-2</f>
        <v>-2</v>
      </c>
      <c r="CN23" s="801">
        <f>-10</f>
        <v>-10</v>
      </c>
      <c r="CO23" s="799">
        <f>-3</f>
        <v>-3</v>
      </c>
      <c r="CP23" s="954">
        <v>-5</v>
      </c>
      <c r="CQ23" s="798">
        <f>-5</f>
        <v>-5</v>
      </c>
      <c r="CR23" s="798">
        <v>-8</v>
      </c>
      <c r="CS23" s="799">
        <f>+-9+-2</f>
        <v>-11</v>
      </c>
      <c r="CT23" s="954">
        <v>-6</v>
      </c>
      <c r="CU23" s="798">
        <f>-2-8</f>
        <v>-10</v>
      </c>
      <c r="CV23" s="798">
        <v>3</v>
      </c>
      <c r="CW23" s="799">
        <f>-6+-4</f>
        <v>-10</v>
      </c>
      <c r="CX23" s="798">
        <v>-7</v>
      </c>
      <c r="CY23" s="798">
        <v>-4</v>
      </c>
      <c r="CZ23" s="798">
        <v>-3</v>
      </c>
      <c r="DA23" s="799">
        <f>1-7</f>
        <v>-6</v>
      </c>
      <c r="DB23" s="798">
        <v>-6</v>
      </c>
      <c r="DC23" s="798">
        <v>-8</v>
      </c>
      <c r="DD23" s="798">
        <v>-8</v>
      </c>
      <c r="DE23" s="799">
        <f>-9-1</f>
        <v>-10</v>
      </c>
      <c r="DF23" s="798">
        <v>-11</v>
      </c>
      <c r="DG23" s="798">
        <v>-7</v>
      </c>
      <c r="DH23" s="798">
        <f>+-12-1</f>
        <v>-13</v>
      </c>
      <c r="DI23" s="799">
        <f>-1-18</f>
        <v>-19</v>
      </c>
      <c r="DJ23" s="1670">
        <f t="shared" ref="DJ23:DM23" si="59">+AVERAGE(DB23,DF23)</f>
        <v>-8.5</v>
      </c>
      <c r="DK23" s="798">
        <f t="shared" si="59"/>
        <v>-7.5</v>
      </c>
      <c r="DL23" s="798">
        <f t="shared" si="59"/>
        <v>-10.5</v>
      </c>
      <c r="DM23" s="799">
        <f t="shared" si="59"/>
        <v>-14.5</v>
      </c>
      <c r="DN23" s="954"/>
      <c r="DO23" s="799"/>
      <c r="DP23" s="802" t="s">
        <v>599</v>
      </c>
      <c r="DQ23" s="802" t="s">
        <v>599</v>
      </c>
      <c r="DR23" s="802" t="s">
        <v>599</v>
      </c>
      <c r="DS23" s="802" t="s">
        <v>599</v>
      </c>
      <c r="DT23" s="802" t="s">
        <v>599</v>
      </c>
      <c r="DU23" s="802" t="s">
        <v>599</v>
      </c>
      <c r="DV23" s="802" t="s">
        <v>599</v>
      </c>
      <c r="DW23" s="802" t="s">
        <v>599</v>
      </c>
      <c r="DX23" s="802" t="s">
        <v>599</v>
      </c>
      <c r="DY23" s="802" t="s">
        <v>599</v>
      </c>
      <c r="DZ23" s="802" t="s">
        <v>599</v>
      </c>
      <c r="EA23" s="802" t="s">
        <v>599</v>
      </c>
      <c r="EB23" s="800">
        <v>0</v>
      </c>
      <c r="EC23" s="800">
        <f>EC24-EC22</f>
        <v>-24.234999999999999</v>
      </c>
      <c r="ED23" s="800">
        <f>ED24-ED22</f>
        <v>-28.611000000000001</v>
      </c>
      <c r="EE23" s="800">
        <f>EE24-EE22</f>
        <v>-44.188000000000002</v>
      </c>
      <c r="EF23" s="800">
        <v>-28</v>
      </c>
      <c r="EG23" s="800">
        <v>-28</v>
      </c>
      <c r="EH23" s="800">
        <v>-24</v>
      </c>
      <c r="EI23" s="800">
        <f>SUM(AT23:AW23)</f>
        <v>-32</v>
      </c>
      <c r="EJ23" s="800">
        <f>AX23+AY23+AZ23+BA23</f>
        <v>-97.5</v>
      </c>
      <c r="EK23" s="800">
        <f>SUM(BB23:BE23)</f>
        <v>-162</v>
      </c>
      <c r="EL23" s="800">
        <v>-129</v>
      </c>
      <c r="EM23" s="801">
        <f>SUM(BJ23:BM23)</f>
        <v>-35</v>
      </c>
      <c r="EN23" s="801">
        <f>SUM(BN23:BQ23)</f>
        <v>-54</v>
      </c>
      <c r="EO23" s="801">
        <f>SUM(BR23:BU23)</f>
        <v>-51</v>
      </c>
      <c r="EP23" s="798">
        <f>SUM(BV23:BY23)</f>
        <v>-37</v>
      </c>
      <c r="EQ23" s="798">
        <f>SUM(BZ23:CC23)</f>
        <v>-39</v>
      </c>
      <c r="ER23" s="954">
        <f>SUM(CD23:CG23)</f>
        <v>-101</v>
      </c>
      <c r="ES23" s="798">
        <f>SUM(CH23:CK23)</f>
        <v>-50</v>
      </c>
      <c r="ET23" s="798">
        <f>SUM(CL23:CO23)</f>
        <v>-18</v>
      </c>
      <c r="EU23" s="798">
        <f>SUM(CP23:CS23)</f>
        <v>-29</v>
      </c>
      <c r="EV23" s="798">
        <f>SUM(CT23:CW23)</f>
        <v>-23</v>
      </c>
      <c r="EW23" s="798">
        <f>SUM(CX23:DA23)</f>
        <v>-20</v>
      </c>
      <c r="EX23" s="798">
        <f>SUM(DB23:DE23)</f>
        <v>-32</v>
      </c>
      <c r="EY23" s="798">
        <f>SUM(DF23:DI23)</f>
        <v>-50</v>
      </c>
      <c r="EZ23" s="1670">
        <f>SUM(DJ23:DM23)</f>
        <v>-41</v>
      </c>
      <c r="FA23" s="801">
        <f t="shared" ref="FA23:FH23" si="60">EZ23</f>
        <v>-41</v>
      </c>
      <c r="FB23" s="800">
        <f t="shared" si="60"/>
        <v>-41</v>
      </c>
      <c r="FC23" s="800">
        <f t="shared" si="60"/>
        <v>-41</v>
      </c>
      <c r="FD23" s="800">
        <f t="shared" si="60"/>
        <v>-41</v>
      </c>
      <c r="FE23" s="800">
        <f t="shared" si="60"/>
        <v>-41</v>
      </c>
      <c r="FF23" s="800">
        <f t="shared" si="60"/>
        <v>-41</v>
      </c>
      <c r="FG23" s="800">
        <f t="shared" si="60"/>
        <v>-41</v>
      </c>
      <c r="FH23" s="800">
        <f t="shared" si="60"/>
        <v>-41</v>
      </c>
      <c r="FI23" s="413"/>
      <c r="FJ23"/>
      <c r="FK23"/>
      <c r="FL23"/>
      <c r="FM23"/>
      <c r="FN23"/>
      <c r="FO23"/>
      <c r="FR23" s="3"/>
      <c r="FS23" s="798"/>
      <c r="FT23" s="798"/>
      <c r="FU23"/>
      <c r="FV23" s="798"/>
      <c r="FW23" s="798"/>
      <c r="FX23" s="798"/>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row>
    <row r="24" spans="1:260" s="4" customFormat="1" x14ac:dyDescent="0.2">
      <c r="A24" s="25" t="s">
        <v>117</v>
      </c>
      <c r="B24" s="792">
        <v>1.2290000000000001</v>
      </c>
      <c r="C24" s="792">
        <v>0.72</v>
      </c>
      <c r="D24" s="792">
        <v>2.56</v>
      </c>
      <c r="E24" s="793">
        <v>4.2910000000000004</v>
      </c>
      <c r="F24" s="792">
        <v>4.7</v>
      </c>
      <c r="G24" s="792">
        <v>5.0990000000000002</v>
      </c>
      <c r="H24" s="792">
        <v>9.0109999999999992</v>
      </c>
      <c r="I24" s="793">
        <v>9.09</v>
      </c>
      <c r="J24" s="792">
        <v>8.6159999999999997</v>
      </c>
      <c r="K24" s="792">
        <v>9.7260000000000009</v>
      </c>
      <c r="L24" s="792">
        <v>13.186</v>
      </c>
      <c r="M24" s="793">
        <v>12.066000000000001</v>
      </c>
      <c r="N24" s="792">
        <v>12.281000000000001</v>
      </c>
      <c r="O24" s="792">
        <v>13.475</v>
      </c>
      <c r="P24" s="792">
        <v>14.882999999999999</v>
      </c>
      <c r="Q24" s="793">
        <v>9.6989999999999998</v>
      </c>
      <c r="R24" s="792">
        <v>9.5399999999999991</v>
      </c>
      <c r="S24" s="792">
        <v>9.0299999999999994</v>
      </c>
      <c r="T24" s="792">
        <v>9.6010000000000009</v>
      </c>
      <c r="U24" s="793">
        <v>4.8339999999999996</v>
      </c>
      <c r="V24" s="792">
        <v>2.4950000000000001</v>
      </c>
      <c r="W24" s="792">
        <v>1.01</v>
      </c>
      <c r="X24" s="792">
        <v>3.19</v>
      </c>
      <c r="Y24" s="793">
        <v>-7.13</v>
      </c>
      <c r="Z24" s="792">
        <v>-4.4130000000000003</v>
      </c>
      <c r="AA24" s="792">
        <v>-4.2759999999999998</v>
      </c>
      <c r="AB24" s="792">
        <v>-4.4509999999999996</v>
      </c>
      <c r="AC24" s="793">
        <v>-10.170999999999999</v>
      </c>
      <c r="AD24" s="792">
        <v>-8.44</v>
      </c>
      <c r="AE24" s="792">
        <v>-8.9979999999999993</v>
      </c>
      <c r="AF24" s="792">
        <v>-7.75</v>
      </c>
      <c r="AG24" s="793">
        <v>-12</v>
      </c>
      <c r="AH24" s="792">
        <v>-1</v>
      </c>
      <c r="AI24" s="792">
        <v>10</v>
      </c>
      <c r="AJ24" s="792">
        <v>-3</v>
      </c>
      <c r="AK24" s="793">
        <v>-5</v>
      </c>
      <c r="AL24" s="792">
        <v>-1</v>
      </c>
      <c r="AM24" s="792">
        <v>2</v>
      </c>
      <c r="AN24" s="792">
        <v>0</v>
      </c>
      <c r="AO24" s="793">
        <v>-5</v>
      </c>
      <c r="AP24" s="792">
        <v>2</v>
      </c>
      <c r="AQ24" s="792">
        <v>3</v>
      </c>
      <c r="AR24" s="792">
        <v>4</v>
      </c>
      <c r="AS24" s="793">
        <v>-1</v>
      </c>
      <c r="AT24" s="792">
        <v>0</v>
      </c>
      <c r="AU24" s="792">
        <v>-1</v>
      </c>
      <c r="AV24" s="792">
        <v>-6</v>
      </c>
      <c r="AW24" s="793">
        <v>6</v>
      </c>
      <c r="AX24" s="794">
        <v>-13</v>
      </c>
      <c r="AY24" s="794">
        <v>-18</v>
      </c>
      <c r="AZ24" s="794">
        <v>-14</v>
      </c>
      <c r="BA24" s="795">
        <v>-32</v>
      </c>
      <c r="BB24" s="794">
        <f t="shared" ref="BB24:CW24" si="61">SUM(BB22:BB23)</f>
        <v>-23</v>
      </c>
      <c r="BC24" s="794">
        <f t="shared" si="61"/>
        <v>-21</v>
      </c>
      <c r="BD24" s="794">
        <f t="shared" si="61"/>
        <v>-24</v>
      </c>
      <c r="BE24" s="795">
        <f t="shared" si="61"/>
        <v>-63</v>
      </c>
      <c r="BF24" s="794">
        <f t="shared" si="61"/>
        <v>-37</v>
      </c>
      <c r="BG24" s="794">
        <f t="shared" si="61"/>
        <v>1</v>
      </c>
      <c r="BH24" s="794">
        <f t="shared" si="61"/>
        <v>-9</v>
      </c>
      <c r="BI24" s="795">
        <f t="shared" si="61"/>
        <v>-22</v>
      </c>
      <c r="BJ24" s="794">
        <f t="shared" si="61"/>
        <v>-8</v>
      </c>
      <c r="BK24" s="794">
        <f t="shared" si="61"/>
        <v>12</v>
      </c>
      <c r="BL24" s="794">
        <f t="shared" si="61"/>
        <v>38</v>
      </c>
      <c r="BM24" s="795">
        <f t="shared" si="61"/>
        <v>17</v>
      </c>
      <c r="BN24" s="794">
        <f t="shared" si="61"/>
        <v>14</v>
      </c>
      <c r="BO24" s="794">
        <f t="shared" si="61"/>
        <v>4</v>
      </c>
      <c r="BP24" s="794">
        <f t="shared" si="61"/>
        <v>12</v>
      </c>
      <c r="BQ24" s="795">
        <f t="shared" si="61"/>
        <v>10</v>
      </c>
      <c r="BR24" s="794">
        <f t="shared" si="61"/>
        <v>11</v>
      </c>
      <c r="BS24" s="794">
        <f t="shared" si="61"/>
        <v>8</v>
      </c>
      <c r="BT24" s="794">
        <f t="shared" si="61"/>
        <v>12</v>
      </c>
      <c r="BU24" s="795">
        <f t="shared" si="61"/>
        <v>5</v>
      </c>
      <c r="BV24" s="794">
        <f t="shared" si="61"/>
        <v>19</v>
      </c>
      <c r="BW24" s="794">
        <f t="shared" si="61"/>
        <v>28</v>
      </c>
      <c r="BX24" s="794">
        <f t="shared" si="61"/>
        <v>29</v>
      </c>
      <c r="BY24" s="795">
        <f t="shared" si="61"/>
        <v>21</v>
      </c>
      <c r="BZ24" s="794">
        <f t="shared" si="61"/>
        <v>11</v>
      </c>
      <c r="CA24" s="794">
        <f t="shared" si="61"/>
        <v>15</v>
      </c>
      <c r="CB24" s="794">
        <f t="shared" si="61"/>
        <v>10</v>
      </c>
      <c r="CC24" s="795">
        <f t="shared" si="61"/>
        <v>10</v>
      </c>
      <c r="CD24" s="794">
        <f t="shared" si="61"/>
        <v>11</v>
      </c>
      <c r="CE24" s="794">
        <f t="shared" si="61"/>
        <v>25</v>
      </c>
      <c r="CF24" s="794">
        <f t="shared" si="61"/>
        <v>37</v>
      </c>
      <c r="CG24" s="795">
        <f t="shared" si="61"/>
        <v>-45</v>
      </c>
      <c r="CH24" s="794">
        <f t="shared" si="61"/>
        <v>27</v>
      </c>
      <c r="CI24" s="794">
        <f t="shared" si="61"/>
        <v>24</v>
      </c>
      <c r="CJ24" s="794">
        <f t="shared" si="61"/>
        <v>18</v>
      </c>
      <c r="CK24" s="795">
        <f t="shared" si="61"/>
        <v>6</v>
      </c>
      <c r="CL24" s="794">
        <f t="shared" si="61"/>
        <v>25</v>
      </c>
      <c r="CM24" s="794">
        <f t="shared" si="61"/>
        <v>24</v>
      </c>
      <c r="CN24" s="794">
        <f t="shared" si="61"/>
        <v>17</v>
      </c>
      <c r="CO24" s="795">
        <f t="shared" si="61"/>
        <v>25</v>
      </c>
      <c r="CP24" s="1051">
        <f t="shared" si="61"/>
        <v>22</v>
      </c>
      <c r="CQ24" s="794">
        <f t="shared" si="61"/>
        <v>21</v>
      </c>
      <c r="CR24" s="794">
        <f t="shared" si="61"/>
        <v>16</v>
      </c>
      <c r="CS24" s="795">
        <f t="shared" si="61"/>
        <v>12</v>
      </c>
      <c r="CT24" s="1051">
        <f t="shared" si="61"/>
        <v>17</v>
      </c>
      <c r="CU24" s="794">
        <f t="shared" si="61"/>
        <v>13</v>
      </c>
      <c r="CV24" s="794">
        <f t="shared" si="61"/>
        <v>25</v>
      </c>
      <c r="CW24" s="795">
        <f t="shared" si="61"/>
        <v>12</v>
      </c>
      <c r="CX24" s="794">
        <f t="shared" ref="CX24:DE24" si="62">SUM(CX22:CX23)</f>
        <v>13</v>
      </c>
      <c r="CY24" s="794">
        <f t="shared" si="62"/>
        <v>16</v>
      </c>
      <c r="CZ24" s="794">
        <f t="shared" si="62"/>
        <v>17</v>
      </c>
      <c r="DA24" s="795">
        <f t="shared" si="62"/>
        <v>14</v>
      </c>
      <c r="DB24" s="794">
        <f t="shared" si="62"/>
        <v>14</v>
      </c>
      <c r="DC24" s="794">
        <f t="shared" si="62"/>
        <v>10</v>
      </c>
      <c r="DD24" s="794">
        <f t="shared" si="62"/>
        <v>8</v>
      </c>
      <c r="DE24" s="795">
        <f t="shared" si="62"/>
        <v>8</v>
      </c>
      <c r="DF24" s="794">
        <f t="shared" ref="DF24:DM24" si="63">SUM(DF22:DF23)</f>
        <v>8</v>
      </c>
      <c r="DG24" s="794">
        <f t="shared" si="63"/>
        <v>11</v>
      </c>
      <c r="DH24" s="794">
        <f t="shared" si="63"/>
        <v>7</v>
      </c>
      <c r="DI24" s="795">
        <f t="shared" si="63"/>
        <v>-1</v>
      </c>
      <c r="DJ24" s="1758">
        <f t="shared" si="63"/>
        <v>8.9249999999999972</v>
      </c>
      <c r="DK24" s="794">
        <f t="shared" si="63"/>
        <v>6.8000000000000007</v>
      </c>
      <c r="DL24" s="794">
        <f t="shared" si="63"/>
        <v>0.67500000000000071</v>
      </c>
      <c r="DM24" s="795">
        <f t="shared" si="63"/>
        <v>17.924999999999997</v>
      </c>
      <c r="DN24" s="954"/>
      <c r="DO24" s="799"/>
      <c r="DP24" s="792">
        <v>0.246</v>
      </c>
      <c r="DQ24" s="792">
        <v>0</v>
      </c>
      <c r="DR24" s="792">
        <v>4.3090000000000002</v>
      </c>
      <c r="DS24" s="792">
        <v>5.2960000000000003</v>
      </c>
      <c r="DT24" s="792">
        <v>3.6739999999999999</v>
      </c>
      <c r="DU24" s="792">
        <v>3.5859999999999999</v>
      </c>
      <c r="DV24" s="792">
        <v>3.415</v>
      </c>
      <c r="DW24" s="792">
        <v>3.883</v>
      </c>
      <c r="DX24" s="792">
        <f>SUM(B24:E24)</f>
        <v>8.8000000000000007</v>
      </c>
      <c r="DY24" s="792">
        <f>SUM(F24:I24)</f>
        <v>27.9</v>
      </c>
      <c r="DZ24" s="792">
        <f>SUM(J24:M24)</f>
        <v>43.594000000000001</v>
      </c>
      <c r="EA24" s="792">
        <f>SUM(N24:Q24)</f>
        <v>50.337999999999994</v>
      </c>
      <c r="EB24" s="792">
        <f>SUM(R24:U24)</f>
        <v>33.004999999999995</v>
      </c>
      <c r="EC24" s="792">
        <f>SUM(V24:Y24)</f>
        <v>-0.43499999999999961</v>
      </c>
      <c r="ED24" s="792">
        <f>SUM(Z24:AC24)</f>
        <v>-23.311</v>
      </c>
      <c r="EE24" s="792">
        <f>+AD24+AE24+AF24+AG24</f>
        <v>-37.188000000000002</v>
      </c>
      <c r="EF24" s="792">
        <f>+AH24+AI24+AJ24+AK24</f>
        <v>1</v>
      </c>
      <c r="EG24" s="792">
        <f>+AL24+AM24+AN24+AO24</f>
        <v>-4</v>
      </c>
      <c r="EH24" s="792">
        <f>+AP24+AQ24+AR24+AS24</f>
        <v>8</v>
      </c>
      <c r="EI24" s="792">
        <f>+AT24+AU24+AV24+AW24</f>
        <v>-1</v>
      </c>
      <c r="EJ24" s="792">
        <f>+AX24+AY24+AZ24+BA24</f>
        <v>-77</v>
      </c>
      <c r="EK24" s="792">
        <f>SUM(BB24:BE24)</f>
        <v>-131</v>
      </c>
      <c r="EL24" s="792">
        <f>SUM(EL22:EL23)</f>
        <v>-67</v>
      </c>
      <c r="EM24" s="792">
        <f>SUM(EM22:EM23)</f>
        <v>59</v>
      </c>
      <c r="EN24" s="794">
        <f>SUM(EN22:EN23)</f>
        <v>40</v>
      </c>
      <c r="EO24" s="794">
        <f>SUM(EO22:EO23)</f>
        <v>36</v>
      </c>
      <c r="EP24" s="798">
        <f>SUM(BV24:BY24)</f>
        <v>97</v>
      </c>
      <c r="EQ24" s="798">
        <f>SUM(BZ24:CC24)</f>
        <v>46</v>
      </c>
      <c r="ER24" s="954">
        <f>SUM(CD24:CG24)</f>
        <v>28</v>
      </c>
      <c r="ES24" s="798">
        <f>SUM(CH24:CK24)</f>
        <v>75</v>
      </c>
      <c r="ET24" s="798">
        <f>SUM(CL24:CO24)</f>
        <v>91</v>
      </c>
      <c r="EU24" s="798">
        <f>SUM(CP24:CS24)</f>
        <v>71</v>
      </c>
      <c r="EV24" s="798">
        <f>SUM(CT24:CW24)</f>
        <v>67</v>
      </c>
      <c r="EW24" s="798">
        <f>SUM(CX24:DA24)</f>
        <v>60</v>
      </c>
      <c r="EX24" s="798">
        <f>SUM(DB24:DE24)</f>
        <v>40</v>
      </c>
      <c r="EY24" s="798">
        <f>SUM(DF24:DI24)</f>
        <v>25</v>
      </c>
      <c r="EZ24" s="1670">
        <f>SUM(DJ24:DM24)</f>
        <v>34.324999999999996</v>
      </c>
      <c r="FA24" s="792">
        <f t="shared" ref="FA24:FF24" si="64">FA22+FA23</f>
        <v>32.450000000000003</v>
      </c>
      <c r="FB24" s="792">
        <f t="shared" si="64"/>
        <v>47.45</v>
      </c>
      <c r="FC24" s="792">
        <f t="shared" si="64"/>
        <v>75.825000000000003</v>
      </c>
      <c r="FD24" s="792">
        <f t="shared" si="64"/>
        <v>87.949999999999989</v>
      </c>
      <c r="FE24" s="792">
        <f t="shared" si="64"/>
        <v>87.949999999999989</v>
      </c>
      <c r="FF24" s="792">
        <f t="shared" si="64"/>
        <v>102.94999999999999</v>
      </c>
      <c r="FG24" s="792">
        <f>FG22+FG23</f>
        <v>117.94999999999999</v>
      </c>
      <c r="FH24" s="792">
        <f>FH22+FH23</f>
        <v>117.94999999999999</v>
      </c>
      <c r="FI24" s="413"/>
      <c r="FJ24"/>
      <c r="FK24"/>
      <c r="FL24"/>
      <c r="FM24"/>
      <c r="FN24"/>
      <c r="FO24"/>
      <c r="FR24" s="1035"/>
      <c r="FS24" s="798"/>
      <c r="FT24" s="798"/>
      <c r="FU24"/>
      <c r="FV24" s="798"/>
      <c r="FW24" s="798"/>
      <c r="FX24" s="798"/>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row>
    <row r="25" spans="1:260" s="4" customFormat="1" x14ac:dyDescent="0.2">
      <c r="A25" s="352" t="s">
        <v>588</v>
      </c>
      <c r="B25" s="399">
        <f t="shared" ref="B25:AG25" si="65">B17-B24</f>
        <v>2.4449999999999923</v>
      </c>
      <c r="C25" s="399">
        <f t="shared" si="65"/>
        <v>12.370000000000031</v>
      </c>
      <c r="D25" s="399">
        <f t="shared" si="65"/>
        <v>18.288999999999948</v>
      </c>
      <c r="E25" s="460">
        <f t="shared" si="65"/>
        <v>35.274000000000029</v>
      </c>
      <c r="F25" s="399">
        <f t="shared" si="65"/>
        <v>7.0000000000000027</v>
      </c>
      <c r="G25" s="399">
        <f t="shared" si="65"/>
        <v>12.559999999999963</v>
      </c>
      <c r="H25" s="399">
        <f t="shared" si="65"/>
        <v>29.002000000000063</v>
      </c>
      <c r="I25" s="460">
        <f t="shared" si="65"/>
        <v>45.478999999999985</v>
      </c>
      <c r="J25" s="399">
        <f t="shared" si="65"/>
        <v>7.7200000000001836</v>
      </c>
      <c r="K25" s="399">
        <f t="shared" si="65"/>
        <v>9.4770000000000874</v>
      </c>
      <c r="L25" s="399">
        <f t="shared" si="65"/>
        <v>29.402000000000051</v>
      </c>
      <c r="M25" s="460">
        <f t="shared" si="65"/>
        <v>32.362999999999971</v>
      </c>
      <c r="N25" s="399">
        <f t="shared" si="65"/>
        <v>0.67099999999985549</v>
      </c>
      <c r="O25" s="399">
        <f t="shared" si="65"/>
        <v>6.2090000000001684</v>
      </c>
      <c r="P25" s="399">
        <f t="shared" si="65"/>
        <v>-17.992999999999956</v>
      </c>
      <c r="Q25" s="460">
        <f t="shared" si="65"/>
        <v>13.98099999999978</v>
      </c>
      <c r="R25" s="399">
        <f t="shared" si="65"/>
        <v>-4.3239999999999625</v>
      </c>
      <c r="S25" s="399">
        <f t="shared" si="65"/>
        <v>10.895999999999875</v>
      </c>
      <c r="T25" s="399">
        <f t="shared" si="65"/>
        <v>43.297999999999888</v>
      </c>
      <c r="U25" s="460">
        <f t="shared" si="65"/>
        <v>103.96299999999985</v>
      </c>
      <c r="V25" s="399">
        <f t="shared" si="65"/>
        <v>20.289000000000105</v>
      </c>
      <c r="W25" s="399">
        <f t="shared" si="65"/>
        <v>67.427000000000007</v>
      </c>
      <c r="X25" s="399">
        <f t="shared" si="65"/>
        <v>87.040000000000134</v>
      </c>
      <c r="Y25" s="460">
        <f t="shared" si="65"/>
        <v>176.92100000000033</v>
      </c>
      <c r="Z25" s="399">
        <f t="shared" si="65"/>
        <v>76.113999999999962</v>
      </c>
      <c r="AA25" s="399">
        <f t="shared" si="65"/>
        <v>93.881999999999991</v>
      </c>
      <c r="AB25" s="399">
        <f t="shared" si="65"/>
        <v>127.03900000000019</v>
      </c>
      <c r="AC25" s="460">
        <f t="shared" si="65"/>
        <v>265.53499999999991</v>
      </c>
      <c r="AD25" s="399">
        <f t="shared" si="65"/>
        <v>116.95799999999986</v>
      </c>
      <c r="AE25" s="399">
        <f t="shared" si="65"/>
        <v>124.34799999999991</v>
      </c>
      <c r="AF25" s="399">
        <f t="shared" si="65"/>
        <v>92.762999999999693</v>
      </c>
      <c r="AG25" s="460">
        <f t="shared" si="65"/>
        <v>307.70000000000005</v>
      </c>
      <c r="AH25" s="399">
        <f t="shared" ref="AH25:BM25" si="66">AH17-AH24</f>
        <v>91</v>
      </c>
      <c r="AI25" s="399">
        <f t="shared" si="66"/>
        <v>138</v>
      </c>
      <c r="AJ25" s="399">
        <f t="shared" si="66"/>
        <v>132</v>
      </c>
      <c r="AK25" s="460">
        <f t="shared" si="66"/>
        <v>575</v>
      </c>
      <c r="AL25" s="399">
        <f t="shared" si="66"/>
        <v>130</v>
      </c>
      <c r="AM25" s="399">
        <f t="shared" si="66"/>
        <v>127</v>
      </c>
      <c r="AN25" s="399">
        <f t="shared" si="66"/>
        <v>140</v>
      </c>
      <c r="AO25" s="460">
        <f t="shared" si="66"/>
        <v>617</v>
      </c>
      <c r="AP25" s="399">
        <f t="shared" si="66"/>
        <v>112</v>
      </c>
      <c r="AQ25" s="399">
        <f t="shared" si="66"/>
        <v>226</v>
      </c>
      <c r="AR25" s="399">
        <f t="shared" si="66"/>
        <v>198</v>
      </c>
      <c r="AS25" s="460">
        <f t="shared" si="66"/>
        <v>760</v>
      </c>
      <c r="AT25" s="399">
        <f t="shared" si="66"/>
        <v>184</v>
      </c>
      <c r="AU25" s="399">
        <f t="shared" si="66"/>
        <v>243</v>
      </c>
      <c r="AV25" s="399">
        <f t="shared" si="66"/>
        <v>239</v>
      </c>
      <c r="AW25" s="460">
        <f t="shared" si="66"/>
        <v>777</v>
      </c>
      <c r="AX25" s="399">
        <f t="shared" si="66"/>
        <v>252</v>
      </c>
      <c r="AY25" s="399">
        <f t="shared" si="66"/>
        <v>279</v>
      </c>
      <c r="AZ25" s="399">
        <f t="shared" si="66"/>
        <v>203</v>
      </c>
      <c r="BA25" s="460">
        <f t="shared" si="66"/>
        <v>987</v>
      </c>
      <c r="BB25" s="399">
        <f t="shared" si="66"/>
        <v>360</v>
      </c>
      <c r="BC25" s="399">
        <f t="shared" si="66"/>
        <v>351</v>
      </c>
      <c r="BD25" s="399">
        <f t="shared" si="66"/>
        <v>220</v>
      </c>
      <c r="BE25" s="460">
        <f t="shared" si="66"/>
        <v>1199</v>
      </c>
      <c r="BF25" s="399">
        <f t="shared" si="66"/>
        <v>303</v>
      </c>
      <c r="BG25" s="399">
        <f t="shared" si="66"/>
        <v>400</v>
      </c>
      <c r="BH25" s="399">
        <f t="shared" si="66"/>
        <v>360</v>
      </c>
      <c r="BI25" s="460">
        <f t="shared" si="66"/>
        <v>1165</v>
      </c>
      <c r="BJ25" s="399">
        <f t="shared" si="66"/>
        <v>285</v>
      </c>
      <c r="BK25" s="399">
        <f t="shared" si="66"/>
        <v>327</v>
      </c>
      <c r="BL25" s="400">
        <f t="shared" si="66"/>
        <v>236</v>
      </c>
      <c r="BM25" s="460">
        <f t="shared" si="66"/>
        <v>1107</v>
      </c>
      <c r="BN25" s="399">
        <f t="shared" ref="BN25:CS25" si="67">BN17-BN24</f>
        <v>334</v>
      </c>
      <c r="BO25" s="399">
        <f t="shared" si="67"/>
        <v>276</v>
      </c>
      <c r="BP25" s="399">
        <f t="shared" si="67"/>
        <v>364</v>
      </c>
      <c r="BQ25" s="460">
        <f t="shared" si="67"/>
        <v>1273</v>
      </c>
      <c r="BR25" s="399">
        <f t="shared" si="67"/>
        <v>302</v>
      </c>
      <c r="BS25" s="399">
        <f t="shared" si="67"/>
        <v>403</v>
      </c>
      <c r="BT25" s="399">
        <f t="shared" si="67"/>
        <v>373</v>
      </c>
      <c r="BU25" s="460">
        <f t="shared" si="67"/>
        <v>1222</v>
      </c>
      <c r="BV25" s="399">
        <f t="shared" si="67"/>
        <v>265</v>
      </c>
      <c r="BW25" s="399">
        <f t="shared" si="67"/>
        <v>261</v>
      </c>
      <c r="BX25" s="399">
        <f t="shared" si="67"/>
        <v>299</v>
      </c>
      <c r="BY25" s="460">
        <f t="shared" si="67"/>
        <v>1336</v>
      </c>
      <c r="BZ25" s="399">
        <f t="shared" si="67"/>
        <v>417</v>
      </c>
      <c r="CA25" s="399">
        <f t="shared" si="67"/>
        <v>376</v>
      </c>
      <c r="CB25" s="399">
        <f t="shared" si="67"/>
        <v>421</v>
      </c>
      <c r="CC25" s="460">
        <f t="shared" si="67"/>
        <v>1257</v>
      </c>
      <c r="CD25" s="399">
        <f t="shared" si="67"/>
        <v>453</v>
      </c>
      <c r="CE25" s="399">
        <f t="shared" si="67"/>
        <v>235</v>
      </c>
      <c r="CF25" s="399">
        <f t="shared" si="67"/>
        <v>344</v>
      </c>
      <c r="CG25" s="460">
        <f t="shared" si="67"/>
        <v>1239</v>
      </c>
      <c r="CH25" s="399">
        <f t="shared" si="67"/>
        <v>362</v>
      </c>
      <c r="CI25" s="399">
        <f t="shared" si="67"/>
        <v>100</v>
      </c>
      <c r="CJ25" s="399">
        <f t="shared" si="67"/>
        <v>30</v>
      </c>
      <c r="CK25" s="460">
        <f t="shared" si="67"/>
        <v>918</v>
      </c>
      <c r="CL25" s="400">
        <f t="shared" si="67"/>
        <v>380</v>
      </c>
      <c r="CM25" s="400">
        <f t="shared" si="67"/>
        <v>157</v>
      </c>
      <c r="CN25" s="400">
        <f t="shared" si="67"/>
        <v>19</v>
      </c>
      <c r="CO25" s="483">
        <f t="shared" si="67"/>
        <v>828</v>
      </c>
      <c r="CP25" s="1056">
        <f t="shared" si="67"/>
        <v>182</v>
      </c>
      <c r="CQ25" s="400">
        <f t="shared" si="67"/>
        <v>174</v>
      </c>
      <c r="CR25" s="400">
        <f t="shared" si="67"/>
        <v>119</v>
      </c>
      <c r="CS25" s="483">
        <f t="shared" si="67"/>
        <v>617</v>
      </c>
      <c r="CT25" s="1056">
        <f t="shared" ref="CT25:CZ25" si="68">CT17-CT24</f>
        <v>204</v>
      </c>
      <c r="CU25" s="400">
        <f t="shared" si="68"/>
        <v>229</v>
      </c>
      <c r="CV25" s="400">
        <f t="shared" si="68"/>
        <v>191</v>
      </c>
      <c r="CW25" s="483">
        <f t="shared" si="68"/>
        <v>806</v>
      </c>
      <c r="CX25" s="400">
        <f>CX17-CX24</f>
        <v>195</v>
      </c>
      <c r="CY25" s="400">
        <f t="shared" si="68"/>
        <v>262</v>
      </c>
      <c r="CZ25" s="400">
        <f t="shared" si="68"/>
        <v>221</v>
      </c>
      <c r="DA25" s="483">
        <f t="shared" ref="DA25:DI25" si="69">DA17-DA24</f>
        <v>767</v>
      </c>
      <c r="DB25" s="400">
        <f t="shared" si="69"/>
        <v>226</v>
      </c>
      <c r="DC25" s="400">
        <f t="shared" si="69"/>
        <v>280</v>
      </c>
      <c r="DD25" s="400">
        <f t="shared" si="69"/>
        <v>305</v>
      </c>
      <c r="DE25" s="483">
        <f t="shared" si="69"/>
        <v>882</v>
      </c>
      <c r="DF25" s="400">
        <f t="shared" si="69"/>
        <v>292</v>
      </c>
      <c r="DG25" s="400">
        <f t="shared" ref="DG25" si="70">DG17-DG24</f>
        <v>319</v>
      </c>
      <c r="DH25" s="400">
        <f t="shared" si="69"/>
        <v>341</v>
      </c>
      <c r="DI25" s="483">
        <f t="shared" si="69"/>
        <v>983</v>
      </c>
      <c r="DJ25" s="2684">
        <f t="shared" ref="DJ25:DK25" si="71">DJ17-DJ24</f>
        <v>278.33889305794918</v>
      </c>
      <c r="DK25" s="400">
        <f t="shared" si="71"/>
        <v>314.03269816988626</v>
      </c>
      <c r="DL25" s="400">
        <f t="shared" ref="DL25:DM25" si="72">DL17-DL24</f>
        <v>356.17316616749889</v>
      </c>
      <c r="DM25" s="483">
        <f t="shared" si="72"/>
        <v>947.34264633230464</v>
      </c>
      <c r="DN25" s="950"/>
      <c r="DO25" s="532"/>
      <c r="DP25" s="893">
        <f t="shared" ref="DP25:DW25" si="73">DP17-DP24</f>
        <v>8.1700099999999924</v>
      </c>
      <c r="DQ25" s="893">
        <f t="shared" si="73"/>
        <v>15.325000000000003</v>
      </c>
      <c r="DR25" s="893">
        <f t="shared" si="73"/>
        <v>4.8142000000000253</v>
      </c>
      <c r="DS25" s="893">
        <f t="shared" si="73"/>
        <v>3.4330999999999312</v>
      </c>
      <c r="DT25" s="893">
        <f t="shared" si="73"/>
        <v>9.4730000000000061</v>
      </c>
      <c r="DU25" s="893">
        <f t="shared" si="73"/>
        <v>7.3899999999999135</v>
      </c>
      <c r="DV25" s="893">
        <f t="shared" si="73"/>
        <v>15.361000000000011</v>
      </c>
      <c r="DW25" s="893">
        <f t="shared" si="73"/>
        <v>32.025000000000098</v>
      </c>
      <c r="DX25" s="399">
        <f>SUM(B25:E25)</f>
        <v>68.378</v>
      </c>
      <c r="DY25" s="399">
        <f>SUM(F25:I25)</f>
        <v>94.041000000000011</v>
      </c>
      <c r="DZ25" s="399">
        <f>SUM(J25:M25)</f>
        <v>78.962000000000302</v>
      </c>
      <c r="EA25" s="399">
        <f>EA17-EA24</f>
        <v>2.867999999999455</v>
      </c>
      <c r="EB25" s="399">
        <f>SUM(R25:U25)</f>
        <v>153.83299999999966</v>
      </c>
      <c r="EC25" s="399">
        <f>EC17-EC24</f>
        <v>351.6770000000011</v>
      </c>
      <c r="ED25" s="399">
        <f>ED17-ED24</f>
        <v>562.57000000000005</v>
      </c>
      <c r="EE25" s="399">
        <f>+AD25+AE25+AF25+AG25</f>
        <v>641.76899999999955</v>
      </c>
      <c r="EF25" s="399">
        <f>+AH25+AI25+AJ25+AK25</f>
        <v>936</v>
      </c>
      <c r="EG25" s="399">
        <f>+AL25+AM25+AN25+AO25</f>
        <v>1014</v>
      </c>
      <c r="EH25" s="399">
        <f>+AP25+AQ25+AR25+AS25</f>
        <v>1296</v>
      </c>
      <c r="EI25" s="399">
        <f>+AT25+AU25+AV25+AW25</f>
        <v>1443</v>
      </c>
      <c r="EJ25" s="399">
        <f>+AX25+AY25+AZ25+BA25</f>
        <v>1721</v>
      </c>
      <c r="EK25" s="399">
        <f>SUM(BB25:BE25)</f>
        <v>2130</v>
      </c>
      <c r="EL25" s="399">
        <f>EL17-EL24</f>
        <v>2228</v>
      </c>
      <c r="EM25" s="399">
        <f>EM17-EM24</f>
        <v>1955</v>
      </c>
      <c r="EN25" s="399">
        <f>EN17-EN24</f>
        <v>2247</v>
      </c>
      <c r="EO25" s="399">
        <f>EO17-EO24</f>
        <v>2300</v>
      </c>
      <c r="EP25" s="399">
        <f>SUM(BV25:BY25)</f>
        <v>2161</v>
      </c>
      <c r="EQ25" s="399">
        <f>SUM(BZ25:CC25)</f>
        <v>2471</v>
      </c>
      <c r="ER25" s="1006">
        <f>SUM(CD25:CG25)</f>
        <v>2271</v>
      </c>
      <c r="ES25" s="399">
        <f>SUM(CH25:CK25)</f>
        <v>1410</v>
      </c>
      <c r="ET25" s="400">
        <f>SUM(CL25:CO25)</f>
        <v>1384</v>
      </c>
      <c r="EU25" s="1425">
        <f>SUM(CP25:CS25)</f>
        <v>1092</v>
      </c>
      <c r="EV25" s="1425">
        <f>SUM(CT25:CW25)</f>
        <v>1430</v>
      </c>
      <c r="EW25" s="1425">
        <f>SUM(CX25:DA25)</f>
        <v>1445</v>
      </c>
      <c r="EX25" s="1930">
        <f>SUM(DB25:DE25)</f>
        <v>1693</v>
      </c>
      <c r="EY25" s="1930">
        <f>SUM(DF25:DI25)</f>
        <v>1935</v>
      </c>
      <c r="EZ25" s="1757">
        <f>SUM(DJ25:DM25)</f>
        <v>1895.8874037276389</v>
      </c>
      <c r="FA25" s="1422">
        <f t="shared" ref="FA25:FF25" si="74">FA17-FA24</f>
        <v>1937.8398091238112</v>
      </c>
      <c r="FB25" s="1422">
        <f t="shared" si="74"/>
        <v>1975.7788854708385</v>
      </c>
      <c r="FC25" s="1422">
        <f t="shared" si="74"/>
        <v>1947.5323856411185</v>
      </c>
      <c r="FD25" s="1422">
        <f t="shared" si="74"/>
        <v>1943.6708703920365</v>
      </c>
      <c r="FE25" s="1422">
        <f t="shared" si="74"/>
        <v>1952.4309692951563</v>
      </c>
      <c r="FF25" s="1422">
        <f t="shared" si="74"/>
        <v>1946.7057417359854</v>
      </c>
      <c r="FG25" s="1422">
        <f>FG17-FG24</f>
        <v>1941.5135994397303</v>
      </c>
      <c r="FH25" s="1422">
        <f>FH17-FH24</f>
        <v>1951.8732959995712</v>
      </c>
      <c r="FI25" s="413"/>
      <c r="FJ25"/>
      <c r="FK25"/>
      <c r="FL25"/>
      <c r="FM25"/>
      <c r="FN25"/>
      <c r="FO25"/>
      <c r="FR25" s="3"/>
      <c r="FS25" s="293"/>
      <c r="FT25" s="293"/>
      <c r="FU25"/>
      <c r="FV25" s="293"/>
      <c r="FW25" s="293"/>
      <c r="FX25" s="293"/>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row>
    <row r="26" spans="1:260" s="4" customFormat="1" x14ac:dyDescent="0.2">
      <c r="A26" s="20"/>
      <c r="B26" s="145"/>
      <c r="C26" s="145"/>
      <c r="D26" s="145"/>
      <c r="E26" s="454"/>
      <c r="F26" s="123"/>
      <c r="G26" s="123"/>
      <c r="H26" s="123"/>
      <c r="I26" s="454"/>
      <c r="J26" s="123"/>
      <c r="K26" s="123"/>
      <c r="L26" s="123"/>
      <c r="M26" s="454"/>
      <c r="N26" s="123"/>
      <c r="O26" s="123"/>
      <c r="P26" s="123"/>
      <c r="Q26" s="454"/>
      <c r="R26" s="123"/>
      <c r="S26" s="123"/>
      <c r="T26" s="123"/>
      <c r="U26" s="454"/>
      <c r="V26" s="123"/>
      <c r="W26" s="123"/>
      <c r="X26" s="123"/>
      <c r="Y26" s="454"/>
      <c r="Z26" s="123"/>
      <c r="AA26" s="123"/>
      <c r="AB26" s="123"/>
      <c r="AC26" s="454"/>
      <c r="AD26" s="123"/>
      <c r="AE26" s="123"/>
      <c r="AF26" s="123"/>
      <c r="AG26" s="454"/>
      <c r="AH26" s="123"/>
      <c r="AI26" s="123"/>
      <c r="AJ26" s="123"/>
      <c r="AK26" s="454"/>
      <c r="AL26" s="123"/>
      <c r="AM26" s="123"/>
      <c r="AN26" s="123"/>
      <c r="AO26" s="454"/>
      <c r="AP26" s="123"/>
      <c r="AQ26" s="123"/>
      <c r="AR26" s="123"/>
      <c r="AS26" s="454"/>
      <c r="AT26" s="123"/>
      <c r="AU26" s="123"/>
      <c r="AV26" s="123"/>
      <c r="AW26" s="454"/>
      <c r="AX26" s="22"/>
      <c r="AY26" s="22"/>
      <c r="AZ26" s="22"/>
      <c r="BA26" s="455"/>
      <c r="BB26" s="22"/>
      <c r="BC26" s="22"/>
      <c r="BD26" s="83"/>
      <c r="BE26" s="455"/>
      <c r="BF26" s="22"/>
      <c r="BG26" s="83"/>
      <c r="BH26" s="83"/>
      <c r="BI26" s="494"/>
      <c r="BJ26" s="83"/>
      <c r="BK26" s="83"/>
      <c r="BL26" s="83"/>
      <c r="BM26" s="494"/>
      <c r="BN26" s="83"/>
      <c r="BO26" s="83"/>
      <c r="BP26" s="83"/>
      <c r="BQ26" s="494"/>
      <c r="BR26" s="83"/>
      <c r="BS26" s="83"/>
      <c r="BT26" s="83"/>
      <c r="BU26" s="494"/>
      <c r="BV26" s="255"/>
      <c r="BW26" s="83"/>
      <c r="BX26" s="83"/>
      <c r="BY26" s="494"/>
      <c r="BZ26" s="255"/>
      <c r="CA26" s="83"/>
      <c r="CB26" s="83"/>
      <c r="CC26" s="494"/>
      <c r="CD26" s="255"/>
      <c r="CE26" s="83"/>
      <c r="CF26" s="83"/>
      <c r="CG26" s="494"/>
      <c r="CH26" s="255"/>
      <c r="CI26" s="83"/>
      <c r="CJ26" s="83"/>
      <c r="CK26" s="494"/>
      <c r="CL26" s="255"/>
      <c r="CM26" s="83"/>
      <c r="CN26" s="83"/>
      <c r="CO26" s="494"/>
      <c r="CP26" s="593"/>
      <c r="CQ26" s="159"/>
      <c r="CR26" s="159"/>
      <c r="CS26" s="494"/>
      <c r="CT26" s="593"/>
      <c r="CU26" s="159"/>
      <c r="CV26" s="159"/>
      <c r="CW26" s="494"/>
      <c r="CX26" s="159"/>
      <c r="CY26" s="159"/>
      <c r="CZ26" s="159"/>
      <c r="DA26" s="494"/>
      <c r="DB26" s="159"/>
      <c r="DC26" s="159"/>
      <c r="DD26" s="159"/>
      <c r="DE26" s="494"/>
      <c r="DF26" s="159"/>
      <c r="DG26" s="159"/>
      <c r="DH26" s="159"/>
      <c r="DI26" s="494"/>
      <c r="DJ26" s="1753"/>
      <c r="DK26" s="159"/>
      <c r="DL26" s="159"/>
      <c r="DM26" s="494"/>
      <c r="DN26" s="593"/>
      <c r="DO26" s="494"/>
      <c r="DP26" s="123"/>
      <c r="DQ26" s="123"/>
      <c r="DR26" s="123"/>
      <c r="DS26" s="123"/>
      <c r="DT26" s="123"/>
      <c r="DU26" s="123"/>
      <c r="DV26" s="123"/>
      <c r="DW26" s="123"/>
      <c r="DX26" s="123"/>
      <c r="DY26" s="123"/>
      <c r="DZ26" s="123"/>
      <c r="EA26" s="123"/>
      <c r="EB26" s="123"/>
      <c r="EC26" s="123"/>
      <c r="ED26" s="123"/>
      <c r="EE26" s="123"/>
      <c r="EF26" s="123"/>
      <c r="EG26" s="123"/>
      <c r="EH26" s="123"/>
      <c r="EI26" s="22"/>
      <c r="EJ26" s="22"/>
      <c r="EK26" s="22"/>
      <c r="EL26" s="22"/>
      <c r="EM26" s="83"/>
      <c r="EN26" s="83"/>
      <c r="EO26" s="83"/>
      <c r="EP26" s="83"/>
      <c r="EQ26" s="83"/>
      <c r="ER26" s="593"/>
      <c r="ES26" s="159"/>
      <c r="ET26" s="159"/>
      <c r="EU26" s="159"/>
      <c r="EV26" s="159"/>
      <c r="EW26" s="159"/>
      <c r="EX26" s="159"/>
      <c r="EY26" s="159"/>
      <c r="EZ26" s="1753"/>
      <c r="FA26" s="22"/>
      <c r="FB26" s="22"/>
      <c r="FC26" s="22"/>
      <c r="FD26" s="22"/>
      <c r="FE26" s="22"/>
      <c r="FF26" s="22"/>
      <c r="FG26" s="22"/>
      <c r="FH26" s="22"/>
      <c r="FI26" s="413"/>
      <c r="FJ26"/>
      <c r="FK26"/>
      <c r="FL26"/>
      <c r="FM26"/>
      <c r="FN26"/>
      <c r="FO26"/>
      <c r="FR26" s="3"/>
      <c r="FS26" s="159"/>
      <c r="FT26" s="159"/>
      <c r="FU26"/>
      <c r="FV26" s="159"/>
      <c r="FW26" s="159"/>
      <c r="FX26" s="159"/>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row>
    <row r="27" spans="1:260" s="4" customFormat="1" x14ac:dyDescent="0.2">
      <c r="A27" s="20" t="s">
        <v>468</v>
      </c>
      <c r="B27" s="796">
        <v>0.92900000000000005</v>
      </c>
      <c r="C27" s="796">
        <v>4.7759999999999998</v>
      </c>
      <c r="D27" s="796">
        <v>7.1280000000000001</v>
      </c>
      <c r="E27" s="797">
        <v>13.835000000000001</v>
      </c>
      <c r="F27" s="796">
        <v>2.7690000000000001</v>
      </c>
      <c r="G27" s="796">
        <v>4.96</v>
      </c>
      <c r="H27" s="796">
        <v>11.3</v>
      </c>
      <c r="I27" s="797">
        <v>17.370999999999999</v>
      </c>
      <c r="J27" s="796">
        <v>3.0750000000000002</v>
      </c>
      <c r="K27" s="796">
        <v>3.7629999999999999</v>
      </c>
      <c r="L27" s="796">
        <v>11.6</v>
      </c>
      <c r="M27" s="797">
        <v>12.532</v>
      </c>
      <c r="N27" s="796">
        <v>0.26200000000000001</v>
      </c>
      <c r="O27" s="796">
        <v>2.4209999999999998</v>
      </c>
      <c r="P27" s="796">
        <v>-7.02</v>
      </c>
      <c r="Q27" s="797">
        <v>5.4569999999999999</v>
      </c>
      <c r="R27" s="796">
        <v>-1.6850000000000001</v>
      </c>
      <c r="S27" s="796">
        <v>4.2480000000000002</v>
      </c>
      <c r="T27" s="796">
        <v>16.899999999999999</v>
      </c>
      <c r="U27" s="797">
        <v>39.936999999999998</v>
      </c>
      <c r="V27" s="796">
        <v>7.8120000000000003</v>
      </c>
      <c r="W27" s="796">
        <v>25.972000000000001</v>
      </c>
      <c r="X27" s="796">
        <v>33.497</v>
      </c>
      <c r="Y27" s="797">
        <v>68.114000000000004</v>
      </c>
      <c r="Z27" s="796">
        <v>29.305</v>
      </c>
      <c r="AA27" s="796">
        <v>35.814999999999998</v>
      </c>
      <c r="AB27" s="796">
        <v>48.65</v>
      </c>
      <c r="AC27" s="797">
        <v>101.73</v>
      </c>
      <c r="AD27" s="796">
        <v>44.8</v>
      </c>
      <c r="AE27" s="796">
        <v>47.6</v>
      </c>
      <c r="AF27" s="796">
        <v>35.5</v>
      </c>
      <c r="AG27" s="797">
        <v>117.7</v>
      </c>
      <c r="AH27" s="796">
        <v>36</v>
      </c>
      <c r="AI27" s="796">
        <v>53</v>
      </c>
      <c r="AJ27" s="796">
        <v>52</v>
      </c>
      <c r="AK27" s="797">
        <v>225</v>
      </c>
      <c r="AL27" s="796">
        <v>51</v>
      </c>
      <c r="AM27" s="796">
        <v>48</v>
      </c>
      <c r="AN27" s="796">
        <v>54</v>
      </c>
      <c r="AO27" s="797">
        <v>239</v>
      </c>
      <c r="AP27" s="796">
        <v>43</v>
      </c>
      <c r="AQ27" s="796">
        <v>86.55</v>
      </c>
      <c r="AR27" s="796">
        <v>76</v>
      </c>
      <c r="AS27" s="797">
        <v>291</v>
      </c>
      <c r="AT27" s="796">
        <v>70.103999999999999</v>
      </c>
      <c r="AU27" s="796">
        <v>92.58</v>
      </c>
      <c r="AV27" s="796">
        <v>91</v>
      </c>
      <c r="AW27" s="797">
        <v>255</v>
      </c>
      <c r="AX27" s="796">
        <v>82</v>
      </c>
      <c r="AY27" s="796">
        <v>91</v>
      </c>
      <c r="AZ27" s="796">
        <v>65</v>
      </c>
      <c r="BA27" s="797">
        <v>343</v>
      </c>
      <c r="BB27" s="796">
        <v>126</v>
      </c>
      <c r="BC27" s="796">
        <v>121</v>
      </c>
      <c r="BD27" s="798">
        <v>70</v>
      </c>
      <c r="BE27" s="797">
        <v>435</v>
      </c>
      <c r="BF27" s="796">
        <v>113</v>
      </c>
      <c r="BG27" s="796">
        <v>144</v>
      </c>
      <c r="BH27" s="796">
        <v>129</v>
      </c>
      <c r="BI27" s="797">
        <v>429</v>
      </c>
      <c r="BJ27" s="796">
        <v>106</v>
      </c>
      <c r="BK27" s="796">
        <v>122</v>
      </c>
      <c r="BL27" s="798">
        <f>68</f>
        <v>68</v>
      </c>
      <c r="BM27" s="799">
        <f>EM27-BL27-BK27-BJ27</f>
        <v>378</v>
      </c>
      <c r="BN27" s="798">
        <f>126</f>
        <v>126</v>
      </c>
      <c r="BO27" s="798">
        <v>119</v>
      </c>
      <c r="BP27" s="798">
        <v>93</v>
      </c>
      <c r="BQ27" s="799">
        <v>464</v>
      </c>
      <c r="BR27" s="798">
        <v>121</v>
      </c>
      <c r="BS27" s="798">
        <v>146</v>
      </c>
      <c r="BT27" s="798">
        <v>133</v>
      </c>
      <c r="BU27" s="799">
        <v>314</v>
      </c>
      <c r="BV27" s="796">
        <v>99</v>
      </c>
      <c r="BW27" s="796">
        <v>99</v>
      </c>
      <c r="BX27" s="798">
        <f>72+(150-10-96)-(55-48)</f>
        <v>109</v>
      </c>
      <c r="BY27" s="799">
        <f>370</f>
        <v>370</v>
      </c>
      <c r="BZ27" s="796">
        <v>160</v>
      </c>
      <c r="CA27" s="796">
        <v>145</v>
      </c>
      <c r="CB27" s="798">
        <v>148</v>
      </c>
      <c r="CC27" s="799">
        <v>334</v>
      </c>
      <c r="CD27" s="796">
        <v>155</v>
      </c>
      <c r="CE27" s="796">
        <v>87</v>
      </c>
      <c r="CF27" s="798">
        <v>122</v>
      </c>
      <c r="CG27" s="799">
        <v>437</v>
      </c>
      <c r="CH27" s="796">
        <v>120</v>
      </c>
      <c r="CI27" s="798">
        <v>49</v>
      </c>
      <c r="CJ27" s="798">
        <f>-2+13</f>
        <v>11</v>
      </c>
      <c r="CK27" s="799">
        <v>333</v>
      </c>
      <c r="CL27" s="798">
        <f>70+49</f>
        <v>119</v>
      </c>
      <c r="CM27" s="798">
        <f>33+35</f>
        <v>68</v>
      </c>
      <c r="CN27" s="798">
        <v>5</v>
      </c>
      <c r="CO27" s="799">
        <v>304</v>
      </c>
      <c r="CP27" s="954">
        <f>54+3</f>
        <v>57</v>
      </c>
      <c r="CQ27" s="798">
        <f>199-129</f>
        <v>70</v>
      </c>
      <c r="CR27" s="798">
        <v>51</v>
      </c>
      <c r="CS27" s="799">
        <f>201-8</f>
        <v>193</v>
      </c>
      <c r="CT27" s="954">
        <f>-281+3+1+353+5</f>
        <v>81</v>
      </c>
      <c r="CU27" s="798">
        <f>79+8-6</f>
        <v>81</v>
      </c>
      <c r="CV27" s="798">
        <f>69-4+6-3-2+4</f>
        <v>70</v>
      </c>
      <c r="CW27" s="799">
        <f>274+8-2</f>
        <v>280</v>
      </c>
      <c r="CX27" s="798">
        <v>71</v>
      </c>
      <c r="CY27" s="798">
        <v>97</v>
      </c>
      <c r="CZ27" s="798">
        <v>83</v>
      </c>
      <c r="DA27" s="799">
        <v>259</v>
      </c>
      <c r="DB27" s="798">
        <v>85</v>
      </c>
      <c r="DC27" s="798">
        <v>97</v>
      </c>
      <c r="DD27" s="798">
        <v>112</v>
      </c>
      <c r="DE27" s="799">
        <v>267</v>
      </c>
      <c r="DF27" s="798">
        <v>104</v>
      </c>
      <c r="DG27" s="798">
        <v>105</v>
      </c>
      <c r="DH27" s="798">
        <v>104</v>
      </c>
      <c r="DI27" s="799">
        <f>509-209-74+39</f>
        <v>265</v>
      </c>
      <c r="DJ27" s="1670">
        <f t="shared" ref="DJ27:DM27" si="75">DJ25*DJ87</f>
        <v>62.626250938038567</v>
      </c>
      <c r="DK27" s="798">
        <f t="shared" si="75"/>
        <v>81.648501524170428</v>
      </c>
      <c r="DL27" s="798">
        <f t="shared" si="75"/>
        <v>92.60502320354972</v>
      </c>
      <c r="DM27" s="799">
        <f t="shared" si="75"/>
        <v>236.83566158307616</v>
      </c>
      <c r="DN27" s="593"/>
      <c r="DO27" s="494"/>
      <c r="DP27" s="796">
        <v>4.1100000000000003</v>
      </c>
      <c r="DQ27" s="796">
        <v>7.9269999999999996</v>
      </c>
      <c r="DR27" s="796">
        <v>2.0459999999999998</v>
      </c>
      <c r="DS27" s="796">
        <v>1.373</v>
      </c>
      <c r="DT27" s="796">
        <v>3.79</v>
      </c>
      <c r="DU27" s="796">
        <v>2.85</v>
      </c>
      <c r="DV27" s="796">
        <v>5.76</v>
      </c>
      <c r="DW27" s="796">
        <v>12.17</v>
      </c>
      <c r="DX27" s="796">
        <f>SUM(B27:E27)</f>
        <v>26.667999999999999</v>
      </c>
      <c r="DY27" s="796">
        <f>SUM(F27:I27)</f>
        <v>36.4</v>
      </c>
      <c r="DZ27" s="796">
        <f>SUM(J27:M27)</f>
        <v>30.97</v>
      </c>
      <c r="EA27" s="796">
        <f>SUM(N27:Q27)</f>
        <v>1.1200000000000001</v>
      </c>
      <c r="EB27" s="796">
        <f>SUM(R27:U27)</f>
        <v>59.399999999999991</v>
      </c>
      <c r="EC27" s="796">
        <f>SUM(V27:Y27)</f>
        <v>135.39500000000001</v>
      </c>
      <c r="ED27" s="796">
        <f>SUM(Z27:AC27)</f>
        <v>215.5</v>
      </c>
      <c r="EE27" s="796">
        <f>+AD27+AE27+AF27+AG27</f>
        <v>245.60000000000002</v>
      </c>
      <c r="EF27" s="796">
        <f>+AH27+AI27+AJ27+AK27</f>
        <v>366</v>
      </c>
      <c r="EG27" s="796">
        <f>+AL27+AM27+AN27+AO27</f>
        <v>392</v>
      </c>
      <c r="EH27" s="796">
        <f>+AP27+AQ27+AR27+AS27</f>
        <v>496.55</v>
      </c>
      <c r="EI27" s="796">
        <f>+AT27+AU27+AV27+AW27</f>
        <v>508.68399999999997</v>
      </c>
      <c r="EJ27" s="796">
        <f>+AX27+AY27+AZ27+BA27</f>
        <v>581</v>
      </c>
      <c r="EK27" s="796">
        <f>SUM(BB27:BE27)</f>
        <v>752</v>
      </c>
      <c r="EL27" s="796">
        <v>815</v>
      </c>
      <c r="EM27" s="798">
        <v>674</v>
      </c>
      <c r="EN27" s="798">
        <f>SUM(BN27:BQ27)</f>
        <v>802</v>
      </c>
      <c r="EO27" s="798">
        <f>SUM(BR27:BU27)</f>
        <v>714</v>
      </c>
      <c r="EP27" s="798">
        <f>SUM(BV27:BY27)</f>
        <v>677</v>
      </c>
      <c r="EQ27" s="798">
        <f>SUM(BZ27:CC27)</f>
        <v>787</v>
      </c>
      <c r="ER27" s="954">
        <f>SUM(CD27:CG27)</f>
        <v>801</v>
      </c>
      <c r="ES27" s="798">
        <f>SUM(CH27:CK27)</f>
        <v>513</v>
      </c>
      <c r="ET27" s="798">
        <f>SUM(CL27:CO27)</f>
        <v>496</v>
      </c>
      <c r="EU27" s="798">
        <f>SUM(CP27:CS27)</f>
        <v>371</v>
      </c>
      <c r="EV27" s="798">
        <f>SUM(CT27:CW27)</f>
        <v>512</v>
      </c>
      <c r="EW27" s="798">
        <f>SUM(CX27:DA27)</f>
        <v>510</v>
      </c>
      <c r="EX27" s="798">
        <f>SUM(DB27:DE27)</f>
        <v>561</v>
      </c>
      <c r="EY27" s="798">
        <f>SUM(DF27:DI27)</f>
        <v>578</v>
      </c>
      <c r="EZ27" s="1670">
        <f>SUM(DJ27:DM27)</f>
        <v>473.71543724883486</v>
      </c>
      <c r="FA27" s="796">
        <f t="shared" ref="FA27:FG27" si="76">FA25*FA87</f>
        <v>484.19786464764212</v>
      </c>
      <c r="FB27" s="796">
        <f t="shared" si="76"/>
        <v>493.67750257614586</v>
      </c>
      <c r="FC27" s="796">
        <f t="shared" si="76"/>
        <v>486.61969788200838</v>
      </c>
      <c r="FD27" s="796">
        <f t="shared" si="76"/>
        <v>485.65484132931158</v>
      </c>
      <c r="FE27" s="796">
        <f t="shared" si="76"/>
        <v>487.84368127522572</v>
      </c>
      <c r="FF27" s="796">
        <f t="shared" si="76"/>
        <v>486.41314870709471</v>
      </c>
      <c r="FG27" s="796">
        <f t="shared" si="76"/>
        <v>485.11581535634156</v>
      </c>
      <c r="FH27" s="796">
        <f>FH25*FH87</f>
        <v>487.70433837514594</v>
      </c>
      <c r="FI27" s="413"/>
      <c r="FJ27"/>
      <c r="FK27"/>
      <c r="FL27"/>
      <c r="FM27"/>
      <c r="FN27"/>
      <c r="FO27"/>
      <c r="FR27" s="3"/>
      <c r="FS27" s="528"/>
      <c r="FT27" s="798"/>
      <c r="FU27"/>
      <c r="FV27" s="798"/>
      <c r="FW27" s="798"/>
      <c r="FX27" s="798"/>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row>
    <row r="28" spans="1:260" s="4" customFormat="1" x14ac:dyDescent="0.2">
      <c r="A28" s="20" t="s">
        <v>199</v>
      </c>
      <c r="B28" s="796">
        <v>0</v>
      </c>
      <c r="C28" s="796">
        <v>0</v>
      </c>
      <c r="D28" s="796">
        <v>0</v>
      </c>
      <c r="E28" s="797">
        <v>0</v>
      </c>
      <c r="F28" s="796">
        <v>0</v>
      </c>
      <c r="G28" s="796">
        <v>0</v>
      </c>
      <c r="H28" s="796">
        <v>0</v>
      </c>
      <c r="I28" s="797">
        <v>0</v>
      </c>
      <c r="J28" s="796">
        <v>0</v>
      </c>
      <c r="K28" s="796">
        <v>0</v>
      </c>
      <c r="L28" s="796">
        <v>0</v>
      </c>
      <c r="M28" s="797">
        <v>0</v>
      </c>
      <c r="N28" s="796">
        <v>0</v>
      </c>
      <c r="O28" s="796">
        <v>0</v>
      </c>
      <c r="P28" s="796">
        <v>0</v>
      </c>
      <c r="Q28" s="797">
        <v>0</v>
      </c>
      <c r="R28" s="796">
        <v>0</v>
      </c>
      <c r="S28" s="796">
        <v>0</v>
      </c>
      <c r="T28" s="796">
        <v>0</v>
      </c>
      <c r="U28" s="797">
        <v>0</v>
      </c>
      <c r="V28" s="796">
        <v>0</v>
      </c>
      <c r="W28" s="796">
        <v>0</v>
      </c>
      <c r="X28" s="796">
        <v>0</v>
      </c>
      <c r="Y28" s="797">
        <v>0</v>
      </c>
      <c r="Z28" s="796">
        <v>0</v>
      </c>
      <c r="AA28" s="796">
        <v>0</v>
      </c>
      <c r="AB28" s="796">
        <v>0</v>
      </c>
      <c r="AC28" s="797">
        <v>0</v>
      </c>
      <c r="AD28" s="796">
        <v>0</v>
      </c>
      <c r="AE28" s="796">
        <v>0</v>
      </c>
      <c r="AF28" s="796">
        <v>0</v>
      </c>
      <c r="AG28" s="797">
        <v>0</v>
      </c>
      <c r="AH28" s="796">
        <v>0</v>
      </c>
      <c r="AI28" s="796">
        <v>0</v>
      </c>
      <c r="AJ28" s="796">
        <v>0</v>
      </c>
      <c r="AK28" s="797">
        <v>0</v>
      </c>
      <c r="AL28" s="796">
        <v>0</v>
      </c>
      <c r="AM28" s="796">
        <v>0</v>
      </c>
      <c r="AN28" s="796">
        <v>0</v>
      </c>
      <c r="AO28" s="797">
        <v>0</v>
      </c>
      <c r="AP28" s="796">
        <v>0</v>
      </c>
      <c r="AQ28" s="796">
        <v>0</v>
      </c>
      <c r="AR28" s="796">
        <v>0</v>
      </c>
      <c r="AS28" s="797">
        <v>0</v>
      </c>
      <c r="AT28" s="796">
        <v>0</v>
      </c>
      <c r="AU28" s="796">
        <v>0</v>
      </c>
      <c r="AV28" s="796">
        <v>0</v>
      </c>
      <c r="AW28" s="797">
        <v>0</v>
      </c>
      <c r="AX28" s="796">
        <v>0</v>
      </c>
      <c r="AY28" s="796">
        <v>0</v>
      </c>
      <c r="AZ28" s="796">
        <v>0</v>
      </c>
      <c r="BA28" s="797">
        <v>0</v>
      </c>
      <c r="BB28" s="796">
        <v>0</v>
      </c>
      <c r="BC28" s="796">
        <v>0</v>
      </c>
      <c r="BD28" s="798">
        <v>0</v>
      </c>
      <c r="BE28" s="797">
        <v>0</v>
      </c>
      <c r="BF28" s="796">
        <v>0</v>
      </c>
      <c r="BG28" s="796">
        <v>0</v>
      </c>
      <c r="BH28" s="796">
        <v>0</v>
      </c>
      <c r="BI28" s="797">
        <v>0</v>
      </c>
      <c r="BJ28" s="796">
        <v>0</v>
      </c>
      <c r="BK28" s="796">
        <v>0</v>
      </c>
      <c r="BL28" s="798">
        <v>0</v>
      </c>
      <c r="BM28" s="799">
        <v>0</v>
      </c>
      <c r="BN28" s="798">
        <v>0</v>
      </c>
      <c r="BO28" s="798">
        <v>0</v>
      </c>
      <c r="BP28" s="798">
        <v>0</v>
      </c>
      <c r="BQ28" s="799">
        <f>1</f>
        <v>1</v>
      </c>
      <c r="BR28" s="798">
        <v>0</v>
      </c>
      <c r="BS28" s="798">
        <v>0</v>
      </c>
      <c r="BT28" s="798">
        <v>0</v>
      </c>
      <c r="BU28" s="799">
        <v>2</v>
      </c>
      <c r="BV28" s="798">
        <v>-1</v>
      </c>
      <c r="BW28" s="798">
        <v>0</v>
      </c>
      <c r="BX28" s="798">
        <v>-1</v>
      </c>
      <c r="BY28" s="799">
        <v>-2</v>
      </c>
      <c r="BZ28" s="798">
        <v>0</v>
      </c>
      <c r="CA28" s="798">
        <v>0</v>
      </c>
      <c r="CB28" s="798">
        <v>0</v>
      </c>
      <c r="CC28" s="799">
        <v>-2</v>
      </c>
      <c r="CD28" s="798">
        <v>-1</v>
      </c>
      <c r="CE28" s="798">
        <v>0</v>
      </c>
      <c r="CF28" s="798">
        <v>-2</v>
      </c>
      <c r="CG28" s="799">
        <v>-1</v>
      </c>
      <c r="CH28" s="798">
        <v>-2</v>
      </c>
      <c r="CI28" s="798">
        <v>-2</v>
      </c>
      <c r="CJ28" s="798">
        <v>-1</v>
      </c>
      <c r="CK28" s="799">
        <v>0</v>
      </c>
      <c r="CL28" s="798">
        <v>0</v>
      </c>
      <c r="CM28" s="798">
        <v>0</v>
      </c>
      <c r="CN28" s="798">
        <v>0</v>
      </c>
      <c r="CO28" s="799">
        <v>0</v>
      </c>
      <c r="CP28" s="954">
        <v>0</v>
      </c>
      <c r="CQ28" s="798">
        <v>0</v>
      </c>
      <c r="CR28" s="798">
        <v>0</v>
      </c>
      <c r="CS28" s="799">
        <v>0</v>
      </c>
      <c r="CT28" s="954">
        <v>0</v>
      </c>
      <c r="CU28" s="798">
        <v>0</v>
      </c>
      <c r="CV28" s="798">
        <v>0</v>
      </c>
      <c r="CW28" s="799">
        <v>0</v>
      </c>
      <c r="CX28" s="798">
        <v>0</v>
      </c>
      <c r="CY28" s="798">
        <v>0</v>
      </c>
      <c r="CZ28" s="798">
        <v>0</v>
      </c>
      <c r="DA28" s="799">
        <v>0</v>
      </c>
      <c r="DB28" s="798">
        <v>0</v>
      </c>
      <c r="DC28" s="798">
        <v>0</v>
      </c>
      <c r="DD28" s="798">
        <v>0</v>
      </c>
      <c r="DE28" s="799">
        <v>0</v>
      </c>
      <c r="DF28" s="798">
        <v>0</v>
      </c>
      <c r="DG28" s="798">
        <v>0</v>
      </c>
      <c r="DH28" s="798">
        <v>0</v>
      </c>
      <c r="DI28" s="799">
        <v>0</v>
      </c>
      <c r="DJ28" s="1670">
        <v>0</v>
      </c>
      <c r="DK28" s="798">
        <v>0</v>
      </c>
      <c r="DL28" s="798">
        <v>0</v>
      </c>
      <c r="DM28" s="799">
        <v>0</v>
      </c>
      <c r="DN28" s="768"/>
      <c r="DO28" s="494"/>
      <c r="DP28" s="796">
        <v>0</v>
      </c>
      <c r="DQ28" s="796">
        <v>0</v>
      </c>
      <c r="DR28" s="796">
        <v>0</v>
      </c>
      <c r="DS28" s="796">
        <v>0</v>
      </c>
      <c r="DT28" s="796">
        <v>0</v>
      </c>
      <c r="DU28" s="796">
        <v>0</v>
      </c>
      <c r="DV28" s="796">
        <v>0</v>
      </c>
      <c r="DW28" s="796">
        <v>0</v>
      </c>
      <c r="DX28" s="796">
        <v>0</v>
      </c>
      <c r="DY28" s="796">
        <v>0</v>
      </c>
      <c r="DZ28" s="796">
        <v>0</v>
      </c>
      <c r="EA28" s="796">
        <v>0</v>
      </c>
      <c r="EB28" s="796">
        <v>0</v>
      </c>
      <c r="EC28" s="796">
        <v>0</v>
      </c>
      <c r="ED28" s="796">
        <v>0</v>
      </c>
      <c r="EE28" s="796">
        <v>0</v>
      </c>
      <c r="EF28" s="796">
        <v>0</v>
      </c>
      <c r="EG28" s="796">
        <v>0</v>
      </c>
      <c r="EH28" s="796">
        <v>0</v>
      </c>
      <c r="EI28" s="796">
        <v>0</v>
      </c>
      <c r="EJ28" s="796">
        <v>0</v>
      </c>
      <c r="EK28" s="796">
        <v>0</v>
      </c>
      <c r="EL28" s="796">
        <f>SUM(BF28:BI28)</f>
        <v>0</v>
      </c>
      <c r="EM28" s="798">
        <f>SUM(BJ28:BM28)</f>
        <v>0</v>
      </c>
      <c r="EN28" s="798">
        <f>SUM(BN28:BQ28)</f>
        <v>1</v>
      </c>
      <c r="EO28" s="798">
        <f>SUM(BR28:BU28)</f>
        <v>2</v>
      </c>
      <c r="EP28" s="798">
        <f>SUM(BV28:BY28)</f>
        <v>-4</v>
      </c>
      <c r="EQ28" s="798">
        <f>SUM(BZ28:CC28)</f>
        <v>-2</v>
      </c>
      <c r="ER28" s="954">
        <f>SUM(CD28:CG28)</f>
        <v>-4</v>
      </c>
      <c r="ES28" s="798">
        <f>SUM(CH28:CK28)</f>
        <v>-5</v>
      </c>
      <c r="ET28" s="798">
        <f>SUM(CL28:CO28)</f>
        <v>0</v>
      </c>
      <c r="EU28" s="798">
        <f>SUM(CP28:CS28)</f>
        <v>0</v>
      </c>
      <c r="EV28" s="798">
        <f>SUM(CT28:CW28)</f>
        <v>0</v>
      </c>
      <c r="EW28" s="798">
        <f>SUM(CX28:DA28)</f>
        <v>0</v>
      </c>
      <c r="EX28" s="798">
        <f>SUM(DB28:DE28)</f>
        <v>0</v>
      </c>
      <c r="EY28" s="798">
        <f>SUM(DF28:DI28)</f>
        <v>0</v>
      </c>
      <c r="EZ28" s="1670">
        <f>SUM(DJ28:DM28)</f>
        <v>0</v>
      </c>
      <c r="FA28" s="806">
        <v>0</v>
      </c>
      <c r="FB28" s="806">
        <v>0</v>
      </c>
      <c r="FC28" s="806">
        <v>0</v>
      </c>
      <c r="FD28" s="806">
        <v>0</v>
      </c>
      <c r="FE28" s="806">
        <v>0</v>
      </c>
      <c r="FF28" s="806">
        <v>0</v>
      </c>
      <c r="FG28" s="806">
        <v>0</v>
      </c>
      <c r="FH28" s="806">
        <v>0</v>
      </c>
      <c r="FI28" s="413"/>
      <c r="FJ28"/>
      <c r="FK28"/>
      <c r="FL28"/>
      <c r="FM28"/>
      <c r="FN28"/>
      <c r="FO28"/>
      <c r="FR28" s="3"/>
      <c r="FS28" s="806"/>
      <c r="FT28" s="806"/>
      <c r="FU28"/>
      <c r="FV28" s="806"/>
      <c r="FW28" s="806"/>
      <c r="FX28" s="806"/>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row>
    <row r="29" spans="1:260" s="4" customFormat="1" x14ac:dyDescent="0.2">
      <c r="A29" s="20" t="s">
        <v>373</v>
      </c>
      <c r="B29" s="792">
        <v>0</v>
      </c>
      <c r="C29" s="792">
        <v>0</v>
      </c>
      <c r="D29" s="792">
        <v>0</v>
      </c>
      <c r="E29" s="793">
        <v>0</v>
      </c>
      <c r="F29" s="792">
        <v>0</v>
      </c>
      <c r="G29" s="792">
        <v>0</v>
      </c>
      <c r="H29" s="792">
        <v>0</v>
      </c>
      <c r="I29" s="793">
        <v>0</v>
      </c>
      <c r="J29" s="792">
        <v>0</v>
      </c>
      <c r="K29" s="792">
        <v>0</v>
      </c>
      <c r="L29" s="792">
        <v>0</v>
      </c>
      <c r="M29" s="793">
        <v>0</v>
      </c>
      <c r="N29" s="792">
        <v>0</v>
      </c>
      <c r="O29" s="792">
        <v>0</v>
      </c>
      <c r="P29" s="792">
        <v>0</v>
      </c>
      <c r="Q29" s="793">
        <v>0</v>
      </c>
      <c r="R29" s="792">
        <v>0</v>
      </c>
      <c r="S29" s="792">
        <v>0</v>
      </c>
      <c r="T29" s="792">
        <v>0</v>
      </c>
      <c r="U29" s="793">
        <v>0</v>
      </c>
      <c r="V29" s="792">
        <v>0</v>
      </c>
      <c r="W29" s="792">
        <v>0</v>
      </c>
      <c r="X29" s="792">
        <v>0</v>
      </c>
      <c r="Y29" s="793">
        <v>0</v>
      </c>
      <c r="Z29" s="792">
        <v>0</v>
      </c>
      <c r="AA29" s="792">
        <v>0</v>
      </c>
      <c r="AB29" s="792">
        <v>0</v>
      </c>
      <c r="AC29" s="793">
        <v>0</v>
      </c>
      <c r="AD29" s="792">
        <v>0</v>
      </c>
      <c r="AE29" s="792">
        <v>0</v>
      </c>
      <c r="AF29" s="792">
        <v>0</v>
      </c>
      <c r="AG29" s="793">
        <v>0</v>
      </c>
      <c r="AH29" s="792">
        <v>0</v>
      </c>
      <c r="AI29" s="792">
        <v>0</v>
      </c>
      <c r="AJ29" s="792">
        <v>0</v>
      </c>
      <c r="AK29" s="793">
        <v>0</v>
      </c>
      <c r="AL29" s="792">
        <v>0</v>
      </c>
      <c r="AM29" s="792">
        <v>0</v>
      </c>
      <c r="AN29" s="792">
        <v>0</v>
      </c>
      <c r="AO29" s="793">
        <v>0</v>
      </c>
      <c r="AP29" s="792">
        <v>0</v>
      </c>
      <c r="AQ29" s="792">
        <v>0</v>
      </c>
      <c r="AR29" s="792">
        <v>0</v>
      </c>
      <c r="AS29" s="793">
        <v>0</v>
      </c>
      <c r="AT29" s="792">
        <v>0</v>
      </c>
      <c r="AU29" s="792">
        <v>0</v>
      </c>
      <c r="AV29" s="792">
        <v>0</v>
      </c>
      <c r="AW29" s="793">
        <v>0</v>
      </c>
      <c r="AX29" s="792">
        <v>0</v>
      </c>
      <c r="AY29" s="792">
        <v>0</v>
      </c>
      <c r="AZ29" s="792">
        <v>0</v>
      </c>
      <c r="BA29" s="793">
        <v>0</v>
      </c>
      <c r="BB29" s="792">
        <v>0</v>
      </c>
      <c r="BC29" s="792">
        <v>0</v>
      </c>
      <c r="BD29" s="794">
        <v>0</v>
      </c>
      <c r="BE29" s="793">
        <v>-1</v>
      </c>
      <c r="BF29" s="792">
        <v>2</v>
      </c>
      <c r="BG29" s="792">
        <f>-5-1</f>
        <v>-6</v>
      </c>
      <c r="BH29" s="792">
        <f>-1-2</f>
        <v>-3</v>
      </c>
      <c r="BI29" s="793">
        <v>1</v>
      </c>
      <c r="BJ29" s="794">
        <f>1-1</f>
        <v>0</v>
      </c>
      <c r="BK29" s="794">
        <v>-3</v>
      </c>
      <c r="BL29" s="794">
        <f>-11+6</f>
        <v>-5</v>
      </c>
      <c r="BM29" s="795">
        <f>-17+2</f>
        <v>-15</v>
      </c>
      <c r="BN29" s="794">
        <v>-3</v>
      </c>
      <c r="BO29" s="794">
        <v>1</v>
      </c>
      <c r="BP29" s="794">
        <v>-44</v>
      </c>
      <c r="BQ29" s="795">
        <f>-31</f>
        <v>-31</v>
      </c>
      <c r="BR29" s="794">
        <v>-26</v>
      </c>
      <c r="BS29" s="794">
        <v>-3</v>
      </c>
      <c r="BT29" s="794">
        <v>-23</v>
      </c>
      <c r="BU29" s="795">
        <f>-37</f>
        <v>-37</v>
      </c>
      <c r="BV29" s="794">
        <v>-27</v>
      </c>
      <c r="BW29" s="794">
        <v>17</v>
      </c>
      <c r="BX29" s="794">
        <f>23-40</f>
        <v>-17</v>
      </c>
      <c r="BY29" s="795">
        <f>871-BY25+BY27-BY28</f>
        <v>-93</v>
      </c>
      <c r="BZ29" s="794">
        <v>-32</v>
      </c>
      <c r="CA29" s="794">
        <v>-13</v>
      </c>
      <c r="CB29" s="794">
        <v>-32</v>
      </c>
      <c r="CC29" s="795">
        <v>-51</v>
      </c>
      <c r="CD29" s="794">
        <v>-38</v>
      </c>
      <c r="CE29" s="794">
        <v>2</v>
      </c>
      <c r="CF29" s="794">
        <v>-47</v>
      </c>
      <c r="CG29" s="795">
        <f>-1305+1303-3-13</f>
        <v>-18</v>
      </c>
      <c r="CH29" s="794">
        <v>6</v>
      </c>
      <c r="CI29" s="794">
        <v>19</v>
      </c>
      <c r="CJ29" s="794">
        <v>-8</v>
      </c>
      <c r="CK29" s="795">
        <v>-31</v>
      </c>
      <c r="CL29" s="794">
        <v>0</v>
      </c>
      <c r="CM29" s="794">
        <v>0</v>
      </c>
      <c r="CN29" s="794">
        <v>0</v>
      </c>
      <c r="CO29" s="795">
        <v>0</v>
      </c>
      <c r="CP29" s="1051">
        <v>0</v>
      </c>
      <c r="CQ29" s="794">
        <v>0</v>
      </c>
      <c r="CR29" s="794">
        <v>0</v>
      </c>
      <c r="CS29" s="795">
        <v>0</v>
      </c>
      <c r="CT29" s="1051">
        <v>0</v>
      </c>
      <c r="CU29" s="794">
        <v>0</v>
      </c>
      <c r="CV29" s="794">
        <v>0</v>
      </c>
      <c r="CW29" s="795">
        <v>0</v>
      </c>
      <c r="CX29" s="794">
        <v>0</v>
      </c>
      <c r="CY29" s="794">
        <v>0</v>
      </c>
      <c r="CZ29" s="794">
        <v>0</v>
      </c>
      <c r="DA29" s="795">
        <v>0</v>
      </c>
      <c r="DB29" s="794">
        <v>0</v>
      </c>
      <c r="DC29" s="794">
        <v>0</v>
      </c>
      <c r="DD29" s="794">
        <v>0</v>
      </c>
      <c r="DE29" s="795">
        <v>0</v>
      </c>
      <c r="DF29" s="794">
        <v>0</v>
      </c>
      <c r="DG29" s="794">
        <v>0</v>
      </c>
      <c r="DH29" s="794">
        <v>0</v>
      </c>
      <c r="DI29" s="795">
        <v>0</v>
      </c>
      <c r="DJ29" s="1758">
        <v>0</v>
      </c>
      <c r="DK29" s="794">
        <v>0</v>
      </c>
      <c r="DL29" s="794">
        <v>0</v>
      </c>
      <c r="DM29" s="795">
        <v>0</v>
      </c>
      <c r="DN29" s="768"/>
      <c r="DO29" s="494"/>
      <c r="DP29" s="792">
        <v>0</v>
      </c>
      <c r="DQ29" s="792">
        <v>0</v>
      </c>
      <c r="DR29" s="792">
        <v>0</v>
      </c>
      <c r="DS29" s="792">
        <v>0</v>
      </c>
      <c r="DT29" s="792">
        <v>0</v>
      </c>
      <c r="DU29" s="792">
        <v>0</v>
      </c>
      <c r="DV29" s="792">
        <v>0</v>
      </c>
      <c r="DW29" s="792">
        <v>0</v>
      </c>
      <c r="DX29" s="792">
        <v>0</v>
      </c>
      <c r="DY29" s="792">
        <v>0</v>
      </c>
      <c r="DZ29" s="792">
        <v>0</v>
      </c>
      <c r="EA29" s="792">
        <v>0</v>
      </c>
      <c r="EB29" s="792">
        <v>0</v>
      </c>
      <c r="EC29" s="792">
        <v>0</v>
      </c>
      <c r="ED29" s="792">
        <v>0</v>
      </c>
      <c r="EE29" s="792">
        <v>0</v>
      </c>
      <c r="EF29" s="792">
        <v>0</v>
      </c>
      <c r="EG29" s="792">
        <v>0</v>
      </c>
      <c r="EH29" s="792">
        <v>0</v>
      </c>
      <c r="EI29" s="792">
        <v>0</v>
      </c>
      <c r="EJ29" s="792">
        <v>0</v>
      </c>
      <c r="EK29" s="807">
        <v>-1</v>
      </c>
      <c r="EL29" s="792">
        <f>SUM(BF29:BI29)</f>
        <v>-6</v>
      </c>
      <c r="EM29" s="794">
        <f>SUM(BJ29:BM29)</f>
        <v>-23</v>
      </c>
      <c r="EN29" s="794">
        <f>SUM(BN29:BQ29)</f>
        <v>-77</v>
      </c>
      <c r="EO29" s="794">
        <f>SUM(BR29:BU29)</f>
        <v>-89</v>
      </c>
      <c r="EP29" s="794">
        <f>SUM(BV29:BY29)</f>
        <v>-120</v>
      </c>
      <c r="EQ29" s="794">
        <f>SUM(BZ29:CC29)</f>
        <v>-128</v>
      </c>
      <c r="ER29" s="1051">
        <f>SUM(CD29:CG29)</f>
        <v>-101</v>
      </c>
      <c r="ES29" s="794">
        <f>SUM(CH29:CK29)</f>
        <v>-14</v>
      </c>
      <c r="ET29" s="798">
        <f>SUM(CL29:CO29)</f>
        <v>0</v>
      </c>
      <c r="EU29" s="794">
        <f>SUM(CP29:CS29)</f>
        <v>0</v>
      </c>
      <c r="EV29" s="794">
        <f>SUM(CT29:CW29)</f>
        <v>0</v>
      </c>
      <c r="EW29" s="794">
        <f>SUM(CX29:DA29)</f>
        <v>0</v>
      </c>
      <c r="EX29" s="794">
        <f>SUM(DB29:DE29)</f>
        <v>0</v>
      </c>
      <c r="EY29" s="794">
        <f>SUM(DF29:DI29)</f>
        <v>0</v>
      </c>
      <c r="EZ29" s="1758">
        <f>SUM(DJ29:DM29)</f>
        <v>0</v>
      </c>
      <c r="FA29" s="1579">
        <v>0</v>
      </c>
      <c r="FB29" s="1579">
        <v>0</v>
      </c>
      <c r="FC29" s="1579">
        <v>0</v>
      </c>
      <c r="FD29" s="1579">
        <v>0</v>
      </c>
      <c r="FE29" s="1579">
        <v>0</v>
      </c>
      <c r="FF29" s="1579">
        <v>0</v>
      </c>
      <c r="FG29" s="1579">
        <v>0</v>
      </c>
      <c r="FH29" s="1579">
        <v>0</v>
      </c>
      <c r="FI29" s="413"/>
      <c r="FJ29"/>
      <c r="FK29"/>
      <c r="FL29"/>
      <c r="FM29"/>
      <c r="FN29"/>
      <c r="FO29"/>
      <c r="FR29" s="3"/>
      <c r="FS29" s="72"/>
      <c r="FT29"/>
      <c r="FU29"/>
      <c r="FV29" s="2629"/>
      <c r="FW29" s="2629"/>
      <c r="FX29" s="26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row>
    <row r="30" spans="1:260" s="1215" customFormat="1" x14ac:dyDescent="0.2">
      <c r="A30" s="292" t="s">
        <v>469</v>
      </c>
      <c r="B30" s="399">
        <f t="shared" ref="B30:AG30" si="77">B25-B27+B29+B28</f>
        <v>1.5159999999999922</v>
      </c>
      <c r="C30" s="399">
        <f t="shared" si="77"/>
        <v>7.5940000000000314</v>
      </c>
      <c r="D30" s="399">
        <f t="shared" si="77"/>
        <v>11.160999999999948</v>
      </c>
      <c r="E30" s="460">
        <f t="shared" si="77"/>
        <v>21.439000000000028</v>
      </c>
      <c r="F30" s="399">
        <f t="shared" si="77"/>
        <v>4.2310000000000025</v>
      </c>
      <c r="G30" s="399">
        <f t="shared" si="77"/>
        <v>7.5999999999999632</v>
      </c>
      <c r="H30" s="399">
        <f t="shared" si="77"/>
        <v>17.702000000000062</v>
      </c>
      <c r="I30" s="460">
        <f t="shared" si="77"/>
        <v>28.107999999999986</v>
      </c>
      <c r="J30" s="399">
        <f t="shared" si="77"/>
        <v>4.6450000000001834</v>
      </c>
      <c r="K30" s="399">
        <f t="shared" si="77"/>
        <v>5.7140000000000875</v>
      </c>
      <c r="L30" s="399">
        <f t="shared" si="77"/>
        <v>17.802000000000049</v>
      </c>
      <c r="M30" s="460">
        <f t="shared" si="77"/>
        <v>19.830999999999971</v>
      </c>
      <c r="N30" s="399">
        <f t="shared" si="77"/>
        <v>0.40899999999985548</v>
      </c>
      <c r="O30" s="399">
        <f t="shared" si="77"/>
        <v>3.7880000000001686</v>
      </c>
      <c r="P30" s="399">
        <f t="shared" si="77"/>
        <v>-10.972999999999956</v>
      </c>
      <c r="Q30" s="460">
        <f t="shared" si="77"/>
        <v>8.5239999999997806</v>
      </c>
      <c r="R30" s="399">
        <f t="shared" si="77"/>
        <v>-2.6389999999999625</v>
      </c>
      <c r="S30" s="399">
        <f t="shared" si="77"/>
        <v>6.6479999999998745</v>
      </c>
      <c r="T30" s="399">
        <f t="shared" si="77"/>
        <v>26.39799999999989</v>
      </c>
      <c r="U30" s="460">
        <f t="shared" si="77"/>
        <v>64.025999999999854</v>
      </c>
      <c r="V30" s="399">
        <f t="shared" si="77"/>
        <v>12.477000000000103</v>
      </c>
      <c r="W30" s="399">
        <f t="shared" si="77"/>
        <v>41.455000000000005</v>
      </c>
      <c r="X30" s="399">
        <f t="shared" si="77"/>
        <v>53.543000000000134</v>
      </c>
      <c r="Y30" s="460">
        <f t="shared" si="77"/>
        <v>108.80700000000033</v>
      </c>
      <c r="Z30" s="399">
        <f t="shared" si="77"/>
        <v>46.808999999999962</v>
      </c>
      <c r="AA30" s="399">
        <f t="shared" si="77"/>
        <v>58.066999999999993</v>
      </c>
      <c r="AB30" s="399">
        <f t="shared" si="77"/>
        <v>78.389000000000181</v>
      </c>
      <c r="AC30" s="460">
        <f t="shared" si="77"/>
        <v>163.80499999999989</v>
      </c>
      <c r="AD30" s="399">
        <f t="shared" si="77"/>
        <v>72.157999999999859</v>
      </c>
      <c r="AE30" s="399">
        <f t="shared" si="77"/>
        <v>76.747999999999905</v>
      </c>
      <c r="AF30" s="399">
        <f t="shared" si="77"/>
        <v>57.262999999999693</v>
      </c>
      <c r="AG30" s="460">
        <f t="shared" si="77"/>
        <v>190.00000000000006</v>
      </c>
      <c r="AH30" s="399">
        <f t="shared" ref="AH30:BM30" si="78">AH25-AH27+AH29+AH28</f>
        <v>55</v>
      </c>
      <c r="AI30" s="399">
        <f t="shared" si="78"/>
        <v>85</v>
      </c>
      <c r="AJ30" s="399">
        <f t="shared" si="78"/>
        <v>80</v>
      </c>
      <c r="AK30" s="460">
        <f t="shared" si="78"/>
        <v>350</v>
      </c>
      <c r="AL30" s="399">
        <f t="shared" si="78"/>
        <v>79</v>
      </c>
      <c r="AM30" s="399">
        <f t="shared" si="78"/>
        <v>79</v>
      </c>
      <c r="AN30" s="399">
        <f t="shared" si="78"/>
        <v>86</v>
      </c>
      <c r="AO30" s="460">
        <f t="shared" si="78"/>
        <v>378</v>
      </c>
      <c r="AP30" s="399">
        <f t="shared" si="78"/>
        <v>69</v>
      </c>
      <c r="AQ30" s="399">
        <f t="shared" si="78"/>
        <v>139.44999999999999</v>
      </c>
      <c r="AR30" s="399">
        <f t="shared" si="78"/>
        <v>122</v>
      </c>
      <c r="AS30" s="460">
        <f t="shared" si="78"/>
        <v>469</v>
      </c>
      <c r="AT30" s="399">
        <f t="shared" si="78"/>
        <v>113.896</v>
      </c>
      <c r="AU30" s="399">
        <f t="shared" si="78"/>
        <v>150.42000000000002</v>
      </c>
      <c r="AV30" s="399">
        <f t="shared" si="78"/>
        <v>148</v>
      </c>
      <c r="AW30" s="460">
        <f t="shared" si="78"/>
        <v>522</v>
      </c>
      <c r="AX30" s="399">
        <f t="shared" si="78"/>
        <v>170</v>
      </c>
      <c r="AY30" s="399">
        <f t="shared" si="78"/>
        <v>188</v>
      </c>
      <c r="AZ30" s="399">
        <f t="shared" si="78"/>
        <v>138</v>
      </c>
      <c r="BA30" s="460">
        <f t="shared" si="78"/>
        <v>644</v>
      </c>
      <c r="BB30" s="399">
        <f t="shared" si="78"/>
        <v>234</v>
      </c>
      <c r="BC30" s="399">
        <f t="shared" si="78"/>
        <v>230</v>
      </c>
      <c r="BD30" s="399">
        <f t="shared" si="78"/>
        <v>150</v>
      </c>
      <c r="BE30" s="460">
        <f t="shared" si="78"/>
        <v>763</v>
      </c>
      <c r="BF30" s="399">
        <f t="shared" si="78"/>
        <v>192</v>
      </c>
      <c r="BG30" s="399">
        <f t="shared" si="78"/>
        <v>250</v>
      </c>
      <c r="BH30" s="399">
        <f t="shared" si="78"/>
        <v>228</v>
      </c>
      <c r="BI30" s="460">
        <f t="shared" si="78"/>
        <v>737</v>
      </c>
      <c r="BJ30" s="399">
        <f t="shared" si="78"/>
        <v>179</v>
      </c>
      <c r="BK30" s="399">
        <f t="shared" si="78"/>
        <v>202</v>
      </c>
      <c r="BL30" s="399">
        <f t="shared" si="78"/>
        <v>163</v>
      </c>
      <c r="BM30" s="460">
        <f t="shared" si="78"/>
        <v>714</v>
      </c>
      <c r="BN30" s="399">
        <f t="shared" ref="BN30:CS30" si="79">BN25-BN27+BN29+BN28</f>
        <v>205</v>
      </c>
      <c r="BO30" s="399">
        <f t="shared" si="79"/>
        <v>158</v>
      </c>
      <c r="BP30" s="399">
        <f t="shared" si="79"/>
        <v>227</v>
      </c>
      <c r="BQ30" s="460">
        <f t="shared" si="79"/>
        <v>779</v>
      </c>
      <c r="BR30" s="399">
        <f t="shared" si="79"/>
        <v>155</v>
      </c>
      <c r="BS30" s="399">
        <f t="shared" si="79"/>
        <v>254</v>
      </c>
      <c r="BT30" s="399">
        <f t="shared" si="79"/>
        <v>217</v>
      </c>
      <c r="BU30" s="460">
        <f t="shared" si="79"/>
        <v>873</v>
      </c>
      <c r="BV30" s="399">
        <f t="shared" si="79"/>
        <v>138</v>
      </c>
      <c r="BW30" s="399">
        <f t="shared" si="79"/>
        <v>179</v>
      </c>
      <c r="BX30" s="400">
        <f t="shared" si="79"/>
        <v>172</v>
      </c>
      <c r="BY30" s="483">
        <f t="shared" si="79"/>
        <v>871</v>
      </c>
      <c r="BZ30" s="399">
        <f t="shared" si="79"/>
        <v>225</v>
      </c>
      <c r="CA30" s="399">
        <f t="shared" si="79"/>
        <v>218</v>
      </c>
      <c r="CB30" s="400">
        <f t="shared" si="79"/>
        <v>241</v>
      </c>
      <c r="CC30" s="483">
        <f t="shared" si="79"/>
        <v>870</v>
      </c>
      <c r="CD30" s="399">
        <f t="shared" si="79"/>
        <v>259</v>
      </c>
      <c r="CE30" s="399">
        <f t="shared" si="79"/>
        <v>150</v>
      </c>
      <c r="CF30" s="400">
        <f t="shared" si="79"/>
        <v>173</v>
      </c>
      <c r="CG30" s="483">
        <f t="shared" si="79"/>
        <v>783</v>
      </c>
      <c r="CH30" s="399">
        <f t="shared" si="79"/>
        <v>246</v>
      </c>
      <c r="CI30" s="399">
        <f t="shared" si="79"/>
        <v>68</v>
      </c>
      <c r="CJ30" s="400">
        <f t="shared" si="79"/>
        <v>10</v>
      </c>
      <c r="CK30" s="483">
        <f t="shared" si="79"/>
        <v>554</v>
      </c>
      <c r="CL30" s="399">
        <f t="shared" si="79"/>
        <v>261</v>
      </c>
      <c r="CM30" s="399">
        <f t="shared" si="79"/>
        <v>89</v>
      </c>
      <c r="CN30" s="400">
        <f t="shared" si="79"/>
        <v>14</v>
      </c>
      <c r="CO30" s="483">
        <f t="shared" si="79"/>
        <v>524</v>
      </c>
      <c r="CP30" s="1056">
        <f t="shared" si="79"/>
        <v>125</v>
      </c>
      <c r="CQ30" s="400">
        <f t="shared" si="79"/>
        <v>104</v>
      </c>
      <c r="CR30" s="400">
        <f t="shared" si="79"/>
        <v>68</v>
      </c>
      <c r="CS30" s="483">
        <f t="shared" si="79"/>
        <v>424</v>
      </c>
      <c r="CT30" s="1056">
        <f t="shared" ref="CT30:CZ30" si="80">CT25-CT27+CT29+CT28</f>
        <v>123</v>
      </c>
      <c r="CU30" s="400">
        <f t="shared" si="80"/>
        <v>148</v>
      </c>
      <c r="CV30" s="400">
        <f t="shared" si="80"/>
        <v>121</v>
      </c>
      <c r="CW30" s="483">
        <f>CW25-CW27+CW29+CW28</f>
        <v>526</v>
      </c>
      <c r="CX30" s="400">
        <f>CX25-CX27+CX29+CX28</f>
        <v>124</v>
      </c>
      <c r="CY30" s="400">
        <f t="shared" si="80"/>
        <v>165</v>
      </c>
      <c r="CZ30" s="400">
        <f t="shared" si="80"/>
        <v>138</v>
      </c>
      <c r="DA30" s="483">
        <f t="shared" ref="DA30:DI30" si="81">DA25-DA27+DA29+DA28</f>
        <v>508</v>
      </c>
      <c r="DB30" s="400">
        <f t="shared" si="81"/>
        <v>141</v>
      </c>
      <c r="DC30" s="400">
        <f t="shared" si="81"/>
        <v>183</v>
      </c>
      <c r="DD30" s="400">
        <f t="shared" si="81"/>
        <v>193</v>
      </c>
      <c r="DE30" s="483">
        <f t="shared" si="81"/>
        <v>615</v>
      </c>
      <c r="DF30" s="400">
        <f t="shared" si="81"/>
        <v>188</v>
      </c>
      <c r="DG30" s="400">
        <f t="shared" ref="DG30" si="82">DG25-DG27+DG29+DG28</f>
        <v>214</v>
      </c>
      <c r="DH30" s="400">
        <f t="shared" si="81"/>
        <v>237</v>
      </c>
      <c r="DI30" s="483">
        <f t="shared" si="81"/>
        <v>718</v>
      </c>
      <c r="DJ30" s="2684">
        <f t="shared" ref="DJ30:DK30" si="83">DJ25-DJ27+DJ29+DJ28</f>
        <v>215.71264211991061</v>
      </c>
      <c r="DK30" s="400">
        <f t="shared" si="83"/>
        <v>232.38419664571583</v>
      </c>
      <c r="DL30" s="400">
        <f t="shared" ref="DL30:DM30" si="84">DL25-DL27+DL29+DL28</f>
        <v>263.56814296394919</v>
      </c>
      <c r="DM30" s="483">
        <f t="shared" si="84"/>
        <v>710.50698474922842</v>
      </c>
      <c r="DN30" s="950"/>
      <c r="DO30" s="814"/>
      <c r="DP30" s="1006">
        <f t="shared" ref="DP30:DW30" si="85">DP25-DP27</f>
        <v>4.0600099999999921</v>
      </c>
      <c r="DQ30" s="399">
        <f t="shared" si="85"/>
        <v>7.3980000000000032</v>
      </c>
      <c r="DR30" s="399">
        <f t="shared" si="85"/>
        <v>2.7682000000000255</v>
      </c>
      <c r="DS30" s="399">
        <f t="shared" si="85"/>
        <v>2.060099999999931</v>
      </c>
      <c r="DT30" s="399">
        <f t="shared" si="85"/>
        <v>5.683000000000006</v>
      </c>
      <c r="DU30" s="399">
        <f t="shared" si="85"/>
        <v>4.5399999999999139</v>
      </c>
      <c r="DV30" s="399">
        <f t="shared" si="85"/>
        <v>9.6010000000000115</v>
      </c>
      <c r="DW30" s="399">
        <f t="shared" si="85"/>
        <v>19.855000000000096</v>
      </c>
      <c r="DX30" s="399">
        <f t="shared" ref="DX30:EO30" si="86">DX25-DX27+DX29+DX28</f>
        <v>41.71</v>
      </c>
      <c r="DY30" s="399">
        <f t="shared" si="86"/>
        <v>57.641000000000012</v>
      </c>
      <c r="DZ30" s="399">
        <f t="shared" si="86"/>
        <v>47.992000000000303</v>
      </c>
      <c r="EA30" s="399">
        <f t="shared" si="86"/>
        <v>1.7479999999994549</v>
      </c>
      <c r="EB30" s="399">
        <f t="shared" si="86"/>
        <v>94.432999999999666</v>
      </c>
      <c r="EC30" s="399">
        <f t="shared" si="86"/>
        <v>216.28200000000109</v>
      </c>
      <c r="ED30" s="399">
        <f t="shared" si="86"/>
        <v>347.07000000000005</v>
      </c>
      <c r="EE30" s="399">
        <f t="shared" si="86"/>
        <v>396.16899999999953</v>
      </c>
      <c r="EF30" s="399">
        <f t="shared" si="86"/>
        <v>570</v>
      </c>
      <c r="EG30" s="399">
        <f t="shared" si="86"/>
        <v>622</v>
      </c>
      <c r="EH30" s="399">
        <f t="shared" si="86"/>
        <v>799.45</v>
      </c>
      <c r="EI30" s="399">
        <f t="shared" si="86"/>
        <v>934.31600000000003</v>
      </c>
      <c r="EJ30" s="399">
        <f t="shared" si="86"/>
        <v>1140</v>
      </c>
      <c r="EK30" s="399">
        <f t="shared" si="86"/>
        <v>1377</v>
      </c>
      <c r="EL30" s="399">
        <f t="shared" si="86"/>
        <v>1407</v>
      </c>
      <c r="EM30" s="399">
        <f t="shared" si="86"/>
        <v>1258</v>
      </c>
      <c r="EN30" s="399">
        <f t="shared" si="86"/>
        <v>1369</v>
      </c>
      <c r="EO30" s="399">
        <f t="shared" si="86"/>
        <v>1499</v>
      </c>
      <c r="EP30" s="399">
        <f>SUM(BV30:BY30)</f>
        <v>1360</v>
      </c>
      <c r="EQ30" s="399">
        <f>SUM(BZ30:CC30)</f>
        <v>1554</v>
      </c>
      <c r="ER30" s="1006">
        <f>SUM(CD30:CG30)</f>
        <v>1365</v>
      </c>
      <c r="ES30" s="399">
        <f>SUM(CH30:CK30)</f>
        <v>878</v>
      </c>
      <c r="ET30" s="399">
        <f>SUM(CL30:CO30)</f>
        <v>888</v>
      </c>
      <c r="EU30" s="1425">
        <f>SUM(CP30:CS30)</f>
        <v>721</v>
      </c>
      <c r="EV30" s="1425">
        <f>SUM(CT30:CW30)</f>
        <v>918</v>
      </c>
      <c r="EW30" s="1425">
        <f>SUM(CX30:DA30)</f>
        <v>935</v>
      </c>
      <c r="EX30" s="1930">
        <f>SUM(DB30:DE30)</f>
        <v>1132</v>
      </c>
      <c r="EY30" s="1930">
        <f>SUM(DF30:DI30)</f>
        <v>1357</v>
      </c>
      <c r="EZ30" s="1757">
        <f>SUM(DJ30:DM30)</f>
        <v>1422.1719664788041</v>
      </c>
      <c r="FA30" s="1425">
        <f t="shared" ref="FA30:FF30" si="87">FA25-FA27+FA29</f>
        <v>1453.6419444761691</v>
      </c>
      <c r="FB30" s="1425">
        <f t="shared" si="87"/>
        <v>1482.1013828946927</v>
      </c>
      <c r="FC30" s="1425">
        <f t="shared" si="87"/>
        <v>1460.9126877591102</v>
      </c>
      <c r="FD30" s="1425">
        <f t="shared" si="87"/>
        <v>1458.016029062725</v>
      </c>
      <c r="FE30" s="1425">
        <f t="shared" si="87"/>
        <v>1464.5872880199306</v>
      </c>
      <c r="FF30" s="1425">
        <f t="shared" si="87"/>
        <v>1460.2925930288907</v>
      </c>
      <c r="FG30" s="1425">
        <f>FG25-FG27+FG29</f>
        <v>1456.3977840833888</v>
      </c>
      <c r="FH30" s="1425">
        <f>FH25-FH27+FH29</f>
        <v>1464.1689576244253</v>
      </c>
      <c r="FI30" s="413"/>
      <c r="FJ30"/>
      <c r="FK30"/>
      <c r="FL30"/>
      <c r="FM30"/>
      <c r="FN30"/>
      <c r="FO30"/>
      <c r="FP30" s="4"/>
      <c r="FQ30" s="4"/>
      <c r="FR30" s="3"/>
      <c r="FS30" s="293"/>
      <c r="FT30" s="293"/>
      <c r="FU30"/>
      <c r="FV30" s="293"/>
      <c r="FW30" s="293"/>
      <c r="FX30" s="293"/>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row>
    <row r="31" spans="1:260" s="6" customFormat="1" x14ac:dyDescent="0.2">
      <c r="A31" s="361"/>
      <c r="B31" s="203"/>
      <c r="C31" s="203"/>
      <c r="D31" s="203"/>
      <c r="E31" s="458"/>
      <c r="F31" s="124"/>
      <c r="G31" s="124"/>
      <c r="H31" s="124"/>
      <c r="I31" s="458"/>
      <c r="J31" s="124"/>
      <c r="K31" s="124"/>
      <c r="L31" s="124"/>
      <c r="M31" s="458"/>
      <c r="N31" s="124"/>
      <c r="O31" s="124"/>
      <c r="P31" s="124"/>
      <c r="Q31" s="458"/>
      <c r="R31" s="124"/>
      <c r="S31" s="124"/>
      <c r="T31" s="124"/>
      <c r="U31" s="458"/>
      <c r="V31" s="124"/>
      <c r="W31" s="124"/>
      <c r="X31" s="124"/>
      <c r="Y31" s="458"/>
      <c r="Z31" s="124"/>
      <c r="AA31" s="124"/>
      <c r="AB31" s="124"/>
      <c r="AC31" s="458"/>
      <c r="AD31" s="124"/>
      <c r="AE31" s="124"/>
      <c r="AF31" s="124"/>
      <c r="AG31" s="458"/>
      <c r="AH31" s="124"/>
      <c r="AI31" s="124"/>
      <c r="AJ31" s="124"/>
      <c r="AK31" s="458"/>
      <c r="AL31" s="772"/>
      <c r="AM31" s="124"/>
      <c r="AN31" s="124"/>
      <c r="AO31" s="458"/>
      <c r="AP31" s="773"/>
      <c r="AQ31" s="124"/>
      <c r="AR31" s="124"/>
      <c r="AS31" s="458"/>
      <c r="AT31" s="124"/>
      <c r="AU31" s="124"/>
      <c r="AV31" s="124"/>
      <c r="AW31" s="771"/>
      <c r="AX31" s="773"/>
      <c r="AY31" s="773"/>
      <c r="AZ31" s="773"/>
      <c r="BA31" s="771"/>
      <c r="BB31" s="773"/>
      <c r="BC31" s="773"/>
      <c r="BD31" s="773"/>
      <c r="BE31" s="771"/>
      <c r="BF31" s="773"/>
      <c r="BG31" s="773"/>
      <c r="BH31" s="773"/>
      <c r="BI31" s="771"/>
      <c r="BJ31" s="773"/>
      <c r="BK31" s="773"/>
      <c r="BL31" s="773"/>
      <c r="BM31" s="771"/>
      <c r="BN31" s="773"/>
      <c r="BO31" s="773"/>
      <c r="BP31" s="773"/>
      <c r="BQ31" s="771"/>
      <c r="BR31" s="773"/>
      <c r="BS31" s="773"/>
      <c r="BT31" s="773"/>
      <c r="BU31" s="513"/>
      <c r="BV31" s="773"/>
      <c r="BW31" s="773"/>
      <c r="BX31" s="774"/>
      <c r="BY31" s="513"/>
      <c r="BZ31" s="773"/>
      <c r="CA31" s="773"/>
      <c r="CB31" s="774"/>
      <c r="CC31" s="513"/>
      <c r="CD31" s="773"/>
      <c r="CE31" s="773"/>
      <c r="CF31" s="774"/>
      <c r="CG31" s="513"/>
      <c r="CH31" s="773"/>
      <c r="CI31" s="773"/>
      <c r="CJ31" s="774"/>
      <c r="CK31" s="771"/>
      <c r="CL31" s="773"/>
      <c r="CM31" s="773"/>
      <c r="CN31" s="774"/>
      <c r="CO31" s="771"/>
      <c r="CP31" s="941"/>
      <c r="CQ31" s="363"/>
      <c r="CR31" s="363"/>
      <c r="CS31" s="771"/>
      <c r="CT31" s="941"/>
      <c r="CU31" s="363"/>
      <c r="CV31" s="363"/>
      <c r="CW31" s="771"/>
      <c r="CX31" s="363"/>
      <c r="CY31" s="363"/>
      <c r="CZ31" s="363"/>
      <c r="DA31" s="771"/>
      <c r="DB31" s="363"/>
      <c r="DC31" s="363"/>
      <c r="DD31" s="363"/>
      <c r="DE31" s="771"/>
      <c r="DF31" s="363"/>
      <c r="DG31" s="363"/>
      <c r="DH31" s="363"/>
      <c r="DI31" s="771"/>
      <c r="DJ31" s="2685"/>
      <c r="DK31" s="363"/>
      <c r="DL31" s="363"/>
      <c r="DM31" s="771"/>
      <c r="DN31" s="768"/>
      <c r="DO31" s="458"/>
      <c r="DP31" s="124"/>
      <c r="DQ31" s="124"/>
      <c r="DR31" s="124"/>
      <c r="DS31" s="124"/>
      <c r="DT31" s="124"/>
      <c r="DU31" s="124"/>
      <c r="DV31" s="124"/>
      <c r="DW31" s="124"/>
      <c r="DX31" s="124"/>
      <c r="DY31" s="124"/>
      <c r="DZ31" s="124"/>
      <c r="EA31" s="124"/>
      <c r="EB31" s="124"/>
      <c r="EC31" s="124"/>
      <c r="ED31" s="124"/>
      <c r="EE31" s="124"/>
      <c r="EF31" s="124"/>
      <c r="EG31" s="360"/>
      <c r="EH31" s="229"/>
      <c r="EI31" s="229"/>
      <c r="EJ31" s="229"/>
      <c r="EK31" s="229"/>
      <c r="EL31" s="229"/>
      <c r="EM31" s="229"/>
      <c r="EN31" s="229"/>
      <c r="EO31" s="229"/>
      <c r="EP31" s="229"/>
      <c r="EQ31" s="229"/>
      <c r="ER31" s="768"/>
      <c r="ES31" s="347"/>
      <c r="ET31" s="347"/>
      <c r="EU31" s="347"/>
      <c r="EV31" s="347"/>
      <c r="EW31" s="347"/>
      <c r="EX31" s="347"/>
      <c r="EY31" s="347"/>
      <c r="EZ31" s="1759"/>
      <c r="FA31" s="102"/>
      <c r="FB31" s="102"/>
      <c r="FC31" s="102"/>
      <c r="FD31" s="102"/>
      <c r="FE31" s="102"/>
      <c r="FF31" s="102"/>
      <c r="FG31" s="102"/>
      <c r="FH31" s="102"/>
      <c r="FI31" s="413"/>
      <c r="FJ31"/>
      <c r="FK31"/>
      <c r="FL31"/>
      <c r="FM31"/>
      <c r="FN31"/>
      <c r="FO31"/>
      <c r="FP31" s="4"/>
      <c r="FQ31" s="4"/>
      <c r="FR31" s="3"/>
      <c r="FS31" s="201"/>
      <c r="FT31" s="201"/>
      <c r="FU31"/>
      <c r="FV31" s="201"/>
      <c r="FW31" s="201"/>
      <c r="FX31" s="20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row>
    <row r="32" spans="1:260" s="6" customFormat="1" hidden="1" outlineLevel="1" x14ac:dyDescent="0.2">
      <c r="A32" s="20" t="s">
        <v>200</v>
      </c>
      <c r="B32" s="798">
        <v>0</v>
      </c>
      <c r="C32" s="798">
        <v>0</v>
      </c>
      <c r="D32" s="798">
        <v>0</v>
      </c>
      <c r="E32" s="799">
        <v>0</v>
      </c>
      <c r="F32" s="801">
        <v>0</v>
      </c>
      <c r="G32" s="801">
        <v>0</v>
      </c>
      <c r="H32" s="801">
        <v>0</v>
      </c>
      <c r="I32" s="799">
        <v>0</v>
      </c>
      <c r="J32" s="801">
        <v>0</v>
      </c>
      <c r="K32" s="801">
        <v>0</v>
      </c>
      <c r="L32" s="801">
        <v>0</v>
      </c>
      <c r="M32" s="799">
        <v>0</v>
      </c>
      <c r="N32" s="798">
        <v>0</v>
      </c>
      <c r="O32" s="801">
        <v>0</v>
      </c>
      <c r="P32" s="801">
        <v>0</v>
      </c>
      <c r="Q32" s="799">
        <v>0</v>
      </c>
      <c r="R32" s="801">
        <v>0</v>
      </c>
      <c r="S32" s="801">
        <v>0</v>
      </c>
      <c r="T32" s="801">
        <v>0</v>
      </c>
      <c r="U32" s="799">
        <v>0</v>
      </c>
      <c r="V32" s="801">
        <v>0</v>
      </c>
      <c r="W32" s="801">
        <v>0</v>
      </c>
      <c r="X32" s="801">
        <v>0</v>
      </c>
      <c r="Y32" s="799">
        <v>0</v>
      </c>
      <c r="Z32" s="798">
        <v>0</v>
      </c>
      <c r="AA32" s="801">
        <v>0</v>
      </c>
      <c r="AB32" s="801">
        <v>0</v>
      </c>
      <c r="AC32" s="799">
        <v>0</v>
      </c>
      <c r="AD32" s="798">
        <v>0</v>
      </c>
      <c r="AE32" s="801">
        <v>0</v>
      </c>
      <c r="AF32" s="801">
        <v>0</v>
      </c>
      <c r="AG32" s="799">
        <v>0</v>
      </c>
      <c r="AH32" s="798">
        <v>0</v>
      </c>
      <c r="AI32" s="801">
        <v>0</v>
      </c>
      <c r="AJ32" s="801">
        <v>0</v>
      </c>
      <c r="AK32" s="799">
        <v>0</v>
      </c>
      <c r="AL32" s="798">
        <v>0</v>
      </c>
      <c r="AM32" s="801">
        <v>0</v>
      </c>
      <c r="AN32" s="801">
        <v>0</v>
      </c>
      <c r="AO32" s="799">
        <v>0</v>
      </c>
      <c r="AP32" s="798">
        <v>0</v>
      </c>
      <c r="AQ32" s="801">
        <v>0</v>
      </c>
      <c r="AR32" s="801">
        <v>0</v>
      </c>
      <c r="AS32" s="799">
        <v>0</v>
      </c>
      <c r="AT32" s="798">
        <v>0</v>
      </c>
      <c r="AU32" s="801">
        <v>0</v>
      </c>
      <c r="AV32" s="801">
        <v>0</v>
      </c>
      <c r="AW32" s="799">
        <v>0</v>
      </c>
      <c r="AX32" s="801">
        <v>0</v>
      </c>
      <c r="AY32" s="801">
        <v>0</v>
      </c>
      <c r="AZ32" s="801">
        <v>0</v>
      </c>
      <c r="BA32" s="799">
        <v>0</v>
      </c>
      <c r="BB32" s="801">
        <v>0</v>
      </c>
      <c r="BC32" s="801">
        <v>0</v>
      </c>
      <c r="BD32" s="801">
        <v>0</v>
      </c>
      <c r="BE32" s="799">
        <v>0</v>
      </c>
      <c r="BF32" s="801">
        <v>0</v>
      </c>
      <c r="BG32" s="801">
        <v>0</v>
      </c>
      <c r="BH32" s="801">
        <v>0</v>
      </c>
      <c r="BI32" s="799">
        <v>0</v>
      </c>
      <c r="BJ32" s="801">
        <v>0</v>
      </c>
      <c r="BK32" s="801">
        <v>0</v>
      </c>
      <c r="BL32" s="798">
        <f>-111</f>
        <v>-111</v>
      </c>
      <c r="BM32" s="799">
        <f>-78-66</f>
        <v>-144</v>
      </c>
      <c r="BN32" s="801">
        <v>-52</v>
      </c>
      <c r="BO32" s="801">
        <v>0</v>
      </c>
      <c r="BP32" s="801">
        <v>0</v>
      </c>
      <c r="BQ32" s="799">
        <v>0</v>
      </c>
      <c r="BR32" s="801">
        <v>0</v>
      </c>
      <c r="BS32" s="801">
        <v>0</v>
      </c>
      <c r="BT32" s="801">
        <v>0</v>
      </c>
      <c r="BU32" s="799">
        <f>-24-198</f>
        <v>-222</v>
      </c>
      <c r="BV32" s="801">
        <f>-2</f>
        <v>-2</v>
      </c>
      <c r="BW32" s="801">
        <v>-2</v>
      </c>
      <c r="BX32" s="801">
        <f>(-13-137+55)+(BX27-72)+40</f>
        <v>-18</v>
      </c>
      <c r="BY32" s="799">
        <f>-1698-BY33-BY30</f>
        <v>-2461</v>
      </c>
      <c r="BZ32" s="801">
        <v>0</v>
      </c>
      <c r="CA32" s="801">
        <v>0</v>
      </c>
      <c r="CB32" s="801">
        <v>0</v>
      </c>
      <c r="CC32" s="799">
        <v>-140</v>
      </c>
      <c r="CD32" s="801">
        <v>-4</v>
      </c>
      <c r="CE32" s="801">
        <v>0</v>
      </c>
      <c r="CF32" s="801">
        <v>0</v>
      </c>
      <c r="CG32" s="799">
        <v>-2413</v>
      </c>
      <c r="CH32" s="801">
        <v>-85</v>
      </c>
      <c r="CI32" s="801">
        <v>-56</v>
      </c>
      <c r="CJ32" s="801">
        <f>(-36*0.65)</f>
        <v>-23.400000000000002</v>
      </c>
      <c r="CK32" s="799">
        <v>-962</v>
      </c>
      <c r="CL32" s="801">
        <v>-92</v>
      </c>
      <c r="CM32" s="801">
        <v>-58</v>
      </c>
      <c r="CN32" s="801">
        <v>-23</v>
      </c>
      <c r="CO32" s="799">
        <v>-959</v>
      </c>
      <c r="CP32" s="954">
        <v>-13</v>
      </c>
      <c r="CQ32" s="798">
        <v>125</v>
      </c>
      <c r="CR32" s="798">
        <v>1</v>
      </c>
      <c r="CS32" s="799">
        <f>(-115-65)*(0.65)</f>
        <v>-117</v>
      </c>
      <c r="CT32" s="954">
        <f>-6-2+353</f>
        <v>345</v>
      </c>
      <c r="CU32" s="798">
        <v>0</v>
      </c>
      <c r="CV32" s="798">
        <v>0</v>
      </c>
      <c r="CW32" s="799">
        <v>-7</v>
      </c>
      <c r="CX32" s="798">
        <f>67-8-3-11-178+2+37</f>
        <v>-94</v>
      </c>
      <c r="CY32" s="798">
        <f>-(174-164)</f>
        <v>-10</v>
      </c>
      <c r="CZ32" s="798">
        <f>-17+2</f>
        <v>-15</v>
      </c>
      <c r="DA32" s="799">
        <f>2+1-27-13-7-3</f>
        <v>-47</v>
      </c>
      <c r="DB32" s="798">
        <f>161-5-29+2-47</f>
        <v>82</v>
      </c>
      <c r="DC32" s="798">
        <v>0</v>
      </c>
      <c r="DD32" s="1343">
        <f>-8-1+3</f>
        <v>-6</v>
      </c>
      <c r="DE32" s="799">
        <f>-10-9+5</f>
        <v>-14</v>
      </c>
      <c r="DF32" s="798">
        <v>0</v>
      </c>
      <c r="DG32" s="798">
        <f>-2-5+2</f>
        <v>-5</v>
      </c>
      <c r="DH32" s="798">
        <v>2</v>
      </c>
      <c r="DI32" s="799">
        <f>-80-20-10-209-74+39</f>
        <v>-354</v>
      </c>
      <c r="DJ32" s="1670">
        <v>0</v>
      </c>
      <c r="DK32" s="798">
        <v>0</v>
      </c>
      <c r="DL32" s="798">
        <v>0</v>
      </c>
      <c r="DM32" s="799">
        <v>0</v>
      </c>
      <c r="DN32" s="768"/>
      <c r="DO32" s="458"/>
      <c r="DP32" s="801">
        <v>0</v>
      </c>
      <c r="DQ32" s="801">
        <v>0</v>
      </c>
      <c r="DR32" s="801">
        <v>0</v>
      </c>
      <c r="DS32" s="801">
        <v>0</v>
      </c>
      <c r="DT32" s="801">
        <v>0</v>
      </c>
      <c r="DU32" s="801">
        <v>0</v>
      </c>
      <c r="DV32" s="801">
        <v>0</v>
      </c>
      <c r="DW32" s="801">
        <v>0</v>
      </c>
      <c r="DX32" s="798">
        <f>SUM(B32:E32)</f>
        <v>0</v>
      </c>
      <c r="DY32" s="798">
        <f>SUM(F32:I32)</f>
        <v>0</v>
      </c>
      <c r="DZ32" s="798">
        <f>SUM(J32:M32)</f>
        <v>0</v>
      </c>
      <c r="EA32" s="798">
        <f>SUM(N32:Q32)</f>
        <v>0</v>
      </c>
      <c r="EB32" s="798">
        <f>SUM(R32:U32)</f>
        <v>0</v>
      </c>
      <c r="EC32" s="798">
        <f>SUM(V32:Y32)</f>
        <v>0</v>
      </c>
      <c r="ED32" s="798">
        <f>SUM(Z32:AC32)</f>
        <v>0</v>
      </c>
      <c r="EE32" s="798">
        <f>SUM(AD32:AG32)</f>
        <v>0</v>
      </c>
      <c r="EF32" s="798">
        <f>SUM(AH32:AK32)</f>
        <v>0</v>
      </c>
      <c r="EG32" s="798">
        <f>SUM(AL32:AO32)</f>
        <v>0</v>
      </c>
      <c r="EH32" s="798">
        <f>SUM(AP32:AS32)</f>
        <v>0</v>
      </c>
      <c r="EI32" s="798">
        <f>SUM(AT32:AW32)</f>
        <v>0</v>
      </c>
      <c r="EJ32" s="798">
        <f>SUM(AX32:BA32)</f>
        <v>0</v>
      </c>
      <c r="EK32" s="798">
        <f>SUM(BB32:BE32)</f>
        <v>0</v>
      </c>
      <c r="EL32" s="798">
        <f>SUM(BF32:BI32)</f>
        <v>0</v>
      </c>
      <c r="EM32" s="798">
        <f>SUM(BJ32:BM32)</f>
        <v>-255</v>
      </c>
      <c r="EN32" s="798">
        <f>SUM(BN32:BQ32)</f>
        <v>-52</v>
      </c>
      <c r="EO32" s="798">
        <f>SUM(BR32:BU32)</f>
        <v>-222</v>
      </c>
      <c r="EP32" s="798">
        <f>SUM(BV32:BY32)</f>
        <v>-2483</v>
      </c>
      <c r="EQ32" s="798">
        <f>SUM(BZ32:CC32)</f>
        <v>-140</v>
      </c>
      <c r="ER32" s="954">
        <f>SUM(CD32:CG32)</f>
        <v>-2417</v>
      </c>
      <c r="ES32" s="798">
        <f>SUM(CH32:CK32)</f>
        <v>-1126.4000000000001</v>
      </c>
      <c r="ET32" s="798">
        <f>SUM(CL32:CO32)</f>
        <v>-1132</v>
      </c>
      <c r="EU32" s="798">
        <f>SUM(CP32:CS32)</f>
        <v>-4</v>
      </c>
      <c r="EV32" s="798">
        <f>SUM(CT32:CW32)</f>
        <v>338</v>
      </c>
      <c r="EW32" s="798">
        <f>SUM(CX32:DA32)</f>
        <v>-166</v>
      </c>
      <c r="EX32" s="798">
        <f>SUM(DB32:DE32)</f>
        <v>62</v>
      </c>
      <c r="EY32" s="798">
        <f>SUM(DF32:DI32)</f>
        <v>-357</v>
      </c>
      <c r="EZ32" s="1670">
        <f>SUM(DJ32:DM32)</f>
        <v>0</v>
      </c>
      <c r="FA32" s="1580">
        <v>0</v>
      </c>
      <c r="FB32" s="1580">
        <v>0</v>
      </c>
      <c r="FC32" s="1580">
        <v>0</v>
      </c>
      <c r="FD32" s="1580">
        <v>0</v>
      </c>
      <c r="FE32" s="1580">
        <v>0</v>
      </c>
      <c r="FF32" s="1580">
        <v>0</v>
      </c>
      <c r="FG32" s="1580">
        <v>0</v>
      </c>
      <c r="FH32" s="1580">
        <v>0</v>
      </c>
      <c r="FI32" s="413"/>
      <c r="FJ32"/>
      <c r="FK32"/>
      <c r="FL32"/>
      <c r="FM32"/>
      <c r="FN32"/>
      <c r="FO32"/>
      <c r="FP32" s="4"/>
      <c r="FQ32" s="4"/>
      <c r="FR32" s="3"/>
      <c r="FS32" s="806"/>
      <c r="FT32" s="806"/>
      <c r="FU32"/>
      <c r="FV32" s="2027"/>
      <c r="FW32" s="2027"/>
      <c r="FX32" s="2027"/>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row>
    <row r="33" spans="1:260" s="6" customFormat="1" hidden="1" outlineLevel="1" x14ac:dyDescent="0.2">
      <c r="A33" s="20" t="s">
        <v>71</v>
      </c>
      <c r="B33" s="798">
        <v>0</v>
      </c>
      <c r="C33" s="798">
        <v>0</v>
      </c>
      <c r="D33" s="798">
        <v>0</v>
      </c>
      <c r="E33" s="799">
        <v>0</v>
      </c>
      <c r="F33" s="798">
        <v>0</v>
      </c>
      <c r="G33" s="798">
        <v>0</v>
      </c>
      <c r="H33" s="798">
        <v>0</v>
      </c>
      <c r="I33" s="799">
        <v>0</v>
      </c>
      <c r="J33" s="798">
        <v>0</v>
      </c>
      <c r="K33" s="798">
        <v>0</v>
      </c>
      <c r="L33" s="798">
        <v>0</v>
      </c>
      <c r="M33" s="799">
        <v>0</v>
      </c>
      <c r="N33" s="798">
        <v>0</v>
      </c>
      <c r="O33" s="798">
        <v>0</v>
      </c>
      <c r="P33" s="798">
        <v>0</v>
      </c>
      <c r="Q33" s="799">
        <v>0</v>
      </c>
      <c r="R33" s="798">
        <v>0</v>
      </c>
      <c r="S33" s="798">
        <v>0</v>
      </c>
      <c r="T33" s="798">
        <v>0</v>
      </c>
      <c r="U33" s="799">
        <v>0</v>
      </c>
      <c r="V33" s="798">
        <v>0</v>
      </c>
      <c r="W33" s="798">
        <v>0</v>
      </c>
      <c r="X33" s="798">
        <v>0</v>
      </c>
      <c r="Y33" s="799">
        <v>0</v>
      </c>
      <c r="Z33" s="798">
        <v>0</v>
      </c>
      <c r="AA33" s="798">
        <v>0</v>
      </c>
      <c r="AB33" s="798">
        <v>0</v>
      </c>
      <c r="AC33" s="799">
        <v>0</v>
      </c>
      <c r="AD33" s="798">
        <v>0</v>
      </c>
      <c r="AE33" s="798">
        <v>0</v>
      </c>
      <c r="AF33" s="798">
        <v>0</v>
      </c>
      <c r="AG33" s="799">
        <v>0</v>
      </c>
      <c r="AH33" s="798">
        <v>0</v>
      </c>
      <c r="AI33" s="798">
        <v>0</v>
      </c>
      <c r="AJ33" s="798">
        <v>0</v>
      </c>
      <c r="AK33" s="799">
        <v>0</v>
      </c>
      <c r="AL33" s="798">
        <v>0</v>
      </c>
      <c r="AM33" s="798">
        <v>0</v>
      </c>
      <c r="AN33" s="798">
        <v>0</v>
      </c>
      <c r="AO33" s="799">
        <f>-441-40-42</f>
        <v>-523</v>
      </c>
      <c r="AP33" s="798">
        <v>0</v>
      </c>
      <c r="AQ33" s="798">
        <v>0</v>
      </c>
      <c r="AR33" s="798">
        <v>0</v>
      </c>
      <c r="AS33" s="799">
        <f>-66-29</f>
        <v>-95</v>
      </c>
      <c r="AT33" s="798">
        <v>0</v>
      </c>
      <c r="AU33" s="798">
        <v>0</v>
      </c>
      <c r="AV33" s="798">
        <v>0</v>
      </c>
      <c r="AW33" s="799">
        <v>50</v>
      </c>
      <c r="AX33" s="798">
        <v>0</v>
      </c>
      <c r="AY33" s="798">
        <v>0</v>
      </c>
      <c r="AZ33" s="798">
        <v>0</v>
      </c>
      <c r="BA33" s="799">
        <v>0</v>
      </c>
      <c r="BB33" s="798">
        <v>0</v>
      </c>
      <c r="BC33" s="798">
        <v>0</v>
      </c>
      <c r="BD33" s="798">
        <v>0</v>
      </c>
      <c r="BE33" s="799">
        <v>0</v>
      </c>
      <c r="BF33" s="798">
        <v>0</v>
      </c>
      <c r="BG33" s="798">
        <v>0</v>
      </c>
      <c r="BH33" s="798">
        <v>0</v>
      </c>
      <c r="BI33" s="799">
        <v>0</v>
      </c>
      <c r="BJ33" s="798">
        <v>0</v>
      </c>
      <c r="BK33" s="798">
        <v>0</v>
      </c>
      <c r="BL33" s="798">
        <v>0</v>
      </c>
      <c r="BM33" s="799">
        <v>0</v>
      </c>
      <c r="BN33" s="801">
        <v>0</v>
      </c>
      <c r="BO33" s="801">
        <v>0</v>
      </c>
      <c r="BP33" s="801">
        <v>0</v>
      </c>
      <c r="BQ33" s="799">
        <v>0</v>
      </c>
      <c r="BR33" s="801">
        <v>0</v>
      </c>
      <c r="BS33" s="801">
        <v>0</v>
      </c>
      <c r="BT33" s="801">
        <v>0</v>
      </c>
      <c r="BU33" s="799">
        <v>0</v>
      </c>
      <c r="BV33" s="801">
        <v>0</v>
      </c>
      <c r="BW33" s="801">
        <v>0</v>
      </c>
      <c r="BX33" s="801">
        <v>0</v>
      </c>
      <c r="BY33" s="799">
        <f>-108</f>
        <v>-108</v>
      </c>
      <c r="BZ33" s="801">
        <f>-29+6</f>
        <v>-23</v>
      </c>
      <c r="CA33" s="801">
        <f>-33+10</f>
        <v>-23</v>
      </c>
      <c r="CB33" s="801">
        <f>-21+9</f>
        <v>-12</v>
      </c>
      <c r="CC33" s="799">
        <f>-85+13</f>
        <v>-72</v>
      </c>
      <c r="CD33" s="801">
        <f>-54+11</f>
        <v>-43</v>
      </c>
      <c r="CE33" s="801">
        <f>-37+15</f>
        <v>-22</v>
      </c>
      <c r="CF33" s="801">
        <f>-46+29</f>
        <v>-17</v>
      </c>
      <c r="CG33" s="799">
        <v>-80</v>
      </c>
      <c r="CH33" s="801">
        <v>-6</v>
      </c>
      <c r="CI33" s="801">
        <v>0</v>
      </c>
      <c r="CJ33" s="801">
        <v>0</v>
      </c>
      <c r="CK33" s="799">
        <v>-1</v>
      </c>
      <c r="CL33" s="801">
        <v>-11</v>
      </c>
      <c r="CM33" s="801">
        <v>-19</v>
      </c>
      <c r="CN33" s="801">
        <v>-1</v>
      </c>
      <c r="CO33" s="799">
        <v>26</v>
      </c>
      <c r="CP33" s="954">
        <v>-178</v>
      </c>
      <c r="CQ33" s="798">
        <v>31</v>
      </c>
      <c r="CR33" s="798">
        <v>0</v>
      </c>
      <c r="CS33" s="799">
        <v>0</v>
      </c>
      <c r="CT33" s="954">
        <v>0</v>
      </c>
      <c r="CU33" s="798">
        <v>0</v>
      </c>
      <c r="CV33" s="798">
        <v>0</v>
      </c>
      <c r="CW33" s="799">
        <v>-5</v>
      </c>
      <c r="CX33" s="798">
        <v>92</v>
      </c>
      <c r="CY33" s="798">
        <v>0</v>
      </c>
      <c r="CZ33" s="798">
        <v>-4</v>
      </c>
      <c r="DA33" s="799">
        <v>0</v>
      </c>
      <c r="DB33" s="798">
        <v>3</v>
      </c>
      <c r="DC33" s="798">
        <f>-1-3+1</f>
        <v>-3</v>
      </c>
      <c r="DD33" s="1343">
        <v>0</v>
      </c>
      <c r="DE33" s="799">
        <v>0</v>
      </c>
      <c r="DF33" s="798">
        <v>0</v>
      </c>
      <c r="DG33" s="798">
        <v>0</v>
      </c>
      <c r="DH33" s="798">
        <v>0</v>
      </c>
      <c r="DI33" s="799">
        <v>0</v>
      </c>
      <c r="DJ33" s="1670">
        <v>0</v>
      </c>
      <c r="DK33" s="798">
        <v>0</v>
      </c>
      <c r="DL33" s="798">
        <v>0</v>
      </c>
      <c r="DM33" s="799">
        <v>0</v>
      </c>
      <c r="DN33" s="768"/>
      <c r="DO33" s="458"/>
      <c r="DP33" s="801">
        <v>0</v>
      </c>
      <c r="DQ33" s="801">
        <v>0</v>
      </c>
      <c r="DR33" s="801">
        <v>0</v>
      </c>
      <c r="DS33" s="801">
        <v>0</v>
      </c>
      <c r="DT33" s="801">
        <v>0</v>
      </c>
      <c r="DU33" s="801">
        <v>0</v>
      </c>
      <c r="DV33" s="801">
        <v>0</v>
      </c>
      <c r="DW33" s="801">
        <v>0</v>
      </c>
      <c r="DX33" s="798">
        <f>SUM(B33:E33)</f>
        <v>0</v>
      </c>
      <c r="DY33" s="798">
        <f>SUM(F33:I33)</f>
        <v>0</v>
      </c>
      <c r="DZ33" s="798">
        <f>SUM(J33:M33)</f>
        <v>0</v>
      </c>
      <c r="EA33" s="798">
        <f>SUM(N33:Q33)</f>
        <v>0</v>
      </c>
      <c r="EB33" s="798">
        <f>SUM(R33:U33)</f>
        <v>0</v>
      </c>
      <c r="EC33" s="798">
        <f>SUM(V33:Y33)</f>
        <v>0</v>
      </c>
      <c r="ED33" s="798">
        <f>SUM(Z33:AC33)</f>
        <v>0</v>
      </c>
      <c r="EE33" s="798">
        <f>SUM(AD33:AG33)</f>
        <v>0</v>
      </c>
      <c r="EF33" s="798">
        <f>SUM(AH33:AK33)</f>
        <v>0</v>
      </c>
      <c r="EG33" s="798">
        <f>SUM(AL33:AO33)</f>
        <v>-523</v>
      </c>
      <c r="EH33" s="798">
        <f>SUM(AP33:AS33)</f>
        <v>-95</v>
      </c>
      <c r="EI33" s="798">
        <f>SUM(AT33:AW33)</f>
        <v>50</v>
      </c>
      <c r="EJ33" s="798">
        <f>SUM(AX33:BA33)</f>
        <v>0</v>
      </c>
      <c r="EK33" s="798">
        <f>SUM(BB33:BE33)</f>
        <v>0</v>
      </c>
      <c r="EL33" s="798">
        <f>SUM(BF33:BI33)</f>
        <v>0</v>
      </c>
      <c r="EM33" s="798">
        <f>SUM(BJ33:BM33)</f>
        <v>0</v>
      </c>
      <c r="EN33" s="798">
        <f>SUM(BN33:BQ33)</f>
        <v>0</v>
      </c>
      <c r="EO33" s="798">
        <f>SUM(BR33:BU33)</f>
        <v>0</v>
      </c>
      <c r="EP33" s="798">
        <f>SUM(BV33:BY33)</f>
        <v>-108</v>
      </c>
      <c r="EQ33" s="798">
        <f>SUM(BZ33:CC33)</f>
        <v>-130</v>
      </c>
      <c r="ER33" s="954">
        <f>SUM(CD33:CG33)</f>
        <v>-162</v>
      </c>
      <c r="ES33" s="798">
        <f>SUM(CH33:CK33)</f>
        <v>-7</v>
      </c>
      <c r="ET33" s="798">
        <f>SUM(CL33:CO33)</f>
        <v>-5</v>
      </c>
      <c r="EU33" s="798">
        <f>SUM(CP33:CS33)</f>
        <v>-147</v>
      </c>
      <c r="EV33" s="798">
        <f>SUM(CT33:CW33)</f>
        <v>-5</v>
      </c>
      <c r="EW33" s="798">
        <f>SUM(CX33:DA33)</f>
        <v>88</v>
      </c>
      <c r="EX33" s="798">
        <f>SUM(DB33:DE33)</f>
        <v>0</v>
      </c>
      <c r="EY33" s="798">
        <f>SUM(DF33:DI33)</f>
        <v>0</v>
      </c>
      <c r="EZ33" s="1670">
        <f>SUM(DJ33:DM33)</f>
        <v>0</v>
      </c>
      <c r="FA33" s="1580">
        <v>0</v>
      </c>
      <c r="FB33" s="1580">
        <v>0</v>
      </c>
      <c r="FC33" s="1580">
        <v>0</v>
      </c>
      <c r="FD33" s="1580">
        <v>0</v>
      </c>
      <c r="FE33" s="1580">
        <v>0</v>
      </c>
      <c r="FF33" s="1580">
        <v>0</v>
      </c>
      <c r="FG33" s="1580">
        <v>0</v>
      </c>
      <c r="FH33" s="1580">
        <v>0</v>
      </c>
      <c r="FI33" s="413"/>
      <c r="FJ33"/>
      <c r="FK33"/>
      <c r="FL33"/>
      <c r="FM33"/>
      <c r="FN33"/>
      <c r="FO33"/>
      <c r="FP33" s="4"/>
      <c r="FQ33" s="4"/>
      <c r="FR33" s="3"/>
      <c r="FS33" s="806"/>
      <c r="FT33" s="806"/>
      <c r="FU33"/>
      <c r="FV33" s="2027"/>
      <c r="FW33" s="2027"/>
      <c r="FX33" s="2027"/>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row>
    <row r="34" spans="1:260" s="19" customFormat="1" hidden="1" outlineLevel="1" x14ac:dyDescent="0.2">
      <c r="A34" s="362" t="s">
        <v>325</v>
      </c>
      <c r="B34" s="1003">
        <f t="shared" ref="B34:AG34" si="88">B30+B32+B33</f>
        <v>1.5159999999999922</v>
      </c>
      <c r="C34" s="1003">
        <f t="shared" si="88"/>
        <v>7.5940000000000314</v>
      </c>
      <c r="D34" s="1003">
        <f t="shared" si="88"/>
        <v>11.160999999999948</v>
      </c>
      <c r="E34" s="1004">
        <f t="shared" si="88"/>
        <v>21.439000000000028</v>
      </c>
      <c r="F34" s="1003">
        <f t="shared" si="88"/>
        <v>4.2310000000000025</v>
      </c>
      <c r="G34" s="1003">
        <f t="shared" si="88"/>
        <v>7.5999999999999632</v>
      </c>
      <c r="H34" s="1003">
        <f t="shared" si="88"/>
        <v>17.702000000000062</v>
      </c>
      <c r="I34" s="1004">
        <f t="shared" si="88"/>
        <v>28.107999999999986</v>
      </c>
      <c r="J34" s="1003">
        <f t="shared" si="88"/>
        <v>4.6450000000001834</v>
      </c>
      <c r="K34" s="1003">
        <f t="shared" si="88"/>
        <v>5.7140000000000875</v>
      </c>
      <c r="L34" s="1003">
        <f t="shared" si="88"/>
        <v>17.802000000000049</v>
      </c>
      <c r="M34" s="1004">
        <f t="shared" si="88"/>
        <v>19.830999999999971</v>
      </c>
      <c r="N34" s="1003">
        <f t="shared" si="88"/>
        <v>0.40899999999985548</v>
      </c>
      <c r="O34" s="1003">
        <f t="shared" si="88"/>
        <v>3.7880000000001686</v>
      </c>
      <c r="P34" s="1003">
        <f t="shared" si="88"/>
        <v>-10.972999999999956</v>
      </c>
      <c r="Q34" s="1004">
        <f t="shared" si="88"/>
        <v>8.5239999999997806</v>
      </c>
      <c r="R34" s="1003">
        <f t="shared" si="88"/>
        <v>-2.6389999999999625</v>
      </c>
      <c r="S34" s="1003">
        <f t="shared" si="88"/>
        <v>6.6479999999998745</v>
      </c>
      <c r="T34" s="1003">
        <f t="shared" si="88"/>
        <v>26.39799999999989</v>
      </c>
      <c r="U34" s="1004">
        <f t="shared" si="88"/>
        <v>64.025999999999854</v>
      </c>
      <c r="V34" s="1003">
        <f t="shared" si="88"/>
        <v>12.477000000000103</v>
      </c>
      <c r="W34" s="1003">
        <f t="shared" si="88"/>
        <v>41.455000000000005</v>
      </c>
      <c r="X34" s="1003">
        <f t="shared" si="88"/>
        <v>53.543000000000134</v>
      </c>
      <c r="Y34" s="1004">
        <f t="shared" si="88"/>
        <v>108.80700000000033</v>
      </c>
      <c r="Z34" s="1003">
        <f t="shared" si="88"/>
        <v>46.808999999999962</v>
      </c>
      <c r="AA34" s="1003">
        <f t="shared" si="88"/>
        <v>58.066999999999993</v>
      </c>
      <c r="AB34" s="1003">
        <f t="shared" si="88"/>
        <v>78.389000000000181</v>
      </c>
      <c r="AC34" s="1004">
        <f t="shared" si="88"/>
        <v>163.80499999999989</v>
      </c>
      <c r="AD34" s="1003">
        <f t="shared" si="88"/>
        <v>72.157999999999859</v>
      </c>
      <c r="AE34" s="1003">
        <f t="shared" si="88"/>
        <v>76.747999999999905</v>
      </c>
      <c r="AF34" s="1003">
        <f t="shared" si="88"/>
        <v>57.262999999999693</v>
      </c>
      <c r="AG34" s="1004">
        <f t="shared" si="88"/>
        <v>190.00000000000006</v>
      </c>
      <c r="AH34" s="1003">
        <f t="shared" ref="AH34:BM34" si="89">AH30+AH32+AH33</f>
        <v>55</v>
      </c>
      <c r="AI34" s="1003">
        <f t="shared" si="89"/>
        <v>85</v>
      </c>
      <c r="AJ34" s="1003">
        <f t="shared" si="89"/>
        <v>80</v>
      </c>
      <c r="AK34" s="1004">
        <f t="shared" si="89"/>
        <v>350</v>
      </c>
      <c r="AL34" s="1003">
        <f t="shared" si="89"/>
        <v>79</v>
      </c>
      <c r="AM34" s="1003">
        <f t="shared" si="89"/>
        <v>79</v>
      </c>
      <c r="AN34" s="1003">
        <f t="shared" si="89"/>
        <v>86</v>
      </c>
      <c r="AO34" s="1004">
        <f t="shared" si="89"/>
        <v>-145</v>
      </c>
      <c r="AP34" s="1003">
        <f t="shared" si="89"/>
        <v>69</v>
      </c>
      <c r="AQ34" s="1003">
        <f t="shared" si="89"/>
        <v>139.44999999999999</v>
      </c>
      <c r="AR34" s="1003">
        <f t="shared" si="89"/>
        <v>122</v>
      </c>
      <c r="AS34" s="1004">
        <f t="shared" si="89"/>
        <v>374</v>
      </c>
      <c r="AT34" s="1003">
        <f t="shared" si="89"/>
        <v>113.896</v>
      </c>
      <c r="AU34" s="1003">
        <f t="shared" si="89"/>
        <v>150.42000000000002</v>
      </c>
      <c r="AV34" s="1003">
        <f t="shared" si="89"/>
        <v>148</v>
      </c>
      <c r="AW34" s="1004">
        <f t="shared" si="89"/>
        <v>572</v>
      </c>
      <c r="AX34" s="1003">
        <f t="shared" si="89"/>
        <v>170</v>
      </c>
      <c r="AY34" s="1003">
        <f t="shared" si="89"/>
        <v>188</v>
      </c>
      <c r="AZ34" s="1003">
        <f t="shared" si="89"/>
        <v>138</v>
      </c>
      <c r="BA34" s="1004">
        <f t="shared" si="89"/>
        <v>644</v>
      </c>
      <c r="BB34" s="1003">
        <f t="shared" si="89"/>
        <v>234</v>
      </c>
      <c r="BC34" s="1003">
        <f t="shared" si="89"/>
        <v>230</v>
      </c>
      <c r="BD34" s="1003">
        <f t="shared" si="89"/>
        <v>150</v>
      </c>
      <c r="BE34" s="1004">
        <f t="shared" si="89"/>
        <v>763</v>
      </c>
      <c r="BF34" s="1003">
        <f t="shared" si="89"/>
        <v>192</v>
      </c>
      <c r="BG34" s="1003">
        <f t="shared" si="89"/>
        <v>250</v>
      </c>
      <c r="BH34" s="1003">
        <f t="shared" si="89"/>
        <v>228</v>
      </c>
      <c r="BI34" s="1004">
        <f t="shared" si="89"/>
        <v>737</v>
      </c>
      <c r="BJ34" s="1003">
        <f t="shared" si="89"/>
        <v>179</v>
      </c>
      <c r="BK34" s="1003">
        <f t="shared" si="89"/>
        <v>202</v>
      </c>
      <c r="BL34" s="1003">
        <f t="shared" si="89"/>
        <v>52</v>
      </c>
      <c r="BM34" s="1004">
        <f t="shared" si="89"/>
        <v>570</v>
      </c>
      <c r="BN34" s="1003">
        <f t="shared" ref="BN34:BY34" si="90">BN30+BN32+BN33</f>
        <v>153</v>
      </c>
      <c r="BO34" s="1003">
        <f t="shared" si="90"/>
        <v>158</v>
      </c>
      <c r="BP34" s="1003">
        <f t="shared" si="90"/>
        <v>227</v>
      </c>
      <c r="BQ34" s="1004">
        <f t="shared" si="90"/>
        <v>779</v>
      </c>
      <c r="BR34" s="1003">
        <f t="shared" si="90"/>
        <v>155</v>
      </c>
      <c r="BS34" s="1003">
        <f t="shared" si="90"/>
        <v>254</v>
      </c>
      <c r="BT34" s="1003">
        <f t="shared" si="90"/>
        <v>217</v>
      </c>
      <c r="BU34" s="1004">
        <f t="shared" si="90"/>
        <v>651</v>
      </c>
      <c r="BV34" s="1003">
        <f t="shared" si="90"/>
        <v>136</v>
      </c>
      <c r="BW34" s="1003">
        <f t="shared" si="90"/>
        <v>177</v>
      </c>
      <c r="BX34" s="1003">
        <f t="shared" si="90"/>
        <v>154</v>
      </c>
      <c r="BY34" s="1004">
        <f t="shared" si="90"/>
        <v>-1698</v>
      </c>
      <c r="BZ34" s="1003">
        <f t="shared" ref="BZ34:CV34" si="91">BZ30+BZ32+BZ33</f>
        <v>202</v>
      </c>
      <c r="CA34" s="1003">
        <f t="shared" si="91"/>
        <v>195</v>
      </c>
      <c r="CB34" s="1003">
        <f t="shared" si="91"/>
        <v>229</v>
      </c>
      <c r="CC34" s="1004">
        <f t="shared" si="91"/>
        <v>658</v>
      </c>
      <c r="CD34" s="1003">
        <f t="shared" si="91"/>
        <v>212</v>
      </c>
      <c r="CE34" s="1003">
        <f t="shared" si="91"/>
        <v>128</v>
      </c>
      <c r="CF34" s="1003">
        <f t="shared" si="91"/>
        <v>156</v>
      </c>
      <c r="CG34" s="1004">
        <f t="shared" si="91"/>
        <v>-1710</v>
      </c>
      <c r="CH34" s="1003">
        <f t="shared" si="91"/>
        <v>155</v>
      </c>
      <c r="CI34" s="1003">
        <f t="shared" si="91"/>
        <v>12</v>
      </c>
      <c r="CJ34" s="1003">
        <f t="shared" si="91"/>
        <v>-13.400000000000002</v>
      </c>
      <c r="CK34" s="1004">
        <f t="shared" si="91"/>
        <v>-409</v>
      </c>
      <c r="CL34" s="1003">
        <f t="shared" si="91"/>
        <v>158</v>
      </c>
      <c r="CM34" s="1003">
        <f t="shared" si="91"/>
        <v>12</v>
      </c>
      <c r="CN34" s="1003">
        <f t="shared" si="91"/>
        <v>-10</v>
      </c>
      <c r="CO34" s="1004">
        <f t="shared" si="91"/>
        <v>-409</v>
      </c>
      <c r="CP34" s="1057">
        <f t="shared" si="91"/>
        <v>-66</v>
      </c>
      <c r="CQ34" s="1003">
        <f t="shared" si="91"/>
        <v>260</v>
      </c>
      <c r="CR34" s="1003">
        <f t="shared" si="91"/>
        <v>69</v>
      </c>
      <c r="CS34" s="1004">
        <f t="shared" si="91"/>
        <v>307</v>
      </c>
      <c r="CT34" s="1057">
        <f t="shared" si="91"/>
        <v>468</v>
      </c>
      <c r="CU34" s="1003">
        <f t="shared" si="91"/>
        <v>148</v>
      </c>
      <c r="CV34" s="1003">
        <f t="shared" si="91"/>
        <v>121</v>
      </c>
      <c r="CW34" s="1004">
        <f t="shared" ref="CW34:DE34" si="92">CW30+CW32+CW33</f>
        <v>514</v>
      </c>
      <c r="CX34" s="1003">
        <f t="shared" si="92"/>
        <v>122</v>
      </c>
      <c r="CY34" s="1003">
        <f t="shared" si="92"/>
        <v>155</v>
      </c>
      <c r="CZ34" s="1003">
        <f>CZ30+CZ32+CZ33</f>
        <v>119</v>
      </c>
      <c r="DA34" s="1004">
        <f>DA30+DA32+DA33</f>
        <v>461</v>
      </c>
      <c r="DB34" s="1003">
        <f>DB30+DB32+DB33</f>
        <v>226</v>
      </c>
      <c r="DC34" s="1003">
        <f t="shared" si="92"/>
        <v>180</v>
      </c>
      <c r="DD34" s="1003">
        <f t="shared" si="92"/>
        <v>187</v>
      </c>
      <c r="DE34" s="1004">
        <f t="shared" si="92"/>
        <v>601</v>
      </c>
      <c r="DF34" s="1003">
        <f t="shared" ref="DF34:DM34" si="93">DF30+DF32+DF33</f>
        <v>188</v>
      </c>
      <c r="DG34" s="1003">
        <f t="shared" si="93"/>
        <v>209</v>
      </c>
      <c r="DH34" s="1003">
        <f t="shared" si="93"/>
        <v>239</v>
      </c>
      <c r="DI34" s="1004">
        <f t="shared" si="93"/>
        <v>364</v>
      </c>
      <c r="DJ34" s="1760">
        <f t="shared" si="93"/>
        <v>215.71264211991061</v>
      </c>
      <c r="DK34" s="1003">
        <f t="shared" si="93"/>
        <v>232.38419664571583</v>
      </c>
      <c r="DL34" s="1003">
        <f t="shared" si="93"/>
        <v>263.56814296394919</v>
      </c>
      <c r="DM34" s="1004">
        <f t="shared" si="93"/>
        <v>710.50698474922842</v>
      </c>
      <c r="DN34" s="1005"/>
      <c r="DO34" s="814"/>
      <c r="DP34" s="399">
        <f>DP30+DP32+DP33</f>
        <v>4.0600099999999921</v>
      </c>
      <c r="DQ34" s="399">
        <f t="shared" ref="DQ34:DW34" si="94">DQ30+DQ32+DQ33</f>
        <v>7.3980000000000032</v>
      </c>
      <c r="DR34" s="399">
        <f t="shared" si="94"/>
        <v>2.7682000000000255</v>
      </c>
      <c r="DS34" s="399">
        <f t="shared" si="94"/>
        <v>2.060099999999931</v>
      </c>
      <c r="DT34" s="399">
        <f t="shared" si="94"/>
        <v>5.683000000000006</v>
      </c>
      <c r="DU34" s="399">
        <f t="shared" si="94"/>
        <v>4.5399999999999139</v>
      </c>
      <c r="DV34" s="399">
        <f t="shared" si="94"/>
        <v>9.6010000000000115</v>
      </c>
      <c r="DW34" s="399">
        <f t="shared" si="94"/>
        <v>19.855000000000096</v>
      </c>
      <c r="DX34" s="1003">
        <f t="shared" ref="DX34:EO34" si="95">DX30+DX32+DX33</f>
        <v>41.71</v>
      </c>
      <c r="DY34" s="1003">
        <f t="shared" si="95"/>
        <v>57.641000000000012</v>
      </c>
      <c r="DZ34" s="1003">
        <f t="shared" si="95"/>
        <v>47.992000000000303</v>
      </c>
      <c r="EA34" s="1003">
        <f t="shared" si="95"/>
        <v>1.7479999999994549</v>
      </c>
      <c r="EB34" s="1003">
        <f t="shared" si="95"/>
        <v>94.432999999999666</v>
      </c>
      <c r="EC34" s="1003">
        <f t="shared" si="95"/>
        <v>216.28200000000109</v>
      </c>
      <c r="ED34" s="1003">
        <f t="shared" si="95"/>
        <v>347.07000000000005</v>
      </c>
      <c r="EE34" s="1003">
        <f t="shared" si="95"/>
        <v>396.16899999999953</v>
      </c>
      <c r="EF34" s="1003">
        <f t="shared" si="95"/>
        <v>570</v>
      </c>
      <c r="EG34" s="1003">
        <f t="shared" si="95"/>
        <v>99</v>
      </c>
      <c r="EH34" s="1003">
        <f t="shared" si="95"/>
        <v>704.45</v>
      </c>
      <c r="EI34" s="1003">
        <f t="shared" si="95"/>
        <v>984.31600000000003</v>
      </c>
      <c r="EJ34" s="1003">
        <f t="shared" si="95"/>
        <v>1140</v>
      </c>
      <c r="EK34" s="1003">
        <f t="shared" si="95"/>
        <v>1377</v>
      </c>
      <c r="EL34" s="1003">
        <f t="shared" si="95"/>
        <v>1407</v>
      </c>
      <c r="EM34" s="1003">
        <f t="shared" si="95"/>
        <v>1003</v>
      </c>
      <c r="EN34" s="1003">
        <f t="shared" si="95"/>
        <v>1317</v>
      </c>
      <c r="EO34" s="1003">
        <f t="shared" si="95"/>
        <v>1277</v>
      </c>
      <c r="EP34" s="399">
        <f>SUM(BV34:BY34)</f>
        <v>-1231</v>
      </c>
      <c r="EQ34" s="399">
        <f>SUM(BZ34:CC34)</f>
        <v>1284</v>
      </c>
      <c r="ER34" s="1006">
        <f>SUM(CD34:CG34)</f>
        <v>-1214</v>
      </c>
      <c r="ES34" s="399">
        <f>SUM(CH34:CK34)</f>
        <v>-255.4</v>
      </c>
      <c r="ET34" s="399">
        <f>SUM(CL34:CO34)</f>
        <v>-249</v>
      </c>
      <c r="EU34" s="1003">
        <f t="shared" ref="EU34:FC34" si="96">EU30+EU32+EU33</f>
        <v>570</v>
      </c>
      <c r="EV34" s="1003">
        <f t="shared" si="96"/>
        <v>1251</v>
      </c>
      <c r="EW34" s="1003">
        <f>EW30+EW32+EW33</f>
        <v>857</v>
      </c>
      <c r="EX34" s="1003">
        <f>EX30+EX32+EX33</f>
        <v>1194</v>
      </c>
      <c r="EY34" s="1003">
        <f>EY30+EY32+EY33</f>
        <v>1000</v>
      </c>
      <c r="EZ34" s="1760">
        <f>EZ30+EZ32+EZ33</f>
        <v>1422.1719664788041</v>
      </c>
      <c r="FA34" s="399">
        <f t="shared" si="96"/>
        <v>1453.6419444761691</v>
      </c>
      <c r="FB34" s="399">
        <f t="shared" si="96"/>
        <v>1482.1013828946927</v>
      </c>
      <c r="FC34" s="399">
        <f t="shared" si="96"/>
        <v>1460.9126877591102</v>
      </c>
      <c r="FD34" s="399">
        <f>FD30+FD32+FD33</f>
        <v>1458.016029062725</v>
      </c>
      <c r="FE34" s="399">
        <f>FE30+FE32+FE33</f>
        <v>1464.5872880199306</v>
      </c>
      <c r="FF34" s="399">
        <f>FF30+FF32+FF33</f>
        <v>1460.2925930288907</v>
      </c>
      <c r="FG34" s="399">
        <f>FG30+FG32+FG33</f>
        <v>1456.3977840833888</v>
      </c>
      <c r="FH34" s="399">
        <f>FH30+FH32+FH33</f>
        <v>1464.1689576244253</v>
      </c>
      <c r="FI34" s="416"/>
      <c r="FJ34"/>
      <c r="FK34"/>
      <c r="FL34"/>
      <c r="FM34"/>
      <c r="FN34"/>
      <c r="FO34"/>
      <c r="FQ34" s="4"/>
      <c r="FR34" s="401"/>
      <c r="FS34" s="813"/>
      <c r="FT34" s="813"/>
      <c r="FU34"/>
      <c r="FV34" s="813"/>
      <c r="FW34" s="813"/>
      <c r="FX34" s="813"/>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row>
    <row r="35" spans="1:260" s="4" customFormat="1" hidden="1" outlineLevel="1" x14ac:dyDescent="0.2">
      <c r="A35" s="362"/>
      <c r="B35" s="526"/>
      <c r="C35" s="526"/>
      <c r="D35" s="526"/>
      <c r="E35" s="817"/>
      <c r="F35" s="526"/>
      <c r="G35" s="526"/>
      <c r="H35" s="526"/>
      <c r="I35" s="817"/>
      <c r="J35" s="526"/>
      <c r="K35" s="526"/>
      <c r="L35" s="526"/>
      <c r="M35" s="817"/>
      <c r="N35" s="526"/>
      <c r="O35" s="526"/>
      <c r="P35" s="526"/>
      <c r="Q35" s="817"/>
      <c r="R35" s="526"/>
      <c r="S35" s="526"/>
      <c r="T35" s="526"/>
      <c r="U35" s="817"/>
      <c r="V35" s="526"/>
      <c r="W35" s="526"/>
      <c r="X35" s="526"/>
      <c r="Y35" s="817"/>
      <c r="Z35" s="526"/>
      <c r="AA35" s="526"/>
      <c r="AB35" s="526"/>
      <c r="AC35" s="817"/>
      <c r="AD35" s="526"/>
      <c r="AE35" s="526"/>
      <c r="AF35" s="526"/>
      <c r="AG35" s="817"/>
      <c r="AH35" s="526"/>
      <c r="AI35" s="526"/>
      <c r="AJ35" s="526"/>
      <c r="AK35" s="817"/>
      <c r="AL35" s="526"/>
      <c r="AM35" s="526"/>
      <c r="AN35" s="526"/>
      <c r="AO35" s="817"/>
      <c r="AP35" s="526"/>
      <c r="AQ35" s="526"/>
      <c r="AR35" s="526"/>
      <c r="AS35" s="817"/>
      <c r="AT35" s="526"/>
      <c r="AU35" s="526"/>
      <c r="AV35" s="526"/>
      <c r="AW35" s="817"/>
      <c r="AX35" s="526"/>
      <c r="AY35" s="526"/>
      <c r="AZ35" s="526"/>
      <c r="BA35" s="817"/>
      <c r="BB35" s="526"/>
      <c r="BC35" s="526"/>
      <c r="BD35" s="526"/>
      <c r="BE35" s="817"/>
      <c r="BF35" s="526"/>
      <c r="BG35" s="526"/>
      <c r="BH35" s="526"/>
      <c r="BI35" s="817"/>
      <c r="BJ35" s="526"/>
      <c r="BK35" s="526"/>
      <c r="BL35" s="526"/>
      <c r="BM35" s="817"/>
      <c r="BN35" s="526"/>
      <c r="BO35" s="526"/>
      <c r="BP35" s="526"/>
      <c r="BQ35" s="817"/>
      <c r="BR35" s="526"/>
      <c r="BS35" s="526"/>
      <c r="BT35" s="526"/>
      <c r="BU35" s="817"/>
      <c r="BV35" s="526"/>
      <c r="BW35" s="526"/>
      <c r="BX35" s="526"/>
      <c r="BY35" s="817"/>
      <c r="BZ35" s="526"/>
      <c r="CA35" s="526"/>
      <c r="CB35" s="526"/>
      <c r="CC35" s="817"/>
      <c r="CD35" s="526"/>
      <c r="CE35" s="526"/>
      <c r="CF35" s="526"/>
      <c r="CG35" s="817"/>
      <c r="CH35" s="526"/>
      <c r="CI35" s="526"/>
      <c r="CJ35" s="526"/>
      <c r="CK35" s="817"/>
      <c r="CL35" s="526"/>
      <c r="CM35" s="526"/>
      <c r="CN35" s="526"/>
      <c r="CO35" s="817"/>
      <c r="CP35" s="955"/>
      <c r="CQ35" s="526"/>
      <c r="CR35" s="526"/>
      <c r="CS35" s="817"/>
      <c r="CT35" s="955"/>
      <c r="CU35" s="526"/>
      <c r="CV35" s="526"/>
      <c r="CW35" s="817"/>
      <c r="CX35" s="526"/>
      <c r="CY35" s="1349"/>
      <c r="CZ35" s="526"/>
      <c r="DA35" s="817"/>
      <c r="DB35" s="526"/>
      <c r="DC35" s="526"/>
      <c r="DD35" s="526"/>
      <c r="DE35" s="817"/>
      <c r="DF35" s="526"/>
      <c r="DG35" s="526"/>
      <c r="DH35" s="526"/>
      <c r="DI35" s="817"/>
      <c r="DJ35" s="1761"/>
      <c r="DK35" s="526"/>
      <c r="DL35" s="526"/>
      <c r="DM35" s="817"/>
      <c r="DN35" s="955"/>
      <c r="DO35" s="532"/>
      <c r="DP35" s="394"/>
      <c r="DQ35" s="394"/>
      <c r="DR35" s="394"/>
      <c r="DS35" s="394"/>
      <c r="DT35" s="394"/>
      <c r="DU35" s="394"/>
      <c r="DV35" s="394"/>
      <c r="DW35" s="394"/>
      <c r="DX35" s="526"/>
      <c r="DY35" s="526"/>
      <c r="DZ35" s="526"/>
      <c r="EA35" s="526"/>
      <c r="EB35" s="526"/>
      <c r="EC35" s="526"/>
      <c r="ED35" s="526"/>
      <c r="EE35" s="526"/>
      <c r="EF35" s="526"/>
      <c r="EG35" s="526"/>
      <c r="EH35" s="526"/>
      <c r="EI35" s="526"/>
      <c r="EJ35" s="526"/>
      <c r="EK35" s="526"/>
      <c r="EL35" s="526"/>
      <c r="EM35" s="526"/>
      <c r="EN35" s="526"/>
      <c r="EO35" s="526"/>
      <c r="EP35" s="394"/>
      <c r="EQ35" s="394"/>
      <c r="ER35" s="1077"/>
      <c r="ES35" s="394"/>
      <c r="ET35" s="394"/>
      <c r="EU35" s="526"/>
      <c r="EV35" s="526"/>
      <c r="EW35" s="526"/>
      <c r="EX35" s="526"/>
      <c r="EY35" s="526"/>
      <c r="EZ35" s="1761"/>
      <c r="FA35" s="394"/>
      <c r="FB35" s="394"/>
      <c r="FC35" s="394"/>
      <c r="FD35" s="394"/>
      <c r="FE35" s="394"/>
      <c r="FF35" s="394"/>
      <c r="FG35" s="394"/>
      <c r="FH35" s="394"/>
      <c r="FI35" s="413"/>
      <c r="FJ35"/>
      <c r="FK35"/>
      <c r="FL35"/>
      <c r="FM35"/>
      <c r="FN35"/>
      <c r="FO35"/>
      <c r="FR35" s="3"/>
      <c r="FS35" s="892"/>
      <c r="FT35" s="892"/>
      <c r="FU35"/>
      <c r="FV35" s="892"/>
      <c r="FW35" s="892"/>
      <c r="FX35" s="892"/>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row>
    <row r="36" spans="1:260" s="19" customFormat="1" collapsed="1" x14ac:dyDescent="0.2">
      <c r="A36" s="122"/>
      <c r="B36" s="811"/>
      <c r="C36" s="811"/>
      <c r="D36" s="811"/>
      <c r="E36" s="812"/>
      <c r="F36" s="811"/>
      <c r="G36" s="811"/>
      <c r="H36" s="811"/>
      <c r="I36" s="812"/>
      <c r="J36" s="811"/>
      <c r="K36" s="811"/>
      <c r="L36" s="811"/>
      <c r="M36" s="812"/>
      <c r="N36" s="811"/>
      <c r="O36" s="811"/>
      <c r="P36" s="811"/>
      <c r="Q36" s="812"/>
      <c r="R36" s="811"/>
      <c r="S36" s="811"/>
      <c r="T36" s="811"/>
      <c r="U36" s="812"/>
      <c r="V36" s="811"/>
      <c r="W36" s="811"/>
      <c r="X36" s="811"/>
      <c r="Y36" s="812"/>
      <c r="Z36" s="811"/>
      <c r="AA36" s="811"/>
      <c r="AB36" s="811"/>
      <c r="AC36" s="812"/>
      <c r="AD36" s="813"/>
      <c r="AE36" s="813"/>
      <c r="AF36" s="813"/>
      <c r="AG36" s="814"/>
      <c r="AH36" s="813"/>
      <c r="AI36" s="813"/>
      <c r="AJ36" s="813"/>
      <c r="AK36" s="814"/>
      <c r="AL36" s="813"/>
      <c r="AM36" s="813"/>
      <c r="AN36" s="813"/>
      <c r="AO36" s="814"/>
      <c r="AP36" s="813"/>
      <c r="AQ36" s="813"/>
      <c r="AR36" s="813"/>
      <c r="AS36" s="814"/>
      <c r="AT36" s="813"/>
      <c r="AU36" s="813"/>
      <c r="AV36" s="813"/>
      <c r="AW36" s="814"/>
      <c r="AX36" s="813"/>
      <c r="AY36" s="813"/>
      <c r="AZ36" s="813"/>
      <c r="BA36" s="814"/>
      <c r="BB36" s="813"/>
      <c r="BC36" s="813"/>
      <c r="BD36" s="813"/>
      <c r="BE36" s="814"/>
      <c r="BF36" s="813"/>
      <c r="BG36" s="813"/>
      <c r="BH36" s="813"/>
      <c r="BI36" s="814"/>
      <c r="BJ36" s="813"/>
      <c r="BK36" s="813"/>
      <c r="BL36" s="813"/>
      <c r="BM36" s="814"/>
      <c r="BN36" s="813"/>
      <c r="BO36" s="813"/>
      <c r="BP36" s="813"/>
      <c r="BQ36" s="814"/>
      <c r="BR36" s="813"/>
      <c r="BS36" s="813"/>
      <c r="BT36" s="813"/>
      <c r="BU36" s="814"/>
      <c r="BV36" s="813"/>
      <c r="BW36" s="813"/>
      <c r="BX36" s="813"/>
      <c r="BY36" s="814"/>
      <c r="BZ36" s="813"/>
      <c r="CA36" s="813"/>
      <c r="CB36" s="813"/>
      <c r="CC36" s="814"/>
      <c r="CD36" s="527"/>
      <c r="CE36" s="527"/>
      <c r="CF36" s="527"/>
      <c r="CG36" s="815"/>
      <c r="CH36" s="527"/>
      <c r="CI36" s="527"/>
      <c r="CJ36" s="527"/>
      <c r="CK36" s="815"/>
      <c r="CL36" s="527"/>
      <c r="CM36" s="527"/>
      <c r="CN36" s="527"/>
      <c r="CO36" s="815"/>
      <c r="CP36" s="1058"/>
      <c r="CQ36" s="527"/>
      <c r="CR36" s="527"/>
      <c r="CS36" s="815"/>
      <c r="CT36" s="1068"/>
      <c r="CU36" s="527"/>
      <c r="CV36" s="527"/>
      <c r="CW36" s="1273"/>
      <c r="CX36" s="1491"/>
      <c r="CY36" s="527"/>
      <c r="CZ36" s="527"/>
      <c r="DA36" s="815"/>
      <c r="DB36" s="1491"/>
      <c r="DC36" s="527"/>
      <c r="DD36" s="1491"/>
      <c r="DE36" s="1167"/>
      <c r="DF36" s="1491"/>
      <c r="DG36" s="1491"/>
      <c r="DH36" s="1491"/>
      <c r="DI36" s="1167"/>
      <c r="DJ36" s="2686"/>
      <c r="DK36" s="1491"/>
      <c r="DL36" s="1491"/>
      <c r="DM36" s="1167"/>
      <c r="DN36" s="956"/>
      <c r="DO36" s="514"/>
      <c r="DP36" s="293"/>
      <c r="DQ36" s="293"/>
      <c r="DR36" s="293"/>
      <c r="DS36" s="293"/>
      <c r="DT36" s="293"/>
      <c r="DU36" s="293"/>
      <c r="DV36" s="293"/>
      <c r="DW36" s="293"/>
      <c r="DX36" s="811"/>
      <c r="DY36" s="811"/>
      <c r="DZ36" s="811"/>
      <c r="EA36" s="811"/>
      <c r="EB36" s="811"/>
      <c r="EC36" s="811"/>
      <c r="ED36" s="811"/>
      <c r="EE36" s="813"/>
      <c r="EF36" s="813"/>
      <c r="EG36" s="813"/>
      <c r="EH36" s="813"/>
      <c r="EI36" s="813"/>
      <c r="EJ36" s="813"/>
      <c r="EK36" s="813"/>
      <c r="EL36" s="813"/>
      <c r="EM36" s="813"/>
      <c r="EN36" s="813"/>
      <c r="EO36" s="813"/>
      <c r="EP36" s="813"/>
      <c r="EQ36" s="813"/>
      <c r="ER36" s="950"/>
      <c r="ES36" s="813"/>
      <c r="ET36" s="813"/>
      <c r="EU36" s="813"/>
      <c r="EV36" s="813"/>
      <c r="EW36" s="813"/>
      <c r="EX36" s="1931"/>
      <c r="EY36" s="1931"/>
      <c r="EZ36" s="2472"/>
      <c r="FA36" s="816"/>
      <c r="FB36" s="816"/>
      <c r="FC36" s="816"/>
      <c r="FD36" s="816"/>
      <c r="FE36" s="816"/>
      <c r="FF36" s="816"/>
      <c r="FG36" s="816"/>
      <c r="FH36" s="816"/>
      <c r="FI36" s="413"/>
      <c r="FJ36"/>
      <c r="FK36"/>
      <c r="FL36"/>
      <c r="FM36"/>
      <c r="FN36"/>
      <c r="FO36"/>
      <c r="FP36" s="4"/>
      <c r="FQ36" s="4"/>
      <c r="FR36" s="3"/>
      <c r="FS36" s="816"/>
      <c r="FT36" s="816"/>
      <c r="FU36"/>
      <c r="FV36" s="816"/>
      <c r="FW36" s="816"/>
      <c r="FX36" s="81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row>
    <row r="37" spans="1:260" s="4" customFormat="1" x14ac:dyDescent="0.2">
      <c r="A37" s="1507" t="s">
        <v>589</v>
      </c>
      <c r="B37" s="895">
        <f t="shared" ref="B37:AN37" si="97">+B30/B65</f>
        <v>4.6603708622300691E-3</v>
      </c>
      <c r="C37" s="895">
        <f t="shared" si="97"/>
        <v>1.9857332622088424E-2</v>
      </c>
      <c r="D37" s="895">
        <f t="shared" si="97"/>
        <v>2.8762202224489868E-2</v>
      </c>
      <c r="E37" s="896">
        <f t="shared" si="97"/>
        <v>5.5307896705621411E-2</v>
      </c>
      <c r="F37" s="895">
        <f t="shared" si="97"/>
        <v>1.086786210581204E-2</v>
      </c>
      <c r="G37" s="895">
        <f t="shared" si="97"/>
        <v>1.9543705898084626E-2</v>
      </c>
      <c r="H37" s="895">
        <f t="shared" si="97"/>
        <v>4.5114199937815867E-2</v>
      </c>
      <c r="I37" s="896">
        <f t="shared" si="97"/>
        <v>6.4929544929544905E-2</v>
      </c>
      <c r="J37" s="895">
        <f t="shared" si="97"/>
        <v>1.1885662232253218E-2</v>
      </c>
      <c r="K37" s="895">
        <f t="shared" si="97"/>
        <v>1.4553994197760324E-2</v>
      </c>
      <c r="L37" s="895">
        <f t="shared" si="97"/>
        <v>4.5445146467547506E-2</v>
      </c>
      <c r="M37" s="896">
        <f t="shared" si="97"/>
        <v>5.0624800561618409E-2</v>
      </c>
      <c r="N37" s="895">
        <f t="shared" si="97"/>
        <v>1.043165100643384E-3</v>
      </c>
      <c r="O37" s="895">
        <f t="shared" si="97"/>
        <v>9.6062648671408138E-3</v>
      </c>
      <c r="P37" s="895">
        <f t="shared" si="97"/>
        <v>-2.7908124206794185E-2</v>
      </c>
      <c r="Q37" s="896">
        <f t="shared" si="97"/>
        <v>2.1813789467757309E-2</v>
      </c>
      <c r="R37" s="895">
        <f t="shared" si="97"/>
        <v>-6.7316105103932163E-3</v>
      </c>
      <c r="S37" s="895">
        <f t="shared" si="97"/>
        <v>1.6652388896403192E-2</v>
      </c>
      <c r="T37" s="895">
        <f t="shared" si="97"/>
        <v>5.8051520229408592E-2</v>
      </c>
      <c r="U37" s="896">
        <f t="shared" si="97"/>
        <v>0.13858261581018397</v>
      </c>
      <c r="V37" s="895">
        <f t="shared" si="97"/>
        <v>2.7757060648076537E-2</v>
      </c>
      <c r="W37" s="895">
        <f t="shared" si="97"/>
        <v>8.7818249799546472E-2</v>
      </c>
      <c r="X37" s="895">
        <f t="shared" si="97"/>
        <v>0.11329370180288581</v>
      </c>
      <c r="Y37" s="896">
        <f t="shared" si="97"/>
        <v>0.22813059216837037</v>
      </c>
      <c r="Z37" s="895">
        <f t="shared" si="97"/>
        <v>9.75435931338762E-2</v>
      </c>
      <c r="AA37" s="895">
        <f t="shared" si="97"/>
        <v>0.12064848534903277</v>
      </c>
      <c r="AB37" s="895">
        <f t="shared" si="97"/>
        <v>0.16264433727915348</v>
      </c>
      <c r="AC37" s="896">
        <f t="shared" si="97"/>
        <v>0.3460625756262552</v>
      </c>
      <c r="AD37" s="895">
        <f t="shared" si="97"/>
        <v>0.1516172021795574</v>
      </c>
      <c r="AE37" s="895">
        <f t="shared" si="97"/>
        <v>0.1597399137486053</v>
      </c>
      <c r="AF37" s="895">
        <f t="shared" si="97"/>
        <v>0.11948068477666034</v>
      </c>
      <c r="AG37" s="896">
        <f t="shared" si="97"/>
        <v>0.39738562091503282</v>
      </c>
      <c r="AH37" s="895">
        <f t="shared" si="97"/>
        <v>0.11454753722794961</v>
      </c>
      <c r="AI37" s="895">
        <f t="shared" si="97"/>
        <v>0.17554729450640233</v>
      </c>
      <c r="AJ37" s="895">
        <f t="shared" si="97"/>
        <v>0.16552865714876888</v>
      </c>
      <c r="AK37" s="896">
        <f t="shared" si="97"/>
        <v>0.717838281290058</v>
      </c>
      <c r="AL37" s="895">
        <f t="shared" si="97"/>
        <v>0.16140565941362756</v>
      </c>
      <c r="AM37" s="895">
        <f t="shared" si="97"/>
        <v>0.1623009758602979</v>
      </c>
      <c r="AN37" s="895">
        <f t="shared" si="97"/>
        <v>0.17690013370358942</v>
      </c>
      <c r="AO37" s="896">
        <f>+AO30/AO65-0.01</f>
        <v>0.76681874229346481</v>
      </c>
      <c r="AP37" s="895">
        <f>+AP30/AP65</f>
        <v>0.14145141451414514</v>
      </c>
      <c r="AQ37" s="895">
        <f>+AQ30/AQ65-0.01</f>
        <v>0.2736078909904413</v>
      </c>
      <c r="AR37" s="895">
        <f t="shared" ref="AR37:AW37" si="98">+AR30/AR65</f>
        <v>0.24609178013111446</v>
      </c>
      <c r="AS37" s="896">
        <f t="shared" si="98"/>
        <v>0.9316646801748113</v>
      </c>
      <c r="AT37" s="895">
        <f t="shared" si="98"/>
        <v>0.22618607884023434</v>
      </c>
      <c r="AU37" s="895">
        <f t="shared" si="98"/>
        <v>0.29925395404356914</v>
      </c>
      <c r="AV37" s="895">
        <f t="shared" si="98"/>
        <v>0.29217253972954299</v>
      </c>
      <c r="AW37" s="896">
        <f t="shared" si="98"/>
        <v>1.0283687943262412</v>
      </c>
      <c r="AX37" s="895">
        <f>+AX30/AX65+0.005</f>
        <v>0.34143380170195925</v>
      </c>
      <c r="AY37" s="895">
        <f t="shared" ref="AY37:BG37" si="99">+AY30/AY65</f>
        <v>0.369279120015714</v>
      </c>
      <c r="AZ37" s="895">
        <f t="shared" si="99"/>
        <v>0.27208201892744482</v>
      </c>
      <c r="BA37" s="896">
        <f t="shared" si="99"/>
        <v>1.2805726784649036</v>
      </c>
      <c r="BB37" s="895">
        <f t="shared" si="99"/>
        <v>0.46725239616613418</v>
      </c>
      <c r="BC37" s="895">
        <f t="shared" si="99"/>
        <v>0.46324269889224573</v>
      </c>
      <c r="BD37" s="895">
        <f t="shared" si="99"/>
        <v>0.30254134731746674</v>
      </c>
      <c r="BE37" s="896">
        <f t="shared" si="99"/>
        <v>1.5426607359482409</v>
      </c>
      <c r="BF37" s="895">
        <f t="shared" si="99"/>
        <v>0.3906408952187182</v>
      </c>
      <c r="BG37" s="895">
        <f t="shared" si="99"/>
        <v>0.54800526085050416</v>
      </c>
      <c r="BH37" s="895">
        <f t="shared" ref="BH37:CF37" si="100">BH30/BH65</f>
        <v>0.52924791086350975</v>
      </c>
      <c r="BI37" s="896">
        <f t="shared" si="100"/>
        <v>1.7083912841910061</v>
      </c>
      <c r="BJ37" s="895">
        <f t="shared" si="100"/>
        <v>0.42276806802078415</v>
      </c>
      <c r="BK37" s="895">
        <f t="shared" si="100"/>
        <v>0.47720292936451686</v>
      </c>
      <c r="BL37" s="895">
        <f t="shared" si="100"/>
        <v>0.38570752484619025</v>
      </c>
      <c r="BM37" s="896">
        <f t="shared" si="100"/>
        <v>1.6871455576559546</v>
      </c>
      <c r="BN37" s="895">
        <f t="shared" si="100"/>
        <v>0.4815597838853653</v>
      </c>
      <c r="BO37" s="895">
        <f t="shared" si="100"/>
        <v>0.37002341920374709</v>
      </c>
      <c r="BP37" s="895">
        <f t="shared" si="100"/>
        <v>0.52963135790947269</v>
      </c>
      <c r="BQ37" s="896">
        <f t="shared" si="100"/>
        <v>1.8133147113594039</v>
      </c>
      <c r="BR37" s="895">
        <f t="shared" si="100"/>
        <v>0.35904563354181146</v>
      </c>
      <c r="BS37" s="895">
        <f t="shared" si="100"/>
        <v>0.59962228517469307</v>
      </c>
      <c r="BT37" s="895">
        <f t="shared" si="100"/>
        <v>0.53212358999509557</v>
      </c>
      <c r="BU37" s="896">
        <f t="shared" si="100"/>
        <v>2.1641051065939516</v>
      </c>
      <c r="BV37" s="895">
        <f t="shared" si="100"/>
        <v>0.34743202416918428</v>
      </c>
      <c r="BW37" s="895">
        <f t="shared" si="100"/>
        <v>0.46932354483481914</v>
      </c>
      <c r="BX37" s="895">
        <f t="shared" si="100"/>
        <v>0.46637744034707157</v>
      </c>
      <c r="BY37" s="896">
        <f t="shared" si="100"/>
        <v>2.4709219858156026</v>
      </c>
      <c r="BZ37" s="895">
        <f t="shared" si="100"/>
        <v>0.52240538657998603</v>
      </c>
      <c r="CA37" s="895">
        <f t="shared" si="100"/>
        <v>0.50875145857642945</v>
      </c>
      <c r="CB37" s="895">
        <f t="shared" si="100"/>
        <v>0.58608949416342415</v>
      </c>
      <c r="CC37" s="896">
        <f t="shared" si="100"/>
        <v>2.1486786860953324</v>
      </c>
      <c r="CD37" s="895">
        <f t="shared" si="100"/>
        <v>0.6463688545046169</v>
      </c>
      <c r="CE37" s="895">
        <f t="shared" si="100"/>
        <v>0.38900414937759331</v>
      </c>
      <c r="CF37" s="895">
        <f t="shared" si="100"/>
        <v>0.46455424274973151</v>
      </c>
      <c r="CG37" s="896">
        <f>(CG30/CG65)+CG53</f>
        <v>2.1756964184195566</v>
      </c>
      <c r="CH37" s="895">
        <f t="shared" ref="CH37:DE37" si="101">CH30/CH65</f>
        <v>0.71761960326721119</v>
      </c>
      <c r="CI37" s="895">
        <f t="shared" si="101"/>
        <v>0.20082693443591257</v>
      </c>
      <c r="CJ37" s="895">
        <f t="shared" si="101"/>
        <v>2.9655990510083038E-2</v>
      </c>
      <c r="CK37" s="896">
        <f t="shared" si="101"/>
        <v>1.6385684708666075</v>
      </c>
      <c r="CL37" s="895">
        <f t="shared" si="101"/>
        <v>0.76137689614935822</v>
      </c>
      <c r="CM37" s="895">
        <f t="shared" si="101"/>
        <v>0.26284701712935615</v>
      </c>
      <c r="CN37" s="895">
        <f t="shared" si="101"/>
        <v>4.1407867494824016E-2</v>
      </c>
      <c r="CO37" s="896">
        <f t="shared" si="101"/>
        <v>1.5480059084194977</v>
      </c>
      <c r="CP37" s="1059">
        <f t="shared" si="101"/>
        <v>0.36656891495601174</v>
      </c>
      <c r="CQ37" s="895">
        <f t="shared" si="101"/>
        <v>0.30197444831591175</v>
      </c>
      <c r="CR37" s="895">
        <f t="shared" si="101"/>
        <v>0.1948982516480367</v>
      </c>
      <c r="CS37" s="896">
        <f t="shared" si="101"/>
        <v>1.2024957458876913</v>
      </c>
      <c r="CT37" s="1059">
        <f t="shared" si="101"/>
        <v>0.35102739726027399</v>
      </c>
      <c r="CU37" s="895">
        <f t="shared" si="101"/>
        <v>0.42021578648495173</v>
      </c>
      <c r="CV37" s="895">
        <f t="shared" si="101"/>
        <v>0.34180790960451979</v>
      </c>
      <c r="CW37" s="896">
        <f t="shared" si="101"/>
        <v>1.4766984839977542</v>
      </c>
      <c r="CX37" s="895">
        <f t="shared" si="101"/>
        <v>0.34891550121430365</v>
      </c>
      <c r="CY37" s="895">
        <f t="shared" si="101"/>
        <v>0.4662333992653292</v>
      </c>
      <c r="CZ37" s="1590">
        <f t="shared" si="101"/>
        <v>0.39541547277936961</v>
      </c>
      <c r="DA37" s="896">
        <f t="shared" si="101"/>
        <v>1.4840782938942447</v>
      </c>
      <c r="DB37" s="895">
        <f t="shared" si="101"/>
        <v>0.43158861340679522</v>
      </c>
      <c r="DC37" s="895">
        <f t="shared" si="101"/>
        <v>0.56673892846082385</v>
      </c>
      <c r="DD37" s="895">
        <f t="shared" si="101"/>
        <v>0.60312500000000002</v>
      </c>
      <c r="DE37" s="896">
        <f t="shared" si="101"/>
        <v>1.9321394910461829</v>
      </c>
      <c r="DF37" s="895">
        <f t="shared" ref="DF37:DM37" si="102">DF30/DF65</f>
        <v>0.59682539682539681</v>
      </c>
      <c r="DG37" s="895">
        <f t="shared" si="102"/>
        <v>0.68854568854568854</v>
      </c>
      <c r="DH37" s="895">
        <f t="shared" si="102"/>
        <v>0.77603143418467591</v>
      </c>
      <c r="DI37" s="896">
        <f t="shared" si="102"/>
        <v>2.4199528142905291</v>
      </c>
      <c r="DJ37" s="895">
        <f t="shared" si="102"/>
        <v>0.74259321666507583</v>
      </c>
      <c r="DK37" s="895">
        <f t="shared" si="102"/>
        <v>0.81923137289841486</v>
      </c>
      <c r="DL37" s="895">
        <f t="shared" si="102"/>
        <v>0.93312369771297043</v>
      </c>
      <c r="DM37" s="896">
        <f t="shared" si="102"/>
        <v>2.531813340903962</v>
      </c>
      <c r="DN37" s="957"/>
      <c r="DO37" s="897"/>
      <c r="DP37" s="895">
        <f t="shared" ref="DP37:DW37" si="103">DP30/DP64</f>
        <v>2.4594494723706322E-2</v>
      </c>
      <c r="DQ37" s="895">
        <f t="shared" si="103"/>
        <v>3.4530560806553257E-2</v>
      </c>
      <c r="DR37" s="895">
        <f t="shared" si="103"/>
        <v>1.2431905653683385E-2</v>
      </c>
      <c r="DS37" s="895">
        <f t="shared" si="103"/>
        <v>9.2350520455092514E-3</v>
      </c>
      <c r="DT37" s="895">
        <f t="shared" si="103"/>
        <v>2.5463523043973105E-2</v>
      </c>
      <c r="DU37" s="895">
        <f t="shared" si="103"/>
        <v>2.0297941592002048E-2</v>
      </c>
      <c r="DV37" s="895">
        <f t="shared" si="103"/>
        <v>3.6979262956800436E-2</v>
      </c>
      <c r="DW37" s="895">
        <f t="shared" si="103"/>
        <v>6.3437747616491874E-2</v>
      </c>
      <c r="DX37" s="895">
        <f>+B37+C37+D37+E37</f>
        <v>0.10858780241442978</v>
      </c>
      <c r="DY37" s="895">
        <f>+F37+G37+H37+I37</f>
        <v>0.14045531287125745</v>
      </c>
      <c r="DZ37" s="895">
        <f>+J37+K37+L37+M37</f>
        <v>0.12250960345917947</v>
      </c>
      <c r="EA37" s="895">
        <f>+N37+O37+P37+Q37</f>
        <v>4.5550952287473218E-3</v>
      </c>
      <c r="EB37" s="895">
        <f>+R37+S37+T37+U37</f>
        <v>0.20655491442560253</v>
      </c>
      <c r="EC37" s="895">
        <f>+V37+W37+X37+Y37</f>
        <v>0.45699960441887921</v>
      </c>
      <c r="ED37" s="895">
        <f>+Z37+AA37+AB37+AC37</f>
        <v>0.72689899138831771</v>
      </c>
      <c r="EE37" s="895">
        <f t="shared" ref="EE37:EJ37" si="104">+EE30/EE65</f>
        <v>0.82803932972056615</v>
      </c>
      <c r="EF37" s="895">
        <f t="shared" si="104"/>
        <v>1.1781575785761347</v>
      </c>
      <c r="EG37" s="895">
        <f t="shared" si="104"/>
        <v>1.2765848277277507</v>
      </c>
      <c r="EH37" s="895">
        <f t="shared" si="104"/>
        <v>1.5963458466453675</v>
      </c>
      <c r="EI37" s="895">
        <f t="shared" si="104"/>
        <v>1.8498101814042123</v>
      </c>
      <c r="EJ37" s="895">
        <f t="shared" si="104"/>
        <v>2.2583201267828841</v>
      </c>
      <c r="EK37" s="895">
        <f>+BB37+BC37+BD37+BE37</f>
        <v>2.7756971783240876</v>
      </c>
      <c r="EL37" s="895">
        <f>EL30/EL65</f>
        <v>3.1066460587326121</v>
      </c>
      <c r="EM37" s="895">
        <f t="shared" ref="EM37:FG37" si="105">+EM30/EM65</f>
        <v>2.9746985102861196</v>
      </c>
      <c r="EN37" s="895">
        <f t="shared" si="105"/>
        <v>3.2023391812865496</v>
      </c>
      <c r="EO37" s="895">
        <f t="shared" si="105"/>
        <v>3.5990396158463387</v>
      </c>
      <c r="EP37" s="895">
        <f t="shared" si="105"/>
        <v>3.6269084605640378</v>
      </c>
      <c r="EQ37" s="895">
        <f t="shared" si="105"/>
        <v>3.7106017191977076</v>
      </c>
      <c r="ER37" s="1059">
        <f t="shared" si="105"/>
        <v>3.6832164058283863</v>
      </c>
      <c r="ES37" s="895">
        <f t="shared" si="105"/>
        <v>2.5886341858922379</v>
      </c>
      <c r="ET37" s="895">
        <f t="shared" si="105"/>
        <v>2.6156111929307806</v>
      </c>
      <c r="EU37" s="895">
        <f t="shared" si="105"/>
        <v>2.0794577835460379</v>
      </c>
      <c r="EV37" s="895">
        <f t="shared" si="105"/>
        <v>2.5961538461538458</v>
      </c>
      <c r="EW37" s="895">
        <f t="shared" si="105"/>
        <v>2.6660963786712291</v>
      </c>
      <c r="EX37" s="895">
        <f t="shared" si="105"/>
        <v>3.5089894606323617</v>
      </c>
      <c r="EY37" s="895">
        <f>+EY30/EY65</f>
        <v>4.4187561055030935</v>
      </c>
      <c r="EZ37" s="895">
        <f>+EZ30/EZ65</f>
        <v>5.0022034563320164</v>
      </c>
      <c r="FA37" s="895">
        <f t="shared" si="105"/>
        <v>5.3006124535000874</v>
      </c>
      <c r="FB37" s="895">
        <f t="shared" si="105"/>
        <v>5.6041833757192148</v>
      </c>
      <c r="FC37" s="895">
        <f t="shared" si="105"/>
        <v>5.6698541657267878</v>
      </c>
      <c r="FD37" s="895">
        <f t="shared" si="105"/>
        <v>5.7427671388418586</v>
      </c>
      <c r="FE37" s="895">
        <f t="shared" si="105"/>
        <v>5.8291622865399439</v>
      </c>
      <c r="FF37" s="895">
        <f t="shared" si="105"/>
        <v>5.8484422909081379</v>
      </c>
      <c r="FG37" s="895">
        <f t="shared" si="105"/>
        <v>5.845755505611133</v>
      </c>
      <c r="FH37" s="895">
        <f>+FH30/FH65</f>
        <v>5.8674649059538462</v>
      </c>
      <c r="FI37" s="413"/>
      <c r="FJ37"/>
      <c r="FK37"/>
      <c r="FL37"/>
      <c r="FM37"/>
      <c r="FN37"/>
      <c r="FO37"/>
      <c r="FR37" s="72"/>
      <c r="FS37" s="72"/>
      <c r="FT37"/>
      <c r="FU37"/>
      <c r="FV37" s="2630"/>
      <c r="FW37" s="2630"/>
      <c r="FX37" s="2630"/>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row>
    <row r="38" spans="1:260" s="4" customFormat="1" hidden="1" outlineLevel="1" x14ac:dyDescent="0.2">
      <c r="A38" s="25"/>
      <c r="B38" s="249"/>
      <c r="C38" s="249"/>
      <c r="D38" s="249"/>
      <c r="E38" s="461"/>
      <c r="F38" s="286"/>
      <c r="G38" s="286"/>
      <c r="H38" s="286"/>
      <c r="I38" s="478"/>
      <c r="J38" s="286"/>
      <c r="K38" s="286"/>
      <c r="L38" s="286"/>
      <c r="M38" s="478"/>
      <c r="N38" s="286"/>
      <c r="O38" s="286"/>
      <c r="P38" s="286"/>
      <c r="Q38" s="478"/>
      <c r="R38" s="286"/>
      <c r="S38" s="286"/>
      <c r="T38" s="286"/>
      <c r="U38" s="478"/>
      <c r="V38" s="286"/>
      <c r="W38" s="286"/>
      <c r="X38" s="286"/>
      <c r="Y38" s="478"/>
      <c r="Z38" s="286"/>
      <c r="AA38" s="286"/>
      <c r="AB38" s="286"/>
      <c r="AC38" s="478"/>
      <c r="AD38" s="286"/>
      <c r="AE38" s="286"/>
      <c r="AF38" s="286"/>
      <c r="AG38" s="478"/>
      <c r="AH38" s="286"/>
      <c r="AI38" s="286"/>
      <c r="AJ38" s="286"/>
      <c r="AK38" s="478"/>
      <c r="AL38" s="286"/>
      <c r="AM38" s="286"/>
      <c r="AN38" s="286"/>
      <c r="AO38" s="478"/>
      <c r="AP38" s="286"/>
      <c r="AQ38" s="286"/>
      <c r="AR38" s="286"/>
      <c r="AS38" s="478"/>
      <c r="AT38" s="286"/>
      <c r="AU38" s="286"/>
      <c r="AV38" s="286"/>
      <c r="AW38" s="478"/>
      <c r="AX38" s="286"/>
      <c r="AY38" s="286"/>
      <c r="AZ38" s="286"/>
      <c r="BA38" s="478"/>
      <c r="BB38" s="286"/>
      <c r="BC38" s="286"/>
      <c r="BD38" s="286"/>
      <c r="BE38" s="478"/>
      <c r="BF38" s="286"/>
      <c r="BG38" s="286"/>
      <c r="BH38" s="286"/>
      <c r="BI38" s="478"/>
      <c r="BJ38" s="286"/>
      <c r="BK38" s="286"/>
      <c r="BL38" s="286"/>
      <c r="BM38" s="478"/>
      <c r="BN38" s="286"/>
      <c r="BO38" s="286"/>
      <c r="BP38" s="286"/>
      <c r="BQ38" s="478"/>
      <c r="BR38" s="286"/>
      <c r="BS38" s="286"/>
      <c r="BT38" s="286"/>
      <c r="BU38" s="478"/>
      <c r="BV38" s="286"/>
      <c r="BW38" s="286"/>
      <c r="BX38" s="286"/>
      <c r="BY38" s="507"/>
      <c r="BZ38" s="286"/>
      <c r="CA38" s="286"/>
      <c r="CB38" s="286"/>
      <c r="CC38" s="507"/>
      <c r="CD38" s="286"/>
      <c r="CE38" s="286"/>
      <c r="CF38" s="286"/>
      <c r="CG38" s="510"/>
      <c r="CH38" s="286"/>
      <c r="CI38" s="286"/>
      <c r="CJ38" s="286"/>
      <c r="CK38" s="478"/>
      <c r="CL38" s="255"/>
      <c r="CM38" s="255"/>
      <c r="CN38" s="255"/>
      <c r="CO38" s="515"/>
      <c r="CP38" s="958"/>
      <c r="CQ38" s="528"/>
      <c r="CR38" s="528"/>
      <c r="CS38" s="515"/>
      <c r="CT38" s="958"/>
      <c r="CU38" s="528"/>
      <c r="CV38" s="528"/>
      <c r="CW38" s="515"/>
      <c r="CX38" s="528"/>
      <c r="CY38" s="528"/>
      <c r="CZ38" s="528"/>
      <c r="DA38" s="515"/>
      <c r="DB38" s="528"/>
      <c r="DC38" s="528"/>
      <c r="DD38" s="528"/>
      <c r="DE38" s="515"/>
      <c r="DF38" s="528"/>
      <c r="DG38" s="528"/>
      <c r="DH38" s="528"/>
      <c r="DI38" s="515"/>
      <c r="DJ38" s="1779"/>
      <c r="DK38" s="528"/>
      <c r="DL38" s="528"/>
      <c r="DM38" s="515"/>
      <c r="DN38" s="958"/>
      <c r="DO38" s="514"/>
      <c r="DP38" s="249"/>
      <c r="DQ38" s="286"/>
      <c r="DR38" s="286"/>
      <c r="DS38" s="286"/>
      <c r="DT38" s="286"/>
      <c r="DU38" s="286"/>
      <c r="DV38" s="286"/>
      <c r="DW38" s="286"/>
      <c r="DX38" s="249"/>
      <c r="DY38" s="286"/>
      <c r="DZ38" s="286"/>
      <c r="EA38" s="286"/>
      <c r="EB38" s="286"/>
      <c r="EC38" s="286"/>
      <c r="ED38" s="286"/>
      <c r="EE38" s="286"/>
      <c r="EF38" s="286"/>
      <c r="EG38" s="286"/>
      <c r="EH38" s="286"/>
      <c r="EI38" s="286"/>
      <c r="EJ38" s="286"/>
      <c r="EK38" s="286"/>
      <c r="EL38" s="286"/>
      <c r="EM38" s="286"/>
      <c r="EN38" s="286"/>
      <c r="EO38" s="286"/>
      <c r="EP38" s="286"/>
      <c r="EQ38" s="286"/>
      <c r="ER38" s="1078"/>
      <c r="ES38" s="775"/>
      <c r="ET38" s="528"/>
      <c r="EU38" s="775"/>
      <c r="EV38" s="775"/>
      <c r="EW38" s="775"/>
      <c r="EX38" s="528"/>
      <c r="EY38" s="528"/>
      <c r="EZ38" s="1779"/>
      <c r="FA38" s="286"/>
      <c r="FB38" s="286"/>
      <c r="FC38" s="286"/>
      <c r="FD38" s="286"/>
      <c r="FE38" s="286"/>
      <c r="FF38" s="286"/>
      <c r="FG38" s="286"/>
      <c r="FH38" s="286"/>
      <c r="FI38" s="413"/>
      <c r="FJ38"/>
      <c r="FK38"/>
      <c r="FL38"/>
      <c r="FM38"/>
      <c r="FN38"/>
      <c r="FO38"/>
      <c r="FR38" s="3"/>
      <c r="FS38" s="528"/>
      <c r="FT38" s="528"/>
      <c r="FU38"/>
      <c r="FV38" s="528"/>
      <c r="FW38" s="528"/>
      <c r="FX38" s="52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row>
    <row r="39" spans="1:260" s="4" customFormat="1" hidden="1" outlineLevel="1" x14ac:dyDescent="0.2">
      <c r="A39" s="1557" t="s">
        <v>733</v>
      </c>
      <c r="B39" s="2519"/>
      <c r="C39" s="2519"/>
      <c r="D39" s="2519"/>
      <c r="E39" s="2520"/>
      <c r="F39" s="2521"/>
      <c r="G39" s="2521"/>
      <c r="H39" s="2521"/>
      <c r="I39" s="2522"/>
      <c r="J39" s="2521"/>
      <c r="K39" s="2521"/>
      <c r="L39" s="2521"/>
      <c r="M39" s="2522"/>
      <c r="N39" s="2521"/>
      <c r="O39" s="2521"/>
      <c r="P39" s="2521"/>
      <c r="Q39" s="2522"/>
      <c r="R39" s="2521"/>
      <c r="S39" s="2521"/>
      <c r="T39" s="2521"/>
      <c r="U39" s="2522"/>
      <c r="V39" s="2521"/>
      <c r="W39" s="2521"/>
      <c r="X39" s="2521"/>
      <c r="Y39" s="2522"/>
      <c r="Z39" s="2521"/>
      <c r="AA39" s="2521"/>
      <c r="AB39" s="2521"/>
      <c r="AC39" s="2522"/>
      <c r="AD39" s="2521"/>
      <c r="AE39" s="2521"/>
      <c r="AF39" s="2521"/>
      <c r="AG39" s="2522"/>
      <c r="AH39" s="2521"/>
      <c r="AI39" s="2521"/>
      <c r="AJ39" s="2521"/>
      <c r="AK39" s="2522"/>
      <c r="AL39" s="2521"/>
      <c r="AM39" s="2521"/>
      <c r="AN39" s="2521"/>
      <c r="AO39" s="2522"/>
      <c r="AP39" s="2521"/>
      <c r="AQ39" s="2521"/>
      <c r="AR39" s="2521"/>
      <c r="AS39" s="2522"/>
      <c r="AT39" s="2521"/>
      <c r="AU39" s="2521"/>
      <c r="AV39" s="2521"/>
      <c r="AW39" s="2522"/>
      <c r="AX39" s="2521"/>
      <c r="AY39" s="2521"/>
      <c r="AZ39" s="2521"/>
      <c r="BA39" s="2522"/>
      <c r="BB39" s="2521"/>
      <c r="BC39" s="2521"/>
      <c r="BD39" s="2521"/>
      <c r="BE39" s="2522"/>
      <c r="BF39" s="2521"/>
      <c r="BG39" s="2521"/>
      <c r="BH39" s="2521"/>
      <c r="BI39" s="2522"/>
      <c r="BJ39" s="2521"/>
      <c r="BK39" s="2521"/>
      <c r="BL39" s="2521"/>
      <c r="BM39" s="2522"/>
      <c r="BN39" s="2521"/>
      <c r="BO39" s="2521"/>
      <c r="BP39" s="2521"/>
      <c r="BQ39" s="2522"/>
      <c r="BR39" s="2521"/>
      <c r="BS39" s="2521"/>
      <c r="BT39" s="2521"/>
      <c r="BU39" s="2522"/>
      <c r="BV39" s="2521"/>
      <c r="BW39" s="2521"/>
      <c r="BX39" s="2521"/>
      <c r="BY39" s="2523"/>
      <c r="BZ39" s="2521"/>
      <c r="CA39" s="2521"/>
      <c r="CB39" s="2521"/>
      <c r="CC39" s="2523"/>
      <c r="CD39" s="2521"/>
      <c r="CE39" s="2521"/>
      <c r="CF39" s="2521"/>
      <c r="CG39" s="2524"/>
      <c r="CH39" s="2521"/>
      <c r="CI39" s="2521"/>
      <c r="CJ39" s="2521"/>
      <c r="CK39" s="2522"/>
      <c r="CL39" s="2525"/>
      <c r="CM39" s="2525"/>
      <c r="CN39" s="2525"/>
      <c r="CO39" s="2518">
        <v>150</v>
      </c>
      <c r="CP39" s="2529">
        <f>+CP44-CO44</f>
        <v>175</v>
      </c>
      <c r="CQ39" s="2528">
        <f t="shared" ref="CQ39:DB39" si="106">+CQ44-CP44</f>
        <v>65</v>
      </c>
      <c r="CR39" s="2528">
        <f t="shared" si="106"/>
        <v>115</v>
      </c>
      <c r="CS39" s="2527">
        <f t="shared" si="106"/>
        <v>260</v>
      </c>
      <c r="CT39" s="2529">
        <f t="shared" si="106"/>
        <v>95</v>
      </c>
      <c r="CU39" s="2528">
        <f t="shared" si="106"/>
        <v>40</v>
      </c>
      <c r="CV39" s="2528">
        <f t="shared" si="106"/>
        <v>65</v>
      </c>
      <c r="CW39" s="2527">
        <f t="shared" si="106"/>
        <v>55</v>
      </c>
      <c r="CX39" s="2528">
        <f t="shared" si="106"/>
        <v>0</v>
      </c>
      <c r="CY39" s="2528">
        <f t="shared" si="106"/>
        <v>100</v>
      </c>
      <c r="CZ39" s="2528">
        <f t="shared" si="106"/>
        <v>10</v>
      </c>
      <c r="DA39" s="2527">
        <f t="shared" si="106"/>
        <v>40</v>
      </c>
      <c r="DB39" s="2528">
        <f t="shared" si="106"/>
        <v>50</v>
      </c>
      <c r="DC39" s="2517">
        <v>50</v>
      </c>
      <c r="DD39" s="2505">
        <v>50</v>
      </c>
      <c r="DE39" s="2506">
        <v>50</v>
      </c>
      <c r="DF39" s="2505">
        <v>50</v>
      </c>
      <c r="DG39" s="2505">
        <v>50</v>
      </c>
      <c r="DH39" s="2505">
        <v>50</v>
      </c>
      <c r="DI39" s="2506">
        <v>135</v>
      </c>
      <c r="DJ39" s="2687"/>
      <c r="DK39" s="2505"/>
      <c r="DL39" s="2505"/>
      <c r="DM39" s="2506"/>
      <c r="DN39" s="2499"/>
      <c r="DO39" s="2500"/>
      <c r="DP39" s="1421"/>
      <c r="DQ39" s="2501"/>
      <c r="DR39" s="2501"/>
      <c r="DS39" s="2501"/>
      <c r="DT39" s="2501"/>
      <c r="DU39" s="2501"/>
      <c r="DV39" s="2501"/>
      <c r="DW39" s="2501"/>
      <c r="DX39" s="1421"/>
      <c r="DY39" s="2501"/>
      <c r="DZ39" s="2501"/>
      <c r="EA39" s="2501"/>
      <c r="EB39" s="2501"/>
      <c r="EC39" s="2501"/>
      <c r="ED39" s="2501"/>
      <c r="EE39" s="2501"/>
      <c r="EF39" s="2501"/>
      <c r="EG39" s="2501"/>
      <c r="EH39" s="2501"/>
      <c r="EI39" s="2501"/>
      <c r="EJ39" s="2501"/>
      <c r="EK39" s="2501"/>
      <c r="EL39" s="2501"/>
      <c r="EM39" s="2501"/>
      <c r="EN39" s="2501"/>
      <c r="EO39" s="2501"/>
      <c r="EP39" s="2501"/>
      <c r="EQ39" s="2501"/>
      <c r="ER39" s="2502"/>
      <c r="ES39" s="2503"/>
      <c r="ET39" s="2496">
        <f>+SUM(CL39:CO39)</f>
        <v>150</v>
      </c>
      <c r="EU39" s="2503">
        <f>+SUM(CP39:CS39)</f>
        <v>615</v>
      </c>
      <c r="EV39" s="2503">
        <f>+SUM(CT39:CW39)</f>
        <v>255</v>
      </c>
      <c r="EW39" s="2503">
        <f>+SUM(CX39:DA39)</f>
        <v>150</v>
      </c>
      <c r="EX39" s="2496">
        <f>+SUM(DB39:DE39)</f>
        <v>200</v>
      </c>
      <c r="EY39" s="2496">
        <f>+SUM(DF39:DI39)</f>
        <v>285</v>
      </c>
      <c r="EZ39" s="2498"/>
      <c r="FA39" s="2501"/>
      <c r="FB39" s="2501"/>
      <c r="FC39" s="2501"/>
      <c r="FD39" s="2501"/>
      <c r="FE39" s="2501"/>
      <c r="FF39" s="2501"/>
      <c r="FG39" s="2501"/>
      <c r="FH39" s="2501"/>
      <c r="FI39" s="2504"/>
      <c r="FJ39"/>
      <c r="FK39"/>
      <c r="FL39"/>
      <c r="FM39"/>
      <c r="FN39"/>
      <c r="FO39"/>
      <c r="FR39" s="3"/>
      <c r="FS39" s="528"/>
      <c r="FT39" s="528"/>
      <c r="FU39" s="2473"/>
      <c r="FV39" s="2496"/>
      <c r="FW39" s="2496"/>
      <c r="FX39" s="2496"/>
      <c r="FY39" s="2473"/>
      <c r="FZ39" s="2473"/>
      <c r="GA39" s="2473"/>
      <c r="GB39" s="2473"/>
      <c r="GC39" s="2473"/>
      <c r="GD39" s="2473"/>
      <c r="GE39" s="2473"/>
      <c r="GF39" s="2473"/>
      <c r="GG39" s="2473"/>
      <c r="GH39" s="2473"/>
      <c r="GI39" s="2473"/>
      <c r="GJ39" s="2473"/>
      <c r="GK39" s="2473"/>
      <c r="GL39" s="2473"/>
      <c r="GM39" s="2473"/>
      <c r="GN39" s="2473"/>
      <c r="GO39" s="2473"/>
      <c r="GP39" s="2473"/>
      <c r="GQ39" s="2473"/>
      <c r="GR39" s="2473"/>
      <c r="GS39" s="2473"/>
      <c r="GT39" s="2473"/>
      <c r="GU39" s="2473"/>
      <c r="GV39" s="2473"/>
      <c r="GW39" s="2473"/>
      <c r="GX39" s="2473"/>
      <c r="GY39" s="2473"/>
      <c r="GZ39" s="2473"/>
      <c r="HA39" s="2473"/>
      <c r="HB39" s="2473"/>
      <c r="HC39" s="2473"/>
      <c r="HD39" s="2473"/>
      <c r="HE39" s="2473"/>
      <c r="HF39" s="2473"/>
      <c r="HG39" s="2473"/>
      <c r="HH39" s="2473"/>
      <c r="HI39" s="2473"/>
      <c r="HJ39" s="2473"/>
      <c r="HK39" s="2473"/>
      <c r="HL39" s="2473"/>
      <c r="HM39" s="2473"/>
      <c r="HN39" s="2473"/>
      <c r="HO39" s="2473"/>
      <c r="HP39" s="2473"/>
      <c r="HQ39" s="2473"/>
      <c r="HR39" s="2473"/>
      <c r="HS39" s="2473"/>
      <c r="HT39" s="2473"/>
      <c r="HU39" s="2473"/>
      <c r="HV39" s="2473"/>
      <c r="HW39" s="2473"/>
      <c r="HX39" s="2473"/>
      <c r="HY39" s="2473"/>
      <c r="HZ39" s="2473"/>
      <c r="IA39" s="2473"/>
      <c r="IB39" s="2473"/>
      <c r="IC39" s="2473"/>
      <c r="ID39" s="2473"/>
      <c r="IE39" s="2473"/>
      <c r="IF39" s="2473"/>
      <c r="IG39" s="2473"/>
      <c r="IH39" s="2473"/>
      <c r="II39" s="2473"/>
      <c r="IJ39" s="2473"/>
      <c r="IK39" s="2473"/>
      <c r="IL39" s="2473"/>
      <c r="IM39" s="2473"/>
      <c r="IN39" s="2473"/>
      <c r="IO39" s="2473"/>
      <c r="IP39" s="2473"/>
      <c r="IQ39" s="2473"/>
      <c r="IR39" s="2473"/>
      <c r="IS39" s="2473"/>
      <c r="IT39" s="2473"/>
      <c r="IU39" s="2473"/>
      <c r="IV39" s="2473"/>
      <c r="IW39" s="2473"/>
      <c r="IX39" s="2473"/>
      <c r="IY39" s="2473"/>
      <c r="IZ39" s="2473"/>
    </row>
    <row r="40" spans="1:260" s="4" customFormat="1" hidden="1" outlineLevel="1" x14ac:dyDescent="0.2">
      <c r="A40" s="1557" t="s">
        <v>734</v>
      </c>
      <c r="B40" s="2519"/>
      <c r="C40" s="2519"/>
      <c r="D40" s="2519"/>
      <c r="E40" s="2520"/>
      <c r="F40" s="2521"/>
      <c r="G40" s="2521"/>
      <c r="H40" s="2521"/>
      <c r="I40" s="2522"/>
      <c r="J40" s="2521"/>
      <c r="K40" s="2521"/>
      <c r="L40" s="2521"/>
      <c r="M40" s="2522"/>
      <c r="N40" s="2521"/>
      <c r="O40" s="2521"/>
      <c r="P40" s="2521"/>
      <c r="Q40" s="2522"/>
      <c r="R40" s="2521"/>
      <c r="S40" s="2521"/>
      <c r="T40" s="2521"/>
      <c r="U40" s="2522"/>
      <c r="V40" s="2521"/>
      <c r="W40" s="2521"/>
      <c r="X40" s="2521"/>
      <c r="Y40" s="2522"/>
      <c r="Z40" s="2521"/>
      <c r="AA40" s="2521"/>
      <c r="AB40" s="2521"/>
      <c r="AC40" s="2522"/>
      <c r="AD40" s="2521"/>
      <c r="AE40" s="2521"/>
      <c r="AF40" s="2521"/>
      <c r="AG40" s="2522"/>
      <c r="AH40" s="2521"/>
      <c r="AI40" s="2521"/>
      <c r="AJ40" s="2521"/>
      <c r="AK40" s="2522"/>
      <c r="AL40" s="2521"/>
      <c r="AM40" s="2521"/>
      <c r="AN40" s="2521"/>
      <c r="AO40" s="2522"/>
      <c r="AP40" s="2521"/>
      <c r="AQ40" s="2521"/>
      <c r="AR40" s="2521"/>
      <c r="AS40" s="2522"/>
      <c r="AT40" s="2521"/>
      <c r="AU40" s="2521"/>
      <c r="AV40" s="2521"/>
      <c r="AW40" s="2522"/>
      <c r="AX40" s="2521"/>
      <c r="AY40" s="2521"/>
      <c r="AZ40" s="2521"/>
      <c r="BA40" s="2522"/>
      <c r="BB40" s="2521"/>
      <c r="BC40" s="2521"/>
      <c r="BD40" s="2521"/>
      <c r="BE40" s="2522"/>
      <c r="BF40" s="2521"/>
      <c r="BG40" s="2521"/>
      <c r="BH40" s="2521"/>
      <c r="BI40" s="2522"/>
      <c r="BJ40" s="2521"/>
      <c r="BK40" s="2521"/>
      <c r="BL40" s="2521"/>
      <c r="BM40" s="2522"/>
      <c r="BN40" s="2521"/>
      <c r="BO40" s="2521"/>
      <c r="BP40" s="2521"/>
      <c r="BQ40" s="2522"/>
      <c r="BR40" s="2521"/>
      <c r="BS40" s="2521"/>
      <c r="BT40" s="2521"/>
      <c r="BU40" s="2522"/>
      <c r="BV40" s="2521"/>
      <c r="BW40" s="2521"/>
      <c r="BX40" s="2521"/>
      <c r="BY40" s="2523"/>
      <c r="BZ40" s="2521"/>
      <c r="CA40" s="2521"/>
      <c r="CB40" s="2521"/>
      <c r="CC40" s="2523"/>
      <c r="CD40" s="2521"/>
      <c r="CE40" s="2521"/>
      <c r="CF40" s="2521"/>
      <c r="CG40" s="2524"/>
      <c r="CH40" s="2521"/>
      <c r="CI40" s="2521"/>
      <c r="CJ40" s="2521"/>
      <c r="CK40" s="2522"/>
      <c r="CL40" s="2525"/>
      <c r="CM40" s="2525"/>
      <c r="CN40" s="2525"/>
      <c r="CO40" s="2518">
        <f>+SUM($CO39:CO39)</f>
        <v>150</v>
      </c>
      <c r="CP40" s="2529">
        <f>+SUM($CO39:CP39)</f>
        <v>325</v>
      </c>
      <c r="CQ40" s="2528">
        <f>+SUM($CO39:CQ39)</f>
        <v>390</v>
      </c>
      <c r="CR40" s="2528">
        <f>+SUM($CO39:CR39)</f>
        <v>505</v>
      </c>
      <c r="CS40" s="2527">
        <f>+SUM($CO39:CS39)</f>
        <v>765</v>
      </c>
      <c r="CT40" s="2529">
        <f>+CS40</f>
        <v>765</v>
      </c>
      <c r="CU40" s="2528">
        <f t="shared" ref="CU40:DI40" si="107">+CT40</f>
        <v>765</v>
      </c>
      <c r="CV40" s="2528">
        <f t="shared" si="107"/>
        <v>765</v>
      </c>
      <c r="CW40" s="2527">
        <f t="shared" si="107"/>
        <v>765</v>
      </c>
      <c r="CX40" s="2528">
        <f t="shared" si="107"/>
        <v>765</v>
      </c>
      <c r="CY40" s="2528">
        <f t="shared" si="107"/>
        <v>765</v>
      </c>
      <c r="CZ40" s="2528">
        <f t="shared" si="107"/>
        <v>765</v>
      </c>
      <c r="DA40" s="2527">
        <f t="shared" si="107"/>
        <v>765</v>
      </c>
      <c r="DB40" s="2528">
        <f t="shared" si="107"/>
        <v>765</v>
      </c>
      <c r="DC40" s="2528">
        <f t="shared" si="107"/>
        <v>765</v>
      </c>
      <c r="DD40" s="2530">
        <f t="shared" si="107"/>
        <v>765</v>
      </c>
      <c r="DE40" s="2531">
        <f t="shared" si="107"/>
        <v>765</v>
      </c>
      <c r="DF40" s="2530">
        <f t="shared" si="107"/>
        <v>765</v>
      </c>
      <c r="DG40" s="2530">
        <f t="shared" si="107"/>
        <v>765</v>
      </c>
      <c r="DH40" s="2530">
        <f t="shared" si="107"/>
        <v>765</v>
      </c>
      <c r="DI40" s="2531">
        <f t="shared" si="107"/>
        <v>765</v>
      </c>
      <c r="DJ40" s="2688"/>
      <c r="DK40" s="2530"/>
      <c r="DL40" s="2530"/>
      <c r="DM40" s="2531"/>
      <c r="DN40" s="2499"/>
      <c r="DO40" s="2500"/>
      <c r="DP40" s="1421"/>
      <c r="DQ40" s="2501"/>
      <c r="DR40" s="2501"/>
      <c r="DS40" s="2501"/>
      <c r="DT40" s="2501"/>
      <c r="DU40" s="2501"/>
      <c r="DV40" s="2501"/>
      <c r="DW40" s="2501"/>
      <c r="DX40" s="1421"/>
      <c r="DY40" s="2501"/>
      <c r="DZ40" s="2501"/>
      <c r="EA40" s="2501"/>
      <c r="EB40" s="2501"/>
      <c r="EC40" s="2501"/>
      <c r="ED40" s="2501"/>
      <c r="EE40" s="2501"/>
      <c r="EF40" s="2501"/>
      <c r="EG40" s="2501"/>
      <c r="EH40" s="2501"/>
      <c r="EI40" s="2501"/>
      <c r="EJ40" s="2501"/>
      <c r="EK40" s="2501"/>
      <c r="EL40" s="2501"/>
      <c r="EM40" s="2501"/>
      <c r="EN40" s="2501"/>
      <c r="EO40" s="2501"/>
      <c r="EP40" s="2501"/>
      <c r="EQ40" s="2501"/>
      <c r="ER40" s="2502"/>
      <c r="ES40" s="2503"/>
      <c r="ET40" s="2496"/>
      <c r="EU40" s="2503">
        <f>+CS40</f>
        <v>765</v>
      </c>
      <c r="EV40" s="2503">
        <f>+CW40</f>
        <v>765</v>
      </c>
      <c r="EW40" s="2503">
        <f>+DA40</f>
        <v>765</v>
      </c>
      <c r="EX40" s="2496">
        <f>+DE40</f>
        <v>765</v>
      </c>
      <c r="EY40" s="2496">
        <f>+DI40</f>
        <v>765</v>
      </c>
      <c r="EZ40" s="2498"/>
      <c r="FA40" s="2501"/>
      <c r="FB40" s="2501"/>
      <c r="FC40" s="2501"/>
      <c r="FD40" s="2501"/>
      <c r="FE40" s="2501"/>
      <c r="FF40" s="2501"/>
      <c r="FG40" s="2501"/>
      <c r="FH40" s="2501"/>
      <c r="FI40" s="2504"/>
      <c r="FJ40"/>
      <c r="FK40"/>
      <c r="FL40"/>
      <c r="FM40"/>
      <c r="FN40"/>
      <c r="FO40"/>
      <c r="FR40" s="3"/>
      <c r="FS40" s="528"/>
      <c r="FT40" s="528"/>
      <c r="FU40" s="2473"/>
      <c r="FV40" s="2496"/>
      <c r="FW40" s="2496"/>
      <c r="FX40" s="2496"/>
      <c r="FY40" s="2473"/>
      <c r="FZ40" s="2473"/>
      <c r="GA40" s="2473"/>
      <c r="GB40" s="2473"/>
      <c r="GC40" s="2473"/>
      <c r="GD40" s="2473"/>
      <c r="GE40" s="2473"/>
      <c r="GF40" s="2473"/>
      <c r="GG40" s="2473"/>
      <c r="GH40" s="2473"/>
      <c r="GI40" s="2473"/>
      <c r="GJ40" s="2473"/>
      <c r="GK40" s="2473"/>
      <c r="GL40" s="2473"/>
      <c r="GM40" s="2473"/>
      <c r="GN40" s="2473"/>
      <c r="GO40" s="2473"/>
      <c r="GP40" s="2473"/>
      <c r="GQ40" s="2473"/>
      <c r="GR40" s="2473"/>
      <c r="GS40" s="2473"/>
      <c r="GT40" s="2473"/>
      <c r="GU40" s="2473"/>
      <c r="GV40" s="2473"/>
      <c r="GW40" s="2473"/>
      <c r="GX40" s="2473"/>
      <c r="GY40" s="2473"/>
      <c r="GZ40" s="2473"/>
      <c r="HA40" s="2473"/>
      <c r="HB40" s="2473"/>
      <c r="HC40" s="2473"/>
      <c r="HD40" s="2473"/>
      <c r="HE40" s="2473"/>
      <c r="HF40" s="2473"/>
      <c r="HG40" s="2473"/>
      <c r="HH40" s="2473"/>
      <c r="HI40" s="2473"/>
      <c r="HJ40" s="2473"/>
      <c r="HK40" s="2473"/>
      <c r="HL40" s="2473"/>
      <c r="HM40" s="2473"/>
      <c r="HN40" s="2473"/>
      <c r="HO40" s="2473"/>
      <c r="HP40" s="2473"/>
      <c r="HQ40" s="2473"/>
      <c r="HR40" s="2473"/>
      <c r="HS40" s="2473"/>
      <c r="HT40" s="2473"/>
      <c r="HU40" s="2473"/>
      <c r="HV40" s="2473"/>
      <c r="HW40" s="2473"/>
      <c r="HX40" s="2473"/>
      <c r="HY40" s="2473"/>
      <c r="HZ40" s="2473"/>
      <c r="IA40" s="2473"/>
      <c r="IB40" s="2473"/>
      <c r="IC40" s="2473"/>
      <c r="ID40" s="2473"/>
      <c r="IE40" s="2473"/>
      <c r="IF40" s="2473"/>
      <c r="IG40" s="2473"/>
      <c r="IH40" s="2473"/>
      <c r="II40" s="2473"/>
      <c r="IJ40" s="2473"/>
      <c r="IK40" s="2473"/>
      <c r="IL40" s="2473"/>
      <c r="IM40" s="2473"/>
      <c r="IN40" s="2473"/>
      <c r="IO40" s="2473"/>
      <c r="IP40" s="2473"/>
      <c r="IQ40" s="2473"/>
      <c r="IR40" s="2473"/>
      <c r="IS40" s="2473"/>
      <c r="IT40" s="2473"/>
      <c r="IU40" s="2473"/>
      <c r="IV40" s="2473"/>
      <c r="IW40" s="2473"/>
      <c r="IX40" s="2473"/>
      <c r="IY40" s="2473"/>
      <c r="IZ40" s="2473"/>
    </row>
    <row r="41" spans="1:260" s="4" customFormat="1" hidden="1" outlineLevel="1" x14ac:dyDescent="0.2">
      <c r="A41" s="1557" t="s">
        <v>737</v>
      </c>
      <c r="B41" s="2519"/>
      <c r="C41" s="2519"/>
      <c r="D41" s="2519"/>
      <c r="E41" s="2520"/>
      <c r="F41" s="2521"/>
      <c r="G41" s="2521"/>
      <c r="H41" s="2521"/>
      <c r="I41" s="2522"/>
      <c r="J41" s="2521"/>
      <c r="K41" s="2521"/>
      <c r="L41" s="2521"/>
      <c r="M41" s="2522"/>
      <c r="N41" s="2521"/>
      <c r="O41" s="2521"/>
      <c r="P41" s="2521"/>
      <c r="Q41" s="2522"/>
      <c r="R41" s="2521"/>
      <c r="S41" s="2521"/>
      <c r="T41" s="2521"/>
      <c r="U41" s="2522"/>
      <c r="V41" s="2521"/>
      <c r="W41" s="2521"/>
      <c r="X41" s="2521"/>
      <c r="Y41" s="2522"/>
      <c r="Z41" s="2521"/>
      <c r="AA41" s="2521"/>
      <c r="AB41" s="2521"/>
      <c r="AC41" s="2522"/>
      <c r="AD41" s="2521"/>
      <c r="AE41" s="2521"/>
      <c r="AF41" s="2521"/>
      <c r="AG41" s="2522"/>
      <c r="AH41" s="2521"/>
      <c r="AI41" s="2521"/>
      <c r="AJ41" s="2521"/>
      <c r="AK41" s="2522"/>
      <c r="AL41" s="2521"/>
      <c r="AM41" s="2521"/>
      <c r="AN41" s="2521"/>
      <c r="AO41" s="2522"/>
      <c r="AP41" s="2521"/>
      <c r="AQ41" s="2521"/>
      <c r="AR41" s="2521"/>
      <c r="AS41" s="2522"/>
      <c r="AT41" s="2521"/>
      <c r="AU41" s="2521"/>
      <c r="AV41" s="2521"/>
      <c r="AW41" s="2522"/>
      <c r="AX41" s="2521"/>
      <c r="AY41" s="2521"/>
      <c r="AZ41" s="2521"/>
      <c r="BA41" s="2522"/>
      <c r="BB41" s="2521"/>
      <c r="BC41" s="2521"/>
      <c r="BD41" s="2521"/>
      <c r="BE41" s="2522"/>
      <c r="BF41" s="2521"/>
      <c r="BG41" s="2521"/>
      <c r="BH41" s="2521"/>
      <c r="BI41" s="2522"/>
      <c r="BJ41" s="2521"/>
      <c r="BK41" s="2521"/>
      <c r="BL41" s="2521"/>
      <c r="BM41" s="2522"/>
      <c r="BN41" s="2521"/>
      <c r="BO41" s="2521"/>
      <c r="BP41" s="2521"/>
      <c r="BQ41" s="2522"/>
      <c r="BR41" s="2521"/>
      <c r="BS41" s="2521"/>
      <c r="BT41" s="2521"/>
      <c r="BU41" s="2522"/>
      <c r="BV41" s="2521"/>
      <c r="BW41" s="2521"/>
      <c r="BX41" s="2521"/>
      <c r="BY41" s="2523"/>
      <c r="BZ41" s="2521"/>
      <c r="CA41" s="2521"/>
      <c r="CB41" s="2521"/>
      <c r="CC41" s="2523"/>
      <c r="CD41" s="2521"/>
      <c r="CE41" s="2521"/>
      <c r="CF41" s="2521"/>
      <c r="CG41" s="2524"/>
      <c r="CH41" s="2521"/>
      <c r="CI41" s="2521"/>
      <c r="CJ41" s="2521"/>
      <c r="CK41" s="2522"/>
      <c r="CL41" s="2525"/>
      <c r="CM41" s="2525"/>
      <c r="CN41" s="2525"/>
      <c r="CO41" s="2518"/>
      <c r="CP41" s="2529"/>
      <c r="CQ41" s="2528"/>
      <c r="CR41" s="2528"/>
      <c r="CS41" s="2527"/>
      <c r="CT41" s="2529">
        <f>+SUM($CT39:CT39)</f>
        <v>95</v>
      </c>
      <c r="CU41" s="2528">
        <f>+SUM($CT39:CU39)</f>
        <v>135</v>
      </c>
      <c r="CV41" s="2528">
        <f>+SUM($CT39:CV39)</f>
        <v>200</v>
      </c>
      <c r="CW41" s="2527">
        <f>+SUM($CT39:CW39)</f>
        <v>255</v>
      </c>
      <c r="CX41" s="2528">
        <f>+CW41</f>
        <v>255</v>
      </c>
      <c r="CY41" s="2528">
        <f t="shared" ref="CY41:DI41" si="108">+CX41</f>
        <v>255</v>
      </c>
      <c r="CZ41" s="2528">
        <f t="shared" si="108"/>
        <v>255</v>
      </c>
      <c r="DA41" s="2527">
        <f t="shared" si="108"/>
        <v>255</v>
      </c>
      <c r="DB41" s="2528">
        <f t="shared" si="108"/>
        <v>255</v>
      </c>
      <c r="DC41" s="2528">
        <f t="shared" si="108"/>
        <v>255</v>
      </c>
      <c r="DD41" s="2530">
        <f t="shared" si="108"/>
        <v>255</v>
      </c>
      <c r="DE41" s="2531">
        <f t="shared" si="108"/>
        <v>255</v>
      </c>
      <c r="DF41" s="2530">
        <f t="shared" si="108"/>
        <v>255</v>
      </c>
      <c r="DG41" s="2530">
        <f t="shared" si="108"/>
        <v>255</v>
      </c>
      <c r="DH41" s="2530">
        <f t="shared" si="108"/>
        <v>255</v>
      </c>
      <c r="DI41" s="2531">
        <f t="shared" si="108"/>
        <v>255</v>
      </c>
      <c r="DJ41" s="2688"/>
      <c r="DK41" s="2530"/>
      <c r="DL41" s="2530"/>
      <c r="DM41" s="2531"/>
      <c r="DN41" s="2499"/>
      <c r="DO41" s="2500"/>
      <c r="DP41" s="1421"/>
      <c r="DQ41" s="2501"/>
      <c r="DR41" s="2501"/>
      <c r="DS41" s="2501"/>
      <c r="DT41" s="2501"/>
      <c r="DU41" s="2501"/>
      <c r="DV41" s="2501"/>
      <c r="DW41" s="2501"/>
      <c r="DX41" s="1421"/>
      <c r="DY41" s="2501"/>
      <c r="DZ41" s="2501"/>
      <c r="EA41" s="2501"/>
      <c r="EB41" s="2501"/>
      <c r="EC41" s="2501"/>
      <c r="ED41" s="2501"/>
      <c r="EE41" s="2501"/>
      <c r="EF41" s="2501"/>
      <c r="EG41" s="2501"/>
      <c r="EH41" s="2501"/>
      <c r="EI41" s="2501"/>
      <c r="EJ41" s="2501"/>
      <c r="EK41" s="2501"/>
      <c r="EL41" s="2501"/>
      <c r="EM41" s="2501"/>
      <c r="EN41" s="2501"/>
      <c r="EO41" s="2501"/>
      <c r="EP41" s="2501"/>
      <c r="EQ41" s="2501"/>
      <c r="ER41" s="2502"/>
      <c r="ES41" s="2503"/>
      <c r="ET41" s="2496"/>
      <c r="EU41" s="2503"/>
      <c r="EV41" s="2503">
        <f>+CW41</f>
        <v>255</v>
      </c>
      <c r="EW41" s="2503">
        <f>+DA41</f>
        <v>255</v>
      </c>
      <c r="EX41" s="2496">
        <f>+DE41</f>
        <v>255</v>
      </c>
      <c r="EY41" s="2496">
        <f>+DI41</f>
        <v>255</v>
      </c>
      <c r="EZ41" s="2498"/>
      <c r="FA41" s="2501"/>
      <c r="FB41" s="2501"/>
      <c r="FC41" s="2501"/>
      <c r="FD41" s="2501"/>
      <c r="FE41" s="2501"/>
      <c r="FF41" s="2501"/>
      <c r="FG41" s="2501"/>
      <c r="FH41" s="2501"/>
      <c r="FI41" s="2504"/>
      <c r="FJ41"/>
      <c r="FK41"/>
      <c r="FL41"/>
      <c r="FM41"/>
      <c r="FN41"/>
      <c r="FO41"/>
      <c r="FR41" s="3"/>
      <c r="FS41" s="528"/>
      <c r="FT41" s="528"/>
      <c r="FU41" s="2473"/>
      <c r="FV41" s="2496"/>
      <c r="FW41" s="2496"/>
      <c r="FX41" s="2496"/>
      <c r="FY41" s="2473"/>
      <c r="FZ41" s="2473"/>
      <c r="GA41" s="2473"/>
      <c r="GB41" s="2473"/>
      <c r="GC41" s="2473"/>
      <c r="GD41" s="2473"/>
      <c r="GE41" s="2473"/>
      <c r="GF41" s="2473"/>
      <c r="GG41" s="2473"/>
      <c r="GH41" s="2473"/>
      <c r="GI41" s="2473"/>
      <c r="GJ41" s="2473"/>
      <c r="GK41" s="2473"/>
      <c r="GL41" s="2473"/>
      <c r="GM41" s="2473"/>
      <c r="GN41" s="2473"/>
      <c r="GO41" s="2473"/>
      <c r="GP41" s="2473"/>
      <c r="GQ41" s="2473"/>
      <c r="GR41" s="2473"/>
      <c r="GS41" s="2473"/>
      <c r="GT41" s="2473"/>
      <c r="GU41" s="2473"/>
      <c r="GV41" s="2473"/>
      <c r="GW41" s="2473"/>
      <c r="GX41" s="2473"/>
      <c r="GY41" s="2473"/>
      <c r="GZ41" s="2473"/>
      <c r="HA41" s="2473"/>
      <c r="HB41" s="2473"/>
      <c r="HC41" s="2473"/>
      <c r="HD41" s="2473"/>
      <c r="HE41" s="2473"/>
      <c r="HF41" s="2473"/>
      <c r="HG41" s="2473"/>
      <c r="HH41" s="2473"/>
      <c r="HI41" s="2473"/>
      <c r="HJ41" s="2473"/>
      <c r="HK41" s="2473"/>
      <c r="HL41" s="2473"/>
      <c r="HM41" s="2473"/>
      <c r="HN41" s="2473"/>
      <c r="HO41" s="2473"/>
      <c r="HP41" s="2473"/>
      <c r="HQ41" s="2473"/>
      <c r="HR41" s="2473"/>
      <c r="HS41" s="2473"/>
      <c r="HT41" s="2473"/>
      <c r="HU41" s="2473"/>
      <c r="HV41" s="2473"/>
      <c r="HW41" s="2473"/>
      <c r="HX41" s="2473"/>
      <c r="HY41" s="2473"/>
      <c r="HZ41" s="2473"/>
      <c r="IA41" s="2473"/>
      <c r="IB41" s="2473"/>
      <c r="IC41" s="2473"/>
      <c r="ID41" s="2473"/>
      <c r="IE41" s="2473"/>
      <c r="IF41" s="2473"/>
      <c r="IG41" s="2473"/>
      <c r="IH41" s="2473"/>
      <c r="II41" s="2473"/>
      <c r="IJ41" s="2473"/>
      <c r="IK41" s="2473"/>
      <c r="IL41" s="2473"/>
      <c r="IM41" s="2473"/>
      <c r="IN41" s="2473"/>
      <c r="IO41" s="2473"/>
      <c r="IP41" s="2473"/>
      <c r="IQ41" s="2473"/>
      <c r="IR41" s="2473"/>
      <c r="IS41" s="2473"/>
      <c r="IT41" s="2473"/>
      <c r="IU41" s="2473"/>
      <c r="IV41" s="2473"/>
      <c r="IW41" s="2473"/>
      <c r="IX41" s="2473"/>
      <c r="IY41" s="2473"/>
      <c r="IZ41" s="2473"/>
    </row>
    <row r="42" spans="1:260" s="4" customFormat="1" hidden="1" outlineLevel="1" x14ac:dyDescent="0.2">
      <c r="A42" s="1557" t="s">
        <v>735</v>
      </c>
      <c r="B42" s="2519"/>
      <c r="C42" s="2519"/>
      <c r="D42" s="2519"/>
      <c r="E42" s="2520"/>
      <c r="F42" s="2521"/>
      <c r="G42" s="2521"/>
      <c r="H42" s="2521"/>
      <c r="I42" s="2522"/>
      <c r="J42" s="2521"/>
      <c r="K42" s="2521"/>
      <c r="L42" s="2521"/>
      <c r="M42" s="2522"/>
      <c r="N42" s="2521"/>
      <c r="O42" s="2521"/>
      <c r="P42" s="2521"/>
      <c r="Q42" s="2522"/>
      <c r="R42" s="2521"/>
      <c r="S42" s="2521"/>
      <c r="T42" s="2521"/>
      <c r="U42" s="2522"/>
      <c r="V42" s="2521"/>
      <c r="W42" s="2521"/>
      <c r="X42" s="2521"/>
      <c r="Y42" s="2522"/>
      <c r="Z42" s="2521"/>
      <c r="AA42" s="2521"/>
      <c r="AB42" s="2521"/>
      <c r="AC42" s="2522"/>
      <c r="AD42" s="2521"/>
      <c r="AE42" s="2521"/>
      <c r="AF42" s="2521"/>
      <c r="AG42" s="2522"/>
      <c r="AH42" s="2521"/>
      <c r="AI42" s="2521"/>
      <c r="AJ42" s="2521"/>
      <c r="AK42" s="2522"/>
      <c r="AL42" s="2521"/>
      <c r="AM42" s="2521"/>
      <c r="AN42" s="2521"/>
      <c r="AO42" s="2522"/>
      <c r="AP42" s="2521"/>
      <c r="AQ42" s="2521"/>
      <c r="AR42" s="2521"/>
      <c r="AS42" s="2522"/>
      <c r="AT42" s="2521"/>
      <c r="AU42" s="2521"/>
      <c r="AV42" s="2521"/>
      <c r="AW42" s="2522"/>
      <c r="AX42" s="2521"/>
      <c r="AY42" s="2521"/>
      <c r="AZ42" s="2521"/>
      <c r="BA42" s="2522"/>
      <c r="BB42" s="2521"/>
      <c r="BC42" s="2521"/>
      <c r="BD42" s="2521"/>
      <c r="BE42" s="2522"/>
      <c r="BF42" s="2521"/>
      <c r="BG42" s="2521"/>
      <c r="BH42" s="2521"/>
      <c r="BI42" s="2522"/>
      <c r="BJ42" s="2521"/>
      <c r="BK42" s="2521"/>
      <c r="BL42" s="2521"/>
      <c r="BM42" s="2522"/>
      <c r="BN42" s="2521"/>
      <c r="BO42" s="2521"/>
      <c r="BP42" s="2521"/>
      <c r="BQ42" s="2522"/>
      <c r="BR42" s="2521"/>
      <c r="BS42" s="2521"/>
      <c r="BT42" s="2521"/>
      <c r="BU42" s="2522"/>
      <c r="BV42" s="2521"/>
      <c r="BW42" s="2521"/>
      <c r="BX42" s="2521"/>
      <c r="BY42" s="2523"/>
      <c r="BZ42" s="2521"/>
      <c r="CA42" s="2521"/>
      <c r="CB42" s="2521"/>
      <c r="CC42" s="2523"/>
      <c r="CD42" s="2521"/>
      <c r="CE42" s="2521"/>
      <c r="CF42" s="2521"/>
      <c r="CG42" s="2524"/>
      <c r="CH42" s="2521"/>
      <c r="CI42" s="2521"/>
      <c r="CJ42" s="2521"/>
      <c r="CK42" s="2522"/>
      <c r="CL42" s="2525"/>
      <c r="CM42" s="2525"/>
      <c r="CN42" s="2525"/>
      <c r="CO42" s="2518"/>
      <c r="CP42" s="2529"/>
      <c r="CQ42" s="2528"/>
      <c r="CR42" s="2528"/>
      <c r="CS42" s="2527"/>
      <c r="CT42" s="2529"/>
      <c r="CU42" s="2528"/>
      <c r="CV42" s="2528"/>
      <c r="CW42" s="2527"/>
      <c r="CX42" s="2528">
        <f>+SUM($CX39:CX39)</f>
        <v>0</v>
      </c>
      <c r="CY42" s="2528">
        <f>+SUM($CX39:CY39)</f>
        <v>100</v>
      </c>
      <c r="CZ42" s="2528">
        <f>+SUM($CX39:CZ39)</f>
        <v>110</v>
      </c>
      <c r="DA42" s="2527">
        <f>+SUM($CX39:DA39)</f>
        <v>150</v>
      </c>
      <c r="DB42" s="2528">
        <f>+SUM($CX39:DB39)</f>
        <v>200</v>
      </c>
      <c r="DC42" s="2528">
        <f>+SUM($CX39:DC39)</f>
        <v>250</v>
      </c>
      <c r="DD42" s="2530">
        <f>+SUM($CX39:DD39)</f>
        <v>300</v>
      </c>
      <c r="DE42" s="2531">
        <f>+SUM($CX39:DE39)</f>
        <v>350</v>
      </c>
      <c r="DF42" s="2530">
        <f>+SUM($CX39:DF39)</f>
        <v>400</v>
      </c>
      <c r="DG42" s="2530">
        <f>+SUM($CX39:DG39)</f>
        <v>450</v>
      </c>
      <c r="DH42" s="2530">
        <f>+DG42</f>
        <v>450</v>
      </c>
      <c r="DI42" s="2531">
        <f>+DH42</f>
        <v>450</v>
      </c>
      <c r="DJ42" s="2498"/>
      <c r="DK42" s="2496"/>
      <c r="DL42" s="2496"/>
      <c r="DM42" s="2497"/>
      <c r="DN42" s="2499"/>
      <c r="DO42" s="2500"/>
      <c r="DP42" s="1421"/>
      <c r="DQ42" s="2501"/>
      <c r="DR42" s="2501"/>
      <c r="DS42" s="2501"/>
      <c r="DT42" s="2501"/>
      <c r="DU42" s="2501"/>
      <c r="DV42" s="2501"/>
      <c r="DW42" s="2501"/>
      <c r="DX42" s="1421"/>
      <c r="DY42" s="2501"/>
      <c r="DZ42" s="2501"/>
      <c r="EA42" s="2501"/>
      <c r="EB42" s="2501"/>
      <c r="EC42" s="2501"/>
      <c r="ED42" s="2501"/>
      <c r="EE42" s="2501"/>
      <c r="EF42" s="2501"/>
      <c r="EG42" s="2501"/>
      <c r="EH42" s="2501"/>
      <c r="EI42" s="2501"/>
      <c r="EJ42" s="2501"/>
      <c r="EK42" s="2501"/>
      <c r="EL42" s="2501"/>
      <c r="EM42" s="2501"/>
      <c r="EN42" s="2501"/>
      <c r="EO42" s="2501"/>
      <c r="EP42" s="2501"/>
      <c r="EQ42" s="2501"/>
      <c r="ER42" s="2502"/>
      <c r="ES42" s="2503"/>
      <c r="ET42" s="2496"/>
      <c r="EU42" s="2503"/>
      <c r="EV42" s="2503"/>
      <c r="EW42" s="2503">
        <f>+DA42</f>
        <v>150</v>
      </c>
      <c r="EX42" s="2496">
        <f>+DE42</f>
        <v>350</v>
      </c>
      <c r="EY42" s="2496">
        <f>+DI42</f>
        <v>450</v>
      </c>
      <c r="EZ42" s="2498"/>
      <c r="FA42" s="2501"/>
      <c r="FB42" s="2501"/>
      <c r="FC42" s="2501"/>
      <c r="FD42" s="2501"/>
      <c r="FE42" s="2501"/>
      <c r="FF42" s="2501"/>
      <c r="FG42" s="2501"/>
      <c r="FH42" s="2501"/>
      <c r="FI42" s="2504"/>
      <c r="FJ42"/>
      <c r="FK42"/>
      <c r="FL42"/>
      <c r="FM42"/>
      <c r="FN42"/>
      <c r="FO42"/>
      <c r="FR42" s="3"/>
      <c r="FS42" s="528"/>
      <c r="FT42" s="528"/>
      <c r="FU42" s="2473"/>
      <c r="FV42" s="2496"/>
      <c r="FW42" s="2496"/>
      <c r="FX42" s="2496"/>
      <c r="FY42" s="2473"/>
      <c r="FZ42" s="2473"/>
      <c r="GA42" s="2473"/>
      <c r="GB42" s="2473"/>
      <c r="GC42" s="2473"/>
      <c r="GD42" s="2473"/>
      <c r="GE42" s="2473"/>
      <c r="GF42" s="2473"/>
      <c r="GG42" s="2473"/>
      <c r="GH42" s="2473"/>
      <c r="GI42" s="2473"/>
      <c r="GJ42" s="2473"/>
      <c r="GK42" s="2473"/>
      <c r="GL42" s="2473"/>
      <c r="GM42" s="2473"/>
      <c r="GN42" s="2473"/>
      <c r="GO42" s="2473"/>
      <c r="GP42" s="2473"/>
      <c r="GQ42" s="2473"/>
      <c r="GR42" s="2473"/>
      <c r="GS42" s="2473"/>
      <c r="GT42" s="2473"/>
      <c r="GU42" s="2473"/>
      <c r="GV42" s="2473"/>
      <c r="GW42" s="2473"/>
      <c r="GX42" s="2473"/>
      <c r="GY42" s="2473"/>
      <c r="GZ42" s="2473"/>
      <c r="HA42" s="2473"/>
      <c r="HB42" s="2473"/>
      <c r="HC42" s="2473"/>
      <c r="HD42" s="2473"/>
      <c r="HE42" s="2473"/>
      <c r="HF42" s="2473"/>
      <c r="HG42" s="2473"/>
      <c r="HH42" s="2473"/>
      <c r="HI42" s="2473"/>
      <c r="HJ42" s="2473"/>
      <c r="HK42" s="2473"/>
      <c r="HL42" s="2473"/>
      <c r="HM42" s="2473"/>
      <c r="HN42" s="2473"/>
      <c r="HO42" s="2473"/>
      <c r="HP42" s="2473"/>
      <c r="HQ42" s="2473"/>
      <c r="HR42" s="2473"/>
      <c r="HS42" s="2473"/>
      <c r="HT42" s="2473"/>
      <c r="HU42" s="2473"/>
      <c r="HV42" s="2473"/>
      <c r="HW42" s="2473"/>
      <c r="HX42" s="2473"/>
      <c r="HY42" s="2473"/>
      <c r="HZ42" s="2473"/>
      <c r="IA42" s="2473"/>
      <c r="IB42" s="2473"/>
      <c r="IC42" s="2473"/>
      <c r="ID42" s="2473"/>
      <c r="IE42" s="2473"/>
      <c r="IF42" s="2473"/>
      <c r="IG42" s="2473"/>
      <c r="IH42" s="2473"/>
      <c r="II42" s="2473"/>
      <c r="IJ42" s="2473"/>
      <c r="IK42" s="2473"/>
      <c r="IL42" s="2473"/>
      <c r="IM42" s="2473"/>
      <c r="IN42" s="2473"/>
      <c r="IO42" s="2473"/>
      <c r="IP42" s="2473"/>
      <c r="IQ42" s="2473"/>
      <c r="IR42" s="2473"/>
      <c r="IS42" s="2473"/>
      <c r="IT42" s="2473"/>
      <c r="IU42" s="2473"/>
      <c r="IV42" s="2473"/>
      <c r="IW42" s="2473"/>
      <c r="IX42" s="2473"/>
      <c r="IY42" s="2473"/>
      <c r="IZ42" s="2473"/>
    </row>
    <row r="43" spans="1:260" s="4" customFormat="1" hidden="1" outlineLevel="1" x14ac:dyDescent="0.2">
      <c r="A43" s="1557" t="s">
        <v>738</v>
      </c>
      <c r="B43" s="2519"/>
      <c r="C43" s="2519"/>
      <c r="D43" s="2519"/>
      <c r="E43" s="2520"/>
      <c r="F43" s="2521"/>
      <c r="G43" s="2521"/>
      <c r="H43" s="2521"/>
      <c r="I43" s="2522"/>
      <c r="J43" s="2521"/>
      <c r="K43" s="2521"/>
      <c r="L43" s="2521"/>
      <c r="M43" s="2522"/>
      <c r="N43" s="2521"/>
      <c r="O43" s="2521"/>
      <c r="P43" s="2521"/>
      <c r="Q43" s="2522"/>
      <c r="R43" s="2521"/>
      <c r="S43" s="2521"/>
      <c r="T43" s="2521"/>
      <c r="U43" s="2522"/>
      <c r="V43" s="2521"/>
      <c r="W43" s="2521"/>
      <c r="X43" s="2521"/>
      <c r="Y43" s="2522"/>
      <c r="Z43" s="2521"/>
      <c r="AA43" s="2521"/>
      <c r="AB43" s="2521"/>
      <c r="AC43" s="2522"/>
      <c r="AD43" s="2521"/>
      <c r="AE43" s="2521"/>
      <c r="AF43" s="2521"/>
      <c r="AG43" s="2522"/>
      <c r="AH43" s="2521"/>
      <c r="AI43" s="2521"/>
      <c r="AJ43" s="2521"/>
      <c r="AK43" s="2522"/>
      <c r="AL43" s="2521"/>
      <c r="AM43" s="2521"/>
      <c r="AN43" s="2521"/>
      <c r="AO43" s="2522"/>
      <c r="AP43" s="2521"/>
      <c r="AQ43" s="2521"/>
      <c r="AR43" s="2521"/>
      <c r="AS43" s="2522"/>
      <c r="AT43" s="2521"/>
      <c r="AU43" s="2521"/>
      <c r="AV43" s="2521"/>
      <c r="AW43" s="2522"/>
      <c r="AX43" s="2521"/>
      <c r="AY43" s="2521"/>
      <c r="AZ43" s="2521"/>
      <c r="BA43" s="2522"/>
      <c r="BB43" s="2521"/>
      <c r="BC43" s="2521"/>
      <c r="BD43" s="2521"/>
      <c r="BE43" s="2522"/>
      <c r="BF43" s="2521"/>
      <c r="BG43" s="2521"/>
      <c r="BH43" s="2521"/>
      <c r="BI43" s="2522"/>
      <c r="BJ43" s="2521"/>
      <c r="BK43" s="2521"/>
      <c r="BL43" s="2521"/>
      <c r="BM43" s="2522"/>
      <c r="BN43" s="2521"/>
      <c r="BO43" s="2521"/>
      <c r="BP43" s="2521"/>
      <c r="BQ43" s="2522"/>
      <c r="BR43" s="2521"/>
      <c r="BS43" s="2521"/>
      <c r="BT43" s="2521"/>
      <c r="BU43" s="2522"/>
      <c r="BV43" s="2521"/>
      <c r="BW43" s="2521"/>
      <c r="BX43" s="2521"/>
      <c r="BY43" s="2523"/>
      <c r="BZ43" s="2521"/>
      <c r="CA43" s="2521"/>
      <c r="CB43" s="2521"/>
      <c r="CC43" s="2523"/>
      <c r="CD43" s="2521"/>
      <c r="CE43" s="2521"/>
      <c r="CF43" s="2521"/>
      <c r="CG43" s="2524"/>
      <c r="CH43" s="2521"/>
      <c r="CI43" s="2521"/>
      <c r="CJ43" s="2521"/>
      <c r="CK43" s="2522"/>
      <c r="CL43" s="2525"/>
      <c r="CM43" s="2525"/>
      <c r="CN43" s="2525"/>
      <c r="CO43" s="2518"/>
      <c r="CP43" s="2529"/>
      <c r="CQ43" s="2528"/>
      <c r="CR43" s="2528"/>
      <c r="CS43" s="2527"/>
      <c r="CT43" s="2529"/>
      <c r="CU43" s="2528"/>
      <c r="CV43" s="2528"/>
      <c r="CW43" s="2527"/>
      <c r="CX43" s="2528"/>
      <c r="CY43" s="2528"/>
      <c r="CZ43" s="2528"/>
      <c r="DA43" s="2527"/>
      <c r="DB43" s="2528"/>
      <c r="DC43" s="2528"/>
      <c r="DD43" s="2530"/>
      <c r="DE43" s="2531"/>
      <c r="DF43" s="2530"/>
      <c r="DG43" s="2530"/>
      <c r="DH43" s="2530">
        <f>+SUM($DG39:DH39)</f>
        <v>100</v>
      </c>
      <c r="DI43" s="2531">
        <f>+SUM($DG39:DI39)</f>
        <v>235</v>
      </c>
      <c r="DJ43" s="2498"/>
      <c r="DK43" s="2530"/>
      <c r="DL43" s="2530"/>
      <c r="DM43" s="2497"/>
      <c r="DN43" s="2499"/>
      <c r="DO43" s="2500"/>
      <c r="DP43" s="1421"/>
      <c r="DQ43" s="2501"/>
      <c r="DR43" s="2501"/>
      <c r="DS43" s="2501"/>
      <c r="DT43" s="2501"/>
      <c r="DU43" s="2501"/>
      <c r="DV43" s="2501"/>
      <c r="DW43" s="2501"/>
      <c r="DX43" s="1421"/>
      <c r="DY43" s="2501"/>
      <c r="DZ43" s="2501"/>
      <c r="EA43" s="2501"/>
      <c r="EB43" s="2501"/>
      <c r="EC43" s="2501"/>
      <c r="ED43" s="2501"/>
      <c r="EE43" s="2501"/>
      <c r="EF43" s="2501"/>
      <c r="EG43" s="2501"/>
      <c r="EH43" s="2501"/>
      <c r="EI43" s="2501"/>
      <c r="EJ43" s="2501"/>
      <c r="EK43" s="2501"/>
      <c r="EL43" s="2501"/>
      <c r="EM43" s="2501"/>
      <c r="EN43" s="2501"/>
      <c r="EO43" s="2501"/>
      <c r="EP43" s="2501"/>
      <c r="EQ43" s="2501"/>
      <c r="ER43" s="2502"/>
      <c r="ES43" s="2503"/>
      <c r="ET43" s="2496"/>
      <c r="EU43" s="2503"/>
      <c r="EV43" s="2503"/>
      <c r="EW43" s="2503"/>
      <c r="EX43" s="2496"/>
      <c r="EY43" s="2496">
        <f>+DI43</f>
        <v>235</v>
      </c>
      <c r="EZ43" s="2498"/>
      <c r="FA43" s="2501"/>
      <c r="FB43" s="2501"/>
      <c r="FC43" s="2501"/>
      <c r="FD43" s="2501"/>
      <c r="FE43" s="2501"/>
      <c r="FF43" s="2501"/>
      <c r="FG43" s="2501"/>
      <c r="FH43" s="2501"/>
      <c r="FI43" s="2504"/>
      <c r="FJ43"/>
      <c r="FK43"/>
      <c r="FL43"/>
      <c r="FM43"/>
      <c r="FN43"/>
      <c r="FO43"/>
      <c r="FR43" s="3"/>
      <c r="FS43" s="528"/>
      <c r="FT43" s="528"/>
      <c r="FU43" s="2473"/>
      <c r="FV43" s="2496"/>
      <c r="FW43" s="2496"/>
      <c r="FX43" s="2496"/>
      <c r="FY43" s="2473"/>
      <c r="FZ43" s="2473"/>
      <c r="GA43" s="2473"/>
      <c r="GB43" s="2473"/>
      <c r="GC43" s="2473"/>
      <c r="GD43" s="2473"/>
      <c r="GE43" s="2473"/>
      <c r="GF43" s="2473"/>
      <c r="GG43" s="2473"/>
      <c r="GH43" s="2473"/>
      <c r="GI43" s="2473"/>
      <c r="GJ43" s="2473"/>
      <c r="GK43" s="2473"/>
      <c r="GL43" s="2473"/>
      <c r="GM43" s="2473"/>
      <c r="GN43" s="2473"/>
      <c r="GO43" s="2473"/>
      <c r="GP43" s="2473"/>
      <c r="GQ43" s="2473"/>
      <c r="GR43" s="2473"/>
      <c r="GS43" s="2473"/>
      <c r="GT43" s="2473"/>
      <c r="GU43" s="2473"/>
      <c r="GV43" s="2473"/>
      <c r="GW43" s="2473"/>
      <c r="GX43" s="2473"/>
      <c r="GY43" s="2473"/>
      <c r="GZ43" s="2473"/>
      <c r="HA43" s="2473"/>
      <c r="HB43" s="2473"/>
      <c r="HC43" s="2473"/>
      <c r="HD43" s="2473"/>
      <c r="HE43" s="2473"/>
      <c r="HF43" s="2473"/>
      <c r="HG43" s="2473"/>
      <c r="HH43" s="2473"/>
      <c r="HI43" s="2473"/>
      <c r="HJ43" s="2473"/>
      <c r="HK43" s="2473"/>
      <c r="HL43" s="2473"/>
      <c r="HM43" s="2473"/>
      <c r="HN43" s="2473"/>
      <c r="HO43" s="2473"/>
      <c r="HP43" s="2473"/>
      <c r="HQ43" s="2473"/>
      <c r="HR43" s="2473"/>
      <c r="HS43" s="2473"/>
      <c r="HT43" s="2473"/>
      <c r="HU43" s="2473"/>
      <c r="HV43" s="2473"/>
      <c r="HW43" s="2473"/>
      <c r="HX43" s="2473"/>
      <c r="HY43" s="2473"/>
      <c r="HZ43" s="2473"/>
      <c r="IA43" s="2473"/>
      <c r="IB43" s="2473"/>
      <c r="IC43" s="2473"/>
      <c r="ID43" s="2473"/>
      <c r="IE43" s="2473"/>
      <c r="IF43" s="2473"/>
      <c r="IG43" s="2473"/>
      <c r="IH43" s="2473"/>
      <c r="II43" s="2473"/>
      <c r="IJ43" s="2473"/>
      <c r="IK43" s="2473"/>
      <c r="IL43" s="2473"/>
      <c r="IM43" s="2473"/>
      <c r="IN43" s="2473"/>
      <c r="IO43" s="2473"/>
      <c r="IP43" s="2473"/>
      <c r="IQ43" s="2473"/>
      <c r="IR43" s="2473"/>
      <c r="IS43" s="2473"/>
      <c r="IT43" s="2473"/>
      <c r="IU43" s="2473"/>
      <c r="IV43" s="2473"/>
      <c r="IW43" s="2473"/>
      <c r="IX43" s="2473"/>
      <c r="IY43" s="2473"/>
      <c r="IZ43" s="2473"/>
    </row>
    <row r="44" spans="1:260" s="19" customFormat="1" hidden="1" outlineLevel="1" x14ac:dyDescent="0.2">
      <c r="A44" s="122" t="s">
        <v>736</v>
      </c>
      <c r="B44" s="2532"/>
      <c r="C44" s="2532"/>
      <c r="D44" s="2532"/>
      <c r="E44" s="2533"/>
      <c r="F44" s="2551"/>
      <c r="G44" s="2551"/>
      <c r="H44" s="2551"/>
      <c r="I44" s="2552"/>
      <c r="J44" s="2551"/>
      <c r="K44" s="2551"/>
      <c r="L44" s="2551"/>
      <c r="M44" s="2552"/>
      <c r="N44" s="2551"/>
      <c r="O44" s="2551"/>
      <c r="P44" s="2551"/>
      <c r="Q44" s="2552"/>
      <c r="R44" s="2551"/>
      <c r="S44" s="2551"/>
      <c r="T44" s="2551"/>
      <c r="U44" s="2552"/>
      <c r="V44" s="2551"/>
      <c r="W44" s="2551"/>
      <c r="X44" s="2551"/>
      <c r="Y44" s="2552"/>
      <c r="Z44" s="2551"/>
      <c r="AA44" s="2551"/>
      <c r="AB44" s="2551"/>
      <c r="AC44" s="2552"/>
      <c r="AD44" s="2551"/>
      <c r="AE44" s="2551"/>
      <c r="AF44" s="2551"/>
      <c r="AG44" s="2552"/>
      <c r="AH44" s="2551"/>
      <c r="AI44" s="2551"/>
      <c r="AJ44" s="2551"/>
      <c r="AK44" s="2552"/>
      <c r="AL44" s="2551"/>
      <c r="AM44" s="2551"/>
      <c r="AN44" s="2551"/>
      <c r="AO44" s="2552"/>
      <c r="AP44" s="2551"/>
      <c r="AQ44" s="2551"/>
      <c r="AR44" s="2551"/>
      <c r="AS44" s="2552"/>
      <c r="AT44" s="2551"/>
      <c r="AU44" s="2551"/>
      <c r="AV44" s="2551"/>
      <c r="AW44" s="2552"/>
      <c r="AX44" s="2551"/>
      <c r="AY44" s="2551"/>
      <c r="AZ44" s="2551"/>
      <c r="BA44" s="2552"/>
      <c r="BB44" s="2551"/>
      <c r="BC44" s="2551"/>
      <c r="BD44" s="2551"/>
      <c r="BE44" s="2552"/>
      <c r="BF44" s="2551"/>
      <c r="BG44" s="2551"/>
      <c r="BH44" s="2551"/>
      <c r="BI44" s="2552"/>
      <c r="BJ44" s="2551"/>
      <c r="BK44" s="2551"/>
      <c r="BL44" s="2551"/>
      <c r="BM44" s="2552"/>
      <c r="BN44" s="2551"/>
      <c r="BO44" s="2551"/>
      <c r="BP44" s="2551"/>
      <c r="BQ44" s="2552"/>
      <c r="BR44" s="2551"/>
      <c r="BS44" s="2551"/>
      <c r="BT44" s="2551"/>
      <c r="BU44" s="2552"/>
      <c r="BV44" s="2551"/>
      <c r="BW44" s="2551"/>
      <c r="BX44" s="2551"/>
      <c r="BY44" s="2553"/>
      <c r="BZ44" s="2551"/>
      <c r="CA44" s="2551"/>
      <c r="CB44" s="2551"/>
      <c r="CC44" s="2553"/>
      <c r="CD44" s="2551"/>
      <c r="CE44" s="2551"/>
      <c r="CF44" s="2551"/>
      <c r="CG44" s="2554"/>
      <c r="CH44" s="2551"/>
      <c r="CI44" s="2551"/>
      <c r="CJ44" s="2551"/>
      <c r="CK44" s="2552"/>
      <c r="CL44" s="2555"/>
      <c r="CM44" s="2555"/>
      <c r="CN44" s="2555"/>
      <c r="CO44" s="2556">
        <f>+SUM($CO39:CO39)</f>
        <v>150</v>
      </c>
      <c r="CP44" s="2557">
        <v>325</v>
      </c>
      <c r="CQ44" s="2558">
        <v>390</v>
      </c>
      <c r="CR44" s="2558">
        <v>505</v>
      </c>
      <c r="CS44" s="2559">
        <v>765</v>
      </c>
      <c r="CT44" s="2557">
        <v>860</v>
      </c>
      <c r="CU44" s="2558">
        <v>900</v>
      </c>
      <c r="CV44" s="2558">
        <v>965</v>
      </c>
      <c r="CW44" s="2559">
        <v>1020</v>
      </c>
      <c r="CX44" s="2558">
        <v>1020</v>
      </c>
      <c r="CY44" s="2558">
        <v>1120</v>
      </c>
      <c r="CZ44" s="2558">
        <v>1130</v>
      </c>
      <c r="DA44" s="2559">
        <v>1170</v>
      </c>
      <c r="DB44" s="2558">
        <v>1220</v>
      </c>
      <c r="DC44" s="2555">
        <f>+SUM($CO39:DC39)</f>
        <v>1270</v>
      </c>
      <c r="DD44" s="2560">
        <f>+SUM($CO39:DD39)</f>
        <v>1320</v>
      </c>
      <c r="DE44" s="2561">
        <f>+SUM($CO39:DE39)</f>
        <v>1370</v>
      </c>
      <c r="DF44" s="2560">
        <f>+SUM($CO39:DF39)</f>
        <v>1420</v>
      </c>
      <c r="DG44" s="2560">
        <f>+SUM($CO39:DG39)</f>
        <v>1470</v>
      </c>
      <c r="DH44" s="2560">
        <f>+SUM($CO39:DH39)</f>
        <v>1520</v>
      </c>
      <c r="DI44" s="2561">
        <f>+SUM($CO39:DI39)</f>
        <v>1655</v>
      </c>
      <c r="DJ44" s="2562"/>
      <c r="DK44" s="2560"/>
      <c r="DL44" s="2560"/>
      <c r="DM44" s="2561"/>
      <c r="DN44" s="2563"/>
      <c r="DO44" s="2500"/>
      <c r="DP44" s="1421"/>
      <c r="DQ44" s="2564"/>
      <c r="DR44" s="2564"/>
      <c r="DS44" s="2564"/>
      <c r="DT44" s="2564"/>
      <c r="DU44" s="2564"/>
      <c r="DV44" s="2564"/>
      <c r="DW44" s="2564"/>
      <c r="DX44" s="1421"/>
      <c r="DY44" s="2564"/>
      <c r="DZ44" s="2564"/>
      <c r="EA44" s="2564"/>
      <c r="EB44" s="2564"/>
      <c r="EC44" s="2564"/>
      <c r="ED44" s="2564"/>
      <c r="EE44" s="2564"/>
      <c r="EF44" s="2564"/>
      <c r="EG44" s="2564"/>
      <c r="EH44" s="2564"/>
      <c r="EI44" s="2564"/>
      <c r="EJ44" s="2564"/>
      <c r="EK44" s="2564"/>
      <c r="EL44" s="2564"/>
      <c r="EM44" s="2565"/>
      <c r="EN44" s="2565"/>
      <c r="EO44" s="2565"/>
      <c r="EP44" s="2565"/>
      <c r="EQ44" s="2565"/>
      <c r="ER44" s="2566"/>
      <c r="ES44" s="2565"/>
      <c r="ET44" s="2560"/>
      <c r="EU44" s="2565"/>
      <c r="EV44" s="2565">
        <f>+CW44</f>
        <v>1020</v>
      </c>
      <c r="EW44" s="2565">
        <f>+DA44</f>
        <v>1170</v>
      </c>
      <c r="EX44" s="2560">
        <f>+DE44</f>
        <v>1370</v>
      </c>
      <c r="EY44" s="2560">
        <f>+DI44</f>
        <v>1655</v>
      </c>
      <c r="EZ44" s="2562"/>
      <c r="FA44" s="2565"/>
      <c r="FB44" s="2565"/>
      <c r="FC44" s="2565"/>
      <c r="FD44" s="2565"/>
      <c r="FE44" s="2565"/>
      <c r="FF44" s="2565"/>
      <c r="FG44" s="2565"/>
      <c r="FH44" s="2567"/>
      <c r="FI44" s="2568"/>
      <c r="FJ44"/>
      <c r="FK44"/>
      <c r="FL44"/>
      <c r="FM44"/>
      <c r="FN44"/>
      <c r="FO44"/>
      <c r="FR44" s="401"/>
      <c r="FS44" s="1548"/>
      <c r="FT44" s="1548"/>
      <c r="FV44" s="2631"/>
      <c r="FW44" s="2631"/>
      <c r="FX44" s="2631"/>
    </row>
    <row r="45" spans="1:260" s="4" customFormat="1" hidden="1" outlineLevel="1" x14ac:dyDescent="0.2">
      <c r="A45" s="1557"/>
      <c r="B45" s="2507"/>
      <c r="C45" s="2507"/>
      <c r="D45" s="2507"/>
      <c r="E45" s="2508"/>
      <c r="F45" s="2534"/>
      <c r="G45" s="2534"/>
      <c r="H45" s="2534"/>
      <c r="I45" s="2510"/>
      <c r="J45" s="2534"/>
      <c r="K45" s="2534"/>
      <c r="L45" s="2534"/>
      <c r="M45" s="2510"/>
      <c r="N45" s="2534"/>
      <c r="O45" s="2534"/>
      <c r="P45" s="2534"/>
      <c r="Q45" s="2510"/>
      <c r="R45" s="2534"/>
      <c r="S45" s="2534"/>
      <c r="T45" s="2534"/>
      <c r="U45" s="2510"/>
      <c r="V45" s="2534"/>
      <c r="W45" s="2534"/>
      <c r="X45" s="2534"/>
      <c r="Y45" s="2510"/>
      <c r="Z45" s="2534"/>
      <c r="AA45" s="2534"/>
      <c r="AB45" s="2534"/>
      <c r="AC45" s="2510"/>
      <c r="AD45" s="2534"/>
      <c r="AE45" s="2534"/>
      <c r="AF45" s="2534"/>
      <c r="AG45" s="2510"/>
      <c r="AH45" s="2534"/>
      <c r="AI45" s="2534"/>
      <c r="AJ45" s="2534"/>
      <c r="AK45" s="2510"/>
      <c r="AL45" s="2534"/>
      <c r="AM45" s="2534"/>
      <c r="AN45" s="2534"/>
      <c r="AO45" s="2510"/>
      <c r="AP45" s="2534"/>
      <c r="AQ45" s="2534"/>
      <c r="AR45" s="2534"/>
      <c r="AS45" s="2510"/>
      <c r="AT45" s="2534"/>
      <c r="AU45" s="2534"/>
      <c r="AV45" s="2534"/>
      <c r="AW45" s="2510"/>
      <c r="AX45" s="2534"/>
      <c r="AY45" s="2534"/>
      <c r="AZ45" s="2534"/>
      <c r="BA45" s="2510"/>
      <c r="BB45" s="2534"/>
      <c r="BC45" s="2534"/>
      <c r="BD45" s="2534"/>
      <c r="BE45" s="2510"/>
      <c r="BF45" s="2534"/>
      <c r="BG45" s="2534"/>
      <c r="BH45" s="2534"/>
      <c r="BI45" s="2510"/>
      <c r="BJ45" s="2534"/>
      <c r="BK45" s="2534"/>
      <c r="BL45" s="2534"/>
      <c r="BM45" s="2510"/>
      <c r="BN45" s="2534"/>
      <c r="BO45" s="2534"/>
      <c r="BP45" s="2534"/>
      <c r="BQ45" s="2510"/>
      <c r="BR45" s="2534"/>
      <c r="BS45" s="2534"/>
      <c r="BT45" s="2534"/>
      <c r="BU45" s="2510"/>
      <c r="BV45" s="2534"/>
      <c r="BW45" s="2534"/>
      <c r="BX45" s="2534"/>
      <c r="BY45" s="2511"/>
      <c r="BZ45" s="2534"/>
      <c r="CA45" s="2534"/>
      <c r="CB45" s="2534"/>
      <c r="CC45" s="2511"/>
      <c r="CD45" s="2534"/>
      <c r="CE45" s="2534"/>
      <c r="CF45" s="2534"/>
      <c r="CG45" s="2512"/>
      <c r="CH45" s="2534"/>
      <c r="CI45" s="2534"/>
      <c r="CJ45" s="2534"/>
      <c r="CK45" s="2510"/>
      <c r="CL45" s="2516"/>
      <c r="CM45" s="2516"/>
      <c r="CN45" s="2516"/>
      <c r="CO45" s="2527"/>
      <c r="CP45" s="2526"/>
      <c r="CQ45" s="2517"/>
      <c r="CR45" s="2517"/>
      <c r="CS45" s="2518"/>
      <c r="CT45" s="2526"/>
      <c r="CU45" s="2517"/>
      <c r="CV45" s="2517"/>
      <c r="CW45" s="2518"/>
      <c r="CX45" s="2517"/>
      <c r="CY45" s="2517"/>
      <c r="CZ45" s="2517"/>
      <c r="DA45" s="2518"/>
      <c r="DB45" s="2517"/>
      <c r="DC45" s="2517"/>
      <c r="DD45" s="2505"/>
      <c r="DE45" s="2497"/>
      <c r="DF45" s="2496"/>
      <c r="DG45" s="2496"/>
      <c r="DH45" s="2496"/>
      <c r="DI45" s="2497"/>
      <c r="DJ45" s="2498"/>
      <c r="DK45" s="2496"/>
      <c r="DL45" s="2496"/>
      <c r="DM45" s="2497"/>
      <c r="DN45" s="2499"/>
      <c r="DO45" s="2500"/>
      <c r="DP45" s="1421"/>
      <c r="DQ45" s="2501"/>
      <c r="DR45" s="2501"/>
      <c r="DS45" s="2501"/>
      <c r="DT45" s="2501"/>
      <c r="DU45" s="2501"/>
      <c r="DV45" s="2501"/>
      <c r="DW45" s="2501"/>
      <c r="DX45" s="1421"/>
      <c r="DY45" s="2501"/>
      <c r="DZ45" s="2501"/>
      <c r="EA45" s="2501"/>
      <c r="EB45" s="2501"/>
      <c r="EC45" s="2501"/>
      <c r="ED45" s="2501"/>
      <c r="EE45" s="2501"/>
      <c r="EF45" s="2501"/>
      <c r="EG45" s="2501"/>
      <c r="EH45" s="2501"/>
      <c r="EI45" s="2501"/>
      <c r="EJ45" s="2501"/>
      <c r="EK45" s="2501"/>
      <c r="EL45" s="2501"/>
      <c r="EM45" s="2503"/>
      <c r="EN45" s="2503"/>
      <c r="EO45" s="2503"/>
      <c r="EP45" s="2503"/>
      <c r="EQ45" s="2503"/>
      <c r="ER45" s="2502"/>
      <c r="ES45" s="2503"/>
      <c r="ET45" s="2496"/>
      <c r="EU45" s="2503"/>
      <c r="EV45" s="2503"/>
      <c r="EW45" s="2503"/>
      <c r="EX45" s="2496"/>
      <c r="EY45" s="2496"/>
      <c r="EZ45" s="2498"/>
      <c r="FA45" s="2503"/>
      <c r="FB45" s="2503"/>
      <c r="FC45" s="2503"/>
      <c r="FD45" s="2503"/>
      <c r="FE45" s="2503"/>
      <c r="FF45" s="2503"/>
      <c r="FG45" s="2503"/>
      <c r="FH45" s="2503"/>
      <c r="FI45" s="2504"/>
      <c r="FJ45"/>
      <c r="FK45"/>
      <c r="FL45"/>
      <c r="FM45"/>
      <c r="FN45"/>
      <c r="FO45"/>
      <c r="FR45" s="3"/>
      <c r="FS45" s="528"/>
      <c r="FT45" s="528"/>
      <c r="FU45" s="2473"/>
      <c r="FV45" s="2496"/>
      <c r="FW45" s="2496"/>
      <c r="FX45" s="2496"/>
      <c r="FY45" s="2473"/>
      <c r="FZ45" s="2473"/>
      <c r="GA45" s="2473"/>
      <c r="GB45" s="2473"/>
      <c r="GC45" s="2473"/>
      <c r="GD45" s="2473"/>
      <c r="GE45" s="2473"/>
      <c r="GF45" s="2473"/>
      <c r="GG45" s="2473"/>
      <c r="GH45" s="2473"/>
      <c r="GI45" s="2473"/>
      <c r="GJ45" s="2473"/>
      <c r="GK45" s="2473"/>
      <c r="GL45" s="2473"/>
      <c r="GM45" s="2473"/>
      <c r="GN45" s="2473"/>
      <c r="GO45" s="2473"/>
      <c r="GP45" s="2473"/>
      <c r="GQ45" s="2473"/>
      <c r="GR45" s="2473"/>
      <c r="GS45" s="2473"/>
      <c r="GT45" s="2473"/>
      <c r="GU45" s="2473"/>
      <c r="GV45" s="2473"/>
      <c r="GW45" s="2473"/>
      <c r="GX45" s="2473"/>
      <c r="GY45" s="2473"/>
      <c r="GZ45" s="2473"/>
      <c r="HA45" s="2473"/>
      <c r="HB45" s="2473"/>
      <c r="HC45" s="2473"/>
      <c r="HD45" s="2473"/>
      <c r="HE45" s="2473"/>
      <c r="HF45" s="2473"/>
      <c r="HG45" s="2473"/>
      <c r="HH45" s="2473"/>
      <c r="HI45" s="2473"/>
      <c r="HJ45" s="2473"/>
      <c r="HK45" s="2473"/>
      <c r="HL45" s="2473"/>
      <c r="HM45" s="2473"/>
      <c r="HN45" s="2473"/>
      <c r="HO45" s="2473"/>
      <c r="HP45" s="2473"/>
      <c r="HQ45" s="2473"/>
      <c r="HR45" s="2473"/>
      <c r="HS45" s="2473"/>
      <c r="HT45" s="2473"/>
      <c r="HU45" s="2473"/>
      <c r="HV45" s="2473"/>
      <c r="HW45" s="2473"/>
      <c r="HX45" s="2473"/>
      <c r="HY45" s="2473"/>
      <c r="HZ45" s="2473"/>
      <c r="IA45" s="2473"/>
      <c r="IB45" s="2473"/>
      <c r="IC45" s="2473"/>
      <c r="ID45" s="2473"/>
      <c r="IE45" s="2473"/>
      <c r="IF45" s="2473"/>
      <c r="IG45" s="2473"/>
      <c r="IH45" s="2473"/>
      <c r="II45" s="2473"/>
      <c r="IJ45" s="2473"/>
      <c r="IK45" s="2473"/>
      <c r="IL45" s="2473"/>
      <c r="IM45" s="2473"/>
      <c r="IN45" s="2473"/>
      <c r="IO45" s="2473"/>
      <c r="IP45" s="2473"/>
      <c r="IQ45" s="2473"/>
      <c r="IR45" s="2473"/>
      <c r="IS45" s="2473"/>
      <c r="IT45" s="2473"/>
      <c r="IU45" s="2473"/>
      <c r="IV45" s="2473"/>
      <c r="IW45" s="2473"/>
      <c r="IX45" s="2473"/>
      <c r="IY45" s="2473"/>
      <c r="IZ45" s="2473"/>
    </row>
    <row r="46" spans="1:260" s="4" customFormat="1" hidden="1" outlineLevel="1" x14ac:dyDescent="0.2">
      <c r="A46" s="1557" t="s">
        <v>739</v>
      </c>
      <c r="B46" s="2507"/>
      <c r="C46" s="2507"/>
      <c r="D46" s="2507"/>
      <c r="E46" s="2508"/>
      <c r="F46" s="2509"/>
      <c r="G46" s="2509"/>
      <c r="H46" s="2509"/>
      <c r="I46" s="2510"/>
      <c r="J46" s="2509"/>
      <c r="K46" s="2509"/>
      <c r="L46" s="2509"/>
      <c r="M46" s="2510"/>
      <c r="N46" s="2509"/>
      <c r="O46" s="2509"/>
      <c r="P46" s="2509"/>
      <c r="Q46" s="2510"/>
      <c r="R46" s="2509"/>
      <c r="S46" s="2509"/>
      <c r="T46" s="2509"/>
      <c r="U46" s="2510"/>
      <c r="V46" s="2509"/>
      <c r="W46" s="2509"/>
      <c r="X46" s="2509"/>
      <c r="Y46" s="2510"/>
      <c r="Z46" s="2509"/>
      <c r="AA46" s="2509"/>
      <c r="AB46" s="2509"/>
      <c r="AC46" s="2510"/>
      <c r="AD46" s="2509"/>
      <c r="AE46" s="2509"/>
      <c r="AF46" s="2509"/>
      <c r="AG46" s="2510"/>
      <c r="AH46" s="2509"/>
      <c r="AI46" s="2509"/>
      <c r="AJ46" s="2509"/>
      <c r="AK46" s="2510"/>
      <c r="AL46" s="2509"/>
      <c r="AM46" s="2509"/>
      <c r="AN46" s="2509"/>
      <c r="AO46" s="2510"/>
      <c r="AP46" s="2509"/>
      <c r="AQ46" s="2509"/>
      <c r="AR46" s="2509"/>
      <c r="AS46" s="2510"/>
      <c r="AT46" s="2509"/>
      <c r="AU46" s="2509"/>
      <c r="AV46" s="2509"/>
      <c r="AW46" s="2510"/>
      <c r="AX46" s="2509"/>
      <c r="AY46" s="2509"/>
      <c r="AZ46" s="2509"/>
      <c r="BA46" s="2510"/>
      <c r="BB46" s="2509"/>
      <c r="BC46" s="2509"/>
      <c r="BD46" s="2509"/>
      <c r="BE46" s="2510"/>
      <c r="BF46" s="2509"/>
      <c r="BG46" s="2509"/>
      <c r="BH46" s="2509"/>
      <c r="BI46" s="2510"/>
      <c r="BJ46" s="2509"/>
      <c r="BK46" s="2509"/>
      <c r="BL46" s="2509"/>
      <c r="BM46" s="2510"/>
      <c r="BN46" s="2509"/>
      <c r="BO46" s="2509"/>
      <c r="BP46" s="2509"/>
      <c r="BQ46" s="2510"/>
      <c r="BR46" s="2509"/>
      <c r="BS46" s="2509"/>
      <c r="BT46" s="2509"/>
      <c r="BU46" s="2510"/>
      <c r="BV46" s="2509"/>
      <c r="BW46" s="2509"/>
      <c r="BX46" s="2509"/>
      <c r="BY46" s="2511"/>
      <c r="BZ46" s="2509"/>
      <c r="CA46" s="2509"/>
      <c r="CB46" s="2509"/>
      <c r="CC46" s="2511"/>
      <c r="CD46" s="2509"/>
      <c r="CE46" s="2509"/>
      <c r="CF46" s="2509"/>
      <c r="CG46" s="2512"/>
      <c r="CH46" s="2509"/>
      <c r="CI46" s="2509"/>
      <c r="CJ46" s="2509"/>
      <c r="CK46" s="2510"/>
      <c r="CL46" s="2513"/>
      <c r="CM46" s="2513"/>
      <c r="CN46" s="2513"/>
      <c r="CO46" s="2514">
        <f>725-CO44</f>
        <v>575</v>
      </c>
      <c r="CP46" s="2515">
        <f t="shared" ref="CP46:CS46" si="109">725-CP44</f>
        <v>400</v>
      </c>
      <c r="CQ46" s="2516">
        <f t="shared" si="109"/>
        <v>335</v>
      </c>
      <c r="CR46" s="2516">
        <f t="shared" si="109"/>
        <v>220</v>
      </c>
      <c r="CS46" s="2514">
        <f t="shared" si="109"/>
        <v>-40</v>
      </c>
      <c r="CT46" s="2515">
        <f>1000-CT44</f>
        <v>140</v>
      </c>
      <c r="CU46" s="2516">
        <f t="shared" ref="CU46:CW46" si="110">1000-CU44</f>
        <v>100</v>
      </c>
      <c r="CV46" s="2516">
        <f t="shared" si="110"/>
        <v>35</v>
      </c>
      <c r="CW46" s="2518">
        <f t="shared" si="110"/>
        <v>-20</v>
      </c>
      <c r="CX46" s="2516">
        <f>1400-CX44</f>
        <v>380</v>
      </c>
      <c r="CY46" s="2516">
        <f t="shared" ref="CY46:DE46" si="111">1400-CY44</f>
        <v>280</v>
      </c>
      <c r="CZ46" s="2516">
        <f t="shared" si="111"/>
        <v>270</v>
      </c>
      <c r="DA46" s="2514">
        <f t="shared" si="111"/>
        <v>230</v>
      </c>
      <c r="DB46" s="2516">
        <f t="shared" si="111"/>
        <v>180</v>
      </c>
      <c r="DC46" s="2516">
        <f t="shared" si="111"/>
        <v>130</v>
      </c>
      <c r="DD46" s="2516">
        <f t="shared" si="111"/>
        <v>80</v>
      </c>
      <c r="DE46" s="2497">
        <f t="shared" si="111"/>
        <v>30</v>
      </c>
      <c r="DF46" s="2496">
        <f>2000-DF44</f>
        <v>580</v>
      </c>
      <c r="DG46" s="2516">
        <f>2000-DG44</f>
        <v>530</v>
      </c>
      <c r="DH46" s="2516">
        <f t="shared" ref="DH46:DI46" si="112">2000-DH44</f>
        <v>480</v>
      </c>
      <c r="DI46" s="2497">
        <f t="shared" si="112"/>
        <v>345</v>
      </c>
      <c r="DJ46" s="2498"/>
      <c r="DK46" s="2496"/>
      <c r="DL46" s="2496"/>
      <c r="DM46" s="2497"/>
      <c r="DN46" s="2499"/>
      <c r="DO46" s="2500"/>
      <c r="DP46" s="1421"/>
      <c r="DQ46" s="2501"/>
      <c r="DR46" s="2501"/>
      <c r="DS46" s="2501"/>
      <c r="DT46" s="2501"/>
      <c r="DU46" s="2501"/>
      <c r="DV46" s="2501"/>
      <c r="DW46" s="2501"/>
      <c r="DX46" s="1421"/>
      <c r="DY46" s="2501"/>
      <c r="DZ46" s="2501"/>
      <c r="EA46" s="2501"/>
      <c r="EB46" s="2501"/>
      <c r="EC46" s="2501"/>
      <c r="ED46" s="2501"/>
      <c r="EE46" s="2501"/>
      <c r="EF46" s="2501"/>
      <c r="EG46" s="2501"/>
      <c r="EH46" s="2501"/>
      <c r="EI46" s="2501"/>
      <c r="EJ46" s="2501"/>
      <c r="EK46" s="2501"/>
      <c r="EL46" s="2501"/>
      <c r="EM46" s="2501"/>
      <c r="EN46" s="2501"/>
      <c r="EO46" s="2501"/>
      <c r="EP46" s="2501"/>
      <c r="EQ46" s="2501"/>
      <c r="ER46" s="2502"/>
      <c r="ES46" s="2503"/>
      <c r="ET46" s="2496"/>
      <c r="EU46" s="2503"/>
      <c r="EV46" s="2503">
        <f>+CW46</f>
        <v>-20</v>
      </c>
      <c r="EW46" s="2503">
        <f>+DA46</f>
        <v>230</v>
      </c>
      <c r="EX46" s="2496">
        <f>+DE46</f>
        <v>30</v>
      </c>
      <c r="EY46" s="2496">
        <f>+DI46</f>
        <v>345</v>
      </c>
      <c r="EZ46" s="2498"/>
      <c r="FA46" s="2501"/>
      <c r="FB46" s="2501"/>
      <c r="FC46" s="2501"/>
      <c r="FD46" s="2501"/>
      <c r="FE46" s="2501"/>
      <c r="FF46" s="2501"/>
      <c r="FG46" s="2501"/>
      <c r="FH46" s="2501"/>
      <c r="FI46" s="2504"/>
      <c r="FJ46"/>
      <c r="FK46"/>
      <c r="FL46"/>
      <c r="FM46"/>
      <c r="FN46"/>
      <c r="FO46"/>
      <c r="FR46" s="3"/>
      <c r="FS46" s="528"/>
      <c r="FT46" s="528"/>
      <c r="FU46" s="2473"/>
      <c r="FV46" s="2496"/>
      <c r="FW46" s="2496"/>
      <c r="FX46" s="2496"/>
      <c r="FY46" s="2473"/>
      <c r="FZ46" s="2473"/>
      <c r="GA46" s="2473"/>
      <c r="GB46" s="2473"/>
      <c r="GC46" s="2473"/>
      <c r="GD46" s="2473"/>
      <c r="GE46" s="2473"/>
      <c r="GF46" s="2473"/>
      <c r="GG46" s="2473"/>
      <c r="GH46" s="2473"/>
      <c r="GI46" s="2473"/>
      <c r="GJ46" s="2473"/>
      <c r="GK46" s="2473"/>
      <c r="GL46" s="2473"/>
      <c r="GM46" s="2473"/>
      <c r="GN46" s="2473"/>
      <c r="GO46" s="2473"/>
      <c r="GP46" s="2473"/>
      <c r="GQ46" s="2473"/>
      <c r="GR46" s="2473"/>
      <c r="GS46" s="2473"/>
      <c r="GT46" s="2473"/>
      <c r="GU46" s="2473"/>
      <c r="GV46" s="2473"/>
      <c r="GW46" s="2473"/>
      <c r="GX46" s="2473"/>
      <c r="GY46" s="2473"/>
      <c r="GZ46" s="2473"/>
      <c r="HA46" s="2473"/>
      <c r="HB46" s="2473"/>
      <c r="HC46" s="2473"/>
      <c r="HD46" s="2473"/>
      <c r="HE46" s="2473"/>
      <c r="HF46" s="2473"/>
      <c r="HG46" s="2473"/>
      <c r="HH46" s="2473"/>
      <c r="HI46" s="2473"/>
      <c r="HJ46" s="2473"/>
      <c r="HK46" s="2473"/>
      <c r="HL46" s="2473"/>
      <c r="HM46" s="2473"/>
      <c r="HN46" s="2473"/>
      <c r="HO46" s="2473"/>
      <c r="HP46" s="2473"/>
      <c r="HQ46" s="2473"/>
      <c r="HR46" s="2473"/>
      <c r="HS46" s="2473"/>
      <c r="HT46" s="2473"/>
      <c r="HU46" s="2473"/>
      <c r="HV46" s="2473"/>
      <c r="HW46" s="2473"/>
      <c r="HX46" s="2473"/>
      <c r="HY46" s="2473"/>
      <c r="HZ46" s="2473"/>
      <c r="IA46" s="2473"/>
      <c r="IB46" s="2473"/>
      <c r="IC46" s="2473"/>
      <c r="ID46" s="2473"/>
      <c r="IE46" s="2473"/>
      <c r="IF46" s="2473"/>
      <c r="IG46" s="2473"/>
      <c r="IH46" s="2473"/>
      <c r="II46" s="2473"/>
      <c r="IJ46" s="2473"/>
      <c r="IK46" s="2473"/>
      <c r="IL46" s="2473"/>
      <c r="IM46" s="2473"/>
      <c r="IN46" s="2473"/>
      <c r="IO46" s="2473"/>
      <c r="IP46" s="2473"/>
      <c r="IQ46" s="2473"/>
      <c r="IR46" s="2473"/>
      <c r="IS46" s="2473"/>
      <c r="IT46" s="2473"/>
      <c r="IU46" s="2473"/>
      <c r="IV46" s="2473"/>
      <c r="IW46" s="2473"/>
      <c r="IX46" s="2473"/>
      <c r="IY46" s="2473"/>
      <c r="IZ46" s="2473"/>
    </row>
    <row r="47" spans="1:260" s="4" customFormat="1" hidden="1" outlineLevel="1" x14ac:dyDescent="0.2">
      <c r="A47" s="1557" t="s">
        <v>740</v>
      </c>
      <c r="B47" s="2537"/>
      <c r="C47" s="2537"/>
      <c r="D47" s="2537"/>
      <c r="E47" s="2538"/>
      <c r="F47" s="2539"/>
      <c r="G47" s="2539"/>
      <c r="H47" s="2539"/>
      <c r="I47" s="2540"/>
      <c r="J47" s="2539"/>
      <c r="K47" s="2539"/>
      <c r="L47" s="2539"/>
      <c r="M47" s="2540"/>
      <c r="N47" s="2539"/>
      <c r="O47" s="2539"/>
      <c r="P47" s="2539"/>
      <c r="Q47" s="2540"/>
      <c r="R47" s="2539"/>
      <c r="S47" s="2539"/>
      <c r="T47" s="2539"/>
      <c r="U47" s="2540"/>
      <c r="V47" s="2539"/>
      <c r="W47" s="2539"/>
      <c r="X47" s="2539"/>
      <c r="Y47" s="2540"/>
      <c r="Z47" s="2539"/>
      <c r="AA47" s="2539"/>
      <c r="AB47" s="2539"/>
      <c r="AC47" s="2540"/>
      <c r="AD47" s="2539"/>
      <c r="AE47" s="2539"/>
      <c r="AF47" s="2539"/>
      <c r="AG47" s="2540"/>
      <c r="AH47" s="2539"/>
      <c r="AI47" s="2539"/>
      <c r="AJ47" s="2539"/>
      <c r="AK47" s="2540"/>
      <c r="AL47" s="2539"/>
      <c r="AM47" s="2539"/>
      <c r="AN47" s="2539"/>
      <c r="AO47" s="2540"/>
      <c r="AP47" s="2539"/>
      <c r="AQ47" s="2539"/>
      <c r="AR47" s="2539"/>
      <c r="AS47" s="2540"/>
      <c r="AT47" s="2539"/>
      <c r="AU47" s="2539"/>
      <c r="AV47" s="2539"/>
      <c r="AW47" s="2540"/>
      <c r="AX47" s="2539"/>
      <c r="AY47" s="2539"/>
      <c r="AZ47" s="2539"/>
      <c r="BA47" s="2540"/>
      <c r="BB47" s="2539"/>
      <c r="BC47" s="2539"/>
      <c r="BD47" s="2539"/>
      <c r="BE47" s="2540"/>
      <c r="BF47" s="2539"/>
      <c r="BG47" s="2539"/>
      <c r="BH47" s="2539"/>
      <c r="BI47" s="2540"/>
      <c r="BJ47" s="2539"/>
      <c r="BK47" s="2539"/>
      <c r="BL47" s="2539"/>
      <c r="BM47" s="2540"/>
      <c r="BN47" s="2539"/>
      <c r="BO47" s="2539"/>
      <c r="BP47" s="2539"/>
      <c r="BQ47" s="2540"/>
      <c r="BR47" s="2539"/>
      <c r="BS47" s="2539"/>
      <c r="BT47" s="2539"/>
      <c r="BU47" s="2540"/>
      <c r="BV47" s="2539"/>
      <c r="BW47" s="2539"/>
      <c r="BX47" s="2539"/>
      <c r="BY47" s="2540"/>
      <c r="BZ47" s="2539"/>
      <c r="CA47" s="2539"/>
      <c r="CB47" s="2539"/>
      <c r="CC47" s="2540"/>
      <c r="CD47" s="2539"/>
      <c r="CE47" s="2539"/>
      <c r="CF47" s="2539"/>
      <c r="CG47" s="2536"/>
      <c r="CH47" s="2539"/>
      <c r="CI47" s="2539"/>
      <c r="CJ47" s="2539"/>
      <c r="CK47" s="2540"/>
      <c r="CL47" s="2541"/>
      <c r="CM47" s="2541"/>
      <c r="CN47" s="2541"/>
      <c r="CO47" s="2536">
        <f>+CO44/725</f>
        <v>0.20689655172413793</v>
      </c>
      <c r="CP47" s="2542">
        <f t="shared" ref="CP47:CS47" si="113">+CP44/725</f>
        <v>0.44827586206896552</v>
      </c>
      <c r="CQ47" s="2535">
        <f t="shared" si="113"/>
        <v>0.53793103448275859</v>
      </c>
      <c r="CR47" s="2535">
        <f t="shared" si="113"/>
        <v>0.69655172413793098</v>
      </c>
      <c r="CS47" s="2536">
        <f t="shared" si="113"/>
        <v>1.0551724137931036</v>
      </c>
      <c r="CT47" s="2542">
        <f>+CT44/1000</f>
        <v>0.86</v>
      </c>
      <c r="CU47" s="2535">
        <f t="shared" ref="CU47:CW47" si="114">+CU44/1000</f>
        <v>0.9</v>
      </c>
      <c r="CV47" s="2535">
        <f t="shared" si="114"/>
        <v>0.96499999999999997</v>
      </c>
      <c r="CW47" s="2550">
        <f t="shared" si="114"/>
        <v>1.02</v>
      </c>
      <c r="CX47" s="2535">
        <f>+CX44/1400</f>
        <v>0.72857142857142854</v>
      </c>
      <c r="CY47" s="2535">
        <f t="shared" ref="CY47:DF47" si="115">+CY44/1400</f>
        <v>0.8</v>
      </c>
      <c r="CZ47" s="2535">
        <f t="shared" si="115"/>
        <v>0.80714285714285716</v>
      </c>
      <c r="DA47" s="2536">
        <f t="shared" si="115"/>
        <v>0.83571428571428574</v>
      </c>
      <c r="DB47" s="2535">
        <f t="shared" si="115"/>
        <v>0.87142857142857144</v>
      </c>
      <c r="DC47" s="2535">
        <f t="shared" si="115"/>
        <v>0.90714285714285714</v>
      </c>
      <c r="DD47" s="2535">
        <f t="shared" si="115"/>
        <v>0.94285714285714284</v>
      </c>
      <c r="DE47" s="2536">
        <f t="shared" si="115"/>
        <v>0.97857142857142854</v>
      </c>
      <c r="DF47" s="2535">
        <f t="shared" si="115"/>
        <v>1.0142857142857142</v>
      </c>
      <c r="DG47" s="2535">
        <f t="shared" ref="DG47" si="116">+DG44/1400</f>
        <v>1.05</v>
      </c>
      <c r="DH47" s="2535">
        <f t="shared" ref="DH47:DI47" si="117">+DH44/2000</f>
        <v>0.76</v>
      </c>
      <c r="DI47" s="2536">
        <f t="shared" si="117"/>
        <v>0.82750000000000001</v>
      </c>
      <c r="DJ47" s="2543"/>
      <c r="DK47" s="2535"/>
      <c r="DL47" s="2535"/>
      <c r="DM47" s="2536"/>
      <c r="DN47" s="2542"/>
      <c r="DO47" s="2544"/>
      <c r="DP47" s="2537"/>
      <c r="DQ47" s="2539"/>
      <c r="DR47" s="2539"/>
      <c r="DS47" s="2539"/>
      <c r="DT47" s="2539"/>
      <c r="DU47" s="2539"/>
      <c r="DV47" s="2539"/>
      <c r="DW47" s="2539"/>
      <c r="DX47" s="2537"/>
      <c r="DY47" s="2539"/>
      <c r="DZ47" s="2539"/>
      <c r="EA47" s="2539"/>
      <c r="EB47" s="2539"/>
      <c r="EC47" s="2539"/>
      <c r="ED47" s="2539"/>
      <c r="EE47" s="2539"/>
      <c r="EF47" s="2539"/>
      <c r="EG47" s="2539"/>
      <c r="EH47" s="2539"/>
      <c r="EI47" s="2539"/>
      <c r="EJ47" s="2539"/>
      <c r="EK47" s="2539"/>
      <c r="EL47" s="2539"/>
      <c r="EM47" s="2539"/>
      <c r="EN47" s="2539"/>
      <c r="EO47" s="2539"/>
      <c r="EP47" s="2539"/>
      <c r="EQ47" s="2539"/>
      <c r="ER47" s="2545"/>
      <c r="ES47" s="2546"/>
      <c r="ET47" s="2535"/>
      <c r="EU47" s="2546"/>
      <c r="EV47" s="2546">
        <f>+CW47</f>
        <v>1.02</v>
      </c>
      <c r="EW47" s="2546">
        <f>+DA47</f>
        <v>0.83571428571428574</v>
      </c>
      <c r="EX47" s="2535">
        <f>+DE47</f>
        <v>0.97857142857142854</v>
      </c>
      <c r="EY47" s="2535">
        <f>+DI47</f>
        <v>0.82750000000000001</v>
      </c>
      <c r="EZ47" s="2543"/>
      <c r="FA47" s="2539"/>
      <c r="FB47" s="2539"/>
      <c r="FC47" s="2539"/>
      <c r="FD47" s="2539"/>
      <c r="FE47" s="2539"/>
      <c r="FF47" s="2539"/>
      <c r="FG47" s="2539"/>
      <c r="FH47" s="2539"/>
      <c r="FI47" s="2547"/>
      <c r="FJ47"/>
      <c r="FK47"/>
      <c r="FL47"/>
      <c r="FM47"/>
      <c r="FN47"/>
      <c r="FO47"/>
      <c r="FP47" s="2548"/>
      <c r="FQ47" s="2548"/>
      <c r="FR47" s="2549"/>
      <c r="FS47" s="2535"/>
      <c r="FT47" s="2535"/>
      <c r="FU47" s="2473"/>
      <c r="FV47" s="2535"/>
      <c r="FW47" s="2535"/>
      <c r="FX47" s="2535"/>
      <c r="FY47" s="2473"/>
      <c r="FZ47" s="2473"/>
      <c r="GA47" s="2473"/>
      <c r="GB47" s="2473"/>
      <c r="GC47" s="2473"/>
      <c r="GD47" s="2473"/>
      <c r="GE47" s="2473"/>
      <c r="GF47" s="2473"/>
      <c r="GG47" s="2473"/>
      <c r="GH47" s="2473"/>
      <c r="GI47" s="2473"/>
      <c r="GJ47" s="2473"/>
      <c r="GK47" s="2473"/>
      <c r="GL47" s="2473"/>
      <c r="GM47" s="2473"/>
      <c r="GN47" s="2473"/>
      <c r="GO47" s="2473"/>
      <c r="GP47" s="2473"/>
      <c r="GQ47" s="2473"/>
      <c r="GR47" s="2473"/>
      <c r="GS47" s="2473"/>
      <c r="GT47" s="2473"/>
      <c r="GU47" s="2473"/>
      <c r="GV47" s="2473"/>
      <c r="GW47" s="2473"/>
      <c r="GX47" s="2473"/>
      <c r="GY47" s="2473"/>
      <c r="GZ47" s="2473"/>
      <c r="HA47" s="2473"/>
      <c r="HB47" s="2473"/>
      <c r="HC47" s="2473"/>
      <c r="HD47" s="2473"/>
      <c r="HE47" s="2473"/>
      <c r="HF47" s="2473"/>
      <c r="HG47" s="2473"/>
      <c r="HH47" s="2473"/>
      <c r="HI47" s="2473"/>
      <c r="HJ47" s="2473"/>
      <c r="HK47" s="2473"/>
      <c r="HL47" s="2473"/>
      <c r="HM47" s="2473"/>
      <c r="HN47" s="2473"/>
      <c r="HO47" s="2473"/>
      <c r="HP47" s="2473"/>
      <c r="HQ47" s="2473"/>
      <c r="HR47" s="2473"/>
      <c r="HS47" s="2473"/>
      <c r="HT47" s="2473"/>
      <c r="HU47" s="2473"/>
      <c r="HV47" s="2473"/>
      <c r="HW47" s="2473"/>
      <c r="HX47" s="2473"/>
      <c r="HY47" s="2473"/>
      <c r="HZ47" s="2473"/>
      <c r="IA47" s="2473"/>
      <c r="IB47" s="2473"/>
      <c r="IC47" s="2473"/>
      <c r="ID47" s="2473"/>
      <c r="IE47" s="2473"/>
      <c r="IF47" s="2473"/>
      <c r="IG47" s="2473"/>
      <c r="IH47" s="2473"/>
      <c r="II47" s="2473"/>
      <c r="IJ47" s="2473"/>
      <c r="IK47" s="2473"/>
      <c r="IL47" s="2473"/>
      <c r="IM47" s="2473"/>
      <c r="IN47" s="2473"/>
      <c r="IO47" s="2473"/>
      <c r="IP47" s="2473"/>
      <c r="IQ47" s="2473"/>
      <c r="IR47" s="2473"/>
      <c r="IS47" s="2473"/>
      <c r="IT47" s="2473"/>
      <c r="IU47" s="2473"/>
      <c r="IV47" s="2473"/>
      <c r="IW47" s="2473"/>
      <c r="IX47" s="2473"/>
      <c r="IY47" s="2473"/>
      <c r="IZ47" s="2473"/>
    </row>
    <row r="48" spans="1:260" s="4" customFormat="1" hidden="1" outlineLevel="1" x14ac:dyDescent="0.2">
      <c r="A48" s="25"/>
      <c r="B48" s="2507"/>
      <c r="C48" s="2507"/>
      <c r="D48" s="2507"/>
      <c r="E48" s="2508"/>
      <c r="F48" s="2509"/>
      <c r="G48" s="2509"/>
      <c r="H48" s="2509"/>
      <c r="I48" s="2510"/>
      <c r="J48" s="2509"/>
      <c r="K48" s="2509"/>
      <c r="L48" s="2509"/>
      <c r="M48" s="2510"/>
      <c r="N48" s="2509"/>
      <c r="O48" s="2509"/>
      <c r="P48" s="2509"/>
      <c r="Q48" s="2510"/>
      <c r="R48" s="2509"/>
      <c r="S48" s="2509"/>
      <c r="T48" s="2509"/>
      <c r="U48" s="2510"/>
      <c r="V48" s="2509"/>
      <c r="W48" s="2509"/>
      <c r="X48" s="2509"/>
      <c r="Y48" s="2510"/>
      <c r="Z48" s="2509"/>
      <c r="AA48" s="2509"/>
      <c r="AB48" s="2509"/>
      <c r="AC48" s="2510"/>
      <c r="AD48" s="2509"/>
      <c r="AE48" s="2509"/>
      <c r="AF48" s="2509"/>
      <c r="AG48" s="2510"/>
      <c r="AH48" s="2509"/>
      <c r="AI48" s="2509"/>
      <c r="AJ48" s="2509"/>
      <c r="AK48" s="2510"/>
      <c r="AL48" s="2509"/>
      <c r="AM48" s="2509"/>
      <c r="AN48" s="2509"/>
      <c r="AO48" s="2510"/>
      <c r="AP48" s="2509"/>
      <c r="AQ48" s="2509"/>
      <c r="AR48" s="2509"/>
      <c r="AS48" s="2510"/>
      <c r="AT48" s="2509"/>
      <c r="AU48" s="2509"/>
      <c r="AV48" s="2509"/>
      <c r="AW48" s="2510"/>
      <c r="AX48" s="2509"/>
      <c r="AY48" s="2509"/>
      <c r="AZ48" s="2509"/>
      <c r="BA48" s="2510"/>
      <c r="BB48" s="2509"/>
      <c r="BC48" s="2509"/>
      <c r="BD48" s="2509"/>
      <c r="BE48" s="2510"/>
      <c r="BF48" s="2509"/>
      <c r="BG48" s="2509"/>
      <c r="BH48" s="2509"/>
      <c r="BI48" s="2510"/>
      <c r="BJ48" s="2509"/>
      <c r="BK48" s="2509"/>
      <c r="BL48" s="2509"/>
      <c r="BM48" s="2510"/>
      <c r="BN48" s="2509"/>
      <c r="BO48" s="2509"/>
      <c r="BP48" s="2509"/>
      <c r="BQ48" s="2510"/>
      <c r="BR48" s="2509"/>
      <c r="BS48" s="2509"/>
      <c r="BT48" s="2509"/>
      <c r="BU48" s="2510"/>
      <c r="BV48" s="2509"/>
      <c r="BW48" s="2509"/>
      <c r="BX48" s="2509"/>
      <c r="BY48" s="2511"/>
      <c r="BZ48" s="2509"/>
      <c r="CA48" s="2509"/>
      <c r="CB48" s="2509"/>
      <c r="CC48" s="2511"/>
      <c r="CD48" s="2509"/>
      <c r="CE48" s="2509"/>
      <c r="CF48" s="2509"/>
      <c r="CG48" s="2512"/>
      <c r="CH48" s="2509"/>
      <c r="CI48" s="2509"/>
      <c r="CJ48" s="2509"/>
      <c r="CK48" s="2510"/>
      <c r="CL48" s="2513"/>
      <c r="CM48" s="2513"/>
      <c r="CN48" s="2513"/>
      <c r="CO48" s="2514"/>
      <c r="CP48" s="2515"/>
      <c r="CQ48" s="2516"/>
      <c r="CR48" s="2516"/>
      <c r="CS48" s="2514"/>
      <c r="CT48" s="2515"/>
      <c r="CU48" s="2516"/>
      <c r="CV48" s="2516"/>
      <c r="CW48" s="2514"/>
      <c r="CX48" s="2516"/>
      <c r="CY48" s="2516"/>
      <c r="CZ48" s="2516"/>
      <c r="DA48" s="2514"/>
      <c r="DB48" s="2516"/>
      <c r="DC48" s="2516"/>
      <c r="DD48" s="2516"/>
      <c r="DE48" s="2497"/>
      <c r="DF48" s="2496"/>
      <c r="DG48" s="2496"/>
      <c r="DH48" s="2496"/>
      <c r="DI48" s="2497"/>
      <c r="DJ48" s="2498"/>
      <c r="DK48" s="2496"/>
      <c r="DL48" s="2496"/>
      <c r="DM48" s="2497"/>
      <c r="DN48" s="2499"/>
      <c r="DO48" s="2500"/>
      <c r="DP48" s="1421"/>
      <c r="DQ48" s="2501"/>
      <c r="DR48" s="2501"/>
      <c r="DS48" s="2501"/>
      <c r="DT48" s="2501"/>
      <c r="DU48" s="2501"/>
      <c r="DV48" s="2501"/>
      <c r="DW48" s="2501"/>
      <c r="DX48" s="1421"/>
      <c r="DY48" s="2501"/>
      <c r="DZ48" s="2501"/>
      <c r="EA48" s="2501"/>
      <c r="EB48" s="2501"/>
      <c r="EC48" s="2501"/>
      <c r="ED48" s="2501"/>
      <c r="EE48" s="2501"/>
      <c r="EF48" s="2501"/>
      <c r="EG48" s="2501"/>
      <c r="EH48" s="2501"/>
      <c r="EI48" s="2501"/>
      <c r="EJ48" s="2501"/>
      <c r="EK48" s="2501"/>
      <c r="EL48" s="2501"/>
      <c r="EM48" s="2501"/>
      <c r="EN48" s="2501"/>
      <c r="EO48" s="2501"/>
      <c r="EP48" s="2501"/>
      <c r="EQ48" s="2501"/>
      <c r="ER48" s="2502"/>
      <c r="ES48" s="2503"/>
      <c r="ET48" s="2496"/>
      <c r="EU48" s="2503"/>
      <c r="EV48" s="2503"/>
      <c r="EW48" s="2503"/>
      <c r="EX48" s="2496"/>
      <c r="EY48" s="2496"/>
      <c r="EZ48" s="2498"/>
      <c r="FA48" s="2501"/>
      <c r="FB48" s="2501"/>
      <c r="FC48" s="2501"/>
      <c r="FD48" s="2501"/>
      <c r="FE48" s="2501"/>
      <c r="FF48" s="2501"/>
      <c r="FG48" s="2501"/>
      <c r="FH48" s="2501"/>
      <c r="FI48" s="2504"/>
      <c r="FJ48"/>
      <c r="FK48"/>
      <c r="FL48"/>
      <c r="FM48"/>
      <c r="FN48"/>
      <c r="FO48"/>
      <c r="FR48" s="3"/>
      <c r="FS48" s="528"/>
      <c r="FT48" s="528"/>
      <c r="FU48" s="2473"/>
      <c r="FV48" s="2496"/>
      <c r="FW48" s="2496"/>
      <c r="FX48" s="2496"/>
      <c r="FY48" s="2473"/>
      <c r="FZ48" s="2473"/>
      <c r="GA48" s="2473"/>
      <c r="GB48" s="2473"/>
      <c r="GC48" s="2473"/>
      <c r="GD48" s="2473"/>
      <c r="GE48" s="2473"/>
      <c r="GF48" s="2473"/>
      <c r="GG48" s="2473"/>
      <c r="GH48" s="2473"/>
      <c r="GI48" s="2473"/>
      <c r="GJ48" s="2473"/>
      <c r="GK48" s="2473"/>
      <c r="GL48" s="2473"/>
      <c r="GM48" s="2473"/>
      <c r="GN48" s="2473"/>
      <c r="GO48" s="2473"/>
      <c r="GP48" s="2473"/>
      <c r="GQ48" s="2473"/>
      <c r="GR48" s="2473"/>
      <c r="GS48" s="2473"/>
      <c r="GT48" s="2473"/>
      <c r="GU48" s="2473"/>
      <c r="GV48" s="2473"/>
      <c r="GW48" s="2473"/>
      <c r="GX48" s="2473"/>
      <c r="GY48" s="2473"/>
      <c r="GZ48" s="2473"/>
      <c r="HA48" s="2473"/>
      <c r="HB48" s="2473"/>
      <c r="HC48" s="2473"/>
      <c r="HD48" s="2473"/>
      <c r="HE48" s="2473"/>
      <c r="HF48" s="2473"/>
      <c r="HG48" s="2473"/>
      <c r="HH48" s="2473"/>
      <c r="HI48" s="2473"/>
      <c r="HJ48" s="2473"/>
      <c r="HK48" s="2473"/>
      <c r="HL48" s="2473"/>
      <c r="HM48" s="2473"/>
      <c r="HN48" s="2473"/>
      <c r="HO48" s="2473"/>
      <c r="HP48" s="2473"/>
      <c r="HQ48" s="2473"/>
      <c r="HR48" s="2473"/>
      <c r="HS48" s="2473"/>
      <c r="HT48" s="2473"/>
      <c r="HU48" s="2473"/>
      <c r="HV48" s="2473"/>
      <c r="HW48" s="2473"/>
      <c r="HX48" s="2473"/>
      <c r="HY48" s="2473"/>
      <c r="HZ48" s="2473"/>
      <c r="IA48" s="2473"/>
      <c r="IB48" s="2473"/>
      <c r="IC48" s="2473"/>
      <c r="ID48" s="2473"/>
      <c r="IE48" s="2473"/>
      <c r="IF48" s="2473"/>
      <c r="IG48" s="2473"/>
      <c r="IH48" s="2473"/>
      <c r="II48" s="2473"/>
      <c r="IJ48" s="2473"/>
      <c r="IK48" s="2473"/>
      <c r="IL48" s="2473"/>
      <c r="IM48" s="2473"/>
      <c r="IN48" s="2473"/>
      <c r="IO48" s="2473"/>
      <c r="IP48" s="2473"/>
      <c r="IQ48" s="2473"/>
      <c r="IR48" s="2473"/>
      <c r="IS48" s="2473"/>
      <c r="IT48" s="2473"/>
      <c r="IU48" s="2473"/>
      <c r="IV48" s="2473"/>
      <c r="IW48" s="2473"/>
      <c r="IX48" s="2473"/>
      <c r="IY48" s="2473"/>
      <c r="IZ48" s="2473"/>
    </row>
    <row r="49" spans="1:260" s="4" customFormat="1" hidden="1" outlineLevel="1" x14ac:dyDescent="0.2">
      <c r="A49" s="20" t="s">
        <v>72</v>
      </c>
      <c r="B49" s="347">
        <f t="shared" ref="B49:AG49" si="118">B32/B65</f>
        <v>0</v>
      </c>
      <c r="C49" s="347">
        <f t="shared" si="118"/>
        <v>0</v>
      </c>
      <c r="D49" s="347">
        <f t="shared" si="118"/>
        <v>0</v>
      </c>
      <c r="E49" s="459">
        <f t="shared" si="118"/>
        <v>0</v>
      </c>
      <c r="F49" s="347">
        <f t="shared" si="118"/>
        <v>0</v>
      </c>
      <c r="G49" s="347">
        <f t="shared" si="118"/>
        <v>0</v>
      </c>
      <c r="H49" s="347">
        <f t="shared" si="118"/>
        <v>0</v>
      </c>
      <c r="I49" s="459">
        <f t="shared" si="118"/>
        <v>0</v>
      </c>
      <c r="J49" s="347">
        <f t="shared" si="118"/>
        <v>0</v>
      </c>
      <c r="K49" s="347">
        <f t="shared" si="118"/>
        <v>0</v>
      </c>
      <c r="L49" s="347">
        <f t="shared" si="118"/>
        <v>0</v>
      </c>
      <c r="M49" s="459">
        <f t="shared" si="118"/>
        <v>0</v>
      </c>
      <c r="N49" s="347">
        <f t="shared" si="118"/>
        <v>0</v>
      </c>
      <c r="O49" s="347">
        <f t="shared" si="118"/>
        <v>0</v>
      </c>
      <c r="P49" s="347">
        <f t="shared" si="118"/>
        <v>0</v>
      </c>
      <c r="Q49" s="459">
        <f t="shared" si="118"/>
        <v>0</v>
      </c>
      <c r="R49" s="347">
        <f t="shared" si="118"/>
        <v>0</v>
      </c>
      <c r="S49" s="347">
        <f t="shared" si="118"/>
        <v>0</v>
      </c>
      <c r="T49" s="347">
        <f t="shared" si="118"/>
        <v>0</v>
      </c>
      <c r="U49" s="459">
        <f t="shared" si="118"/>
        <v>0</v>
      </c>
      <c r="V49" s="347">
        <f t="shared" si="118"/>
        <v>0</v>
      </c>
      <c r="W49" s="347">
        <f t="shared" si="118"/>
        <v>0</v>
      </c>
      <c r="X49" s="347">
        <f t="shared" si="118"/>
        <v>0</v>
      </c>
      <c r="Y49" s="459">
        <f t="shared" si="118"/>
        <v>0</v>
      </c>
      <c r="Z49" s="347">
        <f t="shared" si="118"/>
        <v>0</v>
      </c>
      <c r="AA49" s="347">
        <f t="shared" si="118"/>
        <v>0</v>
      </c>
      <c r="AB49" s="347">
        <f t="shared" si="118"/>
        <v>0</v>
      </c>
      <c r="AC49" s="459">
        <f t="shared" si="118"/>
        <v>0</v>
      </c>
      <c r="AD49" s="347">
        <f t="shared" si="118"/>
        <v>0</v>
      </c>
      <c r="AE49" s="347">
        <f t="shared" si="118"/>
        <v>0</v>
      </c>
      <c r="AF49" s="347">
        <f t="shared" si="118"/>
        <v>0</v>
      </c>
      <c r="AG49" s="459">
        <f t="shared" si="118"/>
        <v>0</v>
      </c>
      <c r="AH49" s="347">
        <f t="shared" ref="AH49:BM49" si="119">AH32/AH65</f>
        <v>0</v>
      </c>
      <c r="AI49" s="347">
        <f t="shared" si="119"/>
        <v>0</v>
      </c>
      <c r="AJ49" s="347">
        <f t="shared" si="119"/>
        <v>0</v>
      </c>
      <c r="AK49" s="459">
        <f t="shared" si="119"/>
        <v>0</v>
      </c>
      <c r="AL49" s="347">
        <f t="shared" si="119"/>
        <v>0</v>
      </c>
      <c r="AM49" s="347">
        <f t="shared" si="119"/>
        <v>0</v>
      </c>
      <c r="AN49" s="347">
        <f t="shared" si="119"/>
        <v>0</v>
      </c>
      <c r="AO49" s="459">
        <f t="shared" si="119"/>
        <v>0</v>
      </c>
      <c r="AP49" s="347">
        <f t="shared" si="119"/>
        <v>0</v>
      </c>
      <c r="AQ49" s="347">
        <f t="shared" si="119"/>
        <v>0</v>
      </c>
      <c r="AR49" s="347">
        <f t="shared" si="119"/>
        <v>0</v>
      </c>
      <c r="AS49" s="459">
        <f t="shared" si="119"/>
        <v>0</v>
      </c>
      <c r="AT49" s="347">
        <f t="shared" si="119"/>
        <v>0</v>
      </c>
      <c r="AU49" s="347">
        <f t="shared" si="119"/>
        <v>0</v>
      </c>
      <c r="AV49" s="347">
        <f t="shared" si="119"/>
        <v>0</v>
      </c>
      <c r="AW49" s="459">
        <f t="shared" si="119"/>
        <v>0</v>
      </c>
      <c r="AX49" s="347">
        <f t="shared" si="119"/>
        <v>0</v>
      </c>
      <c r="AY49" s="347">
        <f t="shared" si="119"/>
        <v>0</v>
      </c>
      <c r="AZ49" s="347">
        <f t="shared" si="119"/>
        <v>0</v>
      </c>
      <c r="BA49" s="459">
        <f t="shared" si="119"/>
        <v>0</v>
      </c>
      <c r="BB49" s="347">
        <f t="shared" si="119"/>
        <v>0</v>
      </c>
      <c r="BC49" s="347">
        <f t="shared" si="119"/>
        <v>0</v>
      </c>
      <c r="BD49" s="347">
        <f t="shared" si="119"/>
        <v>0</v>
      </c>
      <c r="BE49" s="459">
        <f t="shared" si="119"/>
        <v>0</v>
      </c>
      <c r="BF49" s="347">
        <f t="shared" si="119"/>
        <v>0</v>
      </c>
      <c r="BG49" s="347">
        <f t="shared" si="119"/>
        <v>0</v>
      </c>
      <c r="BH49" s="347">
        <f t="shared" si="119"/>
        <v>0</v>
      </c>
      <c r="BI49" s="459">
        <f t="shared" si="119"/>
        <v>0</v>
      </c>
      <c r="BJ49" s="347">
        <f t="shared" si="119"/>
        <v>0</v>
      </c>
      <c r="BK49" s="347">
        <f t="shared" si="119"/>
        <v>0</v>
      </c>
      <c r="BL49" s="364">
        <f t="shared" si="119"/>
        <v>-0.26265972550875533</v>
      </c>
      <c r="BM49" s="462">
        <f t="shared" si="119"/>
        <v>-0.3402646502835539</v>
      </c>
      <c r="BN49" s="364">
        <f t="shared" ref="BN49:CO49" si="120">BN32/BN65</f>
        <v>-0.1221517500587268</v>
      </c>
      <c r="BO49" s="347">
        <f t="shared" si="120"/>
        <v>0</v>
      </c>
      <c r="BP49" s="347">
        <f t="shared" si="120"/>
        <v>0</v>
      </c>
      <c r="BQ49" s="459">
        <f t="shared" si="120"/>
        <v>0</v>
      </c>
      <c r="BR49" s="347">
        <f t="shared" si="120"/>
        <v>0</v>
      </c>
      <c r="BS49" s="347">
        <f t="shared" si="120"/>
        <v>0</v>
      </c>
      <c r="BT49" s="347">
        <f t="shared" si="120"/>
        <v>0</v>
      </c>
      <c r="BU49" s="462">
        <f t="shared" si="120"/>
        <v>-0.55032226078334168</v>
      </c>
      <c r="BV49" s="364">
        <f t="shared" si="120"/>
        <v>-5.0352467270896274E-3</v>
      </c>
      <c r="BW49" s="364">
        <f t="shared" si="120"/>
        <v>-5.243838489774515E-3</v>
      </c>
      <c r="BX49" s="364">
        <f t="shared" si="120"/>
        <v>-4.8806941431670282E-2</v>
      </c>
      <c r="BY49" s="462">
        <f t="shared" si="120"/>
        <v>-6.9815602836879433</v>
      </c>
      <c r="BZ49" s="347">
        <f t="shared" si="120"/>
        <v>0</v>
      </c>
      <c r="CA49" s="347">
        <f t="shared" si="120"/>
        <v>0</v>
      </c>
      <c r="CB49" s="347">
        <f t="shared" si="120"/>
        <v>0</v>
      </c>
      <c r="CC49" s="462">
        <f t="shared" si="120"/>
        <v>-0.34576438626821437</v>
      </c>
      <c r="CD49" s="364">
        <f t="shared" si="120"/>
        <v>-9.9825305714998751E-3</v>
      </c>
      <c r="CE49" s="347">
        <f t="shared" si="120"/>
        <v>0</v>
      </c>
      <c r="CF49" s="347">
        <f t="shared" si="120"/>
        <v>0</v>
      </c>
      <c r="CG49" s="511">
        <f t="shared" si="120"/>
        <v>-6.859010801591813</v>
      </c>
      <c r="CH49" s="364">
        <f t="shared" si="120"/>
        <v>-0.24795799299883314</v>
      </c>
      <c r="CI49" s="364">
        <f t="shared" si="120"/>
        <v>-0.16538688718251623</v>
      </c>
      <c r="CJ49" s="364">
        <f t="shared" si="120"/>
        <v>-6.9395017793594319E-2</v>
      </c>
      <c r="CK49" s="462">
        <f t="shared" si="120"/>
        <v>-2.8453120378586214</v>
      </c>
      <c r="CL49" s="390">
        <f t="shared" si="120"/>
        <v>-0.26837806301050177</v>
      </c>
      <c r="CM49" s="390">
        <f t="shared" si="120"/>
        <v>-0.17129356172474897</v>
      </c>
      <c r="CN49" s="390">
        <f t="shared" si="120"/>
        <v>-6.8027210884353734E-2</v>
      </c>
      <c r="CO49" s="511">
        <f t="shared" si="120"/>
        <v>-2.8330871491875924</v>
      </c>
      <c r="CP49" s="959">
        <v>-0.03</v>
      </c>
      <c r="CQ49" s="390">
        <v>0.37</v>
      </c>
      <c r="CR49" s="390">
        <v>-0.06</v>
      </c>
      <c r="CS49" s="771">
        <f t="shared" ref="CS49:DE49" si="121">CS32/CS65</f>
        <v>-0.33182076006806577</v>
      </c>
      <c r="CT49" s="959">
        <f t="shared" si="121"/>
        <v>0.98458904109589052</v>
      </c>
      <c r="CU49" s="390">
        <f t="shared" si="121"/>
        <v>0</v>
      </c>
      <c r="CV49" s="390">
        <f t="shared" si="121"/>
        <v>0</v>
      </c>
      <c r="CW49" s="511">
        <f t="shared" si="121"/>
        <v>-1.9651880965749581E-2</v>
      </c>
      <c r="CX49" s="390">
        <f t="shared" si="121"/>
        <v>-0.26450046059793986</v>
      </c>
      <c r="CY49" s="390">
        <f t="shared" si="121"/>
        <v>-2.8256569652444195E-2</v>
      </c>
      <c r="CZ49" s="390">
        <f t="shared" si="121"/>
        <v>-4.2979942693409739E-2</v>
      </c>
      <c r="DA49" s="511">
        <f t="shared" si="121"/>
        <v>-0.13730645632486121</v>
      </c>
      <c r="DB49" s="390">
        <f>DB32/DB65</f>
        <v>0.25099479644934192</v>
      </c>
      <c r="DC49" s="390">
        <f t="shared" si="121"/>
        <v>0</v>
      </c>
      <c r="DD49" s="390">
        <f t="shared" si="121"/>
        <v>-1.8749999999999999E-2</v>
      </c>
      <c r="DE49" s="511">
        <f t="shared" si="121"/>
        <v>-4.3983663210807412E-2</v>
      </c>
      <c r="DF49" s="390">
        <f t="shared" ref="DF49:DM49" si="122">DF32/DF65</f>
        <v>0</v>
      </c>
      <c r="DG49" s="390">
        <f t="shared" si="122"/>
        <v>-1.6087516087516088E-2</v>
      </c>
      <c r="DH49" s="390">
        <f t="shared" si="122"/>
        <v>6.5487884741322862E-3</v>
      </c>
      <c r="DI49" s="511">
        <f t="shared" si="122"/>
        <v>-1.1931243680485339</v>
      </c>
      <c r="DJ49" s="1780">
        <f t="shared" si="122"/>
        <v>0</v>
      </c>
      <c r="DK49" s="390">
        <f t="shared" si="122"/>
        <v>0</v>
      </c>
      <c r="DL49" s="390">
        <f t="shared" si="122"/>
        <v>0</v>
      </c>
      <c r="DM49" s="511">
        <f t="shared" si="122"/>
        <v>0</v>
      </c>
      <c r="DN49" s="768"/>
      <c r="DO49" s="514"/>
      <c r="DP49" s="249"/>
      <c r="DQ49" s="775"/>
      <c r="DR49" s="775"/>
      <c r="DS49" s="775"/>
      <c r="DT49" s="775"/>
      <c r="DU49" s="775"/>
      <c r="DV49" s="775"/>
      <c r="DW49" s="775"/>
      <c r="DX49" s="347">
        <f t="shared" ref="DX49:ET49" si="123">DX32/DX65</f>
        <v>0</v>
      </c>
      <c r="DY49" s="347">
        <f t="shared" si="123"/>
        <v>0</v>
      </c>
      <c r="DZ49" s="347">
        <f t="shared" si="123"/>
        <v>0</v>
      </c>
      <c r="EA49" s="347">
        <f t="shared" si="123"/>
        <v>0</v>
      </c>
      <c r="EB49" s="347">
        <f t="shared" si="123"/>
        <v>0</v>
      </c>
      <c r="EC49" s="347">
        <f t="shared" si="123"/>
        <v>0</v>
      </c>
      <c r="ED49" s="347">
        <f t="shared" si="123"/>
        <v>0</v>
      </c>
      <c r="EE49" s="347">
        <f t="shared" si="123"/>
        <v>0</v>
      </c>
      <c r="EF49" s="347">
        <f t="shared" si="123"/>
        <v>0</v>
      </c>
      <c r="EG49" s="347">
        <f t="shared" si="123"/>
        <v>0</v>
      </c>
      <c r="EH49" s="347">
        <f t="shared" si="123"/>
        <v>0</v>
      </c>
      <c r="EI49" s="347">
        <f t="shared" si="123"/>
        <v>0</v>
      </c>
      <c r="EJ49" s="347">
        <f t="shared" si="123"/>
        <v>0</v>
      </c>
      <c r="EK49" s="347">
        <f t="shared" si="123"/>
        <v>0</v>
      </c>
      <c r="EL49" s="347">
        <f t="shared" si="123"/>
        <v>0</v>
      </c>
      <c r="EM49" s="364">
        <f t="shared" si="123"/>
        <v>-0.60297942776070002</v>
      </c>
      <c r="EN49" s="364">
        <f t="shared" si="123"/>
        <v>-0.12163742690058479</v>
      </c>
      <c r="EO49" s="364">
        <f t="shared" si="123"/>
        <v>-0.53301320528211282</v>
      </c>
      <c r="EP49" s="364">
        <f t="shared" si="123"/>
        <v>-6.6217747849856661</v>
      </c>
      <c r="EQ49" s="364">
        <f t="shared" si="123"/>
        <v>-0.33428844317096468</v>
      </c>
      <c r="ER49" s="1079">
        <f t="shared" si="123"/>
        <v>-6.5218564490016186</v>
      </c>
      <c r="ES49" s="364">
        <f t="shared" si="123"/>
        <v>-3.3209994840421606</v>
      </c>
      <c r="ET49" s="390">
        <f t="shared" si="123"/>
        <v>-3.3343151693667159</v>
      </c>
      <c r="EU49" s="364">
        <f>SUM(CP49:CS49)</f>
        <v>-5.1820760068065796E-2</v>
      </c>
      <c r="EV49" s="364">
        <f>SUM(CT49:CW49)</f>
        <v>0.96493716013014097</v>
      </c>
      <c r="EW49" s="364">
        <f>SUM(CX49:DA49)</f>
        <v>-0.473043429268655</v>
      </c>
      <c r="EX49" s="390">
        <v>0</v>
      </c>
      <c r="EY49" s="390">
        <v>0</v>
      </c>
      <c r="EZ49" s="1780">
        <v>0</v>
      </c>
      <c r="FA49" s="145">
        <v>0</v>
      </c>
      <c r="FB49" s="145">
        <v>0</v>
      </c>
      <c r="FC49" s="145">
        <v>0</v>
      </c>
      <c r="FD49" s="145"/>
      <c r="FE49" s="145"/>
      <c r="FF49" s="145"/>
      <c r="FG49" s="145"/>
      <c r="FH49" s="145"/>
      <c r="FI49" s="413"/>
      <c r="FJ49"/>
      <c r="FK49"/>
      <c r="FL49"/>
      <c r="FM49"/>
      <c r="FN49"/>
      <c r="FO49"/>
      <c r="FR49" s="3"/>
      <c r="FS49" s="72"/>
      <c r="FT49"/>
      <c r="FU49"/>
      <c r="FV49" s="2624"/>
      <c r="FW49" s="2624"/>
      <c r="FX49" s="2624"/>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row>
    <row r="50" spans="1:260" s="6" customFormat="1" hidden="1" outlineLevel="1" x14ac:dyDescent="0.2">
      <c r="A50" s="20" t="s">
        <v>47</v>
      </c>
      <c r="B50" s="364">
        <f>(1.4/B65)</f>
        <v>4.3037725640647289E-3</v>
      </c>
      <c r="C50" s="364">
        <f>(1.5/C65)</f>
        <v>3.9223069440522135E-3</v>
      </c>
      <c r="D50" s="364">
        <f>(1.5/D65)</f>
        <v>3.8655410211213157E-3</v>
      </c>
      <c r="E50" s="462">
        <f>(1.4/E65)</f>
        <v>3.6116915615406441E-3</v>
      </c>
      <c r="F50" s="364">
        <f>(1.4/F65)</f>
        <v>3.5960782198385358E-3</v>
      </c>
      <c r="G50" s="364">
        <f>(1.5/G65)</f>
        <v>3.8573103746219841E-3</v>
      </c>
      <c r="H50" s="364">
        <f>(1.5/H65)</f>
        <v>3.8228053274615048E-3</v>
      </c>
      <c r="I50" s="462">
        <f>(1.4/I65)</f>
        <v>3.2340032340032339E-3</v>
      </c>
      <c r="J50" s="364">
        <f>(1.4/J65)</f>
        <v>3.5823309203775774E-3</v>
      </c>
      <c r="K50" s="364">
        <f>(1.5/K65)</f>
        <v>3.8206145076374086E-3</v>
      </c>
      <c r="L50" s="364">
        <f>(1.5/L65)</f>
        <v>3.8292169251388087E-3</v>
      </c>
      <c r="M50" s="462">
        <f>(1.4/M65)</f>
        <v>3.5739357967962213E-3</v>
      </c>
      <c r="N50" s="364">
        <f>(1.4/N65)</f>
        <v>3.5707362858221361E-3</v>
      </c>
      <c r="O50" s="364">
        <f>(1.5/O65)</f>
        <v>3.8039591606944508E-3</v>
      </c>
      <c r="P50" s="364">
        <f>(1.5/P65)</f>
        <v>3.8150174346296768E-3</v>
      </c>
      <c r="Q50" s="462">
        <f>(1.4/Q65)</f>
        <v>3.5827434602136343E-3</v>
      </c>
      <c r="R50" s="364">
        <f>(1.4/R65)</f>
        <v>3.5711461593598468E-3</v>
      </c>
      <c r="S50" s="364">
        <f>(1.5/S65)</f>
        <v>3.7573079639899609E-3</v>
      </c>
      <c r="T50" s="364">
        <f>(1.5/T65)</f>
        <v>3.2986317275594079E-3</v>
      </c>
      <c r="U50" s="462">
        <f>(1.4/U65)</f>
        <v>3.0302636762293126E-3</v>
      </c>
      <c r="V50" s="364">
        <f>(1.4/V65)</f>
        <v>3.1145215121669333E-3</v>
      </c>
      <c r="W50" s="364">
        <f>(1.5/W65)</f>
        <v>3.1775991967029232E-3</v>
      </c>
      <c r="X50" s="364">
        <f>(1.5/X65)</f>
        <v>3.1739079376263617E-3</v>
      </c>
      <c r="Y50" s="462">
        <f>(1.4/Y65)</f>
        <v>2.9353150903500469E-3</v>
      </c>
      <c r="Z50" s="364">
        <f>(1.4/Z65)</f>
        <v>2.9174096944482213E-3</v>
      </c>
      <c r="AA50" s="364">
        <f>(1.5/AA65)</f>
        <v>3.1166192161391011E-3</v>
      </c>
      <c r="AB50" s="364">
        <f>(1.5/AB65)</f>
        <v>3.1122543458741618E-3</v>
      </c>
      <c r="AC50" s="462">
        <f>(1.4/AC65)</f>
        <v>2.9577095075043959E-3</v>
      </c>
      <c r="AD50" s="364">
        <f>(1.4/AD65)</f>
        <v>2.941656961825172E-3</v>
      </c>
      <c r="AE50" s="364">
        <f>(1.5/AE65)</f>
        <v>3.1220340676357465E-3</v>
      </c>
      <c r="AF50" s="364">
        <f>(1.5/AF65)</f>
        <v>3.1297875969647322E-3</v>
      </c>
      <c r="AG50" s="462">
        <f>(1.4/AG65)</f>
        <v>2.9281045751633986E-3</v>
      </c>
      <c r="AH50" s="364">
        <f>(1.4/AH65)</f>
        <v>2.9157554930750807E-3</v>
      </c>
      <c r="AI50" s="364">
        <f>(1.5/AI65)</f>
        <v>3.0978934324659233E-3</v>
      </c>
      <c r="AJ50" s="364">
        <f>(1.5/AJ65)</f>
        <v>3.1036623215394163E-3</v>
      </c>
      <c r="AK50" s="462">
        <f>(1.4/AK65)</f>
        <v>2.8713531251602317E-3</v>
      </c>
      <c r="AL50" s="364">
        <f>(1.4/AL65)</f>
        <v>2.8603534579630194E-3</v>
      </c>
      <c r="AM50" s="364">
        <f>(1.5/AM65)</f>
        <v>3.0816640986132513E-3</v>
      </c>
      <c r="AN50" s="364">
        <f>(1.5/AN65)</f>
        <v>3.0854674483184203E-3</v>
      </c>
      <c r="AO50" s="462">
        <f>(1.4/AO65)</f>
        <v>2.8771064529387585E-3</v>
      </c>
      <c r="AP50" s="364">
        <f>(1.4/AP65)</f>
        <v>2.8700287002870026E-3</v>
      </c>
      <c r="AQ50" s="364">
        <f>(1.5/AQ65)</f>
        <v>3.0506406345332522E-3</v>
      </c>
      <c r="AR50" s="364">
        <f>(1.5/AR65)</f>
        <v>3.0257186081694403E-3</v>
      </c>
      <c r="AS50" s="462">
        <f>(1.4/AS65)</f>
        <v>2.7810885975367503E-3</v>
      </c>
      <c r="AT50" s="364">
        <f>(1.4/AT65)</f>
        <v>2.7802601529143081E-3</v>
      </c>
      <c r="AU50" s="364">
        <f>(1.5/AU65)</f>
        <v>2.9841838257236649E-3</v>
      </c>
      <c r="AV50" s="364">
        <f>(1.5/AV65)</f>
        <v>2.9612081729345572E-3</v>
      </c>
      <c r="AW50" s="462">
        <f>(1.4/AW65)</f>
        <v>2.7580772261623322E-3</v>
      </c>
      <c r="AX50" s="364">
        <f>(1.4/AX65)</f>
        <v>2.7706313081337815E-3</v>
      </c>
      <c r="AY50" s="364">
        <f>(1.5/AY65)</f>
        <v>2.9463759575721863E-3</v>
      </c>
      <c r="AZ50" s="364">
        <f>(1.5/AZ65)</f>
        <v>2.9574132492113567E-3</v>
      </c>
      <c r="BA50" s="462">
        <f>(1.4/BA65)</f>
        <v>2.7838536488367467E-3</v>
      </c>
      <c r="BB50" s="364">
        <f>(1.4/BB65)</f>
        <v>2.7955271565495207E-3</v>
      </c>
      <c r="BC50" s="364">
        <f>(1.5/BC65)</f>
        <v>3.0211480362537764E-3</v>
      </c>
      <c r="BD50" s="364">
        <f>(1.5/BD65)</f>
        <v>3.0254134731746672E-3</v>
      </c>
      <c r="BE50" s="462">
        <f>(1.4/BE65)</f>
        <v>2.8305701577031944E-3</v>
      </c>
      <c r="BF50" s="364">
        <f>(1.4/BF65)</f>
        <v>2.8484231943031535E-3</v>
      </c>
      <c r="BG50" s="364">
        <f>(1.5/BG65)</f>
        <v>3.288031565103025E-3</v>
      </c>
      <c r="BH50" s="364">
        <f>(1.5/BH65)</f>
        <v>3.4818941504178272E-3</v>
      </c>
      <c r="BI50" s="462">
        <f>(1.4/BI65)</f>
        <v>3.2452480296708392E-3</v>
      </c>
      <c r="BJ50" s="364">
        <f>(1.4/BJ65)</f>
        <v>3.3065658951346244E-3</v>
      </c>
      <c r="BK50" s="364">
        <f>(1.5/BK65)</f>
        <v>3.5435861091424521E-3</v>
      </c>
      <c r="BL50" s="364">
        <f>(1.5/BL65)</f>
        <v>3.5494557501183151E-3</v>
      </c>
      <c r="BM50" s="462">
        <f>(1.4/BM65)</f>
        <v>3.3081285444234404E-3</v>
      </c>
      <c r="BN50" s="364">
        <f>(1.4/BN65)</f>
        <v>3.2887009631195675E-3</v>
      </c>
      <c r="BO50" s="364">
        <f>(1.5/BO65)</f>
        <v>3.5128805620608899E-3</v>
      </c>
      <c r="BP50" s="364">
        <f>(1.5/BP65)</f>
        <v>3.499766682221185E-3</v>
      </c>
      <c r="BQ50" s="462">
        <f>(1.4/BQ65)</f>
        <v>3.2588454376163869E-3</v>
      </c>
      <c r="BR50" s="364">
        <f>(1.4/BR65)</f>
        <v>3.2429928190873289E-3</v>
      </c>
      <c r="BS50" s="364">
        <f>(1.5/BS65)</f>
        <v>3.5410764872521243E-3</v>
      </c>
      <c r="BT50" s="364">
        <f>(1.4/BT65)</f>
        <v>3.4330554193231972E-3</v>
      </c>
      <c r="BU50" s="462">
        <f>(1.4/BU65)</f>
        <v>3.4705007436787306E-3</v>
      </c>
      <c r="BV50" s="364">
        <f>(1.4/BV65)</f>
        <v>3.5246727089627392E-3</v>
      </c>
      <c r="BW50" s="364">
        <f>(1.4/BW65)</f>
        <v>3.6706869428421605E-3</v>
      </c>
      <c r="BX50" s="364">
        <f>(1.4/BX65)</f>
        <v>3.7960954446854662E-3</v>
      </c>
      <c r="BY50" s="459">
        <v>0</v>
      </c>
      <c r="BZ50" s="364">
        <f>(1.4/BZ65)</f>
        <v>3.2505224053865798E-3</v>
      </c>
      <c r="CA50" s="364">
        <f>(1.4/CA65)</f>
        <v>3.2672112018669775E-3</v>
      </c>
      <c r="CB50" s="364">
        <f>(1.4/CB65)</f>
        <v>3.4046692607003892E-3</v>
      </c>
      <c r="CC50" s="459">
        <v>0</v>
      </c>
      <c r="CD50" s="364">
        <f>(1.4/CD65)</f>
        <v>3.4938857000249564E-3</v>
      </c>
      <c r="CE50" s="364">
        <f>(1.4/CE65)</f>
        <v>3.630705394190871E-3</v>
      </c>
      <c r="CF50" s="364">
        <f>(1.4/CF65)</f>
        <v>3.7593984962406013E-3</v>
      </c>
      <c r="CG50" s="459">
        <v>0</v>
      </c>
      <c r="CH50" s="364">
        <f>(1.4/CH65)</f>
        <v>4.0840140023337222E-3</v>
      </c>
      <c r="CI50" s="364">
        <f>(1.4/CI65)</f>
        <v>4.1346721795629052E-3</v>
      </c>
      <c r="CJ50" s="364">
        <f>(1.4/CJ65)</f>
        <v>4.1518386714116248E-3</v>
      </c>
      <c r="CK50" s="459">
        <v>0</v>
      </c>
      <c r="CL50" s="347">
        <v>0</v>
      </c>
      <c r="CM50" s="347">
        <v>0</v>
      </c>
      <c r="CN50" s="347">
        <v>0</v>
      </c>
      <c r="CO50" s="459">
        <v>0</v>
      </c>
      <c r="CP50" s="768">
        <v>0</v>
      </c>
      <c r="CQ50" s="347">
        <v>0</v>
      </c>
      <c r="CR50" s="347">
        <v>0</v>
      </c>
      <c r="CS50" s="459">
        <v>0</v>
      </c>
      <c r="CT50" s="768">
        <v>0</v>
      </c>
      <c r="CU50" s="347">
        <v>0</v>
      </c>
      <c r="CV50" s="347">
        <v>0</v>
      </c>
      <c r="CW50" s="459">
        <v>0</v>
      </c>
      <c r="CX50" s="347">
        <v>0</v>
      </c>
      <c r="CY50" s="347">
        <v>0</v>
      </c>
      <c r="CZ50" s="347">
        <v>0</v>
      </c>
      <c r="DA50" s="459">
        <v>0</v>
      </c>
      <c r="DB50" s="347">
        <v>0</v>
      </c>
      <c r="DC50" s="347">
        <v>0</v>
      </c>
      <c r="DD50" s="347">
        <v>0</v>
      </c>
      <c r="DE50" s="459">
        <v>0</v>
      </c>
      <c r="DF50" s="347">
        <v>0</v>
      </c>
      <c r="DG50" s="347">
        <v>0</v>
      </c>
      <c r="DH50" s="347">
        <v>0</v>
      </c>
      <c r="DI50" s="459">
        <v>0</v>
      </c>
      <c r="DJ50" s="1759">
        <v>0</v>
      </c>
      <c r="DK50" s="347">
        <v>0</v>
      </c>
      <c r="DL50" s="347">
        <v>0</v>
      </c>
      <c r="DM50" s="459">
        <v>0</v>
      </c>
      <c r="DN50" s="768"/>
      <c r="DO50" s="533"/>
      <c r="DP50" s="90"/>
      <c r="DQ50" s="90"/>
      <c r="DR50" s="90"/>
      <c r="DS50" s="90"/>
      <c r="DT50" s="90"/>
      <c r="DU50" s="90"/>
      <c r="DV50" s="90"/>
      <c r="DW50" s="90"/>
      <c r="DX50" s="364">
        <f t="shared" ref="DX50:EN50" si="124">5.9/DX65</f>
        <v>1.585919188009376E-2</v>
      </c>
      <c r="DY50" s="364">
        <f t="shared" si="124"/>
        <v>1.5080296187241051E-2</v>
      </c>
      <c r="DZ50" s="364">
        <f t="shared" si="124"/>
        <v>1.5021896323454529E-2</v>
      </c>
      <c r="EA50" s="364">
        <f t="shared" si="124"/>
        <v>1.5027750396707142E-2</v>
      </c>
      <c r="EB50" s="364">
        <f t="shared" si="124"/>
        <v>1.3094611900116963E-2</v>
      </c>
      <c r="EC50" s="364">
        <f t="shared" si="124"/>
        <v>1.2486772486772487E-2</v>
      </c>
      <c r="ED50" s="364">
        <f t="shared" si="124"/>
        <v>1.2335225431471551E-2</v>
      </c>
      <c r="EE50" s="364">
        <f t="shared" si="124"/>
        <v>1.2331686844128002E-2</v>
      </c>
      <c r="EF50" s="364">
        <f t="shared" si="124"/>
        <v>1.2194964409823148E-2</v>
      </c>
      <c r="EG50" s="364">
        <f t="shared" si="124"/>
        <v>1.2109084378768054E-2</v>
      </c>
      <c r="EH50" s="364">
        <f t="shared" si="124"/>
        <v>1.1781150159744409E-2</v>
      </c>
      <c r="EI50" s="364">
        <f t="shared" si="124"/>
        <v>1.1681144356175911E-2</v>
      </c>
      <c r="EJ50" s="364">
        <f t="shared" si="124"/>
        <v>1.1687797147385104E-2</v>
      </c>
      <c r="EK50" s="364">
        <f t="shared" si="124"/>
        <v>1.1890366787585652E-2</v>
      </c>
      <c r="EL50" s="364">
        <f t="shared" si="124"/>
        <v>1.3027158313093399E-2</v>
      </c>
      <c r="EM50" s="364">
        <f t="shared" si="124"/>
        <v>1.3951288720737764E-2</v>
      </c>
      <c r="EN50" s="364">
        <f t="shared" si="124"/>
        <v>1.3801169590643276E-2</v>
      </c>
      <c r="EO50" s="364">
        <f>5.8/EO65</f>
        <v>1.3925570228091237E-2</v>
      </c>
      <c r="EP50" s="364">
        <f>SUM(BV50:BY50)</f>
        <v>1.0991455096490367E-2</v>
      </c>
      <c r="EQ50" s="364">
        <f>SUM(BZ50:CC50)</f>
        <v>9.9224028679539469E-3</v>
      </c>
      <c r="ER50" s="1079">
        <f>SUM(CD50:CG50)</f>
        <v>1.0883989590456429E-2</v>
      </c>
      <c r="ES50" s="364">
        <f>SUM(CH50:CK50)</f>
        <v>1.2370524853308251E-2</v>
      </c>
      <c r="ET50" s="347">
        <f>SUM(CL50:CO50)</f>
        <v>0</v>
      </c>
      <c r="EU50" s="347">
        <f>SUM(CP50:CS50)</f>
        <v>0</v>
      </c>
      <c r="EV50" s="347">
        <f>SUM(CT50:CW50)</f>
        <v>0</v>
      </c>
      <c r="EW50" s="347">
        <v>0</v>
      </c>
      <c r="EX50" s="347">
        <v>0</v>
      </c>
      <c r="EY50" s="347">
        <v>0</v>
      </c>
      <c r="EZ50" s="1759">
        <v>0</v>
      </c>
      <c r="FA50" s="145">
        <v>0</v>
      </c>
      <c r="FB50" s="145">
        <v>0</v>
      </c>
      <c r="FC50" s="145">
        <v>0</v>
      </c>
      <c r="FD50" s="145"/>
      <c r="FE50" s="145"/>
      <c r="FF50" s="145"/>
      <c r="FG50" s="145"/>
      <c r="FH50" s="145"/>
      <c r="FI50" s="413"/>
      <c r="FJ50"/>
      <c r="FK50"/>
      <c r="FL50"/>
      <c r="FM50"/>
      <c r="FN50"/>
      <c r="FO50"/>
      <c r="FP50" s="4"/>
      <c r="FQ50" s="4"/>
      <c r="FR50" s="3"/>
      <c r="FS50" s="72"/>
      <c r="FT50"/>
      <c r="FU50"/>
      <c r="FV50" s="2624"/>
      <c r="FW50" s="2624"/>
      <c r="FX50" s="2624"/>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row>
    <row r="51" spans="1:260" s="6" customFormat="1" hidden="1" outlineLevel="1" x14ac:dyDescent="0.2">
      <c r="A51" s="338" t="s">
        <v>502</v>
      </c>
      <c r="B51" s="364">
        <f t="shared" ref="B51:AG51" si="125">B37+SUM(B49:B50)</f>
        <v>8.9641434262947989E-3</v>
      </c>
      <c r="C51" s="364">
        <f t="shared" si="125"/>
        <v>2.377963956614064E-2</v>
      </c>
      <c r="D51" s="364">
        <f t="shared" si="125"/>
        <v>3.2627743245611185E-2</v>
      </c>
      <c r="E51" s="462">
        <f t="shared" si="125"/>
        <v>5.8919588267162051E-2</v>
      </c>
      <c r="F51" s="364">
        <f t="shared" si="125"/>
        <v>1.4463940325650576E-2</v>
      </c>
      <c r="G51" s="364">
        <f t="shared" si="125"/>
        <v>2.3401016272706611E-2</v>
      </c>
      <c r="H51" s="364">
        <f t="shared" si="125"/>
        <v>4.8937005265277375E-2</v>
      </c>
      <c r="I51" s="462">
        <f t="shared" si="125"/>
        <v>6.8163548163548138E-2</v>
      </c>
      <c r="J51" s="364">
        <f t="shared" si="125"/>
        <v>1.5467993152630796E-2</v>
      </c>
      <c r="K51" s="364">
        <f t="shared" si="125"/>
        <v>1.8374608705397734E-2</v>
      </c>
      <c r="L51" s="364">
        <f t="shared" si="125"/>
        <v>4.9274363392686316E-2</v>
      </c>
      <c r="M51" s="462">
        <f t="shared" si="125"/>
        <v>5.4198736358414629E-2</v>
      </c>
      <c r="N51" s="364">
        <f t="shared" si="125"/>
        <v>4.6139013864655203E-3</v>
      </c>
      <c r="O51" s="364">
        <f t="shared" si="125"/>
        <v>1.3410224027835264E-2</v>
      </c>
      <c r="P51" s="364">
        <f t="shared" si="125"/>
        <v>-2.4093106772164509E-2</v>
      </c>
      <c r="Q51" s="462">
        <f t="shared" si="125"/>
        <v>2.5396532927970943E-2</v>
      </c>
      <c r="R51" s="364">
        <f t="shared" si="125"/>
        <v>-3.1604643510333695E-3</v>
      </c>
      <c r="S51" s="364">
        <f t="shared" si="125"/>
        <v>2.0409696860393154E-2</v>
      </c>
      <c r="T51" s="364">
        <f t="shared" si="125"/>
        <v>6.1350151956967997E-2</v>
      </c>
      <c r="U51" s="462">
        <f t="shared" si="125"/>
        <v>0.14161287948641327</v>
      </c>
      <c r="V51" s="364">
        <f t="shared" si="125"/>
        <v>3.0871582160243469E-2</v>
      </c>
      <c r="W51" s="364">
        <f t="shared" si="125"/>
        <v>9.0995848996249393E-2</v>
      </c>
      <c r="X51" s="364">
        <f t="shared" si="125"/>
        <v>0.11646760974051217</v>
      </c>
      <c r="Y51" s="462">
        <f t="shared" si="125"/>
        <v>0.23106590725872042</v>
      </c>
      <c r="Z51" s="364">
        <f t="shared" si="125"/>
        <v>0.10046100282832442</v>
      </c>
      <c r="AA51" s="364">
        <f t="shared" si="125"/>
        <v>0.12376510456517188</v>
      </c>
      <c r="AB51" s="364">
        <f t="shared" si="125"/>
        <v>0.16575659162502765</v>
      </c>
      <c r="AC51" s="462">
        <f t="shared" si="125"/>
        <v>0.3490202851337596</v>
      </c>
      <c r="AD51" s="364">
        <f t="shared" si="125"/>
        <v>0.15455885914138257</v>
      </c>
      <c r="AE51" s="364">
        <f t="shared" si="125"/>
        <v>0.16286194781624105</v>
      </c>
      <c r="AF51" s="364">
        <f t="shared" si="125"/>
        <v>0.12261047237362507</v>
      </c>
      <c r="AG51" s="462">
        <f t="shared" si="125"/>
        <v>0.40031372549019623</v>
      </c>
      <c r="AH51" s="364">
        <f t="shared" ref="AH51:BM51" si="126">AH37+SUM(AH49:AH50)</f>
        <v>0.1174632927210247</v>
      </c>
      <c r="AI51" s="364">
        <f t="shared" si="126"/>
        <v>0.17864518793886824</v>
      </c>
      <c r="AJ51" s="364">
        <f t="shared" si="126"/>
        <v>0.1686323194703083</v>
      </c>
      <c r="AK51" s="462">
        <f t="shared" si="126"/>
        <v>0.72070963441521818</v>
      </c>
      <c r="AL51" s="364">
        <f t="shared" si="126"/>
        <v>0.16426601287159057</v>
      </c>
      <c r="AM51" s="364">
        <f t="shared" si="126"/>
        <v>0.16538263995891114</v>
      </c>
      <c r="AN51" s="364">
        <f t="shared" si="126"/>
        <v>0.17998560115190784</v>
      </c>
      <c r="AO51" s="462">
        <f t="shared" si="126"/>
        <v>0.76969584874640351</v>
      </c>
      <c r="AP51" s="364">
        <f t="shared" si="126"/>
        <v>0.14432144321443213</v>
      </c>
      <c r="AQ51" s="364">
        <f t="shared" si="126"/>
        <v>0.27665853162497456</v>
      </c>
      <c r="AR51" s="364">
        <f t="shared" si="126"/>
        <v>0.2491174987392839</v>
      </c>
      <c r="AS51" s="462">
        <f t="shared" si="126"/>
        <v>0.93444576877234808</v>
      </c>
      <c r="AT51" s="364">
        <f t="shared" si="126"/>
        <v>0.22896633899314864</v>
      </c>
      <c r="AU51" s="364">
        <f t="shared" si="126"/>
        <v>0.30223813786929282</v>
      </c>
      <c r="AV51" s="364">
        <f t="shared" si="126"/>
        <v>0.29513374790247754</v>
      </c>
      <c r="AW51" s="462">
        <f t="shared" si="126"/>
        <v>1.0311268715524036</v>
      </c>
      <c r="AX51" s="364">
        <f t="shared" si="126"/>
        <v>0.34420443301009301</v>
      </c>
      <c r="AY51" s="364">
        <f t="shared" si="126"/>
        <v>0.37222549597328619</v>
      </c>
      <c r="AZ51" s="364">
        <f t="shared" si="126"/>
        <v>0.27503943217665616</v>
      </c>
      <c r="BA51" s="462">
        <f t="shared" si="126"/>
        <v>1.2833565321137403</v>
      </c>
      <c r="BB51" s="364">
        <f t="shared" si="126"/>
        <v>0.47004792332268369</v>
      </c>
      <c r="BC51" s="364">
        <f t="shared" si="126"/>
        <v>0.46626384692849948</v>
      </c>
      <c r="BD51" s="364">
        <f t="shared" si="126"/>
        <v>0.30556676079064138</v>
      </c>
      <c r="BE51" s="462">
        <f t="shared" si="126"/>
        <v>1.5454913061059441</v>
      </c>
      <c r="BF51" s="364">
        <f t="shared" si="126"/>
        <v>0.39348931841302137</v>
      </c>
      <c r="BG51" s="364">
        <f t="shared" si="126"/>
        <v>0.55129329241560721</v>
      </c>
      <c r="BH51" s="364">
        <f t="shared" si="126"/>
        <v>0.53272980501392753</v>
      </c>
      <c r="BI51" s="462">
        <f t="shared" si="126"/>
        <v>1.7116365322206768</v>
      </c>
      <c r="BJ51" s="364">
        <f t="shared" si="126"/>
        <v>0.42607463391591877</v>
      </c>
      <c r="BK51" s="364">
        <f t="shared" si="126"/>
        <v>0.48074651547365932</v>
      </c>
      <c r="BL51" s="364">
        <f t="shared" si="126"/>
        <v>0.12659725508755326</v>
      </c>
      <c r="BM51" s="462">
        <f t="shared" si="126"/>
        <v>1.350189035916824</v>
      </c>
      <c r="BN51" s="364">
        <f t="shared" ref="BN51:CF51" si="127">BN37+SUM(BN49:BN50)</f>
        <v>0.36269673478975806</v>
      </c>
      <c r="BO51" s="364">
        <f t="shared" si="127"/>
        <v>0.37353629976580799</v>
      </c>
      <c r="BP51" s="364">
        <f t="shared" si="127"/>
        <v>0.53313112459169387</v>
      </c>
      <c r="BQ51" s="462">
        <f t="shared" si="127"/>
        <v>1.8165735567970203</v>
      </c>
      <c r="BR51" s="364">
        <f t="shared" si="127"/>
        <v>0.36228862636089881</v>
      </c>
      <c r="BS51" s="364">
        <f t="shared" si="127"/>
        <v>0.60316336166194517</v>
      </c>
      <c r="BT51" s="364">
        <f t="shared" si="127"/>
        <v>0.53555664541441872</v>
      </c>
      <c r="BU51" s="462">
        <f t="shared" si="127"/>
        <v>1.6172533465542887</v>
      </c>
      <c r="BV51" s="364">
        <f t="shared" si="127"/>
        <v>0.34592145015105741</v>
      </c>
      <c r="BW51" s="364">
        <f t="shared" si="127"/>
        <v>0.46775039328788681</v>
      </c>
      <c r="BX51" s="364">
        <f t="shared" si="127"/>
        <v>0.42136659436008678</v>
      </c>
      <c r="BY51" s="462">
        <f t="shared" si="127"/>
        <v>-4.5106382978723403</v>
      </c>
      <c r="BZ51" s="364">
        <f t="shared" si="127"/>
        <v>0.52565590898537262</v>
      </c>
      <c r="CA51" s="364">
        <f t="shared" si="127"/>
        <v>0.51201866977829646</v>
      </c>
      <c r="CB51" s="364">
        <f t="shared" si="127"/>
        <v>0.58949416342412453</v>
      </c>
      <c r="CC51" s="462">
        <f t="shared" si="127"/>
        <v>1.8029142998271181</v>
      </c>
      <c r="CD51" s="364">
        <f t="shared" si="127"/>
        <v>0.63988020963314196</v>
      </c>
      <c r="CE51" s="364">
        <f t="shared" si="127"/>
        <v>0.39263485477178417</v>
      </c>
      <c r="CF51" s="364">
        <f t="shared" si="127"/>
        <v>0.46831364124597208</v>
      </c>
      <c r="CG51" s="511">
        <f>CG34/CG65</f>
        <v>-4.8607163160886868</v>
      </c>
      <c r="CH51" s="364">
        <f t="shared" ref="CH51:CV51" si="128">CH37+SUM(CH49:CH50)</f>
        <v>0.47374562427071176</v>
      </c>
      <c r="CI51" s="364">
        <f t="shared" si="128"/>
        <v>3.9574719432959232E-2</v>
      </c>
      <c r="CJ51" s="364">
        <f t="shared" si="128"/>
        <v>-3.5587188612099654E-2</v>
      </c>
      <c r="CK51" s="462">
        <f t="shared" si="128"/>
        <v>-1.2067435669920139</v>
      </c>
      <c r="CL51" s="390">
        <f t="shared" si="128"/>
        <v>0.49299883313885645</v>
      </c>
      <c r="CM51" s="390">
        <f t="shared" si="128"/>
        <v>9.1553455404607187E-2</v>
      </c>
      <c r="CN51" s="390">
        <f t="shared" si="128"/>
        <v>-2.6619343389529718E-2</v>
      </c>
      <c r="CO51" s="511">
        <f t="shared" si="128"/>
        <v>-1.2850812407680947</v>
      </c>
      <c r="CP51" s="959">
        <f t="shared" si="128"/>
        <v>0.33656891495601171</v>
      </c>
      <c r="CQ51" s="390">
        <f t="shared" si="128"/>
        <v>0.6719744483159118</v>
      </c>
      <c r="CR51" s="390">
        <f t="shared" si="128"/>
        <v>0.1348982516480367</v>
      </c>
      <c r="CS51" s="511">
        <f t="shared" si="128"/>
        <v>0.87067498581962544</v>
      </c>
      <c r="CT51" s="959">
        <f t="shared" si="128"/>
        <v>1.3356164383561646</v>
      </c>
      <c r="CU51" s="390">
        <f t="shared" si="128"/>
        <v>0.42021578648495173</v>
      </c>
      <c r="CV51" s="390">
        <f t="shared" si="128"/>
        <v>0.34180790960451979</v>
      </c>
      <c r="CW51" s="511">
        <f t="shared" ref="CW51:DE51" si="129">CW37+SUM(CW49:CW50)</f>
        <v>1.4570466030320046</v>
      </c>
      <c r="CX51" s="390">
        <f t="shared" si="129"/>
        <v>8.441504061636379E-2</v>
      </c>
      <c r="CY51" s="390">
        <f t="shared" si="129"/>
        <v>0.43797682961288498</v>
      </c>
      <c r="CZ51" s="390">
        <f t="shared" si="129"/>
        <v>0.35243553008595985</v>
      </c>
      <c r="DA51" s="511">
        <f>DA37+SUM(DA49:DA50)</f>
        <v>1.3467718375693836</v>
      </c>
      <c r="DB51" s="390">
        <f>DB37+SUM(DB49:DB50)</f>
        <v>0.68258340985613719</v>
      </c>
      <c r="DC51" s="390">
        <f t="shared" si="129"/>
        <v>0.56673892846082385</v>
      </c>
      <c r="DD51" s="390">
        <f t="shared" si="129"/>
        <v>0.58437499999999998</v>
      </c>
      <c r="DE51" s="511">
        <f t="shared" si="129"/>
        <v>1.8881558278353754</v>
      </c>
      <c r="DF51" s="390">
        <f t="shared" ref="DF51:DM51" si="130">DF37+SUM(DF49:DF50)</f>
        <v>0.59682539682539681</v>
      </c>
      <c r="DG51" s="390">
        <f t="shared" si="130"/>
        <v>0.67245817245817241</v>
      </c>
      <c r="DH51" s="390">
        <f t="shared" si="130"/>
        <v>0.78258022265880822</v>
      </c>
      <c r="DI51" s="511">
        <f t="shared" si="130"/>
        <v>1.2268284462419952</v>
      </c>
      <c r="DJ51" s="1780">
        <f t="shared" si="130"/>
        <v>0.74259321666507583</v>
      </c>
      <c r="DK51" s="390">
        <f t="shared" si="130"/>
        <v>0.81923137289841486</v>
      </c>
      <c r="DL51" s="390">
        <f t="shared" si="130"/>
        <v>0.93312369771297043</v>
      </c>
      <c r="DM51" s="511">
        <f t="shared" si="130"/>
        <v>2.531813340903962</v>
      </c>
      <c r="DN51" s="959"/>
      <c r="DO51" s="504"/>
      <c r="DP51" s="245"/>
      <c r="DQ51" s="245"/>
      <c r="DR51" s="245"/>
      <c r="DS51" s="245"/>
      <c r="DT51" s="245"/>
      <c r="DU51" s="245"/>
      <c r="DV51" s="245"/>
      <c r="DW51" s="245"/>
      <c r="DX51" s="364">
        <f t="shared" ref="DX51:EV51" si="131">DX37+SUM(DX49:DX50)</f>
        <v>0.12444699429452354</v>
      </c>
      <c r="DY51" s="364">
        <f t="shared" si="131"/>
        <v>0.1555356090584985</v>
      </c>
      <c r="DZ51" s="364">
        <f t="shared" si="131"/>
        <v>0.13753149978263399</v>
      </c>
      <c r="EA51" s="364">
        <f t="shared" si="131"/>
        <v>1.9582845625454464E-2</v>
      </c>
      <c r="EB51" s="364">
        <f t="shared" si="131"/>
        <v>0.21964952632571949</v>
      </c>
      <c r="EC51" s="364">
        <f t="shared" si="131"/>
        <v>0.4694863769056517</v>
      </c>
      <c r="ED51" s="364">
        <f t="shared" si="131"/>
        <v>0.73923421681978929</v>
      </c>
      <c r="EE51" s="364">
        <f t="shared" si="131"/>
        <v>0.84037101656469415</v>
      </c>
      <c r="EF51" s="364">
        <f t="shared" si="131"/>
        <v>1.1903525429859578</v>
      </c>
      <c r="EG51" s="364">
        <f t="shared" si="131"/>
        <v>1.2886939121065188</v>
      </c>
      <c r="EH51" s="364">
        <f t="shared" si="131"/>
        <v>1.608126996805112</v>
      </c>
      <c r="EI51" s="364">
        <f t="shared" si="131"/>
        <v>1.8614913257603882</v>
      </c>
      <c r="EJ51" s="364">
        <f t="shared" si="131"/>
        <v>2.2700079239302693</v>
      </c>
      <c r="EK51" s="364">
        <f t="shared" si="131"/>
        <v>2.7875875451116734</v>
      </c>
      <c r="EL51" s="364">
        <f t="shared" si="131"/>
        <v>3.1196732170457055</v>
      </c>
      <c r="EM51" s="364">
        <f t="shared" si="131"/>
        <v>2.3856703712461576</v>
      </c>
      <c r="EN51" s="364">
        <f t="shared" si="131"/>
        <v>3.094502923976608</v>
      </c>
      <c r="EO51" s="364">
        <f t="shared" si="131"/>
        <v>3.079951980792317</v>
      </c>
      <c r="EP51" s="364">
        <f t="shared" si="131"/>
        <v>-2.9838748693251382</v>
      </c>
      <c r="EQ51" s="364">
        <f t="shared" si="131"/>
        <v>3.386235678894697</v>
      </c>
      <c r="ER51" s="1079">
        <f t="shared" si="131"/>
        <v>-2.8277560535827759</v>
      </c>
      <c r="ES51" s="364">
        <f t="shared" si="131"/>
        <v>-0.71999477329661454</v>
      </c>
      <c r="ET51" s="390">
        <f t="shared" si="131"/>
        <v>-0.71870397643593531</v>
      </c>
      <c r="EU51" s="364">
        <f t="shared" si="131"/>
        <v>2.0276370234779719</v>
      </c>
      <c r="EV51" s="364">
        <f t="shared" si="131"/>
        <v>3.5610910062839869</v>
      </c>
      <c r="EW51" s="364">
        <f t="shared" ref="EW51:FC51" si="132">EW37+EW49+EW50</f>
        <v>2.1930529494025741</v>
      </c>
      <c r="EX51" s="390">
        <f>EX37+EX49+EX50</f>
        <v>3.5089894606323617</v>
      </c>
      <c r="EY51" s="390">
        <f>EY37+EY49+EY50</f>
        <v>4.4187561055030935</v>
      </c>
      <c r="EZ51" s="1780">
        <f>EZ37+EZ49+EZ50</f>
        <v>5.0022034563320164</v>
      </c>
      <c r="FA51" s="776">
        <f t="shared" si="132"/>
        <v>5.3006124535000874</v>
      </c>
      <c r="FB51" s="776">
        <f t="shared" si="132"/>
        <v>5.6041833757192148</v>
      </c>
      <c r="FC51" s="776">
        <f t="shared" si="132"/>
        <v>5.6698541657267878</v>
      </c>
      <c r="FD51" s="776"/>
      <c r="FE51" s="776"/>
      <c r="FF51" s="776"/>
      <c r="FG51" s="776"/>
      <c r="FH51" s="776"/>
      <c r="FI51" s="413"/>
      <c r="FJ51"/>
      <c r="FK51"/>
      <c r="FL51"/>
      <c r="FM51"/>
      <c r="FN51"/>
      <c r="FO51"/>
      <c r="FP51" s="4"/>
      <c r="FQ51" s="4"/>
      <c r="FR51" s="3"/>
      <c r="FS51" s="245"/>
      <c r="FT51" s="245"/>
      <c r="FU51"/>
      <c r="FV51" s="245"/>
      <c r="FW51" s="245"/>
      <c r="FX51" s="245"/>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row>
    <row r="52" spans="1:260" s="88" customFormat="1" hidden="1" outlineLevel="1" x14ac:dyDescent="0.2">
      <c r="A52" s="192"/>
      <c r="B52" s="191"/>
      <c r="C52" s="191"/>
      <c r="D52" s="191"/>
      <c r="E52" s="463"/>
      <c r="F52" s="191"/>
      <c r="G52" s="191"/>
      <c r="H52" s="191"/>
      <c r="I52" s="463"/>
      <c r="J52" s="191"/>
      <c r="K52" s="191"/>
      <c r="L52" s="191"/>
      <c r="M52" s="463"/>
      <c r="N52" s="191"/>
      <c r="O52" s="191"/>
      <c r="P52" s="191"/>
      <c r="Q52" s="463"/>
      <c r="R52" s="191"/>
      <c r="S52" s="191"/>
      <c r="T52" s="191"/>
      <c r="U52" s="463"/>
      <c r="V52" s="191"/>
      <c r="W52" s="191"/>
      <c r="X52" s="191"/>
      <c r="Y52" s="463"/>
      <c r="Z52" s="191"/>
      <c r="AA52" s="191"/>
      <c r="AB52" s="191"/>
      <c r="AC52" s="463"/>
      <c r="AD52" s="191"/>
      <c r="AE52" s="191"/>
      <c r="AF52" s="191"/>
      <c r="AG52" s="463"/>
      <c r="AH52" s="191"/>
      <c r="AI52" s="191"/>
      <c r="AJ52" s="191"/>
      <c r="AK52" s="463"/>
      <c r="AL52" s="191"/>
      <c r="AM52" s="191"/>
      <c r="AN52" s="191"/>
      <c r="AO52" s="463"/>
      <c r="AP52" s="191"/>
      <c r="AQ52" s="191"/>
      <c r="AR52" s="191"/>
      <c r="AS52" s="463"/>
      <c r="AT52" s="191"/>
      <c r="AU52" s="191"/>
      <c r="AV52" s="191"/>
      <c r="AW52" s="463"/>
      <c r="AX52" s="191"/>
      <c r="AY52" s="191"/>
      <c r="AZ52" s="191"/>
      <c r="BA52" s="463"/>
      <c r="BB52" s="191"/>
      <c r="BC52" s="191"/>
      <c r="BD52" s="191"/>
      <c r="BE52" s="463"/>
      <c r="BF52" s="193"/>
      <c r="BG52" s="193"/>
      <c r="BH52" s="193"/>
      <c r="BI52" s="495"/>
      <c r="BJ52" s="193"/>
      <c r="BK52" s="193"/>
      <c r="BL52" s="193"/>
      <c r="BM52" s="495"/>
      <c r="BN52" s="193"/>
      <c r="BO52" s="193"/>
      <c r="BP52" s="193"/>
      <c r="BQ52" s="495"/>
      <c r="BR52" s="193"/>
      <c r="BS52" s="193"/>
      <c r="BT52" s="193"/>
      <c r="BU52" s="495"/>
      <c r="BV52" s="193"/>
      <c r="BW52" s="375"/>
      <c r="BX52" s="193"/>
      <c r="BY52" s="495"/>
      <c r="BZ52" s="193"/>
      <c r="CA52" s="375"/>
      <c r="CB52" s="193"/>
      <c r="CC52" s="495"/>
      <c r="CD52" s="193"/>
      <c r="CE52" s="375"/>
      <c r="CF52" s="193"/>
      <c r="CG52" s="495"/>
      <c r="CH52" s="193"/>
      <c r="CI52" s="375"/>
      <c r="CJ52" s="193"/>
      <c r="CK52" s="495"/>
      <c r="CL52" s="193"/>
      <c r="CM52" s="375"/>
      <c r="CN52" s="193"/>
      <c r="CO52" s="495"/>
      <c r="CP52" s="960"/>
      <c r="CQ52" s="404"/>
      <c r="CR52" s="404"/>
      <c r="CS52" s="523"/>
      <c r="CT52" s="960"/>
      <c r="CU52" s="404"/>
      <c r="CV52" s="404"/>
      <c r="CW52" s="523"/>
      <c r="CX52" s="404"/>
      <c r="CY52" s="404"/>
      <c r="CZ52" s="404"/>
      <c r="DA52" s="523"/>
      <c r="DB52" s="404"/>
      <c r="DC52" s="404"/>
      <c r="DD52" s="404"/>
      <c r="DE52" s="523"/>
      <c r="DF52" s="404"/>
      <c r="DG52" s="404"/>
      <c r="DH52" s="404"/>
      <c r="DI52" s="523"/>
      <c r="DJ52" s="1781"/>
      <c r="DK52" s="404"/>
      <c r="DL52" s="404"/>
      <c r="DM52" s="523"/>
      <c r="DN52" s="960"/>
      <c r="DO52" s="495"/>
      <c r="DP52" s="191"/>
      <c r="DQ52" s="191"/>
      <c r="DR52" s="191"/>
      <c r="DS52" s="191"/>
      <c r="DT52" s="191"/>
      <c r="DU52" s="191"/>
      <c r="DV52" s="191"/>
      <c r="DW52" s="191"/>
      <c r="DX52" s="191"/>
      <c r="DY52" s="191"/>
      <c r="DZ52" s="191"/>
      <c r="EA52" s="191"/>
      <c r="EB52" s="191"/>
      <c r="EC52" s="191"/>
      <c r="ED52" s="191"/>
      <c r="EE52" s="191"/>
      <c r="EF52" s="191"/>
      <c r="EG52" s="191"/>
      <c r="EH52" s="191"/>
      <c r="EI52" s="191"/>
      <c r="EJ52" s="191"/>
      <c r="EK52" s="191"/>
      <c r="EL52" s="193"/>
      <c r="EM52" s="193"/>
      <c r="EN52" s="193"/>
      <c r="EO52" s="193"/>
      <c r="EP52" s="193"/>
      <c r="EQ52" s="193"/>
      <c r="ER52" s="961"/>
      <c r="ES52" s="193"/>
      <c r="ET52" s="193"/>
      <c r="EU52" s="404"/>
      <c r="EV52" s="404"/>
      <c r="EW52" s="404"/>
      <c r="EX52" s="404"/>
      <c r="EY52" s="404"/>
      <c r="EZ52" s="1781"/>
      <c r="FA52" s="193"/>
      <c r="FB52" s="193"/>
      <c r="FC52" s="193"/>
      <c r="FD52" s="193"/>
      <c r="FE52" s="193"/>
      <c r="FF52" s="193"/>
      <c r="FG52" s="193"/>
      <c r="FH52" s="193"/>
      <c r="FI52" s="413"/>
      <c r="FJ52"/>
      <c r="FK52"/>
      <c r="FL52"/>
      <c r="FM52"/>
      <c r="FN52"/>
      <c r="FO52"/>
      <c r="FP52" s="4"/>
      <c r="FQ52" s="4"/>
      <c r="FR52" s="3"/>
      <c r="FS52" s="193"/>
      <c r="FT52" s="193"/>
      <c r="FU52"/>
      <c r="FV52" s="193"/>
      <c r="FW52" s="193"/>
      <c r="FX52" s="193"/>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row>
    <row r="53" spans="1:260" s="4" customFormat="1" hidden="1" outlineLevel="1" x14ac:dyDescent="0.2">
      <c r="A53" s="20" t="s">
        <v>73</v>
      </c>
      <c r="B53" s="364"/>
      <c r="C53" s="364"/>
      <c r="D53" s="364"/>
      <c r="E53" s="462"/>
      <c r="F53" s="364"/>
      <c r="G53" s="364"/>
      <c r="H53" s="364"/>
      <c r="I53" s="462"/>
      <c r="J53" s="364"/>
      <c r="K53" s="364"/>
      <c r="L53" s="364"/>
      <c r="M53" s="462"/>
      <c r="N53" s="364"/>
      <c r="O53" s="364"/>
      <c r="P53" s="364"/>
      <c r="Q53" s="462"/>
      <c r="R53" s="364"/>
      <c r="S53" s="364"/>
      <c r="T53" s="364"/>
      <c r="U53" s="462"/>
      <c r="V53" s="364"/>
      <c r="W53" s="364"/>
      <c r="X53" s="364"/>
      <c r="Y53" s="462"/>
      <c r="Z53" s="364"/>
      <c r="AA53" s="364"/>
      <c r="AB53" s="364"/>
      <c r="AC53" s="462"/>
      <c r="AD53" s="364"/>
      <c r="AE53" s="364"/>
      <c r="AF53" s="364"/>
      <c r="AG53" s="462"/>
      <c r="AH53" s="364"/>
      <c r="AI53" s="364"/>
      <c r="AJ53" s="364"/>
      <c r="AK53" s="462"/>
      <c r="AL53" s="347">
        <f t="shared" ref="AL53:CF53" si="133">AL33/AL65</f>
        <v>0</v>
      </c>
      <c r="AM53" s="347">
        <f t="shared" si="133"/>
        <v>0</v>
      </c>
      <c r="AN53" s="347">
        <f t="shared" si="133"/>
        <v>0</v>
      </c>
      <c r="AO53" s="462">
        <f t="shared" si="133"/>
        <v>-1.0748047677764077</v>
      </c>
      <c r="AP53" s="347">
        <f t="shared" si="133"/>
        <v>0</v>
      </c>
      <c r="AQ53" s="347">
        <f t="shared" si="133"/>
        <v>0</v>
      </c>
      <c r="AR53" s="347">
        <f t="shared" si="133"/>
        <v>0</v>
      </c>
      <c r="AS53" s="462">
        <f t="shared" si="133"/>
        <v>-0.18871672626142233</v>
      </c>
      <c r="AT53" s="347">
        <f t="shared" si="133"/>
        <v>0</v>
      </c>
      <c r="AU53" s="347">
        <f t="shared" si="133"/>
        <v>0</v>
      </c>
      <c r="AV53" s="347">
        <f t="shared" si="133"/>
        <v>0</v>
      </c>
      <c r="AW53" s="462">
        <f t="shared" si="133"/>
        <v>9.8502758077226152E-2</v>
      </c>
      <c r="AX53" s="347">
        <f t="shared" si="133"/>
        <v>0</v>
      </c>
      <c r="AY53" s="347">
        <f t="shared" si="133"/>
        <v>0</v>
      </c>
      <c r="AZ53" s="347">
        <f t="shared" si="133"/>
        <v>0</v>
      </c>
      <c r="BA53" s="459">
        <f t="shared" si="133"/>
        <v>0</v>
      </c>
      <c r="BB53" s="347">
        <f t="shared" si="133"/>
        <v>0</v>
      </c>
      <c r="BC53" s="347">
        <f t="shared" si="133"/>
        <v>0</v>
      </c>
      <c r="BD53" s="347">
        <f t="shared" si="133"/>
        <v>0</v>
      </c>
      <c r="BE53" s="459">
        <f t="shared" si="133"/>
        <v>0</v>
      </c>
      <c r="BF53" s="347">
        <f t="shared" si="133"/>
        <v>0</v>
      </c>
      <c r="BG53" s="347">
        <f t="shared" si="133"/>
        <v>0</v>
      </c>
      <c r="BH53" s="347">
        <f t="shared" si="133"/>
        <v>0</v>
      </c>
      <c r="BI53" s="459">
        <f t="shared" si="133"/>
        <v>0</v>
      </c>
      <c r="BJ53" s="347">
        <f t="shared" si="133"/>
        <v>0</v>
      </c>
      <c r="BK53" s="347">
        <f t="shared" si="133"/>
        <v>0</v>
      </c>
      <c r="BL53" s="347">
        <f t="shared" si="133"/>
        <v>0</v>
      </c>
      <c r="BM53" s="459">
        <f t="shared" si="133"/>
        <v>0</v>
      </c>
      <c r="BN53" s="347">
        <f t="shared" si="133"/>
        <v>0</v>
      </c>
      <c r="BO53" s="347">
        <f t="shared" si="133"/>
        <v>0</v>
      </c>
      <c r="BP53" s="347">
        <f t="shared" si="133"/>
        <v>0</v>
      </c>
      <c r="BQ53" s="459">
        <f t="shared" si="133"/>
        <v>0</v>
      </c>
      <c r="BR53" s="347">
        <f t="shared" si="133"/>
        <v>0</v>
      </c>
      <c r="BS53" s="347">
        <f t="shared" si="133"/>
        <v>0</v>
      </c>
      <c r="BT53" s="347">
        <f t="shared" si="133"/>
        <v>0</v>
      </c>
      <c r="BU53" s="459">
        <f t="shared" si="133"/>
        <v>0</v>
      </c>
      <c r="BV53" s="347">
        <f t="shared" si="133"/>
        <v>0</v>
      </c>
      <c r="BW53" s="347">
        <f t="shared" si="133"/>
        <v>0</v>
      </c>
      <c r="BX53" s="347">
        <f t="shared" si="133"/>
        <v>0</v>
      </c>
      <c r="BY53" s="462">
        <f t="shared" si="133"/>
        <v>-0.30638297872340425</v>
      </c>
      <c r="BZ53" s="364">
        <f t="shared" si="133"/>
        <v>-5.3401439517065247E-2</v>
      </c>
      <c r="CA53" s="364">
        <f t="shared" si="133"/>
        <v>-5.3675612602100353E-2</v>
      </c>
      <c r="CB53" s="364">
        <f t="shared" si="133"/>
        <v>-2.9182879377431907E-2</v>
      </c>
      <c r="CC53" s="462">
        <f t="shared" si="133"/>
        <v>-0.17782168436651025</v>
      </c>
      <c r="CD53" s="364">
        <f t="shared" si="133"/>
        <v>-0.10731220364362366</v>
      </c>
      <c r="CE53" s="364">
        <f t="shared" si="133"/>
        <v>-5.7053941908713691E-2</v>
      </c>
      <c r="CF53" s="364">
        <f t="shared" si="133"/>
        <v>-4.5649838882921595E-2</v>
      </c>
      <c r="CG53" s="511">
        <v>-0.05</v>
      </c>
      <c r="CH53" s="397">
        <v>-8.0000000000000002E-3</v>
      </c>
      <c r="CI53" s="347">
        <f>CI33/CI65</f>
        <v>0</v>
      </c>
      <c r="CJ53" s="347">
        <f>CJ33/CJ65</f>
        <v>0</v>
      </c>
      <c r="CK53" s="462">
        <f>CK33/CK65</f>
        <v>-2.9577048210588583E-3</v>
      </c>
      <c r="CL53" s="402">
        <v>-0.03</v>
      </c>
      <c r="CM53" s="402">
        <v>-0.05</v>
      </c>
      <c r="CN53" s="347">
        <v>0</v>
      </c>
      <c r="CO53" s="516">
        <v>0.08</v>
      </c>
      <c r="CP53" s="1060">
        <v>-0.53</v>
      </c>
      <c r="CQ53" s="402">
        <f t="shared" ref="CQ53:DE53" si="134">CQ33/CQ65</f>
        <v>9.0011614401858314E-2</v>
      </c>
      <c r="CR53" s="347">
        <f t="shared" si="134"/>
        <v>0</v>
      </c>
      <c r="CS53" s="459">
        <f t="shared" si="134"/>
        <v>0</v>
      </c>
      <c r="CT53" s="768">
        <f t="shared" si="134"/>
        <v>0</v>
      </c>
      <c r="CU53" s="347">
        <f t="shared" si="134"/>
        <v>0</v>
      </c>
      <c r="CV53" s="347">
        <f t="shared" si="134"/>
        <v>0</v>
      </c>
      <c r="CW53" s="459">
        <f t="shared" si="134"/>
        <v>-1.403705783267827E-2</v>
      </c>
      <c r="CX53" s="390">
        <f t="shared" si="134"/>
        <v>0.25887279122351564</v>
      </c>
      <c r="CY53" s="390">
        <f t="shared" si="134"/>
        <v>0</v>
      </c>
      <c r="CZ53" s="390">
        <f t="shared" si="134"/>
        <v>-1.1461318051575931E-2</v>
      </c>
      <c r="DA53" s="511">
        <f t="shared" si="134"/>
        <v>0</v>
      </c>
      <c r="DB53" s="390">
        <f>DB33/DB65</f>
        <v>9.1827364554637279E-3</v>
      </c>
      <c r="DC53" s="390">
        <f t="shared" si="134"/>
        <v>-9.2908021059151455E-3</v>
      </c>
      <c r="DD53" s="390">
        <f t="shared" si="134"/>
        <v>0</v>
      </c>
      <c r="DE53" s="511">
        <f t="shared" si="134"/>
        <v>0</v>
      </c>
      <c r="DF53" s="390">
        <f t="shared" ref="DF53:DM53" si="135">DF33/DF65</f>
        <v>0</v>
      </c>
      <c r="DG53" s="390">
        <f t="shared" si="135"/>
        <v>0</v>
      </c>
      <c r="DH53" s="390">
        <f t="shared" si="135"/>
        <v>0</v>
      </c>
      <c r="DI53" s="511">
        <f t="shared" si="135"/>
        <v>0</v>
      </c>
      <c r="DJ53" s="1780">
        <f t="shared" si="135"/>
        <v>0</v>
      </c>
      <c r="DK53" s="390">
        <f t="shared" si="135"/>
        <v>0</v>
      </c>
      <c r="DL53" s="390">
        <f t="shared" si="135"/>
        <v>0</v>
      </c>
      <c r="DM53" s="511">
        <f t="shared" si="135"/>
        <v>0</v>
      </c>
      <c r="DN53" s="768"/>
      <c r="DO53" s="514"/>
      <c r="DP53" s="249"/>
      <c r="DQ53" s="775"/>
      <c r="DR53" s="775"/>
      <c r="DS53" s="775"/>
      <c r="DT53" s="775"/>
      <c r="DU53" s="775"/>
      <c r="DV53" s="775"/>
      <c r="DW53" s="775"/>
      <c r="DX53" s="364"/>
      <c r="DY53" s="364"/>
      <c r="DZ53" s="364"/>
      <c r="EA53" s="364"/>
      <c r="EB53" s="364"/>
      <c r="EC53" s="364"/>
      <c r="ED53" s="364"/>
      <c r="EE53" s="364"/>
      <c r="EF53" s="364"/>
      <c r="EG53" s="364">
        <f t="shared" ref="EG53:ES53" si="136">EG33/EG65</f>
        <v>-1.0733984966263885</v>
      </c>
      <c r="EH53" s="364">
        <f t="shared" si="136"/>
        <v>-0.1896964856230032</v>
      </c>
      <c r="EI53" s="364">
        <f t="shared" si="136"/>
        <v>9.8992748781151788E-2</v>
      </c>
      <c r="EJ53" s="347">
        <f t="shared" si="136"/>
        <v>0</v>
      </c>
      <c r="EK53" s="347">
        <f t="shared" si="136"/>
        <v>0</v>
      </c>
      <c r="EL53" s="347">
        <f t="shared" si="136"/>
        <v>0</v>
      </c>
      <c r="EM53" s="347">
        <f t="shared" si="136"/>
        <v>0</v>
      </c>
      <c r="EN53" s="347">
        <f t="shared" si="136"/>
        <v>0</v>
      </c>
      <c r="EO53" s="347">
        <f t="shared" si="136"/>
        <v>0</v>
      </c>
      <c r="EP53" s="364">
        <f t="shared" si="136"/>
        <v>-0.28801920128008535</v>
      </c>
      <c r="EQ53" s="364">
        <f t="shared" si="136"/>
        <v>-0.31041069723018144</v>
      </c>
      <c r="ER53" s="1079">
        <f t="shared" si="136"/>
        <v>-0.43712898003237988</v>
      </c>
      <c r="ES53" s="364">
        <f t="shared" si="136"/>
        <v>-2.0638313554949505E-2</v>
      </c>
      <c r="ET53" s="390">
        <f>SUM(CL53:CO53)</f>
        <v>0</v>
      </c>
      <c r="EU53" s="364">
        <f>SUM(CP53:CS53)</f>
        <v>-0.43998838559814168</v>
      </c>
      <c r="EV53" s="364">
        <f>SUM(CT53:CW53)</f>
        <v>-1.403705783267827E-2</v>
      </c>
      <c r="EW53" s="364">
        <v>0</v>
      </c>
      <c r="EX53" s="390">
        <v>0</v>
      </c>
      <c r="EY53" s="390">
        <v>0</v>
      </c>
      <c r="EZ53" s="1780">
        <v>0</v>
      </c>
      <c r="FA53" s="145">
        <v>0</v>
      </c>
      <c r="FB53" s="145">
        <v>0</v>
      </c>
      <c r="FC53" s="145">
        <v>0</v>
      </c>
      <c r="FD53" s="145"/>
      <c r="FE53" s="145"/>
      <c r="FF53" s="145"/>
      <c r="FG53" s="145"/>
      <c r="FH53" s="145"/>
      <c r="FI53" s="413"/>
      <c r="FJ53"/>
      <c r="FK53"/>
      <c r="FL53"/>
      <c r="FM53"/>
      <c r="FN53"/>
      <c r="FO53"/>
      <c r="FR53" s="3"/>
      <c r="FS53" s="72"/>
      <c r="FT53"/>
      <c r="FU53"/>
      <c r="FV53" s="2624"/>
      <c r="FW53" s="2624"/>
      <c r="FX53" s="2624"/>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row>
    <row r="54" spans="1:260" s="88" customFormat="1" hidden="1" outlineLevel="1" x14ac:dyDescent="0.2">
      <c r="A54" s="362" t="s">
        <v>503</v>
      </c>
      <c r="B54" s="1465">
        <f t="shared" ref="B54:AG54" si="137">B49+SUM(B51:B52)</f>
        <v>8.9641434262947989E-3</v>
      </c>
      <c r="C54" s="1465">
        <f t="shared" si="137"/>
        <v>2.377963956614064E-2</v>
      </c>
      <c r="D54" s="1465">
        <f t="shared" si="137"/>
        <v>3.2627743245611185E-2</v>
      </c>
      <c r="E54" s="1466">
        <f t="shared" si="137"/>
        <v>5.8919588267162051E-2</v>
      </c>
      <c r="F54" s="1465">
        <f t="shared" si="137"/>
        <v>1.4463940325650576E-2</v>
      </c>
      <c r="G54" s="1465">
        <f t="shared" si="137"/>
        <v>2.3401016272706611E-2</v>
      </c>
      <c r="H54" s="1465">
        <f t="shared" si="137"/>
        <v>4.8937005265277375E-2</v>
      </c>
      <c r="I54" s="1466">
        <f t="shared" si="137"/>
        <v>6.8163548163548138E-2</v>
      </c>
      <c r="J54" s="1465">
        <f t="shared" si="137"/>
        <v>1.5467993152630796E-2</v>
      </c>
      <c r="K54" s="1465">
        <f t="shared" si="137"/>
        <v>1.8374608705397734E-2</v>
      </c>
      <c r="L54" s="1465">
        <f t="shared" si="137"/>
        <v>4.9274363392686316E-2</v>
      </c>
      <c r="M54" s="1466">
        <f t="shared" si="137"/>
        <v>5.4198736358414629E-2</v>
      </c>
      <c r="N54" s="1465">
        <f t="shared" si="137"/>
        <v>4.6139013864655203E-3</v>
      </c>
      <c r="O54" s="1465">
        <f t="shared" si="137"/>
        <v>1.3410224027835264E-2</v>
      </c>
      <c r="P54" s="1465">
        <f t="shared" si="137"/>
        <v>-2.4093106772164509E-2</v>
      </c>
      <c r="Q54" s="1466">
        <f t="shared" si="137"/>
        <v>2.5396532927970943E-2</v>
      </c>
      <c r="R54" s="1465">
        <f t="shared" si="137"/>
        <v>-3.1604643510333695E-3</v>
      </c>
      <c r="S54" s="1465">
        <f t="shared" si="137"/>
        <v>2.0409696860393154E-2</v>
      </c>
      <c r="T54" s="1465">
        <f t="shared" si="137"/>
        <v>6.1350151956967997E-2</v>
      </c>
      <c r="U54" s="1466">
        <f t="shared" si="137"/>
        <v>0.14161287948641327</v>
      </c>
      <c r="V54" s="1465">
        <f t="shared" si="137"/>
        <v>3.0871582160243469E-2</v>
      </c>
      <c r="W54" s="1465">
        <f t="shared" si="137"/>
        <v>9.0995848996249393E-2</v>
      </c>
      <c r="X54" s="1465">
        <f t="shared" si="137"/>
        <v>0.11646760974051217</v>
      </c>
      <c r="Y54" s="1466">
        <f t="shared" si="137"/>
        <v>0.23106590725872042</v>
      </c>
      <c r="Z54" s="1465">
        <f t="shared" si="137"/>
        <v>0.10046100282832442</v>
      </c>
      <c r="AA54" s="1465">
        <f t="shared" si="137"/>
        <v>0.12376510456517188</v>
      </c>
      <c r="AB54" s="1465">
        <f t="shared" si="137"/>
        <v>0.16575659162502765</v>
      </c>
      <c r="AC54" s="1466">
        <f t="shared" si="137"/>
        <v>0.3490202851337596</v>
      </c>
      <c r="AD54" s="1465">
        <f t="shared" si="137"/>
        <v>0.15455885914138257</v>
      </c>
      <c r="AE54" s="1465">
        <f t="shared" si="137"/>
        <v>0.16286194781624105</v>
      </c>
      <c r="AF54" s="1465">
        <f t="shared" si="137"/>
        <v>0.12261047237362507</v>
      </c>
      <c r="AG54" s="1466">
        <f t="shared" si="137"/>
        <v>0.40031372549019623</v>
      </c>
      <c r="AH54" s="1465">
        <f t="shared" ref="AH54:BM54" si="138">AH49+SUM(AH51:AH52)</f>
        <v>0.1174632927210247</v>
      </c>
      <c r="AI54" s="1465">
        <f t="shared" si="138"/>
        <v>0.17864518793886824</v>
      </c>
      <c r="AJ54" s="1465">
        <f t="shared" si="138"/>
        <v>0.1686323194703083</v>
      </c>
      <c r="AK54" s="1466">
        <f t="shared" si="138"/>
        <v>0.72070963441521818</v>
      </c>
      <c r="AL54" s="1465">
        <f t="shared" si="138"/>
        <v>0.16426601287159057</v>
      </c>
      <c r="AM54" s="1465">
        <f t="shared" si="138"/>
        <v>0.16538263995891114</v>
      </c>
      <c r="AN54" s="1465">
        <f t="shared" si="138"/>
        <v>0.17998560115190784</v>
      </c>
      <c r="AO54" s="1466">
        <f t="shared" si="138"/>
        <v>0.76969584874640351</v>
      </c>
      <c r="AP54" s="1465">
        <f t="shared" si="138"/>
        <v>0.14432144321443213</v>
      </c>
      <c r="AQ54" s="1465">
        <f t="shared" si="138"/>
        <v>0.27665853162497456</v>
      </c>
      <c r="AR54" s="1465">
        <f t="shared" si="138"/>
        <v>0.2491174987392839</v>
      </c>
      <c r="AS54" s="1466">
        <f t="shared" si="138"/>
        <v>0.93444576877234808</v>
      </c>
      <c r="AT54" s="1465">
        <f t="shared" si="138"/>
        <v>0.22896633899314864</v>
      </c>
      <c r="AU54" s="1465">
        <f t="shared" si="138"/>
        <v>0.30223813786929282</v>
      </c>
      <c r="AV54" s="1465">
        <f t="shared" si="138"/>
        <v>0.29513374790247754</v>
      </c>
      <c r="AW54" s="1466">
        <f t="shared" si="138"/>
        <v>1.0311268715524036</v>
      </c>
      <c r="AX54" s="1465">
        <f t="shared" si="138"/>
        <v>0.34420443301009301</v>
      </c>
      <c r="AY54" s="1465">
        <f t="shared" si="138"/>
        <v>0.37222549597328619</v>
      </c>
      <c r="AZ54" s="1465">
        <f t="shared" si="138"/>
        <v>0.27503943217665616</v>
      </c>
      <c r="BA54" s="1466">
        <f t="shared" si="138"/>
        <v>1.2833565321137403</v>
      </c>
      <c r="BB54" s="1465">
        <f t="shared" si="138"/>
        <v>0.47004792332268369</v>
      </c>
      <c r="BC54" s="1465">
        <f t="shared" si="138"/>
        <v>0.46626384692849948</v>
      </c>
      <c r="BD54" s="1465">
        <f t="shared" si="138"/>
        <v>0.30556676079064138</v>
      </c>
      <c r="BE54" s="1466">
        <f t="shared" si="138"/>
        <v>1.5454913061059441</v>
      </c>
      <c r="BF54" s="1465">
        <f t="shared" si="138"/>
        <v>0.39348931841302137</v>
      </c>
      <c r="BG54" s="1465">
        <f t="shared" si="138"/>
        <v>0.55129329241560721</v>
      </c>
      <c r="BH54" s="1465">
        <f t="shared" si="138"/>
        <v>0.53272980501392753</v>
      </c>
      <c r="BI54" s="1466">
        <f t="shared" si="138"/>
        <v>1.7116365322206768</v>
      </c>
      <c r="BJ54" s="1465">
        <f t="shared" si="138"/>
        <v>0.42607463391591877</v>
      </c>
      <c r="BK54" s="1465">
        <f t="shared" si="138"/>
        <v>0.48074651547365932</v>
      </c>
      <c r="BL54" s="1465">
        <f t="shared" si="138"/>
        <v>-0.13606247042120206</v>
      </c>
      <c r="BM54" s="1466">
        <f t="shared" si="138"/>
        <v>1.00992438563327</v>
      </c>
      <c r="BN54" s="1465">
        <f t="shared" ref="BN54:CF54" si="139">BN49+SUM(BN51:BN52)</f>
        <v>0.24054498473103125</v>
      </c>
      <c r="BO54" s="1465">
        <f t="shared" si="139"/>
        <v>0.37353629976580799</v>
      </c>
      <c r="BP54" s="1465">
        <f t="shared" si="139"/>
        <v>0.53313112459169387</v>
      </c>
      <c r="BQ54" s="1466">
        <f t="shared" si="139"/>
        <v>1.8165735567970203</v>
      </c>
      <c r="BR54" s="1465">
        <f t="shared" si="139"/>
        <v>0.36228862636089881</v>
      </c>
      <c r="BS54" s="1465">
        <f t="shared" si="139"/>
        <v>0.60316336166194517</v>
      </c>
      <c r="BT54" s="1465">
        <f t="shared" si="139"/>
        <v>0.53555664541441872</v>
      </c>
      <c r="BU54" s="1466">
        <f t="shared" si="139"/>
        <v>1.0669310857709471</v>
      </c>
      <c r="BV54" s="1465">
        <f t="shared" si="139"/>
        <v>0.3408862034239678</v>
      </c>
      <c r="BW54" s="1465">
        <f t="shared" si="139"/>
        <v>0.46250655479811231</v>
      </c>
      <c r="BX54" s="1465">
        <f t="shared" si="139"/>
        <v>0.37255965292841647</v>
      </c>
      <c r="BY54" s="1466">
        <f t="shared" si="139"/>
        <v>-11.492198581560285</v>
      </c>
      <c r="BZ54" s="1465">
        <f t="shared" si="139"/>
        <v>0.52565590898537262</v>
      </c>
      <c r="CA54" s="1465">
        <f t="shared" si="139"/>
        <v>0.51201866977829646</v>
      </c>
      <c r="CB54" s="1465">
        <f t="shared" si="139"/>
        <v>0.58949416342412453</v>
      </c>
      <c r="CC54" s="1466">
        <f t="shared" si="139"/>
        <v>1.4571499135589039</v>
      </c>
      <c r="CD54" s="1465">
        <f t="shared" si="139"/>
        <v>0.62989767906164207</v>
      </c>
      <c r="CE54" s="1465">
        <f t="shared" si="139"/>
        <v>0.39263485477178417</v>
      </c>
      <c r="CF54" s="1465">
        <f t="shared" si="139"/>
        <v>0.46831364124597208</v>
      </c>
      <c r="CG54" s="1467"/>
      <c r="CH54" s="1468">
        <f t="shared" ref="CH54:CV54" si="140">CH51+CH53</f>
        <v>0.46574562427071176</v>
      </c>
      <c r="CI54" s="1468">
        <f t="shared" si="140"/>
        <v>3.9574719432959232E-2</v>
      </c>
      <c r="CJ54" s="1468">
        <f t="shared" si="140"/>
        <v>-3.5587188612099654E-2</v>
      </c>
      <c r="CK54" s="1467">
        <f t="shared" si="140"/>
        <v>-1.2097012718130729</v>
      </c>
      <c r="CL54" s="1468">
        <f t="shared" si="140"/>
        <v>0.46299883313885648</v>
      </c>
      <c r="CM54" s="1468">
        <f t="shared" si="140"/>
        <v>4.1553455404607184E-2</v>
      </c>
      <c r="CN54" s="1468">
        <f t="shared" si="140"/>
        <v>-2.6619343389529718E-2</v>
      </c>
      <c r="CO54" s="1467">
        <f t="shared" si="140"/>
        <v>-1.2050812407680946</v>
      </c>
      <c r="CP54" s="1469">
        <f t="shared" si="140"/>
        <v>-0.19343108504398832</v>
      </c>
      <c r="CQ54" s="1468">
        <f t="shared" si="140"/>
        <v>0.76198606271777014</v>
      </c>
      <c r="CR54" s="1468">
        <f t="shared" si="140"/>
        <v>0.1348982516480367</v>
      </c>
      <c r="CS54" s="1467">
        <f t="shared" si="140"/>
        <v>0.87067498581962544</v>
      </c>
      <c r="CT54" s="1469">
        <f t="shared" si="140"/>
        <v>1.3356164383561646</v>
      </c>
      <c r="CU54" s="1468">
        <f t="shared" si="140"/>
        <v>0.42021578648495173</v>
      </c>
      <c r="CV54" s="1468">
        <f t="shared" si="140"/>
        <v>0.34180790960451979</v>
      </c>
      <c r="CW54" s="1467">
        <f t="shared" ref="CW54:DE54" si="141">CW51+CW53</f>
        <v>1.4430095451993263</v>
      </c>
      <c r="CX54" s="1468">
        <f t="shared" si="141"/>
        <v>0.34328783183987943</v>
      </c>
      <c r="CY54" s="1468">
        <f t="shared" si="141"/>
        <v>0.43797682961288498</v>
      </c>
      <c r="CZ54" s="1468">
        <f t="shared" si="141"/>
        <v>0.34097421203438394</v>
      </c>
      <c r="DA54" s="1467">
        <f>DA51+DA53</f>
        <v>1.3467718375693836</v>
      </c>
      <c r="DB54" s="1468">
        <f>DB51+DB53</f>
        <v>0.69176614631160094</v>
      </c>
      <c r="DC54" s="1468">
        <f t="shared" si="141"/>
        <v>0.5574481263549087</v>
      </c>
      <c r="DD54" s="1468">
        <f t="shared" si="141"/>
        <v>0.58437499999999998</v>
      </c>
      <c r="DE54" s="1467">
        <f t="shared" si="141"/>
        <v>1.8881558278353754</v>
      </c>
      <c r="DF54" s="1468">
        <f t="shared" ref="DF54:DM54" si="142">DF51+DF53</f>
        <v>0.59682539682539681</v>
      </c>
      <c r="DG54" s="1468">
        <f t="shared" si="142"/>
        <v>0.67245817245817241</v>
      </c>
      <c r="DH54" s="1468">
        <f t="shared" si="142"/>
        <v>0.78258022265880822</v>
      </c>
      <c r="DI54" s="1467">
        <f t="shared" si="142"/>
        <v>1.2268284462419952</v>
      </c>
      <c r="DJ54" s="1782">
        <f t="shared" si="142"/>
        <v>0.74259321666507583</v>
      </c>
      <c r="DK54" s="1468">
        <f t="shared" si="142"/>
        <v>0.81923137289841486</v>
      </c>
      <c r="DL54" s="1468">
        <f t="shared" si="142"/>
        <v>0.93312369771297043</v>
      </c>
      <c r="DM54" s="1467">
        <f t="shared" si="142"/>
        <v>2.531813340903962</v>
      </c>
      <c r="DN54" s="1469"/>
      <c r="DO54" s="495"/>
      <c r="DP54" s="193"/>
      <c r="DQ54" s="193"/>
      <c r="DR54" s="193"/>
      <c r="DS54" s="193"/>
      <c r="DT54" s="193"/>
      <c r="DU54" s="193"/>
      <c r="DV54" s="193"/>
      <c r="DW54" s="193"/>
      <c r="DX54" s="1465">
        <f t="shared" ref="DX54:ER54" si="143">DX49+SUM(DX51:DX52)</f>
        <v>0.12444699429452354</v>
      </c>
      <c r="DY54" s="1465">
        <f t="shared" si="143"/>
        <v>0.1555356090584985</v>
      </c>
      <c r="DZ54" s="1465">
        <f t="shared" si="143"/>
        <v>0.13753149978263399</v>
      </c>
      <c r="EA54" s="1465">
        <f t="shared" si="143"/>
        <v>1.9582845625454464E-2</v>
      </c>
      <c r="EB54" s="1465">
        <f t="shared" si="143"/>
        <v>0.21964952632571949</v>
      </c>
      <c r="EC54" s="1465">
        <f t="shared" si="143"/>
        <v>0.4694863769056517</v>
      </c>
      <c r="ED54" s="1465">
        <f t="shared" si="143"/>
        <v>0.73923421681978929</v>
      </c>
      <c r="EE54" s="1465">
        <f t="shared" si="143"/>
        <v>0.84037101656469415</v>
      </c>
      <c r="EF54" s="1465">
        <f t="shared" si="143"/>
        <v>1.1903525429859578</v>
      </c>
      <c r="EG54" s="1465">
        <f t="shared" si="143"/>
        <v>1.2886939121065188</v>
      </c>
      <c r="EH54" s="1465">
        <f t="shared" si="143"/>
        <v>1.608126996805112</v>
      </c>
      <c r="EI54" s="1465">
        <f t="shared" si="143"/>
        <v>1.8614913257603882</v>
      </c>
      <c r="EJ54" s="1465">
        <f t="shared" si="143"/>
        <v>2.2700079239302693</v>
      </c>
      <c r="EK54" s="1465">
        <f t="shared" si="143"/>
        <v>2.7875875451116734</v>
      </c>
      <c r="EL54" s="1465">
        <f t="shared" si="143"/>
        <v>3.1196732170457055</v>
      </c>
      <c r="EM54" s="1465">
        <f t="shared" si="143"/>
        <v>1.7826909434854574</v>
      </c>
      <c r="EN54" s="1465">
        <f t="shared" si="143"/>
        <v>2.9728654970760231</v>
      </c>
      <c r="EO54" s="1465">
        <f t="shared" si="143"/>
        <v>2.5469387755102044</v>
      </c>
      <c r="EP54" s="1465">
        <f t="shared" si="143"/>
        <v>-9.6056496543108043</v>
      </c>
      <c r="EQ54" s="1465">
        <f t="shared" si="143"/>
        <v>3.0519472357237323</v>
      </c>
      <c r="ER54" s="1470">
        <f t="shared" si="143"/>
        <v>-9.3496125025843941</v>
      </c>
      <c r="ES54" s="1468">
        <f>ES51+ES53</f>
        <v>-0.74063308685156404</v>
      </c>
      <c r="ET54" s="1468">
        <f>ET51+ET53</f>
        <v>-0.71870397643593531</v>
      </c>
      <c r="EU54" s="1468">
        <f>EU51+EU53</f>
        <v>1.5876486378798302</v>
      </c>
      <c r="EV54" s="1468">
        <f>EV51+EV53</f>
        <v>3.5470539484513086</v>
      </c>
      <c r="EW54" s="1468">
        <f t="shared" ref="EW54:FC54" si="144">EW49+EW51+EW52</f>
        <v>1.7200095201339192</v>
      </c>
      <c r="EX54" s="1468">
        <f>EX49+EX51+EX52</f>
        <v>3.5089894606323617</v>
      </c>
      <c r="EY54" s="1468">
        <f>EY49+EY51+EY52</f>
        <v>4.4187561055030935</v>
      </c>
      <c r="EZ54" s="1782">
        <f>EZ49+EZ51+EZ52</f>
        <v>5.0022034563320164</v>
      </c>
      <c r="FA54" s="1471">
        <f t="shared" si="144"/>
        <v>5.3006124535000874</v>
      </c>
      <c r="FB54" s="1471">
        <f t="shared" si="144"/>
        <v>5.6041833757192148</v>
      </c>
      <c r="FC54" s="1471">
        <f t="shared" si="144"/>
        <v>5.6698541657267878</v>
      </c>
      <c r="FD54" s="1471"/>
      <c r="FE54" s="1471"/>
      <c r="FF54" s="1471"/>
      <c r="FG54" s="1471"/>
      <c r="FH54" s="1471"/>
      <c r="FI54" s="416"/>
      <c r="FJ54"/>
      <c r="FK54"/>
      <c r="FL54"/>
      <c r="FM54"/>
      <c r="FN54"/>
      <c r="FO54"/>
      <c r="FP54" s="19"/>
      <c r="FQ54" s="19"/>
      <c r="FR54" s="401"/>
      <c r="FS54" s="193"/>
      <c r="FT54" s="193"/>
      <c r="FU54"/>
      <c r="FV54" s="193"/>
      <c r="FW54" s="193"/>
      <c r="FX54" s="193"/>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row>
    <row r="55" spans="1:260" s="88" customFormat="1" collapsed="1" x14ac:dyDescent="0.2">
      <c r="A55" s="192"/>
      <c r="B55" s="777"/>
      <c r="C55" s="777"/>
      <c r="D55" s="777"/>
      <c r="E55" s="778"/>
      <c r="F55" s="777"/>
      <c r="G55" s="777"/>
      <c r="H55" s="777"/>
      <c r="I55" s="778"/>
      <c r="J55" s="777"/>
      <c r="K55" s="777"/>
      <c r="L55" s="777"/>
      <c r="M55" s="778"/>
      <c r="N55" s="777"/>
      <c r="O55" s="777"/>
      <c r="P55" s="777"/>
      <c r="Q55" s="778"/>
      <c r="R55" s="777"/>
      <c r="S55" s="777"/>
      <c r="T55" s="777"/>
      <c r="U55" s="778"/>
      <c r="V55" s="777"/>
      <c r="W55" s="777"/>
      <c r="X55" s="777"/>
      <c r="Y55" s="778"/>
      <c r="Z55" s="777"/>
      <c r="AA55" s="777"/>
      <c r="AB55" s="777"/>
      <c r="AC55" s="778"/>
      <c r="AD55" s="777"/>
      <c r="AE55" s="777"/>
      <c r="AF55" s="777"/>
      <c r="AG55" s="778"/>
      <c r="AH55" s="777"/>
      <c r="AI55" s="777"/>
      <c r="AJ55" s="777"/>
      <c r="AK55" s="778"/>
      <c r="AL55" s="777"/>
      <c r="AM55" s="777"/>
      <c r="AN55" s="777"/>
      <c r="AO55" s="778"/>
      <c r="AP55" s="777"/>
      <c r="AQ55" s="777"/>
      <c r="AR55" s="777"/>
      <c r="AS55" s="778"/>
      <c r="AT55" s="777"/>
      <c r="AU55" s="777"/>
      <c r="AV55" s="777"/>
      <c r="AW55" s="778"/>
      <c r="AX55" s="777"/>
      <c r="AY55" s="777"/>
      <c r="AZ55" s="777"/>
      <c r="BA55" s="778"/>
      <c r="BB55" s="777"/>
      <c r="BC55" s="777"/>
      <c r="BD55" s="777"/>
      <c r="BE55" s="778"/>
      <c r="BF55" s="779"/>
      <c r="BG55" s="779"/>
      <c r="BH55" s="779"/>
      <c r="BI55" s="780"/>
      <c r="BJ55" s="779"/>
      <c r="BK55" s="779"/>
      <c r="BL55" s="779"/>
      <c r="BM55" s="780"/>
      <c r="BN55" s="779"/>
      <c r="BO55" s="779"/>
      <c r="BP55" s="779"/>
      <c r="BQ55" s="780"/>
      <c r="BR55" s="779"/>
      <c r="BS55" s="779"/>
      <c r="BT55" s="779"/>
      <c r="BU55" s="780"/>
      <c r="BV55" s="779"/>
      <c r="BW55" s="781"/>
      <c r="BX55" s="779"/>
      <c r="BY55" s="780"/>
      <c r="BZ55" s="779"/>
      <c r="CA55" s="781"/>
      <c r="CB55" s="779"/>
      <c r="CC55" s="780"/>
      <c r="CD55" s="779"/>
      <c r="CE55" s="781"/>
      <c r="CF55" s="779"/>
      <c r="CG55" s="780"/>
      <c r="CH55" s="779"/>
      <c r="CI55" s="781"/>
      <c r="CJ55" s="779"/>
      <c r="CK55" s="780"/>
      <c r="CL55" s="779"/>
      <c r="CM55" s="781"/>
      <c r="CN55" s="779"/>
      <c r="CO55" s="780"/>
      <c r="CP55" s="1061"/>
      <c r="CQ55" s="779"/>
      <c r="CR55" s="779"/>
      <c r="CS55" s="780"/>
      <c r="CT55" s="1061"/>
      <c r="CU55" s="779"/>
      <c r="CV55" s="779"/>
      <c r="CW55" s="780"/>
      <c r="CX55" s="779"/>
      <c r="CY55" s="779"/>
      <c r="CZ55" s="779"/>
      <c r="DA55" s="780"/>
      <c r="DB55" s="779"/>
      <c r="DC55" s="779"/>
      <c r="DD55" s="779"/>
      <c r="DE55" s="780"/>
      <c r="DF55" s="779"/>
      <c r="DG55" s="779"/>
      <c r="DH55" s="779"/>
      <c r="DI55" s="780"/>
      <c r="DJ55" s="2689"/>
      <c r="DK55" s="193"/>
      <c r="DL55" s="193"/>
      <c r="DM55" s="780"/>
      <c r="DN55" s="961"/>
      <c r="DO55" s="495"/>
      <c r="DP55" s="191"/>
      <c r="DQ55" s="191"/>
      <c r="DR55" s="191"/>
      <c r="DS55" s="191"/>
      <c r="DT55" s="191"/>
      <c r="DU55" s="191"/>
      <c r="DV55" s="191"/>
      <c r="DW55" s="191"/>
      <c r="DX55" s="191"/>
      <c r="DY55" s="191"/>
      <c r="DZ55" s="191"/>
      <c r="EA55" s="191"/>
      <c r="EB55" s="191"/>
      <c r="EC55" s="191"/>
      <c r="ED55" s="191"/>
      <c r="EE55" s="191"/>
      <c r="EF55" s="191"/>
      <c r="EG55" s="191"/>
      <c r="EH55" s="191"/>
      <c r="EI55" s="191"/>
      <c r="EJ55" s="191"/>
      <c r="EK55" s="191"/>
      <c r="EL55" s="193"/>
      <c r="EM55" s="193"/>
      <c r="EN55" s="193"/>
      <c r="EO55" s="193"/>
      <c r="EP55" s="193"/>
      <c r="EQ55" s="193"/>
      <c r="ER55" s="961"/>
      <c r="ES55" s="193"/>
      <c r="ET55" s="193"/>
      <c r="EU55" s="193"/>
      <c r="EV55" s="193"/>
      <c r="EW55" s="193"/>
      <c r="EX55" s="193"/>
      <c r="EY55" s="193"/>
      <c r="EZ55" s="1713"/>
      <c r="FA55" s="2471"/>
      <c r="FB55" s="193"/>
      <c r="FC55" s="193"/>
      <c r="FD55" s="193"/>
      <c r="FE55" s="193"/>
      <c r="FF55" s="193"/>
      <c r="FG55" s="193"/>
      <c r="FH55" s="193"/>
      <c r="FI55" s="413"/>
      <c r="FJ55"/>
      <c r="FK55"/>
      <c r="FL55"/>
      <c r="FM55"/>
      <c r="FN55"/>
      <c r="FO55"/>
      <c r="FP55" s="4"/>
      <c r="FQ55" s="4"/>
      <c r="FR55" s="4"/>
      <c r="FS55" s="193"/>
      <c r="FT55" s="193"/>
      <c r="FU55"/>
      <c r="FV55" s="2471"/>
      <c r="FW55" s="2471"/>
      <c r="FX55" s="193"/>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row>
    <row r="56" spans="1:260" s="6" customFormat="1" ht="11.25" customHeight="1" x14ac:dyDescent="0.2">
      <c r="A56" s="435" t="s">
        <v>445</v>
      </c>
      <c r="B56" s="435"/>
      <c r="C56" s="435"/>
      <c r="D56" s="435"/>
      <c r="E56" s="464"/>
      <c r="F56" s="435"/>
      <c r="G56" s="435"/>
      <c r="H56" s="435"/>
      <c r="I56" s="464"/>
      <c r="J56" s="435"/>
      <c r="K56" s="435"/>
      <c r="L56" s="435"/>
      <c r="M56" s="464"/>
      <c r="N56" s="435"/>
      <c r="O56" s="435"/>
      <c r="P56" s="435"/>
      <c r="Q56" s="464"/>
      <c r="R56" s="435"/>
      <c r="S56" s="435"/>
      <c r="T56" s="435"/>
      <c r="U56" s="464"/>
      <c r="V56" s="435"/>
      <c r="W56" s="435"/>
      <c r="X56" s="435"/>
      <c r="Y56" s="464"/>
      <c r="Z56" s="435"/>
      <c r="AA56" s="435"/>
      <c r="AB56" s="435"/>
      <c r="AC56" s="464"/>
      <c r="AD56" s="435"/>
      <c r="AE56" s="435"/>
      <c r="AF56" s="435"/>
      <c r="AG56" s="464"/>
      <c r="AH56" s="435"/>
      <c r="AI56" s="435"/>
      <c r="AJ56" s="435"/>
      <c r="AK56" s="464"/>
      <c r="AL56" s="435"/>
      <c r="AM56" s="435"/>
      <c r="AN56" s="435"/>
      <c r="AO56" s="464"/>
      <c r="AP56" s="435"/>
      <c r="AQ56" s="435"/>
      <c r="AR56" s="435"/>
      <c r="AS56" s="464"/>
      <c r="AT56" s="435"/>
      <c r="AU56" s="435"/>
      <c r="AV56" s="435"/>
      <c r="AW56" s="464"/>
      <c r="AX56" s="435"/>
      <c r="AY56" s="435"/>
      <c r="AZ56" s="435"/>
      <c r="BA56" s="464"/>
      <c r="BB56" s="435"/>
      <c r="BC56" s="435"/>
      <c r="BD56" s="435"/>
      <c r="BE56" s="464"/>
      <c r="BF56" s="435"/>
      <c r="BG56" s="435"/>
      <c r="BH56" s="435"/>
      <c r="BI56" s="464"/>
      <c r="BJ56" s="435"/>
      <c r="BK56" s="435"/>
      <c r="BL56" s="435"/>
      <c r="BM56" s="464"/>
      <c r="BN56" s="435"/>
      <c r="BO56" s="435"/>
      <c r="BP56" s="435"/>
      <c r="BQ56" s="464"/>
      <c r="BR56" s="435"/>
      <c r="BS56" s="445"/>
      <c r="BT56" s="597"/>
      <c r="BU56" s="609"/>
      <c r="BV56" s="597"/>
      <c r="BW56" s="597"/>
      <c r="BX56" s="597"/>
      <c r="BY56" s="609"/>
      <c r="BZ56" s="597"/>
      <c r="CA56" s="597"/>
      <c r="CB56" s="597"/>
      <c r="CC56" s="609"/>
      <c r="CD56" s="597"/>
      <c r="CE56" s="597"/>
      <c r="CF56" s="597"/>
      <c r="CG56" s="609"/>
      <c r="CH56" s="597"/>
      <c r="CI56" s="597"/>
      <c r="CJ56" s="597"/>
      <c r="CK56" s="609"/>
      <c r="CL56" s="597"/>
      <c r="CM56" s="597"/>
      <c r="CN56" s="597"/>
      <c r="CO56" s="609"/>
      <c r="CP56" s="1066"/>
      <c r="CQ56" s="597"/>
      <c r="CR56" s="597"/>
      <c r="CS56" s="609"/>
      <c r="CT56" s="1066"/>
      <c r="CU56" s="597"/>
      <c r="CV56" s="597"/>
      <c r="CW56" s="609"/>
      <c r="CX56" s="597"/>
      <c r="CY56" s="597"/>
      <c r="CZ56" s="597"/>
      <c r="DA56" s="609"/>
      <c r="DB56" s="597"/>
      <c r="DC56" s="597"/>
      <c r="DD56" s="597"/>
      <c r="DE56" s="609"/>
      <c r="DF56" s="597"/>
      <c r="DG56" s="597"/>
      <c r="DH56" s="597"/>
      <c r="DI56" s="609"/>
      <c r="DJ56" s="1793"/>
      <c r="DK56" s="597"/>
      <c r="DL56" s="597"/>
      <c r="DM56" s="609"/>
      <c r="DN56" s="671"/>
      <c r="DO56" s="484"/>
      <c r="DP56" s="446"/>
      <c r="DQ56" s="446"/>
      <c r="DR56" s="446"/>
      <c r="DS56" s="446"/>
      <c r="DT56" s="446"/>
      <c r="DU56" s="446"/>
      <c r="DV56" s="446"/>
      <c r="DW56" s="446"/>
      <c r="DX56" s="435"/>
      <c r="DY56" s="435"/>
      <c r="DZ56" s="435"/>
      <c r="EA56" s="435"/>
      <c r="EB56" s="435"/>
      <c r="EC56" s="435"/>
      <c r="ED56" s="435"/>
      <c r="EE56" s="435"/>
      <c r="EF56" s="435"/>
      <c r="EG56" s="435"/>
      <c r="EH56" s="435"/>
      <c r="EI56" s="435"/>
      <c r="EJ56" s="435"/>
      <c r="EK56" s="435"/>
      <c r="EL56" s="435"/>
      <c r="EM56" s="435"/>
      <c r="EN56" s="435"/>
      <c r="EO56" s="597"/>
      <c r="EP56" s="597"/>
      <c r="EQ56" s="597"/>
      <c r="ER56" s="1066"/>
      <c r="ES56" s="597"/>
      <c r="ET56" s="597"/>
      <c r="EU56" s="597"/>
      <c r="EV56" s="597"/>
      <c r="EW56" s="597"/>
      <c r="EX56" s="1932"/>
      <c r="EY56" s="1932"/>
      <c r="EZ56" s="1784"/>
      <c r="FA56" s="446"/>
      <c r="FB56" s="446"/>
      <c r="FC56" s="446"/>
      <c r="FD56" s="446"/>
      <c r="FE56" s="446"/>
      <c r="FF56" s="446"/>
      <c r="FG56" s="446"/>
      <c r="FH56" s="446"/>
      <c r="FI56" s="671"/>
      <c r="FJ56"/>
      <c r="FK56"/>
      <c r="FL56"/>
      <c r="FM56"/>
      <c r="FN56"/>
      <c r="FO56"/>
      <c r="FQ56" s="4"/>
      <c r="FR56" s="4"/>
      <c r="FS56" s="336"/>
      <c r="FT56" s="336"/>
      <c r="FU56"/>
      <c r="FV56" s="336"/>
      <c r="FW56" s="336"/>
      <c r="FX56" s="33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row>
    <row r="57" spans="1:260" s="6" customFormat="1" ht="11.25" hidden="1" customHeight="1" outlineLevel="1" x14ac:dyDescent="0.2">
      <c r="A57" s="337" t="s">
        <v>447</v>
      </c>
      <c r="B57" s="335"/>
      <c r="C57" s="335"/>
      <c r="D57" s="335"/>
      <c r="E57" s="465"/>
      <c r="F57" s="335"/>
      <c r="G57" s="335"/>
      <c r="H57" s="335"/>
      <c r="I57" s="465"/>
      <c r="J57" s="335"/>
      <c r="K57" s="335"/>
      <c r="L57" s="335"/>
      <c r="M57" s="465"/>
      <c r="N57" s="335"/>
      <c r="O57" s="335"/>
      <c r="P57" s="335"/>
      <c r="Q57" s="465"/>
      <c r="R57" s="335"/>
      <c r="S57" s="335"/>
      <c r="T57" s="335"/>
      <c r="U57" s="465"/>
      <c r="V57" s="335"/>
      <c r="W57" s="335"/>
      <c r="X57" s="335"/>
      <c r="Y57" s="465"/>
      <c r="Z57" s="335"/>
      <c r="AA57" s="335"/>
      <c r="AB57" s="335"/>
      <c r="AC57" s="465"/>
      <c r="AD57" s="335"/>
      <c r="AE57" s="335"/>
      <c r="AF57" s="335"/>
      <c r="AG57" s="465"/>
      <c r="AH57" s="335"/>
      <c r="AI57" s="335"/>
      <c r="AJ57" s="335"/>
      <c r="AK57" s="465"/>
      <c r="AL57" s="335"/>
      <c r="AM57" s="335"/>
      <c r="AN57" s="335"/>
      <c r="AO57" s="465"/>
      <c r="AP57" s="335"/>
      <c r="AQ57" s="335"/>
      <c r="AR57" s="335"/>
      <c r="AS57" s="465"/>
      <c r="AT57" s="335"/>
      <c r="AU57" s="335"/>
      <c r="AV57" s="335"/>
      <c r="AW57" s="465"/>
      <c r="AX57" s="335"/>
      <c r="AY57" s="335"/>
      <c r="AZ57" s="335"/>
      <c r="BA57" s="465"/>
      <c r="BB57" s="335"/>
      <c r="BC57" s="335"/>
      <c r="BD57" s="335"/>
      <c r="BE57" s="465"/>
      <c r="BF57" s="335"/>
      <c r="BG57" s="335"/>
      <c r="BH57" s="335"/>
      <c r="BI57" s="465"/>
      <c r="BJ57" s="335"/>
      <c r="BK57" s="335"/>
      <c r="BL57" s="335"/>
      <c r="BM57" s="465"/>
      <c r="BN57" s="335"/>
      <c r="BO57" s="335"/>
      <c r="BP57" s="335"/>
      <c r="BQ57" s="465"/>
      <c r="BR57" s="335"/>
      <c r="BS57" s="206"/>
      <c r="BT57" s="7"/>
      <c r="BU57" s="484"/>
      <c r="BV57" s="7"/>
      <c r="BW57" s="7"/>
      <c r="BX57" s="7"/>
      <c r="BY57" s="484"/>
      <c r="BZ57" s="7"/>
      <c r="CA57" s="7"/>
      <c r="CB57" s="7"/>
      <c r="CC57" s="484"/>
      <c r="CD57" s="7"/>
      <c r="CE57" s="7"/>
      <c r="CF57" s="7"/>
      <c r="CG57" s="484"/>
      <c r="CH57" s="7"/>
      <c r="CI57" s="7"/>
      <c r="CJ57" s="7"/>
      <c r="CK57" s="484"/>
      <c r="CL57" s="7"/>
      <c r="CM57" s="7"/>
      <c r="CN57" s="7"/>
      <c r="CO57" s="484"/>
      <c r="CP57" s="671"/>
      <c r="CQ57" s="7"/>
      <c r="CR57" s="7"/>
      <c r="CS57" s="484"/>
      <c r="CT57" s="671"/>
      <c r="CU57" s="7"/>
      <c r="CV57" s="7"/>
      <c r="CW57" s="484"/>
      <c r="CX57" s="7"/>
      <c r="CY57" s="7"/>
      <c r="CZ57" s="7"/>
      <c r="DA57" s="484"/>
      <c r="DB57" s="7"/>
      <c r="DC57" s="7"/>
      <c r="DD57" s="7"/>
      <c r="DE57" s="484"/>
      <c r="DF57" s="7"/>
      <c r="DG57" s="7"/>
      <c r="DH57" s="7"/>
      <c r="DI57" s="484"/>
      <c r="DJ57" s="1671"/>
      <c r="DK57" s="7"/>
      <c r="DL57" s="7"/>
      <c r="DM57" s="484"/>
      <c r="DN57" s="671"/>
      <c r="DO57" s="484"/>
      <c r="DP57" s="336"/>
      <c r="DQ57" s="336"/>
      <c r="DR57" s="336"/>
      <c r="DS57" s="336"/>
      <c r="DT57" s="336"/>
      <c r="DU57" s="336"/>
      <c r="DV57" s="336"/>
      <c r="DW57" s="336"/>
      <c r="DX57" s="335"/>
      <c r="DY57" s="335"/>
      <c r="DZ57" s="335"/>
      <c r="EA57" s="335"/>
      <c r="EB57" s="335"/>
      <c r="EC57" s="335"/>
      <c r="ED57" s="335"/>
      <c r="EE57" s="335"/>
      <c r="EF57" s="335"/>
      <c r="EG57" s="335"/>
      <c r="EH57" s="335"/>
      <c r="EI57" s="335"/>
      <c r="EJ57" s="335"/>
      <c r="EK57" s="335"/>
      <c r="EL57" s="335"/>
      <c r="EM57" s="335"/>
      <c r="EN57" s="335"/>
      <c r="EO57" s="7"/>
      <c r="EP57" s="7"/>
      <c r="EQ57" s="7"/>
      <c r="ER57" s="671"/>
      <c r="ES57" s="7"/>
      <c r="ET57" s="7"/>
      <c r="EU57" s="7"/>
      <c r="EV57" s="7"/>
      <c r="EW57" s="7"/>
      <c r="EX57" s="7"/>
      <c r="EY57" s="7"/>
      <c r="EZ57" s="1671"/>
      <c r="FA57" s="336"/>
      <c r="FB57" s="336"/>
      <c r="FC57" s="336"/>
      <c r="FD57" s="336"/>
      <c r="FE57" s="336"/>
      <c r="FF57" s="336"/>
      <c r="FG57" s="336"/>
      <c r="FH57" s="336"/>
      <c r="FI57" s="413"/>
      <c r="FJ57"/>
      <c r="FK57"/>
      <c r="FL57"/>
      <c r="FM57"/>
      <c r="FN57"/>
      <c r="FO57"/>
      <c r="FP57" s="4"/>
      <c r="FQ57" s="4"/>
      <c r="FR57" s="4"/>
      <c r="FS57" s="336"/>
      <c r="FT57" s="336"/>
      <c r="FU57"/>
      <c r="FV57" s="336"/>
      <c r="FW57" s="336"/>
      <c r="FX57" s="336"/>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row>
    <row r="58" spans="1:260" s="88" customFormat="1" hidden="1" outlineLevel="1" x14ac:dyDescent="0.2">
      <c r="A58" s="338" t="s">
        <v>448</v>
      </c>
      <c r="B58" s="873"/>
      <c r="C58" s="873">
        <f t="shared" ref="C58:AH58" si="145">B61</f>
        <v>371.54699999999997</v>
      </c>
      <c r="D58" s="873">
        <f t="shared" si="145"/>
        <v>374.67900000000003</v>
      </c>
      <c r="E58" s="874">
        <f t="shared" si="145"/>
        <v>375.37199999999996</v>
      </c>
      <c r="F58" s="873">
        <f t="shared" si="145"/>
        <v>375.678</v>
      </c>
      <c r="G58" s="873">
        <f t="shared" si="145"/>
        <v>376.68599999999998</v>
      </c>
      <c r="H58" s="873">
        <f t="shared" si="145"/>
        <v>378.60300000000001</v>
      </c>
      <c r="I58" s="874">
        <f t="shared" si="145"/>
        <v>379.48500000000001</v>
      </c>
      <c r="J58" s="873">
        <f t="shared" si="145"/>
        <v>379.94400000000002</v>
      </c>
      <c r="K58" s="873">
        <f t="shared" si="145"/>
        <v>383.346</v>
      </c>
      <c r="L58" s="873">
        <f t="shared" si="145"/>
        <v>384.03</v>
      </c>
      <c r="M58" s="874">
        <f t="shared" si="145"/>
        <v>384.34500000000003</v>
      </c>
      <c r="N58" s="873">
        <f t="shared" si="145"/>
        <v>385.57799999999997</v>
      </c>
      <c r="O58" s="873">
        <f t="shared" si="145"/>
        <v>388.11600000000004</v>
      </c>
      <c r="P58" s="873">
        <f t="shared" si="145"/>
        <v>388.99799999999999</v>
      </c>
      <c r="Q58" s="874">
        <f t="shared" si="145"/>
        <v>389.45700000000005</v>
      </c>
      <c r="R58" s="873">
        <f t="shared" si="145"/>
        <v>389.58299999999997</v>
      </c>
      <c r="S58" s="873">
        <f t="shared" si="145"/>
        <v>394.25399999999996</v>
      </c>
      <c r="T58" s="873">
        <f t="shared" si="145"/>
        <v>394.31700000000001</v>
      </c>
      <c r="U58" s="874">
        <f t="shared" si="145"/>
        <v>395.154</v>
      </c>
      <c r="V58" s="873">
        <f t="shared" si="145"/>
        <v>401.63399999999996</v>
      </c>
      <c r="W58" s="873">
        <f t="shared" si="145"/>
        <v>451.39499999999998</v>
      </c>
      <c r="X58" s="873">
        <f t="shared" si="145"/>
        <v>453.46499999999997</v>
      </c>
      <c r="Y58" s="874">
        <f t="shared" si="145"/>
        <v>453.96900000000005</v>
      </c>
      <c r="Z58" s="873">
        <f t="shared" si="145"/>
        <v>458.14950000000005</v>
      </c>
      <c r="AA58" s="873">
        <f t="shared" si="145"/>
        <v>458.56350000000003</v>
      </c>
      <c r="AB58" s="873">
        <f t="shared" si="145"/>
        <v>461.85750000000002</v>
      </c>
      <c r="AC58" s="874">
        <f t="shared" si="145"/>
        <v>459.92475000000002</v>
      </c>
      <c r="AD58" s="873">
        <f t="shared" si="145"/>
        <v>450.85274999999996</v>
      </c>
      <c r="AE58" s="873">
        <f t="shared" si="145"/>
        <v>465.19875000000002</v>
      </c>
      <c r="AF58" s="873">
        <f t="shared" si="145"/>
        <v>467.08875</v>
      </c>
      <c r="AG58" s="874">
        <f t="shared" si="145"/>
        <v>467.45774999999998</v>
      </c>
      <c r="AH58" s="873">
        <f t="shared" si="145"/>
        <v>468.31049999999999</v>
      </c>
      <c r="AI58" s="873">
        <f t="shared" ref="AI58:BI58" si="146">AH61</f>
        <v>472.47300000000001</v>
      </c>
      <c r="AJ58" s="873">
        <f t="shared" si="146"/>
        <v>474.435</v>
      </c>
      <c r="AK58" s="874">
        <f t="shared" si="146"/>
        <v>476.25749999999999</v>
      </c>
      <c r="AL58" s="873">
        <f t="shared" si="146"/>
        <v>478.69200000000001</v>
      </c>
      <c r="AM58" s="873">
        <f t="shared" si="146"/>
        <v>482.06700000000001</v>
      </c>
      <c r="AN58" s="873">
        <f t="shared" si="146"/>
        <v>482.36850000000004</v>
      </c>
      <c r="AO58" s="874">
        <f t="shared" si="146"/>
        <v>482.58749999999998</v>
      </c>
      <c r="AP58" s="873">
        <f t="shared" si="146"/>
        <v>482.94900000000001</v>
      </c>
      <c r="AQ58" s="873">
        <f t="shared" si="146"/>
        <v>483.5985</v>
      </c>
      <c r="AR58" s="873">
        <f t="shared" si="146"/>
        <v>485.44050000000004</v>
      </c>
      <c r="AS58" s="874">
        <f t="shared" si="146"/>
        <v>487.00649999999996</v>
      </c>
      <c r="AT58" s="873">
        <f t="shared" si="146"/>
        <v>486.97200000000004</v>
      </c>
      <c r="AU58" s="873">
        <f t="shared" si="146"/>
        <v>487.26749999999998</v>
      </c>
      <c r="AV58" s="873">
        <f t="shared" si="146"/>
        <v>486.59550000000002</v>
      </c>
      <c r="AW58" s="874">
        <f t="shared" si="146"/>
        <v>492.11250000000001</v>
      </c>
      <c r="AX58" s="873">
        <f t="shared" si="146"/>
        <v>492.51299999999998</v>
      </c>
      <c r="AY58" s="873">
        <f t="shared" si="146"/>
        <v>487.71600000000001</v>
      </c>
      <c r="AZ58" s="873">
        <f t="shared" si="146"/>
        <v>492.44400000000002</v>
      </c>
      <c r="BA58" s="874">
        <f t="shared" si="146"/>
        <v>489.92599999999999</v>
      </c>
      <c r="BB58" s="873">
        <f t="shared" si="146"/>
        <v>485.09800000000001</v>
      </c>
      <c r="BC58" s="873">
        <f t="shared" si="146"/>
        <v>484.01400000000001</v>
      </c>
      <c r="BD58" s="873">
        <f t="shared" si="146"/>
        <v>480.25</v>
      </c>
      <c r="BE58" s="874">
        <f t="shared" si="146"/>
        <v>481.92700000000002</v>
      </c>
      <c r="BF58" s="873">
        <f t="shared" si="146"/>
        <v>480.65499999999997</v>
      </c>
      <c r="BG58" s="873">
        <f t="shared" si="146"/>
        <v>473.89800000000002</v>
      </c>
      <c r="BH58" s="873">
        <f t="shared" si="146"/>
        <v>417.77699999999999</v>
      </c>
      <c r="BI58" s="874">
        <f t="shared" si="146"/>
        <v>419.48399999999998</v>
      </c>
      <c r="BJ58" s="873">
        <f t="shared" ref="BJ58:BY58" si="147">BI61</f>
        <v>411.79525999999998</v>
      </c>
      <c r="BK58" s="873">
        <f t="shared" si="147"/>
        <v>411.93</v>
      </c>
      <c r="BL58" s="873">
        <f t="shared" si="147"/>
        <v>412.33199999999999</v>
      </c>
      <c r="BM58" s="874">
        <f t="shared" si="147"/>
        <v>413.42899999999997</v>
      </c>
      <c r="BN58" s="873">
        <f t="shared" si="147"/>
        <v>416.28022299999998</v>
      </c>
      <c r="BO58" s="873">
        <f t="shared" si="147"/>
        <v>416.35899999999998</v>
      </c>
      <c r="BP58" s="873">
        <f t="shared" si="147"/>
        <v>416.53899999999999</v>
      </c>
      <c r="BQ58" s="874">
        <f t="shared" si="147"/>
        <v>418.03199999999998</v>
      </c>
      <c r="BR58" s="873">
        <f t="shared" si="147"/>
        <v>418.815</v>
      </c>
      <c r="BS58" s="873">
        <f t="shared" si="147"/>
        <v>420.06200000000001</v>
      </c>
      <c r="BT58" s="873">
        <f t="shared" si="147"/>
        <v>402.96100000000001</v>
      </c>
      <c r="BU58" s="874">
        <f t="shared" si="147"/>
        <v>394.06700000000001</v>
      </c>
      <c r="BV58" s="873">
        <f t="shared" si="147"/>
        <v>392.59</v>
      </c>
      <c r="BW58" s="873">
        <f t="shared" si="147"/>
        <v>377.96300000000002</v>
      </c>
      <c r="BX58" s="873">
        <f t="shared" si="147"/>
        <v>365.55599999999998</v>
      </c>
      <c r="BY58" s="874">
        <f t="shared" si="147"/>
        <v>353.99099999999999</v>
      </c>
      <c r="BZ58" s="873">
        <f>BQ61</f>
        <v>418.815</v>
      </c>
      <c r="CA58" s="873">
        <f t="shared" ref="CA58:CK58" si="148">BZ61</f>
        <v>420.06200000000001</v>
      </c>
      <c r="CB58" s="873">
        <f t="shared" si="148"/>
        <v>402.96100000000001</v>
      </c>
      <c r="CC58" s="874">
        <f t="shared" si="148"/>
        <v>394.06700000000001</v>
      </c>
      <c r="CD58" s="873">
        <f t="shared" si="148"/>
        <v>392.59</v>
      </c>
      <c r="CE58" s="873">
        <f t="shared" si="148"/>
        <v>377.96300000000002</v>
      </c>
      <c r="CF58" s="873">
        <f t="shared" si="148"/>
        <v>365.55599999999998</v>
      </c>
      <c r="CG58" s="874">
        <f t="shared" si="148"/>
        <v>353.99099999999999</v>
      </c>
      <c r="CH58" s="898">
        <f t="shared" si="148"/>
        <v>341.4</v>
      </c>
      <c r="CI58" s="898">
        <f t="shared" si="148"/>
        <v>342.24700000000001</v>
      </c>
      <c r="CJ58" s="898">
        <f t="shared" si="148"/>
        <v>336.53</v>
      </c>
      <c r="CK58" s="874">
        <f t="shared" si="148"/>
        <v>337.93</v>
      </c>
      <c r="CL58" s="898">
        <f>CG61</f>
        <v>341.4</v>
      </c>
      <c r="CM58" s="898">
        <f>CL61</f>
        <v>342.24700000000001</v>
      </c>
      <c r="CN58" s="898">
        <f>CM61</f>
        <v>336.53</v>
      </c>
      <c r="CO58" s="874">
        <f>CN61</f>
        <v>337.93</v>
      </c>
      <c r="CP58" s="917">
        <f>ET61</f>
        <v>335.15200000000004</v>
      </c>
      <c r="CQ58" s="910">
        <f t="shared" ref="CQ58:CX58" si="149">CP61</f>
        <v>339.74</v>
      </c>
      <c r="CR58" s="910">
        <f t="shared" si="149"/>
        <v>339.85</v>
      </c>
      <c r="CS58" s="874">
        <f t="shared" si="149"/>
        <v>337.93</v>
      </c>
      <c r="CT58" s="1062">
        <f t="shared" si="149"/>
        <v>346.3</v>
      </c>
      <c r="CU58" s="947">
        <f t="shared" si="149"/>
        <v>347.4</v>
      </c>
      <c r="CV58" s="947">
        <f t="shared" si="149"/>
        <v>349.3</v>
      </c>
      <c r="CW58" s="874">
        <f t="shared" si="149"/>
        <v>350.1</v>
      </c>
      <c r="CX58" s="947">
        <f t="shared" si="149"/>
        <v>351.2</v>
      </c>
      <c r="CY58" s="947">
        <f t="shared" ref="CY58:DE58" si="150">CX61</f>
        <v>353</v>
      </c>
      <c r="CZ58" s="947">
        <f t="shared" si="150"/>
        <v>344</v>
      </c>
      <c r="DA58" s="874">
        <f t="shared" si="150"/>
        <v>345</v>
      </c>
      <c r="DB58" s="947">
        <f t="shared" si="150"/>
        <v>323.779</v>
      </c>
      <c r="DC58" s="947">
        <f t="shared" si="150"/>
        <v>324</v>
      </c>
      <c r="DD58" s="947">
        <f t="shared" si="150"/>
        <v>317</v>
      </c>
      <c r="DE58" s="874">
        <f t="shared" si="150"/>
        <v>313</v>
      </c>
      <c r="DF58" s="947">
        <f t="shared" ref="DF58:DM58" si="151">DE61</f>
        <v>311.108</v>
      </c>
      <c r="DG58" s="947">
        <f t="shared" si="151"/>
        <v>304.96237100000002</v>
      </c>
      <c r="DH58" s="947">
        <f t="shared" si="151"/>
        <v>304</v>
      </c>
      <c r="DI58" s="874">
        <f t="shared" si="151"/>
        <v>299</v>
      </c>
      <c r="DJ58" s="1669">
        <f t="shared" si="151"/>
        <v>289.89999999999998</v>
      </c>
      <c r="DK58" s="947">
        <f t="shared" si="151"/>
        <v>283.24121621621617</v>
      </c>
      <c r="DL58" s="947">
        <f t="shared" si="151"/>
        <v>282.02128712871286</v>
      </c>
      <c r="DM58" s="874">
        <f t="shared" si="151"/>
        <v>280.83447615098675</v>
      </c>
      <c r="DN58" s="1062"/>
      <c r="DO58" s="872"/>
      <c r="DP58" s="899"/>
      <c r="DQ58" s="899"/>
      <c r="DR58" s="899"/>
      <c r="DS58" s="899"/>
      <c r="DT58" s="899"/>
      <c r="DU58" s="899"/>
      <c r="DV58" s="899"/>
      <c r="DW58" s="899"/>
      <c r="DX58" s="899"/>
      <c r="DY58" s="873">
        <f t="shared" ref="DY58:EL58" si="152">DX61</f>
        <v>375.678</v>
      </c>
      <c r="DZ58" s="873">
        <f t="shared" si="152"/>
        <v>379.94400000000002</v>
      </c>
      <c r="EA58" s="873">
        <f t="shared" si="152"/>
        <v>385.57799999999997</v>
      </c>
      <c r="EB58" s="873">
        <f t="shared" si="152"/>
        <v>389.58299999999997</v>
      </c>
      <c r="EC58" s="873">
        <f t="shared" si="152"/>
        <v>401.63399999999996</v>
      </c>
      <c r="ED58" s="873">
        <f t="shared" si="152"/>
        <v>458.14950000000005</v>
      </c>
      <c r="EE58" s="873">
        <f t="shared" si="152"/>
        <v>450.85274999999996</v>
      </c>
      <c r="EF58" s="873">
        <f t="shared" si="152"/>
        <v>468.31049999999999</v>
      </c>
      <c r="EG58" s="873">
        <f t="shared" si="152"/>
        <v>478.69200000000001</v>
      </c>
      <c r="EH58" s="873">
        <f t="shared" si="152"/>
        <v>482.94900000000001</v>
      </c>
      <c r="EI58" s="873">
        <f t="shared" si="152"/>
        <v>486.97200000000004</v>
      </c>
      <c r="EJ58" s="873">
        <f t="shared" si="152"/>
        <v>492.51299999999998</v>
      </c>
      <c r="EK58" s="873">
        <f t="shared" si="152"/>
        <v>485.09800000000001</v>
      </c>
      <c r="EL58" s="873">
        <f t="shared" si="152"/>
        <v>480.65499999999997</v>
      </c>
      <c r="EM58" s="873">
        <f>EL61</f>
        <v>411.79525999999998</v>
      </c>
      <c r="EN58" s="873">
        <f>EM61</f>
        <v>416.28022299999998</v>
      </c>
      <c r="EO58" s="873">
        <f>EN61</f>
        <v>418.815</v>
      </c>
      <c r="EP58" s="873">
        <f>EO61</f>
        <v>392.59</v>
      </c>
      <c r="EQ58" s="873">
        <f>BQ61</f>
        <v>418.815</v>
      </c>
      <c r="ER58" s="1062">
        <f>BU61</f>
        <v>392.59</v>
      </c>
      <c r="ES58" s="947">
        <f t="shared" ref="ES58:EZ58" si="153">ER61</f>
        <v>341.4</v>
      </c>
      <c r="ET58" s="947">
        <f t="shared" si="153"/>
        <v>338.27600000000001</v>
      </c>
      <c r="EU58" s="947">
        <f t="shared" si="153"/>
        <v>335.15200000000004</v>
      </c>
      <c r="EV58" s="947">
        <f t="shared" si="153"/>
        <v>346.3</v>
      </c>
      <c r="EW58" s="947">
        <f t="shared" si="153"/>
        <v>351.2</v>
      </c>
      <c r="EX58" s="947">
        <f t="shared" si="153"/>
        <v>323.779</v>
      </c>
      <c r="EY58" s="947">
        <f t="shared" si="153"/>
        <v>311.108</v>
      </c>
      <c r="EZ58" s="1669">
        <f>DI61</f>
        <v>289.89999999999998</v>
      </c>
      <c r="FA58" s="915">
        <f t="shared" ref="FA58:FH58" si="154">EZ61</f>
        <v>278.36884707295059</v>
      </c>
      <c r="FB58" s="915">
        <f t="shared" si="154"/>
        <v>268.02100198324712</v>
      </c>
      <c r="FC58" s="915">
        <f t="shared" si="154"/>
        <v>258.75216856448185</v>
      </c>
      <c r="FD58" s="915">
        <f t="shared" si="154"/>
        <v>254.35596736539651</v>
      </c>
      <c r="FE58" s="915">
        <f t="shared" si="154"/>
        <v>251.13398405957673</v>
      </c>
      <c r="FF58" s="915">
        <f t="shared" si="154"/>
        <v>249.01621101101767</v>
      </c>
      <c r="FG58" s="915">
        <f t="shared" si="154"/>
        <v>247.93816576387366</v>
      </c>
      <c r="FH58" s="915">
        <f t="shared" si="154"/>
        <v>247.84048855844068</v>
      </c>
      <c r="FI58" s="413"/>
      <c r="FJ58"/>
      <c r="FK58"/>
      <c r="FL58"/>
      <c r="FM58"/>
      <c r="FN58"/>
      <c r="FO58"/>
      <c r="FP58" s="4"/>
      <c r="FQ58" s="4"/>
      <c r="FR58" s="4"/>
      <c r="FS58" s="910"/>
      <c r="FT58" s="910"/>
      <c r="FU58"/>
      <c r="FV58" s="910"/>
      <c r="FW58" s="910"/>
      <c r="FX58" s="910"/>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row>
    <row r="59" spans="1:260" s="88" customFormat="1" hidden="1" outlineLevel="1" x14ac:dyDescent="0.2">
      <c r="A59" s="338" t="s">
        <v>449</v>
      </c>
      <c r="B59" s="873"/>
      <c r="C59" s="873">
        <f t="shared" ref="C59:AH59" si="155">-C67</f>
        <v>0</v>
      </c>
      <c r="D59" s="873">
        <f t="shared" si="155"/>
        <v>0</v>
      </c>
      <c r="E59" s="874">
        <f t="shared" si="155"/>
        <v>0</v>
      </c>
      <c r="F59" s="873">
        <f t="shared" si="155"/>
        <v>0</v>
      </c>
      <c r="G59" s="873">
        <f t="shared" si="155"/>
        <v>0</v>
      </c>
      <c r="H59" s="873">
        <f t="shared" si="155"/>
        <v>0</v>
      </c>
      <c r="I59" s="874">
        <f t="shared" si="155"/>
        <v>0</v>
      </c>
      <c r="J59" s="873">
        <f t="shared" si="155"/>
        <v>0</v>
      </c>
      <c r="K59" s="873">
        <f t="shared" si="155"/>
        <v>0</v>
      </c>
      <c r="L59" s="873">
        <f t="shared" si="155"/>
        <v>0</v>
      </c>
      <c r="M59" s="874">
        <f t="shared" si="155"/>
        <v>0</v>
      </c>
      <c r="N59" s="873">
        <f t="shared" si="155"/>
        <v>0</v>
      </c>
      <c r="O59" s="873">
        <f t="shared" si="155"/>
        <v>0</v>
      </c>
      <c r="P59" s="873">
        <f t="shared" si="155"/>
        <v>0</v>
      </c>
      <c r="Q59" s="874">
        <f t="shared" si="155"/>
        <v>0</v>
      </c>
      <c r="R59" s="873">
        <f t="shared" si="155"/>
        <v>0</v>
      </c>
      <c r="S59" s="873">
        <f t="shared" si="155"/>
        <v>0</v>
      </c>
      <c r="T59" s="873">
        <f t="shared" si="155"/>
        <v>0</v>
      </c>
      <c r="U59" s="874">
        <f t="shared" si="155"/>
        <v>0</v>
      </c>
      <c r="V59" s="873">
        <f t="shared" si="155"/>
        <v>0</v>
      </c>
      <c r="W59" s="873">
        <f t="shared" si="155"/>
        <v>0</v>
      </c>
      <c r="X59" s="873">
        <f t="shared" si="155"/>
        <v>0</v>
      </c>
      <c r="Y59" s="874">
        <f t="shared" si="155"/>
        <v>0</v>
      </c>
      <c r="Z59" s="873">
        <f t="shared" si="155"/>
        <v>0</v>
      </c>
      <c r="AA59" s="873">
        <f t="shared" si="155"/>
        <v>0</v>
      </c>
      <c r="AB59" s="873">
        <f t="shared" si="155"/>
        <v>0</v>
      </c>
      <c r="AC59" s="874">
        <f t="shared" si="155"/>
        <v>0</v>
      </c>
      <c r="AD59" s="873">
        <f t="shared" si="155"/>
        <v>0</v>
      </c>
      <c r="AE59" s="873">
        <f t="shared" si="155"/>
        <v>0</v>
      </c>
      <c r="AF59" s="873">
        <f t="shared" si="155"/>
        <v>0</v>
      </c>
      <c r="AG59" s="874">
        <f t="shared" si="155"/>
        <v>0</v>
      </c>
      <c r="AH59" s="873">
        <f t="shared" si="155"/>
        <v>0</v>
      </c>
      <c r="AI59" s="873">
        <f t="shared" ref="AI59:BI59" si="156">-AI67</f>
        <v>0</v>
      </c>
      <c r="AJ59" s="873">
        <f t="shared" si="156"/>
        <v>0</v>
      </c>
      <c r="AK59" s="874">
        <f t="shared" si="156"/>
        <v>0</v>
      </c>
      <c r="AL59" s="873">
        <f t="shared" si="156"/>
        <v>0</v>
      </c>
      <c r="AM59" s="873">
        <f t="shared" si="156"/>
        <v>0</v>
      </c>
      <c r="AN59" s="873">
        <f t="shared" si="156"/>
        <v>0</v>
      </c>
      <c r="AO59" s="874">
        <f t="shared" si="156"/>
        <v>0</v>
      </c>
      <c r="AP59" s="873">
        <f t="shared" si="156"/>
        <v>0</v>
      </c>
      <c r="AQ59" s="873">
        <f t="shared" si="156"/>
        <v>0</v>
      </c>
      <c r="AR59" s="873">
        <f t="shared" si="156"/>
        <v>0</v>
      </c>
      <c r="AS59" s="874">
        <f t="shared" si="156"/>
        <v>0</v>
      </c>
      <c r="AT59" s="873">
        <f t="shared" si="156"/>
        <v>0</v>
      </c>
      <c r="AU59" s="873">
        <f t="shared" si="156"/>
        <v>0</v>
      </c>
      <c r="AV59" s="873">
        <f t="shared" si="156"/>
        <v>0</v>
      </c>
      <c r="AW59" s="874">
        <f t="shared" si="156"/>
        <v>0</v>
      </c>
      <c r="AX59" s="873">
        <f t="shared" si="156"/>
        <v>0</v>
      </c>
      <c r="AY59" s="873">
        <f t="shared" si="156"/>
        <v>0</v>
      </c>
      <c r="AZ59" s="873">
        <f t="shared" si="156"/>
        <v>0</v>
      </c>
      <c r="BA59" s="874">
        <f t="shared" si="156"/>
        <v>0</v>
      </c>
      <c r="BB59" s="873">
        <f t="shared" si="156"/>
        <v>0</v>
      </c>
      <c r="BC59" s="873">
        <f t="shared" si="156"/>
        <v>0</v>
      </c>
      <c r="BD59" s="873">
        <f t="shared" si="156"/>
        <v>0</v>
      </c>
      <c r="BE59" s="874">
        <f t="shared" si="156"/>
        <v>0</v>
      </c>
      <c r="BF59" s="873">
        <f t="shared" si="156"/>
        <v>0</v>
      </c>
      <c r="BG59" s="873">
        <f t="shared" si="156"/>
        <v>-55.7</v>
      </c>
      <c r="BH59" s="873">
        <f t="shared" si="156"/>
        <v>0</v>
      </c>
      <c r="BI59" s="874">
        <f t="shared" si="156"/>
        <v>-10.106386000000001</v>
      </c>
      <c r="BJ59" s="873">
        <f>-BJ67</f>
        <v>0</v>
      </c>
      <c r="BK59" s="873">
        <f t="shared" ref="BK59:CV59" si="157">-BK67</f>
        <v>0</v>
      </c>
      <c r="BL59" s="873">
        <f t="shared" si="157"/>
        <v>0</v>
      </c>
      <c r="BM59" s="874">
        <f t="shared" si="157"/>
        <v>0</v>
      </c>
      <c r="BN59" s="873">
        <f t="shared" si="157"/>
        <v>0</v>
      </c>
      <c r="BO59" s="873">
        <f t="shared" si="157"/>
        <v>0</v>
      </c>
      <c r="BP59" s="873">
        <f t="shared" si="157"/>
        <v>0</v>
      </c>
      <c r="BQ59" s="874">
        <f t="shared" si="157"/>
        <v>0</v>
      </c>
      <c r="BR59" s="873">
        <f t="shared" si="157"/>
        <v>-2.5</v>
      </c>
      <c r="BS59" s="873">
        <f t="shared" si="157"/>
        <v>-17.3</v>
      </c>
      <c r="BT59" s="873">
        <f t="shared" si="157"/>
        <v>-10.9</v>
      </c>
      <c r="BU59" s="874">
        <f t="shared" si="157"/>
        <v>-2.2999999999999972</v>
      </c>
      <c r="BV59" s="873">
        <f t="shared" si="157"/>
        <v>-16.600000000000001</v>
      </c>
      <c r="BW59" s="873">
        <f t="shared" si="157"/>
        <v>-12.7</v>
      </c>
      <c r="BX59" s="873">
        <f t="shared" si="157"/>
        <v>-12.6</v>
      </c>
      <c r="BY59" s="874">
        <f t="shared" si="157"/>
        <v>-12.8</v>
      </c>
      <c r="BZ59" s="873">
        <f t="shared" si="157"/>
        <v>-2.5</v>
      </c>
      <c r="CA59" s="873">
        <f t="shared" si="157"/>
        <v>-17.3</v>
      </c>
      <c r="CB59" s="873">
        <f t="shared" si="157"/>
        <v>-10.9</v>
      </c>
      <c r="CC59" s="874">
        <f t="shared" si="157"/>
        <v>-2.2999999999999972</v>
      </c>
      <c r="CD59" s="873">
        <f t="shared" si="157"/>
        <v>-16.600000000000001</v>
      </c>
      <c r="CE59" s="873">
        <f t="shared" si="157"/>
        <v>-12.7</v>
      </c>
      <c r="CF59" s="873">
        <f t="shared" si="157"/>
        <v>-12.6</v>
      </c>
      <c r="CG59" s="874">
        <f t="shared" si="157"/>
        <v>-12.8</v>
      </c>
      <c r="CH59" s="873">
        <f t="shared" si="157"/>
        <v>-5.28</v>
      </c>
      <c r="CI59" s="873">
        <f t="shared" si="157"/>
        <v>-6.3796680497925307</v>
      </c>
      <c r="CJ59" s="873">
        <f t="shared" si="157"/>
        <v>0</v>
      </c>
      <c r="CK59" s="874">
        <f t="shared" si="157"/>
        <v>0</v>
      </c>
      <c r="CL59" s="873">
        <f t="shared" si="157"/>
        <v>-5.28</v>
      </c>
      <c r="CM59" s="873">
        <f t="shared" si="157"/>
        <v>-6.3796680497925307</v>
      </c>
      <c r="CN59" s="873">
        <f t="shared" si="157"/>
        <v>0</v>
      </c>
      <c r="CO59" s="874">
        <f t="shared" si="157"/>
        <v>0</v>
      </c>
      <c r="CP59" s="1062">
        <f t="shared" si="157"/>
        <v>0</v>
      </c>
      <c r="CQ59" s="947">
        <f t="shared" si="157"/>
        <v>0</v>
      </c>
      <c r="CR59" s="947">
        <f t="shared" si="157"/>
        <v>0</v>
      </c>
      <c r="CS59" s="900">
        <f t="shared" si="157"/>
        <v>0</v>
      </c>
      <c r="CT59" s="962">
        <f t="shared" si="157"/>
        <v>0</v>
      </c>
      <c r="CU59" s="901">
        <f t="shared" si="157"/>
        <v>0</v>
      </c>
      <c r="CV59" s="901">
        <f t="shared" si="157"/>
        <v>0</v>
      </c>
      <c r="CW59" s="900">
        <f t="shared" ref="CW59:DE59" si="158">-CW67</f>
        <v>0</v>
      </c>
      <c r="CX59" s="901">
        <f t="shared" si="158"/>
        <v>0</v>
      </c>
      <c r="CY59" s="901">
        <f t="shared" si="158"/>
        <v>-10.03125</v>
      </c>
      <c r="CZ59" s="901">
        <f t="shared" si="158"/>
        <v>-1.9</v>
      </c>
      <c r="DA59" s="900">
        <f t="shared" si="158"/>
        <v>-20.9</v>
      </c>
      <c r="DB59" s="901">
        <f>-DB67</f>
        <v>-3.2</v>
      </c>
      <c r="DC59" s="901">
        <f t="shared" si="158"/>
        <v>-7.2237720000000003</v>
      </c>
      <c r="DD59" s="901">
        <f>-DD67</f>
        <v>-5.4</v>
      </c>
      <c r="DE59" s="900">
        <f t="shared" si="158"/>
        <v>-5.3</v>
      </c>
      <c r="DF59" s="2488">
        <f t="shared" ref="DF59:DG59" si="159">-DF67</f>
        <v>-8.1</v>
      </c>
      <c r="DG59" s="2488">
        <f t="shared" si="159"/>
        <v>-7.3</v>
      </c>
      <c r="DH59" s="2488">
        <f t="shared" ref="DH59:DM59" si="160">-DH67</f>
        <v>-6.4</v>
      </c>
      <c r="DI59" s="900">
        <f t="shared" si="160"/>
        <v>-12.5</v>
      </c>
      <c r="DJ59" s="1785">
        <f t="shared" si="160"/>
        <v>-8.7837837837837842</v>
      </c>
      <c r="DK59" s="901">
        <f t="shared" si="160"/>
        <v>-3.3449290875033451</v>
      </c>
      <c r="DL59" s="901">
        <f t="shared" si="160"/>
        <v>-3.3118109777260845</v>
      </c>
      <c r="DM59" s="900">
        <f t="shared" si="160"/>
        <v>-4.5906290780361561</v>
      </c>
      <c r="DN59" s="962"/>
      <c r="DO59" s="872"/>
      <c r="DP59" s="899"/>
      <c r="DQ59" s="899"/>
      <c r="DR59" s="899"/>
      <c r="DS59" s="899"/>
      <c r="DT59" s="899"/>
      <c r="DU59" s="899"/>
      <c r="DV59" s="899"/>
      <c r="DW59" s="899"/>
      <c r="DX59" s="899"/>
      <c r="DY59" s="873">
        <f t="shared" ref="DY59:EL59" si="161">-DY67</f>
        <v>0</v>
      </c>
      <c r="DZ59" s="873">
        <f t="shared" si="161"/>
        <v>0</v>
      </c>
      <c r="EA59" s="873">
        <f t="shared" si="161"/>
        <v>0</v>
      </c>
      <c r="EB59" s="873">
        <f t="shared" si="161"/>
        <v>0</v>
      </c>
      <c r="EC59" s="873">
        <f t="shared" si="161"/>
        <v>0</v>
      </c>
      <c r="ED59" s="873">
        <f t="shared" si="161"/>
        <v>0</v>
      </c>
      <c r="EE59" s="873">
        <f t="shared" si="161"/>
        <v>0</v>
      </c>
      <c r="EF59" s="873">
        <f t="shared" si="161"/>
        <v>0</v>
      </c>
      <c r="EG59" s="873">
        <f t="shared" si="161"/>
        <v>0</v>
      </c>
      <c r="EH59" s="873">
        <f t="shared" si="161"/>
        <v>0</v>
      </c>
      <c r="EI59" s="873">
        <f t="shared" si="161"/>
        <v>0</v>
      </c>
      <c r="EJ59" s="873">
        <f t="shared" si="161"/>
        <v>0</v>
      </c>
      <c r="EK59" s="873">
        <f t="shared" si="161"/>
        <v>0</v>
      </c>
      <c r="EL59" s="873">
        <f t="shared" si="161"/>
        <v>-65.806386000000003</v>
      </c>
      <c r="EM59" s="873">
        <f t="shared" ref="EM59:ER59" si="162">-EM67</f>
        <v>0</v>
      </c>
      <c r="EN59" s="873">
        <f t="shared" si="162"/>
        <v>0</v>
      </c>
      <c r="EO59" s="873">
        <f t="shared" si="162"/>
        <v>-33</v>
      </c>
      <c r="EP59" s="873">
        <f t="shared" si="162"/>
        <v>-54.7</v>
      </c>
      <c r="EQ59" s="873">
        <f t="shared" si="162"/>
        <v>-33</v>
      </c>
      <c r="ER59" s="1062">
        <f t="shared" si="162"/>
        <v>-54.7</v>
      </c>
      <c r="ES59" s="947">
        <f>SUM(CH59:CK59)</f>
        <v>-11.659668049792531</v>
      </c>
      <c r="ET59" s="947">
        <f>SUM(CL59:CO59)</f>
        <v>-11.659668049792531</v>
      </c>
      <c r="EU59" s="1221">
        <f>SUM(CP59:CS59)</f>
        <v>0</v>
      </c>
      <c r="EV59" s="1221">
        <f>SUM(CT59:CW59)</f>
        <v>0</v>
      </c>
      <c r="EW59" s="1221">
        <f>SUM(CX59:DA59)</f>
        <v>-32.831249999999997</v>
      </c>
      <c r="EX59" s="901">
        <f>SUM(DB59:DE59)</f>
        <v>-21.123771999999999</v>
      </c>
      <c r="EY59" s="901">
        <f>SUM(DF59:DI59)</f>
        <v>-34.299999999999997</v>
      </c>
      <c r="EZ59" s="1785">
        <f>SUM(DJ59:DM59)</f>
        <v>-20.031152927049369</v>
      </c>
      <c r="FA59" s="898">
        <f t="shared" ref="FA59:FF59" si="163">-FA67</f>
        <v>-19.01784508970351</v>
      </c>
      <c r="FB59" s="898">
        <f t="shared" si="163"/>
        <v>-18.112233418765246</v>
      </c>
      <c r="FC59" s="898">
        <f t="shared" si="163"/>
        <v>-13.416469199085368</v>
      </c>
      <c r="FD59" s="898">
        <f t="shared" si="163"/>
        <v>-12.422656665819785</v>
      </c>
      <c r="FE59" s="898">
        <f t="shared" si="163"/>
        <v>-11.50245987575906</v>
      </c>
      <c r="FF59" s="898">
        <f t="shared" si="163"/>
        <v>-10.650425810888018</v>
      </c>
      <c r="FG59" s="898">
        <f>-FG67</f>
        <v>-9.8615053804518684</v>
      </c>
      <c r="FH59" s="898">
        <f>-FH67</f>
        <v>-9.1310235004183973</v>
      </c>
      <c r="FI59" s="413"/>
      <c r="FJ59"/>
      <c r="FK59"/>
      <c r="FL59"/>
      <c r="FM59"/>
      <c r="FN59"/>
      <c r="FO59"/>
      <c r="FP59" s="4"/>
      <c r="FQ59" s="4"/>
      <c r="FR59" s="4"/>
      <c r="FS59" s="910"/>
      <c r="FT59" s="910"/>
      <c r="FU59"/>
      <c r="FV59" s="910"/>
      <c r="FW59" s="910"/>
      <c r="FX59" s="910"/>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row>
    <row r="60" spans="1:260" s="88" customFormat="1" hidden="1" outlineLevel="1" x14ac:dyDescent="0.2">
      <c r="A60" s="338" t="s">
        <v>446</v>
      </c>
      <c r="B60" s="873"/>
      <c r="C60" s="873">
        <f t="shared" ref="C60:AH60" si="164">C61-C58-C59</f>
        <v>3.1320000000000618</v>
      </c>
      <c r="D60" s="873">
        <f t="shared" si="164"/>
        <v>0.69299999999992679</v>
      </c>
      <c r="E60" s="874">
        <f t="shared" si="164"/>
        <v>0.30600000000004002</v>
      </c>
      <c r="F60" s="873">
        <f t="shared" si="164"/>
        <v>1.0079999999999814</v>
      </c>
      <c r="G60" s="873">
        <f t="shared" si="164"/>
        <v>1.91700000000003</v>
      </c>
      <c r="H60" s="873">
        <f t="shared" si="164"/>
        <v>0.882000000000005</v>
      </c>
      <c r="I60" s="874">
        <f t="shared" si="164"/>
        <v>0.45900000000000318</v>
      </c>
      <c r="J60" s="873">
        <f t="shared" si="164"/>
        <v>3.4019999999999868</v>
      </c>
      <c r="K60" s="873">
        <f t="shared" si="164"/>
        <v>0.68399999999996908</v>
      </c>
      <c r="L60" s="873">
        <f t="shared" si="164"/>
        <v>0.31500000000005457</v>
      </c>
      <c r="M60" s="874">
        <f t="shared" si="164"/>
        <v>1.2329999999999472</v>
      </c>
      <c r="N60" s="873">
        <f t="shared" si="164"/>
        <v>2.5380000000000678</v>
      </c>
      <c r="O60" s="873">
        <f t="shared" si="164"/>
        <v>0.88199999999994816</v>
      </c>
      <c r="P60" s="873">
        <f t="shared" si="164"/>
        <v>0.45900000000006003</v>
      </c>
      <c r="Q60" s="874">
        <f t="shared" si="164"/>
        <v>0.12599999999991951</v>
      </c>
      <c r="R60" s="873">
        <f t="shared" si="164"/>
        <v>4.6709999999999923</v>
      </c>
      <c r="S60" s="873">
        <f t="shared" si="164"/>
        <v>6.300000000004502E-2</v>
      </c>
      <c r="T60" s="873">
        <f t="shared" si="164"/>
        <v>0.83699999999998909</v>
      </c>
      <c r="U60" s="874">
        <f t="shared" si="164"/>
        <v>6.4799999999999613</v>
      </c>
      <c r="V60" s="873">
        <f t="shared" si="164"/>
        <v>49.761000000000024</v>
      </c>
      <c r="W60" s="873">
        <f t="shared" si="164"/>
        <v>2.0699999999999932</v>
      </c>
      <c r="X60" s="873">
        <f t="shared" si="164"/>
        <v>0.50400000000007594</v>
      </c>
      <c r="Y60" s="874">
        <f t="shared" si="164"/>
        <v>4.180499999999995</v>
      </c>
      <c r="Z60" s="873">
        <f t="shared" si="164"/>
        <v>0.41399999999998727</v>
      </c>
      <c r="AA60" s="873">
        <f t="shared" si="164"/>
        <v>3.2939999999999827</v>
      </c>
      <c r="AB60" s="873">
        <f t="shared" si="164"/>
        <v>-1.9327499999999986</v>
      </c>
      <c r="AC60" s="874">
        <f t="shared" si="164"/>
        <v>-9.0720000000000596</v>
      </c>
      <c r="AD60" s="873">
        <f t="shared" si="164"/>
        <v>14.34600000000006</v>
      </c>
      <c r="AE60" s="873">
        <f t="shared" si="164"/>
        <v>1.8899999999999864</v>
      </c>
      <c r="AF60" s="873">
        <f t="shared" si="164"/>
        <v>0.36899999999997135</v>
      </c>
      <c r="AG60" s="874">
        <f t="shared" si="164"/>
        <v>0.85275000000001455</v>
      </c>
      <c r="AH60" s="873">
        <f t="shared" si="164"/>
        <v>4.1625000000000227</v>
      </c>
      <c r="AI60" s="873">
        <f t="shared" ref="AI60:BI60" si="165">AI61-AI58-AI59</f>
        <v>1.9619999999999891</v>
      </c>
      <c r="AJ60" s="873">
        <f t="shared" si="165"/>
        <v>1.8224999999999909</v>
      </c>
      <c r="AK60" s="874">
        <f t="shared" si="165"/>
        <v>2.4345000000000141</v>
      </c>
      <c r="AL60" s="873">
        <f t="shared" si="165"/>
        <v>3.375</v>
      </c>
      <c r="AM60" s="873">
        <f t="shared" si="165"/>
        <v>0.30150000000003274</v>
      </c>
      <c r="AN60" s="873">
        <f t="shared" si="165"/>
        <v>0.21899999999993724</v>
      </c>
      <c r="AO60" s="874">
        <f t="shared" si="165"/>
        <v>0.36150000000003502</v>
      </c>
      <c r="AP60" s="873">
        <f t="shared" si="165"/>
        <v>0.64949999999998909</v>
      </c>
      <c r="AQ60" s="873">
        <f t="shared" si="165"/>
        <v>1.8420000000000414</v>
      </c>
      <c r="AR60" s="873">
        <f t="shared" si="165"/>
        <v>1.5659999999999172</v>
      </c>
      <c r="AS60" s="874">
        <f t="shared" si="165"/>
        <v>-3.4499999999923148E-2</v>
      </c>
      <c r="AT60" s="873">
        <f t="shared" si="165"/>
        <v>0.29549999999994725</v>
      </c>
      <c r="AU60" s="873">
        <f t="shared" si="165"/>
        <v>-0.67199999999996862</v>
      </c>
      <c r="AV60" s="873">
        <f t="shared" si="165"/>
        <v>5.5169999999999959</v>
      </c>
      <c r="AW60" s="874">
        <f t="shared" si="165"/>
        <v>0.40049999999996544</v>
      </c>
      <c r="AX60" s="873">
        <f t="shared" si="165"/>
        <v>-4.7969999999999686</v>
      </c>
      <c r="AY60" s="873">
        <f t="shared" si="165"/>
        <v>4.7280000000000086</v>
      </c>
      <c r="AZ60" s="873">
        <f t="shared" si="165"/>
        <v>-2.5180000000000291</v>
      </c>
      <c r="BA60" s="874">
        <f t="shared" si="165"/>
        <v>-4.8279999999999745</v>
      </c>
      <c r="BB60" s="873">
        <f t="shared" si="165"/>
        <v>-1.0840000000000032</v>
      </c>
      <c r="BC60" s="873">
        <f t="shared" si="165"/>
        <v>-3.76400000000001</v>
      </c>
      <c r="BD60" s="873">
        <f t="shared" si="165"/>
        <v>1.6770000000000209</v>
      </c>
      <c r="BE60" s="874">
        <f t="shared" si="165"/>
        <v>-1.2720000000000482</v>
      </c>
      <c r="BF60" s="873">
        <f t="shared" si="165"/>
        <v>-6.7569999999999482</v>
      </c>
      <c r="BG60" s="873">
        <f t="shared" si="165"/>
        <v>-0.4210000000000349</v>
      </c>
      <c r="BH60" s="873">
        <f t="shared" si="165"/>
        <v>1.7069999999999936</v>
      </c>
      <c r="BI60" s="874">
        <f t="shared" si="165"/>
        <v>2.4176460000000048</v>
      </c>
      <c r="BJ60" s="873">
        <f t="shared" ref="BJ60:BX60" si="166">BJ61-BJ58-BJ59</f>
        <v>0.13474000000002206</v>
      </c>
      <c r="BK60" s="873">
        <f t="shared" si="166"/>
        <v>0.40199999999998681</v>
      </c>
      <c r="BL60" s="873">
        <f t="shared" si="166"/>
        <v>1.09699999999998</v>
      </c>
      <c r="BM60" s="874">
        <f t="shared" si="166"/>
        <v>2.8512230000000045</v>
      </c>
      <c r="BN60" s="873">
        <f t="shared" si="166"/>
        <v>7.8777000000002317E-2</v>
      </c>
      <c r="BO60" s="873">
        <f t="shared" si="166"/>
        <v>0.18000000000000682</v>
      </c>
      <c r="BP60" s="873">
        <f t="shared" si="166"/>
        <v>1.492999999999995</v>
      </c>
      <c r="BQ60" s="874">
        <f t="shared" si="166"/>
        <v>0.78300000000001546</v>
      </c>
      <c r="BR60" s="873">
        <f t="shared" si="166"/>
        <v>3.7470000000000141</v>
      </c>
      <c r="BS60" s="873">
        <f t="shared" si="166"/>
        <v>0.19900000000000162</v>
      </c>
      <c r="BT60" s="873">
        <f t="shared" si="166"/>
        <v>2.0059999999999949</v>
      </c>
      <c r="BU60" s="874">
        <f t="shared" si="166"/>
        <v>0.82299999999996487</v>
      </c>
      <c r="BV60" s="873">
        <f t="shared" si="166"/>
        <v>1.9730000000000487</v>
      </c>
      <c r="BW60" s="873">
        <f t="shared" si="166"/>
        <v>0.29299999999996018</v>
      </c>
      <c r="BX60" s="873">
        <f t="shared" si="166"/>
        <v>1.0350000000000019</v>
      </c>
      <c r="BY60" s="902">
        <v>0.20899999999999253</v>
      </c>
      <c r="BZ60" s="873">
        <f t="shared" ref="BZ60:CV60" si="167">BZ61-BZ58-BZ59</f>
        <v>3.7470000000000141</v>
      </c>
      <c r="CA60" s="873">
        <f t="shared" si="167"/>
        <v>0.19900000000000162</v>
      </c>
      <c r="CB60" s="873">
        <f t="shared" si="167"/>
        <v>2.0059999999999949</v>
      </c>
      <c r="CC60" s="874">
        <f t="shared" si="167"/>
        <v>0.82299999999996487</v>
      </c>
      <c r="CD60" s="873">
        <f t="shared" si="167"/>
        <v>1.9730000000000487</v>
      </c>
      <c r="CE60" s="873">
        <f t="shared" si="167"/>
        <v>0.29299999999996018</v>
      </c>
      <c r="CF60" s="873">
        <f t="shared" si="167"/>
        <v>1.0350000000000019</v>
      </c>
      <c r="CG60" s="874">
        <f t="shared" si="167"/>
        <v>0.20899999999999253</v>
      </c>
      <c r="CH60" s="873">
        <f t="shared" si="167"/>
        <v>6.1270000000000371</v>
      </c>
      <c r="CI60" s="873">
        <f t="shared" si="167"/>
        <v>0.66266804979248928</v>
      </c>
      <c r="CJ60" s="873">
        <f t="shared" si="167"/>
        <v>1.4000000000000341</v>
      </c>
      <c r="CK60" s="874">
        <f t="shared" si="167"/>
        <v>0.34600000000000364</v>
      </c>
      <c r="CL60" s="873">
        <f t="shared" si="167"/>
        <v>6.1270000000000371</v>
      </c>
      <c r="CM60" s="873">
        <f t="shared" si="167"/>
        <v>0.66266804979248928</v>
      </c>
      <c r="CN60" s="873">
        <f t="shared" si="167"/>
        <v>1.4000000000000341</v>
      </c>
      <c r="CO60" s="874">
        <f t="shared" si="167"/>
        <v>0.34600000000000364</v>
      </c>
      <c r="CP60" s="1062">
        <f t="shared" si="167"/>
        <v>4.5879999999999654</v>
      </c>
      <c r="CQ60" s="947">
        <f t="shared" si="167"/>
        <v>0.11000000000001364</v>
      </c>
      <c r="CR60" s="947">
        <f t="shared" si="167"/>
        <v>-1.9200000000000159</v>
      </c>
      <c r="CS60" s="900">
        <f t="shared" si="167"/>
        <v>8.3700000000000045</v>
      </c>
      <c r="CT60" s="1062">
        <f t="shared" si="167"/>
        <v>1.0999999999999659</v>
      </c>
      <c r="CU60" s="947">
        <f t="shared" si="167"/>
        <v>1.9000000000000341</v>
      </c>
      <c r="CV60" s="1160">
        <f t="shared" si="167"/>
        <v>0.80000000000001137</v>
      </c>
      <c r="CW60" s="1274">
        <f t="shared" ref="CW60:DC60" si="168">CW61-CW58-CW59</f>
        <v>1.0999999999999659</v>
      </c>
      <c r="CX60" s="947">
        <f t="shared" si="168"/>
        <v>1.8000000000000114</v>
      </c>
      <c r="CY60" s="947">
        <f t="shared" si="168"/>
        <v>1.03125</v>
      </c>
      <c r="CZ60" s="947">
        <f t="shared" si="168"/>
        <v>2.9</v>
      </c>
      <c r="DA60" s="874">
        <f t="shared" si="168"/>
        <v>-0.32100000000000506</v>
      </c>
      <c r="DB60" s="947">
        <f t="shared" si="168"/>
        <v>3.4210000000000038</v>
      </c>
      <c r="DC60" s="947">
        <f t="shared" si="168"/>
        <v>0.2237720000000003</v>
      </c>
      <c r="DD60" s="947">
        <f t="shared" ref="DD60:DI60" si="169">DD61-DD58-DD59</f>
        <v>1.4000000000000004</v>
      </c>
      <c r="DE60" s="1274">
        <f t="shared" si="169"/>
        <v>3.4080000000000039</v>
      </c>
      <c r="DF60" s="2489">
        <f t="shared" si="169"/>
        <v>1.9543710000000143</v>
      </c>
      <c r="DG60" s="2489">
        <f t="shared" si="169"/>
        <v>6.3376289999999811</v>
      </c>
      <c r="DH60" s="2489">
        <f t="shared" si="169"/>
        <v>1.4000000000000004</v>
      </c>
      <c r="DI60" s="1274">
        <f t="shared" si="169"/>
        <v>3.3999999999999773</v>
      </c>
      <c r="DJ60" s="2690">
        <f>8.5/4</f>
        <v>2.125</v>
      </c>
      <c r="DK60" s="2489">
        <f t="shared" ref="DK60:DM60" si="170">8.5/4</f>
        <v>2.125</v>
      </c>
      <c r="DL60" s="2489">
        <f t="shared" si="170"/>
        <v>2.125</v>
      </c>
      <c r="DM60" s="2622">
        <f t="shared" si="170"/>
        <v>2.125</v>
      </c>
      <c r="DN60" s="963"/>
      <c r="DO60" s="872"/>
      <c r="DP60" s="899"/>
      <c r="DQ60" s="899"/>
      <c r="DR60" s="899"/>
      <c r="DS60" s="899"/>
      <c r="DT60" s="899"/>
      <c r="DU60" s="899"/>
      <c r="DV60" s="899"/>
      <c r="DW60" s="899"/>
      <c r="DX60" s="899"/>
      <c r="DY60" s="873">
        <f t="shared" ref="DY60:EM60" si="171">SUM(AV60:AY60)</f>
        <v>5.8485000000000014</v>
      </c>
      <c r="DZ60" s="873">
        <f t="shared" si="171"/>
        <v>-2.1865000000000236</v>
      </c>
      <c r="EA60" s="873">
        <f t="shared" si="171"/>
        <v>-7.4149999999999636</v>
      </c>
      <c r="EB60" s="873">
        <f t="shared" si="171"/>
        <v>-3.7019999999999982</v>
      </c>
      <c r="EC60" s="873">
        <f t="shared" si="171"/>
        <v>-12.194000000000017</v>
      </c>
      <c r="ED60" s="873">
        <f t="shared" si="171"/>
        <v>-7.9989999999999668</v>
      </c>
      <c r="EE60" s="873">
        <f t="shared" si="171"/>
        <v>-4.4430000000000405</v>
      </c>
      <c r="EF60" s="873">
        <f t="shared" si="171"/>
        <v>-10.115999999999985</v>
      </c>
      <c r="EG60" s="873">
        <f t="shared" si="171"/>
        <v>-6.7730000000000103</v>
      </c>
      <c r="EH60" s="873">
        <f t="shared" si="171"/>
        <v>-6.7430000000000376</v>
      </c>
      <c r="EI60" s="873">
        <f t="shared" si="171"/>
        <v>-3.0533539999999846</v>
      </c>
      <c r="EJ60" s="873">
        <f t="shared" si="171"/>
        <v>3.8383859999999856</v>
      </c>
      <c r="EK60" s="873">
        <f t="shared" si="171"/>
        <v>4.6613860000000074</v>
      </c>
      <c r="EL60" s="873">
        <f t="shared" si="171"/>
        <v>4.0513859999999937</v>
      </c>
      <c r="EM60" s="873">
        <f t="shared" si="171"/>
        <v>4.4849629999999934</v>
      </c>
      <c r="EN60" s="873">
        <f>SUM(BN60:BQ60)</f>
        <v>2.5347770000000196</v>
      </c>
      <c r="EO60" s="873">
        <f>SUM(BR60:BU60)</f>
        <v>6.7749999999999755</v>
      </c>
      <c r="EP60" s="873">
        <f>SUM(BV60:BY60)</f>
        <v>3.5100000000000033</v>
      </c>
      <c r="EQ60" s="873">
        <f>SUM(BZ60:CC60)</f>
        <v>6.7749999999999755</v>
      </c>
      <c r="ER60" s="1062">
        <f>SUM(CD60:CG60)</f>
        <v>3.5100000000000033</v>
      </c>
      <c r="ES60" s="947">
        <f>SUM(CH60:CK60)</f>
        <v>8.5356680497925641</v>
      </c>
      <c r="ET60" s="947">
        <f>SUM(CL60:CO60)</f>
        <v>8.5356680497925641</v>
      </c>
      <c r="EU60" s="1221">
        <f>SUM(CP60:CS60)</f>
        <v>11.147999999999968</v>
      </c>
      <c r="EV60" s="1221">
        <f>SUM(CT60:CW60)</f>
        <v>4.8999999999999773</v>
      </c>
      <c r="EW60" s="1221">
        <f>SUM(CX60:DA60)</f>
        <v>5.4102500000000067</v>
      </c>
      <c r="EX60" s="1160">
        <f>SUM(DB60:DE60)</f>
        <v>8.4527720000000084</v>
      </c>
      <c r="EY60" s="1160">
        <f>SUM(DF60:DI60)</f>
        <v>13.091999999999972</v>
      </c>
      <c r="EZ60" s="1786">
        <f>SUM(DJ60:DM60)</f>
        <v>8.5</v>
      </c>
      <c r="FA60" s="2226">
        <f t="shared" ref="FA60:FH60" si="172">EZ60*1.02</f>
        <v>8.67</v>
      </c>
      <c r="FB60" s="911">
        <f t="shared" si="172"/>
        <v>8.8434000000000008</v>
      </c>
      <c r="FC60" s="911">
        <f t="shared" si="172"/>
        <v>9.0202680000000015</v>
      </c>
      <c r="FD60" s="911">
        <f t="shared" si="172"/>
        <v>9.2006733600000015</v>
      </c>
      <c r="FE60" s="911">
        <f t="shared" si="172"/>
        <v>9.3846868272000012</v>
      </c>
      <c r="FF60" s="911">
        <f t="shared" si="172"/>
        <v>9.5723805637440016</v>
      </c>
      <c r="FG60" s="911">
        <f t="shared" si="172"/>
        <v>9.7638281750188813</v>
      </c>
      <c r="FH60" s="911">
        <f t="shared" si="172"/>
        <v>9.9591047385192599</v>
      </c>
      <c r="FI60" s="413"/>
      <c r="FJ60"/>
      <c r="FK60"/>
      <c r="FL60"/>
      <c r="FM60"/>
      <c r="FN60"/>
      <c r="FO60"/>
      <c r="FP60" s="4"/>
      <c r="FQ60" s="4"/>
      <c r="FR60" s="4"/>
      <c r="FS60" s="910"/>
      <c r="FT60" s="910"/>
      <c r="FU60"/>
      <c r="FV60" s="2030"/>
      <c r="FW60" s="2030"/>
      <c r="FX60" s="91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row>
    <row r="61" spans="1:260" s="19" customFormat="1" ht="11.25" hidden="1" customHeight="1" outlineLevel="1" x14ac:dyDescent="0.2">
      <c r="A61" s="339" t="s">
        <v>450</v>
      </c>
      <c r="B61" s="387">
        <v>371.54699999999997</v>
      </c>
      <c r="C61" s="387">
        <v>374.67900000000003</v>
      </c>
      <c r="D61" s="387">
        <v>375.37199999999996</v>
      </c>
      <c r="E61" s="508">
        <v>375.678</v>
      </c>
      <c r="F61" s="387">
        <v>376.68599999999998</v>
      </c>
      <c r="G61" s="387">
        <v>378.60300000000001</v>
      </c>
      <c r="H61" s="387">
        <v>379.48500000000001</v>
      </c>
      <c r="I61" s="508">
        <v>379.94400000000002</v>
      </c>
      <c r="J61" s="387">
        <v>383.346</v>
      </c>
      <c r="K61" s="387">
        <v>384.03</v>
      </c>
      <c r="L61" s="387">
        <v>384.34500000000003</v>
      </c>
      <c r="M61" s="508">
        <v>385.57799999999997</v>
      </c>
      <c r="N61" s="387">
        <v>388.11600000000004</v>
      </c>
      <c r="O61" s="387">
        <v>388.99799999999999</v>
      </c>
      <c r="P61" s="387">
        <v>389.45700000000005</v>
      </c>
      <c r="Q61" s="508">
        <v>389.58299999999997</v>
      </c>
      <c r="R61" s="387">
        <v>394.25399999999996</v>
      </c>
      <c r="S61" s="387">
        <v>394.31700000000001</v>
      </c>
      <c r="T61" s="387">
        <v>395.154</v>
      </c>
      <c r="U61" s="508">
        <v>401.63399999999996</v>
      </c>
      <c r="V61" s="387">
        <v>451.39499999999998</v>
      </c>
      <c r="W61" s="387">
        <v>453.46499999999997</v>
      </c>
      <c r="X61" s="387">
        <v>453.96900000000005</v>
      </c>
      <c r="Y61" s="508">
        <v>458.14950000000005</v>
      </c>
      <c r="Z61" s="387">
        <v>458.56350000000003</v>
      </c>
      <c r="AA61" s="387">
        <v>461.85750000000002</v>
      </c>
      <c r="AB61" s="387">
        <v>459.92475000000002</v>
      </c>
      <c r="AC61" s="508">
        <v>450.85274999999996</v>
      </c>
      <c r="AD61" s="387">
        <v>465.19875000000002</v>
      </c>
      <c r="AE61" s="387">
        <v>467.08875</v>
      </c>
      <c r="AF61" s="387">
        <v>467.45774999999998</v>
      </c>
      <c r="AG61" s="508">
        <v>468.31049999999999</v>
      </c>
      <c r="AH61" s="387">
        <v>472.47300000000001</v>
      </c>
      <c r="AI61" s="387">
        <v>474.435</v>
      </c>
      <c r="AJ61" s="387">
        <v>476.25749999999999</v>
      </c>
      <c r="AK61" s="508">
        <v>478.69200000000001</v>
      </c>
      <c r="AL61" s="387">
        <v>482.06700000000001</v>
      </c>
      <c r="AM61" s="387">
        <v>482.36850000000004</v>
      </c>
      <c r="AN61" s="387">
        <v>482.58749999999998</v>
      </c>
      <c r="AO61" s="508">
        <v>482.94900000000001</v>
      </c>
      <c r="AP61" s="387">
        <v>483.5985</v>
      </c>
      <c r="AQ61" s="387">
        <v>485.44050000000004</v>
      </c>
      <c r="AR61" s="387">
        <v>487.00649999999996</v>
      </c>
      <c r="AS61" s="508">
        <v>486.97200000000004</v>
      </c>
      <c r="AT61" s="387">
        <v>487.26749999999998</v>
      </c>
      <c r="AU61" s="387">
        <v>486.59550000000002</v>
      </c>
      <c r="AV61" s="387">
        <v>492.11250000000001</v>
      </c>
      <c r="AW61" s="508">
        <v>492.51299999999998</v>
      </c>
      <c r="AX61" s="387">
        <v>487.71600000000001</v>
      </c>
      <c r="AY61" s="387">
        <v>492.44400000000002</v>
      </c>
      <c r="AZ61" s="387">
        <v>489.92599999999999</v>
      </c>
      <c r="BA61" s="508">
        <v>485.09800000000001</v>
      </c>
      <c r="BB61" s="387">
        <v>484.01400000000001</v>
      </c>
      <c r="BC61" s="387">
        <v>480.25</v>
      </c>
      <c r="BD61" s="387">
        <v>481.92700000000002</v>
      </c>
      <c r="BE61" s="508">
        <v>480.65499999999997</v>
      </c>
      <c r="BF61" s="387">
        <v>473.89800000000002</v>
      </c>
      <c r="BG61" s="387">
        <v>417.77699999999999</v>
      </c>
      <c r="BH61" s="387">
        <v>419.48399999999998</v>
      </c>
      <c r="BI61" s="508">
        <f>EL61</f>
        <v>411.79525999999998</v>
      </c>
      <c r="BJ61" s="903">
        <v>411.93</v>
      </c>
      <c r="BK61" s="903">
        <v>412.33199999999999</v>
      </c>
      <c r="BL61" s="903">
        <v>413.42899999999997</v>
      </c>
      <c r="BM61" s="904">
        <v>416.28022299999998</v>
      </c>
      <c r="BN61" s="903">
        <v>416.35899999999998</v>
      </c>
      <c r="BO61" s="903">
        <v>416.53899999999999</v>
      </c>
      <c r="BP61" s="903">
        <v>418.03199999999998</v>
      </c>
      <c r="BQ61" s="905">
        <v>418.815</v>
      </c>
      <c r="BR61" s="906">
        <v>420.06200000000001</v>
      </c>
      <c r="BS61" s="906">
        <v>402.96100000000001</v>
      </c>
      <c r="BT61" s="906">
        <v>394.06700000000001</v>
      </c>
      <c r="BU61" s="905">
        <v>392.59</v>
      </c>
      <c r="BV61" s="903">
        <v>377.96300000000002</v>
      </c>
      <c r="BW61" s="903">
        <v>365.55599999999998</v>
      </c>
      <c r="BX61" s="903">
        <v>353.99099999999999</v>
      </c>
      <c r="BY61" s="904">
        <f>SUM(BY58:BY60)</f>
        <v>341.4</v>
      </c>
      <c r="BZ61" s="906">
        <v>420.06200000000001</v>
      </c>
      <c r="CA61" s="906">
        <v>402.96100000000001</v>
      </c>
      <c r="CB61" s="906">
        <v>394.06700000000001</v>
      </c>
      <c r="CC61" s="905">
        <v>392.59</v>
      </c>
      <c r="CD61" s="906">
        <v>377.96300000000002</v>
      </c>
      <c r="CE61" s="906">
        <v>365.55599999999998</v>
      </c>
      <c r="CF61" s="906">
        <v>353.99099999999999</v>
      </c>
      <c r="CG61" s="905">
        <v>341.4</v>
      </c>
      <c r="CH61" s="906">
        <v>342.24700000000001</v>
      </c>
      <c r="CI61" s="906">
        <v>336.53</v>
      </c>
      <c r="CJ61" s="906">
        <v>337.93</v>
      </c>
      <c r="CK61" s="905">
        <v>338.27600000000001</v>
      </c>
      <c r="CL61" s="906">
        <v>342.24700000000001</v>
      </c>
      <c r="CM61" s="906">
        <v>336.53</v>
      </c>
      <c r="CN61" s="906">
        <v>337.93</v>
      </c>
      <c r="CO61" s="905">
        <v>338.27600000000001</v>
      </c>
      <c r="CP61" s="1063">
        <v>339.74</v>
      </c>
      <c r="CQ61" s="906">
        <v>339.85</v>
      </c>
      <c r="CR61" s="906">
        <v>337.93</v>
      </c>
      <c r="CS61" s="904">
        <v>346.3</v>
      </c>
      <c r="CT61" s="1069">
        <v>347.4</v>
      </c>
      <c r="CU61" s="903">
        <v>349.3</v>
      </c>
      <c r="CV61" s="903">
        <v>350.1</v>
      </c>
      <c r="CW61" s="904">
        <v>351.2</v>
      </c>
      <c r="CX61" s="2034">
        <v>353</v>
      </c>
      <c r="CY61" s="2034">
        <v>344</v>
      </c>
      <c r="CZ61" s="2034">
        <v>345</v>
      </c>
      <c r="DA61" s="2035">
        <v>323.779</v>
      </c>
      <c r="DB61" s="2034">
        <v>324</v>
      </c>
      <c r="DC61" s="2034">
        <v>317</v>
      </c>
      <c r="DD61" s="2034">
        <v>313</v>
      </c>
      <c r="DE61" s="2035">
        <v>311.108</v>
      </c>
      <c r="DF61" s="2034">
        <v>304.96237100000002</v>
      </c>
      <c r="DG61" s="2034">
        <v>304</v>
      </c>
      <c r="DH61" s="2034">
        <v>299</v>
      </c>
      <c r="DI61" s="2035">
        <v>289.89999999999998</v>
      </c>
      <c r="DJ61" s="1787">
        <f t="shared" ref="DJ61:DM61" si="173">SUM(DJ58:DJ60)</f>
        <v>283.24121621621617</v>
      </c>
      <c r="DK61" s="903">
        <f t="shared" si="173"/>
        <v>282.02128712871286</v>
      </c>
      <c r="DL61" s="903">
        <f t="shared" si="173"/>
        <v>280.83447615098675</v>
      </c>
      <c r="DM61" s="904">
        <f t="shared" si="173"/>
        <v>278.36884707295059</v>
      </c>
      <c r="DN61" s="964"/>
      <c r="DO61" s="907"/>
      <c r="DP61" s="908"/>
      <c r="DQ61" s="908"/>
      <c r="DR61" s="908"/>
      <c r="DS61" s="908"/>
      <c r="DT61" s="908"/>
      <c r="DU61" s="908"/>
      <c r="DV61" s="908"/>
      <c r="DW61" s="908"/>
      <c r="DX61" s="903">
        <f>E61</f>
        <v>375.678</v>
      </c>
      <c r="DY61" s="903">
        <f>I61</f>
        <v>379.94400000000002</v>
      </c>
      <c r="DZ61" s="903">
        <f>M61</f>
        <v>385.57799999999997</v>
      </c>
      <c r="EA61" s="903">
        <f>Q61</f>
        <v>389.58299999999997</v>
      </c>
      <c r="EB61" s="903">
        <f>U61</f>
        <v>401.63399999999996</v>
      </c>
      <c r="EC61" s="903">
        <f>Y61</f>
        <v>458.14950000000005</v>
      </c>
      <c r="ED61" s="903">
        <f>AC61</f>
        <v>450.85274999999996</v>
      </c>
      <c r="EE61" s="903">
        <f>AG61</f>
        <v>468.31049999999999</v>
      </c>
      <c r="EF61" s="903">
        <f>AK61</f>
        <v>478.69200000000001</v>
      </c>
      <c r="EG61" s="903">
        <f>AO61</f>
        <v>482.94900000000001</v>
      </c>
      <c r="EH61" s="903">
        <f>AS61</f>
        <v>486.97200000000004</v>
      </c>
      <c r="EI61" s="903">
        <f>AW61</f>
        <v>492.51299999999998</v>
      </c>
      <c r="EJ61" s="903">
        <f>BA61</f>
        <v>485.09800000000001</v>
      </c>
      <c r="EK61" s="903">
        <f>BE61</f>
        <v>480.65499999999997</v>
      </c>
      <c r="EL61" s="903">
        <v>411.79525999999998</v>
      </c>
      <c r="EM61" s="903">
        <f>BM61</f>
        <v>416.28022299999998</v>
      </c>
      <c r="EN61" s="903">
        <f>BQ61</f>
        <v>418.815</v>
      </c>
      <c r="EO61" s="903">
        <f t="shared" ref="EO61:EV61" si="174">SUM(EO58:EO60)</f>
        <v>392.59</v>
      </c>
      <c r="EP61" s="903">
        <f t="shared" si="174"/>
        <v>341.4</v>
      </c>
      <c r="EQ61" s="903">
        <f t="shared" si="174"/>
        <v>392.59</v>
      </c>
      <c r="ER61" s="1063">
        <f t="shared" si="174"/>
        <v>341.4</v>
      </c>
      <c r="ES61" s="903">
        <f t="shared" si="174"/>
        <v>338.27600000000001</v>
      </c>
      <c r="ET61" s="903">
        <f t="shared" si="174"/>
        <v>335.15200000000004</v>
      </c>
      <c r="EU61" s="903">
        <f t="shared" si="174"/>
        <v>346.3</v>
      </c>
      <c r="EV61" s="903">
        <f t="shared" si="174"/>
        <v>351.2</v>
      </c>
      <c r="EW61" s="903">
        <f t="shared" ref="EW61:FF61" si="175">SUM(EW58:EW60)</f>
        <v>323.779</v>
      </c>
      <c r="EX61" s="903">
        <f t="shared" si="175"/>
        <v>311.108</v>
      </c>
      <c r="EY61" s="903">
        <v>300.39999999999998</v>
      </c>
      <c r="EZ61" s="1787">
        <f>SUM(EZ58:EZ60)</f>
        <v>278.36884707295059</v>
      </c>
      <c r="FA61" s="1222">
        <f t="shared" si="175"/>
        <v>268.02100198324712</v>
      </c>
      <c r="FB61" s="1222">
        <f t="shared" si="175"/>
        <v>258.75216856448185</v>
      </c>
      <c r="FC61" s="1222">
        <f t="shared" si="175"/>
        <v>254.35596736539651</v>
      </c>
      <c r="FD61" s="1222">
        <f t="shared" si="175"/>
        <v>251.13398405957673</v>
      </c>
      <c r="FE61" s="1222">
        <f t="shared" si="175"/>
        <v>249.01621101101767</v>
      </c>
      <c r="FF61" s="1222">
        <f t="shared" si="175"/>
        <v>247.93816576387366</v>
      </c>
      <c r="FG61" s="1222">
        <f>SUM(FG58:FG60)</f>
        <v>247.84048855844068</v>
      </c>
      <c r="FH61" s="1222">
        <f>SUM(FH58:FH60)</f>
        <v>248.66856979654156</v>
      </c>
      <c r="FI61" s="413"/>
      <c r="FJ61"/>
      <c r="FK61"/>
      <c r="FL61"/>
      <c r="FM61"/>
      <c r="FN61"/>
      <c r="FO61"/>
      <c r="FP61" s="4"/>
      <c r="FQ61" s="4"/>
      <c r="FR61" s="4"/>
      <c r="FS61" s="899"/>
      <c r="FT61" s="899"/>
      <c r="FU61"/>
      <c r="FV61" s="899"/>
      <c r="FW61" s="899"/>
      <c r="FX61" s="899"/>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row>
    <row r="62" spans="1:260" s="4" customFormat="1" ht="11.25" customHeight="1" collapsed="1" x14ac:dyDescent="0.2">
      <c r="A62" s="329" t="s">
        <v>451</v>
      </c>
      <c r="B62" s="341"/>
      <c r="C62" s="341">
        <f t="shared" ref="C62:AH62" si="176">AVERAGE(B61:C61)</f>
        <v>373.113</v>
      </c>
      <c r="D62" s="341">
        <f t="shared" si="176"/>
        <v>375.02549999999997</v>
      </c>
      <c r="E62" s="635">
        <f t="shared" si="176"/>
        <v>375.52499999999998</v>
      </c>
      <c r="F62" s="341">
        <f t="shared" si="176"/>
        <v>376.18200000000002</v>
      </c>
      <c r="G62" s="341">
        <f t="shared" si="176"/>
        <v>377.64449999999999</v>
      </c>
      <c r="H62" s="341">
        <f t="shared" si="176"/>
        <v>379.04399999999998</v>
      </c>
      <c r="I62" s="635">
        <f t="shared" si="176"/>
        <v>379.71450000000004</v>
      </c>
      <c r="J62" s="341">
        <f t="shared" si="176"/>
        <v>381.64499999999998</v>
      </c>
      <c r="K62" s="341">
        <f t="shared" si="176"/>
        <v>383.68799999999999</v>
      </c>
      <c r="L62" s="341">
        <f t="shared" si="176"/>
        <v>384.1875</v>
      </c>
      <c r="M62" s="635">
        <f t="shared" si="176"/>
        <v>384.9615</v>
      </c>
      <c r="N62" s="341">
        <f t="shared" si="176"/>
        <v>386.84699999999998</v>
      </c>
      <c r="O62" s="341">
        <f t="shared" si="176"/>
        <v>388.55700000000002</v>
      </c>
      <c r="P62" s="341">
        <f t="shared" si="176"/>
        <v>389.22750000000002</v>
      </c>
      <c r="Q62" s="635">
        <f t="shared" si="176"/>
        <v>389.52</v>
      </c>
      <c r="R62" s="341">
        <f t="shared" si="176"/>
        <v>391.91849999999999</v>
      </c>
      <c r="S62" s="341">
        <f t="shared" si="176"/>
        <v>394.28549999999996</v>
      </c>
      <c r="T62" s="341">
        <f t="shared" si="176"/>
        <v>394.7355</v>
      </c>
      <c r="U62" s="635">
        <f t="shared" si="176"/>
        <v>398.39400000000001</v>
      </c>
      <c r="V62" s="341">
        <f t="shared" si="176"/>
        <v>426.5145</v>
      </c>
      <c r="W62" s="341">
        <f t="shared" si="176"/>
        <v>452.42999999999995</v>
      </c>
      <c r="X62" s="341">
        <f t="shared" si="176"/>
        <v>453.71699999999998</v>
      </c>
      <c r="Y62" s="635">
        <f t="shared" si="176"/>
        <v>456.05925000000002</v>
      </c>
      <c r="Z62" s="341">
        <f t="shared" si="176"/>
        <v>458.35650000000004</v>
      </c>
      <c r="AA62" s="341">
        <f t="shared" si="176"/>
        <v>460.21050000000002</v>
      </c>
      <c r="AB62" s="341">
        <f t="shared" si="176"/>
        <v>460.89112499999999</v>
      </c>
      <c r="AC62" s="635">
        <f t="shared" si="176"/>
        <v>455.38874999999996</v>
      </c>
      <c r="AD62" s="341">
        <f t="shared" si="176"/>
        <v>458.02575000000002</v>
      </c>
      <c r="AE62" s="341">
        <f t="shared" si="176"/>
        <v>466.14375000000001</v>
      </c>
      <c r="AF62" s="341">
        <f t="shared" si="176"/>
        <v>467.27324999999996</v>
      </c>
      <c r="AG62" s="635">
        <f t="shared" si="176"/>
        <v>467.88412499999998</v>
      </c>
      <c r="AH62" s="341">
        <f t="shared" si="176"/>
        <v>470.39175</v>
      </c>
      <c r="AI62" s="341">
        <f t="shared" ref="AI62:BE62" si="177">AVERAGE(AH61:AI61)</f>
        <v>473.45400000000001</v>
      </c>
      <c r="AJ62" s="341">
        <f t="shared" si="177"/>
        <v>475.34625</v>
      </c>
      <c r="AK62" s="635">
        <f t="shared" si="177"/>
        <v>477.47474999999997</v>
      </c>
      <c r="AL62" s="341">
        <f t="shared" si="177"/>
        <v>480.37950000000001</v>
      </c>
      <c r="AM62" s="341">
        <f t="shared" si="177"/>
        <v>482.21775000000002</v>
      </c>
      <c r="AN62" s="341">
        <f t="shared" si="177"/>
        <v>482.47800000000001</v>
      </c>
      <c r="AO62" s="635">
        <f t="shared" si="177"/>
        <v>482.76824999999997</v>
      </c>
      <c r="AP62" s="341">
        <f t="shared" si="177"/>
        <v>483.27375000000001</v>
      </c>
      <c r="AQ62" s="341">
        <f t="shared" si="177"/>
        <v>484.51949999999999</v>
      </c>
      <c r="AR62" s="341">
        <f t="shared" si="177"/>
        <v>486.2235</v>
      </c>
      <c r="AS62" s="635">
        <f t="shared" si="177"/>
        <v>486.98924999999997</v>
      </c>
      <c r="AT62" s="341">
        <f t="shared" si="177"/>
        <v>487.11975000000001</v>
      </c>
      <c r="AU62" s="341">
        <f t="shared" si="177"/>
        <v>486.93150000000003</v>
      </c>
      <c r="AV62" s="341">
        <f t="shared" si="177"/>
        <v>489.35400000000004</v>
      </c>
      <c r="AW62" s="635">
        <f t="shared" si="177"/>
        <v>492.31274999999999</v>
      </c>
      <c r="AX62" s="341">
        <f t="shared" si="177"/>
        <v>490.11450000000002</v>
      </c>
      <c r="AY62" s="341">
        <f t="shared" si="177"/>
        <v>490.08000000000004</v>
      </c>
      <c r="AZ62" s="341">
        <f t="shared" si="177"/>
        <v>491.185</v>
      </c>
      <c r="BA62" s="635">
        <f t="shared" si="177"/>
        <v>487.512</v>
      </c>
      <c r="BB62" s="341">
        <f t="shared" si="177"/>
        <v>484.55600000000004</v>
      </c>
      <c r="BC62" s="341">
        <f t="shared" si="177"/>
        <v>482.13200000000001</v>
      </c>
      <c r="BD62" s="341">
        <f t="shared" si="177"/>
        <v>481.08850000000001</v>
      </c>
      <c r="BE62" s="635">
        <f t="shared" si="177"/>
        <v>481.291</v>
      </c>
      <c r="BF62" s="318">
        <v>478.8</v>
      </c>
      <c r="BG62" s="318">
        <v>444.1</v>
      </c>
      <c r="BH62" s="318">
        <v>418.7</v>
      </c>
      <c r="BI62" s="635">
        <v>418.2</v>
      </c>
      <c r="BJ62" s="873">
        <v>411.4</v>
      </c>
      <c r="BK62" s="873">
        <v>412.1</v>
      </c>
      <c r="BL62" s="873">
        <v>412.9</v>
      </c>
      <c r="BM62" s="874">
        <v>413.6</v>
      </c>
      <c r="BN62" s="873">
        <v>415.2</v>
      </c>
      <c r="BO62" s="873">
        <v>416.5</v>
      </c>
      <c r="BP62" s="873">
        <v>417.1</v>
      </c>
      <c r="BQ62" s="874">
        <v>418.5</v>
      </c>
      <c r="BR62" s="898">
        <v>420.3</v>
      </c>
      <c r="BS62" s="898">
        <v>413.5</v>
      </c>
      <c r="BT62" s="898">
        <v>397.1</v>
      </c>
      <c r="BU62" s="909">
        <v>393.3</v>
      </c>
      <c r="BV62" s="898">
        <v>387.7</v>
      </c>
      <c r="BW62" s="898">
        <v>371.9</v>
      </c>
      <c r="BX62" s="898">
        <v>359.7</v>
      </c>
      <c r="BY62" s="909">
        <v>347.5</v>
      </c>
      <c r="BZ62" s="898">
        <v>419.7</v>
      </c>
      <c r="CA62" s="898">
        <v>417.7</v>
      </c>
      <c r="CB62" s="898">
        <v>400.9</v>
      </c>
      <c r="CC62" s="909">
        <v>393.9</v>
      </c>
      <c r="CD62" s="898">
        <v>391.1</v>
      </c>
      <c r="CE62" s="898">
        <v>376</v>
      </c>
      <c r="CF62" s="898">
        <v>363.4</v>
      </c>
      <c r="CG62" s="909">
        <v>351.8</v>
      </c>
      <c r="CH62" s="898">
        <v>342.2</v>
      </c>
      <c r="CI62" s="898">
        <v>338.2</v>
      </c>
      <c r="CJ62" s="898">
        <v>337.2</v>
      </c>
      <c r="CK62" s="909">
        <v>338.1</v>
      </c>
      <c r="CL62" s="898">
        <v>342.2</v>
      </c>
      <c r="CM62" s="898">
        <v>338.2</v>
      </c>
      <c r="CN62" s="898">
        <v>337.2</v>
      </c>
      <c r="CO62" s="909">
        <v>338.1</v>
      </c>
      <c r="CP62" s="917">
        <v>339</v>
      </c>
      <c r="CQ62" s="910">
        <v>340.4</v>
      </c>
      <c r="CR62" s="910">
        <v>342.8</v>
      </c>
      <c r="CS62" s="909">
        <f>AVERAGE(CS61,CS58)</f>
        <v>342.11500000000001</v>
      </c>
      <c r="CT62" s="917">
        <v>347.4</v>
      </c>
      <c r="CU62" s="910">
        <f>AVERAGE(CU61,CU58)</f>
        <v>348.35</v>
      </c>
      <c r="CV62" s="910">
        <f>AVERAGE(CV61,CV58)</f>
        <v>349.70000000000005</v>
      </c>
      <c r="CW62" s="909">
        <v>351.2</v>
      </c>
      <c r="CX62" s="2030">
        <v>352.4</v>
      </c>
      <c r="CY62" s="2030">
        <v>349.6</v>
      </c>
      <c r="CZ62" s="2030">
        <v>344.7</v>
      </c>
      <c r="DA62" s="2031">
        <v>339.3</v>
      </c>
      <c r="DB62" s="2030">
        <v>323.60000000000002</v>
      </c>
      <c r="DC62" s="2030">
        <v>320.8</v>
      </c>
      <c r="DD62" s="2030">
        <v>316.2</v>
      </c>
      <c r="DE62" s="2031">
        <v>313.3</v>
      </c>
      <c r="DF62" s="2030">
        <v>309.2</v>
      </c>
      <c r="DG62" s="2030">
        <v>304.10000000000002</v>
      </c>
      <c r="DH62" s="2030">
        <v>299.10000000000002</v>
      </c>
      <c r="DI62" s="2031">
        <v>289.89999999999998</v>
      </c>
      <c r="DJ62" s="1674">
        <f t="shared" ref="DJ62:DM62" si="178">AVERAGE(DJ61,DJ58)</f>
        <v>286.5706081081081</v>
      </c>
      <c r="DK62" s="1635">
        <f t="shared" si="178"/>
        <v>282.63125167246449</v>
      </c>
      <c r="DL62" s="1635">
        <f t="shared" si="178"/>
        <v>281.42788163984983</v>
      </c>
      <c r="DM62" s="909">
        <f t="shared" si="178"/>
        <v>279.60166161196867</v>
      </c>
      <c r="DN62" s="917"/>
      <c r="DO62" s="874"/>
      <c r="DP62" s="47"/>
      <c r="DQ62" s="47"/>
      <c r="DR62" s="47"/>
      <c r="DS62" s="47"/>
      <c r="DT62" s="47"/>
      <c r="DU62" s="47"/>
      <c r="DV62" s="47"/>
      <c r="DW62" s="47"/>
      <c r="DX62" s="47">
        <f>AVERAGE(B62:E62)</f>
        <v>374.55450000000002</v>
      </c>
      <c r="DY62" s="47">
        <f>AVERAGE(F62:I62)</f>
        <v>378.14625000000001</v>
      </c>
      <c r="DZ62" s="47">
        <f>AVERAGE(J62:M62)</f>
        <v>383.62049999999999</v>
      </c>
      <c r="EA62" s="47">
        <f>AVERAGE(N62:Q62)</f>
        <v>388.53787499999999</v>
      </c>
      <c r="EB62" s="47">
        <f>AVERAGE(R62:U62)</f>
        <v>394.83337499999999</v>
      </c>
      <c r="EC62" s="47">
        <f>AVERAGE(V62:Y62)</f>
        <v>447.18018749999999</v>
      </c>
      <c r="ED62" s="47">
        <f>AVERAGE(Z62:AC62)</f>
        <v>458.71171875000005</v>
      </c>
      <c r="EE62" s="47">
        <f>AVERAGE(AD62:AG62)</f>
        <v>464.83171874999999</v>
      </c>
      <c r="EF62" s="47">
        <f>AVERAGE(AH62:AK62)</f>
        <v>474.16668749999997</v>
      </c>
      <c r="EG62" s="47">
        <f>AVERAGE(AL62:AO62)</f>
        <v>481.96087499999999</v>
      </c>
      <c r="EH62" s="47">
        <f>AVERAGE(AP62:AS62)</f>
        <v>485.25149999999996</v>
      </c>
      <c r="EI62" s="47">
        <f>AVERAGE(AT62:AW62)</f>
        <v>488.92950000000002</v>
      </c>
      <c r="EJ62" s="47">
        <f>AVERAGE(AX62:BA62)</f>
        <v>489.72287499999999</v>
      </c>
      <c r="EK62" s="873">
        <f>AVERAGE(BB62:BE62)</f>
        <v>482.26687500000003</v>
      </c>
      <c r="EL62" s="873">
        <v>439.9</v>
      </c>
      <c r="EM62" s="873">
        <v>412.5</v>
      </c>
      <c r="EN62" s="873">
        <v>416.8</v>
      </c>
      <c r="EO62" s="873">
        <v>406.1</v>
      </c>
      <c r="EP62" s="898">
        <f>AVERAGE(EP61,EO61)</f>
        <v>366.995</v>
      </c>
      <c r="EQ62" s="898">
        <v>408.1</v>
      </c>
      <c r="ER62" s="917">
        <v>370.6</v>
      </c>
      <c r="ES62" s="910">
        <f>AVERAGE(CH62:CK62)</f>
        <v>338.92499999999995</v>
      </c>
      <c r="ET62" s="910">
        <f>AVERAGE(CL62:CO62)</f>
        <v>338.92499999999995</v>
      </c>
      <c r="EU62" s="910">
        <f>AVERAGE(CP62:CS62)</f>
        <v>341.07875000000001</v>
      </c>
      <c r="EV62" s="2030">
        <v>349.5</v>
      </c>
      <c r="EW62" s="910">
        <f>AVERAGE(CX62:DA62)</f>
        <v>346.5</v>
      </c>
      <c r="EX62" s="910">
        <f>AVERAGE(DB62:DE62)</f>
        <v>318.47500000000002</v>
      </c>
      <c r="EY62" s="910">
        <f>AVERAGE(DF62:DI62)</f>
        <v>300.57499999999999</v>
      </c>
      <c r="EZ62" s="1674">
        <f>AVERAGE(DJ62:DM62)</f>
        <v>282.55785075809774</v>
      </c>
      <c r="FA62" s="915">
        <f t="shared" ref="FA62:FH62" si="179">AVERAGE(EZ61:FA61)</f>
        <v>273.19492452809885</v>
      </c>
      <c r="FB62" s="915">
        <f t="shared" si="179"/>
        <v>263.38658527386451</v>
      </c>
      <c r="FC62" s="915">
        <f t="shared" si="179"/>
        <v>256.55406796493918</v>
      </c>
      <c r="FD62" s="915">
        <f t="shared" si="179"/>
        <v>252.74497571248662</v>
      </c>
      <c r="FE62" s="915">
        <f t="shared" si="179"/>
        <v>250.0750975352972</v>
      </c>
      <c r="FF62" s="915">
        <f t="shared" si="179"/>
        <v>248.47718838744566</v>
      </c>
      <c r="FG62" s="915">
        <f t="shared" si="179"/>
        <v>247.88932716115715</v>
      </c>
      <c r="FH62" s="915">
        <f t="shared" si="179"/>
        <v>248.25452917749112</v>
      </c>
      <c r="FI62" s="413"/>
      <c r="FJ62"/>
      <c r="FK62"/>
      <c r="FL62"/>
      <c r="FM62"/>
      <c r="FN62"/>
      <c r="FO62"/>
      <c r="FS62" s="910"/>
      <c r="FT62" s="910"/>
      <c r="FU62"/>
      <c r="FV62" s="910"/>
      <c r="FW62" s="910"/>
      <c r="FX62" s="910"/>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row>
    <row r="63" spans="1:260" s="88" customFormat="1" hidden="1" outlineLevel="1" x14ac:dyDescent="0.2">
      <c r="A63" s="412" t="s">
        <v>165</v>
      </c>
      <c r="B63" s="191"/>
      <c r="C63" s="191"/>
      <c r="D63" s="191"/>
      <c r="E63" s="463"/>
      <c r="F63" s="191"/>
      <c r="G63" s="191"/>
      <c r="H63" s="191"/>
      <c r="I63" s="463"/>
      <c r="J63" s="191"/>
      <c r="K63" s="191"/>
      <c r="L63" s="191"/>
      <c r="M63" s="463"/>
      <c r="N63" s="191"/>
      <c r="O63" s="191"/>
      <c r="P63" s="191"/>
      <c r="Q63" s="463"/>
      <c r="R63" s="191"/>
      <c r="S63" s="191"/>
      <c r="T63" s="191"/>
      <c r="U63" s="463"/>
      <c r="V63" s="191"/>
      <c r="W63" s="191"/>
      <c r="X63" s="191"/>
      <c r="Y63" s="463"/>
      <c r="Z63" s="191"/>
      <c r="AA63" s="191"/>
      <c r="AB63" s="191"/>
      <c r="AC63" s="463"/>
      <c r="AD63" s="191"/>
      <c r="AE63" s="191"/>
      <c r="AF63" s="191"/>
      <c r="AG63" s="463"/>
      <c r="AH63" s="191"/>
      <c r="AI63" s="191"/>
      <c r="AJ63" s="191"/>
      <c r="AK63" s="463"/>
      <c r="AL63" s="873">
        <f t="shared" ref="AL63:BQ63" si="180">AL65-AL62</f>
        <v>9.0704999999999814</v>
      </c>
      <c r="AM63" s="873">
        <f t="shared" si="180"/>
        <v>4.5322499999999764</v>
      </c>
      <c r="AN63" s="873">
        <f t="shared" si="180"/>
        <v>3.6719999999999686</v>
      </c>
      <c r="AO63" s="874">
        <f t="shared" si="180"/>
        <v>3.8317500000000564</v>
      </c>
      <c r="AP63" s="873">
        <f t="shared" si="180"/>
        <v>4.5262500000000045</v>
      </c>
      <c r="AQ63" s="873">
        <f t="shared" si="180"/>
        <v>7.180499999999995</v>
      </c>
      <c r="AR63" s="873">
        <f t="shared" si="180"/>
        <v>9.5264999999999986</v>
      </c>
      <c r="AS63" s="874">
        <f t="shared" si="180"/>
        <v>16.410750000000007</v>
      </c>
      <c r="AT63" s="873">
        <f t="shared" si="180"/>
        <v>16.430250000000001</v>
      </c>
      <c r="AU63" s="873">
        <f t="shared" si="180"/>
        <v>15.718499999999949</v>
      </c>
      <c r="AV63" s="873">
        <f t="shared" si="180"/>
        <v>17.19599999999997</v>
      </c>
      <c r="AW63" s="874">
        <f t="shared" si="180"/>
        <v>15.287250000000029</v>
      </c>
      <c r="AX63" s="873">
        <f t="shared" si="180"/>
        <v>15.18549999999999</v>
      </c>
      <c r="AY63" s="873">
        <f t="shared" si="180"/>
        <v>19.019999999999982</v>
      </c>
      <c r="AZ63" s="873">
        <f t="shared" si="180"/>
        <v>16.014999999999986</v>
      </c>
      <c r="BA63" s="874">
        <f t="shared" si="180"/>
        <v>15.387999999999977</v>
      </c>
      <c r="BB63" s="873">
        <f t="shared" si="180"/>
        <v>16.243999999999971</v>
      </c>
      <c r="BC63" s="873">
        <f t="shared" si="180"/>
        <v>14.367999999999995</v>
      </c>
      <c r="BD63" s="873">
        <f t="shared" si="180"/>
        <v>14.711500000000001</v>
      </c>
      <c r="BE63" s="874">
        <f t="shared" si="180"/>
        <v>13.309000000000026</v>
      </c>
      <c r="BF63" s="873">
        <f t="shared" si="180"/>
        <v>12.699999999999989</v>
      </c>
      <c r="BG63" s="873">
        <f t="shared" si="180"/>
        <v>12.099999999999966</v>
      </c>
      <c r="BH63" s="873">
        <f t="shared" si="180"/>
        <v>12.100000000000023</v>
      </c>
      <c r="BI63" s="874">
        <f t="shared" si="180"/>
        <v>13.199999999999989</v>
      </c>
      <c r="BJ63" s="873">
        <f t="shared" si="180"/>
        <v>12</v>
      </c>
      <c r="BK63" s="873">
        <f t="shared" si="180"/>
        <v>11.199999999999989</v>
      </c>
      <c r="BL63" s="873">
        <f t="shared" si="180"/>
        <v>9.7000000000000455</v>
      </c>
      <c r="BM63" s="874">
        <f t="shared" si="180"/>
        <v>9.5999999999999659</v>
      </c>
      <c r="BN63" s="873">
        <f t="shared" si="180"/>
        <v>10.5</v>
      </c>
      <c r="BO63" s="873">
        <f t="shared" si="180"/>
        <v>10.5</v>
      </c>
      <c r="BP63" s="873">
        <f t="shared" si="180"/>
        <v>11.5</v>
      </c>
      <c r="BQ63" s="874">
        <f t="shared" si="180"/>
        <v>11.100000000000023</v>
      </c>
      <c r="BR63" s="873">
        <f t="shared" ref="BR63:CR63" si="181">BR65-BR62</f>
        <v>11.399999999999977</v>
      </c>
      <c r="BS63" s="873">
        <f t="shared" si="181"/>
        <v>10.100000000000023</v>
      </c>
      <c r="BT63" s="873">
        <f t="shared" si="181"/>
        <v>10.699999999999989</v>
      </c>
      <c r="BU63" s="874">
        <f t="shared" si="181"/>
        <v>10.099999999999966</v>
      </c>
      <c r="BV63" s="873">
        <f t="shared" si="181"/>
        <v>9.5</v>
      </c>
      <c r="BW63" s="873">
        <f t="shared" si="181"/>
        <v>9.5</v>
      </c>
      <c r="BX63" s="873">
        <f t="shared" si="181"/>
        <v>9.1000000000000227</v>
      </c>
      <c r="BY63" s="874">
        <f t="shared" si="181"/>
        <v>5</v>
      </c>
      <c r="BZ63" s="873">
        <f t="shared" si="181"/>
        <v>11</v>
      </c>
      <c r="CA63" s="873">
        <f t="shared" si="181"/>
        <v>10.800000000000011</v>
      </c>
      <c r="CB63" s="873">
        <f t="shared" si="181"/>
        <v>10.300000000000011</v>
      </c>
      <c r="CC63" s="874">
        <f t="shared" si="181"/>
        <v>11</v>
      </c>
      <c r="CD63" s="873">
        <f t="shared" si="181"/>
        <v>9.5999999999999659</v>
      </c>
      <c r="CE63" s="873">
        <f t="shared" si="181"/>
        <v>9.6000000000000227</v>
      </c>
      <c r="CF63" s="873">
        <f t="shared" si="181"/>
        <v>9</v>
      </c>
      <c r="CG63" s="874">
        <f t="shared" si="181"/>
        <v>0</v>
      </c>
      <c r="CH63" s="873">
        <f t="shared" si="181"/>
        <v>0.60000000000002274</v>
      </c>
      <c r="CI63" s="873">
        <f t="shared" si="181"/>
        <v>0.40000000000003411</v>
      </c>
      <c r="CJ63" s="873">
        <f t="shared" si="181"/>
        <v>0</v>
      </c>
      <c r="CK63" s="874">
        <f t="shared" si="181"/>
        <v>0</v>
      </c>
      <c r="CL63" s="873">
        <f t="shared" si="181"/>
        <v>0.60000000000002274</v>
      </c>
      <c r="CM63" s="873">
        <f t="shared" si="181"/>
        <v>0.40000000000003411</v>
      </c>
      <c r="CN63" s="873">
        <f t="shared" si="181"/>
        <v>0.90000000000003411</v>
      </c>
      <c r="CO63" s="874">
        <f t="shared" si="181"/>
        <v>0.39999999999997726</v>
      </c>
      <c r="CP63" s="1062">
        <f t="shared" si="181"/>
        <v>2</v>
      </c>
      <c r="CQ63" s="947">
        <f t="shared" si="181"/>
        <v>4</v>
      </c>
      <c r="CR63" s="947">
        <f t="shared" si="181"/>
        <v>6.0999999999999659</v>
      </c>
      <c r="CS63" s="799">
        <f>CR63</f>
        <v>6.0999999999999659</v>
      </c>
      <c r="CT63" s="1070">
        <f t="shared" ref="CT63:DC63" si="182">CT65-CT62</f>
        <v>3</v>
      </c>
      <c r="CU63" s="947">
        <f t="shared" si="182"/>
        <v>3.8499999999999659</v>
      </c>
      <c r="CV63" s="947">
        <f t="shared" si="182"/>
        <v>4.2999999999999545</v>
      </c>
      <c r="CW63" s="874">
        <f t="shared" si="182"/>
        <v>5</v>
      </c>
      <c r="CX63" s="947">
        <f t="shared" si="182"/>
        <v>2.9869047619047819</v>
      </c>
      <c r="CY63" s="947">
        <f t="shared" si="182"/>
        <v>4.2999999999999545</v>
      </c>
      <c r="CZ63" s="947">
        <f t="shared" si="182"/>
        <v>4.3000000000000114</v>
      </c>
      <c r="DA63" s="874">
        <f t="shared" si="182"/>
        <v>3</v>
      </c>
      <c r="DB63" s="947">
        <f t="shared" si="182"/>
        <v>3.0999999999999659</v>
      </c>
      <c r="DC63" s="947">
        <f t="shared" si="182"/>
        <v>2.0999999999999659</v>
      </c>
      <c r="DD63" s="947">
        <f t="shared" ref="DD63:DI63" si="183">DD65-DD62</f>
        <v>3.8000000000000114</v>
      </c>
      <c r="DE63" s="900">
        <f t="shared" si="183"/>
        <v>5</v>
      </c>
      <c r="DF63" s="947">
        <f t="shared" si="183"/>
        <v>5.8000000000000114</v>
      </c>
      <c r="DG63" s="947">
        <f t="shared" si="183"/>
        <v>6.6999999999999886</v>
      </c>
      <c r="DH63" s="947">
        <f t="shared" si="183"/>
        <v>6.2999999999999545</v>
      </c>
      <c r="DI63" s="900">
        <f t="shared" si="183"/>
        <v>6.8000000000000114</v>
      </c>
      <c r="DJ63" s="1785">
        <v>1.03</v>
      </c>
      <c r="DK63" s="947">
        <v>1.03</v>
      </c>
      <c r="DL63" s="947">
        <v>1.03</v>
      </c>
      <c r="DM63" s="874">
        <v>1.03</v>
      </c>
      <c r="DN63" s="965"/>
      <c r="DO63" s="872"/>
      <c r="DP63" s="899"/>
      <c r="DQ63" s="899"/>
      <c r="DR63" s="899"/>
      <c r="DS63" s="899"/>
      <c r="DT63" s="899"/>
      <c r="DU63" s="899"/>
      <c r="DV63" s="899"/>
      <c r="DW63" s="899"/>
      <c r="DX63" s="873"/>
      <c r="DY63" s="873">
        <f t="shared" ref="DY63:ET63" si="184">DY65-DY62</f>
        <v>13.09274999999991</v>
      </c>
      <c r="DZ63" s="873">
        <f t="shared" si="184"/>
        <v>9.1394999999999982</v>
      </c>
      <c r="EA63" s="873">
        <f t="shared" si="184"/>
        <v>4.0691249999999854</v>
      </c>
      <c r="EB63" s="873">
        <f t="shared" si="184"/>
        <v>55.733625000000075</v>
      </c>
      <c r="EC63" s="873">
        <f t="shared" si="184"/>
        <v>25.319812500000012</v>
      </c>
      <c r="ED63" s="873">
        <f t="shared" si="184"/>
        <v>19.593281249999961</v>
      </c>
      <c r="EE63" s="873">
        <f t="shared" si="184"/>
        <v>13.610531250000008</v>
      </c>
      <c r="EF63" s="873">
        <f t="shared" si="184"/>
        <v>9.6395625000000109</v>
      </c>
      <c r="EG63" s="873">
        <f t="shared" si="184"/>
        <v>5.2766250000000241</v>
      </c>
      <c r="EH63" s="873">
        <f t="shared" si="184"/>
        <v>15.548500000000047</v>
      </c>
      <c r="EI63" s="873">
        <f t="shared" si="184"/>
        <v>16.157999999999959</v>
      </c>
      <c r="EJ63" s="873">
        <f t="shared" si="184"/>
        <v>15.077125000000024</v>
      </c>
      <c r="EK63" s="873">
        <f t="shared" si="184"/>
        <v>13.933124999999961</v>
      </c>
      <c r="EL63" s="873">
        <f t="shared" si="184"/>
        <v>13</v>
      </c>
      <c r="EM63" s="873">
        <f t="shared" si="184"/>
        <v>10.399999999999977</v>
      </c>
      <c r="EN63" s="873">
        <f t="shared" si="184"/>
        <v>10.699999999999989</v>
      </c>
      <c r="EO63" s="873">
        <f t="shared" si="184"/>
        <v>10.399999999999977</v>
      </c>
      <c r="EP63" s="873">
        <f t="shared" si="184"/>
        <v>7.9799999999999613</v>
      </c>
      <c r="EQ63" s="873">
        <f t="shared" si="184"/>
        <v>10.699999999999989</v>
      </c>
      <c r="ER63" s="1062">
        <f t="shared" si="184"/>
        <v>0</v>
      </c>
      <c r="ES63" s="947">
        <f t="shared" si="184"/>
        <v>0.25000000000011369</v>
      </c>
      <c r="ET63" s="947">
        <f t="shared" si="184"/>
        <v>0.57500000000004547</v>
      </c>
      <c r="EU63" s="798">
        <f>CS63</f>
        <v>6.0999999999999659</v>
      </c>
      <c r="EV63" s="798">
        <f>CW63</f>
        <v>5</v>
      </c>
      <c r="EW63" s="798">
        <f>DA63</f>
        <v>3</v>
      </c>
      <c r="EX63" s="798">
        <f>DE63</f>
        <v>5</v>
      </c>
      <c r="EY63" s="798">
        <f>DI63</f>
        <v>6.8000000000000114</v>
      </c>
      <c r="EZ63" s="1670">
        <f>DM63</f>
        <v>1.03</v>
      </c>
      <c r="FA63" s="898">
        <f t="shared" ref="FA63:FH63" si="185">EZ63*1.03</f>
        <v>1.0609</v>
      </c>
      <c r="FB63" s="898">
        <f t="shared" si="185"/>
        <v>1.092727</v>
      </c>
      <c r="FC63" s="898">
        <f t="shared" si="185"/>
        <v>1.1255088100000001</v>
      </c>
      <c r="FD63" s="898">
        <f t="shared" si="185"/>
        <v>1.1592740743000001</v>
      </c>
      <c r="FE63" s="898">
        <f t="shared" si="185"/>
        <v>1.1940522965290001</v>
      </c>
      <c r="FF63" s="898">
        <f t="shared" si="185"/>
        <v>1.2298738654248702</v>
      </c>
      <c r="FG63" s="898">
        <f t="shared" si="185"/>
        <v>1.2667700813876164</v>
      </c>
      <c r="FH63" s="898">
        <f t="shared" si="185"/>
        <v>1.3047731838292449</v>
      </c>
      <c r="FI63" s="413"/>
      <c r="FJ63"/>
      <c r="FK63"/>
      <c r="FL63"/>
      <c r="FM63"/>
      <c r="FN63"/>
      <c r="FO63"/>
      <c r="FP63" s="4"/>
      <c r="FQ63" s="4"/>
      <c r="FR63" s="4"/>
      <c r="FS63" s="910"/>
      <c r="FT63" s="910"/>
      <c r="FU63"/>
      <c r="FV63" s="910"/>
      <c r="FW63" s="910"/>
      <c r="FX63" s="910"/>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row>
    <row r="64" spans="1:260" s="6" customFormat="1" hidden="1" outlineLevel="1" x14ac:dyDescent="0.2">
      <c r="A64" s="329" t="s">
        <v>452</v>
      </c>
      <c r="B64" s="97">
        <f t="shared" ref="B64:AG64" si="186">B61+B63</f>
        <v>371.54699999999997</v>
      </c>
      <c r="C64" s="97">
        <f t="shared" si="186"/>
        <v>374.67900000000003</v>
      </c>
      <c r="D64" s="97">
        <f t="shared" si="186"/>
        <v>375.37199999999996</v>
      </c>
      <c r="E64" s="467">
        <f t="shared" si="186"/>
        <v>375.678</v>
      </c>
      <c r="F64" s="97">
        <f t="shared" si="186"/>
        <v>376.68599999999998</v>
      </c>
      <c r="G64" s="97">
        <f t="shared" si="186"/>
        <v>378.60300000000001</v>
      </c>
      <c r="H64" s="97">
        <f t="shared" si="186"/>
        <v>379.48500000000001</v>
      </c>
      <c r="I64" s="467">
        <f t="shared" si="186"/>
        <v>379.94400000000002</v>
      </c>
      <c r="J64" s="97">
        <f t="shared" si="186"/>
        <v>383.346</v>
      </c>
      <c r="K64" s="97">
        <f t="shared" si="186"/>
        <v>384.03</v>
      </c>
      <c r="L64" s="97">
        <f t="shared" si="186"/>
        <v>384.34500000000003</v>
      </c>
      <c r="M64" s="467">
        <f t="shared" si="186"/>
        <v>385.57799999999997</v>
      </c>
      <c r="N64" s="97">
        <f t="shared" si="186"/>
        <v>388.11600000000004</v>
      </c>
      <c r="O64" s="97">
        <f t="shared" si="186"/>
        <v>388.99799999999999</v>
      </c>
      <c r="P64" s="97">
        <f t="shared" si="186"/>
        <v>389.45700000000005</v>
      </c>
      <c r="Q64" s="467">
        <f t="shared" si="186"/>
        <v>389.58299999999997</v>
      </c>
      <c r="R64" s="97">
        <f t="shared" si="186"/>
        <v>394.25399999999996</v>
      </c>
      <c r="S64" s="97">
        <f t="shared" si="186"/>
        <v>394.31700000000001</v>
      </c>
      <c r="T64" s="97">
        <f t="shared" si="186"/>
        <v>395.154</v>
      </c>
      <c r="U64" s="467">
        <f t="shared" si="186"/>
        <v>401.63399999999996</v>
      </c>
      <c r="V64" s="97">
        <f t="shared" si="186"/>
        <v>451.39499999999998</v>
      </c>
      <c r="W64" s="97">
        <f t="shared" si="186"/>
        <v>453.46499999999997</v>
      </c>
      <c r="X64" s="97">
        <f t="shared" si="186"/>
        <v>453.96900000000005</v>
      </c>
      <c r="Y64" s="467">
        <f t="shared" si="186"/>
        <v>458.14950000000005</v>
      </c>
      <c r="Z64" s="97">
        <f t="shared" si="186"/>
        <v>458.56350000000003</v>
      </c>
      <c r="AA64" s="97">
        <f t="shared" si="186"/>
        <v>461.85750000000002</v>
      </c>
      <c r="AB64" s="97">
        <f t="shared" si="186"/>
        <v>459.92475000000002</v>
      </c>
      <c r="AC64" s="467">
        <f t="shared" si="186"/>
        <v>450.85274999999996</v>
      </c>
      <c r="AD64" s="97">
        <f t="shared" si="186"/>
        <v>465.19875000000002</v>
      </c>
      <c r="AE64" s="97">
        <f t="shared" si="186"/>
        <v>467.08875</v>
      </c>
      <c r="AF64" s="97">
        <f t="shared" si="186"/>
        <v>467.45774999999998</v>
      </c>
      <c r="AG64" s="467">
        <f t="shared" si="186"/>
        <v>468.31049999999999</v>
      </c>
      <c r="AH64" s="97">
        <f t="shared" ref="AH64:BM64" si="187">AH61+AH63</f>
        <v>472.47300000000001</v>
      </c>
      <c r="AI64" s="97">
        <f t="shared" si="187"/>
        <v>474.435</v>
      </c>
      <c r="AJ64" s="97">
        <f t="shared" si="187"/>
        <v>476.25749999999999</v>
      </c>
      <c r="AK64" s="467">
        <f t="shared" si="187"/>
        <v>478.69200000000001</v>
      </c>
      <c r="AL64" s="97">
        <f t="shared" si="187"/>
        <v>491.13749999999999</v>
      </c>
      <c r="AM64" s="97">
        <f t="shared" si="187"/>
        <v>486.90075000000002</v>
      </c>
      <c r="AN64" s="97">
        <f t="shared" si="187"/>
        <v>486.25949999999995</v>
      </c>
      <c r="AO64" s="467">
        <f t="shared" si="187"/>
        <v>486.78075000000007</v>
      </c>
      <c r="AP64" s="97">
        <f t="shared" si="187"/>
        <v>488.12475000000001</v>
      </c>
      <c r="AQ64" s="97">
        <f t="shared" si="187"/>
        <v>492.62100000000004</v>
      </c>
      <c r="AR64" s="97">
        <f t="shared" si="187"/>
        <v>496.53299999999996</v>
      </c>
      <c r="AS64" s="467">
        <f t="shared" si="187"/>
        <v>503.38275000000004</v>
      </c>
      <c r="AT64" s="97">
        <f t="shared" si="187"/>
        <v>503.69774999999998</v>
      </c>
      <c r="AU64" s="97">
        <f t="shared" si="187"/>
        <v>502.31399999999996</v>
      </c>
      <c r="AV64" s="97">
        <f t="shared" si="187"/>
        <v>509.30849999999998</v>
      </c>
      <c r="AW64" s="467">
        <f t="shared" si="187"/>
        <v>507.80025000000001</v>
      </c>
      <c r="AX64" s="97">
        <f t="shared" si="187"/>
        <v>502.9015</v>
      </c>
      <c r="AY64" s="97">
        <f t="shared" si="187"/>
        <v>511.464</v>
      </c>
      <c r="AZ64" s="97">
        <f t="shared" si="187"/>
        <v>505.94099999999997</v>
      </c>
      <c r="BA64" s="467">
        <f t="shared" si="187"/>
        <v>500.48599999999999</v>
      </c>
      <c r="BB64" s="911">
        <f t="shared" si="187"/>
        <v>500.25799999999998</v>
      </c>
      <c r="BC64" s="911">
        <f t="shared" si="187"/>
        <v>494.61799999999999</v>
      </c>
      <c r="BD64" s="911">
        <f t="shared" si="187"/>
        <v>496.63850000000002</v>
      </c>
      <c r="BE64" s="912">
        <f t="shared" si="187"/>
        <v>493.964</v>
      </c>
      <c r="BF64" s="911">
        <f t="shared" si="187"/>
        <v>486.59800000000001</v>
      </c>
      <c r="BG64" s="911">
        <f t="shared" si="187"/>
        <v>429.87699999999995</v>
      </c>
      <c r="BH64" s="911">
        <f t="shared" si="187"/>
        <v>431.584</v>
      </c>
      <c r="BI64" s="912">
        <f t="shared" si="187"/>
        <v>424.99525999999997</v>
      </c>
      <c r="BJ64" s="911">
        <f t="shared" si="187"/>
        <v>423.93</v>
      </c>
      <c r="BK64" s="911">
        <f t="shared" si="187"/>
        <v>423.53199999999998</v>
      </c>
      <c r="BL64" s="911">
        <f t="shared" si="187"/>
        <v>423.12900000000002</v>
      </c>
      <c r="BM64" s="912">
        <f t="shared" si="187"/>
        <v>425.88022299999994</v>
      </c>
      <c r="BN64" s="911">
        <f t="shared" ref="BN64:CS64" si="188">BN61+BN63</f>
        <v>426.85899999999998</v>
      </c>
      <c r="BO64" s="911">
        <f t="shared" si="188"/>
        <v>427.03899999999999</v>
      </c>
      <c r="BP64" s="911">
        <f t="shared" si="188"/>
        <v>429.53199999999998</v>
      </c>
      <c r="BQ64" s="912">
        <f t="shared" si="188"/>
        <v>429.91500000000002</v>
      </c>
      <c r="BR64" s="911">
        <f t="shared" si="188"/>
        <v>431.46199999999999</v>
      </c>
      <c r="BS64" s="911">
        <f t="shared" si="188"/>
        <v>413.06100000000004</v>
      </c>
      <c r="BT64" s="911">
        <f t="shared" si="188"/>
        <v>404.767</v>
      </c>
      <c r="BU64" s="912">
        <f t="shared" si="188"/>
        <v>402.68999999999994</v>
      </c>
      <c r="BV64" s="911">
        <f t="shared" si="188"/>
        <v>387.46300000000002</v>
      </c>
      <c r="BW64" s="911">
        <f t="shared" si="188"/>
        <v>375.05599999999998</v>
      </c>
      <c r="BX64" s="911">
        <f t="shared" si="188"/>
        <v>363.09100000000001</v>
      </c>
      <c r="BY64" s="912">
        <f t="shared" si="188"/>
        <v>346.4</v>
      </c>
      <c r="BZ64" s="911">
        <f t="shared" si="188"/>
        <v>431.06200000000001</v>
      </c>
      <c r="CA64" s="911">
        <f t="shared" si="188"/>
        <v>413.76100000000002</v>
      </c>
      <c r="CB64" s="911">
        <f t="shared" si="188"/>
        <v>404.36700000000002</v>
      </c>
      <c r="CC64" s="912">
        <f t="shared" si="188"/>
        <v>403.59</v>
      </c>
      <c r="CD64" s="911">
        <f t="shared" si="188"/>
        <v>387.56299999999999</v>
      </c>
      <c r="CE64" s="911">
        <f t="shared" si="188"/>
        <v>375.15600000000001</v>
      </c>
      <c r="CF64" s="911">
        <f t="shared" si="188"/>
        <v>362.99099999999999</v>
      </c>
      <c r="CG64" s="912">
        <f t="shared" si="188"/>
        <v>341.4</v>
      </c>
      <c r="CH64" s="911">
        <f t="shared" si="188"/>
        <v>342.84700000000004</v>
      </c>
      <c r="CI64" s="911">
        <f t="shared" si="188"/>
        <v>336.93</v>
      </c>
      <c r="CJ64" s="911">
        <f t="shared" si="188"/>
        <v>337.93</v>
      </c>
      <c r="CK64" s="912">
        <f t="shared" si="188"/>
        <v>338.27600000000001</v>
      </c>
      <c r="CL64" s="911">
        <f t="shared" si="188"/>
        <v>342.84700000000004</v>
      </c>
      <c r="CM64" s="911">
        <f t="shared" si="188"/>
        <v>336.93</v>
      </c>
      <c r="CN64" s="911">
        <f t="shared" si="188"/>
        <v>338.83000000000004</v>
      </c>
      <c r="CO64" s="912">
        <f t="shared" si="188"/>
        <v>338.67599999999999</v>
      </c>
      <c r="CP64" s="1064">
        <f t="shared" si="188"/>
        <v>341.74</v>
      </c>
      <c r="CQ64" s="911">
        <f t="shared" si="188"/>
        <v>343.85</v>
      </c>
      <c r="CR64" s="911">
        <f t="shared" si="188"/>
        <v>344.03</v>
      </c>
      <c r="CS64" s="912">
        <f t="shared" si="188"/>
        <v>352.4</v>
      </c>
      <c r="CT64" s="1064">
        <f t="shared" ref="CT64:DE64" si="189">+CT65*2-CS64</f>
        <v>348.4</v>
      </c>
      <c r="CU64" s="911">
        <f t="shared" si="189"/>
        <v>356</v>
      </c>
      <c r="CV64" s="911">
        <f t="shared" si="189"/>
        <v>352</v>
      </c>
      <c r="CW64" s="912">
        <f t="shared" si="189"/>
        <v>360.4</v>
      </c>
      <c r="CX64" s="911">
        <f t="shared" si="189"/>
        <v>350.37380952380954</v>
      </c>
      <c r="CY64" s="911">
        <f t="shared" si="189"/>
        <v>357.42619047619041</v>
      </c>
      <c r="CZ64" s="911">
        <f t="shared" si="189"/>
        <v>340.57380952380959</v>
      </c>
      <c r="DA64" s="912">
        <f t="shared" si="189"/>
        <v>344.02619047619044</v>
      </c>
      <c r="DB64" s="911">
        <v>326.7</v>
      </c>
      <c r="DC64" s="911">
        <f t="shared" si="189"/>
        <v>319.09999999999997</v>
      </c>
      <c r="DD64" s="911">
        <f t="shared" si="189"/>
        <v>320.90000000000003</v>
      </c>
      <c r="DE64" s="912">
        <f t="shared" si="189"/>
        <v>315.7</v>
      </c>
      <c r="DF64" s="911">
        <f t="shared" ref="DF64:DM64" si="190">DF61+DF63</f>
        <v>310.76237100000003</v>
      </c>
      <c r="DG64" s="911">
        <f t="shared" si="190"/>
        <v>310.7</v>
      </c>
      <c r="DH64" s="911">
        <f t="shared" si="190"/>
        <v>305.29999999999995</v>
      </c>
      <c r="DI64" s="912">
        <f t="shared" si="190"/>
        <v>296.7</v>
      </c>
      <c r="DJ64" s="1788">
        <f t="shared" si="190"/>
        <v>284.27121621621615</v>
      </c>
      <c r="DK64" s="911">
        <f t="shared" si="190"/>
        <v>283.05128712871283</v>
      </c>
      <c r="DL64" s="911">
        <f t="shared" si="190"/>
        <v>281.86447615098672</v>
      </c>
      <c r="DM64" s="912">
        <f t="shared" si="190"/>
        <v>279.39884707295056</v>
      </c>
      <c r="DN64" s="917"/>
      <c r="DO64" s="909"/>
      <c r="DP64" s="911">
        <v>165.078</v>
      </c>
      <c r="DQ64" s="911">
        <v>214.245</v>
      </c>
      <c r="DR64" s="911">
        <v>222.66899999999998</v>
      </c>
      <c r="DS64" s="911">
        <v>223.07400000000001</v>
      </c>
      <c r="DT64" s="911">
        <v>223.18200000000002</v>
      </c>
      <c r="DU64" s="911">
        <v>223.66800000000001</v>
      </c>
      <c r="DV64" s="911">
        <v>259.63200000000001</v>
      </c>
      <c r="DW64" s="911">
        <v>312.98400000000004</v>
      </c>
      <c r="DX64" s="911">
        <f t="shared" ref="DX64:FG64" si="191">DX61+DX63</f>
        <v>375.678</v>
      </c>
      <c r="DY64" s="911">
        <f t="shared" si="191"/>
        <v>393.03674999999993</v>
      </c>
      <c r="DZ64" s="911">
        <f t="shared" si="191"/>
        <v>394.71749999999997</v>
      </c>
      <c r="EA64" s="911">
        <f t="shared" si="191"/>
        <v>393.65212499999996</v>
      </c>
      <c r="EB64" s="911">
        <f t="shared" si="191"/>
        <v>457.36762500000003</v>
      </c>
      <c r="EC64" s="911">
        <f t="shared" si="191"/>
        <v>483.46931250000006</v>
      </c>
      <c r="ED64" s="911">
        <f t="shared" si="191"/>
        <v>470.44603124999992</v>
      </c>
      <c r="EE64" s="911">
        <f t="shared" si="191"/>
        <v>481.92103125</v>
      </c>
      <c r="EF64" s="911">
        <f t="shared" si="191"/>
        <v>488.33156250000002</v>
      </c>
      <c r="EG64" s="911">
        <f t="shared" si="191"/>
        <v>488.22562500000004</v>
      </c>
      <c r="EH64" s="911">
        <f t="shared" si="191"/>
        <v>502.52050000000008</v>
      </c>
      <c r="EI64" s="911">
        <f t="shared" si="191"/>
        <v>508.67099999999994</v>
      </c>
      <c r="EJ64" s="911">
        <f t="shared" si="191"/>
        <v>500.17512500000004</v>
      </c>
      <c r="EK64" s="911">
        <f t="shared" si="191"/>
        <v>494.58812499999993</v>
      </c>
      <c r="EL64" s="911">
        <f t="shared" si="191"/>
        <v>424.79525999999998</v>
      </c>
      <c r="EM64" s="911">
        <f t="shared" si="191"/>
        <v>426.68022299999996</v>
      </c>
      <c r="EN64" s="911">
        <f t="shared" si="191"/>
        <v>429.51499999999999</v>
      </c>
      <c r="EO64" s="911">
        <f t="shared" si="191"/>
        <v>402.98999999999995</v>
      </c>
      <c r="EP64" s="911">
        <f t="shared" si="191"/>
        <v>349.37999999999994</v>
      </c>
      <c r="EQ64" s="911">
        <f t="shared" si="191"/>
        <v>403.28999999999996</v>
      </c>
      <c r="ER64" s="1064">
        <f t="shared" si="191"/>
        <v>341.4</v>
      </c>
      <c r="ES64" s="911">
        <f t="shared" si="191"/>
        <v>338.52600000000012</v>
      </c>
      <c r="ET64" s="911">
        <f t="shared" si="191"/>
        <v>335.72700000000009</v>
      </c>
      <c r="EU64" s="911">
        <f t="shared" si="191"/>
        <v>352.4</v>
      </c>
      <c r="EV64" s="911">
        <f t="shared" si="191"/>
        <v>356.2</v>
      </c>
      <c r="EW64" s="911">
        <f t="shared" si="191"/>
        <v>326.779</v>
      </c>
      <c r="EX64" s="911">
        <f t="shared" si="191"/>
        <v>316.108</v>
      </c>
      <c r="EY64" s="911">
        <f>EY61+EY63</f>
        <v>307.2</v>
      </c>
      <c r="EZ64" s="1788">
        <f>EZ61+EZ63</f>
        <v>279.39884707295056</v>
      </c>
      <c r="FA64" s="911">
        <f t="shared" si="191"/>
        <v>269.08190198324712</v>
      </c>
      <c r="FB64" s="911">
        <f t="shared" si="191"/>
        <v>259.84489556448187</v>
      </c>
      <c r="FC64" s="911">
        <f t="shared" si="191"/>
        <v>255.48147617539652</v>
      </c>
      <c r="FD64" s="911">
        <f t="shared" si="191"/>
        <v>252.29325813387672</v>
      </c>
      <c r="FE64" s="911">
        <f t="shared" si="191"/>
        <v>250.21026330754668</v>
      </c>
      <c r="FF64" s="911">
        <f t="shared" si="191"/>
        <v>249.16803962929853</v>
      </c>
      <c r="FG64" s="911">
        <f t="shared" si="191"/>
        <v>249.1072586398283</v>
      </c>
      <c r="FH64" s="911">
        <f>FH61+FH63</f>
        <v>249.9733429803708</v>
      </c>
      <c r="FI64" s="413"/>
      <c r="FJ64"/>
      <c r="FK64"/>
      <c r="FL64"/>
      <c r="FM64"/>
      <c r="FN64"/>
      <c r="FO64"/>
      <c r="FP64" s="4"/>
      <c r="FQ64" s="4"/>
      <c r="FR64" s="4"/>
      <c r="FS64" s="910"/>
      <c r="FT64" s="910"/>
      <c r="FU64"/>
      <c r="FV64" s="910"/>
      <c r="FW64" s="910"/>
      <c r="FX64" s="910"/>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row>
    <row r="65" spans="1:260" s="88" customFormat="1" collapsed="1" x14ac:dyDescent="0.2">
      <c r="A65" s="339" t="s">
        <v>504</v>
      </c>
      <c r="B65" s="386">
        <v>325.29599999999994</v>
      </c>
      <c r="C65" s="386">
        <v>382.428</v>
      </c>
      <c r="D65" s="386">
        <v>388.04400000000004</v>
      </c>
      <c r="E65" s="468">
        <v>387.63</v>
      </c>
      <c r="F65" s="385">
        <v>389.31299999999999</v>
      </c>
      <c r="G65" s="385">
        <v>388.87199999999996</v>
      </c>
      <c r="H65" s="385">
        <v>392.38199999999995</v>
      </c>
      <c r="I65" s="468">
        <v>432.9</v>
      </c>
      <c r="J65" s="385">
        <v>390.80700000000002</v>
      </c>
      <c r="K65" s="385">
        <v>392.60699999999997</v>
      </c>
      <c r="L65" s="385">
        <v>391.72500000000002</v>
      </c>
      <c r="M65" s="468">
        <v>391.72500000000002</v>
      </c>
      <c r="N65" s="385">
        <v>392.07600000000002</v>
      </c>
      <c r="O65" s="385">
        <v>394.32600000000002</v>
      </c>
      <c r="P65" s="385">
        <v>393.18299999999994</v>
      </c>
      <c r="Q65" s="468">
        <v>390.76199999999994</v>
      </c>
      <c r="R65" s="385">
        <v>392.03099999999995</v>
      </c>
      <c r="S65" s="385">
        <v>399.22199999999998</v>
      </c>
      <c r="T65" s="385">
        <v>454.73400000000004</v>
      </c>
      <c r="U65" s="468">
        <v>462.00600000000003</v>
      </c>
      <c r="V65" s="385">
        <v>449.50725000000006</v>
      </c>
      <c r="W65" s="385">
        <v>472.05449999999996</v>
      </c>
      <c r="X65" s="385">
        <v>472.60349999999994</v>
      </c>
      <c r="Y65" s="468">
        <v>476.95049999999998</v>
      </c>
      <c r="Z65" s="385">
        <v>479.87774999999999</v>
      </c>
      <c r="AA65" s="385">
        <v>481.29075</v>
      </c>
      <c r="AB65" s="385">
        <v>481.96575000000007</v>
      </c>
      <c r="AC65" s="468">
        <v>473.33924999999994</v>
      </c>
      <c r="AD65" s="385">
        <v>475.92224999999996</v>
      </c>
      <c r="AE65" s="385">
        <v>480.45599999999996</v>
      </c>
      <c r="AF65" s="385">
        <v>479.26574999999997</v>
      </c>
      <c r="AG65" s="468">
        <v>478.125</v>
      </c>
      <c r="AH65" s="385">
        <v>480.15</v>
      </c>
      <c r="AI65" s="385">
        <v>484.2</v>
      </c>
      <c r="AJ65" s="385">
        <v>483.3</v>
      </c>
      <c r="AK65" s="468">
        <v>487.57499999999999</v>
      </c>
      <c r="AL65" s="385">
        <v>489.45</v>
      </c>
      <c r="AM65" s="385">
        <v>486.75</v>
      </c>
      <c r="AN65" s="385">
        <v>486.15</v>
      </c>
      <c r="AO65" s="468">
        <v>486.6</v>
      </c>
      <c r="AP65" s="385">
        <v>487.8</v>
      </c>
      <c r="AQ65" s="385">
        <v>491.7</v>
      </c>
      <c r="AR65" s="385">
        <v>495.75</v>
      </c>
      <c r="AS65" s="468">
        <v>503.4</v>
      </c>
      <c r="AT65" s="385">
        <v>503.55</v>
      </c>
      <c r="AU65" s="385">
        <v>502.65</v>
      </c>
      <c r="AV65" s="385">
        <v>506.55</v>
      </c>
      <c r="AW65" s="468">
        <v>507.6</v>
      </c>
      <c r="AX65" s="385">
        <v>505.3</v>
      </c>
      <c r="AY65" s="385">
        <v>509.1</v>
      </c>
      <c r="AZ65" s="385">
        <v>507.2</v>
      </c>
      <c r="BA65" s="468">
        <v>502.9</v>
      </c>
      <c r="BB65" s="871">
        <v>500.8</v>
      </c>
      <c r="BC65" s="871">
        <v>496.5</v>
      </c>
      <c r="BD65" s="871">
        <v>495.8</v>
      </c>
      <c r="BE65" s="872">
        <v>494.6</v>
      </c>
      <c r="BF65" s="871">
        <v>491.5</v>
      </c>
      <c r="BG65" s="871">
        <v>456.2</v>
      </c>
      <c r="BH65" s="871">
        <v>430.8</v>
      </c>
      <c r="BI65" s="872">
        <v>431.4</v>
      </c>
      <c r="BJ65" s="871">
        <v>423.4</v>
      </c>
      <c r="BK65" s="871">
        <v>423.3</v>
      </c>
      <c r="BL65" s="871">
        <v>422.6</v>
      </c>
      <c r="BM65" s="872">
        <v>423.2</v>
      </c>
      <c r="BN65" s="871">
        <v>425.7</v>
      </c>
      <c r="BO65" s="871">
        <v>427</v>
      </c>
      <c r="BP65" s="871">
        <v>428.6</v>
      </c>
      <c r="BQ65" s="872">
        <v>429.6</v>
      </c>
      <c r="BR65" s="871">
        <v>431.7</v>
      </c>
      <c r="BS65" s="871">
        <v>423.6</v>
      </c>
      <c r="BT65" s="871">
        <v>407.8</v>
      </c>
      <c r="BU65" s="872">
        <v>403.4</v>
      </c>
      <c r="BV65" s="871">
        <v>397.2</v>
      </c>
      <c r="BW65" s="871">
        <v>381.4</v>
      </c>
      <c r="BX65" s="871">
        <v>368.8</v>
      </c>
      <c r="BY65" s="872">
        <v>352.5</v>
      </c>
      <c r="BZ65" s="871">
        <v>430.7</v>
      </c>
      <c r="CA65" s="871">
        <v>428.5</v>
      </c>
      <c r="CB65" s="871">
        <v>411.2</v>
      </c>
      <c r="CC65" s="872">
        <v>404.9</v>
      </c>
      <c r="CD65" s="871">
        <v>400.7</v>
      </c>
      <c r="CE65" s="871">
        <v>385.6</v>
      </c>
      <c r="CF65" s="871">
        <v>372.4</v>
      </c>
      <c r="CG65" s="872">
        <v>351.8</v>
      </c>
      <c r="CH65" s="871">
        <v>342.8</v>
      </c>
      <c r="CI65" s="871">
        <v>338.6</v>
      </c>
      <c r="CJ65" s="871">
        <v>337.2</v>
      </c>
      <c r="CK65" s="872">
        <v>338.1</v>
      </c>
      <c r="CL65" s="871">
        <v>342.8</v>
      </c>
      <c r="CM65" s="871">
        <v>338.6</v>
      </c>
      <c r="CN65" s="871">
        <v>338.1</v>
      </c>
      <c r="CO65" s="872">
        <v>338.5</v>
      </c>
      <c r="CP65" s="966">
        <v>341</v>
      </c>
      <c r="CQ65" s="899">
        <v>344.4</v>
      </c>
      <c r="CR65" s="899">
        <v>348.9</v>
      </c>
      <c r="CS65" s="872">
        <v>352.6</v>
      </c>
      <c r="CT65" s="966">
        <v>350.4</v>
      </c>
      <c r="CU65" s="899">
        <v>352.2</v>
      </c>
      <c r="CV65" s="899">
        <v>354</v>
      </c>
      <c r="CW65" s="872">
        <v>356.2</v>
      </c>
      <c r="CX65" s="2032">
        <v>355.38690476190476</v>
      </c>
      <c r="CY65" s="2032">
        <v>353.9</v>
      </c>
      <c r="CZ65" s="2032">
        <v>349</v>
      </c>
      <c r="DA65" s="2033">
        <v>342.3</v>
      </c>
      <c r="DB65" s="2032">
        <v>326.7</v>
      </c>
      <c r="DC65" s="2032">
        <v>322.89999999999998</v>
      </c>
      <c r="DD65" s="2032">
        <v>320</v>
      </c>
      <c r="DE65" s="2033">
        <v>318.3</v>
      </c>
      <c r="DF65" s="2032">
        <v>315</v>
      </c>
      <c r="DG65" s="2032">
        <v>310.8</v>
      </c>
      <c r="DH65" s="2032">
        <v>305.39999999999998</v>
      </c>
      <c r="DI65" s="2033">
        <v>296.7</v>
      </c>
      <c r="DJ65" s="1789">
        <f t="shared" ref="DJ65:DM65" si="192">AVERAGE(DI64:DJ64)</f>
        <v>290.48560810810807</v>
      </c>
      <c r="DK65" s="899">
        <f t="shared" si="192"/>
        <v>283.66125167246446</v>
      </c>
      <c r="DL65" s="899">
        <f t="shared" si="192"/>
        <v>282.4578816398498</v>
      </c>
      <c r="DM65" s="872">
        <f t="shared" si="192"/>
        <v>280.63166161196864</v>
      </c>
      <c r="DN65" s="966"/>
      <c r="DO65" s="872"/>
      <c r="DP65" s="871">
        <v>165.078</v>
      </c>
      <c r="DQ65" s="871">
        <v>214.245</v>
      </c>
      <c r="DR65" s="871">
        <v>222.66899999999998</v>
      </c>
      <c r="DS65" s="871">
        <v>223.07400000000001</v>
      </c>
      <c r="DT65" s="871">
        <v>223.18200000000002</v>
      </c>
      <c r="DU65" s="871">
        <v>223.66800000000001</v>
      </c>
      <c r="DV65" s="871">
        <v>259.63200000000001</v>
      </c>
      <c r="DW65" s="871">
        <v>312.98400000000004</v>
      </c>
      <c r="DX65" s="871">
        <v>372.024</v>
      </c>
      <c r="DY65" s="871">
        <v>391.23899999999992</v>
      </c>
      <c r="DZ65" s="871">
        <v>392.76</v>
      </c>
      <c r="EA65" s="871">
        <v>392.60699999999997</v>
      </c>
      <c r="EB65" s="871">
        <v>450.56700000000006</v>
      </c>
      <c r="EC65" s="871">
        <v>472.5</v>
      </c>
      <c r="ED65" s="871">
        <v>478.30500000000001</v>
      </c>
      <c r="EE65" s="871">
        <v>478.44225</v>
      </c>
      <c r="EF65" s="871">
        <v>483.80624999999998</v>
      </c>
      <c r="EG65" s="871">
        <v>487.23750000000001</v>
      </c>
      <c r="EH65" s="871">
        <v>500.8</v>
      </c>
      <c r="EI65" s="871">
        <v>505.08749999999998</v>
      </c>
      <c r="EJ65" s="871">
        <v>504.8</v>
      </c>
      <c r="EK65" s="871">
        <v>496.2</v>
      </c>
      <c r="EL65" s="871">
        <v>452.9</v>
      </c>
      <c r="EM65" s="871">
        <v>422.9</v>
      </c>
      <c r="EN65" s="871">
        <v>427.5</v>
      </c>
      <c r="EO65" s="871">
        <v>416.5</v>
      </c>
      <c r="EP65" s="871">
        <f>AVERAGE(BV65:BY65)</f>
        <v>374.97499999999997</v>
      </c>
      <c r="EQ65" s="871">
        <v>418.8</v>
      </c>
      <c r="ER65" s="966">
        <v>370.6</v>
      </c>
      <c r="ES65" s="899">
        <f>AVERAGE(CH65:CK65)</f>
        <v>339.17500000000007</v>
      </c>
      <c r="ET65" s="899">
        <f>AVERAGE(CL65:CO65)</f>
        <v>339.5</v>
      </c>
      <c r="EU65" s="899">
        <f>AVERAGE(CP65:CS65)</f>
        <v>346.72500000000002</v>
      </c>
      <c r="EV65" s="2032">
        <v>353.6</v>
      </c>
      <c r="EW65" s="2032">
        <v>350.7</v>
      </c>
      <c r="EX65" s="2032">
        <v>322.60000000000002</v>
      </c>
      <c r="EY65" s="2032">
        <v>307.10000000000002</v>
      </c>
      <c r="EZ65" s="1789">
        <f>AVERAGE(DJ65:DM65)</f>
        <v>284.30910075809777</v>
      </c>
      <c r="FA65" s="871">
        <f t="shared" ref="FA65:FH65" si="193">AVERAGE(EZ64:FA64)</f>
        <v>274.24037452809887</v>
      </c>
      <c r="FB65" s="871">
        <f t="shared" si="193"/>
        <v>264.46339877386447</v>
      </c>
      <c r="FC65" s="871">
        <f t="shared" si="193"/>
        <v>257.66318586993918</v>
      </c>
      <c r="FD65" s="871">
        <f t="shared" si="193"/>
        <v>253.88736715463662</v>
      </c>
      <c r="FE65" s="871">
        <f t="shared" si="193"/>
        <v>251.2517607207117</v>
      </c>
      <c r="FF65" s="871">
        <f t="shared" si="193"/>
        <v>249.68915146842261</v>
      </c>
      <c r="FG65" s="871">
        <f t="shared" si="193"/>
        <v>249.13764913456342</v>
      </c>
      <c r="FH65" s="871">
        <f t="shared" si="193"/>
        <v>249.54030081009955</v>
      </c>
      <c r="FI65" s="413"/>
      <c r="FJ65"/>
      <c r="FK65"/>
      <c r="FL65"/>
      <c r="FM65"/>
      <c r="FN65"/>
      <c r="FO65"/>
      <c r="FP65" s="4"/>
      <c r="FQ65" s="4"/>
      <c r="FR65" s="4"/>
      <c r="FS65" s="899"/>
      <c r="FT65" s="899"/>
      <c r="FU65"/>
      <c r="FV65" s="899"/>
      <c r="FW65" s="899"/>
      <c r="FX65" s="899"/>
      <c r="FY65" s="899"/>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row>
    <row r="66" spans="1:260" s="88" customFormat="1" x14ac:dyDescent="0.2">
      <c r="A66" s="6"/>
      <c r="B66" s="191"/>
      <c r="C66" s="191"/>
      <c r="D66" s="191"/>
      <c r="E66" s="463"/>
      <c r="F66" s="191"/>
      <c r="G66" s="191"/>
      <c r="H66" s="191"/>
      <c r="I66" s="463"/>
      <c r="J66" s="191"/>
      <c r="K66" s="191"/>
      <c r="L66" s="191"/>
      <c r="M66" s="463"/>
      <c r="N66" s="191"/>
      <c r="O66" s="191"/>
      <c r="P66" s="191"/>
      <c r="Q66" s="463"/>
      <c r="R66" s="191"/>
      <c r="S66" s="191"/>
      <c r="T66" s="191"/>
      <c r="U66" s="463"/>
      <c r="V66" s="191"/>
      <c r="W66" s="191"/>
      <c r="X66" s="191"/>
      <c r="Y66" s="463"/>
      <c r="Z66" s="191"/>
      <c r="AA66" s="191"/>
      <c r="AB66" s="191"/>
      <c r="AC66" s="463"/>
      <c r="AD66" s="191"/>
      <c r="AE66" s="191"/>
      <c r="AF66" s="191"/>
      <c r="AG66" s="463"/>
      <c r="AH66" s="191"/>
      <c r="AI66" s="191"/>
      <c r="AJ66" s="191"/>
      <c r="AK66" s="463"/>
      <c r="AL66" s="191"/>
      <c r="AM66" s="191"/>
      <c r="AN66" s="191"/>
      <c r="AO66" s="463"/>
      <c r="AP66" s="191"/>
      <c r="AQ66" s="191"/>
      <c r="AR66" s="191"/>
      <c r="AS66" s="463"/>
      <c r="AT66" s="191"/>
      <c r="AU66" s="191"/>
      <c r="AV66" s="191"/>
      <c r="AW66" s="463"/>
      <c r="AX66" s="191"/>
      <c r="AY66" s="191"/>
      <c r="AZ66" s="191"/>
      <c r="BA66" s="463"/>
      <c r="BB66" s="191"/>
      <c r="BC66" s="191"/>
      <c r="BD66" s="191"/>
      <c r="BE66" s="463"/>
      <c r="BF66" s="193"/>
      <c r="BG66" s="193"/>
      <c r="BH66" s="193"/>
      <c r="BI66" s="495"/>
      <c r="BJ66" s="193"/>
      <c r="BK66" s="193"/>
      <c r="BL66" s="193"/>
      <c r="BM66" s="495"/>
      <c r="BN66" s="193"/>
      <c r="BO66" s="193"/>
      <c r="BP66" s="193"/>
      <c r="BQ66" s="495"/>
      <c r="BR66" s="193"/>
      <c r="BS66" s="193"/>
      <c r="BT66" s="193"/>
      <c r="BU66" s="495"/>
      <c r="BV66" s="193"/>
      <c r="BW66" s="193"/>
      <c r="BX66" s="193"/>
      <c r="BY66" s="495"/>
      <c r="BZ66" s="193"/>
      <c r="CA66" s="193"/>
      <c r="CB66" s="193"/>
      <c r="CC66" s="495"/>
      <c r="CD66" s="193"/>
      <c r="CE66" s="193"/>
      <c r="CF66" s="193"/>
      <c r="CG66" s="495"/>
      <c r="CH66" s="193"/>
      <c r="CI66" s="193"/>
      <c r="CJ66" s="193"/>
      <c r="CK66" s="495"/>
      <c r="CL66" s="193"/>
      <c r="CM66" s="193"/>
      <c r="CN66" s="193"/>
      <c r="CO66" s="495"/>
      <c r="CP66" s="961"/>
      <c r="CQ66" s="193"/>
      <c r="CR66" s="193"/>
      <c r="CS66" s="495"/>
      <c r="CT66" s="961"/>
      <c r="CU66" s="193"/>
      <c r="CV66" s="193"/>
      <c r="CW66" s="495"/>
      <c r="CX66" s="193"/>
      <c r="CY66" s="193"/>
      <c r="CZ66" s="193"/>
      <c r="DA66" s="495"/>
      <c r="DB66" s="193"/>
      <c r="DC66" s="193"/>
      <c r="DD66" s="193"/>
      <c r="DE66" s="495"/>
      <c r="DF66" s="193"/>
      <c r="DG66" s="193"/>
      <c r="DH66" s="193"/>
      <c r="DI66" s="495"/>
      <c r="DJ66" s="1783"/>
      <c r="DK66" s="193"/>
      <c r="DL66" s="193"/>
      <c r="DM66" s="495"/>
      <c r="DN66" s="961"/>
      <c r="DO66" s="495"/>
      <c r="DP66" s="191"/>
      <c r="DQ66" s="191"/>
      <c r="DR66" s="191"/>
      <c r="DS66" s="191"/>
      <c r="DT66" s="191"/>
      <c r="DU66" s="191"/>
      <c r="DV66" s="191"/>
      <c r="DW66" s="191"/>
      <c r="DX66" s="191"/>
      <c r="DY66" s="191"/>
      <c r="DZ66" s="191"/>
      <c r="EA66" s="191"/>
      <c r="EB66" s="191"/>
      <c r="EC66" s="191"/>
      <c r="ED66" s="191"/>
      <c r="EE66" s="191"/>
      <c r="EF66" s="191"/>
      <c r="EG66" s="191"/>
      <c r="EH66" s="191"/>
      <c r="EI66" s="191"/>
      <c r="EJ66" s="191"/>
      <c r="EK66" s="191"/>
      <c r="EL66" s="193"/>
      <c r="EM66" s="193"/>
      <c r="EN66" s="193"/>
      <c r="EO66" s="193"/>
      <c r="EP66" s="193"/>
      <c r="EQ66" s="193"/>
      <c r="ER66" s="961"/>
      <c r="ES66" s="193"/>
      <c r="ET66" s="193"/>
      <c r="EU66" s="193"/>
      <c r="EV66" s="193"/>
      <c r="EW66" s="193"/>
      <c r="EX66" s="193"/>
      <c r="EY66" s="193"/>
      <c r="EZ66" s="1783"/>
      <c r="FA66" s="193"/>
      <c r="FB66" s="193"/>
      <c r="FC66" s="193"/>
      <c r="FD66" s="193"/>
      <c r="FE66" s="193"/>
      <c r="FF66" s="193"/>
      <c r="FG66" s="193"/>
      <c r="FH66" s="193"/>
      <c r="FI66" s="413"/>
      <c r="FJ66"/>
      <c r="FK66"/>
      <c r="FL66"/>
      <c r="FM66"/>
      <c r="FN66"/>
      <c r="FO66"/>
      <c r="FP66" s="4"/>
      <c r="FQ66" s="4"/>
      <c r="FR66" s="4"/>
      <c r="FS66" s="193"/>
      <c r="FT66" s="910"/>
      <c r="FU66" s="910"/>
      <c r="FV66" s="193"/>
      <c r="FW66" s="910"/>
      <c r="FX66" s="910"/>
      <c r="FY66" s="910"/>
      <c r="FZ66"/>
      <c r="GA66"/>
      <c r="GB66" s="2676"/>
      <c r="GC66"/>
      <c r="GD66" s="67"/>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row>
    <row r="67" spans="1:260" s="88" customFormat="1" hidden="1" outlineLevel="1" x14ac:dyDescent="0.2">
      <c r="A67" s="299" t="s">
        <v>158</v>
      </c>
      <c r="B67" s="191"/>
      <c r="C67" s="191"/>
      <c r="D67" s="191"/>
      <c r="E67" s="463"/>
      <c r="F67" s="191"/>
      <c r="G67" s="191"/>
      <c r="H67" s="191"/>
      <c r="I67" s="463"/>
      <c r="J67" s="191"/>
      <c r="K67" s="191"/>
      <c r="L67" s="191"/>
      <c r="M67" s="463"/>
      <c r="N67" s="191"/>
      <c r="O67" s="191"/>
      <c r="P67" s="191"/>
      <c r="Q67" s="463"/>
      <c r="R67" s="191"/>
      <c r="S67" s="191"/>
      <c r="T67" s="191"/>
      <c r="U67" s="463"/>
      <c r="V67" s="191"/>
      <c r="W67" s="191"/>
      <c r="X67" s="191"/>
      <c r="Y67" s="463"/>
      <c r="Z67" s="191"/>
      <c r="AA67" s="191"/>
      <c r="AB67" s="191"/>
      <c r="AC67" s="463"/>
      <c r="AD67" s="191"/>
      <c r="AE67" s="191"/>
      <c r="AF67" s="191"/>
      <c r="AG67" s="463"/>
      <c r="AH67" s="191"/>
      <c r="AI67" s="191"/>
      <c r="AJ67" s="191"/>
      <c r="AK67" s="463"/>
      <c r="AL67" s="191"/>
      <c r="AM67" s="191"/>
      <c r="AN67" s="191"/>
      <c r="AO67" s="463"/>
      <c r="AP67" s="191"/>
      <c r="AQ67" s="191"/>
      <c r="AR67" s="191"/>
      <c r="AS67" s="463"/>
      <c r="AT67" s="191"/>
      <c r="AU67" s="191"/>
      <c r="AV67" s="191"/>
      <c r="AW67" s="463"/>
      <c r="AX67" s="191"/>
      <c r="AY67" s="191"/>
      <c r="AZ67" s="191"/>
      <c r="BA67" s="463"/>
      <c r="BB67" s="191"/>
      <c r="BC67" s="191"/>
      <c r="BD67" s="191"/>
      <c r="BE67" s="463"/>
      <c r="BF67" s="910">
        <v>0</v>
      </c>
      <c r="BG67" s="910">
        <v>55.7</v>
      </c>
      <c r="BH67" s="910">
        <v>0</v>
      </c>
      <c r="BI67" s="909">
        <v>10.106386000000001</v>
      </c>
      <c r="BJ67" s="910">
        <v>0</v>
      </c>
      <c r="BK67" s="910">
        <v>0</v>
      </c>
      <c r="BL67" s="910">
        <v>0</v>
      </c>
      <c r="BM67" s="909">
        <f>EM67-SUM(BJ67:BL67)</f>
        <v>0</v>
      </c>
      <c r="BN67" s="910">
        <v>0</v>
      </c>
      <c r="BO67" s="910">
        <v>0</v>
      </c>
      <c r="BP67" s="910">
        <v>0</v>
      </c>
      <c r="BQ67" s="909">
        <f>EN67-SUM(BN67:BP67)</f>
        <v>0</v>
      </c>
      <c r="BR67" s="910">
        <v>2.5</v>
      </c>
      <c r="BS67" s="910">
        <v>17.3</v>
      </c>
      <c r="BT67" s="910">
        <v>10.9</v>
      </c>
      <c r="BU67" s="909">
        <f>EO67-SUM(BR67:BT67)</f>
        <v>2.2999999999999972</v>
      </c>
      <c r="BV67" s="910">
        <v>16.600000000000001</v>
      </c>
      <c r="BW67" s="910">
        <v>12.7</v>
      </c>
      <c r="BX67" s="910">
        <v>12.6</v>
      </c>
      <c r="BY67" s="909">
        <v>12.8</v>
      </c>
      <c r="BZ67" s="910">
        <v>2.5</v>
      </c>
      <c r="CA67" s="910">
        <v>17.3</v>
      </c>
      <c r="CB67" s="910">
        <v>10.9</v>
      </c>
      <c r="CC67" s="909">
        <f>EQ67-SUM(BZ67:CB67)</f>
        <v>2.2999999999999972</v>
      </c>
      <c r="CD67" s="910">
        <v>16.600000000000001</v>
      </c>
      <c r="CE67" s="910">
        <v>12.7</v>
      </c>
      <c r="CF67" s="910">
        <v>12.6</v>
      </c>
      <c r="CG67" s="909">
        <v>12.8</v>
      </c>
      <c r="CH67" s="910">
        <f t="shared" ref="CH67:CV67" si="194">CH69/CH70</f>
        <v>5.28</v>
      </c>
      <c r="CI67" s="910">
        <f t="shared" si="194"/>
        <v>6.3796680497925307</v>
      </c>
      <c r="CJ67" s="910">
        <f t="shared" si="194"/>
        <v>0</v>
      </c>
      <c r="CK67" s="909">
        <f t="shared" si="194"/>
        <v>0</v>
      </c>
      <c r="CL67" s="910">
        <f t="shared" si="194"/>
        <v>5.28</v>
      </c>
      <c r="CM67" s="910">
        <f t="shared" si="194"/>
        <v>6.3796680497925307</v>
      </c>
      <c r="CN67" s="910">
        <f t="shared" si="194"/>
        <v>0</v>
      </c>
      <c r="CO67" s="909">
        <f t="shared" si="194"/>
        <v>0</v>
      </c>
      <c r="CP67" s="917">
        <f t="shared" si="194"/>
        <v>0</v>
      </c>
      <c r="CQ67" s="910">
        <f t="shared" si="194"/>
        <v>0</v>
      </c>
      <c r="CR67" s="910">
        <f t="shared" si="194"/>
        <v>0</v>
      </c>
      <c r="CS67" s="909">
        <f t="shared" si="194"/>
        <v>0</v>
      </c>
      <c r="CT67" s="917">
        <f t="shared" si="194"/>
        <v>0</v>
      </c>
      <c r="CU67" s="910">
        <f t="shared" si="194"/>
        <v>0</v>
      </c>
      <c r="CV67" s="910">
        <f t="shared" si="194"/>
        <v>0</v>
      </c>
      <c r="CW67" s="909">
        <f t="shared" ref="CW67:CY67" si="195">CW69/CW70</f>
        <v>0</v>
      </c>
      <c r="CX67" s="2030">
        <f t="shared" si="195"/>
        <v>0</v>
      </c>
      <c r="CY67" s="2030">
        <f t="shared" si="195"/>
        <v>10.03125</v>
      </c>
      <c r="CZ67" s="2030">
        <v>1.9</v>
      </c>
      <c r="DA67" s="2031">
        <v>20.9</v>
      </c>
      <c r="DB67" s="2030">
        <v>3.2</v>
      </c>
      <c r="DC67" s="2030">
        <v>7.2237720000000003</v>
      </c>
      <c r="DD67" s="1952">
        <v>5.4</v>
      </c>
      <c r="DE67" s="2031">
        <v>5.3</v>
      </c>
      <c r="DF67" s="2030">
        <v>8.1</v>
      </c>
      <c r="DG67" s="2030">
        <v>7.3</v>
      </c>
      <c r="DH67" s="2030">
        <v>6.4</v>
      </c>
      <c r="DI67" s="2717">
        <v>12.5</v>
      </c>
      <c r="DJ67" s="1674">
        <f t="shared" ref="DJ67:DM67" si="196">DJ69/DJ70</f>
        <v>8.7837837837837842</v>
      </c>
      <c r="DK67" s="910">
        <f t="shared" si="196"/>
        <v>3.3449290875033451</v>
      </c>
      <c r="DL67" s="910">
        <f t="shared" si="196"/>
        <v>3.3118109777260845</v>
      </c>
      <c r="DM67" s="909">
        <f t="shared" si="196"/>
        <v>4.5906290780361561</v>
      </c>
      <c r="DN67" s="917"/>
      <c r="DO67" s="872"/>
      <c r="DP67" s="899"/>
      <c r="DQ67" s="899"/>
      <c r="DR67" s="899"/>
      <c r="DS67" s="899"/>
      <c r="DT67" s="899"/>
      <c r="DU67" s="899"/>
      <c r="DV67" s="899"/>
      <c r="DW67" s="899"/>
      <c r="DX67" s="899"/>
      <c r="DY67" s="899"/>
      <c r="DZ67" s="899"/>
      <c r="EA67" s="899"/>
      <c r="EB67" s="899"/>
      <c r="EC67" s="899"/>
      <c r="ED67" s="899"/>
      <c r="EE67" s="899"/>
      <c r="EF67" s="899"/>
      <c r="EG67" s="899"/>
      <c r="EH67" s="899"/>
      <c r="EI67" s="899"/>
      <c r="EJ67" s="899"/>
      <c r="EK67" s="899"/>
      <c r="EL67" s="910">
        <f>SUM(BF67:BI67)</f>
        <v>65.806386000000003</v>
      </c>
      <c r="EM67" s="910">
        <v>0</v>
      </c>
      <c r="EN67" s="910">
        <v>0</v>
      </c>
      <c r="EO67" s="910">
        <v>33</v>
      </c>
      <c r="EP67" s="910">
        <f>SUM(BV67:BY67)</f>
        <v>54.7</v>
      </c>
      <c r="EQ67" s="910">
        <v>33</v>
      </c>
      <c r="ER67" s="917">
        <f>SUM(CD67:CG67)</f>
        <v>54.7</v>
      </c>
      <c r="ES67" s="910">
        <f>SUM(CH67:CK67)</f>
        <v>11.659668049792531</v>
      </c>
      <c r="ET67" s="910">
        <f>SUM(CL67:CO67)</f>
        <v>11.659668049792531</v>
      </c>
      <c r="EU67" s="910">
        <f>SUM(CP67:CS67)</f>
        <v>0</v>
      </c>
      <c r="EV67" s="910">
        <f>SUM(CT67:CW67)</f>
        <v>0</v>
      </c>
      <c r="EW67" s="910">
        <f>SUM(CX67:DA67)</f>
        <v>32.831249999999997</v>
      </c>
      <c r="EX67" s="910">
        <f>SUM(DB67:DE67)</f>
        <v>21.123771999999999</v>
      </c>
      <c r="EY67" s="910">
        <f>SUM(DF67:DI67)</f>
        <v>34.299999999999997</v>
      </c>
      <c r="EZ67" s="1674">
        <f>SUM(DJ67:DM67)</f>
        <v>20.031152927049369</v>
      </c>
      <c r="FA67" s="910">
        <f t="shared" ref="FA67:FF67" si="197">FA69/FA70</f>
        <v>19.01784508970351</v>
      </c>
      <c r="FB67" s="910">
        <f t="shared" si="197"/>
        <v>18.112233418765246</v>
      </c>
      <c r="FC67" s="910">
        <f t="shared" si="197"/>
        <v>13.416469199085368</v>
      </c>
      <c r="FD67" s="910">
        <f t="shared" si="197"/>
        <v>12.422656665819785</v>
      </c>
      <c r="FE67" s="910">
        <f t="shared" si="197"/>
        <v>11.50245987575906</v>
      </c>
      <c r="FF67" s="910">
        <f t="shared" si="197"/>
        <v>10.650425810888018</v>
      </c>
      <c r="FG67" s="910">
        <f>FG69/FG70</f>
        <v>9.8615053804518684</v>
      </c>
      <c r="FH67" s="910">
        <f>FH69/FH70</f>
        <v>9.1310235004183973</v>
      </c>
      <c r="FI67" s="413"/>
      <c r="FJ67"/>
      <c r="FK67"/>
      <c r="FL67"/>
      <c r="FM67"/>
      <c r="FN67"/>
      <c r="FO67"/>
      <c r="FP67" s="4"/>
      <c r="FQ67" s="4"/>
      <c r="FR67" s="4"/>
      <c r="FS67" s="1635"/>
      <c r="FT67" s="910"/>
      <c r="FU67" s="910"/>
      <c r="FV67" s="910"/>
      <c r="FW67" s="910"/>
      <c r="FX67" s="910"/>
      <c r="FY67" s="910"/>
      <c r="FZ67"/>
      <c r="GA67" s="2676"/>
      <c r="GB67" s="2676"/>
      <c r="GC67" s="2676"/>
      <c r="GD67" s="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row>
    <row r="68" spans="1:260" s="88" customFormat="1" hidden="1" outlineLevel="1" x14ac:dyDescent="0.2">
      <c r="A68" s="2577" t="s">
        <v>688</v>
      </c>
      <c r="B68" s="191"/>
      <c r="C68" s="191"/>
      <c r="D68" s="191"/>
      <c r="E68" s="463"/>
      <c r="F68" s="191"/>
      <c r="G68" s="191"/>
      <c r="H68" s="191"/>
      <c r="I68" s="463"/>
      <c r="J68" s="191"/>
      <c r="K68" s="191"/>
      <c r="L68" s="191"/>
      <c r="M68" s="463"/>
      <c r="N68" s="191"/>
      <c r="O68" s="191"/>
      <c r="P68" s="191"/>
      <c r="Q68" s="463"/>
      <c r="R68" s="191"/>
      <c r="S68" s="191"/>
      <c r="T68" s="191"/>
      <c r="U68" s="463"/>
      <c r="V68" s="191"/>
      <c r="W68" s="191"/>
      <c r="X68" s="191"/>
      <c r="Y68" s="463"/>
      <c r="Z68" s="191"/>
      <c r="AA68" s="191"/>
      <c r="AB68" s="191"/>
      <c r="AC68" s="463"/>
      <c r="AD68" s="191"/>
      <c r="AE68" s="191"/>
      <c r="AF68" s="191"/>
      <c r="AG68" s="463"/>
      <c r="AH68" s="191"/>
      <c r="AI68" s="191"/>
      <c r="AJ68" s="191"/>
      <c r="AK68" s="463"/>
      <c r="AL68" s="191"/>
      <c r="AM68" s="191"/>
      <c r="AN68" s="191"/>
      <c r="AO68" s="463"/>
      <c r="AP68" s="191"/>
      <c r="AQ68" s="191"/>
      <c r="AR68" s="191"/>
      <c r="AS68" s="463"/>
      <c r="AT68" s="191"/>
      <c r="AU68" s="191"/>
      <c r="AV68" s="191"/>
      <c r="AW68" s="463"/>
      <c r="AX68" s="191"/>
      <c r="AY68" s="191"/>
      <c r="AZ68" s="191"/>
      <c r="BA68" s="463"/>
      <c r="BB68" s="191"/>
      <c r="BC68" s="191"/>
      <c r="BD68" s="191"/>
      <c r="BE68" s="463"/>
      <c r="BF68" s="244">
        <v>0</v>
      </c>
      <c r="BG68" s="244">
        <v>55.7</v>
      </c>
      <c r="BH68" s="244">
        <v>0</v>
      </c>
      <c r="BI68" s="512">
        <v>10.106386000000001</v>
      </c>
      <c r="BJ68" s="244">
        <v>0</v>
      </c>
      <c r="BK68" s="244">
        <v>0</v>
      </c>
      <c r="BL68" s="244">
        <v>0</v>
      </c>
      <c r="BM68" s="512">
        <f>EM68-SUM(BJ68:BL68)</f>
        <v>0</v>
      </c>
      <c r="BN68" s="244">
        <v>0</v>
      </c>
      <c r="BO68" s="244">
        <v>0</v>
      </c>
      <c r="BP68" s="244">
        <v>0</v>
      </c>
      <c r="BQ68" s="512">
        <f>EN68-SUM(BN68:BP68)</f>
        <v>0</v>
      </c>
      <c r="BR68" s="77">
        <f t="shared" ref="BR68:CK68" si="198">BR67/BQ65</f>
        <v>5.8193668528864059E-3</v>
      </c>
      <c r="BS68" s="77">
        <f t="shared" si="198"/>
        <v>4.0074125550150573E-2</v>
      </c>
      <c r="BT68" s="77">
        <f t="shared" si="198"/>
        <v>2.5731822474032107E-2</v>
      </c>
      <c r="BU68" s="487">
        <f t="shared" si="198"/>
        <v>5.6400196174595319E-3</v>
      </c>
      <c r="BV68" s="77">
        <f t="shared" si="198"/>
        <v>4.1150223103619245E-2</v>
      </c>
      <c r="BW68" s="77">
        <f t="shared" si="198"/>
        <v>3.1973816717019134E-2</v>
      </c>
      <c r="BX68" s="77">
        <f t="shared" si="198"/>
        <v>3.3036182485579442E-2</v>
      </c>
      <c r="BY68" s="487">
        <f t="shared" si="198"/>
        <v>3.4707158351409979E-2</v>
      </c>
      <c r="BZ68" s="77">
        <f t="shared" si="198"/>
        <v>7.0921985815602835E-3</v>
      </c>
      <c r="CA68" s="77">
        <f t="shared" si="198"/>
        <v>4.0167169723705598E-2</v>
      </c>
      <c r="CB68" s="77">
        <f t="shared" si="198"/>
        <v>2.543757292882147E-2</v>
      </c>
      <c r="CC68" s="487">
        <f t="shared" si="198"/>
        <v>5.5933852140077752E-3</v>
      </c>
      <c r="CD68" s="77">
        <f t="shared" si="198"/>
        <v>4.0997777228945424E-2</v>
      </c>
      <c r="CE68" s="77">
        <f t="shared" si="198"/>
        <v>3.16945345645121E-2</v>
      </c>
      <c r="CF68" s="77">
        <f t="shared" si="198"/>
        <v>3.2676348547717837E-2</v>
      </c>
      <c r="CG68" s="487">
        <f t="shared" si="198"/>
        <v>3.4371643394199791E-2</v>
      </c>
      <c r="CH68" s="77">
        <f t="shared" si="198"/>
        <v>1.5008527572484366E-2</v>
      </c>
      <c r="CI68" s="77">
        <f t="shared" si="198"/>
        <v>1.8610466889709833E-2</v>
      </c>
      <c r="CJ68" s="77">
        <f t="shared" si="198"/>
        <v>0</v>
      </c>
      <c r="CK68" s="487">
        <f t="shared" si="198"/>
        <v>0</v>
      </c>
      <c r="CL68" s="77">
        <f>CL67/CG65</f>
        <v>1.5008527572484366E-2</v>
      </c>
      <c r="CM68" s="77">
        <f>CM67/CL65</f>
        <v>1.8610466889709833E-2</v>
      </c>
      <c r="CN68" s="77">
        <f>CN67/CM65</f>
        <v>0</v>
      </c>
      <c r="CO68" s="487">
        <f>CO67/CN65</f>
        <v>0</v>
      </c>
      <c r="CP68" s="580">
        <f>CP67/ET65</f>
        <v>0</v>
      </c>
      <c r="CQ68" s="70">
        <f t="shared" ref="CQ68:CX68" si="199">CQ67/CP65</f>
        <v>0</v>
      </c>
      <c r="CR68" s="70">
        <f t="shared" si="199"/>
        <v>0</v>
      </c>
      <c r="CS68" s="487">
        <f t="shared" si="199"/>
        <v>0</v>
      </c>
      <c r="CT68" s="580">
        <f t="shared" si="199"/>
        <v>0</v>
      </c>
      <c r="CU68" s="70">
        <f t="shared" si="199"/>
        <v>0</v>
      </c>
      <c r="CV68" s="70">
        <f t="shared" si="199"/>
        <v>0</v>
      </c>
      <c r="CW68" s="487">
        <f t="shared" si="199"/>
        <v>0</v>
      </c>
      <c r="CX68" s="70">
        <f t="shared" si="199"/>
        <v>0</v>
      </c>
      <c r="CY68" s="70">
        <f t="shared" ref="CY68:DE68" si="200">CY67/CX65</f>
        <v>2.8226279206096643E-2</v>
      </c>
      <c r="CZ68" s="70">
        <f t="shared" si="200"/>
        <v>5.3687482339643969E-3</v>
      </c>
      <c r="DA68" s="487">
        <f t="shared" si="200"/>
        <v>5.9885386819484236E-2</v>
      </c>
      <c r="DB68" s="70">
        <f t="shared" si="200"/>
        <v>9.3485246859479985E-3</v>
      </c>
      <c r="DC68" s="70">
        <f t="shared" si="200"/>
        <v>2.2111331496786044E-2</v>
      </c>
      <c r="DD68" s="70">
        <f t="shared" si="200"/>
        <v>1.672344379064726E-2</v>
      </c>
      <c r="DE68" s="487">
        <f t="shared" si="200"/>
        <v>1.6562500000000001E-2</v>
      </c>
      <c r="DF68" s="70">
        <f t="shared" ref="DF68:DM68" si="201">DF67/DE65</f>
        <v>2.5447690857681431E-2</v>
      </c>
      <c r="DG68" s="70">
        <f t="shared" si="201"/>
        <v>2.3174603174603174E-2</v>
      </c>
      <c r="DH68" s="70">
        <f t="shared" si="201"/>
        <v>2.0592020592020591E-2</v>
      </c>
      <c r="DI68" s="487">
        <f t="shared" si="201"/>
        <v>4.0929927963326784E-2</v>
      </c>
      <c r="DJ68" s="1673">
        <f t="shared" si="201"/>
        <v>2.9604933548310699E-2</v>
      </c>
      <c r="DK68" s="70">
        <f t="shared" si="201"/>
        <v>1.1514956315007818E-2</v>
      </c>
      <c r="DL68" s="70">
        <f t="shared" si="201"/>
        <v>1.1675232194033106E-2</v>
      </c>
      <c r="DM68" s="487">
        <f t="shared" si="201"/>
        <v>1.6252437536473048E-2</v>
      </c>
      <c r="DN68" s="580"/>
      <c r="DO68" s="495"/>
      <c r="DP68" s="191"/>
      <c r="DQ68" s="191"/>
      <c r="DR68" s="191"/>
      <c r="DS68" s="191"/>
      <c r="DT68" s="191"/>
      <c r="DU68" s="191"/>
      <c r="DV68" s="191"/>
      <c r="DW68" s="191"/>
      <c r="DX68" s="191"/>
      <c r="DY68" s="191"/>
      <c r="DZ68" s="191"/>
      <c r="EA68" s="191"/>
      <c r="EB68" s="191"/>
      <c r="EC68" s="191"/>
      <c r="ED68" s="191"/>
      <c r="EE68" s="191"/>
      <c r="EF68" s="191"/>
      <c r="EG68" s="191"/>
      <c r="EH68" s="191"/>
      <c r="EI68" s="191"/>
      <c r="EJ68" s="191"/>
      <c r="EK68" s="191"/>
      <c r="EL68" s="244">
        <f>SUM(BF68:BI68)</f>
        <v>65.806386000000003</v>
      </c>
      <c r="EM68" s="244">
        <v>0</v>
      </c>
      <c r="EN68" s="244">
        <v>0</v>
      </c>
      <c r="EO68" s="77">
        <f t="shared" ref="EO68:EZ68" si="202">EO67/EN65</f>
        <v>7.7192982456140355E-2</v>
      </c>
      <c r="EP68" s="77">
        <f t="shared" si="202"/>
        <v>0.1313325330132053</v>
      </c>
      <c r="EQ68" s="77">
        <f t="shared" si="202"/>
        <v>8.800586705780386E-2</v>
      </c>
      <c r="ER68" s="580">
        <f t="shared" si="202"/>
        <v>0.13061127029608405</v>
      </c>
      <c r="ES68" s="70">
        <f t="shared" si="202"/>
        <v>3.1461597543962577E-2</v>
      </c>
      <c r="ET68" s="70">
        <f t="shared" si="202"/>
        <v>3.4376555022606406E-2</v>
      </c>
      <c r="EU68" s="70">
        <f t="shared" si="202"/>
        <v>0</v>
      </c>
      <c r="EV68" s="70">
        <f t="shared" si="202"/>
        <v>0</v>
      </c>
      <c r="EW68" s="70">
        <f t="shared" si="202"/>
        <v>9.2848557692307682E-2</v>
      </c>
      <c r="EX68" s="70">
        <f t="shared" si="202"/>
        <v>6.0233167949814655E-2</v>
      </c>
      <c r="EY68" s="70">
        <f t="shared" si="202"/>
        <v>0.10632362058276502</v>
      </c>
      <c r="EZ68" s="1673">
        <f t="shared" si="202"/>
        <v>6.5226808619502988E-2</v>
      </c>
      <c r="FA68" s="77">
        <f t="shared" ref="FA68:FH68" si="203">FA67/EZ65</f>
        <v>6.6891439770986078E-2</v>
      </c>
      <c r="FB68" s="77">
        <f t="shared" si="203"/>
        <v>6.6045101673785286E-2</v>
      </c>
      <c r="FC68" s="77">
        <f t="shared" si="203"/>
        <v>5.0730911200900924E-2</v>
      </c>
      <c r="FD68" s="77">
        <f t="shared" si="203"/>
        <v>4.8212772903034655E-2</v>
      </c>
      <c r="FE68" s="77">
        <f t="shared" si="203"/>
        <v>4.5305365149393949E-2</v>
      </c>
      <c r="FF68" s="77">
        <f t="shared" si="203"/>
        <v>4.2389457412507041E-2</v>
      </c>
      <c r="FG68" s="77">
        <f t="shared" si="203"/>
        <v>3.9495129533887743E-2</v>
      </c>
      <c r="FH68" s="77">
        <f t="shared" si="203"/>
        <v>3.665051641988714E-2</v>
      </c>
      <c r="FI68" s="413"/>
      <c r="FJ68"/>
      <c r="FK68"/>
      <c r="FL68"/>
      <c r="FM68"/>
      <c r="FN68"/>
      <c r="FO68"/>
      <c r="FP68" s="4"/>
      <c r="FQ68" s="4"/>
      <c r="FR68" s="4"/>
      <c r="FS68" s="1506"/>
      <c r="FT68" s="910"/>
      <c r="FU68" s="910"/>
      <c r="FV68" s="70"/>
      <c r="FW68" s="910"/>
      <c r="FX68" s="910"/>
      <c r="FY68" s="910"/>
      <c r="FZ68"/>
      <c r="GA68" s="2676"/>
      <c r="GB68" s="2676"/>
      <c r="GC68" s="2676"/>
      <c r="GD68" s="67"/>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row>
    <row r="69" spans="1:260" s="88" customFormat="1" hidden="1" outlineLevel="1" x14ac:dyDescent="0.2">
      <c r="A69" s="299" t="s">
        <v>159</v>
      </c>
      <c r="B69" s="191"/>
      <c r="C69" s="191"/>
      <c r="D69" s="191"/>
      <c r="E69" s="463"/>
      <c r="F69" s="191"/>
      <c r="G69" s="191"/>
      <c r="H69" s="191"/>
      <c r="I69" s="463"/>
      <c r="J69" s="191"/>
      <c r="K69" s="191"/>
      <c r="L69" s="191"/>
      <c r="M69" s="463"/>
      <c r="N69" s="191"/>
      <c r="O69" s="191"/>
      <c r="P69" s="191"/>
      <c r="Q69" s="463"/>
      <c r="R69" s="191"/>
      <c r="S69" s="191"/>
      <c r="T69" s="191"/>
      <c r="U69" s="463"/>
      <c r="V69" s="191"/>
      <c r="W69" s="191"/>
      <c r="X69" s="191"/>
      <c r="Y69" s="463"/>
      <c r="Z69" s="191"/>
      <c r="AA69" s="191"/>
      <c r="AB69" s="191"/>
      <c r="AC69" s="463"/>
      <c r="AD69" s="191"/>
      <c r="AE69" s="191"/>
      <c r="AF69" s="191"/>
      <c r="AG69" s="463"/>
      <c r="AH69" s="191"/>
      <c r="AI69" s="191"/>
      <c r="AJ69" s="191"/>
      <c r="AK69" s="463"/>
      <c r="AL69" s="191"/>
      <c r="AM69" s="191"/>
      <c r="AN69" s="191"/>
      <c r="AO69" s="463"/>
      <c r="AP69" s="191"/>
      <c r="AQ69" s="191"/>
      <c r="AR69" s="191"/>
      <c r="AS69" s="463"/>
      <c r="AT69" s="191"/>
      <c r="AU69" s="191"/>
      <c r="AV69" s="191"/>
      <c r="AW69" s="463"/>
      <c r="AX69" s="191"/>
      <c r="AY69" s="191"/>
      <c r="AZ69" s="191"/>
      <c r="BA69" s="463"/>
      <c r="BB69" s="191"/>
      <c r="BC69" s="191"/>
      <c r="BD69" s="191"/>
      <c r="BE69" s="463"/>
      <c r="BF69" s="244">
        <v>0</v>
      </c>
      <c r="BG69" s="244">
        <v>3000</v>
      </c>
      <c r="BH69" s="244">
        <v>0</v>
      </c>
      <c r="BI69" s="512">
        <f>BI67*BI70</f>
        <v>460.75013774000007</v>
      </c>
      <c r="BJ69" s="244">
        <v>0</v>
      </c>
      <c r="BK69" s="244">
        <v>0</v>
      </c>
      <c r="BL69" s="244">
        <v>0</v>
      </c>
      <c r="BM69" s="512">
        <f>EM69-SUM(BJ69:BL69)</f>
        <v>0</v>
      </c>
      <c r="BN69" s="244">
        <v>0</v>
      </c>
      <c r="BO69" s="244">
        <v>0</v>
      </c>
      <c r="BP69" s="244">
        <v>0</v>
      </c>
      <c r="BQ69" s="512">
        <f>EN69-SUM(BN69:BP69)</f>
        <v>0</v>
      </c>
      <c r="BR69" s="244">
        <v>111</v>
      </c>
      <c r="BS69" s="244">
        <v>594</v>
      </c>
      <c r="BT69" s="244">
        <v>423</v>
      </c>
      <c r="BU69" s="512">
        <f>EO69-SUM(BR69:BT69)</f>
        <v>72</v>
      </c>
      <c r="BV69" s="244">
        <v>505</v>
      </c>
      <c r="BW69" s="244">
        <v>358</v>
      </c>
      <c r="BX69" s="244">
        <v>320</v>
      </c>
      <c r="BY69" s="512">
        <v>317</v>
      </c>
      <c r="BZ69" s="244">
        <v>111</v>
      </c>
      <c r="CA69" s="244">
        <v>594</v>
      </c>
      <c r="CB69" s="244">
        <v>423</v>
      </c>
      <c r="CC69" s="512">
        <f>EQ69-SUM(BZ69:CB69)</f>
        <v>72</v>
      </c>
      <c r="CD69" s="244">
        <v>505</v>
      </c>
      <c r="CE69" s="244">
        <v>358</v>
      </c>
      <c r="CF69" s="244">
        <v>320</v>
      </c>
      <c r="CG69" s="512">
        <v>317</v>
      </c>
      <c r="CH69" s="244">
        <f>-'Cash Flow'!BZ46</f>
        <v>132</v>
      </c>
      <c r="CI69" s="244">
        <f>-'Cash Flow'!CA46</f>
        <v>123</v>
      </c>
      <c r="CJ69" s="244">
        <f>-'Cash Flow'!CB46</f>
        <v>0</v>
      </c>
      <c r="CK69" s="512">
        <f>-'Cash Flow'!CC46</f>
        <v>0</v>
      </c>
      <c r="CL69" s="244">
        <f>-'Cash Flow'!BZ46</f>
        <v>132</v>
      </c>
      <c r="CM69" s="244">
        <f>-'Cash Flow'!CA46</f>
        <v>123</v>
      </c>
      <c r="CN69" s="244">
        <f>-'Cash Flow'!CB46</f>
        <v>0</v>
      </c>
      <c r="CO69" s="512">
        <f>-'Cash Flow'!CC46</f>
        <v>0</v>
      </c>
      <c r="CP69" s="665">
        <f>-'Cash Flow'!CD46</f>
        <v>0</v>
      </c>
      <c r="CQ69" s="244">
        <f>-'Cash Flow'!CE46</f>
        <v>0</v>
      </c>
      <c r="CR69" s="244">
        <f>-'Cash Flow'!CF46</f>
        <v>0</v>
      </c>
      <c r="CS69" s="512">
        <v>0</v>
      </c>
      <c r="CT69" s="665">
        <f>+'Cash Flow'!CH46</f>
        <v>0</v>
      </c>
      <c r="CU69" s="244">
        <f>+'Cash Flow'!CI46</f>
        <v>0</v>
      </c>
      <c r="CV69" s="244">
        <f>+'Cash Flow'!CJ46</f>
        <v>0</v>
      </c>
      <c r="CW69" s="512">
        <f>+'Cash Flow'!CK46</f>
        <v>0</v>
      </c>
      <c r="CX69" s="1575">
        <f>+'Cash Flow'!CL46</f>
        <v>0</v>
      </c>
      <c r="CY69" s="1575">
        <f>-'Cash Flow'!CM46</f>
        <v>321</v>
      </c>
      <c r="CZ69" s="1575">
        <f>-'Cash Flow'!CN46</f>
        <v>64</v>
      </c>
      <c r="DA69" s="1576">
        <f>-'Cash Flow'!CO46</f>
        <v>670</v>
      </c>
      <c r="DB69" s="1575">
        <f>-'Cash Flow'!CP46</f>
        <v>52</v>
      </c>
      <c r="DC69" s="1575">
        <f>-'Cash Flow'!CQ46</f>
        <v>219</v>
      </c>
      <c r="DD69" s="1936">
        <f>-'Cash Flow'!CR46</f>
        <v>201</v>
      </c>
      <c r="DE69" s="2089">
        <f>-'Cash Flow'!CS46</f>
        <v>226</v>
      </c>
      <c r="DF69" s="2487">
        <f>-'Cash Flow'!CT46</f>
        <v>373</v>
      </c>
      <c r="DG69" s="2487">
        <f>-'Cash Flow'!CU46</f>
        <v>398</v>
      </c>
      <c r="DH69" s="2487">
        <f>-'Cash Flow'!CV46</f>
        <v>367</v>
      </c>
      <c r="DI69" s="2089">
        <f>-'Cash Flow'!CW46</f>
        <v>866</v>
      </c>
      <c r="DJ69" s="2691">
        <v>650</v>
      </c>
      <c r="DK69" s="1577">
        <v>250</v>
      </c>
      <c r="DL69" s="1577">
        <v>250</v>
      </c>
      <c r="DM69" s="2616">
        <v>350</v>
      </c>
      <c r="DN69" s="967"/>
      <c r="DO69" s="495"/>
      <c r="DP69" s="191"/>
      <c r="DQ69" s="191"/>
      <c r="DR69" s="191"/>
      <c r="DS69" s="191"/>
      <c r="DT69" s="191"/>
      <c r="DU69" s="191"/>
      <c r="DV69" s="191"/>
      <c r="DW69" s="191"/>
      <c r="DX69" s="191"/>
      <c r="DY69" s="191"/>
      <c r="DZ69" s="191"/>
      <c r="EA69" s="191"/>
      <c r="EB69" s="191"/>
      <c r="EC69" s="191"/>
      <c r="ED69" s="191"/>
      <c r="EE69" s="191"/>
      <c r="EF69" s="191"/>
      <c r="EG69" s="191"/>
      <c r="EH69" s="191"/>
      <c r="EI69" s="191"/>
      <c r="EJ69" s="191"/>
      <c r="EK69" s="191"/>
      <c r="EL69" s="334">
        <f>SUM(BF69:BI69)</f>
        <v>3460.7501377399999</v>
      </c>
      <c r="EM69" s="334">
        <v>0</v>
      </c>
      <c r="EN69" s="334">
        <v>0</v>
      </c>
      <c r="EO69" s="334">
        <v>1200</v>
      </c>
      <c r="EP69" s="334">
        <f>SUM(BV69:BY69)</f>
        <v>1500</v>
      </c>
      <c r="EQ69" s="334">
        <v>1200</v>
      </c>
      <c r="ER69" s="665">
        <f>SUM(CD69:CG69)</f>
        <v>1500</v>
      </c>
      <c r="ES69" s="244">
        <f>SUM(CH69:CK69)</f>
        <v>255</v>
      </c>
      <c r="ET69" s="244">
        <f>SUM(CL69:CO69)</f>
        <v>255</v>
      </c>
      <c r="EU69" s="244">
        <f>SUM(CP69:CS69)</f>
        <v>0</v>
      </c>
      <c r="EV69" s="244">
        <f>SUM(CT69:CW69)</f>
        <v>0</v>
      </c>
      <c r="EW69" s="244">
        <f>SUM(CX69:DA69)</f>
        <v>1055</v>
      </c>
      <c r="EX69" s="244">
        <f>SUM(DB69:DE69)</f>
        <v>698</v>
      </c>
      <c r="EY69" s="244">
        <f>SUM(DF69:DI69)</f>
        <v>2004</v>
      </c>
      <c r="EZ69" s="1790">
        <f>SUM(DJ69:DM69)</f>
        <v>1500</v>
      </c>
      <c r="FA69" s="1856">
        <v>1500</v>
      </c>
      <c r="FB69" s="1856">
        <v>1500</v>
      </c>
      <c r="FC69" s="244">
        <v>1200</v>
      </c>
      <c r="FD69" s="244">
        <f t="shared" ref="FC69:FH69" si="204">FC69</f>
        <v>1200</v>
      </c>
      <c r="FE69" s="244">
        <f t="shared" si="204"/>
        <v>1200</v>
      </c>
      <c r="FF69" s="244">
        <f t="shared" si="204"/>
        <v>1200</v>
      </c>
      <c r="FG69" s="244">
        <f t="shared" si="204"/>
        <v>1200</v>
      </c>
      <c r="FH69" s="244">
        <f t="shared" si="204"/>
        <v>1200</v>
      </c>
      <c r="FI69" s="413"/>
      <c r="FJ69"/>
      <c r="FK69"/>
      <c r="FL69"/>
      <c r="FM69"/>
      <c r="FN69"/>
      <c r="FO69"/>
      <c r="FP69" s="4"/>
      <c r="FQ69" s="4"/>
      <c r="FR69" s="4"/>
      <c r="FS69" s="1492"/>
      <c r="FT69" s="910"/>
      <c r="FU69" s="910"/>
      <c r="FV69" s="1856"/>
      <c r="FW69" s="910"/>
      <c r="FX69" s="910"/>
      <c r="FY69" s="910"/>
      <c r="FZ69"/>
      <c r="GA69" s="2676"/>
      <c r="GB69" s="2676"/>
      <c r="GC69" s="2676"/>
      <c r="GD69" s="67"/>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row>
    <row r="70" spans="1:260" s="4" customFormat="1" ht="11.25" hidden="1" customHeight="1" outlineLevel="1" x14ac:dyDescent="0.2">
      <c r="A70" s="411" t="s">
        <v>164</v>
      </c>
      <c r="B70" s="3"/>
      <c r="C70" s="3"/>
      <c r="D70" s="3"/>
      <c r="E70" s="470"/>
      <c r="I70" s="470"/>
      <c r="M70" s="470"/>
      <c r="Q70" s="470"/>
      <c r="U70" s="470"/>
      <c r="Y70" s="470"/>
      <c r="AC70" s="470"/>
      <c r="AG70" s="470"/>
      <c r="AK70" s="470"/>
      <c r="AO70" s="470"/>
      <c r="AS70" s="470"/>
      <c r="AW70" s="470"/>
      <c r="BA70" s="470"/>
      <c r="BB70" s="6"/>
      <c r="BC70" s="6"/>
      <c r="BE70" s="484"/>
      <c r="BF70" s="247" t="s">
        <v>483</v>
      </c>
      <c r="BG70" s="245">
        <f>BG69/BG67</f>
        <v>53.85996409335727</v>
      </c>
      <c r="BH70" s="247" t="s">
        <v>483</v>
      </c>
      <c r="BI70" s="504">
        <v>45.59</v>
      </c>
      <c r="BJ70" s="247" t="s">
        <v>483</v>
      </c>
      <c r="BK70" s="247" t="s">
        <v>483</v>
      </c>
      <c r="BL70" s="247" t="s">
        <v>483</v>
      </c>
      <c r="BM70" s="497" t="s">
        <v>483</v>
      </c>
      <c r="BN70" s="247" t="s">
        <v>483</v>
      </c>
      <c r="BO70" s="247" t="s">
        <v>483</v>
      </c>
      <c r="BP70" s="247" t="s">
        <v>483</v>
      </c>
      <c r="BQ70" s="497" t="s">
        <v>483</v>
      </c>
      <c r="BR70" s="245">
        <f t="shared" ref="BR70:CG70" si="205">BR69/BR67</f>
        <v>44.4</v>
      </c>
      <c r="BS70" s="245">
        <f t="shared" si="205"/>
        <v>34.335260115606935</v>
      </c>
      <c r="BT70" s="245">
        <f t="shared" si="205"/>
        <v>38.807339449541281</v>
      </c>
      <c r="BU70" s="504">
        <f t="shared" si="205"/>
        <v>31.304347826086996</v>
      </c>
      <c r="BV70" s="245">
        <f t="shared" si="205"/>
        <v>30.421686746987948</v>
      </c>
      <c r="BW70" s="245">
        <f t="shared" si="205"/>
        <v>28.188976377952759</v>
      </c>
      <c r="BX70" s="245">
        <f t="shared" si="205"/>
        <v>25.396825396825399</v>
      </c>
      <c r="BY70" s="504">
        <f t="shared" si="205"/>
        <v>24.765625</v>
      </c>
      <c r="BZ70" s="245">
        <f t="shared" si="205"/>
        <v>44.4</v>
      </c>
      <c r="CA70" s="245">
        <f t="shared" si="205"/>
        <v>34.335260115606935</v>
      </c>
      <c r="CB70" s="245">
        <f t="shared" si="205"/>
        <v>38.807339449541281</v>
      </c>
      <c r="CC70" s="504">
        <f t="shared" si="205"/>
        <v>31.304347826086996</v>
      </c>
      <c r="CD70" s="245">
        <f t="shared" si="205"/>
        <v>30.421686746987948</v>
      </c>
      <c r="CE70" s="245">
        <f t="shared" si="205"/>
        <v>28.188976377952759</v>
      </c>
      <c r="CF70" s="245">
        <f t="shared" si="205"/>
        <v>25.396825396825399</v>
      </c>
      <c r="CG70" s="504">
        <f t="shared" si="205"/>
        <v>24.765625</v>
      </c>
      <c r="CH70" s="245">
        <v>25</v>
      </c>
      <c r="CI70" s="245">
        <v>19.28</v>
      </c>
      <c r="CJ70" s="245">
        <v>19.28</v>
      </c>
      <c r="CK70" s="504">
        <v>19.28</v>
      </c>
      <c r="CL70" s="245">
        <v>25</v>
      </c>
      <c r="CM70" s="245">
        <v>19.28</v>
      </c>
      <c r="CN70" s="245">
        <v>19.28</v>
      </c>
      <c r="CO70" s="504">
        <v>19.28</v>
      </c>
      <c r="CP70" s="736">
        <v>25</v>
      </c>
      <c r="CQ70" s="245">
        <v>19.28</v>
      </c>
      <c r="CR70" s="245">
        <v>19.28</v>
      </c>
      <c r="CS70" s="504">
        <f>CR70</f>
        <v>19.28</v>
      </c>
      <c r="CT70" s="736">
        <v>27.66</v>
      </c>
      <c r="CU70" s="245">
        <v>27.66</v>
      </c>
      <c r="CV70" s="245">
        <v>40</v>
      </c>
      <c r="CW70" s="504">
        <v>40</v>
      </c>
      <c r="CX70" s="245">
        <v>37</v>
      </c>
      <c r="CY70" s="245">
        <v>32</v>
      </c>
      <c r="CZ70" s="245">
        <f t="shared" ref="CZ70:DF70" si="206">+CZ69/CZ67</f>
        <v>33.684210526315788</v>
      </c>
      <c r="DA70" s="504">
        <f t="shared" si="206"/>
        <v>32.057416267942585</v>
      </c>
      <c r="DB70" s="245">
        <f t="shared" si="206"/>
        <v>16.25</v>
      </c>
      <c r="DC70" s="245">
        <f t="shared" si="206"/>
        <v>30.316571453251846</v>
      </c>
      <c r="DD70" s="245">
        <f t="shared" si="206"/>
        <v>37.222222222222221</v>
      </c>
      <c r="DE70" s="2036">
        <f t="shared" si="206"/>
        <v>42.641509433962263</v>
      </c>
      <c r="DF70" s="1651">
        <f t="shared" si="206"/>
        <v>46.049382716049386</v>
      </c>
      <c r="DG70" s="1651">
        <f t="shared" ref="DG70:DI70" si="207">+DG69/DG67</f>
        <v>54.520547945205479</v>
      </c>
      <c r="DH70" s="1651">
        <f t="shared" si="207"/>
        <v>57.34375</v>
      </c>
      <c r="DI70" s="2036">
        <f t="shared" si="207"/>
        <v>69.28</v>
      </c>
      <c r="DJ70" s="2692">
        <v>74</v>
      </c>
      <c r="DK70" s="1574">
        <f t="shared" ref="DK70:DL70" si="208">DJ70*1.01</f>
        <v>74.739999999999995</v>
      </c>
      <c r="DL70" s="1574">
        <f t="shared" si="208"/>
        <v>75.487399999999994</v>
      </c>
      <c r="DM70" s="1573">
        <f>+DL70*1.01</f>
        <v>76.242273999999995</v>
      </c>
      <c r="DN70" s="968"/>
      <c r="DO70" s="1223"/>
      <c r="EK70" s="6"/>
      <c r="EL70" s="245">
        <f>EL69/EL67</f>
        <v>52.589882959687223</v>
      </c>
      <c r="EM70" s="247" t="s">
        <v>483</v>
      </c>
      <c r="EN70" s="247" t="s">
        <v>483</v>
      </c>
      <c r="EO70" s="245">
        <f t="shared" ref="EO70:ET70" si="209">EO69/EO67</f>
        <v>36.363636363636367</v>
      </c>
      <c r="EP70" s="245">
        <f t="shared" si="209"/>
        <v>27.422303473491773</v>
      </c>
      <c r="EQ70" s="245">
        <f t="shared" si="209"/>
        <v>36.363636363636367</v>
      </c>
      <c r="ER70" s="736">
        <f t="shared" si="209"/>
        <v>27.422303473491773</v>
      </c>
      <c r="ES70" s="245">
        <f t="shared" si="209"/>
        <v>21.870262421796596</v>
      </c>
      <c r="ET70" s="245">
        <f t="shared" si="209"/>
        <v>21.870262421796596</v>
      </c>
      <c r="EU70" s="1171">
        <v>0</v>
      </c>
      <c r="EV70" s="245">
        <v>27.66</v>
      </c>
      <c r="EW70" s="245">
        <f>+AVERAGE(CX70:DA70)</f>
        <v>33.685406698564591</v>
      </c>
      <c r="EX70" s="245">
        <f>+AVERAGE(DB70:DE70)</f>
        <v>31.607575777359081</v>
      </c>
      <c r="EY70" s="245">
        <f>+AVERAGE(DF70:DI70)</f>
        <v>56.798420165313715</v>
      </c>
      <c r="EZ70" s="1791">
        <f>+AVERAGE(DJ70:DM70)</f>
        <v>75.117418499999999</v>
      </c>
      <c r="FA70" s="1578">
        <f>+EZ70*1.05</f>
        <v>78.873289424999996</v>
      </c>
      <c r="FB70" s="1578">
        <f>+FA70*1.05</f>
        <v>82.816953896249998</v>
      </c>
      <c r="FC70" s="1578">
        <f t="shared" ref="FB70:FH70" si="210">+FB70*1.08</f>
        <v>89.442310207950001</v>
      </c>
      <c r="FD70" s="1578">
        <f t="shared" si="210"/>
        <v>96.597695024586002</v>
      </c>
      <c r="FE70" s="1578">
        <f t="shared" si="210"/>
        <v>104.32551062655288</v>
      </c>
      <c r="FF70" s="1578">
        <f t="shared" si="210"/>
        <v>112.67155147667712</v>
      </c>
      <c r="FG70" s="1578">
        <f t="shared" si="210"/>
        <v>121.6852755948113</v>
      </c>
      <c r="FH70" s="1578">
        <f t="shared" si="210"/>
        <v>131.4200976423962</v>
      </c>
      <c r="FI70" s="413"/>
      <c r="FJ70"/>
      <c r="FK70"/>
      <c r="FL70"/>
      <c r="FM70"/>
      <c r="FN70"/>
      <c r="FO70"/>
      <c r="FS70" s="1388"/>
      <c r="FT70" s="910"/>
      <c r="FU70" s="910"/>
      <c r="FV70" s="2632"/>
      <c r="FW70" s="910"/>
      <c r="FX70" s="910"/>
      <c r="FY70" s="91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row>
    <row r="71" spans="1:260" s="4" customFormat="1" ht="11.25" hidden="1" customHeight="1" outlineLevel="1" x14ac:dyDescent="0.2">
      <c r="A71" s="6"/>
      <c r="B71" s="3"/>
      <c r="C71" s="3"/>
      <c r="D71" s="3"/>
      <c r="E71" s="470"/>
      <c r="I71" s="470"/>
      <c r="M71" s="470"/>
      <c r="Q71" s="470"/>
      <c r="U71" s="470"/>
      <c r="Y71" s="470"/>
      <c r="AC71" s="470"/>
      <c r="AG71" s="470"/>
      <c r="AK71" s="470"/>
      <c r="AO71" s="470"/>
      <c r="AS71" s="470"/>
      <c r="AW71" s="470"/>
      <c r="BA71" s="470"/>
      <c r="BB71" s="6"/>
      <c r="BC71" s="6"/>
      <c r="BE71" s="484"/>
      <c r="BF71" s="247"/>
      <c r="BG71" s="245"/>
      <c r="BH71" s="247"/>
      <c r="BI71" s="504"/>
      <c r="BJ71" s="247"/>
      <c r="BK71" s="247"/>
      <c r="BL71" s="247"/>
      <c r="BM71" s="497"/>
      <c r="BN71" s="247"/>
      <c r="BO71" s="247"/>
      <c r="BP71" s="247"/>
      <c r="BQ71" s="497"/>
      <c r="BR71" s="245"/>
      <c r="BS71" s="245"/>
      <c r="BT71" s="245"/>
      <c r="BU71" s="504"/>
      <c r="BV71" s="245"/>
      <c r="BW71" s="245"/>
      <c r="BX71" s="245"/>
      <c r="BY71" s="504"/>
      <c r="BZ71" s="245"/>
      <c r="CA71" s="245"/>
      <c r="CB71" s="245"/>
      <c r="CC71" s="504"/>
      <c r="CD71" s="245"/>
      <c r="CE71" s="245"/>
      <c r="CF71" s="245"/>
      <c r="CG71" s="504"/>
      <c r="CH71" s="245"/>
      <c r="CI71" s="245"/>
      <c r="CJ71" s="245"/>
      <c r="CK71" s="504"/>
      <c r="CL71" s="245"/>
      <c r="CM71" s="245"/>
      <c r="CN71" s="245"/>
      <c r="CO71" s="504"/>
      <c r="CP71" s="736"/>
      <c r="CQ71" s="245"/>
      <c r="CR71" s="245"/>
      <c r="CS71" s="504"/>
      <c r="CT71" s="736"/>
      <c r="CU71" s="245"/>
      <c r="CV71" s="245"/>
      <c r="CW71" s="504"/>
      <c r="CX71" s="245"/>
      <c r="CY71" s="245"/>
      <c r="CZ71" s="245"/>
      <c r="DA71" s="504"/>
      <c r="DB71" s="245"/>
      <c r="DC71" s="245"/>
      <c r="DD71" s="245"/>
      <c r="DE71" s="504"/>
      <c r="DF71" s="245"/>
      <c r="DG71" s="245"/>
      <c r="DH71" s="245"/>
      <c r="DI71" s="504"/>
      <c r="DJ71" s="1791"/>
      <c r="DK71" s="245"/>
      <c r="DL71" s="245"/>
      <c r="DM71" s="504"/>
      <c r="DN71" s="1224"/>
      <c r="DO71" s="1223"/>
      <c r="EK71" s="6"/>
      <c r="EL71" s="245"/>
      <c r="EM71" s="247"/>
      <c r="EN71" s="247"/>
      <c r="EO71" s="245"/>
      <c r="EP71" s="245"/>
      <c r="EQ71" s="245"/>
      <c r="ER71" s="736"/>
      <c r="ES71" s="245"/>
      <c r="ET71" s="245"/>
      <c r="EU71" s="245"/>
      <c r="EV71" s="245"/>
      <c r="EW71" s="245"/>
      <c r="EX71" s="245"/>
      <c r="EY71" s="245"/>
      <c r="EZ71" s="1791"/>
      <c r="FA71" s="245"/>
      <c r="FB71" s="245"/>
      <c r="FC71" s="245"/>
      <c r="FD71" s="245"/>
      <c r="FE71" s="245"/>
      <c r="FF71" s="245"/>
      <c r="FG71" s="245"/>
      <c r="FH71" s="245"/>
      <c r="FI71" s="413"/>
      <c r="FJ71"/>
      <c r="FK71"/>
      <c r="FL71"/>
      <c r="FM71"/>
      <c r="FN71"/>
      <c r="FO71"/>
      <c r="FS71" s="245"/>
      <c r="FT71" s="245"/>
      <c r="FU71"/>
      <c r="FV71" s="245"/>
      <c r="FW71" s="245"/>
      <c r="FX71" s="245"/>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row>
    <row r="72" spans="1:260" s="4" customFormat="1" ht="11.25" customHeight="1" collapsed="1" x14ac:dyDescent="0.2">
      <c r="A72" s="299" t="s">
        <v>37</v>
      </c>
      <c r="B72" s="425"/>
      <c r="C72" s="425"/>
      <c r="D72" s="425"/>
      <c r="E72" s="509"/>
      <c r="F72" s="425">
        <v>3.7402319892846174</v>
      </c>
      <c r="G72" s="425">
        <v>3.5139370124086291</v>
      </c>
      <c r="H72" s="425">
        <v>3.5471911718977056</v>
      </c>
      <c r="I72" s="509">
        <v>2.8550096893222774</v>
      </c>
      <c r="J72" s="425">
        <v>3.3485066164593382</v>
      </c>
      <c r="K72" s="425">
        <v>3.4899564743856657</v>
      </c>
      <c r="L72" s="425">
        <v>3.321564010223883</v>
      </c>
      <c r="M72" s="509">
        <v>3.605113235252587</v>
      </c>
      <c r="N72" s="425">
        <v>3.9807015085799553</v>
      </c>
      <c r="O72" s="425">
        <v>3.9978224309581472</v>
      </c>
      <c r="P72" s="425">
        <v>4.7038487632147943</v>
      </c>
      <c r="Q72" s="509">
        <v>4.9678338370324768</v>
      </c>
      <c r="R72" s="425">
        <v>5.1183046972341808</v>
      </c>
      <c r="S72" s="425">
        <v>5.1219313729376177</v>
      </c>
      <c r="T72" s="425">
        <v>4.1805893369347364</v>
      </c>
      <c r="U72" s="509">
        <v>2.4252120992953041</v>
      </c>
      <c r="V72" s="425">
        <v>2.5938205912176846</v>
      </c>
      <c r="W72" s="425">
        <v>2.1731307134601692</v>
      </c>
      <c r="X72" s="425">
        <v>1.9747715480544028</v>
      </c>
      <c r="Y72" s="509">
        <v>1.2457137107702081</v>
      </c>
      <c r="Z72" s="425">
        <v>1.6596840602376524</v>
      </c>
      <c r="AA72" s="425">
        <v>1.6516252593133203</v>
      </c>
      <c r="AB72" s="425">
        <v>1.5719026011184178</v>
      </c>
      <c r="AC72" s="509">
        <v>1.3335914689781023</v>
      </c>
      <c r="AD72" s="425">
        <v>1.2193044105680124</v>
      </c>
      <c r="AE72" s="425">
        <v>1.2042311382746091</v>
      </c>
      <c r="AF72" s="425">
        <v>1.5092582298682062</v>
      </c>
      <c r="AG72" s="509">
        <v>1.9392753669270903</v>
      </c>
      <c r="AH72" s="425">
        <v>2.3077531629263661</v>
      </c>
      <c r="AI72" s="425">
        <v>2.1888707979223794</v>
      </c>
      <c r="AJ72" s="425">
        <v>2.450667465761569</v>
      </c>
      <c r="AK72" s="509">
        <v>2.0710928319623974</v>
      </c>
      <c r="AL72" s="425">
        <v>2.1617591602784847</v>
      </c>
      <c r="AM72" s="425">
        <v>2.2070964254198424</v>
      </c>
      <c r="AN72" s="425">
        <v>2.1344848181138332</v>
      </c>
      <c r="AO72" s="509">
        <v>1.3835227272727273</v>
      </c>
      <c r="AP72" s="425">
        <v>1.6378515173958079</v>
      </c>
      <c r="AQ72" s="425">
        <v>1.3745493431379376</v>
      </c>
      <c r="AR72" s="425">
        <v>1.207709532316501</v>
      </c>
      <c r="AS72" s="509">
        <v>1.100602688919796</v>
      </c>
      <c r="AT72" s="425">
        <v>1.1076423665524864</v>
      </c>
      <c r="AU72" s="425">
        <v>0.98314194851467274</v>
      </c>
      <c r="AV72" s="425">
        <v>0.73343842592614505</v>
      </c>
      <c r="AW72" s="509">
        <v>0.76093294460641403</v>
      </c>
      <c r="AX72" s="425">
        <v>0.82044079241652401</v>
      </c>
      <c r="AY72" s="425">
        <v>0.8595953012563744</v>
      </c>
      <c r="AZ72" s="425">
        <v>0.69823135934510561</v>
      </c>
      <c r="BA72" s="509">
        <v>0.43657923104563423</v>
      </c>
      <c r="BB72" s="425">
        <v>0.98780809626853838</v>
      </c>
      <c r="BC72" s="425">
        <v>0.93310585419266145</v>
      </c>
      <c r="BD72" s="425">
        <v>0.96091982910278972</v>
      </c>
      <c r="BE72" s="509">
        <v>0.6477030727106784</v>
      </c>
      <c r="BF72" s="425">
        <v>1.0066909400416115</v>
      </c>
      <c r="BG72" s="425">
        <v>1.7965603545268767</v>
      </c>
      <c r="BH72" s="425">
        <v>1.4748204570184986</v>
      </c>
      <c r="BI72" s="509">
        <v>1.4528671328671328</v>
      </c>
      <c r="BJ72" s="425">
        <v>1.6132452009376388</v>
      </c>
      <c r="BK72" s="425">
        <v>2.4079008389898395</v>
      </c>
      <c r="BL72" s="425">
        <v>2.6447777383758528</v>
      </c>
      <c r="BM72" s="509">
        <v>2.3812301166489926</v>
      </c>
      <c r="BN72" s="425">
        <v>2.4126096426679227</v>
      </c>
      <c r="BO72" s="425">
        <v>2.4221750890233698</v>
      </c>
      <c r="BP72" s="425">
        <v>2.3669627267896454</v>
      </c>
      <c r="BQ72" s="509">
        <v>2.0258215962441315</v>
      </c>
      <c r="BR72" s="425"/>
      <c r="BS72" s="425"/>
      <c r="BT72" s="425"/>
      <c r="BU72" s="509"/>
      <c r="BV72" s="425"/>
      <c r="BW72" s="425"/>
      <c r="BX72" s="425"/>
      <c r="BY72" s="509"/>
      <c r="BZ72" s="425">
        <v>1.9979110237753821</v>
      </c>
      <c r="CA72" s="425">
        <v>2.1364625427416848</v>
      </c>
      <c r="CB72" s="425">
        <v>2.1568909253842383</v>
      </c>
      <c r="CC72" s="509">
        <v>2.1148409893992932</v>
      </c>
      <c r="CD72" s="425">
        <v>2.0070084360804672</v>
      </c>
      <c r="CE72" s="425">
        <v>2.2013354314634457</v>
      </c>
      <c r="CF72" s="425">
        <v>2.1640778823014655</v>
      </c>
      <c r="CG72" s="509">
        <v>2.3732330141358871</v>
      </c>
      <c r="CH72" s="425"/>
      <c r="CI72" s="425"/>
      <c r="CJ72" s="425"/>
      <c r="CK72" s="509"/>
      <c r="CL72" s="425">
        <v>2.3127027024121132</v>
      </c>
      <c r="CM72" s="425">
        <v>2.5594431343403223</v>
      </c>
      <c r="CN72" s="425">
        <v>2.7839239959508513</v>
      </c>
      <c r="CO72" s="509">
        <v>2.6900921658986174</v>
      </c>
      <c r="CP72" s="1065">
        <v>2.8257283415290892</v>
      </c>
      <c r="CQ72" s="425">
        <v>2.4230109916614984</v>
      </c>
      <c r="CR72" s="425">
        <v>2.1758080321403006</v>
      </c>
      <c r="CS72" s="509">
        <v>1.9771591720199857</v>
      </c>
      <c r="CT72" s="1464">
        <v>1.9207778177889809</v>
      </c>
      <c r="CU72" s="1432">
        <v>1.8859492313192707</v>
      </c>
      <c r="CV72" s="1432">
        <v>1.8034782608695652</v>
      </c>
      <c r="CW72" s="1440">
        <v>1.4287109375</v>
      </c>
      <c r="CX72" s="1432">
        <v>1.4498403079190894</v>
      </c>
      <c r="CY72" s="1432">
        <v>1.4790622473726758</v>
      </c>
      <c r="CZ72" s="1432">
        <v>1.497787432617266</v>
      </c>
      <c r="DA72" s="1440">
        <v>1.5470646113479829</v>
      </c>
      <c r="DB72" s="1432">
        <v>1.4793542629999188</v>
      </c>
      <c r="DC72" s="1432">
        <v>1.3459485686559922</v>
      </c>
      <c r="DD72" s="1432">
        <v>1.4109643224428448</v>
      </c>
      <c r="DE72" s="1440">
        <v>1.1122667482410522</v>
      </c>
      <c r="DF72" s="1432">
        <v>1.2006104257660295</v>
      </c>
      <c r="DG72" s="1432">
        <v>1.232399528949939</v>
      </c>
      <c r="DH72" s="1432">
        <v>1.2678657162725842</v>
      </c>
      <c r="DI72" s="1440">
        <v>1.306559100022622</v>
      </c>
      <c r="DJ72" s="1792">
        <v>1.5288651889299962</v>
      </c>
      <c r="DK72" s="1432">
        <v>1.5972690165889516</v>
      </c>
      <c r="DL72" s="1432">
        <v>1.5991304931996722</v>
      </c>
      <c r="DM72" s="1440">
        <v>1.4894724729348989</v>
      </c>
      <c r="DN72" s="969"/>
      <c r="DO72" s="1223"/>
      <c r="DQ72" s="1432">
        <f>+('Balance Sheet'!DE65+8*'Income Statement'!DQ13)/('Income Statement'!DQ20+'Income Statement'!DQ13)</f>
        <v>1.0014142604596348</v>
      </c>
      <c r="DR72" s="1432">
        <f>+('Balance Sheet'!DF65+8*'Income Statement'!DR13)/('Income Statement'!DR20+'Income Statement'!DR13)</f>
        <v>4.0485254844025151</v>
      </c>
      <c r="DS72" s="1432">
        <f>+('Balance Sheet'!DG65+8*'Income Statement'!DS13)/('Income Statement'!DS20+'Income Statement'!DS13)</f>
        <v>3.1876631291440529</v>
      </c>
      <c r="DT72" s="1432">
        <f>+('Balance Sheet'!DH65+8*'Income Statement'!DT13)/('Income Statement'!DT20+'Income Statement'!DT13)</f>
        <v>1.500456961821403</v>
      </c>
      <c r="DU72" s="1432">
        <f>+('Balance Sheet'!DI65+8*'Income Statement'!DU13)/('Income Statement'!DU20+'Income Statement'!DU13)</f>
        <v>4.0830868761552788</v>
      </c>
      <c r="DV72" s="1432">
        <f>+('Balance Sheet'!DJ65+8*'Income Statement'!DV13)/('Income Statement'!DV20+'Income Statement'!DV13)</f>
        <v>1.9157952790646366</v>
      </c>
      <c r="DW72" s="1432">
        <f>+('Balance Sheet'!DK65+8*'Income Statement'!DW13)/('Income Statement'!DW20+'Income Statement'!DW13)</f>
        <v>3.3594219371600182</v>
      </c>
      <c r="DX72" s="1432">
        <f>+('Balance Sheet'!DL65+8*'Income Statement'!DX13)/('Income Statement'!DX20+'Income Statement'!DX13)</f>
        <v>3.5139649387808456</v>
      </c>
      <c r="DY72" s="1432">
        <f>+('Balance Sheet'!DM65+8*'Income Statement'!DY13)/('Income Statement'!DY20+'Income Statement'!DY13)</f>
        <v>2.8550096893222778</v>
      </c>
      <c r="DZ72" s="1432">
        <f>+('Balance Sheet'!DN65+8*'Income Statement'!DZ13)/('Income Statement'!DZ20+'Income Statement'!DZ13)</f>
        <v>3.605113235252587</v>
      </c>
      <c r="EA72" s="1432">
        <f>+('Balance Sheet'!DO65+8*'Income Statement'!EA13)/('Income Statement'!EA20+'Income Statement'!EA13)</f>
        <v>4.9678338370324848</v>
      </c>
      <c r="EB72" s="1432">
        <f>+('Balance Sheet'!DP65+8*'Income Statement'!EB13)/('Income Statement'!EB20+'Income Statement'!EB13)</f>
        <v>2.4252120992953046</v>
      </c>
      <c r="EC72" s="1432">
        <f>+('Balance Sheet'!DQ65+8*'Income Statement'!EC13)/('Income Statement'!EC20+'Income Statement'!EC13)</f>
        <v>1.245713710770207</v>
      </c>
      <c r="ED72" s="1432">
        <f>+('Balance Sheet'!DR65+8*'Income Statement'!ED13)/('Income Statement'!ED20+'Income Statement'!ED13)</f>
        <v>1.3335914689781023</v>
      </c>
      <c r="EE72" s="1432">
        <f>+('Balance Sheet'!DS65+8*'Income Statement'!EE13)/('Income Statement'!EE20+'Income Statement'!EE13)</f>
        <v>1.9392753669270906</v>
      </c>
      <c r="EF72" s="1432">
        <f>+('Balance Sheet'!DT65+8*'Income Statement'!EF13)/('Income Statement'!EF20+'Income Statement'!EF13)</f>
        <v>2.0189003436426116</v>
      </c>
      <c r="EG72" s="1432">
        <f>+('Balance Sheet'!DU65+8*'Income Statement'!EG13)/('Income Statement'!EG20+'Income Statement'!EG13)</f>
        <v>1.3835227272727273</v>
      </c>
      <c r="EH72" s="1432">
        <f>+('Balance Sheet'!DV65+8*'Income Statement'!EH13)/('Income Statement'!EH20+'Income Statement'!EH13)</f>
        <v>1.100602688919796</v>
      </c>
      <c r="EI72" s="1432">
        <f>+('Balance Sheet'!DW65+8*'Income Statement'!EI13)/('Income Statement'!EI20+'Income Statement'!EI13)</f>
        <v>0.76093294460641403</v>
      </c>
      <c r="EJ72" s="1432">
        <f>+('Balance Sheet'!DX65+8*'Income Statement'!EJ13)/('Income Statement'!EJ20+'Income Statement'!EJ13)</f>
        <v>0.45831761599396453</v>
      </c>
      <c r="EK72" s="1432">
        <f>+('Balance Sheet'!DY65+8*'Income Statement'!EK13)/('Income Statement'!EK20+'Income Statement'!EK13)</f>
        <v>0.67224502683928011</v>
      </c>
      <c r="EL72" s="1432">
        <f>+('Balance Sheet'!DZ65+8*'Income Statement'!EL13)/('Income Statement'!EL20+'Income Statement'!EL13)</f>
        <v>1.4942462600690449</v>
      </c>
      <c r="EM72" s="1432">
        <f>+('Balance Sheet'!EA65+8*'Income Statement'!EM13)/('Income Statement'!EM20+'Income Statement'!EM13)</f>
        <v>2.3964781216648881</v>
      </c>
      <c r="EN72" s="1432">
        <f>+('Balance Sheet'!EB65+8*'Income Statement'!EN13)/('Income Statement'!EN20+'Income Statement'!EN13)</f>
        <v>2.0041802136553648</v>
      </c>
      <c r="EO72" s="1432">
        <f>+('Balance Sheet'!EC65+8*'Income Statement'!EO13)/('Income Statement'!EO20+'Income Statement'!EO13)</f>
        <v>2.1577287066246056</v>
      </c>
      <c r="EP72" s="1432">
        <f>+('Balance Sheet'!ED65+8*'Income Statement'!EP13)/('Income Statement'!EP20+'Income Statement'!EP13)</f>
        <v>2.3566618409190085</v>
      </c>
      <c r="EQ72" s="1440">
        <f>+('Balance Sheet'!EE65+8*'Income Statement'!EQ13)/('Income Statement'!EQ20+'Income Statement'!EQ13)</f>
        <v>2.0181857544923143</v>
      </c>
      <c r="ER72" s="1432">
        <f>+('Balance Sheet'!EF65+8*'Income Statement'!ER13)/('Income Statement'!ER20+'Income Statement'!ER13)</f>
        <v>2.3104774835935733</v>
      </c>
      <c r="ES72" s="1432">
        <f>+('Balance Sheet'!EG65+8*'Income Statement'!ES13)/('Income Statement'!ES20+'Income Statement'!ES13)</f>
        <v>2.7399112290189271</v>
      </c>
      <c r="ET72" s="1432">
        <f>+('Balance Sheet'!EG65+8*'Income Statement'!ET13)/('Income Statement'!ET20+'Income Statement'!ET13)</f>
        <v>2.7476209966233496</v>
      </c>
      <c r="EU72" s="1432">
        <f>+('Balance Sheet'!EH65+8*'Income Statement'!EU13)/('Income Statement'!EU20+'Income Statement'!EU13)</f>
        <v>1.4385873799013242</v>
      </c>
      <c r="EV72" s="1432">
        <v>1.4287109375</v>
      </c>
      <c r="EW72" s="1432">
        <v>1.5470646113479829</v>
      </c>
      <c r="EX72" s="1432">
        <v>1.1122667482410522</v>
      </c>
      <c r="EY72" s="1432">
        <v>1.306559100022622</v>
      </c>
      <c r="EZ72" s="1792">
        <v>1.4894724729348989</v>
      </c>
      <c r="FA72" s="1432">
        <v>1.5944654602588886</v>
      </c>
      <c r="FB72" s="1432">
        <v>1.6921568610791631</v>
      </c>
      <c r="FC72" s="1432">
        <v>1.7314376408362622</v>
      </c>
      <c r="FD72" s="1432">
        <v>1.7582745734889842</v>
      </c>
      <c r="FE72" s="1432">
        <v>1.7956692178828513</v>
      </c>
      <c r="FF72" s="1432">
        <v>1.8439600166886394</v>
      </c>
      <c r="FG72" s="1432">
        <v>1.9040865820390849</v>
      </c>
      <c r="FH72" s="1432">
        <v>1.9742078514981403</v>
      </c>
      <c r="FI72" s="413"/>
      <c r="FJ72"/>
      <c r="FK72"/>
      <c r="FL72"/>
      <c r="FM72"/>
      <c r="FN72"/>
      <c r="FO72"/>
      <c r="FS72" s="1432"/>
      <c r="FT72" s="1432"/>
      <c r="FU72"/>
      <c r="FV72" s="1432"/>
      <c r="FW72" s="1432"/>
      <c r="FX72" s="143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row>
    <row r="73" spans="1:260" s="4" customFormat="1" ht="11.25" customHeight="1" x14ac:dyDescent="0.2">
      <c r="A73" s="299" t="s">
        <v>36</v>
      </c>
      <c r="B73" s="425"/>
      <c r="C73" s="425"/>
      <c r="D73" s="425"/>
      <c r="E73" s="509"/>
      <c r="F73" s="425">
        <v>3.8059502867154644</v>
      </c>
      <c r="G73" s="425">
        <v>3.7931209685713627</v>
      </c>
      <c r="H73" s="425">
        <v>3.6497617395076993</v>
      </c>
      <c r="I73" s="509">
        <v>3.4952128553857582</v>
      </c>
      <c r="J73" s="425">
        <v>3.5584654714116022</v>
      </c>
      <c r="K73" s="425">
        <v>3.6558267172220016</v>
      </c>
      <c r="L73" s="425">
        <v>3.7010436392965191</v>
      </c>
      <c r="M73" s="509">
        <v>3.91024482534662</v>
      </c>
      <c r="N73" s="425">
        <v>4.0505026637483681</v>
      </c>
      <c r="O73" s="425">
        <v>4.0970894018432622</v>
      </c>
      <c r="P73" s="425">
        <v>4.8618680267461754</v>
      </c>
      <c r="Q73" s="509">
        <v>5.3135883270130346</v>
      </c>
      <c r="R73" s="425">
        <v>5.4903365159405944</v>
      </c>
      <c r="S73" s="425">
        <v>5.5075062499210414</v>
      </c>
      <c r="T73" s="425">
        <v>4.5583360713621115</v>
      </c>
      <c r="U73" s="509">
        <v>3.6626610075132904</v>
      </c>
      <c r="V73" s="425">
        <v>3.4933919555450799</v>
      </c>
      <c r="W73" s="425">
        <v>3.1684611297500505</v>
      </c>
      <c r="X73" s="425">
        <v>2.7290280517363925</v>
      </c>
      <c r="Y73" s="509">
        <v>2.520893073616254</v>
      </c>
      <c r="Z73" s="425">
        <v>2.4096478554308982</v>
      </c>
      <c r="AA73" s="425">
        <v>2.3175403854263537</v>
      </c>
      <c r="AB73" s="425">
        <v>2.2533033000396059</v>
      </c>
      <c r="AC73" s="509">
        <v>2.1897992700729927</v>
      </c>
      <c r="AD73" s="425">
        <v>2.0442679474302365</v>
      </c>
      <c r="AE73" s="425">
        <v>2.062589557002652</v>
      </c>
      <c r="AF73" s="425">
        <v>2.2479922164232389</v>
      </c>
      <c r="AG73" s="509">
        <v>2.637872374650001</v>
      </c>
      <c r="AH73" s="425">
        <v>2.7133162550177881</v>
      </c>
      <c r="AI73" s="425">
        <v>2.947973673775016</v>
      </c>
      <c r="AJ73" s="425">
        <v>3.0504530094257305</v>
      </c>
      <c r="AK73" s="509">
        <v>3.1645123384253817</v>
      </c>
      <c r="AL73" s="425">
        <v>2.8695108492223298</v>
      </c>
      <c r="AM73" s="425">
        <v>2.8398343979742391</v>
      </c>
      <c r="AN73" s="425">
        <v>2.7787326858116832</v>
      </c>
      <c r="AO73" s="509">
        <v>2.4710227272727274</v>
      </c>
      <c r="AP73" s="425">
        <v>2.472474307149521</v>
      </c>
      <c r="AQ73" s="425">
        <v>2.310707380866003</v>
      </c>
      <c r="AR73" s="425">
        <v>2.1729047321654358</v>
      </c>
      <c r="AS73" s="509">
        <v>2.3059805285118218</v>
      </c>
      <c r="AT73" s="425">
        <v>2.0379488546351907</v>
      </c>
      <c r="AU73" s="425">
        <v>1.8584709844608593</v>
      </c>
      <c r="AV73" s="425">
        <v>1.8280178921880643</v>
      </c>
      <c r="AW73" s="509">
        <v>2.1553519366930445</v>
      </c>
      <c r="AX73" s="425">
        <v>1.8595350551601948</v>
      </c>
      <c r="AY73" s="425">
        <v>1.9533242647628939</v>
      </c>
      <c r="AZ73" s="425">
        <v>1.8950968976169491</v>
      </c>
      <c r="BA73" s="509">
        <v>1.7980596478620194</v>
      </c>
      <c r="BB73" s="425">
        <v>1.7857708344328915</v>
      </c>
      <c r="BC73" s="425">
        <v>1.8163021058796569</v>
      </c>
      <c r="BD73" s="425">
        <v>1.8479517466700177</v>
      </c>
      <c r="BE73" s="509">
        <v>1.80164283541223</v>
      </c>
      <c r="BF73" s="425">
        <v>1.8679071306979385</v>
      </c>
      <c r="BG73" s="425">
        <v>2.2475947739431934</v>
      </c>
      <c r="BH73" s="425">
        <v>1.9314472252448316</v>
      </c>
      <c r="BI73" s="509">
        <v>1.873006993006993</v>
      </c>
      <c r="BJ73" s="425">
        <v>2.0368508858995207</v>
      </c>
      <c r="BK73" s="425">
        <v>2.5569796365782711</v>
      </c>
      <c r="BL73" s="425">
        <v>2.8058574438348738</v>
      </c>
      <c r="BM73" s="509">
        <v>2.5161717921527043</v>
      </c>
      <c r="BN73" s="425">
        <v>2.5511273326661565</v>
      </c>
      <c r="BO73" s="425">
        <v>2.6146796131618375</v>
      </c>
      <c r="BP73" s="425">
        <v>2.5290556441205494</v>
      </c>
      <c r="BQ73" s="509">
        <v>2.4755868544600941</v>
      </c>
      <c r="BR73" s="425"/>
      <c r="BS73" s="425"/>
      <c r="BT73" s="425"/>
      <c r="BU73" s="509"/>
      <c r="BV73" s="425"/>
      <c r="BW73" s="425"/>
      <c r="BX73" s="425"/>
      <c r="BY73" s="509"/>
      <c r="BZ73" s="425">
        <v>2.330235275373095</v>
      </c>
      <c r="CA73" s="425">
        <v>2.3261665457810934</v>
      </c>
      <c r="CB73" s="425">
        <v>2.360651302774631</v>
      </c>
      <c r="CC73" s="509">
        <v>2.3632950530035335</v>
      </c>
      <c r="CD73" s="425">
        <v>2.4920558497833416</v>
      </c>
      <c r="CE73" s="425">
        <v>2.6701824522604518</v>
      </c>
      <c r="CF73" s="425">
        <v>2.6976377074566424</v>
      </c>
      <c r="CG73" s="509">
        <v>2.6466028271773827</v>
      </c>
      <c r="CH73" s="425"/>
      <c r="CI73" s="425"/>
      <c r="CJ73" s="425"/>
      <c r="CK73" s="509"/>
      <c r="CL73" s="425">
        <v>2.6286256736139411</v>
      </c>
      <c r="CM73" s="425">
        <v>2.7179376364673287</v>
      </c>
      <c r="CN73" s="425">
        <v>2.8616482321109125</v>
      </c>
      <c r="CO73" s="509">
        <v>3.193147665798437</v>
      </c>
      <c r="CP73" s="1065">
        <v>3.1012202299946452</v>
      </c>
      <c r="CQ73" s="425">
        <v>3.0225184773620013</v>
      </c>
      <c r="CR73" s="425">
        <v>2.8633928518049299</v>
      </c>
      <c r="CS73" s="509">
        <v>3.0124910778015703</v>
      </c>
      <c r="CT73" s="1464">
        <v>3.0248469571480014</v>
      </c>
      <c r="CU73" s="1432">
        <v>2.9871290668573471</v>
      </c>
      <c r="CV73" s="1432">
        <v>2.8949565217391307</v>
      </c>
      <c r="CW73" s="1440">
        <v>2.6943359375</v>
      </c>
      <c r="CX73" s="1432">
        <v>2.674637621816395</v>
      </c>
      <c r="CY73" s="1432">
        <v>2.6092158447857718</v>
      </c>
      <c r="CZ73" s="1432">
        <v>2.5749456915278786</v>
      </c>
      <c r="DA73" s="1440">
        <v>2.6231551328304361</v>
      </c>
      <c r="DB73" s="1432">
        <v>2.4739190395067738</v>
      </c>
      <c r="DC73" s="1432">
        <v>2.4622351609251174</v>
      </c>
      <c r="DD73" s="1432">
        <v>2.3975951269678033</v>
      </c>
      <c r="DE73" s="1440">
        <v>2.3117161211379629</v>
      </c>
      <c r="DF73" s="1432">
        <v>2.2793885547409927</v>
      </c>
      <c r="DG73" s="1432">
        <v>2.2596666498600255</v>
      </c>
      <c r="DH73" s="1432">
        <v>2.2352678806941118</v>
      </c>
      <c r="DI73" s="1440">
        <v>2.1820099783573106</v>
      </c>
      <c r="DJ73" s="1792">
        <v>2.1964581844087085</v>
      </c>
      <c r="DK73" s="1432">
        <v>2.203359962373995</v>
      </c>
      <c r="DL73" s="1432">
        <v>2.2105667695494433</v>
      </c>
      <c r="DM73" s="1440">
        <v>2.164403365414612</v>
      </c>
      <c r="DN73" s="969"/>
      <c r="DO73" s="1223"/>
      <c r="DQ73" s="1432">
        <f>+('Balance Sheet'!DE64+8*'Income Statement'!DQ13)/('Income Statement'!DQ20+'Income Statement'!DQ13)</f>
        <v>1.1520919269298762</v>
      </c>
      <c r="DR73" s="1432">
        <f>+('Balance Sheet'!DF64+8*'Income Statement'!DR13)/('Income Statement'!DR20+'Income Statement'!DR13)</f>
        <v>4.0936985055969011</v>
      </c>
      <c r="DS73" s="1432">
        <f>+('Balance Sheet'!DG64+8*'Income Statement'!DS13)/('Income Statement'!DS20+'Income Statement'!DS13)</f>
        <v>3.2367374809350435</v>
      </c>
      <c r="DT73" s="1432">
        <f>+('Balance Sheet'!DH64+8*'Income Statement'!DT13)/('Income Statement'!DT20+'Income Statement'!DT13)</f>
        <v>2.7800569188637696</v>
      </c>
      <c r="DU73" s="1432">
        <f>+('Balance Sheet'!DI64+8*'Income Statement'!DU13)/('Income Statement'!DU20+'Income Statement'!DU13)</f>
        <v>4.9168207024029709</v>
      </c>
      <c r="DV73" s="1432">
        <f>+('Balance Sheet'!DJ64+8*'Income Statement'!DV13)/('Income Statement'!DV20+'Income Statement'!DV13)</f>
        <v>4.4039708802117792</v>
      </c>
      <c r="DW73" s="1432">
        <f>+('Balance Sheet'!DK64+8*'Income Statement'!DW13)/('Income Statement'!DW20+'Income Statement'!DW13)</f>
        <v>3.456009309626257</v>
      </c>
      <c r="DX73" s="1432">
        <f>+('Balance Sheet'!DL64+8*'Income Statement'!DX13)/('Income Statement'!DX20+'Income Statement'!DX13)</f>
        <v>3.9487589141769908</v>
      </c>
      <c r="DY73" s="1432">
        <f>+('Balance Sheet'!DM64+8*'Income Statement'!DY13)/('Income Statement'!DY20+'Income Statement'!DY13)</f>
        <v>3.4952128553857582</v>
      </c>
      <c r="DZ73" s="1432">
        <f>+('Balance Sheet'!DN64+8*'Income Statement'!DZ13)/('Income Statement'!DZ20+'Income Statement'!DZ13)</f>
        <v>3.91024482534662</v>
      </c>
      <c r="EA73" s="1432">
        <f>+('Balance Sheet'!DO64+8*'Income Statement'!EA13)/('Income Statement'!EA20+'Income Statement'!EA13)</f>
        <v>5.3135883270130435</v>
      </c>
      <c r="EB73" s="1432">
        <f>+('Balance Sheet'!DP64+8*'Income Statement'!EB13)/('Income Statement'!EB20+'Income Statement'!EB13)</f>
        <v>3.6626610075132904</v>
      </c>
      <c r="EC73" s="1432">
        <f>+('Balance Sheet'!DQ64+8*'Income Statement'!EC13)/('Income Statement'!EC20+'Income Statement'!EC13)</f>
        <v>2.5208930736162523</v>
      </c>
      <c r="ED73" s="1432">
        <f>+('Balance Sheet'!DR64+8*'Income Statement'!ED13)/('Income Statement'!ED20+'Income Statement'!ED13)</f>
        <v>2.1897992700729927</v>
      </c>
      <c r="EE73" s="1432">
        <f>+('Balance Sheet'!DS64+8*'Income Statement'!EE13)/('Income Statement'!EE20+'Income Statement'!EE13)</f>
        <v>2.6378723746500015</v>
      </c>
      <c r="EF73" s="1432">
        <f>+('Balance Sheet'!DT64+8*'Income Statement'!EF13)/('Income Statement'!EF20+'Income Statement'!EF13)</f>
        <v>3.0847651775486828</v>
      </c>
      <c r="EG73" s="1432">
        <f>+('Balance Sheet'!DU64+8*'Income Statement'!EG13)/('Income Statement'!EG20+'Income Statement'!EG13)</f>
        <v>2.4710227272727274</v>
      </c>
      <c r="EH73" s="1432">
        <f>+('Balance Sheet'!DV64+8*'Income Statement'!EH13)/('Income Statement'!EH20+'Income Statement'!EH13)</f>
        <v>2.3059805285118218</v>
      </c>
      <c r="EI73" s="1432">
        <f>+('Balance Sheet'!DW64+8*'Income Statement'!EI13)/('Income Statement'!EI20+'Income Statement'!EI13)</f>
        <v>2.1553519366930445</v>
      </c>
      <c r="EJ73" s="1432">
        <f>+('Balance Sheet'!DX64+8*'Income Statement'!EJ13)/('Income Statement'!EJ20+'Income Statement'!EJ13)</f>
        <v>1.8875895888344021</v>
      </c>
      <c r="EK73" s="1432">
        <f>+('Balance Sheet'!DY64+8*'Income Statement'!EK13)/('Income Statement'!EK20+'Income Statement'!EK13)</f>
        <v>1.8699084306915061</v>
      </c>
      <c r="EL73" s="1432">
        <f>+('Balance Sheet'!DZ64+8*'Income Statement'!EL13)/('Income Statement'!EL20+'Income Statement'!EL13)</f>
        <v>1.9263521288837744</v>
      </c>
      <c r="EM73" s="1432">
        <f>+('Balance Sheet'!EA64+8*'Income Statement'!EM13)/('Income Statement'!EM20+'Income Statement'!EM13)</f>
        <v>2.5322838847385274</v>
      </c>
      <c r="EN73" s="1432">
        <f>+('Balance Sheet'!EB64+8*'Income Statement'!EN13)/('Income Statement'!EN20+'Income Statement'!EN13)</f>
        <v>2.4491407338597306</v>
      </c>
      <c r="EO73" s="1432">
        <f>+('Balance Sheet'!EC64+8*'Income Statement'!EO13)/('Income Statement'!EO20+'Income Statement'!EO13)</f>
        <v>2.4112212708427219</v>
      </c>
      <c r="EP73" s="1432">
        <f>+('Balance Sheet'!ED64+8*'Income Statement'!EP13)/('Income Statement'!EP20+'Income Statement'!EP13)</f>
        <v>2.6315496106828968</v>
      </c>
      <c r="EQ73" s="1440">
        <f>+('Balance Sheet'!EE64+8*'Income Statement'!EQ13)/('Income Statement'!EQ20+'Income Statement'!EQ13)</f>
        <v>2.3126217796059754</v>
      </c>
      <c r="ER73" s="1432">
        <f>+('Balance Sheet'!EF64+8*'Income Statement'!ER13)/('Income Statement'!ER20+'Income Statement'!ER13)</f>
        <v>2.6275175379045033</v>
      </c>
      <c r="ES73" s="1432">
        <f>+('Balance Sheet'!EG64+8*'Income Statement'!ES13)/('Income Statement'!ES20+'Income Statement'!ES13)</f>
        <v>3.2522830467833272</v>
      </c>
      <c r="ET73" s="1432">
        <f>+('Balance Sheet'!EG64+8*'Income Statement'!ET13)/('Income Statement'!ET20+'Income Statement'!ET13)</f>
        <v>3.2614345646168013</v>
      </c>
      <c r="EU73" s="1432">
        <f>+('Balance Sheet'!EH64+8*'Income Statement'!EU13)/('Income Statement'!EU20+'Income Statement'!EU13)</f>
        <v>2.1918982082575953</v>
      </c>
      <c r="EV73" s="1432">
        <v>2.6943359375</v>
      </c>
      <c r="EW73" s="1432">
        <v>2.6231551328304361</v>
      </c>
      <c r="EX73" s="1432">
        <v>2.3117161211379629</v>
      </c>
      <c r="EY73" s="1432">
        <v>2.1820099783573106</v>
      </c>
      <c r="EZ73" s="1792">
        <v>2.164403365414612</v>
      </c>
      <c r="FA73" s="1432">
        <v>2.2445794207746901</v>
      </c>
      <c r="FB73" s="1432">
        <v>2.2877662258424145</v>
      </c>
      <c r="FC73" s="1432">
        <v>2.3876206162215414</v>
      </c>
      <c r="FD73" s="1432">
        <v>2.3923137953119866</v>
      </c>
      <c r="FE73" s="1432">
        <v>2.397009430021622</v>
      </c>
      <c r="FF73" s="1432">
        <v>2.5311580530986459</v>
      </c>
      <c r="FG73" s="1432">
        <v>2.5347734643884809</v>
      </c>
      <c r="FH73" s="1432">
        <v>2.5383708005625767</v>
      </c>
      <c r="FI73" s="413"/>
      <c r="FJ73"/>
      <c r="FK73"/>
      <c r="FL73"/>
      <c r="FM73"/>
      <c r="FN73"/>
      <c r="FO73"/>
      <c r="FS73" s="1432"/>
      <c r="FT73" s="1432"/>
      <c r="FU73"/>
      <c r="FV73" s="1432"/>
      <c r="FW73" s="1432"/>
      <c r="FX73" s="1432"/>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row>
    <row r="74" spans="1:260" s="88" customFormat="1" x14ac:dyDescent="0.2">
      <c r="A74" s="2575"/>
      <c r="B74" s="191"/>
      <c r="C74" s="191"/>
      <c r="D74" s="191"/>
      <c r="E74" s="463"/>
      <c r="F74" s="191"/>
      <c r="G74" s="191"/>
      <c r="H74" s="191"/>
      <c r="I74" s="463"/>
      <c r="J74" s="191"/>
      <c r="K74" s="191"/>
      <c r="L74" s="191"/>
      <c r="M74" s="463"/>
      <c r="N74" s="191"/>
      <c r="O74" s="191"/>
      <c r="P74" s="191"/>
      <c r="Q74" s="463"/>
      <c r="R74" s="191"/>
      <c r="S74" s="191"/>
      <c r="T74" s="191"/>
      <c r="U74" s="463"/>
      <c r="V74" s="191"/>
      <c r="W74" s="191"/>
      <c r="X74" s="191"/>
      <c r="Y74" s="463"/>
      <c r="Z74" s="191"/>
      <c r="AA74" s="191"/>
      <c r="AB74" s="191"/>
      <c r="AC74" s="463"/>
      <c r="AD74" s="191"/>
      <c r="AE74" s="191"/>
      <c r="AF74" s="191"/>
      <c r="AG74" s="463"/>
      <c r="AH74" s="191"/>
      <c r="AI74" s="191"/>
      <c r="AJ74" s="191"/>
      <c r="AK74" s="463"/>
      <c r="AL74" s="191"/>
      <c r="AM74" s="191"/>
      <c r="AN74" s="191"/>
      <c r="AO74" s="463"/>
      <c r="AP74" s="191"/>
      <c r="AQ74" s="191"/>
      <c r="AR74" s="191"/>
      <c r="AS74" s="463"/>
      <c r="AT74" s="191"/>
      <c r="AU74" s="191"/>
      <c r="AV74" s="191"/>
      <c r="AW74" s="463"/>
      <c r="AX74" s="191"/>
      <c r="AY74" s="191"/>
      <c r="AZ74" s="191"/>
      <c r="BA74" s="463"/>
      <c r="BB74" s="191"/>
      <c r="BC74" s="191"/>
      <c r="BD74" s="191"/>
      <c r="BE74" s="463"/>
      <c r="BF74" s="193"/>
      <c r="BG74" s="193"/>
      <c r="BH74" s="193"/>
      <c r="BI74" s="495"/>
      <c r="BJ74" s="193"/>
      <c r="BK74" s="193"/>
      <c r="BL74" s="193"/>
      <c r="BM74" s="495"/>
      <c r="BN74" s="193"/>
      <c r="BO74" s="193"/>
      <c r="BP74" s="193"/>
      <c r="BQ74" s="495"/>
      <c r="BR74" s="193"/>
      <c r="BS74" s="193"/>
      <c r="BT74" s="193"/>
      <c r="BU74" s="495"/>
      <c r="BV74" s="193"/>
      <c r="BW74" s="193"/>
      <c r="BX74" s="193"/>
      <c r="BY74" s="495"/>
      <c r="BZ74" s="193"/>
      <c r="CA74" s="193"/>
      <c r="CB74" s="193"/>
      <c r="CC74" s="495"/>
      <c r="CD74" s="193"/>
      <c r="CE74" s="193"/>
      <c r="CF74" s="193"/>
      <c r="CG74" s="495"/>
      <c r="CH74" s="193"/>
      <c r="CI74" s="193"/>
      <c r="CJ74" s="193"/>
      <c r="CK74" s="495"/>
      <c r="CL74" s="193"/>
      <c r="CM74" s="193"/>
      <c r="CN74" s="193"/>
      <c r="CO74" s="495"/>
      <c r="CP74" s="961"/>
      <c r="CQ74" s="193"/>
      <c r="CR74" s="193"/>
      <c r="CS74" s="495"/>
      <c r="CT74" s="961"/>
      <c r="CU74" s="193"/>
      <c r="CV74" s="193"/>
      <c r="CW74" s="495"/>
      <c r="CX74" s="193"/>
      <c r="CY74" s="193"/>
      <c r="CZ74" s="193"/>
      <c r="DA74" s="495"/>
      <c r="DB74" s="193"/>
      <c r="DC74" s="193"/>
      <c r="DD74" s="193"/>
      <c r="DE74" s="495"/>
      <c r="DF74" s="193"/>
      <c r="DG74" s="193"/>
      <c r="DH74" s="193"/>
      <c r="DI74" s="495"/>
      <c r="DJ74" s="1783"/>
      <c r="DK74" s="193"/>
      <c r="DL74" s="193"/>
      <c r="DM74" s="495"/>
      <c r="DN74" s="961"/>
      <c r="DO74" s="495"/>
      <c r="DP74" s="191"/>
      <c r="DQ74" s="191"/>
      <c r="DR74" s="191"/>
      <c r="DS74" s="191"/>
      <c r="DT74" s="191"/>
      <c r="DU74" s="191"/>
      <c r="DV74" s="191"/>
      <c r="DW74" s="191"/>
      <c r="DX74" s="191"/>
      <c r="DY74" s="191"/>
      <c r="DZ74" s="191"/>
      <c r="EA74" s="191"/>
      <c r="EB74" s="191"/>
      <c r="EC74" s="191"/>
      <c r="ED74" s="191"/>
      <c r="EE74" s="191"/>
      <c r="EF74" s="191"/>
      <c r="EG74" s="191"/>
      <c r="EH74" s="191"/>
      <c r="EI74" s="191"/>
      <c r="EJ74" s="191"/>
      <c r="EK74" s="191"/>
      <c r="EL74" s="193"/>
      <c r="EM74" s="193"/>
      <c r="EN74" s="193"/>
      <c r="EO74" s="193"/>
      <c r="EP74" s="193"/>
      <c r="EQ74" s="193"/>
      <c r="ER74" s="961"/>
      <c r="ES74" s="193"/>
      <c r="ET74" s="193"/>
      <c r="EU74" s="193"/>
      <c r="EV74" s="193"/>
      <c r="EW74" s="193"/>
      <c r="EX74" s="193"/>
      <c r="EY74" s="193"/>
      <c r="EZ74" s="1783"/>
      <c r="FA74" s="193"/>
      <c r="FB74" s="193"/>
      <c r="FC74" s="193"/>
      <c r="FD74" s="193"/>
      <c r="FE74" s="193"/>
      <c r="FF74" s="193"/>
      <c r="FG74" s="193"/>
      <c r="FH74" s="193"/>
      <c r="FI74" s="413"/>
      <c r="FJ74"/>
      <c r="FK74"/>
      <c r="FL74"/>
      <c r="FM74"/>
      <c r="FN74"/>
      <c r="FO74"/>
      <c r="FP74" s="4"/>
      <c r="FQ74" s="4"/>
      <c r="FR74" s="4"/>
      <c r="FS74" s="193"/>
      <c r="FT74" s="193"/>
      <c r="FU74"/>
      <c r="FV74" s="193"/>
      <c r="FW74" s="193"/>
      <c r="FX74" s="193"/>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row>
    <row r="75" spans="1:260" s="448" customFormat="1" ht="12.75" customHeight="1" x14ac:dyDescent="0.2">
      <c r="A75" s="398" t="s">
        <v>166</v>
      </c>
      <c r="B75" s="597"/>
      <c r="C75" s="597"/>
      <c r="D75" s="597"/>
      <c r="E75" s="609"/>
      <c r="F75" s="597"/>
      <c r="G75" s="597"/>
      <c r="H75" s="597"/>
      <c r="I75" s="609"/>
      <c r="J75" s="597"/>
      <c r="K75" s="597"/>
      <c r="L75" s="597"/>
      <c r="M75" s="609"/>
      <c r="N75" s="597"/>
      <c r="O75" s="597"/>
      <c r="P75" s="597"/>
      <c r="Q75" s="609"/>
      <c r="R75" s="597"/>
      <c r="S75" s="597"/>
      <c r="T75" s="597"/>
      <c r="U75" s="609"/>
      <c r="V75" s="597"/>
      <c r="W75" s="597"/>
      <c r="X75" s="597"/>
      <c r="Y75" s="609"/>
      <c r="Z75" s="597"/>
      <c r="AA75" s="597"/>
      <c r="AB75" s="597"/>
      <c r="AC75" s="609"/>
      <c r="AD75" s="597"/>
      <c r="AE75" s="597"/>
      <c r="AF75" s="597"/>
      <c r="AG75" s="609"/>
      <c r="AH75" s="597"/>
      <c r="AI75" s="597"/>
      <c r="AJ75" s="597"/>
      <c r="AK75" s="609"/>
      <c r="AL75" s="597"/>
      <c r="AM75" s="597"/>
      <c r="AN75" s="597"/>
      <c r="AO75" s="609"/>
      <c r="AP75" s="597"/>
      <c r="AQ75" s="597"/>
      <c r="AR75" s="597"/>
      <c r="AS75" s="609"/>
      <c r="AT75" s="597"/>
      <c r="AU75" s="597"/>
      <c r="AV75" s="597"/>
      <c r="AW75" s="609"/>
      <c r="AX75" s="597"/>
      <c r="AY75" s="597"/>
      <c r="AZ75" s="597"/>
      <c r="BA75" s="609"/>
      <c r="BB75" s="597"/>
      <c r="BC75" s="597"/>
      <c r="BD75" s="597"/>
      <c r="BE75" s="609"/>
      <c r="BF75" s="597"/>
      <c r="BG75" s="597"/>
      <c r="BH75" s="597"/>
      <c r="BI75" s="609"/>
      <c r="BJ75" s="597"/>
      <c r="BK75" s="597"/>
      <c r="BL75" s="597"/>
      <c r="BM75" s="609"/>
      <c r="BN75" s="597"/>
      <c r="BO75" s="597"/>
      <c r="BP75" s="597"/>
      <c r="BQ75" s="609"/>
      <c r="BR75" s="597"/>
      <c r="BS75" s="597"/>
      <c r="BT75" s="597"/>
      <c r="BU75" s="609"/>
      <c r="BV75" s="597"/>
      <c r="BW75" s="597"/>
      <c r="BX75" s="597"/>
      <c r="BY75" s="609"/>
      <c r="BZ75" s="597"/>
      <c r="CA75" s="597"/>
      <c r="CB75" s="597"/>
      <c r="CC75" s="609"/>
      <c r="CD75" s="597"/>
      <c r="CE75" s="597"/>
      <c r="CF75" s="597"/>
      <c r="CG75" s="609"/>
      <c r="CH75" s="597"/>
      <c r="CI75" s="597"/>
      <c r="CJ75" s="597"/>
      <c r="CK75" s="609"/>
      <c r="CL75" s="597"/>
      <c r="CM75" s="597"/>
      <c r="CN75" s="597"/>
      <c r="CO75" s="609"/>
      <c r="CP75" s="1066"/>
      <c r="CQ75" s="597"/>
      <c r="CR75" s="597"/>
      <c r="CS75" s="609"/>
      <c r="CT75" s="1354"/>
      <c r="CU75" s="1355"/>
      <c r="CV75" s="1355"/>
      <c r="CW75" s="1351"/>
      <c r="CX75" s="2574"/>
      <c r="CY75" s="1355"/>
      <c r="CZ75" s="1355"/>
      <c r="DA75" s="1351"/>
      <c r="DB75" s="1355"/>
      <c r="DC75" s="1355"/>
      <c r="DD75" s="1355"/>
      <c r="DE75" s="1351"/>
      <c r="DF75" s="1355"/>
      <c r="DG75" s="1355"/>
      <c r="DH75" s="1355"/>
      <c r="DI75" s="1351"/>
      <c r="DJ75" s="2693"/>
      <c r="DK75" s="597"/>
      <c r="DL75" s="597"/>
      <c r="DM75" s="1351"/>
      <c r="DN75" s="671"/>
      <c r="DO75" s="535"/>
      <c r="DP75" s="449"/>
      <c r="DQ75" s="449"/>
      <c r="DR75" s="449"/>
      <c r="DS75" s="449"/>
      <c r="DT75" s="449"/>
      <c r="DU75" s="449"/>
      <c r="DV75" s="449"/>
      <c r="DW75" s="449"/>
      <c r="DX75" s="597"/>
      <c r="DY75" s="597"/>
      <c r="DZ75" s="597"/>
      <c r="EA75" s="597"/>
      <c r="EB75" s="597"/>
      <c r="EC75" s="597"/>
      <c r="ED75" s="597"/>
      <c r="EE75" s="597"/>
      <c r="EF75" s="597"/>
      <c r="EG75" s="597"/>
      <c r="EH75" s="597"/>
      <c r="EI75" s="597"/>
      <c r="EJ75" s="597"/>
      <c r="EK75" s="597"/>
      <c r="EL75" s="597"/>
      <c r="EM75" s="597"/>
      <c r="EN75" s="597"/>
      <c r="EO75" s="597"/>
      <c r="EP75" s="597"/>
      <c r="EQ75" s="597"/>
      <c r="ER75" s="1066"/>
      <c r="ES75" s="597"/>
      <c r="ET75" s="597"/>
      <c r="EU75" s="597"/>
      <c r="EV75" s="597"/>
      <c r="EW75" s="597"/>
      <c r="EX75" s="597"/>
      <c r="EY75" s="597"/>
      <c r="EZ75" s="1793"/>
      <c r="FA75" s="435"/>
      <c r="FB75" s="435"/>
      <c r="FC75" s="435"/>
      <c r="FD75" s="435"/>
      <c r="FE75" s="435"/>
      <c r="FF75" s="435"/>
      <c r="FG75" s="435"/>
      <c r="FH75" s="435"/>
      <c r="FI75" s="671"/>
      <c r="FJ75"/>
      <c r="FK75"/>
      <c r="FL75"/>
      <c r="FM75"/>
      <c r="FN75"/>
      <c r="FO75"/>
      <c r="FP75" s="6"/>
      <c r="FQ75" s="4"/>
      <c r="FR75" s="4"/>
      <c r="FS75" s="335"/>
      <c r="FT75" s="335"/>
      <c r="FU75"/>
      <c r="FV75" s="335"/>
      <c r="FW75" s="335"/>
      <c r="FX75" s="33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row>
    <row r="76" spans="1:260" s="4" customFormat="1" ht="12.75" customHeight="1" x14ac:dyDescent="0.2">
      <c r="A76" s="2083" t="s">
        <v>346</v>
      </c>
      <c r="B76" s="401"/>
      <c r="C76" s="401"/>
      <c r="D76" s="401"/>
      <c r="E76" s="469"/>
      <c r="F76" s="50">
        <f t="shared" ref="F76:AK76" si="211">F9/F$7</f>
        <v>0.1400988933364728</v>
      </c>
      <c r="G76" s="50">
        <f t="shared" si="211"/>
        <v>0.14165019953449093</v>
      </c>
      <c r="H76" s="50">
        <f t="shared" si="211"/>
        <v>0.13609374525417617</v>
      </c>
      <c r="I76" s="550">
        <f t="shared" si="211"/>
        <v>0.13124470048189343</v>
      </c>
      <c r="J76" s="50">
        <f t="shared" si="211"/>
        <v>0.14298692444862171</v>
      </c>
      <c r="K76" s="50">
        <f t="shared" si="211"/>
        <v>0.13674073012863808</v>
      </c>
      <c r="L76" s="50">
        <f t="shared" si="211"/>
        <v>0.12589327504552225</v>
      </c>
      <c r="M76" s="550">
        <f t="shared" si="211"/>
        <v>0.12221750265184636</v>
      </c>
      <c r="N76" s="50">
        <f t="shared" si="211"/>
        <v>0.14210375864899721</v>
      </c>
      <c r="O76" s="50">
        <f t="shared" si="211"/>
        <v>0.14149350065218377</v>
      </c>
      <c r="P76" s="50">
        <f t="shared" si="211"/>
        <v>0.12393016772578817</v>
      </c>
      <c r="Q76" s="550">
        <f t="shared" si="211"/>
        <v>0.13878259536066548</v>
      </c>
      <c r="R76" s="50">
        <f t="shared" si="211"/>
        <v>0.15429513286537436</v>
      </c>
      <c r="S76" s="50">
        <f t="shared" si="211"/>
        <v>0.16111273452434854</v>
      </c>
      <c r="T76" s="50">
        <f t="shared" si="211"/>
        <v>0.16040612607360341</v>
      </c>
      <c r="U76" s="550">
        <f t="shared" si="211"/>
        <v>0.16039326866977827</v>
      </c>
      <c r="V76" s="50">
        <f t="shared" si="211"/>
        <v>0.18001499187725031</v>
      </c>
      <c r="W76" s="50">
        <f t="shared" si="211"/>
        <v>0.18642544699476435</v>
      </c>
      <c r="X76" s="50">
        <f t="shared" si="211"/>
        <v>0.17822302160871142</v>
      </c>
      <c r="Y76" s="550">
        <f t="shared" si="211"/>
        <v>0.17805950758529304</v>
      </c>
      <c r="Z76" s="50">
        <f t="shared" si="211"/>
        <v>0.19367653057246256</v>
      </c>
      <c r="AA76" s="50">
        <f t="shared" si="211"/>
        <v>0.197465979811214</v>
      </c>
      <c r="AB76" s="50">
        <f t="shared" si="211"/>
        <v>0.18999130123317817</v>
      </c>
      <c r="AC76" s="550">
        <f t="shared" si="211"/>
        <v>0.18785917167580421</v>
      </c>
      <c r="AD76" s="50">
        <f t="shared" si="211"/>
        <v>0.20433556768896363</v>
      </c>
      <c r="AE76" s="50">
        <f t="shared" si="211"/>
        <v>0.20470495280942552</v>
      </c>
      <c r="AF76" s="50">
        <f t="shared" si="211"/>
        <v>0.18462653533686302</v>
      </c>
      <c r="AG76" s="550">
        <f t="shared" si="211"/>
        <v>0.20433572579463893</v>
      </c>
      <c r="AH76" s="50">
        <f t="shared" si="211"/>
        <v>0.22883418988368948</v>
      </c>
      <c r="AI76" s="50">
        <f t="shared" si="211"/>
        <v>0.2276657060518732</v>
      </c>
      <c r="AJ76" s="50">
        <f t="shared" si="211"/>
        <v>0.21614802354920101</v>
      </c>
      <c r="AK76" s="550">
        <f t="shared" si="211"/>
        <v>0.23037249283667621</v>
      </c>
      <c r="AL76" s="50">
        <f t="shared" ref="AL76:BQ76" si="212">AL9/AL$7</f>
        <v>0.25702046644455023</v>
      </c>
      <c r="AM76" s="50">
        <f t="shared" si="212"/>
        <v>0.24935121107266436</v>
      </c>
      <c r="AN76" s="50">
        <f t="shared" si="212"/>
        <v>0.24361722861040733</v>
      </c>
      <c r="AO76" s="550">
        <f t="shared" si="212"/>
        <v>0.25082272141937328</v>
      </c>
      <c r="AP76" s="50">
        <f t="shared" si="212"/>
        <v>0.25385604113110538</v>
      </c>
      <c r="AQ76" s="50">
        <f t="shared" si="212"/>
        <v>0.25426241660489252</v>
      </c>
      <c r="AR76" s="50">
        <f t="shared" si="212"/>
        <v>0.2463527851458886</v>
      </c>
      <c r="AS76" s="550">
        <f t="shared" si="212"/>
        <v>0.2425139069712392</v>
      </c>
      <c r="AT76" s="50">
        <f t="shared" si="212"/>
        <v>0.23927724037233072</v>
      </c>
      <c r="AU76" s="50">
        <f t="shared" si="212"/>
        <v>0.24177631578947367</v>
      </c>
      <c r="AV76" s="50">
        <f t="shared" si="212"/>
        <v>0.23213479765307657</v>
      </c>
      <c r="AW76" s="550">
        <f t="shared" si="212"/>
        <v>0.23528774249485207</v>
      </c>
      <c r="AX76" s="50">
        <f t="shared" si="212"/>
        <v>0.25465838509316768</v>
      </c>
      <c r="AY76" s="50">
        <f t="shared" si="212"/>
        <v>0.25529692629065953</v>
      </c>
      <c r="AZ76" s="50">
        <f t="shared" si="212"/>
        <v>0.24376278118609407</v>
      </c>
      <c r="BA76" s="550">
        <f t="shared" si="212"/>
        <v>0.24960254372019078</v>
      </c>
      <c r="BB76" s="50">
        <f t="shared" si="212"/>
        <v>0.25362839488432248</v>
      </c>
      <c r="BC76" s="50">
        <f t="shared" si="212"/>
        <v>0.25016440878600554</v>
      </c>
      <c r="BD76" s="50">
        <f t="shared" si="212"/>
        <v>0.23545379440575948</v>
      </c>
      <c r="BE76" s="550">
        <f t="shared" si="212"/>
        <v>0.24087138537871153</v>
      </c>
      <c r="BF76" s="50">
        <f t="shared" si="212"/>
        <v>0.23867793616752869</v>
      </c>
      <c r="BG76" s="50">
        <f t="shared" si="212"/>
        <v>0.24445714285714285</v>
      </c>
      <c r="BH76" s="50">
        <f t="shared" si="212"/>
        <v>0.23539484286865431</v>
      </c>
      <c r="BI76" s="550">
        <f t="shared" si="212"/>
        <v>0.23684602772395291</v>
      </c>
      <c r="BJ76" s="50">
        <f t="shared" si="212"/>
        <v>0.23726362625139044</v>
      </c>
      <c r="BK76" s="50">
        <f t="shared" si="212"/>
        <v>0.24293439444954595</v>
      </c>
      <c r="BL76" s="50">
        <f t="shared" si="212"/>
        <v>0.24878260869565216</v>
      </c>
      <c r="BM76" s="550">
        <f t="shared" si="212"/>
        <v>0.24606085302906819</v>
      </c>
      <c r="BN76" s="208">
        <f t="shared" si="212"/>
        <v>0.25329370975730559</v>
      </c>
      <c r="BO76" s="208">
        <f t="shared" si="212"/>
        <v>0.2435129740518962</v>
      </c>
      <c r="BP76" s="208">
        <f t="shared" si="212"/>
        <v>0.2446773120425815</v>
      </c>
      <c r="BQ76" s="572">
        <f t="shared" si="212"/>
        <v>0.2402585634024044</v>
      </c>
      <c r="BR76" s="50">
        <f t="shared" ref="BR76:CW76" si="213">BR9/BR$7</f>
        <v>0.2589227774172615</v>
      </c>
      <c r="BS76" s="50">
        <f t="shared" si="213"/>
        <v>0.25734191727665578</v>
      </c>
      <c r="BT76" s="50">
        <f t="shared" si="213"/>
        <v>0.25088309503784695</v>
      </c>
      <c r="BU76" s="550">
        <f t="shared" si="213"/>
        <v>0.24403297244094488</v>
      </c>
      <c r="BV76" s="50">
        <f t="shared" si="213"/>
        <v>0.25301645338208412</v>
      </c>
      <c r="BW76" s="50">
        <f t="shared" si="213"/>
        <v>0.25310654798625187</v>
      </c>
      <c r="BX76" s="50">
        <f t="shared" si="213"/>
        <v>0.2433258947020415</v>
      </c>
      <c r="BY76" s="550">
        <f t="shared" si="213"/>
        <v>0.24509921828021647</v>
      </c>
      <c r="BZ76" s="50">
        <f t="shared" si="213"/>
        <v>0.25216392863451687</v>
      </c>
      <c r="CA76" s="50">
        <f t="shared" si="213"/>
        <v>0.2592184920198129</v>
      </c>
      <c r="CB76" s="50">
        <f t="shared" si="213"/>
        <v>0.26181586376468446</v>
      </c>
      <c r="CC76" s="550">
        <f t="shared" si="213"/>
        <v>0.23770737258190094</v>
      </c>
      <c r="CD76" s="50">
        <f t="shared" si="213"/>
        <v>0.25692673058316473</v>
      </c>
      <c r="CE76" s="50">
        <f t="shared" si="213"/>
        <v>0.25442151805453206</v>
      </c>
      <c r="CF76" s="50">
        <f t="shared" si="213"/>
        <v>0.25598923283983849</v>
      </c>
      <c r="CG76" s="550">
        <f t="shared" si="213"/>
        <v>0.23231959690480475</v>
      </c>
      <c r="CH76" s="50">
        <f t="shared" si="213"/>
        <v>0.2503875968992248</v>
      </c>
      <c r="CI76" s="50">
        <f t="shared" si="213"/>
        <v>0.24310230397269367</v>
      </c>
      <c r="CJ76" s="50">
        <f t="shared" si="213"/>
        <v>0.24049102576025294</v>
      </c>
      <c r="CK76" s="550">
        <f t="shared" si="213"/>
        <v>0.2263179941355993</v>
      </c>
      <c r="CL76" s="50">
        <f t="shared" si="213"/>
        <v>0.24910826183360649</v>
      </c>
      <c r="CM76" s="50">
        <f t="shared" si="213"/>
        <v>0.2421030088874612</v>
      </c>
      <c r="CN76" s="50">
        <f t="shared" si="213"/>
        <v>0.23750133248054578</v>
      </c>
      <c r="CO76" s="550">
        <f t="shared" si="213"/>
        <v>0.2237158908507223</v>
      </c>
      <c r="CP76" s="1157">
        <f t="shared" si="213"/>
        <v>0.23577508960573476</v>
      </c>
      <c r="CQ76" s="219">
        <f t="shared" si="213"/>
        <v>0.24147011678497823</v>
      </c>
      <c r="CR76" s="219">
        <f t="shared" si="213"/>
        <v>0.2345360824742268</v>
      </c>
      <c r="CS76" s="550">
        <f t="shared" si="213"/>
        <v>0.20163992869875222</v>
      </c>
      <c r="CT76" s="1157">
        <f t="shared" si="213"/>
        <v>0.2276883898599375</v>
      </c>
      <c r="CU76" s="197">
        <f t="shared" si="213"/>
        <v>0.23383378649958625</v>
      </c>
      <c r="CV76" s="197">
        <f t="shared" si="213"/>
        <v>0.22984942426926483</v>
      </c>
      <c r="CW76" s="197">
        <f t="shared" si="213"/>
        <v>0.21296361461045815</v>
      </c>
      <c r="CX76" s="1530">
        <f t="shared" ref="CX76:DD76" si="214">CX9/CX$7</f>
        <v>0.22902547324141154</v>
      </c>
      <c r="CY76" s="197">
        <f t="shared" si="214"/>
        <v>0.24448874296435272</v>
      </c>
      <c r="CZ76" s="197">
        <f t="shared" si="214"/>
        <v>0.23936954303208979</v>
      </c>
      <c r="DA76" s="572">
        <f t="shared" si="214"/>
        <v>0.21639873742934743</v>
      </c>
      <c r="DB76" s="197">
        <f>DB9/DB$7</f>
        <v>0.23238185479095108</v>
      </c>
      <c r="DC76" s="197">
        <f t="shared" si="214"/>
        <v>0.2416500644556428</v>
      </c>
      <c r="DD76" s="197">
        <f t="shared" si="214"/>
        <v>0.24628283957518166</v>
      </c>
      <c r="DE76" s="572">
        <f t="shared" ref="DE76:DM76" si="215">DE9/DE$7</f>
        <v>0.22474410324877614</v>
      </c>
      <c r="DF76" s="197">
        <f t="shared" si="215"/>
        <v>0.23710131332082551</v>
      </c>
      <c r="DG76" s="197">
        <f t="shared" si="215"/>
        <v>0.24082774049217001</v>
      </c>
      <c r="DH76" s="197">
        <f t="shared" si="215"/>
        <v>0.24463519313304721</v>
      </c>
      <c r="DI76" s="572">
        <f>DI9/DI$7</f>
        <v>0.22267786239666731</v>
      </c>
      <c r="DJ76" s="1713">
        <f t="shared" si="215"/>
        <v>0.23478401941472665</v>
      </c>
      <c r="DK76" s="197">
        <f t="shared" si="215"/>
        <v>0.23944674355493717</v>
      </c>
      <c r="DL76" s="197">
        <f t="shared" si="215"/>
        <v>0.24377267958839846</v>
      </c>
      <c r="DM76" s="572">
        <f t="shared" si="215"/>
        <v>0.223102463457584</v>
      </c>
      <c r="DN76" s="1157"/>
      <c r="DO76" s="469"/>
      <c r="DP76" s="19"/>
      <c r="DQ76" s="50">
        <f t="shared" ref="DQ76:FG76" si="216">DQ9/DQ$7</f>
        <v>0.25149480575876004</v>
      </c>
      <c r="DR76" s="50">
        <f t="shared" si="216"/>
        <v>0.2380949344023324</v>
      </c>
      <c r="DS76" s="50">
        <f t="shared" si="216"/>
        <v>0.22904688221617833</v>
      </c>
      <c r="DT76" s="50">
        <f t="shared" si="216"/>
        <v>0.23465145754119138</v>
      </c>
      <c r="DU76" s="50">
        <f t="shared" si="216"/>
        <v>0.21307475824392347</v>
      </c>
      <c r="DV76" s="50">
        <f t="shared" si="216"/>
        <v>0.19475482202707994</v>
      </c>
      <c r="DW76" s="50">
        <f t="shared" si="216"/>
        <v>0.1753320106816266</v>
      </c>
      <c r="DX76" s="50">
        <f t="shared" si="216"/>
        <v>0.15197732671574643</v>
      </c>
      <c r="DY76" s="50">
        <f t="shared" si="216"/>
        <v>0.13592551629532829</v>
      </c>
      <c r="DZ76" s="50">
        <f t="shared" si="216"/>
        <v>0.12976158658335163</v>
      </c>
      <c r="EA76" s="50">
        <f t="shared" si="216"/>
        <v>0.13626614288602423</v>
      </c>
      <c r="EB76" s="50">
        <f t="shared" si="216"/>
        <v>0.15937872688256022</v>
      </c>
      <c r="EC76" s="50">
        <f t="shared" si="216"/>
        <v>0.18028681783740838</v>
      </c>
      <c r="ED76" s="50">
        <f t="shared" si="216"/>
        <v>0.19156591915990551</v>
      </c>
      <c r="EE76" s="50">
        <f t="shared" si="216"/>
        <v>0.19961277700181948</v>
      </c>
      <c r="EF76" s="50">
        <f t="shared" si="216"/>
        <v>0.22605500841965606</v>
      </c>
      <c r="EG76" s="50">
        <f t="shared" si="216"/>
        <v>0.24997612909386041</v>
      </c>
      <c r="EH76" s="50">
        <f t="shared" si="216"/>
        <v>0.24819718883683031</v>
      </c>
      <c r="EI76" s="50">
        <f t="shared" si="216"/>
        <v>0.23675864834323626</v>
      </c>
      <c r="EJ76" s="50">
        <f t="shared" si="216"/>
        <v>0.25045383817427386</v>
      </c>
      <c r="EK76" s="50">
        <f t="shared" si="216"/>
        <v>0.24403072299215228</v>
      </c>
      <c r="EL76" s="50">
        <f t="shared" si="216"/>
        <v>0.23851285510831272</v>
      </c>
      <c r="EM76" s="50">
        <f t="shared" si="216"/>
        <v>0.24431856047984005</v>
      </c>
      <c r="EN76" s="50">
        <f t="shared" si="216"/>
        <v>0.24469754899987925</v>
      </c>
      <c r="EO76" s="50">
        <f t="shared" si="216"/>
        <v>0.25184993634627628</v>
      </c>
      <c r="EP76" s="50">
        <f t="shared" si="216"/>
        <v>0.24815744080288538</v>
      </c>
      <c r="EQ76" s="50">
        <f t="shared" si="216"/>
        <v>0.25099194421065291</v>
      </c>
      <c r="ER76" s="1157">
        <f t="shared" si="216"/>
        <v>0.24797665913950562</v>
      </c>
      <c r="ES76" s="219">
        <f t="shared" si="216"/>
        <v>0.23858850083633945</v>
      </c>
      <c r="ET76" s="219">
        <f t="shared" si="216"/>
        <v>0.23653082075150414</v>
      </c>
      <c r="EU76" s="219">
        <f t="shared" si="216"/>
        <v>0.22493905592080962</v>
      </c>
      <c r="EV76" s="219">
        <f t="shared" si="216"/>
        <v>0.22427427551501028</v>
      </c>
      <c r="EW76" s="219">
        <f t="shared" si="216"/>
        <v>0.2303177494434325</v>
      </c>
      <c r="EX76" s="197">
        <f t="shared" si="216"/>
        <v>0.23493135040479152</v>
      </c>
      <c r="EY76" s="197">
        <f t="shared" si="216"/>
        <v>0.23430049109155179</v>
      </c>
      <c r="EZ76" s="1713">
        <f t="shared" si="216"/>
        <v>0.23357006513745102</v>
      </c>
      <c r="FA76" s="50">
        <f>FA9/FA$7</f>
        <v>0.23302367957726741</v>
      </c>
      <c r="FB76" s="50">
        <f t="shared" si="216"/>
        <v>0.2332983037434577</v>
      </c>
      <c r="FC76" s="50">
        <f t="shared" si="216"/>
        <v>0.23284195066190144</v>
      </c>
      <c r="FD76" s="50">
        <f t="shared" si="216"/>
        <v>0.23238587209010711</v>
      </c>
      <c r="FE76" s="50">
        <f t="shared" si="216"/>
        <v>0.23192894685685234</v>
      </c>
      <c r="FF76" s="50">
        <f t="shared" si="216"/>
        <v>0.23147114756859308</v>
      </c>
      <c r="FG76" s="50">
        <f t="shared" si="216"/>
        <v>0.23101244694503867</v>
      </c>
      <c r="FH76" s="50">
        <f>FH9/FH$7</f>
        <v>0.23055281792363533</v>
      </c>
      <c r="FI76" s="416"/>
      <c r="FJ76"/>
      <c r="FK76"/>
      <c r="FL76"/>
      <c r="FM76"/>
      <c r="FN76"/>
      <c r="FO76"/>
      <c r="FS76" s="70"/>
      <c r="FT76" s="70"/>
      <c r="FU76"/>
      <c r="FV76" s="197"/>
      <c r="FW76" s="197"/>
      <c r="FX76" s="197"/>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row>
    <row r="77" spans="1:260" s="4" customFormat="1" ht="12.75" customHeight="1" x14ac:dyDescent="0.2">
      <c r="A77" s="7" t="s">
        <v>687</v>
      </c>
      <c r="B77" s="3"/>
      <c r="C77" s="3"/>
      <c r="D77" s="3"/>
      <c r="E77" s="470"/>
      <c r="F77" s="15">
        <f t="shared" ref="F77:AK77" si="217">F13/F$7</f>
        <v>1.6275089359848879E-2</v>
      </c>
      <c r="G77" s="15">
        <f t="shared" si="217"/>
        <v>1.5458381275293916E-2</v>
      </c>
      <c r="H77" s="15">
        <f t="shared" si="217"/>
        <v>1.3038148123126413E-2</v>
      </c>
      <c r="I77" s="518">
        <f t="shared" si="217"/>
        <v>1.0097930976304383E-2</v>
      </c>
      <c r="J77" s="15">
        <f t="shared" si="217"/>
        <v>1.9325122344325475E-2</v>
      </c>
      <c r="K77" s="15">
        <f t="shared" si="217"/>
        <v>1.7728498741486576E-2</v>
      </c>
      <c r="L77" s="15">
        <f t="shared" si="217"/>
        <v>1.4354694541189239E-2</v>
      </c>
      <c r="M77" s="518">
        <f t="shared" si="217"/>
        <v>1.0897294826402811E-2</v>
      </c>
      <c r="N77" s="15">
        <f t="shared" si="217"/>
        <v>2.1754119043198506E-2</v>
      </c>
      <c r="O77" s="15">
        <f t="shared" si="217"/>
        <v>1.9774908946627822E-2</v>
      </c>
      <c r="P77" s="15">
        <f t="shared" si="217"/>
        <v>1.7564742190622391E-2</v>
      </c>
      <c r="Q77" s="518">
        <f t="shared" si="217"/>
        <v>1.4333729536088319E-2</v>
      </c>
      <c r="R77" s="15">
        <f t="shared" si="217"/>
        <v>2.4066086573969664E-2</v>
      </c>
      <c r="S77" s="15">
        <f t="shared" si="217"/>
        <v>2.3012767931360763E-2</v>
      </c>
      <c r="T77" s="15">
        <f t="shared" si="217"/>
        <v>1.856187471082657E-2</v>
      </c>
      <c r="U77" s="518">
        <f t="shared" si="217"/>
        <v>1.5031885077724407E-2</v>
      </c>
      <c r="V77" s="15">
        <f t="shared" si="217"/>
        <v>2.1624704686780037E-2</v>
      </c>
      <c r="W77" s="15">
        <f t="shared" si="217"/>
        <v>2.0465702065986639E-2</v>
      </c>
      <c r="X77" s="15">
        <f t="shared" si="217"/>
        <v>1.917518881330001E-2</v>
      </c>
      <c r="Y77" s="518">
        <f t="shared" si="217"/>
        <v>1.5138758805267992E-2</v>
      </c>
      <c r="Z77" s="15">
        <f t="shared" si="217"/>
        <v>2.1785236039350234E-2</v>
      </c>
      <c r="AA77" s="15">
        <f t="shared" si="217"/>
        <v>1.8388684014806984E-2</v>
      </c>
      <c r="AB77" s="15">
        <f t="shared" si="217"/>
        <v>1.7704626750382185E-2</v>
      </c>
      <c r="AC77" s="518">
        <f t="shared" si="217"/>
        <v>1.6598191684593731E-2</v>
      </c>
      <c r="AD77" s="15">
        <f t="shared" si="217"/>
        <v>1.9334460915724817E-2</v>
      </c>
      <c r="AE77" s="15">
        <f t="shared" si="217"/>
        <v>2.0906196012503295E-2</v>
      </c>
      <c r="AF77" s="15">
        <f t="shared" si="217"/>
        <v>2.0631769540694261E-2</v>
      </c>
      <c r="AG77" s="518">
        <f t="shared" si="217"/>
        <v>1.8153725203822059E-2</v>
      </c>
      <c r="AH77" s="15">
        <f t="shared" si="217"/>
        <v>3.2608502358126339E-2</v>
      </c>
      <c r="AI77" s="15">
        <f t="shared" si="217"/>
        <v>2.8951400868874419E-2</v>
      </c>
      <c r="AJ77" s="15">
        <f t="shared" si="217"/>
        <v>2.9130932044316264E-2</v>
      </c>
      <c r="AK77" s="518">
        <f t="shared" si="217"/>
        <v>2.0106879765221443E-2</v>
      </c>
      <c r="AL77" s="15">
        <f t="shared" ref="AL77:BQ77" si="218">AL13/AL$7</f>
        <v>2.8711366323256205E-2</v>
      </c>
      <c r="AM77" s="15">
        <f t="shared" si="218"/>
        <v>2.6398035495032928E-2</v>
      </c>
      <c r="AN77" s="15">
        <f t="shared" si="218"/>
        <v>2.600260277503599E-2</v>
      </c>
      <c r="AO77" s="518">
        <f t="shared" si="218"/>
        <v>9.1387849108506922E-3</v>
      </c>
      <c r="AP77" s="15">
        <f t="shared" si="218"/>
        <v>2.5519981304042996E-2</v>
      </c>
      <c r="AQ77" s="15">
        <f t="shared" si="218"/>
        <v>2.0725308790542296E-2</v>
      </c>
      <c r="AR77" s="15">
        <f t="shared" si="218"/>
        <v>1.8741603224361844E-2</v>
      </c>
      <c r="AS77" s="518">
        <f t="shared" si="218"/>
        <v>1.4675063367216284E-2</v>
      </c>
      <c r="AT77" s="15">
        <f t="shared" si="218"/>
        <v>2.0478268977887841E-2</v>
      </c>
      <c r="AU77" s="15">
        <f t="shared" si="218"/>
        <v>1.845401903451439E-2</v>
      </c>
      <c r="AV77" s="15">
        <f t="shared" si="218"/>
        <v>1.7371507384693341E-2</v>
      </c>
      <c r="AW77" s="518">
        <f t="shared" si="218"/>
        <v>1.7354581007288213E-2</v>
      </c>
      <c r="AX77" s="15">
        <f t="shared" si="218"/>
        <v>2.0783564261825132E-2</v>
      </c>
      <c r="AY77" s="15">
        <f t="shared" si="218"/>
        <v>1.8972522553543144E-2</v>
      </c>
      <c r="AZ77" s="15">
        <f t="shared" si="218"/>
        <v>1.7335221016202614E-2</v>
      </c>
      <c r="BA77" s="518">
        <f t="shared" si="218"/>
        <v>1.5855088519448383E-2</v>
      </c>
      <c r="BB77" s="15">
        <f t="shared" si="218"/>
        <v>2.1853272463992393E-2</v>
      </c>
      <c r="BC77" s="15">
        <f t="shared" si="218"/>
        <v>2.000222584202592E-2</v>
      </c>
      <c r="BD77" s="15">
        <f t="shared" si="218"/>
        <v>1.7948415328327992E-2</v>
      </c>
      <c r="BE77" s="518">
        <f t="shared" si="218"/>
        <v>1.5719763607196745E-2</v>
      </c>
      <c r="BF77" s="15">
        <f t="shared" si="218"/>
        <v>2.139717227392262E-2</v>
      </c>
      <c r="BG77" s="15">
        <f t="shared" si="218"/>
        <v>1.9384615384615386E-2</v>
      </c>
      <c r="BH77" s="15">
        <f t="shared" si="218"/>
        <v>1.7084547201388457E-2</v>
      </c>
      <c r="BI77" s="518">
        <f t="shared" si="218"/>
        <v>1.685451230838025E-2</v>
      </c>
      <c r="BJ77" s="15">
        <f t="shared" si="218"/>
        <v>2.4155044066056303E-2</v>
      </c>
      <c r="BK77" s="15">
        <f t="shared" si="218"/>
        <v>2.2156294883567611E-2</v>
      </c>
      <c r="BL77" s="15">
        <f t="shared" si="218"/>
        <v>1.8882943143812711E-2</v>
      </c>
      <c r="BM77" s="518">
        <f t="shared" si="218"/>
        <v>1.9664388857542892E-2</v>
      </c>
      <c r="BN77" s="77">
        <f t="shared" si="218"/>
        <v>2.4985712652874612E-2</v>
      </c>
      <c r="BO77" s="77">
        <f t="shared" si="218"/>
        <v>2.2884301327415098E-2</v>
      </c>
      <c r="BP77" s="77">
        <f t="shared" si="218"/>
        <v>2.0977276216797174E-2</v>
      </c>
      <c r="BQ77" s="487">
        <f t="shared" si="218"/>
        <v>2.0317023639684188E-2</v>
      </c>
      <c r="BR77" s="15">
        <f t="shared" ref="BR77:CW77" si="219">BR13/BR$7</f>
        <v>2.4046038322482189E-2</v>
      </c>
      <c r="BS77" s="15">
        <f t="shared" si="219"/>
        <v>2.2875440108000297E-2</v>
      </c>
      <c r="BT77" s="15">
        <f t="shared" si="219"/>
        <v>2.1815358737141747E-2</v>
      </c>
      <c r="BU77" s="518">
        <f t="shared" si="219"/>
        <v>2.1274984857662028E-2</v>
      </c>
      <c r="BV77" s="15">
        <f t="shared" si="219"/>
        <v>2.4443399364025203E-2</v>
      </c>
      <c r="BW77" s="15">
        <f t="shared" si="219"/>
        <v>2.3566651012817109E-2</v>
      </c>
      <c r="BX77" s="15">
        <f t="shared" si="219"/>
        <v>2.2101891812747809E-2</v>
      </c>
      <c r="BY77" s="518">
        <f t="shared" si="219"/>
        <v>2.1440031192017303E-2</v>
      </c>
      <c r="BZ77" s="15">
        <f t="shared" si="219"/>
        <v>2.2909787615669967E-2</v>
      </c>
      <c r="CA77" s="15">
        <f t="shared" si="219"/>
        <v>2.3792388129207059E-2</v>
      </c>
      <c r="CB77" s="15">
        <f t="shared" si="219"/>
        <v>2.3621219869284706E-2</v>
      </c>
      <c r="CC77" s="518">
        <f t="shared" si="219"/>
        <v>2.0713071440747077E-2</v>
      </c>
      <c r="CD77" s="15">
        <f t="shared" si="219"/>
        <v>2.5837804556249452E-2</v>
      </c>
      <c r="CE77" s="15">
        <f t="shared" si="219"/>
        <v>2.7058769344141489E-2</v>
      </c>
      <c r="CF77" s="15">
        <f t="shared" si="219"/>
        <v>2.635711081202333E-2</v>
      </c>
      <c r="CG77" s="518">
        <f t="shared" si="219"/>
        <v>1.7620418691140304E-2</v>
      </c>
      <c r="CH77" s="15">
        <f t="shared" si="219"/>
        <v>2.6433709628093126E-2</v>
      </c>
      <c r="CI77" s="15">
        <f t="shared" si="219"/>
        <v>2.7019462502323587E-2</v>
      </c>
      <c r="CJ77" s="15">
        <f t="shared" si="219"/>
        <v>2.6501838650795764E-2</v>
      </c>
      <c r="CK77" s="518">
        <f t="shared" si="219"/>
        <v>1.7053095027946073E-2</v>
      </c>
      <c r="CL77" s="15">
        <f t="shared" si="219"/>
        <v>2.9585979830537085E-2</v>
      </c>
      <c r="CM77" s="15">
        <f t="shared" si="219"/>
        <v>3.0514430989614184E-2</v>
      </c>
      <c r="CN77" s="15">
        <f t="shared" si="219"/>
        <v>3.0377813773798834E-2</v>
      </c>
      <c r="CO77" s="518">
        <f t="shared" si="219"/>
        <v>1.9059274412253E-2</v>
      </c>
      <c r="CP77" s="674">
        <f t="shared" si="219"/>
        <v>2.3745519713261647E-2</v>
      </c>
      <c r="CQ77" s="161">
        <f t="shared" si="219"/>
        <v>2.4272956262880695E-2</v>
      </c>
      <c r="CR77" s="161">
        <f t="shared" si="219"/>
        <v>2.3756163155535633E-2</v>
      </c>
      <c r="CS77" s="518">
        <f t="shared" si="219"/>
        <v>1.5115864527629233E-2</v>
      </c>
      <c r="CT77" s="674">
        <f t="shared" si="219"/>
        <v>2.4076860747771732E-2</v>
      </c>
      <c r="CU77" s="70">
        <f t="shared" si="219"/>
        <v>2.4589194940300273E-2</v>
      </c>
      <c r="CV77" s="70">
        <f t="shared" si="219"/>
        <v>2.3029229406554472E-2</v>
      </c>
      <c r="CW77" s="487">
        <f t="shared" si="219"/>
        <v>1.463860933211345E-2</v>
      </c>
      <c r="CX77" s="2213">
        <f t="shared" ref="CX77:DE77" si="220">CX13/CX$7</f>
        <v>2.2873334891329748E-2</v>
      </c>
      <c r="CY77" s="2213">
        <f t="shared" si="220"/>
        <v>2.2953799249530955E-2</v>
      </c>
      <c r="CZ77" s="2213">
        <f t="shared" si="220"/>
        <v>2.2196394148996487E-2</v>
      </c>
      <c r="DA77" s="2214">
        <f t="shared" si="220"/>
        <v>1.4369081700066065E-2</v>
      </c>
      <c r="DB77" s="2213">
        <f>DB13/DB$7</f>
        <v>2.2918393935804807E-2</v>
      </c>
      <c r="DC77" s="2213">
        <f t="shared" si="220"/>
        <v>2.2676667057306928E-2</v>
      </c>
      <c r="DD77" s="2213">
        <f t="shared" si="220"/>
        <v>2.1632196757965343E-2</v>
      </c>
      <c r="DE77" s="2214">
        <f t="shared" si="220"/>
        <v>1.4352469959946596E-2</v>
      </c>
      <c r="DF77" s="2213">
        <f t="shared" ref="DF77:DI78" si="221">DF13/DF$7</f>
        <v>2.36493711261423E-2</v>
      </c>
      <c r="DG77" s="2213">
        <f t="shared" ref="DG77" si="222">DG13/DG$7</f>
        <v>2.255948959325968E-2</v>
      </c>
      <c r="DH77" s="2213">
        <f t="shared" si="221"/>
        <v>2.1639682077654671E-2</v>
      </c>
      <c r="DI77" s="2214">
        <f t="shared" si="221"/>
        <v>1.3127763910938069E-2</v>
      </c>
      <c r="DJ77" s="2215">
        <f t="shared" ref="DJ77:DK77" si="223">DJ13/DJ$7</f>
        <v>2.3801866335700358E-2</v>
      </c>
      <c r="DK77" s="2213">
        <f t="shared" si="223"/>
        <v>2.3066443105782857E-2</v>
      </c>
      <c r="DL77" s="2213">
        <f t="shared" ref="DL77:DM77" si="224">DL13/DL$7</f>
        <v>2.2062630101879956E-2</v>
      </c>
      <c r="DM77" s="2214">
        <f t="shared" si="224"/>
        <v>1.3625911180327117E-2</v>
      </c>
      <c r="DN77" s="2216"/>
      <c r="DO77" s="2158"/>
      <c r="DP77" s="2217"/>
      <c r="DQ77" s="2218">
        <f t="shared" ref="DQ77:EY77" si="225">DQ13/DQ$7</f>
        <v>0</v>
      </c>
      <c r="DR77" s="2218">
        <f t="shared" si="225"/>
        <v>0</v>
      </c>
      <c r="DS77" s="2218">
        <f t="shared" si="225"/>
        <v>0</v>
      </c>
      <c r="DT77" s="2218">
        <f t="shared" si="225"/>
        <v>0</v>
      </c>
      <c r="DU77" s="2218">
        <f t="shared" si="225"/>
        <v>2.0593451189263912E-2</v>
      </c>
      <c r="DV77" s="2218">
        <f t="shared" si="225"/>
        <v>1.7791913881156342E-2</v>
      </c>
      <c r="DW77" s="2218">
        <f t="shared" si="225"/>
        <v>1.4297725030833751E-2</v>
      </c>
      <c r="DX77" s="2218">
        <f t="shared" si="225"/>
        <v>1.2676390820792315E-2</v>
      </c>
      <c r="DY77" s="2218">
        <f t="shared" si="225"/>
        <v>1.2896998437264372E-2</v>
      </c>
      <c r="DZ77" s="2218">
        <f t="shared" si="225"/>
        <v>1.4670891444464719E-2</v>
      </c>
      <c r="EA77" s="2218">
        <f t="shared" si="225"/>
        <v>1.7977184244937026E-2</v>
      </c>
      <c r="EB77" s="2218">
        <f t="shared" si="225"/>
        <v>1.9370217865299102E-2</v>
      </c>
      <c r="EC77" s="2218">
        <f t="shared" si="225"/>
        <v>1.8540145376201009E-2</v>
      </c>
      <c r="ED77" s="2218">
        <f t="shared" si="225"/>
        <v>1.8248725810733661E-2</v>
      </c>
      <c r="EE77" s="2218">
        <f t="shared" si="225"/>
        <v>1.9554604817294725E-2</v>
      </c>
      <c r="EF77" s="2218">
        <f t="shared" si="225"/>
        <v>2.6534673674542021E-2</v>
      </c>
      <c r="EG77" s="2218">
        <f t="shared" si="225"/>
        <v>2.1006397402845413E-2</v>
      </c>
      <c r="EH77" s="2218">
        <f t="shared" si="225"/>
        <v>1.906701975962518E-2</v>
      </c>
      <c r="EI77" s="2218">
        <f t="shared" si="225"/>
        <v>1.8226223890934277E-2</v>
      </c>
      <c r="EJ77" s="2218">
        <f t="shared" si="225"/>
        <v>1.7861773858921161E-2</v>
      </c>
      <c r="EK77" s="2218">
        <f t="shared" si="225"/>
        <v>1.8339177380753604E-2</v>
      </c>
      <c r="EL77" s="2218">
        <f t="shared" si="225"/>
        <v>1.8364440446743124E-2</v>
      </c>
      <c r="EM77" s="2218">
        <f t="shared" si="225"/>
        <v>2.0904143063423305E-2</v>
      </c>
      <c r="EN77" s="2218">
        <f t="shared" si="225"/>
        <v>2.1994606994808225E-2</v>
      </c>
      <c r="EO77" s="2218">
        <f t="shared" si="225"/>
        <v>2.2358370464672182E-2</v>
      </c>
      <c r="EP77" s="2218">
        <f t="shared" si="225"/>
        <v>2.2714052176778951E-2</v>
      </c>
      <c r="EQ77" s="2218">
        <f t="shared" si="225"/>
        <v>2.2524147328764378E-2</v>
      </c>
      <c r="ER77" s="2219">
        <f t="shared" si="225"/>
        <v>2.3480745788453466E-2</v>
      </c>
      <c r="ES77" s="2220">
        <f t="shared" si="225"/>
        <v>2.3413840547715316E-2</v>
      </c>
      <c r="ET77" s="2220">
        <f t="shared" si="225"/>
        <v>2.6377981196916374E-2</v>
      </c>
      <c r="EU77" s="2220">
        <f t="shared" si="225"/>
        <v>2.0881042082194479E-2</v>
      </c>
      <c r="EV77" s="2220">
        <f t="shared" si="225"/>
        <v>2.0625201417982599E-2</v>
      </c>
      <c r="EW77" s="2220">
        <f t="shared" si="225"/>
        <v>1.9808743169398908E-2</v>
      </c>
      <c r="EX77" s="2220">
        <f t="shared" si="225"/>
        <v>1.9643174377585462E-2</v>
      </c>
      <c r="EY77" s="2220">
        <f t="shared" si="225"/>
        <v>1.9138984789328038E-2</v>
      </c>
      <c r="EZ77" s="2221">
        <v>1.9599999999999999E-2</v>
      </c>
      <c r="FA77" s="2222">
        <f t="shared" ref="EZ77:FH78" si="226">EZ77</f>
        <v>1.9599999999999999E-2</v>
      </c>
      <c r="FB77" s="2222">
        <f t="shared" si="226"/>
        <v>1.9599999999999999E-2</v>
      </c>
      <c r="FC77" s="2222">
        <f t="shared" si="226"/>
        <v>1.9599999999999999E-2</v>
      </c>
      <c r="FD77" s="2222">
        <f t="shared" si="226"/>
        <v>1.9599999999999999E-2</v>
      </c>
      <c r="FE77" s="2222">
        <f t="shared" si="226"/>
        <v>1.9599999999999999E-2</v>
      </c>
      <c r="FF77" s="2222">
        <f t="shared" si="226"/>
        <v>1.9599999999999999E-2</v>
      </c>
      <c r="FG77" s="2222">
        <f t="shared" si="226"/>
        <v>1.9599999999999999E-2</v>
      </c>
      <c r="FH77" s="2222">
        <f t="shared" si="226"/>
        <v>1.9599999999999999E-2</v>
      </c>
      <c r="FI77" s="2223"/>
      <c r="FJ77"/>
      <c r="FK77"/>
      <c r="FL77"/>
      <c r="FM77"/>
      <c r="FN77"/>
      <c r="FO77"/>
      <c r="FP77" s="2217"/>
      <c r="FQ77" s="2217"/>
      <c r="FR77" s="2217"/>
      <c r="FS77" s="2224"/>
      <c r="FT77" s="170"/>
      <c r="FU77"/>
      <c r="FV77" s="2633"/>
      <c r="FW77" s="2633"/>
      <c r="FX77" s="2633"/>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row>
    <row r="78" spans="1:260" s="4" customFormat="1" ht="12.75" customHeight="1" x14ac:dyDescent="0.2">
      <c r="A78" s="7" t="s">
        <v>167</v>
      </c>
      <c r="B78" s="3"/>
      <c r="C78" s="3"/>
      <c r="D78" s="3"/>
      <c r="E78" s="470"/>
      <c r="F78" s="15">
        <f t="shared" ref="F78:AK78" si="227">F14/F$7</f>
        <v>0</v>
      </c>
      <c r="G78" s="15">
        <f t="shared" si="227"/>
        <v>0</v>
      </c>
      <c r="H78" s="15">
        <f t="shared" si="227"/>
        <v>0</v>
      </c>
      <c r="I78" s="518">
        <f t="shared" si="227"/>
        <v>0</v>
      </c>
      <c r="J78" s="15">
        <f t="shared" si="227"/>
        <v>0</v>
      </c>
      <c r="K78" s="15">
        <f t="shared" si="227"/>
        <v>0</v>
      </c>
      <c r="L78" s="15">
        <f t="shared" si="227"/>
        <v>0</v>
      </c>
      <c r="M78" s="518">
        <f t="shared" si="227"/>
        <v>0</v>
      </c>
      <c r="N78" s="15">
        <f t="shared" si="227"/>
        <v>0</v>
      </c>
      <c r="O78" s="15">
        <f t="shared" si="227"/>
        <v>0</v>
      </c>
      <c r="P78" s="15">
        <f t="shared" si="227"/>
        <v>0</v>
      </c>
      <c r="Q78" s="518">
        <f t="shared" si="227"/>
        <v>0</v>
      </c>
      <c r="R78" s="15">
        <f t="shared" si="227"/>
        <v>0</v>
      </c>
      <c r="S78" s="15">
        <f t="shared" si="227"/>
        <v>0</v>
      </c>
      <c r="T78" s="15">
        <f t="shared" si="227"/>
        <v>0</v>
      </c>
      <c r="U78" s="518">
        <f t="shared" si="227"/>
        <v>0</v>
      </c>
      <c r="V78" s="15">
        <f t="shared" si="227"/>
        <v>0</v>
      </c>
      <c r="W78" s="15">
        <f t="shared" si="227"/>
        <v>0</v>
      </c>
      <c r="X78" s="15">
        <f t="shared" si="227"/>
        <v>0</v>
      </c>
      <c r="Y78" s="518">
        <f t="shared" si="227"/>
        <v>0</v>
      </c>
      <c r="Z78" s="15">
        <f t="shared" si="227"/>
        <v>3.2242233423964553E-2</v>
      </c>
      <c r="AA78" s="15">
        <f t="shared" si="227"/>
        <v>2.7265858485655929E-2</v>
      </c>
      <c r="AB78" s="15">
        <f t="shared" si="227"/>
        <v>2.8102854231600607E-2</v>
      </c>
      <c r="AC78" s="518">
        <f t="shared" si="227"/>
        <v>3.163893048473481E-2</v>
      </c>
      <c r="AD78" s="15">
        <f t="shared" si="227"/>
        <v>3.3236785175353334E-2</v>
      </c>
      <c r="AE78" s="15">
        <f t="shared" si="227"/>
        <v>2.9603761097340163E-2</v>
      </c>
      <c r="AF78" s="15">
        <f t="shared" si="227"/>
        <v>2.996758554116553E-2</v>
      </c>
      <c r="AG78" s="518">
        <f t="shared" si="227"/>
        <v>3.2011635608914311E-2</v>
      </c>
      <c r="AH78" s="15">
        <f t="shared" si="227"/>
        <v>3.0037598052474981E-2</v>
      </c>
      <c r="AI78" s="15">
        <f t="shared" si="227"/>
        <v>2.5400336215177712E-2</v>
      </c>
      <c r="AJ78" s="15">
        <f t="shared" si="227"/>
        <v>2.6510513036164845E-2</v>
      </c>
      <c r="AK78" s="518">
        <f t="shared" si="227"/>
        <v>2.8224928366762176E-2</v>
      </c>
      <c r="AL78" s="15">
        <f t="shared" ref="AL78:BQ78" si="228">AL14/AL$7</f>
        <v>2.569776297001428E-2</v>
      </c>
      <c r="AM78" s="15">
        <f t="shared" si="228"/>
        <v>2.452013408304498E-2</v>
      </c>
      <c r="AN78" s="15">
        <f t="shared" si="228"/>
        <v>3.1567530695770799E-2</v>
      </c>
      <c r="AO78" s="518">
        <f t="shared" si="228"/>
        <v>2.2402904564315349E-2</v>
      </c>
      <c r="AP78" s="15">
        <f t="shared" si="228"/>
        <v>2.892030848329049E-2</v>
      </c>
      <c r="AQ78" s="15">
        <f t="shared" si="228"/>
        <v>2.6269458858413641E-2</v>
      </c>
      <c r="AR78" s="15">
        <f t="shared" si="228"/>
        <v>3.3570954907161804E-2</v>
      </c>
      <c r="AS78" s="518">
        <f t="shared" si="228"/>
        <v>2.3168422298496864E-2</v>
      </c>
      <c r="AT78" s="15">
        <f t="shared" si="228"/>
        <v>2.5990144186895419E-2</v>
      </c>
      <c r="AU78" s="15">
        <f t="shared" si="228"/>
        <v>2.4592105263157898E-2</v>
      </c>
      <c r="AV78" s="15">
        <f t="shared" si="228"/>
        <v>3.2134797653076572E-2</v>
      </c>
      <c r="AW78" s="518">
        <f t="shared" si="228"/>
        <v>2.2377804270076948E-2</v>
      </c>
      <c r="AX78" s="15">
        <f t="shared" si="228"/>
        <v>2.8855583775492244E-2</v>
      </c>
      <c r="AY78" s="15">
        <f t="shared" si="228"/>
        <v>2.6341161077060811E-2</v>
      </c>
      <c r="AZ78" s="15">
        <f t="shared" si="228"/>
        <v>2.4067956583294008E-2</v>
      </c>
      <c r="BA78" s="518">
        <f t="shared" si="228"/>
        <v>2.2012963189433774E-2</v>
      </c>
      <c r="BB78" s="15">
        <f t="shared" si="228"/>
        <v>2.5368366365636091E-2</v>
      </c>
      <c r="BC78" s="15">
        <f t="shared" si="228"/>
        <v>2.3219579315857101E-2</v>
      </c>
      <c r="BD78" s="15">
        <f t="shared" si="228"/>
        <v>2.0835413848514287E-2</v>
      </c>
      <c r="BE78" s="518">
        <f t="shared" si="228"/>
        <v>1.8248284005319432E-2</v>
      </c>
      <c r="BF78" s="15">
        <f t="shared" si="228"/>
        <v>2.2270526244286812E-2</v>
      </c>
      <c r="BG78" s="15">
        <f t="shared" si="228"/>
        <v>2.0175824175824177E-2</v>
      </c>
      <c r="BH78" s="15">
        <f t="shared" si="228"/>
        <v>1.7781875658587989E-2</v>
      </c>
      <c r="BI78" s="518">
        <f t="shared" si="228"/>
        <v>1.7542451586273315E-2</v>
      </c>
      <c r="BJ78" s="15">
        <f t="shared" si="228"/>
        <v>1.9637203730640884E-2</v>
      </c>
      <c r="BK78" s="15">
        <f t="shared" si="228"/>
        <v>1.8012290739563466E-2</v>
      </c>
      <c r="BL78" s="15">
        <f t="shared" si="228"/>
        <v>1.5351170568561874E-2</v>
      </c>
      <c r="BM78" s="518">
        <f t="shared" si="228"/>
        <v>1.5986458529245812E-2</v>
      </c>
      <c r="BN78" s="77">
        <f t="shared" si="228"/>
        <v>1.6207566579037606E-2</v>
      </c>
      <c r="BO78" s="77">
        <f t="shared" si="228"/>
        <v>1.4844437000125622E-2</v>
      </c>
      <c r="BP78" s="77">
        <f t="shared" si="228"/>
        <v>1.3607400583448488E-2</v>
      </c>
      <c r="BQ78" s="487">
        <f t="shared" si="228"/>
        <v>1.3179112315220575E-2</v>
      </c>
      <c r="BR78" s="15">
        <f t="shared" ref="BR78:CW78" si="229">BR14/BR$7</f>
        <v>1.9275338548537767E-2</v>
      </c>
      <c r="BS78" s="15">
        <f t="shared" si="229"/>
        <v>1.8336985353477105E-2</v>
      </c>
      <c r="BT78" s="15">
        <f t="shared" si="229"/>
        <v>1.7487222617584265E-2</v>
      </c>
      <c r="BU78" s="518">
        <f t="shared" si="229"/>
        <v>1.7054058146577834E-2</v>
      </c>
      <c r="BV78" s="15">
        <f t="shared" si="229"/>
        <v>1.9275338548537767E-2</v>
      </c>
      <c r="BW78" s="15">
        <f t="shared" si="229"/>
        <v>1.8336985353477105E-2</v>
      </c>
      <c r="BX78" s="15">
        <f t="shared" si="229"/>
        <v>1.7487222617584265E-2</v>
      </c>
      <c r="BY78" s="518">
        <f t="shared" si="229"/>
        <v>1.7054058146577834E-2</v>
      </c>
      <c r="BZ78" s="15">
        <f t="shared" si="229"/>
        <v>1.8364518364518363E-2</v>
      </c>
      <c r="CA78" s="15">
        <f t="shared" si="229"/>
        <v>1.9072012192540535E-2</v>
      </c>
      <c r="CB78" s="15">
        <f t="shared" si="229"/>
        <v>1.8934803471730891E-2</v>
      </c>
      <c r="CC78" s="518">
        <f t="shared" si="229"/>
        <v>1.426787861476728E-2</v>
      </c>
      <c r="CD78" s="15">
        <f t="shared" si="229"/>
        <v>2.1879672794441023E-2</v>
      </c>
      <c r="CE78" s="15">
        <f t="shared" si="229"/>
        <v>2.2913596168017684E-2</v>
      </c>
      <c r="CF78" s="15">
        <f t="shared" si="229"/>
        <v>2.2319425751458052E-2</v>
      </c>
      <c r="CG78" s="518">
        <f t="shared" si="229"/>
        <v>1.4921120508667746E-2</v>
      </c>
      <c r="CH78" s="15">
        <f t="shared" si="229"/>
        <v>2.2661011164740872E-2</v>
      </c>
      <c r="CI78" s="15">
        <f t="shared" si="229"/>
        <v>2.3163163628752519E-2</v>
      </c>
      <c r="CJ78" s="15">
        <f t="shared" si="229"/>
        <v>2.2719416608616462E-2</v>
      </c>
      <c r="CK78" s="518">
        <f t="shared" si="229"/>
        <v>1.4619226066211048E-2</v>
      </c>
      <c r="CL78" s="15">
        <f t="shared" si="229"/>
        <v>2.5363379892282035E-2</v>
      </c>
      <c r="CM78" s="15">
        <f t="shared" si="229"/>
        <v>2.6159319712223239E-2</v>
      </c>
      <c r="CN78" s="15">
        <f t="shared" si="229"/>
        <v>2.6042200915942098E-2</v>
      </c>
      <c r="CO78" s="518">
        <f t="shared" si="229"/>
        <v>1.6339077500832855E-2</v>
      </c>
      <c r="CP78" s="674">
        <f t="shared" si="229"/>
        <v>2.6647457816936101E-2</v>
      </c>
      <c r="CQ78" s="161">
        <f t="shared" si="229"/>
        <v>2.7854553849745379E-2</v>
      </c>
      <c r="CR78" s="161">
        <f t="shared" si="229"/>
        <v>2.7320381552560502E-2</v>
      </c>
      <c r="CS78" s="518">
        <f t="shared" si="229"/>
        <v>1.7825311942959002E-2</v>
      </c>
      <c r="CT78" s="674">
        <f t="shared" si="229"/>
        <v>2.0575298066905893E-2</v>
      </c>
      <c r="CU78" s="70">
        <f t="shared" si="229"/>
        <v>2.1013122118453718E-2</v>
      </c>
      <c r="CV78" s="70">
        <f t="shared" si="229"/>
        <v>1.9680026572187776E-2</v>
      </c>
      <c r="CW78" s="487">
        <f t="shared" si="229"/>
        <v>1.2509676965303682E-2</v>
      </c>
      <c r="CX78" s="2213">
        <f t="shared" ref="CX78:DE78" si="230">CX14/CX$7</f>
        <v>2.1675625146062163E-2</v>
      </c>
      <c r="CY78" s="2213">
        <f t="shared" si="230"/>
        <v>2.1751876172607879E-2</v>
      </c>
      <c r="CZ78" s="2213">
        <f t="shared" si="230"/>
        <v>2.1034130853838304E-2</v>
      </c>
      <c r="DA78" s="2214">
        <f t="shared" si="230"/>
        <v>1.3616677677457242E-2</v>
      </c>
      <c r="DB78" s="2213">
        <f>DB14/DB$7</f>
        <v>2.2000473765249318E-2</v>
      </c>
      <c r="DC78" s="2213">
        <f t="shared" si="230"/>
        <v>2.1768428454236495E-2</v>
      </c>
      <c r="DD78" s="2213">
        <f t="shared" si="230"/>
        <v>2.0765790944661824E-2</v>
      </c>
      <c r="DE78" s="2214">
        <f t="shared" si="230"/>
        <v>1.377762943183504E-2</v>
      </c>
      <c r="DF78" s="2213">
        <f t="shared" si="221"/>
        <v>2.1333195603478881E-2</v>
      </c>
      <c r="DG78" s="2213">
        <f t="shared" ref="DG78" si="231">DG14/DG$7</f>
        <v>2.0350055045466209E-2</v>
      </c>
      <c r="DH78" s="2213">
        <f t="shared" si="221"/>
        <v>1.9520331771080247E-2</v>
      </c>
      <c r="DI78" s="2214">
        <f t="shared" si="221"/>
        <v>1.1842055074299805E-2</v>
      </c>
      <c r="DJ78" s="2215">
        <f t="shared" ref="DJ78:DK78" si="232">DJ14/DJ$7</f>
        <v>2.0965738114717795E-2</v>
      </c>
      <c r="DK78" s="2213">
        <f t="shared" si="232"/>
        <v>2.0317944760009143E-2</v>
      </c>
      <c r="DL78" s="2213">
        <f t="shared" ref="DL78:DM78" si="233">DL14/DL$7</f>
        <v>1.9433741804696768E-2</v>
      </c>
      <c r="DM78" s="2214">
        <f t="shared" si="233"/>
        <v>1.2002306094487093E-2</v>
      </c>
      <c r="DN78" s="2216"/>
      <c r="DO78" s="2158"/>
      <c r="DP78" s="2217"/>
      <c r="DQ78" s="2218">
        <f t="shared" ref="DQ78:EY78" si="234">DQ14/DQ$7</f>
        <v>0</v>
      </c>
      <c r="DR78" s="2218">
        <f t="shared" si="234"/>
        <v>0</v>
      </c>
      <c r="DS78" s="2218">
        <f t="shared" si="234"/>
        <v>0</v>
      </c>
      <c r="DT78" s="2218">
        <f t="shared" si="234"/>
        <v>0</v>
      </c>
      <c r="DU78" s="2218">
        <f t="shared" si="234"/>
        <v>0</v>
      </c>
      <c r="DV78" s="2218">
        <f t="shared" si="234"/>
        <v>0</v>
      </c>
      <c r="DW78" s="2218">
        <f t="shared" si="234"/>
        <v>0</v>
      </c>
      <c r="DX78" s="2218">
        <f t="shared" si="234"/>
        <v>0</v>
      </c>
      <c r="DY78" s="2218">
        <f t="shared" si="234"/>
        <v>0</v>
      </c>
      <c r="DZ78" s="2218">
        <f t="shared" si="234"/>
        <v>0</v>
      </c>
      <c r="EA78" s="2218">
        <f t="shared" si="234"/>
        <v>0</v>
      </c>
      <c r="EB78" s="2218">
        <f t="shared" si="234"/>
        <v>0</v>
      </c>
      <c r="EC78" s="2218">
        <f t="shared" si="234"/>
        <v>0</v>
      </c>
      <c r="ED78" s="2218">
        <f t="shared" si="234"/>
        <v>2.9934314349630783E-2</v>
      </c>
      <c r="EE78" s="2218">
        <f t="shared" si="234"/>
        <v>3.1252918727933558E-2</v>
      </c>
      <c r="EF78" s="2218">
        <f t="shared" si="234"/>
        <v>2.755064550696535E-2</v>
      </c>
      <c r="EG78" s="2218">
        <f t="shared" si="234"/>
        <v>2.5776281867659696E-2</v>
      </c>
      <c r="EH78" s="2218">
        <f t="shared" si="234"/>
        <v>2.750050926869016E-2</v>
      </c>
      <c r="EI78" s="2218">
        <f t="shared" si="234"/>
        <v>2.5954142820690411E-2</v>
      </c>
      <c r="EJ78" s="2218">
        <f t="shared" si="234"/>
        <v>2.4799014522821575E-2</v>
      </c>
      <c r="EK78" s="2218">
        <f t="shared" si="234"/>
        <v>2.1289029888128235E-2</v>
      </c>
      <c r="EL78" s="2218">
        <f t="shared" si="234"/>
        <v>1.9114009444569372E-2</v>
      </c>
      <c r="EM78" s="2218">
        <f t="shared" si="234"/>
        <v>1.6994335221592802E-2</v>
      </c>
      <c r="EN78" s="2218">
        <f t="shared" si="234"/>
        <v>1.4267315973759407E-2</v>
      </c>
      <c r="EO78" s="2218">
        <f t="shared" si="234"/>
        <v>1.7922501591343093E-2</v>
      </c>
      <c r="EP78" s="2218">
        <f t="shared" si="234"/>
        <v>1.7918474007265352E-2</v>
      </c>
      <c r="EQ78" s="2218">
        <f t="shared" si="234"/>
        <v>1.7273856759248127E-2</v>
      </c>
      <c r="ER78" s="2219">
        <f t="shared" si="234"/>
        <v>1.9883695369796766E-2</v>
      </c>
      <c r="ES78" s="2220">
        <f t="shared" si="234"/>
        <v>2.0072146873299612E-2</v>
      </c>
      <c r="ET78" s="2220">
        <f t="shared" si="234"/>
        <v>2.2613236462708592E-2</v>
      </c>
      <c r="EU78" s="2220">
        <f t="shared" si="234"/>
        <v>1.8640269877619364E-2</v>
      </c>
      <c r="EV78" s="2220">
        <f t="shared" si="234"/>
        <v>1.7625622846376955E-2</v>
      </c>
      <c r="EW78" s="2220">
        <f t="shared" si="234"/>
        <v>1.877150374418134E-2</v>
      </c>
      <c r="EX78" s="2220">
        <f t="shared" si="234"/>
        <v>1.8856432251351422E-2</v>
      </c>
      <c r="EY78" s="2220">
        <f t="shared" si="234"/>
        <v>1.7264548134703128E-2</v>
      </c>
      <c r="EZ78" s="2221">
        <f t="shared" si="226"/>
        <v>1.7264548134703128E-2</v>
      </c>
      <c r="FA78" s="2222">
        <f t="shared" si="226"/>
        <v>1.7264548134703128E-2</v>
      </c>
      <c r="FB78" s="2222">
        <f t="shared" si="226"/>
        <v>1.7264548134703128E-2</v>
      </c>
      <c r="FC78" s="2222">
        <f t="shared" si="226"/>
        <v>1.7264548134703128E-2</v>
      </c>
      <c r="FD78" s="2222">
        <f t="shared" si="226"/>
        <v>1.7264548134703128E-2</v>
      </c>
      <c r="FE78" s="2222">
        <f t="shared" si="226"/>
        <v>1.7264548134703128E-2</v>
      </c>
      <c r="FF78" s="2222">
        <f t="shared" si="226"/>
        <v>1.7264548134703128E-2</v>
      </c>
      <c r="FG78" s="2222">
        <f t="shared" si="226"/>
        <v>1.7264548134703128E-2</v>
      </c>
      <c r="FH78" s="2222">
        <f t="shared" si="226"/>
        <v>1.7264548134703128E-2</v>
      </c>
      <c r="FI78" s="2223"/>
      <c r="FJ78"/>
      <c r="FK78"/>
      <c r="FL78"/>
      <c r="FM78"/>
      <c r="FN78"/>
      <c r="FO78"/>
      <c r="FS78" s="170"/>
      <c r="FT78" s="170"/>
      <c r="FU78"/>
      <c r="FV78" s="2633"/>
      <c r="FW78" s="2633"/>
      <c r="FX78" s="2633"/>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row>
    <row r="79" spans="1:260" s="4" customFormat="1" ht="12.75" customHeight="1" x14ac:dyDescent="0.2">
      <c r="A79" s="1302" t="s">
        <v>685</v>
      </c>
      <c r="B79" s="401"/>
      <c r="C79" s="401"/>
      <c r="D79" s="401"/>
      <c r="E79" s="469"/>
      <c r="F79" s="50">
        <f t="shared" ref="F79:AK79" si="235">F16/F$7</f>
        <v>0.12632446432776076</v>
      </c>
      <c r="G79" s="50">
        <f t="shared" si="235"/>
        <v>0.12272657130732598</v>
      </c>
      <c r="H79" s="50">
        <f t="shared" si="235"/>
        <v>0.10793327658717017</v>
      </c>
      <c r="I79" s="550">
        <f t="shared" si="235"/>
        <v>0.10321907687851387</v>
      </c>
      <c r="J79" s="50">
        <f t="shared" si="235"/>
        <v>0.13017104832705589</v>
      </c>
      <c r="K79" s="50">
        <f t="shared" si="235"/>
        <v>0.12338593974175036</v>
      </c>
      <c r="L79" s="50">
        <f t="shared" si="235"/>
        <v>0.1038186844087189</v>
      </c>
      <c r="M79" s="550">
        <f t="shared" si="235"/>
        <v>0.10496730036605575</v>
      </c>
      <c r="N79" s="50">
        <f t="shared" si="235"/>
        <v>0.13419261365857474</v>
      </c>
      <c r="O79" s="50">
        <f t="shared" si="235"/>
        <v>0.13042661809022624</v>
      </c>
      <c r="P79" s="50">
        <f t="shared" si="235"/>
        <v>0.12547949409263276</v>
      </c>
      <c r="Q79" s="550">
        <f t="shared" si="235"/>
        <v>0.12869541881164712</v>
      </c>
      <c r="R79" s="50">
        <f t="shared" si="235"/>
        <v>0.15104842610038524</v>
      </c>
      <c r="S79" s="50">
        <f t="shared" si="235"/>
        <v>0.15000078072545012</v>
      </c>
      <c r="T79" s="50">
        <f t="shared" si="235"/>
        <v>0.13529195889934251</v>
      </c>
      <c r="U79" s="550">
        <f t="shared" si="235"/>
        <v>0.12224693698949826</v>
      </c>
      <c r="V79" s="50">
        <f t="shared" si="235"/>
        <v>0.16826086485488162</v>
      </c>
      <c r="W79" s="50">
        <f t="shared" si="235"/>
        <v>0.15500012398026233</v>
      </c>
      <c r="X79" s="50">
        <f t="shared" si="235"/>
        <v>0.14202194051114819</v>
      </c>
      <c r="Y79" s="550">
        <f t="shared" si="235"/>
        <v>0.12893059377378091</v>
      </c>
      <c r="Z79" s="50">
        <f t="shared" si="235"/>
        <v>0.1636186500468888</v>
      </c>
      <c r="AA79" s="50">
        <f t="shared" si="235"/>
        <v>0.16411353958848227</v>
      </c>
      <c r="AB79" s="50">
        <f t="shared" si="235"/>
        <v>0.15054015705409488</v>
      </c>
      <c r="AC79" s="550">
        <f t="shared" si="235"/>
        <v>0.12867335787781761</v>
      </c>
      <c r="AD79" s="50">
        <f t="shared" si="235"/>
        <v>0.16772007323233856</v>
      </c>
      <c r="AE79" s="50">
        <f t="shared" si="235"/>
        <v>0.16830742172006496</v>
      </c>
      <c r="AF79" s="50">
        <f t="shared" si="235"/>
        <v>0.161847548819961</v>
      </c>
      <c r="AG79" s="550">
        <f t="shared" si="235"/>
        <v>0.15019408232019918</v>
      </c>
      <c r="AH79" s="50">
        <f t="shared" si="235"/>
        <v>0.2044901271301055</v>
      </c>
      <c r="AI79" s="50">
        <f t="shared" si="235"/>
        <v>0.19212295869356388</v>
      </c>
      <c r="AJ79" s="50">
        <f t="shared" si="235"/>
        <v>0.18902439024390244</v>
      </c>
      <c r="AK79" s="550">
        <f t="shared" si="235"/>
        <v>0.1487106017191977</v>
      </c>
      <c r="AL79" s="50">
        <f t="shared" ref="AL79:BQ79" si="236">AL16/AL$7</f>
        <v>0.22632079961922894</v>
      </c>
      <c r="AM79" s="50">
        <f t="shared" si="236"/>
        <v>0.22145328719723184</v>
      </c>
      <c r="AN79" s="50">
        <f t="shared" si="236"/>
        <v>0.21633209900604169</v>
      </c>
      <c r="AO79" s="550">
        <f t="shared" si="236"/>
        <v>0.16325654600085848</v>
      </c>
      <c r="AP79" s="50">
        <f t="shared" si="236"/>
        <v>0.2294344473007712</v>
      </c>
      <c r="AQ79" s="50">
        <f t="shared" si="236"/>
        <v>0.21182357301704965</v>
      </c>
      <c r="AR79" s="50">
        <f t="shared" si="236"/>
        <v>0.21286472148541113</v>
      </c>
      <c r="AS79" s="550">
        <f t="shared" si="236"/>
        <v>0.15268079062610959</v>
      </c>
      <c r="AT79" s="50">
        <f t="shared" si="236"/>
        <v>0.20569446979375799</v>
      </c>
      <c r="AU79" s="50">
        <f t="shared" si="236"/>
        <v>0.20197368421052631</v>
      </c>
      <c r="AV79" s="50">
        <f t="shared" si="236"/>
        <v>0.19708139010079737</v>
      </c>
      <c r="AW79" s="550">
        <f t="shared" si="236"/>
        <v>0.15042809147068387</v>
      </c>
      <c r="AX79" s="50">
        <f t="shared" si="236"/>
        <v>0.21559333115397189</v>
      </c>
      <c r="AY79" s="50">
        <f t="shared" si="236"/>
        <v>0.21635332736496568</v>
      </c>
      <c r="AZ79" s="50">
        <f t="shared" si="236"/>
        <v>0.21799591002044991</v>
      </c>
      <c r="BA79" s="550">
        <f t="shared" si="236"/>
        <v>0.16029177966894229</v>
      </c>
      <c r="BB79" s="50">
        <f t="shared" si="236"/>
        <v>0.20520189682425635</v>
      </c>
      <c r="BC79" s="50">
        <f t="shared" si="236"/>
        <v>0.20676048928054716</v>
      </c>
      <c r="BD79" s="50">
        <f t="shared" si="236"/>
        <v>0.21232149179747434</v>
      </c>
      <c r="BE79" s="550">
        <f t="shared" si="236"/>
        <v>0.15280254283277772</v>
      </c>
      <c r="BF79" s="50">
        <f t="shared" si="236"/>
        <v>0.20512173583953577</v>
      </c>
      <c r="BG79" s="50">
        <f t="shared" si="236"/>
        <v>0.19862857142857143</v>
      </c>
      <c r="BH79" s="50">
        <f t="shared" si="236"/>
        <v>0.20004029008863819</v>
      </c>
      <c r="BI79" s="550">
        <f t="shared" si="236"/>
        <v>0.15166194663884333</v>
      </c>
      <c r="BJ79" s="50">
        <f t="shared" si="236"/>
        <v>0.20645161290322581</v>
      </c>
      <c r="BK79" s="50">
        <f t="shared" si="236"/>
        <v>0.20834608713396593</v>
      </c>
      <c r="BL79" s="50">
        <f t="shared" si="236"/>
        <v>0.22495652173913044</v>
      </c>
      <c r="BM79" s="550">
        <f t="shared" si="236"/>
        <v>0.16972290138549306</v>
      </c>
      <c r="BN79" s="208">
        <f t="shared" si="236"/>
        <v>0.21882119861317484</v>
      </c>
      <c r="BO79" s="208">
        <f t="shared" si="236"/>
        <v>0.21810923607330793</v>
      </c>
      <c r="BP79" s="208">
        <f t="shared" si="236"/>
        <v>0.21340652029274784</v>
      </c>
      <c r="BQ79" s="572">
        <f t="shared" si="236"/>
        <v>0.16274995469099257</v>
      </c>
      <c r="BR79" s="50">
        <f t="shared" ref="BR79:CW79" si="237">BR16/BR$7</f>
        <v>0.22990636877723186</v>
      </c>
      <c r="BS79" s="50">
        <f t="shared" si="237"/>
        <v>0.22109533468559839</v>
      </c>
      <c r="BT79" s="50">
        <f t="shared" si="237"/>
        <v>0.21850294365012615</v>
      </c>
      <c r="BU79" s="550">
        <f t="shared" si="237"/>
        <v>0.16855314960629922</v>
      </c>
      <c r="BV79" s="50">
        <f t="shared" si="237"/>
        <v>0.22705667276051189</v>
      </c>
      <c r="BW79" s="50">
        <f t="shared" si="237"/>
        <v>0.22763726095003084</v>
      </c>
      <c r="BX79" s="50">
        <f t="shared" si="237"/>
        <v>0.21621621621621623</v>
      </c>
      <c r="BY79" s="550">
        <f t="shared" si="237"/>
        <v>0.1634996993385448</v>
      </c>
      <c r="BZ79" s="50">
        <f t="shared" si="237"/>
        <v>0.21436142024377319</v>
      </c>
      <c r="CA79" s="50">
        <f t="shared" si="237"/>
        <v>0.2233535131168593</v>
      </c>
      <c r="CB79" s="50">
        <f t="shared" si="237"/>
        <v>0.2225662507968309</v>
      </c>
      <c r="CC79" s="550">
        <f t="shared" si="237"/>
        <v>0.16182547763071212</v>
      </c>
      <c r="CD79" s="50">
        <f t="shared" si="237"/>
        <v>0.21611399419474009</v>
      </c>
      <c r="CE79" s="50">
        <f t="shared" si="237"/>
        <v>0.23047162859248341</v>
      </c>
      <c r="CF79" s="50">
        <f t="shared" si="237"/>
        <v>0.22180349932705248</v>
      </c>
      <c r="CG79" s="550">
        <f t="shared" si="237"/>
        <v>0.16069821846319957</v>
      </c>
      <c r="CH79" s="50">
        <f t="shared" si="237"/>
        <v>0.21688199827734711</v>
      </c>
      <c r="CI79" s="50">
        <f t="shared" si="237"/>
        <v>0.23134540627666636</v>
      </c>
      <c r="CJ79" s="50">
        <f t="shared" si="237"/>
        <v>0.23602715521249884</v>
      </c>
      <c r="CK79" s="550">
        <f t="shared" si="237"/>
        <v>0.17102507330500868</v>
      </c>
      <c r="CL79" s="50">
        <f t="shared" si="237"/>
        <v>0.21006459076448472</v>
      </c>
      <c r="CM79" s="50">
        <f t="shared" si="237"/>
        <v>0.22272191883499304</v>
      </c>
      <c r="CN79" s="50">
        <f t="shared" si="237"/>
        <v>0.23366378850868777</v>
      </c>
      <c r="CO79" s="550">
        <f t="shared" si="237"/>
        <v>0.16666666666666666</v>
      </c>
      <c r="CP79" s="1157">
        <f t="shared" si="237"/>
        <v>0.21292562724014336</v>
      </c>
      <c r="CQ79" s="219">
        <f t="shared" si="237"/>
        <v>0.21914357682619648</v>
      </c>
      <c r="CR79" s="219">
        <f t="shared" si="237"/>
        <v>0.21940833706857912</v>
      </c>
      <c r="CS79" s="550">
        <f t="shared" si="237"/>
        <v>0.15679144385026739</v>
      </c>
      <c r="CT79" s="1157">
        <f t="shared" si="237"/>
        <v>0.20210672531543003</v>
      </c>
      <c r="CU79" s="197">
        <f t="shared" si="237"/>
        <v>0.2052252039248138</v>
      </c>
      <c r="CV79" s="197">
        <f t="shared" si="237"/>
        <v>0.20593445527015058</v>
      </c>
      <c r="CW79" s="572">
        <f t="shared" si="237"/>
        <v>0.15539446829474277</v>
      </c>
      <c r="CX79" s="197">
        <f t="shared" ref="CX79:DE79" si="238">CX16/CX$7</f>
        <v>0.20472072914232298</v>
      </c>
      <c r="CY79" s="197">
        <f t="shared" si="238"/>
        <v>0.21189024390243902</v>
      </c>
      <c r="CZ79" s="197">
        <f t="shared" si="238"/>
        <v>0.21238235627622179</v>
      </c>
      <c r="DA79" s="572">
        <f t="shared" si="238"/>
        <v>0.15906922117008002</v>
      </c>
      <c r="DB79" s="197">
        <f>DB16/DB$7</f>
        <v>0.20395593983181334</v>
      </c>
      <c r="DC79" s="197">
        <f t="shared" si="238"/>
        <v>0.20766436188913628</v>
      </c>
      <c r="DD79" s="197">
        <f t="shared" si="238"/>
        <v>0.21129122414756848</v>
      </c>
      <c r="DE79" s="572">
        <f t="shared" si="238"/>
        <v>0.15873015873015872</v>
      </c>
      <c r="DF79" s="197">
        <f t="shared" ref="DF79:DM79" si="239">DF16/DF$7</f>
        <v>0.20192307692307693</v>
      </c>
      <c r="DG79" s="197">
        <f t="shared" si="239"/>
        <v>0.20391498881431766</v>
      </c>
      <c r="DH79" s="197">
        <f t="shared" si="239"/>
        <v>0.2072961373390558</v>
      </c>
      <c r="DI79" s="572">
        <f t="shared" si="239"/>
        <v>0.15875805506736965</v>
      </c>
      <c r="DJ79" s="1713">
        <f t="shared" si="239"/>
        <v>0.2018077476085528</v>
      </c>
      <c r="DK79" s="197">
        <f t="shared" si="239"/>
        <v>0.2037549185887797</v>
      </c>
      <c r="DL79" s="197">
        <f t="shared" si="239"/>
        <v>0.20580183534817648</v>
      </c>
      <c r="DM79" s="572">
        <f t="shared" si="239"/>
        <v>0.15966836034407889</v>
      </c>
      <c r="DN79" s="1157"/>
      <c r="DO79" s="469"/>
      <c r="DP79" s="19"/>
      <c r="DQ79" s="50">
        <f t="shared" ref="DQ79:FG79" si="240">DQ16/DQ$7</f>
        <v>0.18750626315262048</v>
      </c>
      <c r="DR79" s="50">
        <f t="shared" si="240"/>
        <v>0.21731505102040816</v>
      </c>
      <c r="DS79" s="50">
        <f t="shared" si="240"/>
        <v>0.21181864473014209</v>
      </c>
      <c r="DT79" s="50">
        <f t="shared" si="240"/>
        <v>0.20901628156381008</v>
      </c>
      <c r="DU79" s="50">
        <f t="shared" si="240"/>
        <v>0.19656510078622433</v>
      </c>
      <c r="DV79" s="50">
        <f t="shared" si="240"/>
        <v>0.17455888616875267</v>
      </c>
      <c r="DW79" s="50">
        <f t="shared" si="240"/>
        <v>0.15316627756673237</v>
      </c>
      <c r="DX79" s="50">
        <f t="shared" si="240"/>
        <v>0.12630723617294867</v>
      </c>
      <c r="DY79" s="50">
        <f t="shared" si="240"/>
        <v>0.11191927480247281</v>
      </c>
      <c r="DZ79" s="50">
        <f t="shared" si="240"/>
        <v>0.11278100584682535</v>
      </c>
      <c r="EA79" s="50">
        <f t="shared" si="240"/>
        <v>0.12941912570619596</v>
      </c>
      <c r="EB79" s="50">
        <f t="shared" si="240"/>
        <v>0.13702484939326592</v>
      </c>
      <c r="EC79" s="50">
        <f t="shared" si="240"/>
        <v>0.14538822329170842</v>
      </c>
      <c r="ED79" s="50">
        <f t="shared" si="240"/>
        <v>0.14840456112494751</v>
      </c>
      <c r="EE79" s="50">
        <f t="shared" si="240"/>
        <v>0.16016617939735892</v>
      </c>
      <c r="EF79" s="50">
        <f t="shared" si="240"/>
        <v>0.17824156758687554</v>
      </c>
      <c r="EG79" s="50">
        <f t="shared" si="240"/>
        <v>0.20175689869187435</v>
      </c>
      <c r="EH79" s="50">
        <f t="shared" si="240"/>
        <v>0.19507027907924221</v>
      </c>
      <c r="EI79" s="50">
        <f t="shared" si="240"/>
        <v>0.18419421864178179</v>
      </c>
      <c r="EJ79" s="50">
        <f t="shared" si="240"/>
        <v>0.19716026970954356</v>
      </c>
      <c r="EK79" s="50">
        <f t="shared" si="240"/>
        <v>0.18840095731062503</v>
      </c>
      <c r="EL79" s="50">
        <f t="shared" si="240"/>
        <v>0.18451890163156184</v>
      </c>
      <c r="EM79" s="50">
        <f t="shared" si="240"/>
        <v>0.19957791847162057</v>
      </c>
      <c r="EN79" s="50">
        <f t="shared" si="240"/>
        <v>0.19867589648649736</v>
      </c>
      <c r="EO79" s="50">
        <f t="shared" si="240"/>
        <v>0.20538271801400382</v>
      </c>
      <c r="EP79" s="50">
        <f t="shared" si="240"/>
        <v>0.20389681668496157</v>
      </c>
      <c r="EQ79" s="50">
        <f t="shared" si="240"/>
        <v>0.20055308404472766</v>
      </c>
      <c r="ER79" s="1157">
        <f t="shared" si="240"/>
        <v>0.20203433184788475</v>
      </c>
      <c r="ES79" s="219">
        <f t="shared" si="240"/>
        <v>0.20866165534753431</v>
      </c>
      <c r="ET79" s="219">
        <f t="shared" si="240"/>
        <v>0.2030423430582359</v>
      </c>
      <c r="EU79" s="219">
        <f t="shared" si="240"/>
        <v>0.19630149466893207</v>
      </c>
      <c r="EV79" s="219">
        <f t="shared" si="240"/>
        <v>0.18716378690597188</v>
      </c>
      <c r="EW79" s="219">
        <f t="shared" si="240"/>
        <v>0.19224347298117789</v>
      </c>
      <c r="EX79" s="197">
        <f t="shared" si="240"/>
        <v>0.19094992767048194</v>
      </c>
      <c r="EY79" s="197">
        <f t="shared" si="240"/>
        <v>0.18780100116248724</v>
      </c>
      <c r="EZ79" s="1713">
        <f t="shared" si="240"/>
        <v>0.18795474969945206</v>
      </c>
      <c r="FA79" s="50">
        <f>FA16/FA$7</f>
        <v>0.18692586961298457</v>
      </c>
      <c r="FB79" s="50">
        <f t="shared" si="240"/>
        <v>0.18642750386124193</v>
      </c>
      <c r="FC79" s="50">
        <f t="shared" si="240"/>
        <v>0.18637293874426292</v>
      </c>
      <c r="FD79" s="50">
        <f t="shared" si="240"/>
        <v>0.18631185154524699</v>
      </c>
      <c r="FE79" s="50">
        <f t="shared" si="240"/>
        <v>0.18625125837032167</v>
      </c>
      <c r="FF79" s="50">
        <f t="shared" si="240"/>
        <v>0.18619118816221469</v>
      </c>
      <c r="FG79" s="50">
        <f t="shared" si="240"/>
        <v>0.18613167056973404</v>
      </c>
      <c r="FH79" s="50">
        <f>FH16/FH$7</f>
        <v>0.1860727358788217</v>
      </c>
      <c r="FI79" s="416"/>
      <c r="FJ79"/>
      <c r="FK79"/>
      <c r="FL79"/>
      <c r="FM79"/>
      <c r="FN79"/>
      <c r="FO79"/>
      <c r="FS79" s="70"/>
      <c r="FT79" s="70"/>
      <c r="FU79"/>
      <c r="FV79" s="197"/>
      <c r="FW79" s="197"/>
      <c r="FX79" s="197"/>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row>
    <row r="80" spans="1:260" s="4" customFormat="1" ht="12.75" customHeight="1" x14ac:dyDescent="0.2">
      <c r="A80" s="1048" t="s">
        <v>686</v>
      </c>
      <c r="B80" s="3"/>
      <c r="C80" s="3"/>
      <c r="D80" s="3"/>
      <c r="E80" s="470"/>
      <c r="F80" s="15">
        <f t="shared" ref="F80:AK80" si="241">(F16-F11-F12)/F$7</f>
        <v>0.11674240640452084</v>
      </c>
      <c r="G80" s="15">
        <f t="shared" si="241"/>
        <v>0.1136253552399772</v>
      </c>
      <c r="H80" s="15">
        <f t="shared" si="241"/>
        <v>0.10025698751954816</v>
      </c>
      <c r="I80" s="518">
        <f t="shared" si="241"/>
        <v>9.7273858552491363E-2</v>
      </c>
      <c r="J80" s="15">
        <f t="shared" si="241"/>
        <v>0.12015825284838652</v>
      </c>
      <c r="K80" s="15">
        <f t="shared" si="241"/>
        <v>0.11420039209659012</v>
      </c>
      <c r="L80" s="15">
        <f t="shared" si="241"/>
        <v>9.6381183210083363E-2</v>
      </c>
      <c r="M80" s="518">
        <f t="shared" si="241"/>
        <v>9.9321158394821502E-2</v>
      </c>
      <c r="N80" s="15">
        <f t="shared" si="241"/>
        <v>0.12378327665063915</v>
      </c>
      <c r="O80" s="15">
        <f t="shared" si="241"/>
        <v>0.12096433229883505</v>
      </c>
      <c r="P80" s="15">
        <f t="shared" si="241"/>
        <v>0.11707477218426122</v>
      </c>
      <c r="Q80" s="518">
        <f t="shared" si="241"/>
        <v>0.12183673512854976</v>
      </c>
      <c r="R80" s="15">
        <f t="shared" si="241"/>
        <v>0.14040761855677161</v>
      </c>
      <c r="S80" s="15">
        <f t="shared" si="241"/>
        <v>0.13982569746665746</v>
      </c>
      <c r="T80" s="15">
        <f t="shared" si="241"/>
        <v>0.1270848357412214</v>
      </c>
      <c r="U80" s="518">
        <f t="shared" si="241"/>
        <v>0.11560059689435419</v>
      </c>
      <c r="V80" s="15">
        <f t="shared" si="241"/>
        <v>0.15917906832653816</v>
      </c>
      <c r="W80" s="15">
        <f t="shared" si="241"/>
        <v>0.14640507749684767</v>
      </c>
      <c r="X80" s="15">
        <f t="shared" si="241"/>
        <v>0.13396887501419277</v>
      </c>
      <c r="Y80" s="518">
        <f t="shared" si="241"/>
        <v>0.12257272072291038</v>
      </c>
      <c r="Z80" s="15">
        <f t="shared" si="241"/>
        <v>0.15370932967669154</v>
      </c>
      <c r="AA80" s="15">
        <f t="shared" si="241"/>
        <v>0.15574918857755413</v>
      </c>
      <c r="AB80" s="15">
        <f t="shared" si="241"/>
        <v>0.14248695909069406</v>
      </c>
      <c r="AC80" s="518">
        <f t="shared" si="241"/>
        <v>0.11977175252021328</v>
      </c>
      <c r="AD80" s="15">
        <f t="shared" si="241"/>
        <v>0.1569228246412108</v>
      </c>
      <c r="AE80" s="15">
        <f t="shared" si="241"/>
        <v>0.15663244425750456</v>
      </c>
      <c r="AF80" s="15">
        <f t="shared" si="241"/>
        <v>0.15032582366937472</v>
      </c>
      <c r="AG80" s="518">
        <f t="shared" si="241"/>
        <v>0.14048996631023875</v>
      </c>
      <c r="AH80" s="15">
        <f t="shared" si="241"/>
        <v>0.18636732485799296</v>
      </c>
      <c r="AI80" s="15">
        <f t="shared" si="241"/>
        <v>0.17603266090297789</v>
      </c>
      <c r="AJ80" s="15">
        <f t="shared" si="241"/>
        <v>0.17283431455004206</v>
      </c>
      <c r="AK80" s="518">
        <f t="shared" si="241"/>
        <v>0.13753581661891118</v>
      </c>
      <c r="AL80" s="15">
        <f t="shared" ref="AL80:BQ80" si="242">(AL16-AL11-AL12)/AL$7</f>
        <v>0.20609233698238935</v>
      </c>
      <c r="AM80" s="15">
        <f t="shared" si="242"/>
        <v>0.20285467128027682</v>
      </c>
      <c r="AN80" s="15">
        <f t="shared" si="242"/>
        <v>0.19801208341453908</v>
      </c>
      <c r="AO80" s="518">
        <f t="shared" si="242"/>
        <v>0.15681785663185005</v>
      </c>
      <c r="AP80" s="15">
        <f t="shared" si="242"/>
        <v>0.20844044558697514</v>
      </c>
      <c r="AQ80" s="15">
        <f t="shared" si="242"/>
        <v>0.19477390659747962</v>
      </c>
      <c r="AR80" s="15">
        <f t="shared" si="242"/>
        <v>0.19744694960212203</v>
      </c>
      <c r="AS80" s="518">
        <f t="shared" si="242"/>
        <v>0.14060835601846372</v>
      </c>
      <c r="AT80" s="15">
        <f t="shared" si="242"/>
        <v>0.18689541887205693</v>
      </c>
      <c r="AU80" s="15">
        <f t="shared" si="242"/>
        <v>0.18503289473684212</v>
      </c>
      <c r="AV80" s="15">
        <f t="shared" si="242"/>
        <v>0.18113434632164888</v>
      </c>
      <c r="AW80" s="518">
        <f t="shared" si="242"/>
        <v>0.13449658610599327</v>
      </c>
      <c r="AX80" s="15">
        <f t="shared" si="242"/>
        <v>0.19777705132396209</v>
      </c>
      <c r="AY80" s="15">
        <f t="shared" si="242"/>
        <v>0.19949268874962697</v>
      </c>
      <c r="AZ80" s="15">
        <f t="shared" si="242"/>
        <v>0.20286298568507158</v>
      </c>
      <c r="BA80" s="518">
        <f t="shared" si="242"/>
        <v>0.14878892733564014</v>
      </c>
      <c r="BB80" s="15">
        <f t="shared" si="242"/>
        <v>0.18781434114096854</v>
      </c>
      <c r="BC80" s="15">
        <f t="shared" si="242"/>
        <v>0.19031961067999473</v>
      </c>
      <c r="BD80" s="15">
        <f t="shared" si="242"/>
        <v>0.19780479169125456</v>
      </c>
      <c r="BE80" s="518">
        <f t="shared" si="242"/>
        <v>0.14194898829366617</v>
      </c>
      <c r="BF80" s="15">
        <f t="shared" si="242"/>
        <v>0.18809133341743409</v>
      </c>
      <c r="BG80" s="15">
        <f t="shared" si="242"/>
        <v>0.18217142857142857</v>
      </c>
      <c r="BH80" s="15">
        <f t="shared" si="242"/>
        <v>0.18593875906526994</v>
      </c>
      <c r="BI80" s="518">
        <f t="shared" si="242"/>
        <v>0.13966313906692501</v>
      </c>
      <c r="BJ80" s="15">
        <f t="shared" si="242"/>
        <v>0.18943270300333703</v>
      </c>
      <c r="BK80" s="15">
        <f t="shared" si="242"/>
        <v>0.19202122232425262</v>
      </c>
      <c r="BL80" s="15">
        <f t="shared" si="242"/>
        <v>0.20330434782608695</v>
      </c>
      <c r="BM80" s="518">
        <f t="shared" si="242"/>
        <v>0.15403422982885084</v>
      </c>
      <c r="BN80" s="77">
        <f t="shared" si="242"/>
        <v>0.19732540861812778</v>
      </c>
      <c r="BO80" s="77">
        <f t="shared" si="242"/>
        <v>0.19706042460533479</v>
      </c>
      <c r="BP80" s="77">
        <f t="shared" si="242"/>
        <v>0.19419494344644045</v>
      </c>
      <c r="BQ80" s="487">
        <f t="shared" si="242"/>
        <v>0.14788860025373043</v>
      </c>
      <c r="BR80" s="15">
        <f t="shared" ref="BR80:CW80" si="243">(BR16-BR11-BR12)/BR$7</f>
        <v>0.20737925280430147</v>
      </c>
      <c r="BS80" s="15">
        <f t="shared" si="243"/>
        <v>0.20010582943822205</v>
      </c>
      <c r="BT80" s="15">
        <f t="shared" si="243"/>
        <v>0.19747687132043734</v>
      </c>
      <c r="BU80" s="518">
        <f t="shared" si="243"/>
        <v>0.15335875984251968</v>
      </c>
      <c r="BV80" s="15">
        <f t="shared" si="243"/>
        <v>0.20548446069469836</v>
      </c>
      <c r="BW80" s="15">
        <f t="shared" si="243"/>
        <v>0.20657442495813871</v>
      </c>
      <c r="BX80" s="15">
        <f t="shared" si="243"/>
        <v>0.19712372923382099</v>
      </c>
      <c r="BY80" s="518">
        <f t="shared" si="243"/>
        <v>0.14912808177991582</v>
      </c>
      <c r="BZ80" s="15">
        <f t="shared" si="243"/>
        <v>0.19289878113407524</v>
      </c>
      <c r="CA80" s="15">
        <f t="shared" si="243"/>
        <v>0.20152265639332231</v>
      </c>
      <c r="CB80" s="15">
        <f t="shared" si="243"/>
        <v>0.19979965394772789</v>
      </c>
      <c r="CC80" s="518">
        <f t="shared" si="243"/>
        <v>0.14703240103012516</v>
      </c>
      <c r="CD80" s="15">
        <f t="shared" si="243"/>
        <v>0.19535579206614478</v>
      </c>
      <c r="CE80" s="15">
        <f t="shared" si="243"/>
        <v>0.20845615327929257</v>
      </c>
      <c r="CF80" s="15">
        <f t="shared" si="243"/>
        <v>0.20107671601615074</v>
      </c>
      <c r="CG80" s="518">
        <f t="shared" si="243"/>
        <v>0.14636194589406754</v>
      </c>
      <c r="CH80" s="15">
        <f t="shared" si="243"/>
        <v>0.19646856158484066</v>
      </c>
      <c r="CI80" s="15">
        <f t="shared" si="243"/>
        <v>0.20972788470655163</v>
      </c>
      <c r="CJ80" s="15">
        <f t="shared" si="243"/>
        <v>0.21538175392913605</v>
      </c>
      <c r="CK80" s="518">
        <f t="shared" si="243"/>
        <v>0.15726168392077075</v>
      </c>
      <c r="CL80" s="15">
        <f t="shared" si="243"/>
        <v>0.18721681287959124</v>
      </c>
      <c r="CM80" s="15">
        <f t="shared" si="243"/>
        <v>0.19830817003961881</v>
      </c>
      <c r="CN80" s="15">
        <f t="shared" si="243"/>
        <v>0.20999893401556338</v>
      </c>
      <c r="CO80" s="518">
        <f t="shared" si="243"/>
        <v>0.1512841091492777</v>
      </c>
      <c r="CP80" s="674">
        <f t="shared" si="243"/>
        <v>0.18940412186379929</v>
      </c>
      <c r="CQ80" s="161">
        <f t="shared" si="243"/>
        <v>0.19887794824822533</v>
      </c>
      <c r="CR80" s="161">
        <f t="shared" si="243"/>
        <v>0.20114298520842672</v>
      </c>
      <c r="CS80" s="518">
        <f t="shared" si="243"/>
        <v>0.14495543672014261</v>
      </c>
      <c r="CT80" s="674">
        <f t="shared" si="243"/>
        <v>0.18347030906354903</v>
      </c>
      <c r="CU80" s="70">
        <f t="shared" si="243"/>
        <v>0.18654687315285495</v>
      </c>
      <c r="CV80" s="70">
        <f t="shared" si="243"/>
        <v>0.18766607617360495</v>
      </c>
      <c r="CW80" s="487">
        <f t="shared" si="243"/>
        <v>0.14328946442395665</v>
      </c>
      <c r="CX80" s="70">
        <f t="shared" ref="CX80:DE80" si="244">(CX16-CX11-CX12)/CX$7</f>
        <v>0.1856742229492872</v>
      </c>
      <c r="CY80" s="70">
        <f t="shared" si="244"/>
        <v>0.19277673545966229</v>
      </c>
      <c r="CZ80" s="70">
        <f t="shared" si="244"/>
        <v>0.19333257738972673</v>
      </c>
      <c r="DA80" s="487">
        <f t="shared" si="244"/>
        <v>0.14710416207883725</v>
      </c>
      <c r="DB80" s="70">
        <f>(DB16-DB11-DB12)/DB$7</f>
        <v>0.18476844723439537</v>
      </c>
      <c r="DC80" s="70">
        <f t="shared" si="244"/>
        <v>0.18832766904957224</v>
      </c>
      <c r="DD80" s="70">
        <f t="shared" si="244"/>
        <v>0.19295695919508105</v>
      </c>
      <c r="DE80" s="487">
        <f t="shared" si="244"/>
        <v>0.14663996439697374</v>
      </c>
      <c r="DF80" s="70">
        <f t="shared" ref="DF80:DM80" si="245">(DF16-DF11-DF12)/DF$7</f>
        <v>0.18304409005628519</v>
      </c>
      <c r="DG80" s="70">
        <f t="shared" si="245"/>
        <v>0.18512304250559283</v>
      </c>
      <c r="DH80" s="70">
        <f t="shared" si="245"/>
        <v>0.18894849785407725</v>
      </c>
      <c r="DI80" s="487">
        <f t="shared" si="245"/>
        <v>0.14684631907830503</v>
      </c>
      <c r="DJ80" s="1673">
        <f t="shared" si="245"/>
        <v>0.1842077476085528</v>
      </c>
      <c r="DK80" s="70">
        <f t="shared" si="245"/>
        <v>0.18615491858877969</v>
      </c>
      <c r="DL80" s="70">
        <f t="shared" si="245"/>
        <v>0.1882018353481765</v>
      </c>
      <c r="DM80" s="487">
        <f t="shared" si="245"/>
        <v>0.14206836034407888</v>
      </c>
      <c r="DN80" s="674"/>
      <c r="DO80" s="470"/>
      <c r="DQ80" s="15">
        <f t="shared" ref="DQ80:FG80" si="246">(DQ16-DQ11-DQ12)/DQ$7</f>
        <v>0.18063767244546877</v>
      </c>
      <c r="DR80" s="15">
        <f t="shared" si="246"/>
        <v>0.20602678571428568</v>
      </c>
      <c r="DS80" s="15">
        <f t="shared" si="246"/>
        <v>0.19811950090196065</v>
      </c>
      <c r="DT80" s="15">
        <f t="shared" si="246"/>
        <v>0.1983386955250073</v>
      </c>
      <c r="DU80" s="15">
        <f t="shared" si="246"/>
        <v>0.1848431838248677</v>
      </c>
      <c r="DV80" s="15">
        <f t="shared" si="246"/>
        <v>0.16378865258601774</v>
      </c>
      <c r="DW80" s="15">
        <f t="shared" si="246"/>
        <v>0.14401059767478325</v>
      </c>
      <c r="DX80" s="15">
        <f t="shared" si="246"/>
        <v>0.11885280525681735</v>
      </c>
      <c r="DY80" s="15">
        <f t="shared" si="246"/>
        <v>0.1043260884715469</v>
      </c>
      <c r="DZ80" s="15">
        <f t="shared" si="246"/>
        <v>0.10517967567639466</v>
      </c>
      <c r="EA80" s="15">
        <f t="shared" si="246"/>
        <v>0.12081705044460055</v>
      </c>
      <c r="EB80" s="15">
        <f t="shared" si="246"/>
        <v>0.12846031773378741</v>
      </c>
      <c r="EC80" s="15">
        <f t="shared" si="246"/>
        <v>0.13760185902216529</v>
      </c>
      <c r="ED80" s="15">
        <f t="shared" si="246"/>
        <v>0.13963708887041429</v>
      </c>
      <c r="EE80" s="15">
        <f t="shared" si="246"/>
        <v>0.14940056055598613</v>
      </c>
      <c r="EF80" s="15">
        <f t="shared" si="246"/>
        <v>0.16349441241006277</v>
      </c>
      <c r="EG80" s="15">
        <f t="shared" si="246"/>
        <v>0.18695693688532417</v>
      </c>
      <c r="EH80" s="15">
        <f t="shared" si="246"/>
        <v>0.1793848034222856</v>
      </c>
      <c r="EI80" s="15">
        <f t="shared" si="246"/>
        <v>0.16746254510990413</v>
      </c>
      <c r="EJ80" s="15">
        <f t="shared" si="246"/>
        <v>0.18237811203319501</v>
      </c>
      <c r="EK80" s="15">
        <f t="shared" si="246"/>
        <v>0.17423609951577892</v>
      </c>
      <c r="EL80" s="15">
        <f t="shared" si="246"/>
        <v>0.17002723434025435</v>
      </c>
      <c r="EM80" s="15">
        <f t="shared" si="246"/>
        <v>0.1819615683661002</v>
      </c>
      <c r="EN80" s="15">
        <f t="shared" si="246"/>
        <v>0.18004185615969734</v>
      </c>
      <c r="EO80" s="15">
        <f t="shared" si="246"/>
        <v>0.18592854869509867</v>
      </c>
      <c r="EP80" s="15">
        <f t="shared" si="246"/>
        <v>0.18537321624588365</v>
      </c>
      <c r="EQ80" s="15">
        <f t="shared" si="246"/>
        <v>0.18095467115546471</v>
      </c>
      <c r="ER80" s="674">
        <f t="shared" si="246"/>
        <v>0.18314981714993706</v>
      </c>
      <c r="ES80" s="161">
        <f t="shared" si="246"/>
        <v>0.19018157634872332</v>
      </c>
      <c r="ET80" s="161">
        <f t="shared" si="246"/>
        <v>0.18222272675672607</v>
      </c>
      <c r="EU80" s="161">
        <f t="shared" si="246"/>
        <v>0.17867080347689049</v>
      </c>
      <c r="EV80" s="161">
        <f t="shared" si="246"/>
        <v>0.17090160886487021</v>
      </c>
      <c r="EW80" s="161">
        <f t="shared" si="246"/>
        <v>0.17562234365513055</v>
      </c>
      <c r="EX80" s="70">
        <f t="shared" si="246"/>
        <v>0.17435220668477019</v>
      </c>
      <c r="EY80" s="70">
        <f t="shared" si="246"/>
        <v>0.17159735237598159</v>
      </c>
      <c r="EZ80" s="1673">
        <f t="shared" si="246"/>
        <v>0.17035474969945205</v>
      </c>
      <c r="FA80" s="15">
        <f t="shared" si="246"/>
        <v>0.16932586961298457</v>
      </c>
      <c r="FB80" s="15">
        <f t="shared" si="246"/>
        <v>0.16882750386124193</v>
      </c>
      <c r="FC80" s="15">
        <f t="shared" si="246"/>
        <v>0.16877293874426291</v>
      </c>
      <c r="FD80" s="15">
        <f t="shared" si="246"/>
        <v>0.16871185154524701</v>
      </c>
      <c r="FE80" s="15">
        <f t="shared" si="246"/>
        <v>0.16865125837032166</v>
      </c>
      <c r="FF80" s="15">
        <f t="shared" si="246"/>
        <v>0.16859118816221472</v>
      </c>
      <c r="FG80" s="15">
        <f t="shared" si="246"/>
        <v>0.16853167056973406</v>
      </c>
      <c r="FH80" s="15">
        <f>(FH16-FH11-FH12)/FH$7</f>
        <v>0.16847273587882172</v>
      </c>
      <c r="FI80" s="413"/>
      <c r="FJ80"/>
      <c r="FK80"/>
      <c r="FL80"/>
      <c r="FM80"/>
      <c r="FN80"/>
      <c r="FO80"/>
      <c r="FS80" s="70"/>
      <c r="FT80" s="70"/>
      <c r="FU80"/>
      <c r="FV80" s="70"/>
      <c r="FW80" s="70"/>
      <c r="FX80" s="7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row>
    <row r="81" spans="1:260" s="4" customFormat="1" ht="12.75" customHeight="1" x14ac:dyDescent="0.2">
      <c r="A81" s="1048" t="s">
        <v>32</v>
      </c>
      <c r="B81" s="3"/>
      <c r="C81" s="3"/>
      <c r="D81" s="3"/>
      <c r="E81" s="470"/>
      <c r="F81" s="15">
        <f t="shared" ref="F81:AK81" si="247">F19/F$7</f>
        <v>9.5820579232399339E-3</v>
      </c>
      <c r="G81" s="15">
        <f t="shared" si="247"/>
        <v>9.1012160673487868E-3</v>
      </c>
      <c r="H81" s="15">
        <f t="shared" si="247"/>
        <v>7.6762890676220158E-3</v>
      </c>
      <c r="I81" s="518">
        <f t="shared" si="247"/>
        <v>5.9452183260225019E-3</v>
      </c>
      <c r="J81" s="15">
        <f t="shared" si="247"/>
        <v>1.0012795478669364E-2</v>
      </c>
      <c r="K81" s="15">
        <f t="shared" si="247"/>
        <v>9.1855476451602365E-3</v>
      </c>
      <c r="L81" s="15">
        <f t="shared" si="247"/>
        <v>7.4375011986355516E-3</v>
      </c>
      <c r="M81" s="518">
        <f t="shared" si="247"/>
        <v>5.6461419712342618E-3</v>
      </c>
      <c r="N81" s="15">
        <f t="shared" si="247"/>
        <v>1.0409337007935579E-2</v>
      </c>
      <c r="O81" s="15">
        <f t="shared" si="247"/>
        <v>9.4622857913911739E-3</v>
      </c>
      <c r="P81" s="15">
        <f t="shared" si="247"/>
        <v>8.4047219083715451E-3</v>
      </c>
      <c r="Q81" s="518">
        <f t="shared" si="247"/>
        <v>6.8586836830973738E-3</v>
      </c>
      <c r="R81" s="15">
        <f t="shared" si="247"/>
        <v>1.0640807543613616E-2</v>
      </c>
      <c r="S81" s="15">
        <f t="shared" si="247"/>
        <v>1.0175083258792643E-2</v>
      </c>
      <c r="T81" s="15">
        <f t="shared" si="247"/>
        <v>8.2071231581211206E-3</v>
      </c>
      <c r="U81" s="518">
        <f t="shared" si="247"/>
        <v>6.6463400951440633E-3</v>
      </c>
      <c r="V81" s="15">
        <f t="shared" si="247"/>
        <v>9.0817965283434693E-3</v>
      </c>
      <c r="W81" s="15">
        <f t="shared" si="247"/>
        <v>8.5950464834146558E-3</v>
      </c>
      <c r="X81" s="15">
        <f t="shared" si="247"/>
        <v>8.0530654969554246E-3</v>
      </c>
      <c r="Y81" s="518">
        <f t="shared" si="247"/>
        <v>6.3578730508705092E-3</v>
      </c>
      <c r="Z81" s="15">
        <f t="shared" si="247"/>
        <v>9.9093203701972523E-3</v>
      </c>
      <c r="AA81" s="15">
        <f t="shared" si="247"/>
        <v>8.364351010928148E-3</v>
      </c>
      <c r="AB81" s="15">
        <f t="shared" si="247"/>
        <v>8.0531979634008155E-3</v>
      </c>
      <c r="AC81" s="518">
        <f t="shared" si="247"/>
        <v>8.901605357604328E-3</v>
      </c>
      <c r="AD81" s="15">
        <f t="shared" si="247"/>
        <v>1.0797248591127767E-2</v>
      </c>
      <c r="AE81" s="15">
        <f t="shared" si="247"/>
        <v>1.1674977462560399E-2</v>
      </c>
      <c r="AF81" s="15">
        <f t="shared" si="247"/>
        <v>1.1521725150586269E-2</v>
      </c>
      <c r="AG81" s="518">
        <f t="shared" si="247"/>
        <v>9.7041160099604513E-3</v>
      </c>
      <c r="AH81" s="15">
        <f t="shared" si="247"/>
        <v>1.8122802272112524E-2</v>
      </c>
      <c r="AI81" s="15">
        <f t="shared" si="247"/>
        <v>1.6090297790585975E-2</v>
      </c>
      <c r="AJ81" s="15">
        <f t="shared" si="247"/>
        <v>1.6190075693860388E-2</v>
      </c>
      <c r="AK81" s="518">
        <f t="shared" si="247"/>
        <v>1.1174785100286532E-2</v>
      </c>
      <c r="AL81" s="15">
        <f t="shared" ref="AL81:BQ81" si="248">AL19/AL$7</f>
        <v>2.0228462636839601E-2</v>
      </c>
      <c r="AM81" s="15">
        <f t="shared" si="248"/>
        <v>1.8598615916955018E-2</v>
      </c>
      <c r="AN81" s="15">
        <f t="shared" si="248"/>
        <v>1.832001559150263E-2</v>
      </c>
      <c r="AO81" s="518">
        <f t="shared" si="248"/>
        <v>6.4386893690084419E-3</v>
      </c>
      <c r="AP81" s="15">
        <f t="shared" si="248"/>
        <v>2.0994001713796059E-2</v>
      </c>
      <c r="AQ81" s="15">
        <f t="shared" si="248"/>
        <v>1.704966641957005E-2</v>
      </c>
      <c r="AR81" s="15">
        <f t="shared" si="248"/>
        <v>1.5417771883289124E-2</v>
      </c>
      <c r="AS81" s="518">
        <f t="shared" si="248"/>
        <v>1.2072434607645875E-2</v>
      </c>
      <c r="AT81" s="15">
        <f t="shared" si="248"/>
        <v>1.879905092170104E-2</v>
      </c>
      <c r="AU81" s="15">
        <f t="shared" si="248"/>
        <v>1.6940789473684211E-2</v>
      </c>
      <c r="AV81" s="15">
        <f t="shared" si="248"/>
        <v>1.5947043779148486E-2</v>
      </c>
      <c r="AW81" s="518">
        <f t="shared" si="248"/>
        <v>1.5931505364690582E-2</v>
      </c>
      <c r="AX81" s="15">
        <f t="shared" si="248"/>
        <v>1.7816279830009808E-2</v>
      </c>
      <c r="AY81" s="15">
        <f t="shared" si="248"/>
        <v>1.6860638615338704E-2</v>
      </c>
      <c r="AZ81" s="15">
        <f t="shared" si="248"/>
        <v>1.5132924335378323E-2</v>
      </c>
      <c r="BA81" s="518">
        <f t="shared" si="248"/>
        <v>1.1502852333302161E-2</v>
      </c>
      <c r="BB81" s="15">
        <f t="shared" si="248"/>
        <v>1.7387555683287828E-2</v>
      </c>
      <c r="BC81" s="15">
        <f t="shared" si="248"/>
        <v>1.6440878600552412E-2</v>
      </c>
      <c r="BD81" s="15">
        <f t="shared" si="248"/>
        <v>1.4516700106219757E-2</v>
      </c>
      <c r="BE81" s="518">
        <f t="shared" si="248"/>
        <v>1.0853554539111559E-2</v>
      </c>
      <c r="BF81" s="15">
        <f t="shared" si="248"/>
        <v>1.7030402422101677E-2</v>
      </c>
      <c r="BG81" s="15">
        <f t="shared" si="248"/>
        <v>1.6457142857142858E-2</v>
      </c>
      <c r="BH81" s="15">
        <f t="shared" si="248"/>
        <v>1.4101531023368252E-2</v>
      </c>
      <c r="BI81" s="518">
        <f t="shared" si="248"/>
        <v>1.1998807571918318E-2</v>
      </c>
      <c r="BJ81" s="15">
        <f t="shared" si="248"/>
        <v>1.7018909899888766E-2</v>
      </c>
      <c r="BK81" s="15">
        <f t="shared" si="248"/>
        <v>1.6324864809713294E-2</v>
      </c>
      <c r="BL81" s="15">
        <f t="shared" si="248"/>
        <v>2.1652173913043478E-2</v>
      </c>
      <c r="BM81" s="518">
        <f t="shared" si="248"/>
        <v>1.5688671556642216E-2</v>
      </c>
      <c r="BN81" s="77">
        <f t="shared" si="248"/>
        <v>2.1495789995047053E-2</v>
      </c>
      <c r="BO81" s="77">
        <f t="shared" si="248"/>
        <v>2.1048811467973143E-2</v>
      </c>
      <c r="BP81" s="77">
        <f t="shared" si="248"/>
        <v>1.9211576846307386E-2</v>
      </c>
      <c r="BQ81" s="487">
        <f t="shared" si="248"/>
        <v>1.4861354437262128E-2</v>
      </c>
      <c r="BR81" s="15">
        <f t="shared" ref="BR81:DA81" si="249">BR19/BR$7</f>
        <v>2.2527115972930379E-2</v>
      </c>
      <c r="BS81" s="15">
        <f t="shared" si="249"/>
        <v>2.0989505247376312E-2</v>
      </c>
      <c r="BT81" s="15">
        <f t="shared" si="249"/>
        <v>2.1026072329688814E-2</v>
      </c>
      <c r="BU81" s="518">
        <f t="shared" si="249"/>
        <v>1.5194389763779528E-2</v>
      </c>
      <c r="BV81" s="15">
        <f t="shared" si="249"/>
        <v>2.1572212065813529E-2</v>
      </c>
      <c r="BW81" s="15">
        <f t="shared" si="249"/>
        <v>2.1062835991892129E-2</v>
      </c>
      <c r="BX81" s="15">
        <f t="shared" si="249"/>
        <v>1.909248698239524E-2</v>
      </c>
      <c r="BY81" s="518">
        <f t="shared" si="249"/>
        <v>1.4371617558628983E-2</v>
      </c>
      <c r="BZ81" s="15">
        <f t="shared" si="249"/>
        <v>2.1462639109697933E-2</v>
      </c>
      <c r="CA81" s="15">
        <f t="shared" si="249"/>
        <v>2.1830856723536966E-2</v>
      </c>
      <c r="CB81" s="15">
        <f t="shared" si="249"/>
        <v>2.2766596849102996E-2</v>
      </c>
      <c r="CC81" s="518">
        <f t="shared" si="249"/>
        <v>1.4793076600586931E-2</v>
      </c>
      <c r="CD81" s="15">
        <f t="shared" si="249"/>
        <v>2.0758202128595304E-2</v>
      </c>
      <c r="CE81" s="15">
        <f t="shared" si="249"/>
        <v>2.2015475313190862E-2</v>
      </c>
      <c r="CF81" s="15">
        <f t="shared" si="249"/>
        <v>2.0726783310901751E-2</v>
      </c>
      <c r="CG81" s="518">
        <f t="shared" si="249"/>
        <v>1.4336272569132025E-2</v>
      </c>
      <c r="CH81" s="15">
        <f t="shared" si="249"/>
        <v>2.0413436692506459E-2</v>
      </c>
      <c r="CI81" s="15">
        <f t="shared" si="249"/>
        <v>2.1617521570114723E-2</v>
      </c>
      <c r="CJ81" s="15">
        <f t="shared" si="249"/>
        <v>2.0645401283362782E-2</v>
      </c>
      <c r="CK81" s="518">
        <f t="shared" si="249"/>
        <v>1.3763389384237927E-2</v>
      </c>
      <c r="CL81" s="15">
        <f t="shared" si="249"/>
        <v>2.2847777884893474E-2</v>
      </c>
      <c r="CM81" s="15">
        <f t="shared" si="249"/>
        <v>2.4413748795374238E-2</v>
      </c>
      <c r="CN81" s="15">
        <f t="shared" si="249"/>
        <v>2.3664854493124401E-2</v>
      </c>
      <c r="CO81" s="518">
        <f t="shared" si="249"/>
        <v>1.5382557517388979E-2</v>
      </c>
      <c r="CP81" s="674">
        <f t="shared" si="249"/>
        <v>2.3521505376344086E-2</v>
      </c>
      <c r="CQ81" s="161">
        <f t="shared" si="249"/>
        <v>2.0265628577971147E-2</v>
      </c>
      <c r="CR81" s="161">
        <f t="shared" si="249"/>
        <v>1.8265351860152396E-2</v>
      </c>
      <c r="CS81" s="518">
        <f t="shared" si="249"/>
        <v>1.1836007130124776E-2</v>
      </c>
      <c r="CT81" s="674">
        <f t="shared" si="249"/>
        <v>1.8636416251881005E-2</v>
      </c>
      <c r="CU81" s="70">
        <f t="shared" si="249"/>
        <v>1.8678330771958861E-2</v>
      </c>
      <c r="CV81" s="70">
        <f t="shared" si="249"/>
        <v>1.8268379096545617E-2</v>
      </c>
      <c r="CW81" s="487">
        <f t="shared" si="249"/>
        <v>1.2105003870786122E-2</v>
      </c>
      <c r="CX81" s="70">
        <f t="shared" si="249"/>
        <v>1.9046506193035755E-2</v>
      </c>
      <c r="CY81" s="70">
        <f t="shared" si="249"/>
        <v>1.9113508442776737E-2</v>
      </c>
      <c r="CZ81" s="70">
        <f t="shared" si="249"/>
        <v>1.9049778886495068E-2</v>
      </c>
      <c r="DA81" s="487">
        <f t="shared" si="249"/>
        <v>1.1965059091242751E-2</v>
      </c>
      <c r="DB81" s="70">
        <f t="shared" ref="DB81:DI81" si="250">DB19/DB$7</f>
        <v>1.918749259741798E-2</v>
      </c>
      <c r="DC81" s="70">
        <f t="shared" si="250"/>
        <v>1.9336692839564046E-2</v>
      </c>
      <c r="DD81" s="70">
        <f t="shared" si="250"/>
        <v>1.8334264952487422E-2</v>
      </c>
      <c r="DE81" s="1569">
        <f t="shared" si="250"/>
        <v>1.2090194333184987E-2</v>
      </c>
      <c r="DF81" s="52">
        <f t="shared" si="250"/>
        <v>1.8878986866791746E-2</v>
      </c>
      <c r="DG81" s="52">
        <f t="shared" si="250"/>
        <v>1.8791946308724831E-2</v>
      </c>
      <c r="DH81" s="52">
        <f t="shared" si="250"/>
        <v>1.8347639484978542E-2</v>
      </c>
      <c r="DI81" s="1569">
        <f t="shared" si="250"/>
        <v>1.1911735989064635E-2</v>
      </c>
      <c r="DJ81" s="2383">
        <v>1.7600000000000001E-2</v>
      </c>
      <c r="DK81" s="1554">
        <v>1.7600000000000001E-2</v>
      </c>
      <c r="DL81" s="1554">
        <v>1.7600000000000001E-2</v>
      </c>
      <c r="DM81" s="1553">
        <v>1.7600000000000001E-2</v>
      </c>
      <c r="DN81" s="1225"/>
      <c r="DO81" s="470"/>
      <c r="DQ81" s="15">
        <f t="shared" ref="DQ81:EX81" si="251">DQ19/DQ$7</f>
        <v>6.8685907071516852E-3</v>
      </c>
      <c r="DR81" s="15">
        <f t="shared" si="251"/>
        <v>1.1288265306122449E-2</v>
      </c>
      <c r="DS81" s="15">
        <f t="shared" si="251"/>
        <v>1.3699143828181435E-2</v>
      </c>
      <c r="DT81" s="15">
        <f t="shared" si="251"/>
        <v>1.0677586038802768E-2</v>
      </c>
      <c r="DU81" s="15">
        <f t="shared" si="251"/>
        <v>1.1721916961356632E-2</v>
      </c>
      <c r="DV81" s="15">
        <f t="shared" si="251"/>
        <v>1.0770233582734927E-2</v>
      </c>
      <c r="DW81" s="15">
        <f t="shared" si="251"/>
        <v>9.1556798919491499E-3</v>
      </c>
      <c r="DX81" s="15">
        <f t="shared" si="251"/>
        <v>7.454430916131332E-3</v>
      </c>
      <c r="DY81" s="15">
        <f t="shared" si="251"/>
        <v>7.5931863309259039E-3</v>
      </c>
      <c r="DZ81" s="15">
        <f t="shared" si="251"/>
        <v>7.6013301704306842E-3</v>
      </c>
      <c r="EA81" s="15">
        <f t="shared" si="251"/>
        <v>8.6020752615954092E-3</v>
      </c>
      <c r="EB81" s="15">
        <f t="shared" si="251"/>
        <v>8.5645316594785102E-3</v>
      </c>
      <c r="EC81" s="15">
        <f t="shared" si="251"/>
        <v>7.7863642695431114E-3</v>
      </c>
      <c r="ED81" s="15">
        <f t="shared" si="251"/>
        <v>8.7674722545332279E-3</v>
      </c>
      <c r="EE81" s="15">
        <f t="shared" si="251"/>
        <v>1.0765618841372783E-2</v>
      </c>
      <c r="EF81" s="15">
        <f t="shared" si="251"/>
        <v>1.4747155176812778E-2</v>
      </c>
      <c r="EG81" s="15">
        <f t="shared" si="251"/>
        <v>1.4799961806550176E-2</v>
      </c>
      <c r="EH81" s="15">
        <f t="shared" si="251"/>
        <v>1.5685475656956611E-2</v>
      </c>
      <c r="EI81" s="15">
        <f t="shared" si="251"/>
        <v>1.6731673531877666E-2</v>
      </c>
      <c r="EJ81" s="15">
        <f t="shared" si="251"/>
        <v>1.4782157676348547E-2</v>
      </c>
      <c r="EK81" s="15">
        <f t="shared" si="251"/>
        <v>1.4164857794846107E-2</v>
      </c>
      <c r="EL81" s="15">
        <f t="shared" si="251"/>
        <v>1.4491667291307499E-2</v>
      </c>
      <c r="EM81" s="15">
        <f t="shared" si="251"/>
        <v>1.7616350105520383E-2</v>
      </c>
      <c r="EN81" s="15">
        <f t="shared" si="251"/>
        <v>1.8634040326800015E-2</v>
      </c>
      <c r="EO81" s="15">
        <f t="shared" si="251"/>
        <v>1.9454169318905156E-2</v>
      </c>
      <c r="EP81" s="15">
        <f t="shared" si="251"/>
        <v>1.8523600439077935E-2</v>
      </c>
      <c r="EQ81" s="15">
        <f t="shared" si="251"/>
        <v>1.9598412889262954E-2</v>
      </c>
      <c r="ER81" s="674">
        <f t="shared" si="251"/>
        <v>1.8884514697947684E-2</v>
      </c>
      <c r="ES81" s="161">
        <f t="shared" si="251"/>
        <v>1.8480078998810986E-2</v>
      </c>
      <c r="ET81" s="161">
        <f t="shared" si="251"/>
        <v>2.081961630150982E-2</v>
      </c>
      <c r="EU81" s="161">
        <f t="shared" si="251"/>
        <v>1.7630691192041564E-2</v>
      </c>
      <c r="EV81" s="161">
        <f t="shared" si="251"/>
        <v>1.6262178041101662E-2</v>
      </c>
      <c r="EW81" s="161">
        <f t="shared" si="251"/>
        <v>1.6621129326047358E-2</v>
      </c>
      <c r="EX81" s="70">
        <f t="shared" si="251"/>
        <v>1.6597720985711748E-2</v>
      </c>
      <c r="EY81" s="70">
        <f>EY19/EY$7</f>
        <v>1.6203648786505657E-2</v>
      </c>
      <c r="EZ81" s="1673">
        <f>EZ19/EZ$7</f>
        <v>1.7599999999999998E-2</v>
      </c>
      <c r="FA81" s="1554">
        <f t="shared" ref="FA81:FH81" si="252">EZ81</f>
        <v>1.7599999999999998E-2</v>
      </c>
      <c r="FB81" s="1554">
        <f t="shared" si="252"/>
        <v>1.7599999999999998E-2</v>
      </c>
      <c r="FC81" s="1554">
        <f t="shared" si="252"/>
        <v>1.7599999999999998E-2</v>
      </c>
      <c r="FD81" s="1554">
        <f t="shared" si="252"/>
        <v>1.7599999999999998E-2</v>
      </c>
      <c r="FE81" s="1554">
        <f t="shared" si="252"/>
        <v>1.7599999999999998E-2</v>
      </c>
      <c r="FF81" s="1554">
        <f t="shared" si="252"/>
        <v>1.7599999999999998E-2</v>
      </c>
      <c r="FG81" s="1554">
        <f t="shared" si="252"/>
        <v>1.7599999999999998E-2</v>
      </c>
      <c r="FH81" s="1554">
        <f t="shared" si="252"/>
        <v>1.7599999999999998E-2</v>
      </c>
      <c r="FI81" s="413"/>
      <c r="FJ81"/>
      <c r="FK81"/>
      <c r="FL81"/>
      <c r="FM81"/>
      <c r="FN81"/>
      <c r="FO81"/>
      <c r="FS81" s="170"/>
      <c r="FT81" s="170"/>
      <c r="FU81"/>
      <c r="FV81" s="1606"/>
      <c r="FW81" s="1606"/>
      <c r="FX81" s="1606"/>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row>
    <row r="82" spans="1:260" s="19" customFormat="1" ht="12.75" customHeight="1" x14ac:dyDescent="0.2">
      <c r="A82" s="1302" t="s">
        <v>2</v>
      </c>
      <c r="B82" s="401"/>
      <c r="C82" s="401"/>
      <c r="D82" s="401"/>
      <c r="E82" s="469"/>
      <c r="F82" s="50">
        <f t="shared" ref="F82:AK82" si="253">F17/F$7</f>
        <v>1.3774429008712036E-2</v>
      </c>
      <c r="G82" s="50">
        <f t="shared" si="253"/>
        <v>1.8923628227164941E-2</v>
      </c>
      <c r="H82" s="50">
        <f t="shared" si="253"/>
        <v>2.8160468667006004E-2</v>
      </c>
      <c r="I82" s="550">
        <f t="shared" si="253"/>
        <v>2.8025623603379565E-2</v>
      </c>
      <c r="J82" s="50">
        <f t="shared" si="253"/>
        <v>1.281587612156582E-2</v>
      </c>
      <c r="K82" s="50">
        <f t="shared" si="253"/>
        <v>1.3354790386887706E-2</v>
      </c>
      <c r="L82" s="50">
        <f t="shared" si="253"/>
        <v>2.2074590636803348E-2</v>
      </c>
      <c r="M82" s="550">
        <f t="shared" si="253"/>
        <v>1.7250202285790599E-2</v>
      </c>
      <c r="N82" s="50">
        <f t="shared" si="253"/>
        <v>7.9111449904224907E-3</v>
      </c>
      <c r="O82" s="50">
        <f t="shared" si="253"/>
        <v>1.1066882561957545E-2</v>
      </c>
      <c r="P82" s="50">
        <f t="shared" si="253"/>
        <v>-1.5493263668445935E-3</v>
      </c>
      <c r="Q82" s="550">
        <f t="shared" si="253"/>
        <v>1.0087176549018344E-2</v>
      </c>
      <c r="R82" s="50">
        <f t="shared" si="253"/>
        <v>3.2467067649891209E-3</v>
      </c>
      <c r="S82" s="50">
        <f t="shared" si="253"/>
        <v>1.1111953798898438E-2</v>
      </c>
      <c r="T82" s="50">
        <f t="shared" si="253"/>
        <v>2.5114167174260904E-2</v>
      </c>
      <c r="U82" s="550">
        <f t="shared" si="253"/>
        <v>3.8146331680279998E-2</v>
      </c>
      <c r="V82" s="50">
        <f t="shared" si="253"/>
        <v>1.1754127022368699E-2</v>
      </c>
      <c r="W82" s="50">
        <f t="shared" si="253"/>
        <v>3.1425323014502023E-2</v>
      </c>
      <c r="X82" s="50">
        <f t="shared" si="253"/>
        <v>3.6201081097563231E-2</v>
      </c>
      <c r="Y82" s="550">
        <f t="shared" si="253"/>
        <v>4.9128913811512145E-2</v>
      </c>
      <c r="Z82" s="50">
        <f t="shared" si="253"/>
        <v>3.0057880525573771E-2</v>
      </c>
      <c r="AA82" s="50">
        <f t="shared" si="253"/>
        <v>3.335244022273174E-2</v>
      </c>
      <c r="AB82" s="50">
        <f t="shared" si="253"/>
        <v>3.9451144179083311E-2</v>
      </c>
      <c r="AC82" s="550">
        <f t="shared" si="253"/>
        <v>5.9185813797986597E-2</v>
      </c>
      <c r="AD82" s="50">
        <f t="shared" si="253"/>
        <v>3.6615494456625042E-2</v>
      </c>
      <c r="AE82" s="50">
        <f t="shared" si="253"/>
        <v>3.6397531089360564E-2</v>
      </c>
      <c r="AF82" s="50">
        <f t="shared" si="253"/>
        <v>2.2778986516902022E-2</v>
      </c>
      <c r="AG82" s="550">
        <f t="shared" si="253"/>
        <v>5.4141643474439727E-2</v>
      </c>
      <c r="AH82" s="50">
        <f t="shared" si="253"/>
        <v>2.4344062753583987E-2</v>
      </c>
      <c r="AI82" s="50">
        <f t="shared" si="253"/>
        <v>3.5542747358309319E-2</v>
      </c>
      <c r="AJ82" s="50">
        <f t="shared" si="253"/>
        <v>2.7123633305298569E-2</v>
      </c>
      <c r="AK82" s="550">
        <f t="shared" si="253"/>
        <v>8.1661891117478513E-2</v>
      </c>
      <c r="AL82" s="50">
        <f t="shared" ref="AL82:BQ82" si="254">AL17/AL$7</f>
        <v>3.0699666825321277E-2</v>
      </c>
      <c r="AM82" s="50">
        <f t="shared" si="254"/>
        <v>2.7897923875432527E-2</v>
      </c>
      <c r="AN82" s="50">
        <f t="shared" si="254"/>
        <v>2.7285129604365622E-2</v>
      </c>
      <c r="AO82" s="550">
        <f t="shared" si="254"/>
        <v>8.7566175418514802E-2</v>
      </c>
      <c r="AP82" s="50">
        <f t="shared" si="254"/>
        <v>2.4421593830334189E-2</v>
      </c>
      <c r="AQ82" s="50">
        <f t="shared" si="254"/>
        <v>4.2438843587842848E-2</v>
      </c>
      <c r="AR82" s="50">
        <f t="shared" si="254"/>
        <v>3.3488063660477456E-2</v>
      </c>
      <c r="AS82" s="550">
        <f t="shared" si="254"/>
        <v>8.9833116345129596E-2</v>
      </c>
      <c r="AT82" s="50">
        <f t="shared" si="254"/>
        <v>3.3582770578572729E-2</v>
      </c>
      <c r="AU82" s="50">
        <f t="shared" si="254"/>
        <v>3.9802631578947367E-2</v>
      </c>
      <c r="AV82" s="50">
        <f t="shared" si="254"/>
        <v>3.5053407552279224E-2</v>
      </c>
      <c r="AW82" s="550">
        <f t="shared" si="254"/>
        <v>8.4859651024168203E-2</v>
      </c>
      <c r="AX82" s="50">
        <f t="shared" si="254"/>
        <v>3.9065053939195814E-2</v>
      </c>
      <c r="AY82" s="50">
        <f t="shared" si="254"/>
        <v>3.8943598925693823E-2</v>
      </c>
      <c r="AZ82" s="50">
        <f t="shared" si="254"/>
        <v>2.5766871165644172E-2</v>
      </c>
      <c r="BA82" s="550">
        <f t="shared" si="254"/>
        <v>8.9310764051248479E-2</v>
      </c>
      <c r="BB82" s="50">
        <f t="shared" si="254"/>
        <v>4.8426498060066103E-2</v>
      </c>
      <c r="BC82" s="50">
        <f t="shared" si="254"/>
        <v>4.3403919505458369E-2</v>
      </c>
      <c r="BD82" s="50">
        <f t="shared" si="254"/>
        <v>2.3132302608285141E-2</v>
      </c>
      <c r="BE82" s="550">
        <f t="shared" si="254"/>
        <v>8.8068842545933793E-2</v>
      </c>
      <c r="BF82" s="50">
        <f t="shared" si="254"/>
        <v>3.3556200327992933E-2</v>
      </c>
      <c r="BG82" s="50">
        <f t="shared" si="254"/>
        <v>4.5828571428571427E-2</v>
      </c>
      <c r="BH82" s="50">
        <f t="shared" si="254"/>
        <v>3.5354552780016119E-2</v>
      </c>
      <c r="BI82" s="550">
        <f t="shared" si="254"/>
        <v>8.5184081085109553E-2</v>
      </c>
      <c r="BJ82" s="50">
        <f t="shared" si="254"/>
        <v>3.0812013348164628E-2</v>
      </c>
      <c r="BK82" s="50">
        <f t="shared" si="254"/>
        <v>3.458830731558004E-2</v>
      </c>
      <c r="BL82" s="50">
        <f t="shared" si="254"/>
        <v>2.382608695652174E-2</v>
      </c>
      <c r="BM82" s="550">
        <f t="shared" si="254"/>
        <v>7.6337951643575111E-2</v>
      </c>
      <c r="BN82" s="208">
        <f t="shared" si="254"/>
        <v>3.447251114413076E-2</v>
      </c>
      <c r="BO82" s="208">
        <f t="shared" si="254"/>
        <v>2.5403737978588279E-2</v>
      </c>
      <c r="BP82" s="208">
        <f t="shared" si="254"/>
        <v>3.1270791749833667E-2</v>
      </c>
      <c r="BQ82" s="572">
        <f t="shared" si="254"/>
        <v>7.7508608711411825E-2</v>
      </c>
      <c r="BR82" s="50">
        <f t="shared" ref="BR82:CW82" si="255">BR17/BR$7</f>
        <v>2.9016408640029665E-2</v>
      </c>
      <c r="BS82" s="50">
        <f t="shared" si="255"/>
        <v>3.6246582591057411E-2</v>
      </c>
      <c r="BT82" s="50">
        <f t="shared" si="255"/>
        <v>3.2380151387720775E-2</v>
      </c>
      <c r="BU82" s="550">
        <f t="shared" si="255"/>
        <v>7.5479822834645674E-2</v>
      </c>
      <c r="BV82" s="50">
        <f t="shared" si="255"/>
        <v>2.5959780621572212E-2</v>
      </c>
      <c r="BW82" s="50">
        <f t="shared" si="255"/>
        <v>2.5469287036221026E-2</v>
      </c>
      <c r="BX82" s="50">
        <f t="shared" si="255"/>
        <v>2.7109678485825274E-2</v>
      </c>
      <c r="BY82" s="550">
        <f t="shared" si="255"/>
        <v>8.1599518941671681E-2</v>
      </c>
      <c r="BZ82" s="50">
        <f t="shared" si="255"/>
        <v>3.7802508390743686E-2</v>
      </c>
      <c r="CA82" s="50">
        <f t="shared" si="255"/>
        <v>3.5864978902953586E-2</v>
      </c>
      <c r="CB82" s="50">
        <f t="shared" si="255"/>
        <v>3.9249612967853564E-2</v>
      </c>
      <c r="CC82" s="550">
        <f t="shared" si="255"/>
        <v>7.5881894951188841E-2</v>
      </c>
      <c r="CD82" s="50">
        <f t="shared" si="255"/>
        <v>4.0812736388424663E-2</v>
      </c>
      <c r="CE82" s="50">
        <f t="shared" si="255"/>
        <v>2.3949889462048637E-2</v>
      </c>
      <c r="CF82" s="50">
        <f t="shared" si="255"/>
        <v>3.4185733512786004E-2</v>
      </c>
      <c r="CG82" s="550">
        <f t="shared" si="255"/>
        <v>7.1621378441605182E-2</v>
      </c>
      <c r="CH82" s="50">
        <f t="shared" si="255"/>
        <v>3.3505598621877693E-2</v>
      </c>
      <c r="CI82" s="50">
        <f t="shared" si="255"/>
        <v>1.1756897696027306E-2</v>
      </c>
      <c r="CJ82" s="50">
        <f t="shared" si="255"/>
        <v>4.4638705477541155E-3</v>
      </c>
      <c r="CK82" s="550">
        <f t="shared" si="255"/>
        <v>5.5292920830590626E-2</v>
      </c>
      <c r="CL82" s="50">
        <f t="shared" si="255"/>
        <v>3.9043671069121759E-2</v>
      </c>
      <c r="CM82" s="50">
        <f t="shared" si="255"/>
        <v>1.9381090052468145E-2</v>
      </c>
      <c r="CN82" s="50">
        <f t="shared" si="255"/>
        <v>3.8375439718580109E-3</v>
      </c>
      <c r="CO82" s="550">
        <f t="shared" si="255"/>
        <v>5.7049224184055641E-2</v>
      </c>
      <c r="CP82" s="1157">
        <f t="shared" si="255"/>
        <v>2.2849462365591398E-2</v>
      </c>
      <c r="CQ82" s="219">
        <f t="shared" si="255"/>
        <v>2.2326539958781772E-2</v>
      </c>
      <c r="CR82" s="219">
        <f t="shared" si="255"/>
        <v>1.5127745405647692E-2</v>
      </c>
      <c r="CS82" s="550">
        <f t="shared" si="255"/>
        <v>4.4848484848484846E-2</v>
      </c>
      <c r="CT82" s="1157">
        <f t="shared" si="255"/>
        <v>2.5581664544507467E-2</v>
      </c>
      <c r="CU82" s="197">
        <f t="shared" si="255"/>
        <v>2.8608582574772431E-2</v>
      </c>
      <c r="CV82" s="197">
        <f t="shared" si="255"/>
        <v>2.3914968999114262E-2</v>
      </c>
      <c r="CW82" s="572">
        <f t="shared" si="255"/>
        <v>5.7569146315715393E-2</v>
      </c>
      <c r="CX82" s="197">
        <f t="shared" ref="CX82:DE82" si="256">CX17/CX$7</f>
        <v>2.4304744099088574E-2</v>
      </c>
      <c r="CY82" s="197">
        <f t="shared" si="256"/>
        <v>3.2598499061913699E-2</v>
      </c>
      <c r="CZ82" s="197">
        <f t="shared" si="256"/>
        <v>2.6987186755868014E-2</v>
      </c>
      <c r="DA82" s="572">
        <f t="shared" si="256"/>
        <v>5.7329516259267417E-2</v>
      </c>
      <c r="DB82" s="197">
        <f>DB17/DB$7</f>
        <v>2.8425914959137748E-2</v>
      </c>
      <c r="DC82" s="197">
        <f t="shared" si="256"/>
        <v>3.3985702566506501E-2</v>
      </c>
      <c r="DD82" s="197">
        <f t="shared" si="256"/>
        <v>3.4991615427613192E-2</v>
      </c>
      <c r="DE82" s="572">
        <f t="shared" si="256"/>
        <v>6.6013944518617418E-2</v>
      </c>
      <c r="DF82" s="197">
        <f t="shared" ref="DF82:DM82" si="257">DF17/DF$7</f>
        <v>3.5178236397748593E-2</v>
      </c>
      <c r="DG82" s="197">
        <f t="shared" si="257"/>
        <v>3.6912751677852351E-2</v>
      </c>
      <c r="DH82" s="197">
        <f t="shared" si="257"/>
        <v>3.7339055793991417E-2</v>
      </c>
      <c r="DI82" s="572">
        <f t="shared" si="257"/>
        <v>6.3919807329297668E-2</v>
      </c>
      <c r="DJ82" s="1713">
        <f t="shared" si="257"/>
        <v>3.2976271806173831E-2</v>
      </c>
      <c r="DK82" s="197">
        <f t="shared" si="257"/>
        <v>3.5691824966157464E-2</v>
      </c>
      <c r="DL82" s="197">
        <f t="shared" si="257"/>
        <v>3.7970844240221971E-2</v>
      </c>
      <c r="DM82" s="572">
        <f t="shared" si="257"/>
        <v>6.3434103113505128E-2</v>
      </c>
      <c r="DN82" s="1157"/>
      <c r="DO82" s="469"/>
      <c r="DQ82" s="50">
        <f t="shared" ref="DQ82:FG82" si="258">DQ17/DQ$7</f>
        <v>6.3988542606139565E-2</v>
      </c>
      <c r="DR82" s="50">
        <f t="shared" si="258"/>
        <v>2.0779883381924255E-2</v>
      </c>
      <c r="DS82" s="50">
        <f t="shared" si="258"/>
        <v>1.7228237486036253E-2</v>
      </c>
      <c r="DT82" s="50">
        <f t="shared" si="258"/>
        <v>2.5635175977381311E-2</v>
      </c>
      <c r="DU82" s="50">
        <f t="shared" si="258"/>
        <v>1.650965745769914E-2</v>
      </c>
      <c r="DV82" s="50">
        <f t="shared" si="258"/>
        <v>2.0195935858327286E-2</v>
      </c>
      <c r="DW82" s="50">
        <f t="shared" si="258"/>
        <v>2.2165733114894216E-2</v>
      </c>
      <c r="DX82" s="50">
        <f t="shared" si="258"/>
        <v>2.5670090542797785E-2</v>
      </c>
      <c r="DY82" s="50">
        <f t="shared" si="258"/>
        <v>2.4006241492855476E-2</v>
      </c>
      <c r="DZ82" s="50">
        <f t="shared" si="258"/>
        <v>1.6980580736526286E-2</v>
      </c>
      <c r="EA82" s="50">
        <f t="shared" si="258"/>
        <v>6.8470171798282655E-3</v>
      </c>
      <c r="EB82" s="50">
        <f t="shared" si="258"/>
        <v>2.2353877489294297E-2</v>
      </c>
      <c r="EC82" s="50">
        <f t="shared" si="258"/>
        <v>3.4898594545699976E-2</v>
      </c>
      <c r="ED82" s="50">
        <f t="shared" si="258"/>
        <v>4.3161358034957999E-2</v>
      </c>
      <c r="EE82" s="50">
        <f t="shared" si="258"/>
        <v>3.9446597604460558E-2</v>
      </c>
      <c r="EF82" s="50">
        <f t="shared" si="258"/>
        <v>4.7813440832780531E-2</v>
      </c>
      <c r="EG82" s="50">
        <f t="shared" si="258"/>
        <v>4.8219230401986057E-2</v>
      </c>
      <c r="EH82" s="50">
        <f t="shared" si="258"/>
        <v>5.3126909757588103E-2</v>
      </c>
      <c r="EI82" s="50">
        <f t="shared" si="258"/>
        <v>5.2564429701454453E-2</v>
      </c>
      <c r="EJ82" s="50">
        <f t="shared" si="258"/>
        <v>5.3293568464730288E-2</v>
      </c>
      <c r="EK82" s="50">
        <f t="shared" si="258"/>
        <v>5.5629765681527242E-2</v>
      </c>
      <c r="EL82" s="50">
        <f t="shared" si="258"/>
        <v>5.3993953476750865E-2</v>
      </c>
      <c r="EM82" s="50">
        <f t="shared" si="258"/>
        <v>4.4740642008219485E-2</v>
      </c>
      <c r="EN82" s="50">
        <f t="shared" si="258"/>
        <v>4.6021652513381896E-2</v>
      </c>
      <c r="EO82" s="50">
        <f t="shared" si="258"/>
        <v>4.6467218332272436E-2</v>
      </c>
      <c r="EP82" s="50">
        <f t="shared" si="258"/>
        <v>4.4260624117923787E-2</v>
      </c>
      <c r="EQ82" s="50">
        <f t="shared" si="258"/>
        <v>5.0438860165925213E-2</v>
      </c>
      <c r="ER82" s="1157">
        <f t="shared" si="258"/>
        <v>4.5942327291620871E-2</v>
      </c>
      <c r="ES82" s="219">
        <f t="shared" si="258"/>
        <v>2.9926845488805143E-2</v>
      </c>
      <c r="ET82" s="219">
        <f t="shared" si="258"/>
        <v>3.3488477693268251E-2</v>
      </c>
      <c r="EU82" s="219">
        <f t="shared" si="258"/>
        <v>2.863756125187757E-2</v>
      </c>
      <c r="EV82" s="350">
        <f t="shared" si="258"/>
        <v>3.71104886090384E-2</v>
      </c>
      <c r="EW82" s="350">
        <f t="shared" si="258"/>
        <v>3.8074276462254607E-2</v>
      </c>
      <c r="EX82" s="2665">
        <f t="shared" si="258"/>
        <v>4.3981422734309571E-2</v>
      </c>
      <c r="EY82" s="2665">
        <f t="shared" si="258"/>
        <v>4.6499489929064552E-2</v>
      </c>
      <c r="EZ82" s="2666">
        <f t="shared" si="258"/>
        <v>4.5615315437998967E-2</v>
      </c>
      <c r="FA82" s="2667">
        <f t="shared" si="258"/>
        <v>4.6097809964282851E-2</v>
      </c>
      <c r="FB82" s="2667">
        <f t="shared" si="258"/>
        <v>4.687079988221577E-2</v>
      </c>
      <c r="FC82" s="2667">
        <f t="shared" si="258"/>
        <v>4.6469011917638518E-2</v>
      </c>
      <c r="FD82" s="2667">
        <f t="shared" si="258"/>
        <v>4.6074020544860102E-2</v>
      </c>
      <c r="FE82" s="2667">
        <f t="shared" si="258"/>
        <v>4.5677688486530664E-2</v>
      </c>
      <c r="FF82" s="2667">
        <f t="shared" si="258"/>
        <v>4.527995940637837E-2</v>
      </c>
      <c r="FG82" s="2667">
        <f t="shared" si="258"/>
        <v>4.4880776375304632E-2</v>
      </c>
      <c r="FH82" s="2667">
        <f>FH17/FH$7</f>
        <v>4.4480082044813636E-2</v>
      </c>
      <c r="FI82" s="416"/>
      <c r="FJ82"/>
      <c r="FK82"/>
      <c r="FL82"/>
      <c r="FM82"/>
      <c r="FN82"/>
      <c r="FO82"/>
      <c r="FS82" s="197"/>
      <c r="FT82" s="197"/>
      <c r="FU82"/>
      <c r="FV82" s="197"/>
      <c r="FW82" s="197"/>
      <c r="FX82" s="197"/>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row>
    <row r="83" spans="1:260" s="4" customFormat="1" ht="12.75" customHeight="1" x14ac:dyDescent="0.2">
      <c r="A83" s="1048" t="s">
        <v>609</v>
      </c>
      <c r="B83" s="3"/>
      <c r="C83" s="3"/>
      <c r="D83" s="3"/>
      <c r="E83" s="470"/>
      <c r="F83" s="15">
        <f t="shared" ref="F83:AK83" si="259">+(F17-B17)/(F7-B7)</f>
        <v>1.969662389166614E-2</v>
      </c>
      <c r="G83" s="15">
        <f t="shared" si="259"/>
        <v>1.2342244024722121E-2</v>
      </c>
      <c r="H83" s="15">
        <f t="shared" si="259"/>
        <v>3.1703285032185578E-2</v>
      </c>
      <c r="I83" s="518">
        <f t="shared" si="259"/>
        <v>1.9900471117524673E-2</v>
      </c>
      <c r="J83" s="15">
        <f t="shared" si="259"/>
        <v>1.0901335390071177E-2</v>
      </c>
      <c r="K83" s="15">
        <f t="shared" si="259"/>
        <v>3.0590067341737508E-3</v>
      </c>
      <c r="L83" s="15">
        <f t="shared" si="259"/>
        <v>7.8960176456577755E-3</v>
      </c>
      <c r="M83" s="518">
        <f t="shared" si="259"/>
        <v>-1.6134858135771521E-2</v>
      </c>
      <c r="N83" s="15">
        <f t="shared" si="259"/>
        <v>-9.3347861467810399E-3</v>
      </c>
      <c r="O83" s="15">
        <f t="shared" si="259"/>
        <v>1.4116790763336251E-3</v>
      </c>
      <c r="P83" s="15">
        <f t="shared" si="259"/>
        <v>-0.58551898215178022</v>
      </c>
      <c r="Q83" s="518">
        <f t="shared" si="259"/>
        <v>9.0992812317732374E-2</v>
      </c>
      <c r="R83" s="15">
        <f t="shared" si="259"/>
        <v>0.25253811249305685</v>
      </c>
      <c r="S83" s="15">
        <f t="shared" si="259"/>
        <v>1.6616314199375756E-2</v>
      </c>
      <c r="T83" s="15">
        <f t="shared" si="259"/>
        <v>0.5656503428704156</v>
      </c>
      <c r="U83" s="518">
        <f t="shared" si="259"/>
        <v>0.16869516272561702</v>
      </c>
      <c r="V83" s="15">
        <f t="shared" si="259"/>
        <v>5.2942452807444924E-2</v>
      </c>
      <c r="W83" s="15">
        <f t="shared" si="259"/>
        <v>0.12614610907994062</v>
      </c>
      <c r="X83" s="15">
        <f t="shared" si="259"/>
        <v>9.6680876190674087E-2</v>
      </c>
      <c r="Y83" s="518">
        <f t="shared" si="259"/>
        <v>0.10099447952922085</v>
      </c>
      <c r="Z83" s="15">
        <f t="shared" si="259"/>
        <v>0.10942225443352807</v>
      </c>
      <c r="AA83" s="15">
        <f t="shared" si="259"/>
        <v>4.1599688724517248E-2</v>
      </c>
      <c r="AB83" s="15">
        <f t="shared" si="259"/>
        <v>5.2625758290370431E-2</v>
      </c>
      <c r="AC83" s="518">
        <f t="shared" si="259"/>
        <v>9.966747613806394E-2</v>
      </c>
      <c r="AD83" s="15">
        <f t="shared" si="259"/>
        <v>6.3665619320510236E-2</v>
      </c>
      <c r="AE83" s="15">
        <f t="shared" si="259"/>
        <v>5.3352012616805798E-2</v>
      </c>
      <c r="AF83" s="15">
        <f t="shared" si="259"/>
        <v>-6.0144731513599198E-2</v>
      </c>
      <c r="AG83" s="518">
        <f t="shared" si="259"/>
        <v>3.5166981259563211E-2</v>
      </c>
      <c r="AH83" s="15">
        <f t="shared" si="259"/>
        <v>-2.5253585932833281E-2</v>
      </c>
      <c r="AI83" s="15">
        <f t="shared" si="259"/>
        <v>3.281971072415469E-2</v>
      </c>
      <c r="AJ83" s="15">
        <f t="shared" si="259"/>
        <v>4.2959410891476195E-2</v>
      </c>
      <c r="AK83" s="518">
        <f t="shared" si="259"/>
        <v>0.18065068493150685</v>
      </c>
      <c r="AL83" s="15">
        <f t="shared" ref="AL83:BQ83" si="260">+(AL17-AH17)/(AL7-AH7)</f>
        <v>7.7227722772277227E-2</v>
      </c>
      <c r="AM83" s="15">
        <f t="shared" si="260"/>
        <v>-4.1304347826086954E-2</v>
      </c>
      <c r="AN83" s="15">
        <f t="shared" si="260"/>
        <v>2.9333333333333333E-2</v>
      </c>
      <c r="AO83" s="518">
        <f t="shared" si="260"/>
        <v>4.666666666666667</v>
      </c>
      <c r="AP83" s="15">
        <f t="shared" si="260"/>
        <v>-3.2188841201716736E-2</v>
      </c>
      <c r="AQ83" s="15">
        <f t="shared" si="260"/>
        <v>0.12953367875647667</v>
      </c>
      <c r="AR83" s="15">
        <f t="shared" si="260"/>
        <v>6.8812430632630414E-2</v>
      </c>
      <c r="AS83" s="518">
        <f t="shared" si="260"/>
        <v>0.10068493150684932</v>
      </c>
      <c r="AT83" s="15">
        <f t="shared" si="260"/>
        <v>8.6313193588162765E-2</v>
      </c>
      <c r="AU83" s="15">
        <f t="shared" si="260"/>
        <v>1.9005847953216373E-2</v>
      </c>
      <c r="AV83" s="15">
        <f t="shared" si="260"/>
        <v>5.0406504065040651E-2</v>
      </c>
      <c r="AW83" s="518">
        <f t="shared" si="260"/>
        <v>3.0848329048843187E-2</v>
      </c>
      <c r="AX83" s="15">
        <f t="shared" si="260"/>
        <v>8.6071987480438178E-2</v>
      </c>
      <c r="AY83" s="15">
        <f t="shared" si="260"/>
        <v>3.0546623794212219E-2</v>
      </c>
      <c r="AZ83" s="15">
        <f t="shared" si="260"/>
        <v>-6.3953488372093026E-2</v>
      </c>
      <c r="BA83" s="518">
        <f t="shared" si="260"/>
        <v>0.11732605729877217</v>
      </c>
      <c r="BB83" s="15">
        <f t="shared" si="260"/>
        <v>0.11652794292508918</v>
      </c>
      <c r="BC83" s="15">
        <f t="shared" si="260"/>
        <v>7.6581576026637066E-2</v>
      </c>
      <c r="BD83" s="15">
        <f t="shared" si="260"/>
        <v>6.1511423550087872E-3</v>
      </c>
      <c r="BE83" s="518">
        <f t="shared" si="260"/>
        <v>8.2048957388939261E-2</v>
      </c>
      <c r="BF83" s="15">
        <f t="shared" si="260"/>
        <v>-7.3347107438016534E-2</v>
      </c>
      <c r="BG83" s="15">
        <f t="shared" si="260"/>
        <v>6.1900610287707061E-2</v>
      </c>
      <c r="BH83" s="15">
        <f t="shared" si="260"/>
        <v>0.10652920962199312</v>
      </c>
      <c r="BI83" s="518">
        <f t="shared" si="260"/>
        <v>1.348747591522158E-2</v>
      </c>
      <c r="BJ83" s="15">
        <f t="shared" si="260"/>
        <v>1.0348071495766699E-2</v>
      </c>
      <c r="BK83" s="15">
        <f t="shared" si="260"/>
        <v>-5.8991436726926735E-2</v>
      </c>
      <c r="BL83" s="15">
        <f t="shared" si="260"/>
        <v>-4.8982188295165395E-2</v>
      </c>
      <c r="BM83" s="518">
        <f t="shared" si="260"/>
        <v>-1.4548238897396631E-2</v>
      </c>
      <c r="BN83" s="77">
        <f t="shared" si="260"/>
        <v>6.4253393665158365E-2</v>
      </c>
      <c r="BO83" s="77">
        <f t="shared" si="260"/>
        <v>-4.8321048321048318E-2</v>
      </c>
      <c r="BP83" s="77">
        <f t="shared" si="260"/>
        <v>0.19465648854961831</v>
      </c>
      <c r="BQ83" s="487">
        <f t="shared" si="260"/>
        <v>8.6932750136686721E-2</v>
      </c>
      <c r="BR83" s="15">
        <f t="shared" ref="BR83:CW83" si="261">+(BR17-BN17)/(BR7-BN7)</f>
        <v>-5.0578034682080927E-2</v>
      </c>
      <c r="BS83" s="15">
        <f t="shared" si="261"/>
        <v>0.41324921135646686</v>
      </c>
      <c r="BT83" s="15">
        <f t="shared" si="261"/>
        <v>-6.7164179104477612E-2</v>
      </c>
      <c r="BU83" s="518">
        <f t="shared" si="261"/>
        <v>0.18855218855218855</v>
      </c>
      <c r="BV83" s="15">
        <f t="shared" si="261"/>
        <v>-0.18954248366013071</v>
      </c>
      <c r="BW83" s="15">
        <f t="shared" si="261"/>
        <v>-15.25</v>
      </c>
      <c r="BX83" s="15">
        <f t="shared" si="261"/>
        <v>-0.27272727272727271</v>
      </c>
      <c r="BY83" s="518">
        <f t="shared" si="261"/>
        <v>0.34759358288770054</v>
      </c>
      <c r="BZ83" s="15">
        <f t="shared" si="261"/>
        <v>0.37696335078534032</v>
      </c>
      <c r="CA83" s="15">
        <f t="shared" si="261"/>
        <v>-0.2292134831460674</v>
      </c>
      <c r="CB83" s="15">
        <f t="shared" si="261"/>
        <v>-9.2128801431127019E-2</v>
      </c>
      <c r="CC83" s="518">
        <f t="shared" si="261"/>
        <v>-1.3432835820895523</v>
      </c>
      <c r="CD83" s="15">
        <f t="shared" si="261"/>
        <v>0.76595744680851063</v>
      </c>
      <c r="CE83" s="15">
        <f t="shared" si="261"/>
        <v>2.847826086956522</v>
      </c>
      <c r="CF83" s="15">
        <f t="shared" si="261"/>
        <v>-0.3048780487804878</v>
      </c>
      <c r="CG83" s="518">
        <f t="shared" si="261"/>
        <v>2.8076923076923075</v>
      </c>
      <c r="CH83" s="15">
        <f t="shared" si="261"/>
        <v>-0.31120331950207469</v>
      </c>
      <c r="CI83" s="15">
        <f t="shared" si="261"/>
        <v>0.44012944983818769</v>
      </c>
      <c r="CJ83" s="15">
        <f t="shared" si="261"/>
        <v>0.84948979591836737</v>
      </c>
      <c r="CK83" s="518">
        <f t="shared" si="261"/>
        <v>-6.75</v>
      </c>
      <c r="CL83" s="15">
        <f t="shared" si="261"/>
        <v>-1.2934518997574777E-2</v>
      </c>
      <c r="CM83" s="15">
        <f t="shared" si="261"/>
        <v>-4.7185430463576157E-2</v>
      </c>
      <c r="CN83" s="15">
        <f t="shared" si="261"/>
        <v>8.7463556851311956E-3</v>
      </c>
      <c r="CO83" s="518">
        <f t="shared" si="261"/>
        <v>4.0363843092666288E-2</v>
      </c>
      <c r="CP83" s="674">
        <f t="shared" si="261"/>
        <v>0.13910034602076124</v>
      </c>
      <c r="CQ83" s="161">
        <f t="shared" si="261"/>
        <v>-2.3140495867768594E-2</v>
      </c>
      <c r="CR83" s="161">
        <f t="shared" si="261"/>
        <v>-0.21663019693654267</v>
      </c>
      <c r="CS83" s="518">
        <f t="shared" si="261"/>
        <v>0.24163969795037757</v>
      </c>
      <c r="CT83" s="674">
        <f t="shared" si="261"/>
        <v>-5.8823529411764705E-2</v>
      </c>
      <c r="CU83" s="70">
        <f t="shared" si="261"/>
        <v>-0.1709090909090909</v>
      </c>
      <c r="CV83" s="70">
        <f t="shared" si="261"/>
        <v>0.75</v>
      </c>
      <c r="CW83" s="487">
        <f t="shared" si="261"/>
        <v>1.0271739130434783</v>
      </c>
      <c r="CX83" s="70">
        <f t="shared" ref="CX83:DE83" si="262">+(CX17-CT17)/(CX7-CT7)</f>
        <v>0.16049382716049382</v>
      </c>
      <c r="CY83" s="70">
        <f t="shared" si="262"/>
        <v>0.52173913043478259</v>
      </c>
      <c r="CZ83" s="70">
        <f t="shared" si="262"/>
        <v>-0.10328638497652583</v>
      </c>
      <c r="DA83" s="487">
        <f t="shared" si="262"/>
        <v>6.313993174061433E-2</v>
      </c>
      <c r="DB83" s="70">
        <f t="shared" si="262"/>
        <v>-0.27826086956521739</v>
      </c>
      <c r="DC83" s="70">
        <f t="shared" si="262"/>
        <v>2.4</v>
      </c>
      <c r="DD83" s="70">
        <f t="shared" si="262"/>
        <v>0.59523809523809523</v>
      </c>
      <c r="DE83" s="487">
        <f t="shared" si="262"/>
        <v>-0.77304964539007093</v>
      </c>
      <c r="DF83" s="70">
        <f t="shared" ref="DF83:DM83" si="263">+(DF17-DB17)/(DF7-DB7)</f>
        <v>0.70588235294117652</v>
      </c>
      <c r="DG83" s="70">
        <f t="shared" si="263"/>
        <v>9.8280098280098274E-2</v>
      </c>
      <c r="DH83" s="70">
        <f t="shared" si="263"/>
        <v>9.3333333333333338E-2</v>
      </c>
      <c r="DI83" s="487">
        <f t="shared" si="263"/>
        <v>4.891015417331207E-2</v>
      </c>
      <c r="DJ83" s="1673">
        <f t="shared" si="263"/>
        <v>-6.9508796591279218E-2</v>
      </c>
      <c r="DK83" s="70">
        <f t="shared" si="263"/>
        <v>-0.18720730061572566</v>
      </c>
      <c r="DL83" s="70">
        <f t="shared" si="263"/>
        <v>0.11350808593384054</v>
      </c>
      <c r="DM83" s="487">
        <f t="shared" si="263"/>
        <v>0.11449265525975105</v>
      </c>
      <c r="DN83" s="674"/>
      <c r="DO83" s="470"/>
      <c r="DQ83" s="15"/>
      <c r="DR83" s="15"/>
      <c r="DS83" s="15"/>
      <c r="DT83" s="15"/>
      <c r="DU83" s="15"/>
      <c r="DV83" s="15"/>
      <c r="DW83" s="15"/>
      <c r="DX83" s="15"/>
      <c r="DY83" s="15"/>
      <c r="DZ83" s="15"/>
      <c r="EA83" s="161">
        <f t="shared" ref="EA83:EN83" si="264">+(EA17-DZ17)/(EA7-DZ7)</f>
        <v>-0.12534748455523945</v>
      </c>
      <c r="EB83" s="161">
        <f t="shared" si="264"/>
        <v>0.2274552389835737</v>
      </c>
      <c r="EC83" s="161">
        <f t="shared" si="264"/>
        <v>9.6342473925462566E-2</v>
      </c>
      <c r="ED83" s="161">
        <f t="shared" si="264"/>
        <v>7.7393092961693069E-2</v>
      </c>
      <c r="EE83" s="161">
        <f t="shared" si="264"/>
        <v>2.3061231838776643E-2</v>
      </c>
      <c r="EF83" s="161">
        <f t="shared" si="264"/>
        <v>7.7842025781472757E-2</v>
      </c>
      <c r="EG83" s="161">
        <f t="shared" si="264"/>
        <v>5.4114158636026685E-2</v>
      </c>
      <c r="EH83" s="161">
        <f t="shared" si="264"/>
        <v>8.1689358155043065E-2</v>
      </c>
      <c r="EI83" s="161">
        <f t="shared" si="264"/>
        <v>4.7783933518005542E-2</v>
      </c>
      <c r="EJ83" s="161">
        <f t="shared" si="264"/>
        <v>5.9150805270863839E-2</v>
      </c>
      <c r="EK83" s="161">
        <f t="shared" si="264"/>
        <v>6.9799449469130942E-2</v>
      </c>
      <c r="EL83" s="161">
        <f t="shared" si="264"/>
        <v>3.9618488628026409E-2</v>
      </c>
      <c r="EM83" s="161">
        <f t="shared" si="264"/>
        <v>-2.9447115384615384E-2</v>
      </c>
      <c r="EN83" s="161">
        <f t="shared" si="264"/>
        <v>5.8345800384697583E-2</v>
      </c>
      <c r="EO83" s="15"/>
      <c r="EP83" s="15"/>
      <c r="EQ83" s="161">
        <f t="shared" ref="EQ83:FH83" si="265">+(EQ17-EP17)/(EQ7-EP7)</f>
        <v>-0.2324955116696589</v>
      </c>
      <c r="ER83" s="161">
        <f t="shared" si="265"/>
        <v>-1.5683453237410072</v>
      </c>
      <c r="ES83" s="161">
        <f t="shared" si="265"/>
        <v>1.9380952380952381</v>
      </c>
      <c r="ET83" s="161">
        <f t="shared" si="265"/>
        <v>1.7934002869440459E-3</v>
      </c>
      <c r="EU83" s="161">
        <f t="shared" si="265"/>
        <v>9.0856144437973213E-2</v>
      </c>
      <c r="EV83" s="161">
        <f t="shared" si="265"/>
        <v>-1.2279411764705883</v>
      </c>
      <c r="EW83" s="161">
        <f t="shared" si="265"/>
        <v>-9.8643649815043158E-3</v>
      </c>
      <c r="EX83" s="70">
        <f t="shared" si="265"/>
        <v>-1.8240000000000001</v>
      </c>
      <c r="EY83" s="70">
        <f t="shared" si="265"/>
        <v>8.260553129548763E-2</v>
      </c>
      <c r="EZ83" s="1673">
        <f t="shared" si="265"/>
        <v>-0.18162364923739222</v>
      </c>
      <c r="FA83" s="70">
        <f t="shared" si="265"/>
        <v>9.3968459446492791E-2</v>
      </c>
      <c r="FB83" s="70">
        <f t="shared" si="265"/>
        <v>0.12468625819718147</v>
      </c>
      <c r="FC83" s="70">
        <f t="shared" si="265"/>
        <v>3.4176037404439223E-4</v>
      </c>
      <c r="FD83" s="70">
        <f t="shared" si="265"/>
        <v>1.4952812925857654E-2</v>
      </c>
      <c r="FE83" s="70">
        <f t="shared" si="265"/>
        <v>1.5251458946549898E-2</v>
      </c>
      <c r="FF83" s="70">
        <f t="shared" si="265"/>
        <v>1.5530556661794984E-2</v>
      </c>
      <c r="FG83" s="70">
        <f t="shared" si="265"/>
        <v>1.5790008766321629E-2</v>
      </c>
      <c r="FH83" s="70">
        <f t="shared" si="265"/>
        <v>1.602976577847734E-2</v>
      </c>
      <c r="FI83" s="413"/>
      <c r="FJ83"/>
      <c r="FK83"/>
      <c r="FL83"/>
      <c r="FM83"/>
      <c r="FN83"/>
      <c r="FO83"/>
      <c r="FS83" s="70"/>
      <c r="FT83" s="70"/>
      <c r="FU83"/>
      <c r="FV83" s="70"/>
      <c r="FW83" s="70"/>
      <c r="FX83" s="70"/>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row>
    <row r="84" spans="1:260" s="4" customFormat="1" ht="12.75" customHeight="1" x14ac:dyDescent="0.2">
      <c r="A84" s="1048" t="s">
        <v>1</v>
      </c>
      <c r="B84" s="3"/>
      <c r="C84" s="3"/>
      <c r="D84" s="3"/>
      <c r="E84" s="470"/>
      <c r="F84" s="15">
        <f t="shared" ref="F84:AK84" si="266">F20/F$7</f>
        <v>2.335648693195197E-2</v>
      </c>
      <c r="G84" s="15">
        <f t="shared" si="266"/>
        <v>2.802484429451373E-2</v>
      </c>
      <c r="H84" s="15">
        <f t="shared" si="266"/>
        <v>3.5836757734628015E-2</v>
      </c>
      <c r="I84" s="518">
        <f t="shared" si="266"/>
        <v>3.3970841929402064E-2</v>
      </c>
      <c r="J84" s="15">
        <f t="shared" si="266"/>
        <v>2.2828671600235183E-2</v>
      </c>
      <c r="K84" s="15">
        <f t="shared" si="266"/>
        <v>2.2540338032047941E-2</v>
      </c>
      <c r="L84" s="15">
        <f t="shared" si="266"/>
        <v>2.9512091835438899E-2</v>
      </c>
      <c r="M84" s="518">
        <f t="shared" si="266"/>
        <v>2.2896344257024862E-2</v>
      </c>
      <c r="N84" s="15">
        <f t="shared" si="266"/>
        <v>1.8320481998358069E-2</v>
      </c>
      <c r="O84" s="15">
        <f t="shared" si="266"/>
        <v>2.0529168353348719E-2</v>
      </c>
      <c r="P84" s="15">
        <f t="shared" si="266"/>
        <v>6.8553955415269511E-3</v>
      </c>
      <c r="Q84" s="518">
        <f t="shared" si="266"/>
        <v>1.6945860232115719E-2</v>
      </c>
      <c r="R84" s="15">
        <f t="shared" si="266"/>
        <v>1.3887514308602737E-2</v>
      </c>
      <c r="S84" s="15">
        <f t="shared" si="266"/>
        <v>2.1287037057691079E-2</v>
      </c>
      <c r="T84" s="15">
        <f t="shared" si="266"/>
        <v>3.3321290332382028E-2</v>
      </c>
      <c r="U84" s="518">
        <f t="shared" si="266"/>
        <v>4.4792671775424057E-2</v>
      </c>
      <c r="V84" s="15">
        <f t="shared" si="266"/>
        <v>2.0835923550712166E-2</v>
      </c>
      <c r="W84" s="15">
        <f t="shared" si="266"/>
        <v>4.002036949791668E-2</v>
      </c>
      <c r="X84" s="15">
        <f t="shared" si="266"/>
        <v>4.4254146594518658E-2</v>
      </c>
      <c r="Y84" s="518">
        <f t="shared" si="266"/>
        <v>5.5486786862382662E-2</v>
      </c>
      <c r="Z84" s="15">
        <f t="shared" si="266"/>
        <v>3.9967200895771021E-2</v>
      </c>
      <c r="AA84" s="15">
        <f t="shared" si="266"/>
        <v>4.1716791233659886E-2</v>
      </c>
      <c r="AB84" s="15">
        <f t="shared" si="266"/>
        <v>4.7504342142484127E-2</v>
      </c>
      <c r="AC84" s="518">
        <f t="shared" si="266"/>
        <v>6.8087419155590925E-2</v>
      </c>
      <c r="AD84" s="15">
        <f t="shared" si="266"/>
        <v>4.7412743047752809E-2</v>
      </c>
      <c r="AE84" s="15">
        <f t="shared" si="266"/>
        <v>4.8072508551920967E-2</v>
      </c>
      <c r="AF84" s="15">
        <f t="shared" si="266"/>
        <v>3.4300711667488291E-2</v>
      </c>
      <c r="AG84" s="518">
        <f t="shared" si="266"/>
        <v>6.3845759484400175E-2</v>
      </c>
      <c r="AH84" s="15">
        <f t="shared" si="266"/>
        <v>4.2466865025696514E-2</v>
      </c>
      <c r="AI84" s="15">
        <f t="shared" si="266"/>
        <v>5.1633045148895294E-2</v>
      </c>
      <c r="AJ84" s="15">
        <f t="shared" si="266"/>
        <v>4.3313708999158956E-2</v>
      </c>
      <c r="AK84" s="518">
        <f t="shared" si="266"/>
        <v>9.2836676217765049E-2</v>
      </c>
      <c r="AL84" s="15">
        <f t="shared" ref="AL84:BQ84" si="267">AL20/AL$7</f>
        <v>5.0928129462160875E-2</v>
      </c>
      <c r="AM84" s="15">
        <f t="shared" si="267"/>
        <v>4.6496539792387541E-2</v>
      </c>
      <c r="AN84" s="15">
        <f t="shared" si="267"/>
        <v>4.5605145195868252E-2</v>
      </c>
      <c r="AO84" s="518">
        <f t="shared" si="267"/>
        <v>9.4004864787523248E-2</v>
      </c>
      <c r="AP84" s="15">
        <f t="shared" si="267"/>
        <v>4.5415595544130251E-2</v>
      </c>
      <c r="AQ84" s="15">
        <f t="shared" si="267"/>
        <v>5.9488510007412898E-2</v>
      </c>
      <c r="AR84" s="15">
        <f t="shared" si="267"/>
        <v>4.8905835543766575E-2</v>
      </c>
      <c r="AS84" s="518">
        <f t="shared" si="267"/>
        <v>0.10190555095277548</v>
      </c>
      <c r="AT84" s="15">
        <f t="shared" si="267"/>
        <v>5.2381821500273776E-2</v>
      </c>
      <c r="AU84" s="15">
        <f t="shared" si="267"/>
        <v>5.6743421052631582E-2</v>
      </c>
      <c r="AV84" s="15">
        <f t="shared" si="267"/>
        <v>5.1000451331427714E-2</v>
      </c>
      <c r="AW84" s="518">
        <f t="shared" si="267"/>
        <v>0.10079115638885879</v>
      </c>
      <c r="AX84" s="15">
        <f t="shared" si="267"/>
        <v>5.6881333769205622E-2</v>
      </c>
      <c r="AY84" s="15">
        <f t="shared" si="267"/>
        <v>5.5804237541032531E-2</v>
      </c>
      <c r="AZ84" s="15">
        <f t="shared" si="267"/>
        <v>4.0899795501022497E-2</v>
      </c>
      <c r="BA84" s="518">
        <f t="shared" si="267"/>
        <v>0.10081361638455064</v>
      </c>
      <c r="BB84" s="15">
        <f t="shared" si="267"/>
        <v>6.5814053743353931E-2</v>
      </c>
      <c r="BC84" s="15">
        <f t="shared" si="267"/>
        <v>5.9844798106010788E-2</v>
      </c>
      <c r="BD84" s="15">
        <f t="shared" si="267"/>
        <v>3.7649002714504901E-2</v>
      </c>
      <c r="BE84" s="518">
        <f t="shared" si="267"/>
        <v>9.8922397085045355E-2</v>
      </c>
      <c r="BF84" s="15">
        <f t="shared" si="267"/>
        <v>5.0586602750094613E-2</v>
      </c>
      <c r="BG84" s="15">
        <f t="shared" si="267"/>
        <v>6.2285714285714285E-2</v>
      </c>
      <c r="BH84" s="15">
        <f t="shared" si="267"/>
        <v>4.9456083803384371E-2</v>
      </c>
      <c r="BI84" s="518">
        <f t="shared" si="267"/>
        <v>9.7182888657027872E-2</v>
      </c>
      <c r="BJ84" s="15">
        <f t="shared" si="267"/>
        <v>4.7830923248053395E-2</v>
      </c>
      <c r="BK84" s="15">
        <f t="shared" si="267"/>
        <v>5.0913172125293338E-2</v>
      </c>
      <c r="BL84" s="15">
        <f t="shared" si="267"/>
        <v>4.5478260869565218E-2</v>
      </c>
      <c r="BM84" s="518">
        <f t="shared" si="267"/>
        <v>9.2026623200217331E-2</v>
      </c>
      <c r="BN84" s="77">
        <f t="shared" si="267"/>
        <v>5.5968301139177813E-2</v>
      </c>
      <c r="BO84" s="77">
        <f t="shared" si="267"/>
        <v>4.6452549446561422E-2</v>
      </c>
      <c r="BP84" s="77">
        <f t="shared" si="267"/>
        <v>5.0482368596141053E-2</v>
      </c>
      <c r="BQ84" s="487">
        <f t="shared" si="267"/>
        <v>9.2369963148673961E-2</v>
      </c>
      <c r="BR84" s="15">
        <f t="shared" ref="BR84:CW84" si="268">BR20/BR$7</f>
        <v>5.1543524612960044E-2</v>
      </c>
      <c r="BS84" s="15">
        <f t="shared" si="268"/>
        <v>5.7236087838433723E-2</v>
      </c>
      <c r="BT84" s="15">
        <f t="shared" si="268"/>
        <v>5.3406223717409586E-2</v>
      </c>
      <c r="BU84" s="518">
        <f t="shared" si="268"/>
        <v>9.0674212598425202E-2</v>
      </c>
      <c r="BV84" s="15">
        <f t="shared" si="268"/>
        <v>4.7531992687385741E-2</v>
      </c>
      <c r="BW84" s="15">
        <f t="shared" si="268"/>
        <v>4.6532123028113159E-2</v>
      </c>
      <c r="BX84" s="15">
        <f t="shared" si="268"/>
        <v>4.6202165468220514E-2</v>
      </c>
      <c r="BY84" s="518">
        <f t="shared" si="268"/>
        <v>9.5971136500300661E-2</v>
      </c>
      <c r="BZ84" s="15">
        <f t="shared" si="268"/>
        <v>5.9265147500441616E-2</v>
      </c>
      <c r="CA84" s="15">
        <f t="shared" si="268"/>
        <v>5.7695835626490555E-2</v>
      </c>
      <c r="CB84" s="15">
        <f t="shared" si="268"/>
        <v>6.2016209816956561E-2</v>
      </c>
      <c r="CC84" s="518">
        <f t="shared" si="268"/>
        <v>9.0674971551775771E-2</v>
      </c>
      <c r="CD84" s="15">
        <f t="shared" si="268"/>
        <v>6.1570938517019967E-2</v>
      </c>
      <c r="CE84" s="15">
        <f t="shared" si="268"/>
        <v>4.5965364775239499E-2</v>
      </c>
      <c r="CF84" s="15">
        <f t="shared" si="268"/>
        <v>5.4912516823687751E-2</v>
      </c>
      <c r="CG84" s="518">
        <f t="shared" si="268"/>
        <v>8.5957651010737213E-2</v>
      </c>
      <c r="CH84" s="15">
        <f t="shared" si="268"/>
        <v>5.3919035314384155E-2</v>
      </c>
      <c r="CI84" s="15">
        <f t="shared" si="268"/>
        <v>3.3374419266142027E-2</v>
      </c>
      <c r="CJ84" s="15">
        <f t="shared" si="268"/>
        <v>2.5109271831116897E-2</v>
      </c>
      <c r="CK84" s="518">
        <f t="shared" si="268"/>
        <v>6.9056310214828553E-2</v>
      </c>
      <c r="CL84" s="15">
        <f t="shared" si="268"/>
        <v>6.189144895401523E-2</v>
      </c>
      <c r="CM84" s="15">
        <f t="shared" si="268"/>
        <v>4.3794838847842382E-2</v>
      </c>
      <c r="CN84" s="15">
        <f t="shared" si="268"/>
        <v>2.7502398464982411E-2</v>
      </c>
      <c r="CO84" s="518">
        <f t="shared" si="268"/>
        <v>7.2431781701444625E-2</v>
      </c>
      <c r="CP84" s="674">
        <f t="shared" si="268"/>
        <v>4.6370967741935484E-2</v>
      </c>
      <c r="CQ84" s="161">
        <f t="shared" si="268"/>
        <v>4.259216853675292E-2</v>
      </c>
      <c r="CR84" s="161">
        <f t="shared" si="268"/>
        <v>3.3393097265800087E-2</v>
      </c>
      <c r="CS84" s="518">
        <f t="shared" si="268"/>
        <v>5.6684491978609627E-2</v>
      </c>
      <c r="CT84" s="674">
        <f t="shared" si="268"/>
        <v>4.4218080796388469E-2</v>
      </c>
      <c r="CU84" s="70">
        <f t="shared" si="268"/>
        <v>4.7286913346731289E-2</v>
      </c>
      <c r="CV84" s="70">
        <f t="shared" si="268"/>
        <v>4.2183348095659878E-2</v>
      </c>
      <c r="CW84" s="487">
        <f t="shared" si="268"/>
        <v>6.9674150186501513E-2</v>
      </c>
      <c r="CX84" s="70">
        <f t="shared" ref="CX84:DE84" si="269">CX20/CX$7</f>
        <v>4.3351250292124326E-2</v>
      </c>
      <c r="CY84" s="70">
        <f t="shared" si="269"/>
        <v>5.1712007504690433E-2</v>
      </c>
      <c r="CZ84" s="70">
        <f t="shared" si="269"/>
        <v>4.6036965642363079E-2</v>
      </c>
      <c r="DA84" s="487">
        <f t="shared" si="269"/>
        <v>6.929457535051016E-2</v>
      </c>
      <c r="DB84" s="70">
        <f>DB20/DB$7</f>
        <v>4.7613407556555729E-2</v>
      </c>
      <c r="DC84" s="70">
        <f t="shared" si="269"/>
        <v>5.3322395406070547E-2</v>
      </c>
      <c r="DD84" s="70">
        <f t="shared" si="269"/>
        <v>5.3325880380100617E-2</v>
      </c>
      <c r="DE84" s="487">
        <f t="shared" si="269"/>
        <v>7.810413885180241E-2</v>
      </c>
      <c r="DF84" s="70">
        <f t="shared" ref="DF84:DM84" si="270">DF20/DF$7</f>
        <v>5.4057223264540336E-2</v>
      </c>
      <c r="DG84" s="70">
        <f t="shared" si="270"/>
        <v>5.5704697986577179E-2</v>
      </c>
      <c r="DH84" s="70">
        <f t="shared" si="270"/>
        <v>5.568669527896996E-2</v>
      </c>
      <c r="DI84" s="487">
        <f t="shared" si="270"/>
        <v>7.5831543318362296E-2</v>
      </c>
      <c r="DJ84" s="1673">
        <f t="shared" si="270"/>
        <v>5.0576271806173828E-2</v>
      </c>
      <c r="DK84" s="70">
        <f t="shared" si="270"/>
        <v>5.3291824966157468E-2</v>
      </c>
      <c r="DL84" s="70">
        <f t="shared" si="270"/>
        <v>5.5570844240221962E-2</v>
      </c>
      <c r="DM84" s="487">
        <f t="shared" si="270"/>
        <v>8.1034103113505132E-2</v>
      </c>
      <c r="DN84" s="674"/>
      <c r="DO84" s="470"/>
      <c r="DQ84" s="15">
        <f t="shared" ref="DQ84:FG84" si="271">DQ20/DQ$7</f>
        <v>7.0857133313291257E-2</v>
      </c>
      <c r="DR84" s="15">
        <f t="shared" si="271"/>
        <v>3.2068148688046701E-2</v>
      </c>
      <c r="DS84" s="15">
        <f t="shared" si="271"/>
        <v>3.0927381314217683E-2</v>
      </c>
      <c r="DT84" s="15">
        <f t="shared" si="271"/>
        <v>3.631276201618408E-2</v>
      </c>
      <c r="DU84" s="15">
        <f t="shared" si="271"/>
        <v>2.8231574419055768E-2</v>
      </c>
      <c r="DV84" s="15">
        <f t="shared" si="271"/>
        <v>3.0966169441062209E-2</v>
      </c>
      <c r="DW84" s="15">
        <f t="shared" si="271"/>
        <v>3.1321413006843365E-2</v>
      </c>
      <c r="DX84" s="15">
        <f t="shared" si="271"/>
        <v>3.3124521458929121E-2</v>
      </c>
      <c r="DY84" s="15">
        <f t="shared" si="271"/>
        <v>3.1599427823781383E-2</v>
      </c>
      <c r="DZ84" s="15">
        <f t="shared" si="271"/>
        <v>2.458191090695697E-2</v>
      </c>
      <c r="EA84" s="15">
        <f t="shared" si="271"/>
        <v>1.5449092441423675E-2</v>
      </c>
      <c r="EB84" s="15">
        <f t="shared" si="271"/>
        <v>3.0918409148772811E-2</v>
      </c>
      <c r="EC84" s="15">
        <f t="shared" si="271"/>
        <v>4.268495881524309E-2</v>
      </c>
      <c r="ED84" s="15">
        <f t="shared" si="271"/>
        <v>5.1928830289491225E-2</v>
      </c>
      <c r="EE84" s="15">
        <f t="shared" si="271"/>
        <v>5.0212216445833339E-2</v>
      </c>
      <c r="EF84" s="15">
        <f t="shared" si="271"/>
        <v>6.2560596009593308E-2</v>
      </c>
      <c r="EG84" s="15">
        <f t="shared" si="271"/>
        <v>6.3019192208536232E-2</v>
      </c>
      <c r="EH84" s="15">
        <f t="shared" si="271"/>
        <v>6.8812385414544708E-2</v>
      </c>
      <c r="EI84" s="15">
        <f t="shared" si="271"/>
        <v>6.9296103233332115E-2</v>
      </c>
      <c r="EJ84" s="15">
        <f t="shared" si="271"/>
        <v>6.8075726141078832E-2</v>
      </c>
      <c r="EK84" s="15">
        <f t="shared" si="271"/>
        <v>6.9794623476373358E-2</v>
      </c>
      <c r="EL84" s="15">
        <f t="shared" si="271"/>
        <v>6.8485620768058364E-2</v>
      </c>
      <c r="EM84" s="15">
        <f t="shared" si="271"/>
        <v>6.2356992113739865E-2</v>
      </c>
      <c r="EN84" s="15">
        <f t="shared" si="271"/>
        <v>6.4655692840181911E-2</v>
      </c>
      <c r="EO84" s="15">
        <f t="shared" si="271"/>
        <v>6.5921387651177596E-2</v>
      </c>
      <c r="EP84" s="15">
        <f t="shared" si="271"/>
        <v>6.2784224557001722E-2</v>
      </c>
      <c r="EQ84" s="15">
        <f t="shared" si="271"/>
        <v>7.0037273055188171E-2</v>
      </c>
      <c r="ER84" s="674">
        <f t="shared" si="271"/>
        <v>6.4826841989568548E-2</v>
      </c>
      <c r="ES84" s="161">
        <f t="shared" si="271"/>
        <v>4.8406924487616132E-2</v>
      </c>
      <c r="ET84" s="161">
        <f t="shared" si="271"/>
        <v>5.4308093994778067E-2</v>
      </c>
      <c r="EU84" s="161">
        <f t="shared" si="271"/>
        <v>7.39454827509788E-2</v>
      </c>
      <c r="EV84" s="161">
        <f t="shared" si="271"/>
        <v>5.3372666650140066E-2</v>
      </c>
      <c r="EW84" s="161">
        <f t="shared" si="271"/>
        <v>5.4695405788301961E-2</v>
      </c>
      <c r="EX84" s="70">
        <f t="shared" si="271"/>
        <v>6.0579143720021315E-2</v>
      </c>
      <c r="EY84" s="70">
        <f t="shared" si="271"/>
        <v>6.2703138715570206E-2</v>
      </c>
      <c r="EZ84" s="1673">
        <f t="shared" si="271"/>
        <v>6.3215315437998965E-2</v>
      </c>
      <c r="FA84" s="15">
        <f t="shared" si="271"/>
        <v>6.3697809964282856E-2</v>
      </c>
      <c r="FB84" s="15">
        <f t="shared" si="271"/>
        <v>6.4470799882215768E-2</v>
      </c>
      <c r="FC84" s="15">
        <f t="shared" si="271"/>
        <v>6.406901191763853E-2</v>
      </c>
      <c r="FD84" s="15">
        <f t="shared" si="271"/>
        <v>6.3674020544860099E-2</v>
      </c>
      <c r="FE84" s="15">
        <f t="shared" si="271"/>
        <v>6.3277688486530662E-2</v>
      </c>
      <c r="FF84" s="15">
        <f t="shared" si="271"/>
        <v>6.2879959406378361E-2</v>
      </c>
      <c r="FG84" s="15">
        <f t="shared" si="271"/>
        <v>6.2480776375304622E-2</v>
      </c>
      <c r="FH84" s="15">
        <f>FH20/FH$7</f>
        <v>6.2080082044813634E-2</v>
      </c>
      <c r="FI84" s="413"/>
      <c r="FJ84"/>
      <c r="FK84"/>
      <c r="FL84"/>
      <c r="FM84"/>
      <c r="FN84"/>
      <c r="FO84"/>
      <c r="FS84" s="70"/>
      <c r="FT84" s="70"/>
      <c r="FU84"/>
      <c r="FV84" s="70"/>
      <c r="FW84" s="70"/>
      <c r="FX84" s="70"/>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row>
    <row r="85" spans="1:260" s="4" customFormat="1" ht="12.75" customHeight="1" x14ac:dyDescent="0.2">
      <c r="A85" s="1048" t="s">
        <v>168</v>
      </c>
      <c r="B85" s="3"/>
      <c r="C85" s="3"/>
      <c r="D85" s="3"/>
      <c r="E85" s="470"/>
      <c r="F85" s="15">
        <f t="shared" ref="F85:AK85" si="272">F24/F$7</f>
        <v>5.533317635978338E-3</v>
      </c>
      <c r="G85" s="15">
        <f t="shared" si="272"/>
        <v>5.4641588045933652E-3</v>
      </c>
      <c r="H85" s="15">
        <f t="shared" si="272"/>
        <v>6.6754526914053255E-3</v>
      </c>
      <c r="I85" s="518">
        <f t="shared" si="272"/>
        <v>4.6684549571133849E-3</v>
      </c>
      <c r="J85" s="15">
        <f t="shared" si="272"/>
        <v>6.7594018525593694E-3</v>
      </c>
      <c r="K85" s="15">
        <f t="shared" si="272"/>
        <v>6.763979133618145E-3</v>
      </c>
      <c r="L85" s="15">
        <f t="shared" si="272"/>
        <v>6.8346847031297217E-3</v>
      </c>
      <c r="M85" s="518">
        <f t="shared" si="272"/>
        <v>4.6847991352573651E-3</v>
      </c>
      <c r="N85" s="15">
        <f t="shared" si="272"/>
        <v>7.5012949063758263E-3</v>
      </c>
      <c r="O85" s="15">
        <f t="shared" si="272"/>
        <v>7.5760131336301889E-3</v>
      </c>
      <c r="P85" s="15">
        <f t="shared" si="272"/>
        <v>7.4143486552245667E-3</v>
      </c>
      <c r="Q85" s="518">
        <f t="shared" si="272"/>
        <v>4.1315677934514287E-3</v>
      </c>
      <c r="R85" s="15">
        <f t="shared" si="272"/>
        <v>5.9381868362722379E-3</v>
      </c>
      <c r="S85" s="15">
        <f t="shared" si="272"/>
        <v>5.0356791530690318E-3</v>
      </c>
      <c r="T85" s="15">
        <f t="shared" si="272"/>
        <v>4.5581413455845947E-3</v>
      </c>
      <c r="U85" s="518">
        <f t="shared" si="272"/>
        <v>1.694893860515214E-3</v>
      </c>
      <c r="V85" s="15">
        <f t="shared" si="272"/>
        <v>1.287155324824867E-3</v>
      </c>
      <c r="W85" s="15">
        <f t="shared" si="272"/>
        <v>4.6377801839132392E-4</v>
      </c>
      <c r="X85" s="15">
        <f t="shared" si="272"/>
        <v>1.2798564634958055E-3</v>
      </c>
      <c r="Y85" s="518">
        <f t="shared" si="272"/>
        <v>-2.0630607951898565E-3</v>
      </c>
      <c r="Z85" s="15">
        <f t="shared" si="272"/>
        <v>-1.8499801503376119E-3</v>
      </c>
      <c r="AA85" s="15">
        <f t="shared" si="272"/>
        <v>-1.591579072745139E-3</v>
      </c>
      <c r="AB85" s="15">
        <f t="shared" si="272"/>
        <v>-1.4324162458079054E-3</v>
      </c>
      <c r="AC85" s="518">
        <f t="shared" si="272"/>
        <v>-2.3573366337436828E-3</v>
      </c>
      <c r="AD85" s="15">
        <f t="shared" si="272"/>
        <v>-2.8477743159099483E-3</v>
      </c>
      <c r="AE85" s="15">
        <f t="shared" si="272"/>
        <v>-2.8392283029221206E-3</v>
      </c>
      <c r="AF85" s="15">
        <f t="shared" si="272"/>
        <v>-2.0765899980707807E-3</v>
      </c>
      <c r="AG85" s="518">
        <f t="shared" si="272"/>
        <v>-2.1971583418778379E-3</v>
      </c>
      <c r="AH85" s="15">
        <f t="shared" si="272"/>
        <v>-2.7048958615093319E-4</v>
      </c>
      <c r="AI85" s="15">
        <f t="shared" si="272"/>
        <v>2.4015369836695487E-3</v>
      </c>
      <c r="AJ85" s="15">
        <f t="shared" si="272"/>
        <v>-6.3078216989066445E-4</v>
      </c>
      <c r="AK85" s="518">
        <f t="shared" si="272"/>
        <v>-7.1633237822349568E-4</v>
      </c>
      <c r="AL85" s="15">
        <f t="shared" ref="AL85:BQ85" si="273">AL24/AL$7</f>
        <v>-2.3798191337458352E-4</v>
      </c>
      <c r="AM85" s="15">
        <f t="shared" si="273"/>
        <v>4.3252595155709344E-4</v>
      </c>
      <c r="AN85" s="15">
        <f t="shared" si="273"/>
        <v>0</v>
      </c>
      <c r="AO85" s="518">
        <f t="shared" si="273"/>
        <v>-7.1540992988982689E-4</v>
      </c>
      <c r="AP85" s="15">
        <f t="shared" si="273"/>
        <v>4.2844901456726652E-4</v>
      </c>
      <c r="AQ85" s="15">
        <f t="shared" si="273"/>
        <v>5.559673832468495E-4</v>
      </c>
      <c r="AR85" s="15">
        <f t="shared" si="273"/>
        <v>6.6312997347480103E-4</v>
      </c>
      <c r="AS85" s="518">
        <f t="shared" si="273"/>
        <v>-1.1835720203574388E-4</v>
      </c>
      <c r="AT85" s="15">
        <f t="shared" si="273"/>
        <v>0</v>
      </c>
      <c r="AU85" s="15">
        <f t="shared" si="273"/>
        <v>-1.6447368421052631E-4</v>
      </c>
      <c r="AV85" s="15">
        <f t="shared" si="273"/>
        <v>-9.0266285542349933E-4</v>
      </c>
      <c r="AW85" s="518">
        <f t="shared" si="273"/>
        <v>6.5026552508941154E-4</v>
      </c>
      <c r="AX85" s="15">
        <f t="shared" si="273"/>
        <v>-2.1248774109186006E-3</v>
      </c>
      <c r="AY85" s="15">
        <f t="shared" si="273"/>
        <v>-2.6857654431512983E-3</v>
      </c>
      <c r="AZ85" s="15">
        <f t="shared" si="273"/>
        <v>-1.9086571233810498E-3</v>
      </c>
      <c r="BA85" s="518">
        <f t="shared" si="273"/>
        <v>-2.9926119891517814E-3</v>
      </c>
      <c r="BB85" s="15">
        <f t="shared" si="273"/>
        <v>-3.3050725678976864E-3</v>
      </c>
      <c r="BC85" s="15">
        <f t="shared" si="273"/>
        <v>-2.7620676048928055E-3</v>
      </c>
      <c r="BD85" s="15">
        <f t="shared" si="273"/>
        <v>-2.8325268499940991E-3</v>
      </c>
      <c r="BE85" s="518">
        <f t="shared" si="273"/>
        <v>-4.8840995426002011E-3</v>
      </c>
      <c r="BF85" s="15">
        <f t="shared" si="273"/>
        <v>-4.6675917749463862E-3</v>
      </c>
      <c r="BG85" s="15">
        <f t="shared" si="273"/>
        <v>1.1428571428571428E-4</v>
      </c>
      <c r="BH85" s="15">
        <f t="shared" si="273"/>
        <v>-9.0652699435938764E-4</v>
      </c>
      <c r="BI85" s="518">
        <f t="shared" si="273"/>
        <v>-1.6395886123118199E-3</v>
      </c>
      <c r="BJ85" s="15">
        <f t="shared" si="273"/>
        <v>-8.898776418242492E-4</v>
      </c>
      <c r="BK85" s="15">
        <f t="shared" si="273"/>
        <v>1.2243648607284971E-3</v>
      </c>
      <c r="BL85" s="15">
        <f t="shared" si="273"/>
        <v>3.3043478260869567E-3</v>
      </c>
      <c r="BM85" s="518">
        <f t="shared" si="273"/>
        <v>1.1545775604455311E-3</v>
      </c>
      <c r="BN85" s="77">
        <f t="shared" si="273"/>
        <v>1.3868251609707777E-3</v>
      </c>
      <c r="BO85" s="77">
        <f t="shared" si="273"/>
        <v>3.6291054255126111E-4</v>
      </c>
      <c r="BP85" s="77">
        <f t="shared" si="273"/>
        <v>9.9800399201596798E-4</v>
      </c>
      <c r="BQ85" s="487">
        <f t="shared" si="273"/>
        <v>6.041200990756962E-4</v>
      </c>
      <c r="BR85" s="15">
        <f t="shared" ref="BR85:CW85" si="274">BR24/BR$7</f>
        <v>1.0197459905441734E-3</v>
      </c>
      <c r="BS85" s="15">
        <f t="shared" si="274"/>
        <v>7.0552958814710295E-4</v>
      </c>
      <c r="BT85" s="15">
        <f t="shared" si="274"/>
        <v>1.009251471825063E-3</v>
      </c>
      <c r="BU85" s="518">
        <f t="shared" si="274"/>
        <v>3.0757874015748031E-4</v>
      </c>
      <c r="BV85" s="15">
        <f t="shared" si="274"/>
        <v>1.736745886654479E-3</v>
      </c>
      <c r="BW85" s="15">
        <f t="shared" si="274"/>
        <v>2.4676125848241827E-3</v>
      </c>
      <c r="BX85" s="15">
        <f t="shared" si="274"/>
        <v>2.3968923051491857E-3</v>
      </c>
      <c r="BY85" s="518">
        <f t="shared" si="274"/>
        <v>1.2627781118460613E-3</v>
      </c>
      <c r="BZ85" s="15">
        <f t="shared" si="274"/>
        <v>9.7155979508920681E-4</v>
      </c>
      <c r="CA85" s="15">
        <f t="shared" si="274"/>
        <v>1.375894331315355E-3</v>
      </c>
      <c r="CB85" s="15">
        <f t="shared" si="274"/>
        <v>9.1066387396411986E-4</v>
      </c>
      <c r="CC85" s="518">
        <f t="shared" si="274"/>
        <v>5.9890998382943047E-4</v>
      </c>
      <c r="CD85" s="15">
        <f t="shared" si="274"/>
        <v>9.6754331955317089E-4</v>
      </c>
      <c r="CE85" s="15">
        <f t="shared" si="274"/>
        <v>2.3028739867354459E-3</v>
      </c>
      <c r="CF85" s="15">
        <f t="shared" si="274"/>
        <v>3.3198743831314489E-3</v>
      </c>
      <c r="CG85" s="518">
        <f t="shared" si="274"/>
        <v>-2.6992981824725572E-3</v>
      </c>
      <c r="CH85" s="15">
        <f t="shared" si="274"/>
        <v>2.3255813953488372E-3</v>
      </c>
      <c r="CI85" s="15">
        <f t="shared" si="274"/>
        <v>2.2755285863278658E-3</v>
      </c>
      <c r="CJ85" s="15">
        <f t="shared" si="274"/>
        <v>1.6739514554077932E-3</v>
      </c>
      <c r="CK85" s="518">
        <f t="shared" si="274"/>
        <v>3.590449404583807E-4</v>
      </c>
      <c r="CL85" s="15">
        <f t="shared" si="274"/>
        <v>2.4101031524149234E-3</v>
      </c>
      <c r="CM85" s="15">
        <f t="shared" si="274"/>
        <v>2.5698682942499199E-3</v>
      </c>
      <c r="CN85" s="15">
        <f t="shared" si="274"/>
        <v>1.8121735422662829E-3</v>
      </c>
      <c r="CO85" s="518">
        <f t="shared" si="274"/>
        <v>1.6720171214553237E-3</v>
      </c>
      <c r="CP85" s="674">
        <f t="shared" si="274"/>
        <v>2.4641577060931898E-3</v>
      </c>
      <c r="CQ85" s="161">
        <f t="shared" si="274"/>
        <v>2.4043966109457294E-3</v>
      </c>
      <c r="CR85" s="161">
        <f t="shared" si="274"/>
        <v>1.7929179740026895E-3</v>
      </c>
      <c r="CS85" s="518">
        <f t="shared" si="274"/>
        <v>8.5561497326203204E-4</v>
      </c>
      <c r="CT85" s="674">
        <f t="shared" si="274"/>
        <v>1.9678203495774975E-3</v>
      </c>
      <c r="CU85" s="70">
        <f t="shared" si="274"/>
        <v>1.5368246837687671E-3</v>
      </c>
      <c r="CV85" s="70">
        <f t="shared" si="274"/>
        <v>2.7679362267493358E-3</v>
      </c>
      <c r="CW85" s="487">
        <f t="shared" si="274"/>
        <v>8.4453515377577596E-4</v>
      </c>
      <c r="CX85" s="70">
        <f t="shared" ref="CX85:DE85" si="275">CX24/CX$7</f>
        <v>1.5190465061930359E-3</v>
      </c>
      <c r="CY85" s="70">
        <f t="shared" si="275"/>
        <v>1.876172607879925E-3</v>
      </c>
      <c r="CZ85" s="70">
        <f t="shared" si="275"/>
        <v>1.9276561968477152E-3</v>
      </c>
      <c r="DA85" s="487">
        <f t="shared" si="275"/>
        <v>1.0276737869779049E-3</v>
      </c>
      <c r="DB85" s="70">
        <f>DB24/DB$7</f>
        <v>1.6581783726163685E-3</v>
      </c>
      <c r="DC85" s="70">
        <f t="shared" si="275"/>
        <v>1.1719207781553968E-3</v>
      </c>
      <c r="DD85" s="70">
        <f t="shared" si="275"/>
        <v>8.9435438792621576E-4</v>
      </c>
      <c r="DE85" s="487">
        <f t="shared" si="275"/>
        <v>5.933837709538644E-4</v>
      </c>
      <c r="DF85" s="70">
        <f t="shared" ref="DF85:DI86" si="276">DF24/DF$7</f>
        <v>9.3808630393996248E-4</v>
      </c>
      <c r="DG85" s="70">
        <f t="shared" ref="DG85" si="277">DG24/DG$7</f>
        <v>1.2304250559284117E-3</v>
      </c>
      <c r="DH85" s="70">
        <f t="shared" si="276"/>
        <v>7.510729613733906E-4</v>
      </c>
      <c r="DI85" s="487">
        <f t="shared" si="276"/>
        <v>-6.5091453492156483E-5</v>
      </c>
      <c r="DJ85" s="1673">
        <f t="shared" ref="DJ85:DK85" si="278">DJ24/DJ$7</f>
        <v>1.0245395713923925E-3</v>
      </c>
      <c r="DK85" s="70">
        <f t="shared" si="278"/>
        <v>7.5648277483660574E-4</v>
      </c>
      <c r="DL85" s="70">
        <f t="shared" ref="DL85:DM85" si="279">DL24/DL$7</f>
        <v>7.1824160223144846E-5</v>
      </c>
      <c r="DM85" s="487">
        <f t="shared" si="279"/>
        <v>1.1779699678426125E-3</v>
      </c>
      <c r="DN85" s="674"/>
      <c r="DO85" s="470"/>
      <c r="DQ85" s="15">
        <f t="shared" ref="DQ85:FG85" si="280">DQ24/DQ$7</f>
        <v>0</v>
      </c>
      <c r="DR85" s="15">
        <f t="shared" si="280"/>
        <v>9.8145954810495619E-3</v>
      </c>
      <c r="DS85" s="15">
        <f t="shared" si="280"/>
        <v>1.0452480293048391E-2</v>
      </c>
      <c r="DT85" s="15">
        <f t="shared" si="280"/>
        <v>7.1638880764356046E-3</v>
      </c>
      <c r="DU85" s="15">
        <f t="shared" si="280"/>
        <v>5.3939168771236857E-3</v>
      </c>
      <c r="DV85" s="15">
        <f t="shared" si="280"/>
        <v>3.6732595311135302E-3</v>
      </c>
      <c r="DW85" s="15">
        <f t="shared" si="280"/>
        <v>2.3969461313672162E-3</v>
      </c>
      <c r="DX85" s="15">
        <f t="shared" si="280"/>
        <v>2.9269584178991492E-3</v>
      </c>
      <c r="DY85" s="15">
        <f t="shared" si="280"/>
        <v>5.4926082093034153E-3</v>
      </c>
      <c r="DZ85" s="15">
        <f t="shared" si="280"/>
        <v>6.040107678352143E-3</v>
      </c>
      <c r="EA85" s="15">
        <f t="shared" si="280"/>
        <v>6.4779376536142309E-3</v>
      </c>
      <c r="EB85" s="15">
        <f t="shared" si="280"/>
        <v>3.9488205104644637E-3</v>
      </c>
      <c r="EC85" s="15">
        <f t="shared" si="280"/>
        <v>-4.3220596134230612E-5</v>
      </c>
      <c r="ED85" s="15">
        <f t="shared" si="280"/>
        <v>-1.8657721376053175E-3</v>
      </c>
      <c r="EE85" s="15">
        <f t="shared" si="280"/>
        <v>-2.4263747483210369E-3</v>
      </c>
      <c r="EF85" s="15">
        <f t="shared" si="280"/>
        <v>5.1028218604888504E-5</v>
      </c>
      <c r="EG85" s="15">
        <f t="shared" si="280"/>
        <v>-1.9096724911677647E-4</v>
      </c>
      <c r="EH85" s="15">
        <f t="shared" si="280"/>
        <v>3.2593196170299448E-4</v>
      </c>
      <c r="EI85" s="15">
        <f t="shared" si="280"/>
        <v>-3.6452447781868553E-5</v>
      </c>
      <c r="EJ85" s="15">
        <f t="shared" si="280"/>
        <v>-2.4961099585062239E-3</v>
      </c>
      <c r="EK85" s="15">
        <f t="shared" si="280"/>
        <v>-3.6455724383592141E-3</v>
      </c>
      <c r="EL85" s="15">
        <f t="shared" si="280"/>
        <v>-1.6740374284786247E-3</v>
      </c>
      <c r="EM85" s="15">
        <f t="shared" si="280"/>
        <v>1.3106742197045429E-3</v>
      </c>
      <c r="EN85" s="15">
        <f t="shared" si="280"/>
        <v>8.0492614802591864E-4</v>
      </c>
      <c r="EO85" s="15">
        <f t="shared" si="280"/>
        <v>7.1610439210693824E-4</v>
      </c>
      <c r="EP85" s="15">
        <f t="shared" si="280"/>
        <v>1.9013642778736082E-3</v>
      </c>
      <c r="EQ85" s="15">
        <f t="shared" si="280"/>
        <v>9.2180674121277709E-4</v>
      </c>
      <c r="ER85" s="674">
        <f t="shared" si="280"/>
        <v>5.5954117623548691E-4</v>
      </c>
      <c r="ES85" s="161">
        <f t="shared" si="280"/>
        <v>1.5114568428689465E-3</v>
      </c>
      <c r="ET85" s="161">
        <f t="shared" si="280"/>
        <v>2.0660687932796003E-3</v>
      </c>
      <c r="EU85" s="161">
        <f t="shared" si="280"/>
        <v>1.7482947969761887E-3</v>
      </c>
      <c r="EV85" s="161">
        <f t="shared" si="280"/>
        <v>1.6609236718808102E-3</v>
      </c>
      <c r="EW85" s="161">
        <f t="shared" si="280"/>
        <v>1.5179113539769277E-3</v>
      </c>
      <c r="EX85" s="70">
        <f t="shared" si="280"/>
        <v>1.0151511306245717E-3</v>
      </c>
      <c r="EY85" s="70">
        <f t="shared" si="280"/>
        <v>5.9310573889112951E-4</v>
      </c>
      <c r="EZ85" s="1673">
        <f t="shared" si="280"/>
        <v>8.1117793015190239E-4</v>
      </c>
      <c r="FA85" s="15">
        <f t="shared" si="280"/>
        <v>7.5921518063690055E-4</v>
      </c>
      <c r="FB85" s="15">
        <f t="shared" si="280"/>
        <v>1.0992426365510162E-3</v>
      </c>
      <c r="FC85" s="15">
        <f t="shared" si="280"/>
        <v>1.7414189177155596E-3</v>
      </c>
      <c r="FD85" s="15">
        <f t="shared" si="280"/>
        <v>1.9945700332062947E-3</v>
      </c>
      <c r="FE85" s="15">
        <f t="shared" si="280"/>
        <v>1.9689228447264699E-3</v>
      </c>
      <c r="FF85" s="15">
        <f t="shared" si="280"/>
        <v>2.2743194020174661E-3</v>
      </c>
      <c r="FG85" s="15">
        <f t="shared" si="280"/>
        <v>2.5704205575215358E-3</v>
      </c>
      <c r="FH85" s="15">
        <f>FH24/FH$7</f>
        <v>2.5347215326669385E-3</v>
      </c>
      <c r="FI85" s="413"/>
      <c r="FJ85"/>
      <c r="FK85"/>
      <c r="FL85"/>
      <c r="FM85"/>
      <c r="FN85"/>
      <c r="FO85"/>
      <c r="FS85" s="70"/>
      <c r="FT85" s="70"/>
      <c r="FU85"/>
      <c r="FV85" s="70"/>
      <c r="FW85" s="70"/>
      <c r="FX85" s="70"/>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row>
    <row r="86" spans="1:260" s="4" customFormat="1" ht="12.75" customHeight="1" x14ac:dyDescent="0.2">
      <c r="A86" s="414" t="s">
        <v>169</v>
      </c>
      <c r="B86" s="3"/>
      <c r="C86" s="3"/>
      <c r="D86" s="3"/>
      <c r="E86" s="470"/>
      <c r="F86" s="15">
        <f t="shared" ref="F86:AK86" si="281">F25/F$7</f>
        <v>8.241111372733697E-3</v>
      </c>
      <c r="G86" s="15">
        <f t="shared" si="281"/>
        <v>1.3459469422571577E-2</v>
      </c>
      <c r="H86" s="15">
        <f t="shared" si="281"/>
        <v>2.1485015975600676E-2</v>
      </c>
      <c r="I86" s="518">
        <f t="shared" si="281"/>
        <v>2.3357168646266177E-2</v>
      </c>
      <c r="J86" s="15">
        <f t="shared" si="281"/>
        <v>6.05647426900645E-3</v>
      </c>
      <c r="K86" s="15">
        <f t="shared" si="281"/>
        <v>6.5908112532695601E-3</v>
      </c>
      <c r="L86" s="15">
        <f t="shared" si="281"/>
        <v>1.5239905933673624E-2</v>
      </c>
      <c r="M86" s="518">
        <f t="shared" si="281"/>
        <v>1.2565403150533233E-2</v>
      </c>
      <c r="N86" s="15">
        <f t="shared" si="281"/>
        <v>4.098500840466652E-4</v>
      </c>
      <c r="O86" s="15">
        <f t="shared" si="281"/>
        <v>3.490869428327356E-3</v>
      </c>
      <c r="P86" s="15">
        <f t="shared" si="281"/>
        <v>-8.9636750220691598E-3</v>
      </c>
      <c r="Q86" s="518">
        <f t="shared" si="281"/>
        <v>5.9556087555669157E-3</v>
      </c>
      <c r="R86" s="15">
        <f t="shared" si="281"/>
        <v>-2.691480071283117E-3</v>
      </c>
      <c r="S86" s="15">
        <f t="shared" si="281"/>
        <v>6.0762746458294069E-3</v>
      </c>
      <c r="T86" s="15">
        <f t="shared" si="281"/>
        <v>2.055602582867631E-2</v>
      </c>
      <c r="U86" s="518">
        <f t="shared" si="281"/>
        <v>3.645143781976478E-2</v>
      </c>
      <c r="V86" s="15">
        <f t="shared" si="281"/>
        <v>1.0466971697543832E-2</v>
      </c>
      <c r="W86" s="15">
        <f t="shared" si="281"/>
        <v>3.0961544996110694E-2</v>
      </c>
      <c r="X86" s="15">
        <f t="shared" si="281"/>
        <v>3.4921224634067424E-2</v>
      </c>
      <c r="Y86" s="518">
        <f t="shared" si="281"/>
        <v>5.1191974606702002E-2</v>
      </c>
      <c r="Z86" s="15">
        <f t="shared" si="281"/>
        <v>3.1907860675911379E-2</v>
      </c>
      <c r="AA86" s="15">
        <f t="shared" si="281"/>
        <v>3.4944019295476879E-2</v>
      </c>
      <c r="AB86" s="15">
        <f t="shared" si="281"/>
        <v>4.0883560424891212E-2</v>
      </c>
      <c r="AC86" s="518">
        <f t="shared" si="281"/>
        <v>6.1543150431730274E-2</v>
      </c>
      <c r="AD86" s="15">
        <f t="shared" si="281"/>
        <v>3.946326877253499E-2</v>
      </c>
      <c r="AE86" s="15">
        <f t="shared" si="281"/>
        <v>3.9236759392282688E-2</v>
      </c>
      <c r="AF86" s="15">
        <f t="shared" si="281"/>
        <v>2.4855576514972801E-2</v>
      </c>
      <c r="AG86" s="518">
        <f t="shared" si="281"/>
        <v>5.633880181631757E-2</v>
      </c>
      <c r="AH86" s="15">
        <f t="shared" si="281"/>
        <v>2.4614552339734919E-2</v>
      </c>
      <c r="AI86" s="15">
        <f t="shared" si="281"/>
        <v>3.3141210374639768E-2</v>
      </c>
      <c r="AJ86" s="15">
        <f t="shared" si="281"/>
        <v>2.7754415475189236E-2</v>
      </c>
      <c r="AK86" s="518">
        <f t="shared" si="281"/>
        <v>8.2378223495702008E-2</v>
      </c>
      <c r="AL86" s="15">
        <f t="shared" ref="AL86:BQ86" si="282">AL25/AL$7</f>
        <v>3.093764873869586E-2</v>
      </c>
      <c r="AM86" s="15">
        <f t="shared" si="282"/>
        <v>2.7465397923875434E-2</v>
      </c>
      <c r="AN86" s="15">
        <f t="shared" si="282"/>
        <v>2.7285129604365622E-2</v>
      </c>
      <c r="AO86" s="518">
        <f t="shared" si="282"/>
        <v>8.8281585348404634E-2</v>
      </c>
      <c r="AP86" s="15">
        <f t="shared" si="282"/>
        <v>2.3993144815766924E-2</v>
      </c>
      <c r="AQ86" s="15">
        <f t="shared" si="282"/>
        <v>4.1882876204595999E-2</v>
      </c>
      <c r="AR86" s="15">
        <f t="shared" si="282"/>
        <v>3.282493368700265E-2</v>
      </c>
      <c r="AS86" s="518">
        <f t="shared" si="282"/>
        <v>8.9951473547165345E-2</v>
      </c>
      <c r="AT86" s="15">
        <f t="shared" si="282"/>
        <v>3.3582770578572729E-2</v>
      </c>
      <c r="AU86" s="15">
        <f t="shared" si="282"/>
        <v>3.9967105263157894E-2</v>
      </c>
      <c r="AV86" s="15">
        <f t="shared" si="282"/>
        <v>3.5956070407702725E-2</v>
      </c>
      <c r="AW86" s="518">
        <f t="shared" si="282"/>
        <v>8.420938549907879E-2</v>
      </c>
      <c r="AX86" s="15">
        <f t="shared" si="282"/>
        <v>4.1189931350114416E-2</v>
      </c>
      <c r="AY86" s="15">
        <f t="shared" si="282"/>
        <v>4.1629364368845123E-2</v>
      </c>
      <c r="AZ86" s="15">
        <f t="shared" si="282"/>
        <v>2.7675528289025222E-2</v>
      </c>
      <c r="BA86" s="518">
        <f t="shared" si="282"/>
        <v>9.2303376040400259E-2</v>
      </c>
      <c r="BB86" s="15">
        <f t="shared" si="282"/>
        <v>5.173157062796379E-2</v>
      </c>
      <c r="BC86" s="15">
        <f t="shared" si="282"/>
        <v>4.6165987110351178E-2</v>
      </c>
      <c r="BD86" s="15">
        <f t="shared" si="282"/>
        <v>2.5964829458279239E-2</v>
      </c>
      <c r="BE86" s="518">
        <f t="shared" si="282"/>
        <v>9.2952942088533996E-2</v>
      </c>
      <c r="BF86" s="15">
        <f t="shared" si="282"/>
        <v>3.8223792102939323E-2</v>
      </c>
      <c r="BG86" s="15">
        <f t="shared" si="282"/>
        <v>4.5714285714285714E-2</v>
      </c>
      <c r="BH86" s="15">
        <f t="shared" si="282"/>
        <v>3.6261079774375503E-2</v>
      </c>
      <c r="BI86" s="518">
        <f t="shared" si="282"/>
        <v>8.6823669697421377E-2</v>
      </c>
      <c r="BJ86" s="15">
        <f t="shared" si="282"/>
        <v>3.1701890989988879E-2</v>
      </c>
      <c r="BK86" s="15">
        <f t="shared" si="282"/>
        <v>3.3363942454851546E-2</v>
      </c>
      <c r="BL86" s="15">
        <f t="shared" si="282"/>
        <v>2.0521739130434782E-2</v>
      </c>
      <c r="BM86" s="518">
        <f t="shared" si="282"/>
        <v>7.5183374083129584E-2</v>
      </c>
      <c r="BN86" s="77">
        <f t="shared" si="282"/>
        <v>3.3085685983159981E-2</v>
      </c>
      <c r="BO86" s="77">
        <f t="shared" si="282"/>
        <v>2.5040827436037017E-2</v>
      </c>
      <c r="BP86" s="77">
        <f t="shared" si="282"/>
        <v>3.0272787757817696E-2</v>
      </c>
      <c r="BQ86" s="487">
        <f t="shared" si="282"/>
        <v>7.6904488612336133E-2</v>
      </c>
      <c r="BR86" s="15">
        <f t="shared" ref="BR86:CW86" si="283">BR25/BR$7</f>
        <v>2.7996662649485492E-2</v>
      </c>
      <c r="BS86" s="15">
        <f t="shared" si="283"/>
        <v>3.5541053002910307E-2</v>
      </c>
      <c r="BT86" s="15">
        <f t="shared" si="283"/>
        <v>3.1370899915895714E-2</v>
      </c>
      <c r="BU86" s="518">
        <f t="shared" si="283"/>
        <v>7.5172244094488194E-2</v>
      </c>
      <c r="BV86" s="15">
        <f t="shared" si="283"/>
        <v>2.4223034734917732E-2</v>
      </c>
      <c r="BW86" s="15">
        <f t="shared" si="283"/>
        <v>2.3001674451396843E-2</v>
      </c>
      <c r="BX86" s="15">
        <f t="shared" si="283"/>
        <v>2.4712786180676089E-2</v>
      </c>
      <c r="BY86" s="518">
        <f t="shared" si="283"/>
        <v>8.0336740829825615E-2</v>
      </c>
      <c r="BZ86" s="15">
        <f t="shared" si="283"/>
        <v>3.6830948595654479E-2</v>
      </c>
      <c r="CA86" s="15">
        <f t="shared" si="283"/>
        <v>3.4489084571638233E-2</v>
      </c>
      <c r="CB86" s="15">
        <f t="shared" si="283"/>
        <v>3.8338949093889442E-2</v>
      </c>
      <c r="CC86" s="518">
        <f t="shared" si="283"/>
        <v>7.5282984967359412E-2</v>
      </c>
      <c r="CD86" s="15">
        <f t="shared" si="283"/>
        <v>3.9845193068871493E-2</v>
      </c>
      <c r="CE86" s="15">
        <f t="shared" si="283"/>
        <v>2.164701547531319E-2</v>
      </c>
      <c r="CF86" s="15">
        <f t="shared" si="283"/>
        <v>3.0865859129654553E-2</v>
      </c>
      <c r="CG86" s="518">
        <f t="shared" si="283"/>
        <v>7.4320676624077736E-2</v>
      </c>
      <c r="CH86" s="15">
        <f t="shared" si="283"/>
        <v>3.1180017226528856E-2</v>
      </c>
      <c r="CI86" s="15">
        <f t="shared" si="283"/>
        <v>9.4813691096994404E-3</v>
      </c>
      <c r="CJ86" s="15">
        <f t="shared" si="283"/>
        <v>2.7899190923463221E-3</v>
      </c>
      <c r="CK86" s="518">
        <f t="shared" si="283"/>
        <v>5.4933875890132246E-2</v>
      </c>
      <c r="CL86" s="15">
        <f t="shared" si="283"/>
        <v>3.6633567916706834E-2</v>
      </c>
      <c r="CM86" s="15">
        <f t="shared" si="283"/>
        <v>1.6811221758218226E-2</v>
      </c>
      <c r="CN86" s="15">
        <f t="shared" si="283"/>
        <v>2.0253704295917279E-3</v>
      </c>
      <c r="CO86" s="518">
        <f t="shared" si="283"/>
        <v>5.5377207062600318E-2</v>
      </c>
      <c r="CP86" s="674">
        <f t="shared" si="283"/>
        <v>2.0385304659498209E-2</v>
      </c>
      <c r="CQ86" s="161">
        <f t="shared" si="283"/>
        <v>1.9922143347836044E-2</v>
      </c>
      <c r="CR86" s="161">
        <f t="shared" si="283"/>
        <v>1.3334827431645001E-2</v>
      </c>
      <c r="CS86" s="518">
        <f t="shared" si="283"/>
        <v>4.3992869875222815E-2</v>
      </c>
      <c r="CT86" s="674">
        <f t="shared" si="283"/>
        <v>2.361384419492997E-2</v>
      </c>
      <c r="CU86" s="70">
        <f t="shared" si="283"/>
        <v>2.7071757891003665E-2</v>
      </c>
      <c r="CV86" s="70">
        <f t="shared" si="283"/>
        <v>2.1147032772364925E-2</v>
      </c>
      <c r="CW86" s="487">
        <f t="shared" si="283"/>
        <v>5.6724611161939616E-2</v>
      </c>
      <c r="CX86" s="70">
        <f t="shared" ref="CX86:DE86" si="284">CX25/CX$7</f>
        <v>2.2785697592895535E-2</v>
      </c>
      <c r="CY86" s="70">
        <f t="shared" si="284"/>
        <v>3.072232645403377E-2</v>
      </c>
      <c r="CZ86" s="70">
        <f t="shared" si="284"/>
        <v>2.5059530559020299E-2</v>
      </c>
      <c r="DA86" s="487">
        <f t="shared" si="284"/>
        <v>5.6301842472289511E-2</v>
      </c>
      <c r="DB86" s="70">
        <f>DB25/DB$7</f>
        <v>2.676773658652138E-2</v>
      </c>
      <c r="DC86" s="70">
        <f t="shared" si="284"/>
        <v>3.2813781788351107E-2</v>
      </c>
      <c r="DD86" s="70">
        <f t="shared" si="284"/>
        <v>3.4097261039686973E-2</v>
      </c>
      <c r="DE86" s="487">
        <f t="shared" si="284"/>
        <v>6.5420560747663545E-2</v>
      </c>
      <c r="DF86" s="70">
        <f t="shared" si="276"/>
        <v>3.4240150093808631E-2</v>
      </c>
      <c r="DG86" s="70">
        <f t="shared" ref="DG86" si="285">DG25/DG$7</f>
        <v>3.5682326621923936E-2</v>
      </c>
      <c r="DH86" s="70">
        <f t="shared" si="276"/>
        <v>3.6587982832618028E-2</v>
      </c>
      <c r="DI86" s="487">
        <f t="shared" si="276"/>
        <v>6.3984898782789817E-2</v>
      </c>
      <c r="DJ86" s="1673">
        <f t="shared" ref="DJ86:DK86" si="286">DJ25/DJ$7</f>
        <v>3.1951732234781441E-2</v>
      </c>
      <c r="DK86" s="70">
        <f t="shared" si="286"/>
        <v>3.4935342191320856E-2</v>
      </c>
      <c r="DL86" s="70">
        <f t="shared" ref="DL86:DM86" si="287">DL25/DL$7</f>
        <v>3.7899020079998819E-2</v>
      </c>
      <c r="DM86" s="487">
        <f t="shared" si="287"/>
        <v>6.2256133145662515E-2</v>
      </c>
      <c r="DN86" s="674"/>
      <c r="DO86" s="470"/>
      <c r="DQ86" s="15">
        <f t="shared" ref="DQ86:FG86" si="288">DQ25/DQ$7</f>
        <v>6.3988542606139565E-2</v>
      </c>
      <c r="DR86" s="15">
        <f t="shared" si="288"/>
        <v>1.0965287900874693E-2</v>
      </c>
      <c r="DS86" s="15">
        <f t="shared" si="288"/>
        <v>6.7757571929878604E-3</v>
      </c>
      <c r="DT86" s="15">
        <f t="shared" si="288"/>
        <v>1.8471287900945706E-2</v>
      </c>
      <c r="DU86" s="15">
        <f t="shared" si="288"/>
        <v>1.1115740580575451E-2</v>
      </c>
      <c r="DV86" s="15">
        <f t="shared" si="288"/>
        <v>1.6522676327213756E-2</v>
      </c>
      <c r="DW86" s="15">
        <f t="shared" si="288"/>
        <v>1.9768786983526996E-2</v>
      </c>
      <c r="DX86" s="15">
        <f t="shared" si="288"/>
        <v>2.2743132124898636E-2</v>
      </c>
      <c r="DY86" s="15">
        <f t="shared" si="288"/>
        <v>1.8513633283552062E-2</v>
      </c>
      <c r="DZ86" s="15">
        <f t="shared" si="288"/>
        <v>1.0940473058174145E-2</v>
      </c>
      <c r="EA86" s="15">
        <f t="shared" si="288"/>
        <v>3.6907952621403488E-4</v>
      </c>
      <c r="EB86" s="15">
        <f t="shared" si="288"/>
        <v>1.8405056978829833E-2</v>
      </c>
      <c r="EC86" s="15">
        <f t="shared" si="288"/>
        <v>3.4941815141834205E-2</v>
      </c>
      <c r="ED86" s="15">
        <f t="shared" si="288"/>
        <v>4.5027130172563316E-2</v>
      </c>
      <c r="EE86" s="15">
        <f t="shared" si="288"/>
        <v>4.1872972352781604E-2</v>
      </c>
      <c r="EF86" s="15">
        <f t="shared" si="288"/>
        <v>4.7762412614175638E-2</v>
      </c>
      <c r="EG86" s="15">
        <f t="shared" si="288"/>
        <v>4.8410197651102833E-2</v>
      </c>
      <c r="EH86" s="15">
        <f t="shared" si="288"/>
        <v>5.2800977795885107E-2</v>
      </c>
      <c r="EI86" s="15">
        <f t="shared" si="288"/>
        <v>5.2600882149236319E-2</v>
      </c>
      <c r="EJ86" s="15">
        <f t="shared" si="288"/>
        <v>5.5789678423236518E-2</v>
      </c>
      <c r="EK86" s="15">
        <f t="shared" si="288"/>
        <v>5.9275338119886459E-2</v>
      </c>
      <c r="EL86" s="15">
        <f t="shared" si="288"/>
        <v>5.5667990905229496E-2</v>
      </c>
      <c r="EM86" s="15">
        <f t="shared" si="288"/>
        <v>4.3429967788514941E-2</v>
      </c>
      <c r="EN86" s="15">
        <f t="shared" si="288"/>
        <v>4.521672636535598E-2</v>
      </c>
      <c r="EO86" s="15">
        <f t="shared" si="288"/>
        <v>4.5751113940165497E-2</v>
      </c>
      <c r="EP86" s="15">
        <f t="shared" si="288"/>
        <v>4.2359259840050179E-2</v>
      </c>
      <c r="EQ86" s="15">
        <f t="shared" si="288"/>
        <v>4.9517053424712437E-2</v>
      </c>
      <c r="ER86" s="674">
        <f t="shared" si="288"/>
        <v>4.5382786115385383E-2</v>
      </c>
      <c r="ES86" s="161">
        <f t="shared" si="288"/>
        <v>2.8415388645936197E-2</v>
      </c>
      <c r="ET86" s="161">
        <f t="shared" si="288"/>
        <v>3.1422408899988645E-2</v>
      </c>
      <c r="EU86" s="161">
        <f t="shared" si="288"/>
        <v>2.6889266454901382E-2</v>
      </c>
      <c r="EV86" s="161">
        <f t="shared" si="288"/>
        <v>3.544956493715759E-2</v>
      </c>
      <c r="EW86" s="161">
        <f t="shared" si="288"/>
        <v>3.6556365108277679E-2</v>
      </c>
      <c r="EX86" s="70">
        <f t="shared" si="288"/>
        <v>4.2966271603684998E-2</v>
      </c>
      <c r="EY86" s="70">
        <f t="shared" si="288"/>
        <v>4.5906384190173427E-2</v>
      </c>
      <c r="EZ86" s="1673">
        <f t="shared" si="288"/>
        <v>4.4804137507847064E-2</v>
      </c>
      <c r="FA86" s="15">
        <f t="shared" si="288"/>
        <v>4.533859478364595E-2</v>
      </c>
      <c r="FB86" s="15">
        <f t="shared" si="288"/>
        <v>4.5771557245664757E-2</v>
      </c>
      <c r="FC86" s="15">
        <f t="shared" si="288"/>
        <v>4.472759299992296E-2</v>
      </c>
      <c r="FD86" s="15">
        <f t="shared" si="288"/>
        <v>4.4079450511653809E-2</v>
      </c>
      <c r="FE86" s="15">
        <f t="shared" si="288"/>
        <v>4.3708765641804197E-2</v>
      </c>
      <c r="FF86" s="15">
        <f t="shared" si="288"/>
        <v>4.3005640004360898E-2</v>
      </c>
      <c r="FG86" s="15">
        <f t="shared" si="288"/>
        <v>4.2310355817783092E-2</v>
      </c>
      <c r="FH86" s="15">
        <f>FH25/FH$7</f>
        <v>4.1945360512146694E-2</v>
      </c>
      <c r="FI86" s="413"/>
      <c r="FJ86"/>
      <c r="FK86"/>
      <c r="FL86"/>
      <c r="FM86"/>
      <c r="FN86"/>
      <c r="FO86"/>
      <c r="FS86" s="70"/>
      <c r="FT86" s="70"/>
      <c r="FU86"/>
      <c r="FV86" s="70"/>
      <c r="FW86" s="70"/>
      <c r="FX86" s="70"/>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row>
    <row r="87" spans="1:260" s="4" customFormat="1" ht="12.75" customHeight="1" x14ac:dyDescent="0.2">
      <c r="A87" s="1048" t="s">
        <v>17</v>
      </c>
      <c r="B87" s="3"/>
      <c r="C87" s="3"/>
      <c r="D87" s="3"/>
      <c r="E87" s="470"/>
      <c r="F87" s="15">
        <f t="shared" ref="F87:AK87" si="289">F27/F$25</f>
        <v>0.39557142857142846</v>
      </c>
      <c r="G87" s="15">
        <f t="shared" si="289"/>
        <v>0.39490445859872725</v>
      </c>
      <c r="H87" s="15">
        <f t="shared" si="289"/>
        <v>0.38962830149644773</v>
      </c>
      <c r="I87" s="518">
        <f t="shared" si="289"/>
        <v>0.38195650739901943</v>
      </c>
      <c r="J87" s="15">
        <f t="shared" si="289"/>
        <v>0.39831606217615634</v>
      </c>
      <c r="K87" s="15">
        <f t="shared" si="289"/>
        <v>0.39706658225176378</v>
      </c>
      <c r="L87" s="15">
        <f t="shared" si="289"/>
        <v>0.39453098428678252</v>
      </c>
      <c r="M87" s="518">
        <f t="shared" si="289"/>
        <v>0.38723233322003558</v>
      </c>
      <c r="N87" s="15">
        <f t="shared" si="289"/>
        <v>0.39046199701945816</v>
      </c>
      <c r="O87" s="15">
        <f t="shared" si="289"/>
        <v>0.38991786116925981</v>
      </c>
      <c r="P87" s="15">
        <f t="shared" si="289"/>
        <v>0.39015172567109524</v>
      </c>
      <c r="Q87" s="518">
        <f t="shared" si="289"/>
        <v>0.39031542808097319</v>
      </c>
      <c r="R87" s="15">
        <f t="shared" si="289"/>
        <v>0.3896854764107342</v>
      </c>
      <c r="S87" s="15">
        <f t="shared" si="289"/>
        <v>0.38986784140969616</v>
      </c>
      <c r="T87" s="15">
        <f t="shared" si="289"/>
        <v>0.39031825950390414</v>
      </c>
      <c r="U87" s="518">
        <f t="shared" si="289"/>
        <v>0.38414628281215485</v>
      </c>
      <c r="V87" s="15">
        <f t="shared" si="289"/>
        <v>0.38503622652668734</v>
      </c>
      <c r="W87" s="15">
        <f t="shared" si="289"/>
        <v>0.3851869429160425</v>
      </c>
      <c r="X87" s="15">
        <f t="shared" si="289"/>
        <v>0.38484604779411707</v>
      </c>
      <c r="Y87" s="518">
        <f t="shared" si="289"/>
        <v>0.38499669343944404</v>
      </c>
      <c r="Z87" s="15">
        <f t="shared" si="289"/>
        <v>0.38501458338807598</v>
      </c>
      <c r="AA87" s="15">
        <f t="shared" si="289"/>
        <v>0.38148952940925845</v>
      </c>
      <c r="AB87" s="15">
        <f t="shared" si="289"/>
        <v>0.38295326631979099</v>
      </c>
      <c r="AC87" s="518">
        <f t="shared" si="289"/>
        <v>0.38311333722484808</v>
      </c>
      <c r="AD87" s="15">
        <f t="shared" si="289"/>
        <v>0.38304348569572028</v>
      </c>
      <c r="AE87" s="15">
        <f t="shared" si="289"/>
        <v>0.38279666741724866</v>
      </c>
      <c r="AF87" s="15">
        <f t="shared" si="289"/>
        <v>0.382695686857908</v>
      </c>
      <c r="AG87" s="518">
        <f t="shared" si="289"/>
        <v>0.3825154371140721</v>
      </c>
      <c r="AH87" s="15">
        <f t="shared" si="289"/>
        <v>0.39560439560439559</v>
      </c>
      <c r="AI87" s="15">
        <f t="shared" si="289"/>
        <v>0.38405797101449274</v>
      </c>
      <c r="AJ87" s="15">
        <f t="shared" si="289"/>
        <v>0.39393939393939392</v>
      </c>
      <c r="AK87" s="518">
        <f t="shared" si="289"/>
        <v>0.39130434782608697</v>
      </c>
      <c r="AL87" s="15">
        <f t="shared" ref="AL87:BQ87" si="290">AL27/AL$25</f>
        <v>0.3923076923076923</v>
      </c>
      <c r="AM87" s="15">
        <f t="shared" si="290"/>
        <v>0.37795275590551181</v>
      </c>
      <c r="AN87" s="15">
        <f t="shared" si="290"/>
        <v>0.38571428571428573</v>
      </c>
      <c r="AO87" s="518">
        <f t="shared" si="290"/>
        <v>0.3873581847649919</v>
      </c>
      <c r="AP87" s="15">
        <f t="shared" si="290"/>
        <v>0.38392857142857145</v>
      </c>
      <c r="AQ87" s="15">
        <f t="shared" si="290"/>
        <v>0.38296460176991148</v>
      </c>
      <c r="AR87" s="15">
        <f t="shared" si="290"/>
        <v>0.38383838383838381</v>
      </c>
      <c r="AS87" s="518">
        <f t="shared" si="290"/>
        <v>0.38289473684210529</v>
      </c>
      <c r="AT87" s="15">
        <f t="shared" si="290"/>
        <v>0.38100000000000001</v>
      </c>
      <c r="AU87" s="15">
        <f t="shared" si="290"/>
        <v>0.38098765432098763</v>
      </c>
      <c r="AV87" s="15">
        <f t="shared" si="290"/>
        <v>0.3807531380753138</v>
      </c>
      <c r="AW87" s="518">
        <f t="shared" si="290"/>
        <v>0.3281853281853282</v>
      </c>
      <c r="AX87" s="15">
        <f t="shared" si="290"/>
        <v>0.32539682539682541</v>
      </c>
      <c r="AY87" s="15">
        <f t="shared" si="290"/>
        <v>0.32616487455197135</v>
      </c>
      <c r="AZ87" s="15">
        <f t="shared" si="290"/>
        <v>0.32019704433497537</v>
      </c>
      <c r="BA87" s="518">
        <f t="shared" si="290"/>
        <v>0.3475177304964539</v>
      </c>
      <c r="BB87" s="15">
        <f t="shared" si="290"/>
        <v>0.35</v>
      </c>
      <c r="BC87" s="15">
        <f t="shared" si="290"/>
        <v>0.34472934472934474</v>
      </c>
      <c r="BD87" s="15">
        <f t="shared" si="290"/>
        <v>0.31818181818181818</v>
      </c>
      <c r="BE87" s="518">
        <f t="shared" si="290"/>
        <v>0.36280233527939948</v>
      </c>
      <c r="BF87" s="15">
        <f t="shared" si="290"/>
        <v>0.37293729372937295</v>
      </c>
      <c r="BG87" s="15">
        <f t="shared" si="290"/>
        <v>0.36</v>
      </c>
      <c r="BH87" s="15">
        <f t="shared" si="290"/>
        <v>0.35833333333333334</v>
      </c>
      <c r="BI87" s="518">
        <f t="shared" si="290"/>
        <v>0.3682403433476395</v>
      </c>
      <c r="BJ87" s="15">
        <f t="shared" si="290"/>
        <v>0.3719298245614035</v>
      </c>
      <c r="BK87" s="15">
        <f t="shared" si="290"/>
        <v>0.37308868501529052</v>
      </c>
      <c r="BL87" s="15">
        <f t="shared" si="290"/>
        <v>0.28813559322033899</v>
      </c>
      <c r="BM87" s="518">
        <f t="shared" si="290"/>
        <v>0.34146341463414637</v>
      </c>
      <c r="BN87" s="77">
        <f t="shared" si="290"/>
        <v>0.3772455089820359</v>
      </c>
      <c r="BO87" s="77">
        <f t="shared" si="290"/>
        <v>0.4311594202898551</v>
      </c>
      <c r="BP87" s="77">
        <f t="shared" si="290"/>
        <v>0.25549450549450547</v>
      </c>
      <c r="BQ87" s="487">
        <f t="shared" si="290"/>
        <v>0.36449332285938729</v>
      </c>
      <c r="BR87" s="15">
        <f t="shared" ref="BR87:DI87" si="291">BR27/BR$25</f>
        <v>0.40066225165562913</v>
      </c>
      <c r="BS87" s="15">
        <f t="shared" si="291"/>
        <v>0.36228287841191065</v>
      </c>
      <c r="BT87" s="15">
        <f t="shared" si="291"/>
        <v>0.35656836461126007</v>
      </c>
      <c r="BU87" s="518">
        <f t="shared" si="291"/>
        <v>0.25695581014729951</v>
      </c>
      <c r="BV87" s="15">
        <f t="shared" si="291"/>
        <v>0.37358490566037733</v>
      </c>
      <c r="BW87" s="15">
        <f t="shared" si="291"/>
        <v>0.37931034482758619</v>
      </c>
      <c r="BX87" s="15">
        <f t="shared" si="291"/>
        <v>0.36454849498327757</v>
      </c>
      <c r="BY87" s="518">
        <f t="shared" si="291"/>
        <v>0.27694610778443113</v>
      </c>
      <c r="BZ87" s="15">
        <f t="shared" si="291"/>
        <v>0.38369304556354916</v>
      </c>
      <c r="CA87" s="15">
        <f t="shared" si="291"/>
        <v>0.38563829787234044</v>
      </c>
      <c r="CB87" s="15">
        <f t="shared" si="291"/>
        <v>0.35154394299287411</v>
      </c>
      <c r="CC87" s="518">
        <f t="shared" si="291"/>
        <v>0.26571201272871919</v>
      </c>
      <c r="CD87" s="15">
        <f t="shared" si="291"/>
        <v>0.34216335540838855</v>
      </c>
      <c r="CE87" s="15">
        <f t="shared" si="291"/>
        <v>0.37021276595744679</v>
      </c>
      <c r="CF87" s="15">
        <f t="shared" si="291"/>
        <v>0.35465116279069769</v>
      </c>
      <c r="CG87" s="518">
        <f t="shared" si="291"/>
        <v>0.3527037933817595</v>
      </c>
      <c r="CH87" s="15">
        <f t="shared" si="291"/>
        <v>0.33149171270718231</v>
      </c>
      <c r="CI87" s="15">
        <f t="shared" si="291"/>
        <v>0.49</v>
      </c>
      <c r="CJ87" s="15">
        <f t="shared" si="291"/>
        <v>0.36666666666666664</v>
      </c>
      <c r="CK87" s="518">
        <f t="shared" si="291"/>
        <v>0.36274509803921567</v>
      </c>
      <c r="CL87" s="15">
        <f t="shared" si="291"/>
        <v>0.31315789473684208</v>
      </c>
      <c r="CM87" s="15">
        <f t="shared" si="291"/>
        <v>0.43312101910828027</v>
      </c>
      <c r="CN87" s="15">
        <f t="shared" si="291"/>
        <v>0.26315789473684209</v>
      </c>
      <c r="CO87" s="518">
        <f t="shared" si="291"/>
        <v>0.3671497584541063</v>
      </c>
      <c r="CP87" s="674">
        <f t="shared" si="291"/>
        <v>0.31318681318681318</v>
      </c>
      <c r="CQ87" s="161">
        <f t="shared" si="291"/>
        <v>0.40229885057471265</v>
      </c>
      <c r="CR87" s="161">
        <f t="shared" si="291"/>
        <v>0.42857142857142855</v>
      </c>
      <c r="CS87" s="518">
        <f t="shared" si="291"/>
        <v>0.31280388978930307</v>
      </c>
      <c r="CT87" s="674">
        <f t="shared" si="291"/>
        <v>0.39705882352941174</v>
      </c>
      <c r="CU87" s="70">
        <f t="shared" si="291"/>
        <v>0.35371179039301309</v>
      </c>
      <c r="CV87" s="70">
        <f t="shared" si="291"/>
        <v>0.36649214659685864</v>
      </c>
      <c r="CW87" s="487">
        <f t="shared" si="291"/>
        <v>0.34739454094292804</v>
      </c>
      <c r="CX87" s="70">
        <f t="shared" si="291"/>
        <v>0.36410256410256409</v>
      </c>
      <c r="CY87" s="70">
        <f t="shared" si="291"/>
        <v>0.37022900763358779</v>
      </c>
      <c r="CZ87" s="70">
        <f t="shared" si="291"/>
        <v>0.3755656108597285</v>
      </c>
      <c r="DA87" s="487">
        <f t="shared" si="291"/>
        <v>0.33767926988265973</v>
      </c>
      <c r="DB87" s="70">
        <f t="shared" si="291"/>
        <v>0.37610619469026546</v>
      </c>
      <c r="DC87" s="70">
        <f t="shared" si="291"/>
        <v>0.34642857142857142</v>
      </c>
      <c r="DD87" s="91">
        <f t="shared" si="291"/>
        <v>0.36721311475409835</v>
      </c>
      <c r="DE87" s="1569">
        <f t="shared" si="291"/>
        <v>0.30272108843537415</v>
      </c>
      <c r="DF87" s="52">
        <f t="shared" si="291"/>
        <v>0.35616438356164382</v>
      </c>
      <c r="DG87" s="52">
        <f t="shared" si="291"/>
        <v>0.32915360501567398</v>
      </c>
      <c r="DH87" s="52">
        <f t="shared" si="291"/>
        <v>0.30498533724340177</v>
      </c>
      <c r="DI87" s="1569">
        <f t="shared" si="291"/>
        <v>0.26958290946083419</v>
      </c>
      <c r="DJ87" s="2383">
        <v>0.22500000000000001</v>
      </c>
      <c r="DK87" s="1610">
        <v>0.26</v>
      </c>
      <c r="DL87" s="1610">
        <v>0.26</v>
      </c>
      <c r="DM87" s="2190">
        <v>0.25</v>
      </c>
      <c r="DN87" s="1225"/>
      <c r="DO87" s="518"/>
      <c r="DP87" s="15"/>
      <c r="DQ87" s="15">
        <f t="shared" ref="DQ87:EA87" si="292">DQ27/DQ$7</f>
        <v>3.3098673881818481E-2</v>
      </c>
      <c r="DR87" s="15">
        <f t="shared" si="292"/>
        <v>4.6601676384839643E-3</v>
      </c>
      <c r="DS87" s="15">
        <f t="shared" si="292"/>
        <v>2.7098291998405286E-3</v>
      </c>
      <c r="DT87" s="15">
        <f t="shared" si="292"/>
        <v>7.3900750706834351E-3</v>
      </c>
      <c r="DU87" s="15">
        <f t="shared" si="292"/>
        <v>4.286855298327525E-3</v>
      </c>
      <c r="DV87" s="15">
        <f t="shared" si="292"/>
        <v>6.195600263313011E-3</v>
      </c>
      <c r="DW87" s="15">
        <f t="shared" si="292"/>
        <v>7.5124476999070353E-3</v>
      </c>
      <c r="DX87" s="15">
        <f t="shared" si="292"/>
        <v>8.8700144418789213E-3</v>
      </c>
      <c r="DY87" s="15">
        <f t="shared" si="292"/>
        <v>7.1659834702023049E-3</v>
      </c>
      <c r="DZ87" s="15">
        <f t="shared" si="292"/>
        <v>4.2910064412204855E-3</v>
      </c>
      <c r="EA87" s="15">
        <f t="shared" si="292"/>
        <v>1.4413147467217492E-4</v>
      </c>
      <c r="EB87" s="15">
        <f t="shared" ref="EB87:EY87" si="293">EB27/EB$25</f>
        <v>0.38613301437272968</v>
      </c>
      <c r="EC87" s="15">
        <f t="shared" si="293"/>
        <v>0.38499816593066816</v>
      </c>
      <c r="ED87" s="15">
        <f t="shared" si="293"/>
        <v>0.38306344099400957</v>
      </c>
      <c r="EE87" s="15">
        <f t="shared" si="293"/>
        <v>0.38269221480002957</v>
      </c>
      <c r="EF87" s="15">
        <f t="shared" si="293"/>
        <v>0.39102564102564102</v>
      </c>
      <c r="EG87" s="15">
        <f t="shared" si="293"/>
        <v>0.38658777120315579</v>
      </c>
      <c r="EH87" s="15">
        <f t="shared" si="293"/>
        <v>0.38314043209876542</v>
      </c>
      <c r="EI87" s="15">
        <f t="shared" si="293"/>
        <v>0.35251836451836449</v>
      </c>
      <c r="EJ87" s="15">
        <f t="shared" si="293"/>
        <v>0.33759442184776295</v>
      </c>
      <c r="EK87" s="15">
        <f t="shared" si="293"/>
        <v>0.35305164319248827</v>
      </c>
      <c r="EL87" s="15">
        <f t="shared" si="293"/>
        <v>0.36579892280071813</v>
      </c>
      <c r="EM87" s="15">
        <f t="shared" si="293"/>
        <v>0.34475703324808182</v>
      </c>
      <c r="EN87" s="15">
        <f t="shared" si="293"/>
        <v>0.35692033822874947</v>
      </c>
      <c r="EO87" s="15">
        <f t="shared" si="293"/>
        <v>0.31043478260869567</v>
      </c>
      <c r="EP87" s="15">
        <f t="shared" si="293"/>
        <v>0.3132808884775567</v>
      </c>
      <c r="EQ87" s="15">
        <f t="shared" si="293"/>
        <v>0.31849453662484822</v>
      </c>
      <c r="ER87" s="674">
        <f t="shared" si="293"/>
        <v>0.35270805812417438</v>
      </c>
      <c r="ES87" s="161">
        <f t="shared" si="293"/>
        <v>0.36382978723404258</v>
      </c>
      <c r="ET87" s="161">
        <f t="shared" si="293"/>
        <v>0.3583815028901734</v>
      </c>
      <c r="EU87" s="161">
        <f t="shared" si="293"/>
        <v>0.33974358974358976</v>
      </c>
      <c r="EV87" s="161">
        <f t="shared" si="293"/>
        <v>0.35804195804195804</v>
      </c>
      <c r="EW87" s="161">
        <f t="shared" si="293"/>
        <v>0.35294117647058826</v>
      </c>
      <c r="EX87" s="70">
        <f t="shared" si="293"/>
        <v>0.33136444181925578</v>
      </c>
      <c r="EY87" s="70">
        <f t="shared" si="293"/>
        <v>0.29870801033591732</v>
      </c>
      <c r="EZ87" s="1673">
        <f t="shared" ref="EZ87" si="294">EZ27/EZ$25</f>
        <v>0.249864752683851</v>
      </c>
      <c r="FA87" s="1610">
        <f t="shared" ref="FA87:FH87" si="295">EZ87</f>
        <v>0.249864752683851</v>
      </c>
      <c r="FB87" s="1554">
        <f t="shared" si="295"/>
        <v>0.249864752683851</v>
      </c>
      <c r="FC87" s="1554">
        <f t="shared" si="295"/>
        <v>0.249864752683851</v>
      </c>
      <c r="FD87" s="1554">
        <f t="shared" si="295"/>
        <v>0.249864752683851</v>
      </c>
      <c r="FE87" s="1554">
        <f t="shared" si="295"/>
        <v>0.249864752683851</v>
      </c>
      <c r="FF87" s="1554">
        <f t="shared" si="295"/>
        <v>0.249864752683851</v>
      </c>
      <c r="FG87" s="1554">
        <f t="shared" si="295"/>
        <v>0.249864752683851</v>
      </c>
      <c r="FH87" s="1554">
        <f t="shared" si="295"/>
        <v>0.249864752683851</v>
      </c>
      <c r="FI87" s="674"/>
      <c r="FJ87"/>
      <c r="FK87"/>
      <c r="FL87"/>
      <c r="FM87"/>
      <c r="FN87"/>
      <c r="FO87"/>
      <c r="FS87" s="170"/>
      <c r="FT87" s="170"/>
      <c r="FU87"/>
      <c r="FV87" s="1606"/>
      <c r="FW87" s="1606"/>
      <c r="FX87" s="1606"/>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row>
    <row r="88" spans="1:260" s="4" customFormat="1" ht="12.75" customHeight="1" x14ac:dyDescent="0.2">
      <c r="A88" s="414" t="s">
        <v>3</v>
      </c>
      <c r="B88" s="3"/>
      <c r="C88" s="3"/>
      <c r="D88" s="3"/>
      <c r="E88" s="470"/>
      <c r="F88" s="15">
        <f t="shared" ref="F88:AK88" si="296">F30/F$7</f>
        <v>4.9811631740051829E-3</v>
      </c>
      <c r="G88" s="15">
        <f t="shared" si="296"/>
        <v>8.1442649372248238E-3</v>
      </c>
      <c r="H88" s="15">
        <f t="shared" si="296"/>
        <v>1.3113845693403341E-2</v>
      </c>
      <c r="I88" s="518">
        <f t="shared" si="296"/>
        <v>1.4435746087408465E-2</v>
      </c>
      <c r="J88" s="15">
        <f t="shared" si="296"/>
        <v>3.6440832875045859E-3</v>
      </c>
      <c r="K88" s="15">
        <f t="shared" si="296"/>
        <v>3.9738203546673522E-3</v>
      </c>
      <c r="L88" s="15">
        <f t="shared" si="296"/>
        <v>9.2272908452233921E-3</v>
      </c>
      <c r="M88" s="518">
        <f t="shared" si="296"/>
        <v>7.6996727707018629E-3</v>
      </c>
      <c r="N88" s="15">
        <f t="shared" si="296"/>
        <v>2.4981920175121152E-4</v>
      </c>
      <c r="O88" s="15">
        <f t="shared" si="296"/>
        <v>2.1297170872127966E-3</v>
      </c>
      <c r="P88" s="15">
        <f t="shared" si="296"/>
        <v>-5.4664817438539849E-3</v>
      </c>
      <c r="Q88" s="518">
        <f t="shared" si="296"/>
        <v>3.6310427746550238E-3</v>
      </c>
      <c r="R88" s="15">
        <f t="shared" si="296"/>
        <v>-1.6426493774551586E-3</v>
      </c>
      <c r="S88" s="15">
        <f t="shared" si="296"/>
        <v>3.7073305658474297E-3</v>
      </c>
      <c r="T88" s="15">
        <f t="shared" si="296"/>
        <v>1.2532633604910075E-2</v>
      </c>
      <c r="U88" s="518">
        <f t="shared" si="296"/>
        <v>2.2448753478143742E-2</v>
      </c>
      <c r="V88" s="15">
        <f t="shared" si="296"/>
        <v>6.4368084119599189E-3</v>
      </c>
      <c r="W88" s="15">
        <f t="shared" si="296"/>
        <v>1.9035562131101323E-2</v>
      </c>
      <c r="X88" s="15">
        <f t="shared" si="296"/>
        <v>2.1481929349516014E-2</v>
      </c>
      <c r="Y88" s="518">
        <f t="shared" si="296"/>
        <v>3.1483233652485752E-2</v>
      </c>
      <c r="Z88" s="15">
        <f t="shared" si="296"/>
        <v>1.9622868990970588E-2</v>
      </c>
      <c r="AA88" s="15">
        <f t="shared" si="296"/>
        <v>2.1613241818777357E-2</v>
      </c>
      <c r="AB88" s="15">
        <f t="shared" si="296"/>
        <v>2.522706742139658E-2</v>
      </c>
      <c r="AC88" s="518">
        <f t="shared" si="296"/>
        <v>3.7965148686499237E-2</v>
      </c>
      <c r="AD88" s="15">
        <f t="shared" si="296"/>
        <v>2.4347120744956121E-2</v>
      </c>
      <c r="AE88" s="15">
        <f t="shared" si="296"/>
        <v>2.4217058656664445E-2</v>
      </c>
      <c r="AF88" s="15">
        <f t="shared" si="296"/>
        <v>1.5343454588325998E-2</v>
      </c>
      <c r="AG88" s="518">
        <f t="shared" si="296"/>
        <v>3.4788340413065777E-2</v>
      </c>
      <c r="AH88" s="15">
        <f t="shared" si="296"/>
        <v>1.4876927238301325E-2</v>
      </c>
      <c r="AI88" s="15">
        <f t="shared" si="296"/>
        <v>2.0413064361191162E-2</v>
      </c>
      <c r="AJ88" s="15">
        <f t="shared" si="296"/>
        <v>1.6820857863751051E-2</v>
      </c>
      <c r="AK88" s="518">
        <f t="shared" si="296"/>
        <v>5.0143266475644696E-2</v>
      </c>
      <c r="AL88" s="15">
        <f t="shared" ref="AL88:BQ88" si="297">AL30/AL$7</f>
        <v>1.8800571156592099E-2</v>
      </c>
      <c r="AM88" s="15">
        <f t="shared" si="297"/>
        <v>1.7084775086505192E-2</v>
      </c>
      <c r="AN88" s="15">
        <f t="shared" si="297"/>
        <v>1.6760865328396025E-2</v>
      </c>
      <c r="AO88" s="518">
        <f t="shared" si="297"/>
        <v>5.4084990699670911E-2</v>
      </c>
      <c r="AP88" s="15">
        <f t="shared" si="297"/>
        <v>1.4781491002570694E-2</v>
      </c>
      <c r="AQ88" s="15">
        <f t="shared" si="297"/>
        <v>2.5843217197924387E-2</v>
      </c>
      <c r="AR88" s="15">
        <f t="shared" si="297"/>
        <v>2.0225464190981434E-2</v>
      </c>
      <c r="AS88" s="518">
        <f t="shared" si="297"/>
        <v>5.5509527754763879E-2</v>
      </c>
      <c r="AT88" s="15">
        <f t="shared" si="297"/>
        <v>2.0787734988136523E-2</v>
      </c>
      <c r="AU88" s="15">
        <f t="shared" si="297"/>
        <v>2.4740131578947371E-2</v>
      </c>
      <c r="AV88" s="15">
        <f t="shared" si="297"/>
        <v>2.2265683767112982E-2</v>
      </c>
      <c r="AW88" s="518">
        <f t="shared" si="297"/>
        <v>5.65731006827788E-2</v>
      </c>
      <c r="AX88" s="15">
        <f t="shared" si="297"/>
        <v>2.778685845047401E-2</v>
      </c>
      <c r="AY88" s="15">
        <f t="shared" si="297"/>
        <v>2.8051327961802448E-2</v>
      </c>
      <c r="AZ88" s="15">
        <f t="shared" si="297"/>
        <v>1.8813905930470349E-2</v>
      </c>
      <c r="BA88" s="518">
        <f t="shared" si="297"/>
        <v>6.0226316281679605E-2</v>
      </c>
      <c r="BB88" s="15">
        <f t="shared" si="297"/>
        <v>3.3625520908176464E-2</v>
      </c>
      <c r="BC88" s="15">
        <f t="shared" si="297"/>
        <v>3.0251216625016442E-2</v>
      </c>
      <c r="BD88" s="15">
        <f t="shared" si="297"/>
        <v>1.7703292812463117E-2</v>
      </c>
      <c r="BE88" s="518">
        <f t="shared" si="297"/>
        <v>5.9151872238157994E-2</v>
      </c>
      <c r="BF88" s="15">
        <f t="shared" si="297"/>
        <v>2.4221016778100166E-2</v>
      </c>
      <c r="BG88" s="15">
        <f t="shared" si="297"/>
        <v>2.8571428571428571E-2</v>
      </c>
      <c r="BH88" s="15">
        <f t="shared" si="297"/>
        <v>2.2965350523771154E-2</v>
      </c>
      <c r="BI88" s="518">
        <f t="shared" si="297"/>
        <v>5.4926218512445966E-2</v>
      </c>
      <c r="BJ88" s="15">
        <f t="shared" si="297"/>
        <v>1.9911012235817576E-2</v>
      </c>
      <c r="BK88" s="15">
        <f t="shared" si="297"/>
        <v>2.0610141822263034E-2</v>
      </c>
      <c r="BL88" s="15">
        <f t="shared" si="297"/>
        <v>1.4173913043478261E-2</v>
      </c>
      <c r="BM88" s="518">
        <f t="shared" si="297"/>
        <v>4.8492257538712308E-2</v>
      </c>
      <c r="BN88" s="77">
        <f t="shared" si="297"/>
        <v>2.0307082714214959E-2</v>
      </c>
      <c r="BO88" s="77">
        <f t="shared" si="297"/>
        <v>1.4334966430774814E-2</v>
      </c>
      <c r="BP88" s="77">
        <f t="shared" si="297"/>
        <v>1.8878908848968728E-2</v>
      </c>
      <c r="BQ88" s="487">
        <f t="shared" si="297"/>
        <v>4.706095571799674E-2</v>
      </c>
      <c r="BR88" s="15">
        <f t="shared" ref="BR88:CW88" si="298">BR30/BR$7</f>
        <v>1.4369148048576991E-2</v>
      </c>
      <c r="BS88" s="15">
        <f t="shared" si="298"/>
        <v>2.2400564423670517E-2</v>
      </c>
      <c r="BT88" s="15">
        <f t="shared" si="298"/>
        <v>1.8250630782169892E-2</v>
      </c>
      <c r="BU88" s="518">
        <f t="shared" si="298"/>
        <v>5.3703248031496065E-2</v>
      </c>
      <c r="BV88" s="15">
        <f t="shared" si="298"/>
        <v>1.2614259597806215E-2</v>
      </c>
      <c r="BW88" s="15">
        <f t="shared" si="298"/>
        <v>1.5775094738697454E-2</v>
      </c>
      <c r="BX88" s="15">
        <f t="shared" si="298"/>
        <v>1.421605091329862E-2</v>
      </c>
      <c r="BY88" s="518">
        <f t="shared" si="298"/>
        <v>5.2375225496091402E-2</v>
      </c>
      <c r="BZ88" s="15">
        <f t="shared" si="298"/>
        <v>1.987281399046105E-2</v>
      </c>
      <c r="CA88" s="15">
        <f t="shared" si="298"/>
        <v>1.9996330948449825E-2</v>
      </c>
      <c r="CB88" s="15">
        <f t="shared" si="298"/>
        <v>2.1946999362535288E-2</v>
      </c>
      <c r="CC88" s="518">
        <f t="shared" si="298"/>
        <v>5.2105168593160445E-2</v>
      </c>
      <c r="CD88" s="15">
        <f t="shared" si="298"/>
        <v>2.2781247251297387E-2</v>
      </c>
      <c r="CE88" s="15">
        <f t="shared" si="298"/>
        <v>1.3817243920412675E-2</v>
      </c>
      <c r="CF88" s="15">
        <f t="shared" si="298"/>
        <v>1.5522655899506506E-2</v>
      </c>
      <c r="CG88" s="518">
        <f t="shared" si="298"/>
        <v>4.6967788375022496E-2</v>
      </c>
      <c r="CH88" s="15">
        <f t="shared" si="298"/>
        <v>2.1188630490956071E-2</v>
      </c>
      <c r="CI88" s="15">
        <f t="shared" si="298"/>
        <v>6.4473309945956197E-3</v>
      </c>
      <c r="CJ88" s="15">
        <f t="shared" si="298"/>
        <v>9.2997303078210729E-4</v>
      </c>
      <c r="CK88" s="518">
        <f t="shared" si="298"/>
        <v>3.3151816168990482E-2</v>
      </c>
      <c r="CL88" s="15">
        <f t="shared" si="298"/>
        <v>2.5161476911211799E-2</v>
      </c>
      <c r="CM88" s="15">
        <f t="shared" si="298"/>
        <v>9.5299282578434515E-3</v>
      </c>
      <c r="CN88" s="15">
        <f t="shared" si="298"/>
        <v>1.4923782112781154E-3</v>
      </c>
      <c r="CO88" s="518">
        <f t="shared" si="298"/>
        <v>3.5045478865703583E-2</v>
      </c>
      <c r="CP88" s="674">
        <f t="shared" si="298"/>
        <v>1.4000896057347671E-2</v>
      </c>
      <c r="CQ88" s="161">
        <f t="shared" si="298"/>
        <v>1.1907487978016945E-2</v>
      </c>
      <c r="CR88" s="161">
        <f t="shared" si="298"/>
        <v>7.6199013895114302E-3</v>
      </c>
      <c r="CS88" s="518">
        <f t="shared" si="298"/>
        <v>3.0231729055258467E-2</v>
      </c>
      <c r="CT88" s="674">
        <f t="shared" si="298"/>
        <v>1.4237758999884246E-2</v>
      </c>
      <c r="CU88" s="70">
        <f t="shared" si="298"/>
        <v>1.7496157938290579E-2</v>
      </c>
      <c r="CV88" s="70">
        <f t="shared" si="298"/>
        <v>1.3396811337466785E-2</v>
      </c>
      <c r="CW88" s="487">
        <f t="shared" si="298"/>
        <v>3.7018790907171514E-2</v>
      </c>
      <c r="CX88" s="70">
        <f t="shared" ref="CX88:DE88" si="299">CX30/CX$7</f>
        <v>1.4489366674456649E-2</v>
      </c>
      <c r="CY88" s="70">
        <f t="shared" si="299"/>
        <v>1.9348030018761727E-2</v>
      </c>
      <c r="CZ88" s="70">
        <f t="shared" si="299"/>
        <v>1.5648032656763806E-2</v>
      </c>
      <c r="DA88" s="487">
        <f t="shared" si="299"/>
        <v>3.7289877413198266E-2</v>
      </c>
      <c r="DB88" s="70">
        <f>DB30/DB$7</f>
        <v>1.6700225038493426E-2</v>
      </c>
      <c r="DC88" s="70">
        <f t="shared" si="299"/>
        <v>2.144615024024376E-2</v>
      </c>
      <c r="DD88" s="70">
        <f t="shared" si="299"/>
        <v>2.1576299608719957E-2</v>
      </c>
      <c r="DE88" s="487">
        <f t="shared" si="299"/>
        <v>4.5616377392078328E-2</v>
      </c>
      <c r="DF88" s="70">
        <f t="shared" ref="DF88:DM88" si="300">DF30/DF$7</f>
        <v>2.2045028142589119E-2</v>
      </c>
      <c r="DG88" s="70">
        <f t="shared" si="300"/>
        <v>2.3937360178970916E-2</v>
      </c>
      <c r="DH88" s="70">
        <f t="shared" si="300"/>
        <v>2.5429184549356224E-2</v>
      </c>
      <c r="DI88" s="487">
        <f t="shared" si="300"/>
        <v>4.6735663607368354E-2</v>
      </c>
      <c r="DJ88" s="1673">
        <f t="shared" si="300"/>
        <v>2.4762592481955614E-2</v>
      </c>
      <c r="DK88" s="70">
        <f t="shared" si="300"/>
        <v>2.5852153221577433E-2</v>
      </c>
      <c r="DL88" s="70">
        <f t="shared" si="300"/>
        <v>2.8045274859199127E-2</v>
      </c>
      <c r="DM88" s="487">
        <f t="shared" si="300"/>
        <v>4.6692099859246883E-2</v>
      </c>
      <c r="DN88" s="674"/>
      <c r="DO88" s="470"/>
      <c r="DQ88" s="15">
        <f t="shared" ref="DQ88:FG88" si="301">DQ30/DQ$7</f>
        <v>3.0889868724321087E-2</v>
      </c>
      <c r="DR88" s="15">
        <f t="shared" si="301"/>
        <v>6.3051202623907281E-3</v>
      </c>
      <c r="DS88" s="15">
        <f t="shared" si="301"/>
        <v>4.0659279931473313E-3</v>
      </c>
      <c r="DT88" s="15">
        <f t="shared" si="301"/>
        <v>1.108121283026227E-2</v>
      </c>
      <c r="DU88" s="15">
        <f t="shared" si="301"/>
        <v>6.828885282247928E-3</v>
      </c>
      <c r="DV88" s="15">
        <f t="shared" si="301"/>
        <v>1.0327076063900745E-2</v>
      </c>
      <c r="DW88" s="15">
        <f t="shared" si="301"/>
        <v>1.2256339283619961E-2</v>
      </c>
      <c r="DX88" s="15">
        <f t="shared" si="301"/>
        <v>1.3873117683019716E-2</v>
      </c>
      <c r="DY88" s="15">
        <f t="shared" si="301"/>
        <v>1.1347649813349757E-2</v>
      </c>
      <c r="DZ88" s="15">
        <f t="shared" si="301"/>
        <v>6.6494666169536597E-3</v>
      </c>
      <c r="EA88" s="15">
        <f t="shared" si="301"/>
        <v>2.2494805154185993E-4</v>
      </c>
      <c r="EB88" s="15">
        <f t="shared" si="301"/>
        <v>1.1298256847892424E-2</v>
      </c>
      <c r="EC88" s="15">
        <f t="shared" si="301"/>
        <v>2.1489280397939587E-2</v>
      </c>
      <c r="ED88" s="15">
        <f t="shared" si="301"/>
        <v>2.7778882750576023E-2</v>
      </c>
      <c r="EE88" s="15">
        <f t="shared" si="301"/>
        <v>2.5848511822835204E-2</v>
      </c>
      <c r="EF88" s="15">
        <f t="shared" si="301"/>
        <v>2.9086084604786448E-2</v>
      </c>
      <c r="EG88" s="15">
        <f t="shared" si="301"/>
        <v>2.969540723765874E-2</v>
      </c>
      <c r="EH88" s="15">
        <f t="shared" si="301"/>
        <v>3.2570788347932374E-2</v>
      </c>
      <c r="EI88" s="15">
        <f t="shared" si="301"/>
        <v>3.4058105201764298E-2</v>
      </c>
      <c r="EJ88" s="15">
        <f t="shared" si="301"/>
        <v>3.695539419087137E-2</v>
      </c>
      <c r="EK88" s="15">
        <f t="shared" si="301"/>
        <v>3.832025379863082E-2</v>
      </c>
      <c r="EL88" s="15">
        <f t="shared" si="301"/>
        <v>3.5154785998051122E-2</v>
      </c>
      <c r="EM88" s="15">
        <f t="shared" si="301"/>
        <v>2.7946240142174832E-2</v>
      </c>
      <c r="EN88" s="15">
        <f t="shared" si="301"/>
        <v>2.7548597416187065E-2</v>
      </c>
      <c r="EO88" s="15">
        <f t="shared" si="301"/>
        <v>2.9817791215786125E-2</v>
      </c>
      <c r="EP88" s="15">
        <f t="shared" si="301"/>
        <v>2.6658303277403168E-2</v>
      </c>
      <c r="EQ88" s="15">
        <f t="shared" si="301"/>
        <v>3.1141036431405554E-2</v>
      </c>
      <c r="ER88" s="674">
        <f t="shared" si="301"/>
        <v>2.7277632341479986E-2</v>
      </c>
      <c r="ES88" s="161">
        <f t="shared" si="301"/>
        <v>1.7694121440519135E-2</v>
      </c>
      <c r="ET88" s="161">
        <f t="shared" si="301"/>
        <v>2.0161198773981155E-2</v>
      </c>
      <c r="EU88" s="161">
        <f t="shared" si="301"/>
        <v>1.7753810543941297E-2</v>
      </c>
      <c r="EV88" s="161">
        <f t="shared" si="301"/>
        <v>2.2757133295322144E-2</v>
      </c>
      <c r="EW88" s="161">
        <f t="shared" si="301"/>
        <v>2.3654118599473792E-2</v>
      </c>
      <c r="EX88" s="70">
        <f t="shared" si="301"/>
        <v>2.8728776996675379E-2</v>
      </c>
      <c r="EY88" s="70">
        <f t="shared" si="301"/>
        <v>3.2193779507010509E-2</v>
      </c>
      <c r="EZ88" s="1673">
        <f t="shared" ref="EZ88" si="302">EZ30/EZ$7</f>
        <v>3.3609162770235602E-2</v>
      </c>
      <c r="FA88" s="15">
        <f t="shared" si="301"/>
        <v>3.4010078010996918E-2</v>
      </c>
      <c r="FB88" s="15">
        <f t="shared" si="301"/>
        <v>3.4334858414522003E-2</v>
      </c>
      <c r="FC88" s="15">
        <f t="shared" si="301"/>
        <v>3.3551744036853265E-2</v>
      </c>
      <c r="FD88" s="15">
        <f t="shared" si="301"/>
        <v>3.3065549511119383E-2</v>
      </c>
      <c r="FE88" s="15">
        <f t="shared" si="301"/>
        <v>3.2787485724598386E-2</v>
      </c>
      <c r="FF88" s="15">
        <f t="shared" si="301"/>
        <v>3.2260046400660533E-2</v>
      </c>
      <c r="FG88" s="15">
        <f t="shared" si="301"/>
        <v>3.1738489225406986E-2</v>
      </c>
      <c r="FH88" s="15">
        <f>FH30/FH$7</f>
        <v>3.1464693381544194E-2</v>
      </c>
      <c r="FI88" s="413"/>
      <c r="FJ88"/>
      <c r="FK88"/>
      <c r="FL88"/>
      <c r="FM88"/>
      <c r="FN88"/>
      <c r="FO88"/>
      <c r="FS88" s="70"/>
      <c r="FT88" s="70"/>
      <c r="FU88"/>
      <c r="FV88" s="70"/>
      <c r="FW88" s="70"/>
      <c r="FX88" s="70"/>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row>
    <row r="89" spans="1:260" s="4" customFormat="1" ht="12.75" customHeight="1" x14ac:dyDescent="0.2">
      <c r="A89" s="414"/>
      <c r="B89" s="3"/>
      <c r="C89" s="3"/>
      <c r="D89" s="3"/>
      <c r="E89" s="470"/>
      <c r="I89" s="470"/>
      <c r="M89" s="470"/>
      <c r="Q89" s="470"/>
      <c r="U89" s="470"/>
      <c r="Y89" s="470"/>
      <c r="AC89" s="470"/>
      <c r="AG89" s="470"/>
      <c r="AK89" s="470"/>
      <c r="AO89" s="470"/>
      <c r="AS89" s="470"/>
      <c r="AW89" s="470"/>
      <c r="BA89" s="470"/>
      <c r="BE89" s="470"/>
      <c r="BF89" s="6"/>
      <c r="BG89" s="6"/>
      <c r="BI89" s="470"/>
      <c r="BM89" s="484"/>
      <c r="BN89" s="6"/>
      <c r="BO89" s="6"/>
      <c r="BP89" s="6"/>
      <c r="BQ89" s="484"/>
      <c r="BU89" s="470"/>
      <c r="BY89" s="470"/>
      <c r="CC89" s="470"/>
      <c r="CG89" s="470"/>
      <c r="CK89" s="470"/>
      <c r="CO89" s="470"/>
      <c r="CP89" s="413"/>
      <c r="CQ89" s="3"/>
      <c r="CR89" s="3"/>
      <c r="CS89" s="470"/>
      <c r="CT89" s="413"/>
      <c r="CU89" s="7"/>
      <c r="CV89" s="7"/>
      <c r="CW89" s="484"/>
      <c r="CX89" s="7"/>
      <c r="CY89" s="7"/>
      <c r="CZ89" s="7"/>
      <c r="DA89" s="484"/>
      <c r="DB89" s="7"/>
      <c r="DC89" s="7"/>
      <c r="DD89" s="7"/>
      <c r="DE89" s="484"/>
      <c r="DF89" s="7"/>
      <c r="DG89" s="7"/>
      <c r="DH89" s="7"/>
      <c r="DI89" s="484"/>
      <c r="DJ89" s="1671"/>
      <c r="DK89" s="7"/>
      <c r="DL89" s="7"/>
      <c r="DM89" s="484"/>
      <c r="DN89" s="413"/>
      <c r="DO89" s="470"/>
      <c r="EM89" s="6"/>
      <c r="ER89" s="413"/>
      <c r="ES89" s="3"/>
      <c r="ET89" s="3"/>
      <c r="EU89" s="3"/>
      <c r="EV89" s="3"/>
      <c r="EW89" s="3"/>
      <c r="EX89" s="7"/>
      <c r="EY89" s="7"/>
      <c r="EZ89" s="1671"/>
      <c r="FI89" s="413"/>
      <c r="FJ89"/>
      <c r="FK89"/>
      <c r="FL89"/>
      <c r="FM89"/>
      <c r="FN89"/>
      <c r="FO89"/>
      <c r="FS89" s="7"/>
      <c r="FT89" s="7"/>
      <c r="FU89"/>
      <c r="FV89" s="7"/>
      <c r="FW89" s="7"/>
      <c r="FX89" s="7"/>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row>
    <row r="90" spans="1:260" s="448" customFormat="1" ht="12.75" customHeight="1" x14ac:dyDescent="0.2">
      <c r="A90" s="447" t="s">
        <v>334</v>
      </c>
      <c r="B90" s="597"/>
      <c r="C90" s="597"/>
      <c r="D90" s="597"/>
      <c r="E90" s="609"/>
      <c r="F90" s="597"/>
      <c r="G90" s="597"/>
      <c r="H90" s="597"/>
      <c r="I90" s="609"/>
      <c r="J90" s="597"/>
      <c r="K90" s="597"/>
      <c r="L90" s="597"/>
      <c r="M90" s="609"/>
      <c r="N90" s="597"/>
      <c r="O90" s="597"/>
      <c r="P90" s="597"/>
      <c r="Q90" s="609"/>
      <c r="R90" s="597"/>
      <c r="S90" s="597"/>
      <c r="T90" s="597"/>
      <c r="U90" s="609"/>
      <c r="V90" s="597"/>
      <c r="W90" s="597"/>
      <c r="X90" s="597"/>
      <c r="Y90" s="609"/>
      <c r="Z90" s="597"/>
      <c r="AA90" s="597"/>
      <c r="AB90" s="597"/>
      <c r="AC90" s="609"/>
      <c r="AD90" s="597"/>
      <c r="AE90" s="597"/>
      <c r="AF90" s="597"/>
      <c r="AG90" s="609"/>
      <c r="AH90" s="597"/>
      <c r="AI90" s="597"/>
      <c r="AJ90" s="597"/>
      <c r="AK90" s="609"/>
      <c r="AL90" s="597"/>
      <c r="AM90" s="597"/>
      <c r="AN90" s="597"/>
      <c r="AO90" s="609"/>
      <c r="AP90" s="597"/>
      <c r="AQ90" s="597"/>
      <c r="AR90" s="597"/>
      <c r="AS90" s="609"/>
      <c r="AT90" s="597"/>
      <c r="AU90" s="597"/>
      <c r="AV90" s="597"/>
      <c r="AW90" s="609"/>
      <c r="AX90" s="597"/>
      <c r="AY90" s="597"/>
      <c r="AZ90" s="597"/>
      <c r="BA90" s="609"/>
      <c r="BB90" s="597"/>
      <c r="BC90" s="597"/>
      <c r="BD90" s="597"/>
      <c r="BE90" s="609"/>
      <c r="BF90" s="597"/>
      <c r="BG90" s="597"/>
      <c r="BH90" s="597"/>
      <c r="BI90" s="609"/>
      <c r="BJ90" s="597"/>
      <c r="BK90" s="597"/>
      <c r="BL90" s="597"/>
      <c r="BM90" s="609"/>
      <c r="BN90" s="597"/>
      <c r="BO90" s="597"/>
      <c r="BP90" s="597"/>
      <c r="BQ90" s="609"/>
      <c r="BR90" s="597"/>
      <c r="BS90" s="597"/>
      <c r="BT90" s="597"/>
      <c r="BU90" s="609"/>
      <c r="BV90" s="597"/>
      <c r="BW90" s="597"/>
      <c r="BX90" s="597"/>
      <c r="BY90" s="609"/>
      <c r="BZ90" s="597"/>
      <c r="CA90" s="597"/>
      <c r="CB90" s="597"/>
      <c r="CC90" s="609"/>
      <c r="CD90" s="597"/>
      <c r="CE90" s="597"/>
      <c r="CF90" s="597"/>
      <c r="CG90" s="609"/>
      <c r="CH90" s="597"/>
      <c r="CI90" s="597"/>
      <c r="CJ90" s="597"/>
      <c r="CK90" s="609"/>
      <c r="CL90" s="597"/>
      <c r="CM90" s="597"/>
      <c r="CN90" s="597"/>
      <c r="CO90" s="609"/>
      <c r="CP90" s="1066"/>
      <c r="CQ90" s="1228"/>
      <c r="CR90" s="1228"/>
      <c r="CS90" s="1228"/>
      <c r="CT90" s="1350"/>
      <c r="CU90" s="1350"/>
      <c r="CV90" s="1350"/>
      <c r="CW90" s="1350"/>
      <c r="CX90" s="2573"/>
      <c r="CY90" s="2180"/>
      <c r="CZ90" s="2180"/>
      <c r="DA90" s="2200"/>
      <c r="DB90" s="2181"/>
      <c r="DC90" s="2181"/>
      <c r="DD90" s="2181"/>
      <c r="DE90" s="2181"/>
      <c r="DF90" s="2181"/>
      <c r="DG90" s="2181"/>
      <c r="DH90" s="2181"/>
      <c r="DI90" s="2181"/>
      <c r="DJ90" s="2694"/>
      <c r="DK90" s="597"/>
      <c r="DL90" s="597"/>
      <c r="DM90" s="2200"/>
      <c r="DN90" s="671"/>
      <c r="DO90" s="535"/>
      <c r="DP90" s="449"/>
      <c r="DQ90" s="449"/>
      <c r="DR90" s="449"/>
      <c r="DS90" s="449"/>
      <c r="DT90" s="449"/>
      <c r="DU90" s="449"/>
      <c r="DV90" s="449"/>
      <c r="DW90" s="449"/>
      <c r="DX90" s="597"/>
      <c r="DY90" s="597"/>
      <c r="DZ90" s="597"/>
      <c r="EA90" s="597"/>
      <c r="EB90" s="597"/>
      <c r="EC90" s="597"/>
      <c r="ED90" s="597"/>
      <c r="EE90" s="597"/>
      <c r="EF90" s="597"/>
      <c r="EG90" s="597"/>
      <c r="EH90" s="597"/>
      <c r="EI90" s="597"/>
      <c r="EJ90" s="597"/>
      <c r="EK90" s="597"/>
      <c r="EL90" s="597"/>
      <c r="EM90" s="597"/>
      <c r="EN90" s="597"/>
      <c r="EO90" s="597"/>
      <c r="EP90" s="597"/>
      <c r="EQ90" s="597"/>
      <c r="ER90" s="1066"/>
      <c r="ES90" s="597"/>
      <c r="ET90" s="597"/>
      <c r="EU90" s="597"/>
      <c r="EV90" s="597"/>
      <c r="EW90" s="597"/>
      <c r="EX90" s="597"/>
      <c r="EY90" s="597"/>
      <c r="EZ90" s="1793"/>
      <c r="FA90" s="435"/>
      <c r="FB90" s="435"/>
      <c r="FC90" s="435"/>
      <c r="FD90" s="435"/>
      <c r="FE90" s="435"/>
      <c r="FF90" s="435"/>
      <c r="FG90" s="435"/>
      <c r="FH90" s="435"/>
      <c r="FI90" s="671"/>
      <c r="FJ90"/>
      <c r="FK90"/>
      <c r="FL90"/>
      <c r="FM90"/>
      <c r="FN90"/>
      <c r="FO90"/>
      <c r="FP90" s="6"/>
      <c r="FQ90" s="4"/>
      <c r="FR90" s="4"/>
      <c r="FS90" s="335"/>
      <c r="FT90" s="335"/>
      <c r="FU90"/>
      <c r="FV90" s="335"/>
      <c r="FW90" s="335"/>
      <c r="FX90" s="335"/>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row>
    <row r="91" spans="1:260" s="4" customFormat="1" ht="12.75" customHeight="1" x14ac:dyDescent="0.2">
      <c r="A91" s="401" t="s">
        <v>346</v>
      </c>
      <c r="B91" s="401"/>
      <c r="C91" s="401"/>
      <c r="D91" s="401"/>
      <c r="E91" s="469"/>
      <c r="F91" s="19">
        <f t="shared" ref="F91:O97" si="303">(F76-B76)*10000</f>
        <v>1400.9889333647279</v>
      </c>
      <c r="G91" s="19">
        <f t="shared" si="303"/>
        <v>1416.5019953449093</v>
      </c>
      <c r="H91" s="19">
        <f t="shared" si="303"/>
        <v>1360.9374525417618</v>
      </c>
      <c r="I91" s="19">
        <f t="shared" si="303"/>
        <v>1312.4470048189344</v>
      </c>
      <c r="J91" s="19">
        <f t="shared" si="303"/>
        <v>28.880311121489143</v>
      </c>
      <c r="K91" s="19">
        <f t="shared" si="303"/>
        <v>-49.094694058528511</v>
      </c>
      <c r="L91" s="19">
        <f t="shared" si="303"/>
        <v>-102.00470208653917</v>
      </c>
      <c r="M91" s="19">
        <f t="shared" si="303"/>
        <v>-90.271978300470735</v>
      </c>
      <c r="N91" s="19">
        <f t="shared" si="303"/>
        <v>-8.8316579962449673</v>
      </c>
      <c r="O91" s="19">
        <f t="shared" si="303"/>
        <v>47.527705235456963</v>
      </c>
      <c r="P91" s="19">
        <f t="shared" ref="P91:Y97" si="304">(P76-L76)*10000</f>
        <v>-19.631073197340783</v>
      </c>
      <c r="Q91" s="19">
        <f t="shared" si="304"/>
        <v>165.65092708819117</v>
      </c>
      <c r="R91" s="19">
        <f t="shared" si="304"/>
        <v>121.91374216377143</v>
      </c>
      <c r="S91" s="19">
        <f t="shared" si="304"/>
        <v>196.1923387216477</v>
      </c>
      <c r="T91" s="19">
        <f t="shared" si="304"/>
        <v>364.75958347815236</v>
      </c>
      <c r="U91" s="19">
        <f t="shared" si="304"/>
        <v>216.10673309112786</v>
      </c>
      <c r="V91" s="19">
        <f t="shared" si="304"/>
        <v>257.19859011875957</v>
      </c>
      <c r="W91" s="19">
        <f t="shared" si="304"/>
        <v>253.12712470415804</v>
      </c>
      <c r="X91" s="19">
        <f t="shared" si="304"/>
        <v>178.16895535108011</v>
      </c>
      <c r="Y91" s="19">
        <f t="shared" si="304"/>
        <v>176.66238915514776</v>
      </c>
      <c r="Z91" s="19">
        <f t="shared" ref="Z91:AI97" si="305">(Z76-V76)*10000</f>
        <v>136.61538695212249</v>
      </c>
      <c r="AA91" s="19">
        <f t="shared" si="305"/>
        <v>110.4053281644965</v>
      </c>
      <c r="AB91" s="19">
        <f t="shared" si="305"/>
        <v>117.68279624466749</v>
      </c>
      <c r="AC91" s="19">
        <f t="shared" si="305"/>
        <v>97.996640905111676</v>
      </c>
      <c r="AD91" s="19">
        <f t="shared" si="305"/>
        <v>106.59037116501069</v>
      </c>
      <c r="AE91" s="19">
        <f t="shared" si="305"/>
        <v>72.389729982115242</v>
      </c>
      <c r="AF91" s="19">
        <f t="shared" si="305"/>
        <v>-53.647658963151542</v>
      </c>
      <c r="AG91" s="19">
        <f t="shared" si="305"/>
        <v>164.76554118834724</v>
      </c>
      <c r="AH91" s="19">
        <f t="shared" si="305"/>
        <v>244.98622194725843</v>
      </c>
      <c r="AI91" s="19">
        <f t="shared" si="305"/>
        <v>229.60753242447674</v>
      </c>
      <c r="AJ91" s="19">
        <f t="shared" ref="AJ91:AS97" si="306">(AJ76-AF76)*10000</f>
        <v>315.21488212337994</v>
      </c>
      <c r="AK91" s="19">
        <f t="shared" si="306"/>
        <v>260.3676704203728</v>
      </c>
      <c r="AL91" s="19">
        <f t="shared" si="306"/>
        <v>281.86276560860756</v>
      </c>
      <c r="AM91" s="19">
        <f t="shared" si="306"/>
        <v>216.85505020791169</v>
      </c>
      <c r="AN91" s="19">
        <f t="shared" si="306"/>
        <v>274.69205061206316</v>
      </c>
      <c r="AO91" s="19">
        <f t="shared" si="306"/>
        <v>204.50228582697071</v>
      </c>
      <c r="AP91" s="19">
        <f t="shared" si="306"/>
        <v>-31.644253134448519</v>
      </c>
      <c r="AQ91" s="19">
        <f t="shared" si="306"/>
        <v>49.11205532228152</v>
      </c>
      <c r="AR91" s="19">
        <f t="shared" si="306"/>
        <v>27.355565354812704</v>
      </c>
      <c r="AS91" s="19">
        <f t="shared" si="306"/>
        <v>-83.088144481340834</v>
      </c>
      <c r="AT91" s="19">
        <f t="shared" ref="AT91:BC97" si="307">(AT76-AP76)*10000</f>
        <v>-145.78800758774656</v>
      </c>
      <c r="AU91" s="19">
        <f t="shared" si="307"/>
        <v>-124.86100815418844</v>
      </c>
      <c r="AV91" s="19">
        <f t="shared" si="307"/>
        <v>-142.17987492812028</v>
      </c>
      <c r="AW91" s="19">
        <f t="shared" si="307"/>
        <v>-72.261644763871317</v>
      </c>
      <c r="AX91" s="19">
        <f t="shared" si="307"/>
        <v>153.8114472083696</v>
      </c>
      <c r="AY91" s="19">
        <f t="shared" si="307"/>
        <v>135.2061050118586</v>
      </c>
      <c r="AZ91" s="19">
        <f t="shared" si="307"/>
        <v>116.27983533017499</v>
      </c>
      <c r="BA91" s="19">
        <f t="shared" si="307"/>
        <v>143.14801225338709</v>
      </c>
      <c r="BB91" s="19">
        <f t="shared" si="307"/>
        <v>-10.299902088451995</v>
      </c>
      <c r="BC91" s="19">
        <f t="shared" si="307"/>
        <v>-51.325175046539883</v>
      </c>
      <c r="BD91" s="19">
        <f t="shared" ref="BD91:BE97" si="308">(BD76-AZ76)*10000</f>
        <v>-83.089867803345925</v>
      </c>
      <c r="BE91" s="19">
        <f t="shared" si="308"/>
        <v>-87.311583414792509</v>
      </c>
      <c r="BF91" s="19">
        <f t="shared" ref="BF91:BY91" si="309">(BF76-BB76)*10000</f>
        <v>-149.5045871679379</v>
      </c>
      <c r="BG91" s="19">
        <f t="shared" si="309"/>
        <v>-57.07265928862698</v>
      </c>
      <c r="BH91" s="19">
        <f t="shared" si="309"/>
        <v>-0.58951537105167429</v>
      </c>
      <c r="BI91" s="19">
        <f t="shared" si="309"/>
        <v>-40.253576547586157</v>
      </c>
      <c r="BJ91" s="19">
        <f t="shared" si="309"/>
        <v>-14.14309916138251</v>
      </c>
      <c r="BK91" s="19">
        <f t="shared" si="309"/>
        <v>-15.227484075968912</v>
      </c>
      <c r="BL91" s="19">
        <f t="shared" si="309"/>
        <v>133.87765826997855</v>
      </c>
      <c r="BM91" s="19">
        <f t="shared" si="309"/>
        <v>92.148253051152764</v>
      </c>
      <c r="BN91" s="19">
        <f t="shared" si="309"/>
        <v>160.30083505915144</v>
      </c>
      <c r="BO91" s="19">
        <f t="shared" si="309"/>
        <v>5.7857960235024875</v>
      </c>
      <c r="BP91" s="19">
        <f t="shared" si="309"/>
        <v>-41.052966530706613</v>
      </c>
      <c r="BQ91" s="19">
        <f t="shared" si="309"/>
        <v>-58.022896266637922</v>
      </c>
      <c r="BR91" s="19">
        <f t="shared" si="309"/>
        <v>56.290676599559106</v>
      </c>
      <c r="BS91" s="19">
        <f t="shared" si="309"/>
        <v>138.28943224759581</v>
      </c>
      <c r="BT91" s="19">
        <f t="shared" si="309"/>
        <v>62.057829952654465</v>
      </c>
      <c r="BU91" s="19">
        <f t="shared" si="309"/>
        <v>37.744090385404824</v>
      </c>
      <c r="BV91" s="19">
        <f t="shared" si="309"/>
        <v>-59.063240351773793</v>
      </c>
      <c r="BW91" s="19">
        <f t="shared" si="309"/>
        <v>-42.353692904039121</v>
      </c>
      <c r="BX91" s="19">
        <f t="shared" si="309"/>
        <v>-75.572003358054531</v>
      </c>
      <c r="BY91" s="19">
        <f t="shared" si="309"/>
        <v>10.662458392715902</v>
      </c>
      <c r="BZ91" s="19"/>
      <c r="CA91" s="19"/>
      <c r="CB91" s="19"/>
      <c r="CC91" s="469"/>
      <c r="CD91" s="1877">
        <f t="shared" ref="CD91:CX91" si="310">(CD76-BZ76)*10000</f>
        <v>47.628019486478657</v>
      </c>
      <c r="CE91" s="1878">
        <f t="shared" si="310"/>
        <v>-47.969739652808371</v>
      </c>
      <c r="CF91" s="1878">
        <f t="shared" si="310"/>
        <v>-58.26630924845977</v>
      </c>
      <c r="CG91" s="1588">
        <f t="shared" si="310"/>
        <v>-53.877756770961959</v>
      </c>
      <c r="CH91" s="1877">
        <f t="shared" si="310"/>
        <v>-65.391336839399344</v>
      </c>
      <c r="CI91" s="1878">
        <f t="shared" si="310"/>
        <v>-113.19214081838392</v>
      </c>
      <c r="CJ91" s="1878">
        <f t="shared" si="310"/>
        <v>-154.98207079585546</v>
      </c>
      <c r="CK91" s="1588">
        <f t="shared" si="310"/>
        <v>-60.016027692054443</v>
      </c>
      <c r="CL91" s="1877">
        <f t="shared" ref="CL91:CO97" si="311">(CL76-CD76)*10000</f>
        <v>-78.184687495582438</v>
      </c>
      <c r="CM91" s="1878">
        <f t="shared" si="311"/>
        <v>-123.18509167070863</v>
      </c>
      <c r="CN91" s="1878">
        <f t="shared" si="311"/>
        <v>-184.87900359292709</v>
      </c>
      <c r="CO91" s="1588">
        <f t="shared" si="311"/>
        <v>-86.037060540824498</v>
      </c>
      <c r="CP91" s="1877">
        <f t="shared" si="310"/>
        <v>-133.33172227871725</v>
      </c>
      <c r="CQ91" s="1878">
        <f t="shared" si="310"/>
        <v>-6.3289210248296257</v>
      </c>
      <c r="CR91" s="1878">
        <f t="shared" si="310"/>
        <v>-29.652500063189756</v>
      </c>
      <c r="CS91" s="1588">
        <f t="shared" si="310"/>
        <v>-220.7596215197008</v>
      </c>
      <c r="CT91" s="1877">
        <f t="shared" si="310"/>
        <v>-80.866997457972602</v>
      </c>
      <c r="CU91" s="1878">
        <f t="shared" si="310"/>
        <v>-76.363302853919848</v>
      </c>
      <c r="CV91" s="1878">
        <f t="shared" si="310"/>
        <v>-46.866582049619744</v>
      </c>
      <c r="CW91" s="1878">
        <f t="shared" si="310"/>
        <v>113.23685911705932</v>
      </c>
      <c r="CX91" s="1878">
        <f t="shared" si="310"/>
        <v>13.370833814740358</v>
      </c>
      <c r="CY91" s="1878">
        <f>(CY76-CU76)*10000</f>
        <v>106.54956464766468</v>
      </c>
      <c r="CZ91" s="1878">
        <f t="shared" ref="CY91:DB97" si="312">(CZ76-CV76)*10000</f>
        <v>95.201187628249642</v>
      </c>
      <c r="DA91" s="1588">
        <f t="shared" si="312"/>
        <v>34.351228188892748</v>
      </c>
      <c r="DB91" s="1933">
        <f t="shared" si="312"/>
        <v>33.563815495395446</v>
      </c>
      <c r="DC91" s="1933">
        <f t="shared" ref="DC91:DC97" si="313">(DC76-CY76)*10000</f>
        <v>-28.386785087099188</v>
      </c>
      <c r="DD91" s="1933">
        <f t="shared" ref="DD91:DD97" si="314">(DD76-CZ76)*10000</f>
        <v>69.132965430918631</v>
      </c>
      <c r="DE91" s="1943">
        <f t="shared" ref="DE91:DE97" si="315">(DE76-DA76)*10000</f>
        <v>83.453658194287129</v>
      </c>
      <c r="DF91" s="1933">
        <f t="shared" ref="DF91:DG97" si="316">(DF76-DB76)*10000</f>
        <v>47.194585298744315</v>
      </c>
      <c r="DG91" s="1933">
        <f t="shared" si="316"/>
        <v>-8.2232396347278751</v>
      </c>
      <c r="DH91" s="1933">
        <f t="shared" ref="DH91:DM97" si="317">(DH76-DD76)*10000</f>
        <v>-16.476464421344428</v>
      </c>
      <c r="DI91" s="1943">
        <f t="shared" ref="DI91:DI97" si="318">(DI76-DE76)*10000</f>
        <v>-20.662408521088249</v>
      </c>
      <c r="DJ91" s="2695">
        <f t="shared" si="317"/>
        <v>-23.172939060988607</v>
      </c>
      <c r="DK91" s="1879">
        <f t="shared" si="317"/>
        <v>-13.809969372328423</v>
      </c>
      <c r="DL91" s="1879">
        <f t="shared" si="317"/>
        <v>-8.6251354464875192</v>
      </c>
      <c r="DM91" s="1588">
        <f t="shared" si="317"/>
        <v>4.2460106091668504</v>
      </c>
      <c r="DN91" s="1582"/>
      <c r="DO91" s="1581"/>
      <c r="DP91" s="1582"/>
      <c r="DQ91" s="1582">
        <f t="shared" ref="DQ91:EP91" si="319">(DQ76-DP76)*10000</f>
        <v>2514.9480575876005</v>
      </c>
      <c r="DR91" s="1582">
        <f t="shared" si="319"/>
        <v>-133.99871356427644</v>
      </c>
      <c r="DS91" s="1582">
        <f t="shared" si="319"/>
        <v>-90.480521861540652</v>
      </c>
      <c r="DT91" s="1582">
        <f t="shared" si="319"/>
        <v>56.045753250130446</v>
      </c>
      <c r="DU91" s="1582">
        <f t="shared" si="319"/>
        <v>-215.76699297267911</v>
      </c>
      <c r="DV91" s="1582">
        <f t="shared" si="319"/>
        <v>-183.19936216843524</v>
      </c>
      <c r="DW91" s="1582">
        <f t="shared" si="319"/>
        <v>-194.22811345453346</v>
      </c>
      <c r="DX91" s="1582">
        <f t="shared" si="319"/>
        <v>-233.54683965880167</v>
      </c>
      <c r="DY91" s="1582">
        <f t="shared" si="319"/>
        <v>-160.51810420418144</v>
      </c>
      <c r="DZ91" s="1582">
        <f t="shared" si="319"/>
        <v>-61.639297119766567</v>
      </c>
      <c r="EA91" s="1582">
        <f t="shared" si="319"/>
        <v>65.045563026726043</v>
      </c>
      <c r="EB91" s="1582">
        <f t="shared" si="319"/>
        <v>231.12583996535986</v>
      </c>
      <c r="EC91" s="1582">
        <f t="shared" si="319"/>
        <v>209.08090954848163</v>
      </c>
      <c r="ED91" s="1582">
        <f t="shared" si="319"/>
        <v>112.79101322497127</v>
      </c>
      <c r="EE91" s="1582">
        <f t="shared" si="319"/>
        <v>80.468578419139732</v>
      </c>
      <c r="EF91" s="1582">
        <f t="shared" si="319"/>
        <v>264.42231417836581</v>
      </c>
      <c r="EG91" s="1582">
        <f t="shared" si="319"/>
        <v>239.21120674204349</v>
      </c>
      <c r="EH91" s="1582">
        <f t="shared" si="319"/>
        <v>-17.789402570300982</v>
      </c>
      <c r="EI91" s="1582">
        <f t="shared" si="319"/>
        <v>-114.38540493594051</v>
      </c>
      <c r="EJ91" s="1582">
        <f t="shared" si="319"/>
        <v>136.95189831037595</v>
      </c>
      <c r="EK91" s="1582">
        <f t="shared" si="319"/>
        <v>-64.231151821215747</v>
      </c>
      <c r="EL91" s="1582">
        <f t="shared" si="319"/>
        <v>-55.178678838395669</v>
      </c>
      <c r="EM91" s="1582">
        <f t="shared" si="319"/>
        <v>58.057053715273312</v>
      </c>
      <c r="EN91" s="1582">
        <f t="shared" si="319"/>
        <v>3.7898852003920291</v>
      </c>
      <c r="EO91" s="1582">
        <f t="shared" si="319"/>
        <v>71.523873463970318</v>
      </c>
      <c r="EP91" s="1582">
        <f t="shared" si="319"/>
        <v>-36.924955433909055</v>
      </c>
      <c r="EQ91" s="1582">
        <f t="shared" ref="EQ91:EQ97" si="320">(EQ76-EN76)*10000</f>
        <v>62.943952107736564</v>
      </c>
      <c r="ER91" s="1582">
        <f t="shared" ref="ER91:ES97" si="321">(ER76-EQ76)*10000</f>
        <v>-30.15285071147289</v>
      </c>
      <c r="ES91" s="1582">
        <f t="shared" si="321"/>
        <v>-93.881583031661663</v>
      </c>
      <c r="ET91" s="1582">
        <f t="shared" ref="ET91:ET97" si="322">(ET76-ER76)*10000</f>
        <v>-114.45838388001478</v>
      </c>
      <c r="EU91" s="1582">
        <f t="shared" ref="EU91:FH91" si="323">(EU76-ET76)*10000</f>
        <v>-115.91764830694518</v>
      </c>
      <c r="EV91" s="1582">
        <f t="shared" si="323"/>
        <v>-6.6478040579934223</v>
      </c>
      <c r="EW91" s="1582">
        <f t="shared" si="323"/>
        <v>60.434739284222218</v>
      </c>
      <c r="EX91" s="1933">
        <f t="shared" si="323"/>
        <v>46.136009613590154</v>
      </c>
      <c r="EY91" s="1933">
        <f t="shared" si="323"/>
        <v>-6.3085931323972328</v>
      </c>
      <c r="EZ91" s="1794">
        <f t="shared" si="323"/>
        <v>-7.3042595410077737</v>
      </c>
      <c r="FA91" s="1582">
        <f t="shared" si="323"/>
        <v>-5.4638556018360429</v>
      </c>
      <c r="FB91" s="1582">
        <f t="shared" si="323"/>
        <v>2.7462416619028485</v>
      </c>
      <c r="FC91" s="1582">
        <f t="shared" si="323"/>
        <v>-4.5635308155625438</v>
      </c>
      <c r="FD91" s="1582">
        <f t="shared" si="323"/>
        <v>-4.5607857179433271</v>
      </c>
      <c r="FE91" s="1582">
        <f t="shared" si="323"/>
        <v>-4.5692523325477357</v>
      </c>
      <c r="FF91" s="1582">
        <f t="shared" si="323"/>
        <v>-4.5779928825925857</v>
      </c>
      <c r="FG91" s="1582">
        <f t="shared" si="323"/>
        <v>-4.5870062355440888</v>
      </c>
      <c r="FH91" s="1582">
        <f t="shared" si="323"/>
        <v>-4.596290214033405</v>
      </c>
      <c r="FI91" s="1583"/>
      <c r="FJ91"/>
      <c r="FK91"/>
      <c r="FL91"/>
      <c r="FM91"/>
      <c r="FN91"/>
      <c r="FO91"/>
      <c r="FS91" s="415"/>
      <c r="FT91" s="415"/>
      <c r="FU91"/>
      <c r="FV91" s="2634"/>
      <c r="FW91" s="2634"/>
      <c r="FX91" s="2634"/>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row>
    <row r="92" spans="1:260" s="4" customFormat="1" ht="12.75" customHeight="1" x14ac:dyDescent="0.2">
      <c r="A92" s="3" t="s">
        <v>91</v>
      </c>
      <c r="B92" s="3"/>
      <c r="C92" s="3"/>
      <c r="D92" s="3"/>
      <c r="E92" s="470"/>
      <c r="F92" s="415">
        <f t="shared" si="303"/>
        <v>162.7508935984888</v>
      </c>
      <c r="G92" s="415">
        <f t="shared" si="303"/>
        <v>154.58381275293917</v>
      </c>
      <c r="H92" s="415">
        <f t="shared" si="303"/>
        <v>130.38148123126413</v>
      </c>
      <c r="I92" s="482">
        <f t="shared" si="303"/>
        <v>100.97930976304383</v>
      </c>
      <c r="J92" s="415">
        <f t="shared" si="303"/>
        <v>30.50032984476595</v>
      </c>
      <c r="K92" s="415">
        <f t="shared" si="303"/>
        <v>22.701174661926594</v>
      </c>
      <c r="L92" s="415">
        <f t="shared" si="303"/>
        <v>13.165464180628257</v>
      </c>
      <c r="M92" s="482">
        <f t="shared" si="303"/>
        <v>7.9936385009842823</v>
      </c>
      <c r="N92" s="415">
        <f t="shared" si="303"/>
        <v>24.289966988730317</v>
      </c>
      <c r="O92" s="415">
        <f t="shared" si="303"/>
        <v>20.464102051412464</v>
      </c>
      <c r="P92" s="415">
        <f t="shared" si="304"/>
        <v>32.100476494331517</v>
      </c>
      <c r="Q92" s="482">
        <f t="shared" si="304"/>
        <v>34.364347096855084</v>
      </c>
      <c r="R92" s="415">
        <f t="shared" si="304"/>
        <v>23.119675307711578</v>
      </c>
      <c r="S92" s="415">
        <f t="shared" si="304"/>
        <v>32.378589847329408</v>
      </c>
      <c r="T92" s="415">
        <f t="shared" si="304"/>
        <v>9.9713252020417968</v>
      </c>
      <c r="U92" s="482">
        <f t="shared" si="304"/>
        <v>6.9815554163608731</v>
      </c>
      <c r="V92" s="415">
        <f t="shared" si="304"/>
        <v>-24.413818871896268</v>
      </c>
      <c r="W92" s="415">
        <f t="shared" si="304"/>
        <v>-25.470658653741243</v>
      </c>
      <c r="X92" s="415">
        <f t="shared" si="304"/>
        <v>6.1331410247343969</v>
      </c>
      <c r="Y92" s="482">
        <f t="shared" si="304"/>
        <v>1.068737275435848</v>
      </c>
      <c r="Z92" s="415">
        <f t="shared" si="305"/>
        <v>1.6053135257019722</v>
      </c>
      <c r="AA92" s="415">
        <f t="shared" si="305"/>
        <v>-20.770180511796543</v>
      </c>
      <c r="AB92" s="415">
        <f t="shared" si="305"/>
        <v>-14.705620629178254</v>
      </c>
      <c r="AC92" s="482">
        <f t="shared" si="305"/>
        <v>14.594328793257391</v>
      </c>
      <c r="AD92" s="415">
        <f t="shared" si="305"/>
        <v>-24.507751236254176</v>
      </c>
      <c r="AE92" s="415">
        <f t="shared" si="305"/>
        <v>25.17511997696311</v>
      </c>
      <c r="AF92" s="415">
        <f t="shared" si="305"/>
        <v>29.271427903120767</v>
      </c>
      <c r="AG92" s="482">
        <f t="shared" si="305"/>
        <v>15.555335192283284</v>
      </c>
      <c r="AH92" s="415">
        <f t="shared" si="305"/>
        <v>132.74041442401523</v>
      </c>
      <c r="AI92" s="415">
        <f t="shared" si="305"/>
        <v>80.45204856371123</v>
      </c>
      <c r="AJ92" s="415">
        <f t="shared" si="306"/>
        <v>84.991625036220029</v>
      </c>
      <c r="AK92" s="482">
        <f t="shared" si="306"/>
        <v>19.531545613993838</v>
      </c>
      <c r="AL92" s="415">
        <f t="shared" si="306"/>
        <v>-38.971360348701339</v>
      </c>
      <c r="AM92" s="415">
        <f t="shared" si="306"/>
        <v>-25.533653738414909</v>
      </c>
      <c r="AN92" s="415">
        <f t="shared" si="306"/>
        <v>-31.283292692802743</v>
      </c>
      <c r="AO92" s="482">
        <f t="shared" si="306"/>
        <v>-109.6809485437075</v>
      </c>
      <c r="AP92" s="415">
        <f t="shared" si="306"/>
        <v>-31.913850192132088</v>
      </c>
      <c r="AQ92" s="415">
        <f t="shared" si="306"/>
        <v>-56.72726704490632</v>
      </c>
      <c r="AR92" s="415">
        <f t="shared" si="306"/>
        <v>-72.609995506741456</v>
      </c>
      <c r="AS92" s="482">
        <f t="shared" si="306"/>
        <v>55.362784563655914</v>
      </c>
      <c r="AT92" s="415">
        <f t="shared" si="307"/>
        <v>-50.417123261551552</v>
      </c>
      <c r="AU92" s="415">
        <f t="shared" si="307"/>
        <v>-22.71289756027906</v>
      </c>
      <c r="AV92" s="415">
        <f t="shared" si="307"/>
        <v>-13.700958396685031</v>
      </c>
      <c r="AW92" s="482">
        <f t="shared" si="307"/>
        <v>26.795176400719289</v>
      </c>
      <c r="AX92" s="415">
        <f t="shared" si="307"/>
        <v>3.0529528393729093</v>
      </c>
      <c r="AY92" s="415">
        <f t="shared" si="307"/>
        <v>5.1850351902875405</v>
      </c>
      <c r="AZ92" s="415">
        <f t="shared" si="307"/>
        <v>-0.36286368490727472</v>
      </c>
      <c r="BA92" s="482">
        <f t="shared" si="307"/>
        <v>-14.994924878398292</v>
      </c>
      <c r="BB92" s="415">
        <f t="shared" si="307"/>
        <v>10.697082021672612</v>
      </c>
      <c r="BC92" s="415">
        <f t="shared" si="307"/>
        <v>10.297032884827757</v>
      </c>
      <c r="BD92" s="415">
        <f t="shared" si="308"/>
        <v>6.1319431212537854</v>
      </c>
      <c r="BE92" s="482">
        <f t="shared" si="308"/>
        <v>-1.3532491225163799</v>
      </c>
      <c r="BF92" s="415">
        <f t="shared" ref="BF92:BO97" si="324">(BF77-BB77)*10000</f>
        <v>-4.5610019006977334</v>
      </c>
      <c r="BG92" s="415">
        <f t="shared" si="324"/>
        <v>-6.1761045741053415</v>
      </c>
      <c r="BH92" s="415">
        <f t="shared" si="324"/>
        <v>-8.6386812693953559</v>
      </c>
      <c r="BI92" s="482">
        <f t="shared" si="324"/>
        <v>11.347487011835049</v>
      </c>
      <c r="BJ92" s="415">
        <f t="shared" si="324"/>
        <v>27.578717921336835</v>
      </c>
      <c r="BK92" s="415">
        <f t="shared" si="324"/>
        <v>27.71679498952226</v>
      </c>
      <c r="BL92" s="415">
        <f t="shared" si="324"/>
        <v>17.983959424242546</v>
      </c>
      <c r="BM92" s="482">
        <f t="shared" si="324"/>
        <v>28.098765491626416</v>
      </c>
      <c r="BN92" s="415">
        <f t="shared" si="324"/>
        <v>8.3066858681830897</v>
      </c>
      <c r="BO92" s="415">
        <f t="shared" si="324"/>
        <v>7.280064438474863</v>
      </c>
      <c r="BP92" s="415">
        <f t="shared" ref="BP92:BY97" si="325">(BP77-BL77)*10000</f>
        <v>20.943330729844625</v>
      </c>
      <c r="BQ92" s="482">
        <f t="shared" si="325"/>
        <v>6.5263478214129531</v>
      </c>
      <c r="BR92" s="415">
        <f t="shared" si="325"/>
        <v>-9.3967433039242323</v>
      </c>
      <c r="BS92" s="415">
        <f t="shared" si="325"/>
        <v>-8.8612194148011969E-2</v>
      </c>
      <c r="BT92" s="415">
        <f t="shared" si="325"/>
        <v>8.3808252034457347</v>
      </c>
      <c r="BU92" s="482">
        <f t="shared" si="325"/>
        <v>9.5796121797784082</v>
      </c>
      <c r="BV92" s="415">
        <f t="shared" si="325"/>
        <v>3.9736104154301439</v>
      </c>
      <c r="BW92" s="415">
        <f t="shared" si="325"/>
        <v>6.9121090481681291</v>
      </c>
      <c r="BX92" s="415">
        <f t="shared" si="325"/>
        <v>2.865330756060616</v>
      </c>
      <c r="BY92" s="482">
        <f t="shared" si="325"/>
        <v>1.6504633435527465</v>
      </c>
      <c r="CC92" s="470"/>
      <c r="CD92" s="970">
        <f t="shared" ref="CD92:CK97" si="326">(CD77-BZ77)*10000</f>
        <v>29.280169405794844</v>
      </c>
      <c r="CE92" s="415">
        <f t="shared" si="326"/>
        <v>32.663812149344302</v>
      </c>
      <c r="CF92" s="415">
        <f t="shared" si="326"/>
        <v>27.358909427386244</v>
      </c>
      <c r="CG92" s="482">
        <f t="shared" si="326"/>
        <v>-30.926527496067738</v>
      </c>
      <c r="CH92" s="970">
        <f t="shared" si="326"/>
        <v>5.9590507184367407</v>
      </c>
      <c r="CI92" s="415">
        <f t="shared" si="326"/>
        <v>-0.39306841817902949</v>
      </c>
      <c r="CJ92" s="415">
        <f t="shared" si="326"/>
        <v>1.447278387724342</v>
      </c>
      <c r="CK92" s="482">
        <f t="shared" si="326"/>
        <v>-5.6732366319423022</v>
      </c>
      <c r="CL92" s="970">
        <f t="shared" si="311"/>
        <v>37.481752742876338</v>
      </c>
      <c r="CM92" s="415">
        <f t="shared" si="311"/>
        <v>34.556616454726949</v>
      </c>
      <c r="CN92" s="415">
        <f t="shared" si="311"/>
        <v>40.20702961775504</v>
      </c>
      <c r="CO92" s="482">
        <f t="shared" si="311"/>
        <v>14.388557211126967</v>
      </c>
      <c r="CP92" s="970">
        <f t="shared" ref="CP92:CX97" si="327">(CP77-CL77)*10000</f>
        <v>-58.404601172754383</v>
      </c>
      <c r="CQ92" s="415">
        <f t="shared" si="327"/>
        <v>-62.414747267334896</v>
      </c>
      <c r="CR92" s="415">
        <f t="shared" si="327"/>
        <v>-66.216506182632003</v>
      </c>
      <c r="CS92" s="482">
        <f t="shared" si="327"/>
        <v>-39.434098846237667</v>
      </c>
      <c r="CT92" s="970">
        <f t="shared" si="327"/>
        <v>3.3134103451008463</v>
      </c>
      <c r="CU92" s="415">
        <f t="shared" si="327"/>
        <v>3.1623867741957872</v>
      </c>
      <c r="CV92" s="415">
        <f t="shared" si="327"/>
        <v>-7.2693374898116083</v>
      </c>
      <c r="CW92" s="415">
        <f t="shared" si="327"/>
        <v>-4.7725519551578346</v>
      </c>
      <c r="CX92" s="415">
        <f t="shared" si="327"/>
        <v>-12.035258564419838</v>
      </c>
      <c r="CY92" s="415">
        <f t="shared" si="312"/>
        <v>-16.353956907693181</v>
      </c>
      <c r="CZ92" s="415">
        <f t="shared" si="312"/>
        <v>-8.3283525755798582</v>
      </c>
      <c r="DA92" s="482">
        <f t="shared" si="312"/>
        <v>-2.6952763204738521</v>
      </c>
      <c r="DB92" s="415">
        <f t="shared" si="312"/>
        <v>0.45059044475059123</v>
      </c>
      <c r="DC92" s="415">
        <f t="shared" si="313"/>
        <v>-2.7713219222402774</v>
      </c>
      <c r="DD92" s="415">
        <f t="shared" si="314"/>
        <v>-5.6419739103114388</v>
      </c>
      <c r="DE92" s="482">
        <f t="shared" si="315"/>
        <v>-0.16611740119468893</v>
      </c>
      <c r="DF92" s="415">
        <f t="shared" si="316"/>
        <v>7.30977190337493</v>
      </c>
      <c r="DG92" s="415">
        <f t="shared" si="316"/>
        <v>-1.1717746404724809</v>
      </c>
      <c r="DH92" s="415">
        <f t="shared" si="317"/>
        <v>7.4853196893286122E-2</v>
      </c>
      <c r="DI92" s="482">
        <f t="shared" si="318"/>
        <v>-12.247060490085271</v>
      </c>
      <c r="DJ92" s="1795">
        <f t="shared" si="317"/>
        <v>1.5249520955805742</v>
      </c>
      <c r="DK92" s="415">
        <f t="shared" si="317"/>
        <v>5.0695351252317762</v>
      </c>
      <c r="DL92" s="415">
        <f t="shared" si="317"/>
        <v>4.2294802422528432</v>
      </c>
      <c r="DM92" s="482">
        <f t="shared" si="317"/>
        <v>4.9814726938904839</v>
      </c>
      <c r="DN92" s="415"/>
      <c r="DO92" s="1584"/>
      <c r="DP92" s="1585"/>
      <c r="DQ92" s="415">
        <f>(DQ79-DP77)*10000</f>
        <v>1875.0626315262048</v>
      </c>
      <c r="DR92" s="415">
        <f>(DR79-DQ77)*10000</f>
        <v>2173.1505102040815</v>
      </c>
      <c r="DS92" s="415">
        <f>(DS79-DR77)*10000</f>
        <v>2118.1864473014207</v>
      </c>
      <c r="DT92" s="415">
        <f>(DT79-DS77)*10000</f>
        <v>2090.1628156381007</v>
      </c>
      <c r="DU92" s="415">
        <f>(DU79-DT77)*10000</f>
        <v>1965.6510078622432</v>
      </c>
      <c r="DV92" s="415">
        <f>(DV77-DU79)*10000</f>
        <v>-1787.73186905068</v>
      </c>
      <c r="DW92" s="415">
        <f t="shared" ref="DW92:EP92" si="328">(DW77-DV77)*10000</f>
        <v>-34.941888503225904</v>
      </c>
      <c r="DX92" s="415">
        <f t="shared" si="328"/>
        <v>-16.213342100414359</v>
      </c>
      <c r="DY92" s="415">
        <f t="shared" si="328"/>
        <v>2.2060761647205682</v>
      </c>
      <c r="DZ92" s="415">
        <f t="shared" si="328"/>
        <v>17.738930072003466</v>
      </c>
      <c r="EA92" s="415">
        <f t="shared" si="328"/>
        <v>33.062928004723069</v>
      </c>
      <c r="EB92" s="415">
        <f t="shared" si="328"/>
        <v>13.93033620362076</v>
      </c>
      <c r="EC92" s="415">
        <f t="shared" si="328"/>
        <v>-8.3007248909809306</v>
      </c>
      <c r="ED92" s="415">
        <f t="shared" si="328"/>
        <v>-2.9141956546734766</v>
      </c>
      <c r="EE92" s="415">
        <f t="shared" si="328"/>
        <v>13.058790065610635</v>
      </c>
      <c r="EF92" s="415">
        <f t="shared" si="328"/>
        <v>69.800688572472964</v>
      </c>
      <c r="EG92" s="415">
        <f t="shared" si="328"/>
        <v>-55.282762716966083</v>
      </c>
      <c r="EH92" s="415">
        <f t="shared" si="328"/>
        <v>-19.39377643220233</v>
      </c>
      <c r="EI92" s="415">
        <f t="shared" si="328"/>
        <v>-8.4079586869090228</v>
      </c>
      <c r="EJ92" s="415">
        <f t="shared" si="328"/>
        <v>-3.6445003201311668</v>
      </c>
      <c r="EK92" s="415">
        <f t="shared" si="328"/>
        <v>4.774035218324431</v>
      </c>
      <c r="EL92" s="415">
        <f t="shared" si="328"/>
        <v>0.25263065989520467</v>
      </c>
      <c r="EM92" s="415">
        <f t="shared" si="328"/>
        <v>25.397026166801805</v>
      </c>
      <c r="EN92" s="415">
        <f t="shared" si="328"/>
        <v>10.904639313849204</v>
      </c>
      <c r="EO92" s="415">
        <f t="shared" si="328"/>
        <v>3.6376346986395633</v>
      </c>
      <c r="EP92" s="415">
        <f t="shared" si="328"/>
        <v>3.5568171210676942</v>
      </c>
      <c r="EQ92" s="415">
        <f t="shared" si="320"/>
        <v>5.2954033395615285</v>
      </c>
      <c r="ER92" s="970">
        <f t="shared" si="321"/>
        <v>9.5659845968908837</v>
      </c>
      <c r="ES92" s="415">
        <f t="shared" si="321"/>
        <v>-0.66905240738150684</v>
      </c>
      <c r="ET92" s="415">
        <f t="shared" si="322"/>
        <v>28.972354084629075</v>
      </c>
      <c r="EU92" s="415">
        <f t="shared" ref="EU92:FH92" si="329">(EU77-ET77)*10000</f>
        <v>-54.969391147218943</v>
      </c>
      <c r="EV92" s="415">
        <f t="shared" si="329"/>
        <v>-2.5584066421188019</v>
      </c>
      <c r="EW92" s="415">
        <f t="shared" si="329"/>
        <v>-8.1645824858369096</v>
      </c>
      <c r="EX92" s="415">
        <f t="shared" si="329"/>
        <v>-1.6556879181344604</v>
      </c>
      <c r="EY92" s="415">
        <f t="shared" si="329"/>
        <v>-5.0418958825742406</v>
      </c>
      <c r="EZ92" s="1795">
        <f t="shared" si="329"/>
        <v>4.6101521067196121</v>
      </c>
      <c r="FA92" s="415">
        <f t="shared" si="329"/>
        <v>0</v>
      </c>
      <c r="FB92" s="415">
        <f t="shared" si="329"/>
        <v>0</v>
      </c>
      <c r="FC92" s="415">
        <f t="shared" si="329"/>
        <v>0</v>
      </c>
      <c r="FD92" s="415">
        <f t="shared" si="329"/>
        <v>0</v>
      </c>
      <c r="FE92" s="415">
        <f t="shared" si="329"/>
        <v>0</v>
      </c>
      <c r="FF92" s="415">
        <f t="shared" si="329"/>
        <v>0</v>
      </c>
      <c r="FG92" s="415">
        <f t="shared" si="329"/>
        <v>0</v>
      </c>
      <c r="FH92" s="415">
        <f t="shared" si="329"/>
        <v>0</v>
      </c>
      <c r="FI92" s="1586"/>
      <c r="FJ92"/>
      <c r="FK92"/>
      <c r="FL92"/>
      <c r="FM92"/>
      <c r="FN92"/>
      <c r="FO92"/>
      <c r="FS92" s="415"/>
      <c r="FT92" s="415"/>
      <c r="FU92"/>
      <c r="FV92" s="415"/>
      <c r="FW92" s="415"/>
      <c r="FX92" s="415"/>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row>
    <row r="93" spans="1:260" s="4" customFormat="1" ht="12.75" customHeight="1" x14ac:dyDescent="0.2">
      <c r="A93" s="3" t="s">
        <v>167</v>
      </c>
      <c r="B93" s="3"/>
      <c r="C93" s="3"/>
      <c r="D93" s="3"/>
      <c r="E93" s="470"/>
      <c r="F93" s="415">
        <f t="shared" si="303"/>
        <v>0</v>
      </c>
      <c r="G93" s="415">
        <f t="shared" si="303"/>
        <v>0</v>
      </c>
      <c r="H93" s="415">
        <f t="shared" si="303"/>
        <v>0</v>
      </c>
      <c r="I93" s="482">
        <f t="shared" si="303"/>
        <v>0</v>
      </c>
      <c r="J93" s="415">
        <f t="shared" si="303"/>
        <v>0</v>
      </c>
      <c r="K93" s="415">
        <f t="shared" si="303"/>
        <v>0</v>
      </c>
      <c r="L93" s="415">
        <f t="shared" si="303"/>
        <v>0</v>
      </c>
      <c r="M93" s="482">
        <f t="shared" si="303"/>
        <v>0</v>
      </c>
      <c r="N93" s="415">
        <f t="shared" si="303"/>
        <v>0</v>
      </c>
      <c r="O93" s="415">
        <f t="shared" si="303"/>
        <v>0</v>
      </c>
      <c r="P93" s="415">
        <f t="shared" si="304"/>
        <v>0</v>
      </c>
      <c r="Q93" s="482">
        <f t="shared" si="304"/>
        <v>0</v>
      </c>
      <c r="R93" s="415">
        <f t="shared" si="304"/>
        <v>0</v>
      </c>
      <c r="S93" s="415">
        <f t="shared" si="304"/>
        <v>0</v>
      </c>
      <c r="T93" s="415">
        <f t="shared" si="304"/>
        <v>0</v>
      </c>
      <c r="U93" s="482">
        <f t="shared" si="304"/>
        <v>0</v>
      </c>
      <c r="V93" s="415">
        <f t="shared" si="304"/>
        <v>0</v>
      </c>
      <c r="W93" s="415">
        <f t="shared" si="304"/>
        <v>0</v>
      </c>
      <c r="X93" s="415">
        <f t="shared" si="304"/>
        <v>0</v>
      </c>
      <c r="Y93" s="482">
        <f t="shared" si="304"/>
        <v>0</v>
      </c>
      <c r="Z93" s="415">
        <f t="shared" si="305"/>
        <v>322.42233423964552</v>
      </c>
      <c r="AA93" s="415">
        <f t="shared" si="305"/>
        <v>272.65858485655929</v>
      </c>
      <c r="AB93" s="415">
        <f t="shared" si="305"/>
        <v>281.02854231600605</v>
      </c>
      <c r="AC93" s="482">
        <f t="shared" si="305"/>
        <v>316.38930484734811</v>
      </c>
      <c r="AD93" s="415">
        <f t="shared" si="305"/>
        <v>9.9455175138878076</v>
      </c>
      <c r="AE93" s="415">
        <f t="shared" si="305"/>
        <v>23.37902611684234</v>
      </c>
      <c r="AF93" s="415">
        <f t="shared" si="305"/>
        <v>18.647313095649238</v>
      </c>
      <c r="AG93" s="482">
        <f t="shared" si="305"/>
        <v>3.7270512417950097</v>
      </c>
      <c r="AH93" s="415">
        <f t="shared" si="305"/>
        <v>-31.991871228783523</v>
      </c>
      <c r="AI93" s="415">
        <f t="shared" si="305"/>
        <v>-42.034248821624516</v>
      </c>
      <c r="AJ93" s="415">
        <f t="shared" si="306"/>
        <v>-34.570725050006857</v>
      </c>
      <c r="AK93" s="482">
        <f t="shared" si="306"/>
        <v>-37.867072421521357</v>
      </c>
      <c r="AL93" s="415">
        <f t="shared" si="306"/>
        <v>-43.398350824607014</v>
      </c>
      <c r="AM93" s="415">
        <f t="shared" si="306"/>
        <v>-8.8020213213273184</v>
      </c>
      <c r="AN93" s="415">
        <f t="shared" si="306"/>
        <v>50.57017659605954</v>
      </c>
      <c r="AO93" s="482">
        <f t="shared" si="306"/>
        <v>-58.220238024468266</v>
      </c>
      <c r="AP93" s="415">
        <f t="shared" si="306"/>
        <v>32.2254551327621</v>
      </c>
      <c r="AQ93" s="415">
        <f t="shared" si="306"/>
        <v>17.493247753686617</v>
      </c>
      <c r="AR93" s="415">
        <f t="shared" si="306"/>
        <v>20.034242113910057</v>
      </c>
      <c r="AS93" s="482">
        <f t="shared" si="306"/>
        <v>7.6551773418151452</v>
      </c>
      <c r="AT93" s="415">
        <f t="shared" si="307"/>
        <v>-29.301642963950705</v>
      </c>
      <c r="AU93" s="415">
        <f t="shared" si="307"/>
        <v>-16.773535952557435</v>
      </c>
      <c r="AV93" s="415">
        <f t="shared" si="307"/>
        <v>-14.361572540852324</v>
      </c>
      <c r="AW93" s="482">
        <f t="shared" si="307"/>
        <v>-7.9061802841991558</v>
      </c>
      <c r="AX93" s="415">
        <f t="shared" si="307"/>
        <v>28.654395885968249</v>
      </c>
      <c r="AY93" s="415">
        <f t="shared" si="307"/>
        <v>17.490558139029133</v>
      </c>
      <c r="AZ93" s="415">
        <f t="shared" si="307"/>
        <v>-80.668410697825635</v>
      </c>
      <c r="BA93" s="482">
        <f t="shared" si="307"/>
        <v>-3.6484108064317384</v>
      </c>
      <c r="BB93" s="415">
        <f t="shared" si="307"/>
        <v>-34.87217409856153</v>
      </c>
      <c r="BC93" s="415">
        <f t="shared" si="307"/>
        <v>-31.215817612037096</v>
      </c>
      <c r="BD93" s="415">
        <f t="shared" si="308"/>
        <v>-32.325427347797209</v>
      </c>
      <c r="BE93" s="482">
        <f t="shared" si="308"/>
        <v>-37.646791841143418</v>
      </c>
      <c r="BF93" s="415">
        <f t="shared" si="324"/>
        <v>-30.978401213492788</v>
      </c>
      <c r="BG93" s="415">
        <f t="shared" si="324"/>
        <v>-30.437551400329248</v>
      </c>
      <c r="BH93" s="415">
        <f t="shared" si="324"/>
        <v>-30.535381899262983</v>
      </c>
      <c r="BI93" s="482">
        <f t="shared" si="324"/>
        <v>-7.058324190461172</v>
      </c>
      <c r="BJ93" s="415">
        <f t="shared" si="324"/>
        <v>-26.333225136459284</v>
      </c>
      <c r="BK93" s="415">
        <f t="shared" si="324"/>
        <v>-21.635334362607104</v>
      </c>
      <c r="BL93" s="415">
        <f t="shared" si="324"/>
        <v>-24.307050900261149</v>
      </c>
      <c r="BM93" s="482">
        <f t="shared" si="324"/>
        <v>-15.559930570275029</v>
      </c>
      <c r="BN93" s="415">
        <f t="shared" si="324"/>
        <v>-34.296371516032778</v>
      </c>
      <c r="BO93" s="415">
        <f t="shared" si="324"/>
        <v>-31.678537394378441</v>
      </c>
      <c r="BP93" s="415">
        <f t="shared" si="325"/>
        <v>-17.437699851133857</v>
      </c>
      <c r="BQ93" s="482">
        <f t="shared" si="325"/>
        <v>-28.073462140252374</v>
      </c>
      <c r="BR93" s="415">
        <f t="shared" si="325"/>
        <v>30.67771969500161</v>
      </c>
      <c r="BS93" s="415">
        <f t="shared" si="325"/>
        <v>34.925483533514836</v>
      </c>
      <c r="BT93" s="415">
        <f t="shared" si="325"/>
        <v>38.798220341357776</v>
      </c>
      <c r="BU93" s="482">
        <f t="shared" si="325"/>
        <v>38.749458313572582</v>
      </c>
      <c r="BV93" s="415">
        <f t="shared" si="325"/>
        <v>0</v>
      </c>
      <c r="BW93" s="415">
        <f t="shared" si="325"/>
        <v>0</v>
      </c>
      <c r="BX93" s="415">
        <f t="shared" si="325"/>
        <v>0</v>
      </c>
      <c r="BY93" s="482">
        <f t="shared" si="325"/>
        <v>0</v>
      </c>
      <c r="CC93" s="470"/>
      <c r="CD93" s="970">
        <f t="shared" si="326"/>
        <v>35.151544299226593</v>
      </c>
      <c r="CE93" s="415">
        <f t="shared" si="326"/>
        <v>38.415839754771497</v>
      </c>
      <c r="CF93" s="415">
        <f t="shared" si="326"/>
        <v>33.846222797271622</v>
      </c>
      <c r="CG93" s="482">
        <f t="shared" si="326"/>
        <v>6.5324189390046641</v>
      </c>
      <c r="CH93" s="970">
        <f t="shared" si="326"/>
        <v>7.8133837029984932</v>
      </c>
      <c r="CI93" s="415">
        <f t="shared" si="326"/>
        <v>2.4956746073483487</v>
      </c>
      <c r="CJ93" s="415">
        <f t="shared" si="326"/>
        <v>3.9999085715840961</v>
      </c>
      <c r="CK93" s="482">
        <f t="shared" si="326"/>
        <v>-3.018944424566985</v>
      </c>
      <c r="CL93" s="970">
        <f t="shared" si="311"/>
        <v>34.837070978410118</v>
      </c>
      <c r="CM93" s="415">
        <f t="shared" si="311"/>
        <v>32.457235442055548</v>
      </c>
      <c r="CN93" s="415">
        <f t="shared" si="311"/>
        <v>37.227751644840453</v>
      </c>
      <c r="CO93" s="482">
        <f t="shared" si="311"/>
        <v>14.179569921651085</v>
      </c>
      <c r="CP93" s="970">
        <f t="shared" si="327"/>
        <v>12.840779246540666</v>
      </c>
      <c r="CQ93" s="415">
        <f t="shared" si="327"/>
        <v>16.952341375221398</v>
      </c>
      <c r="CR93" s="415">
        <f t="shared" si="327"/>
        <v>12.781806366184041</v>
      </c>
      <c r="CS93" s="482">
        <f t="shared" si="327"/>
        <v>14.862344421261477</v>
      </c>
      <c r="CT93" s="970">
        <f t="shared" si="327"/>
        <v>-60.721597500302089</v>
      </c>
      <c r="CU93" s="415">
        <f t="shared" si="327"/>
        <v>-68.414317312916609</v>
      </c>
      <c r="CV93" s="415">
        <f t="shared" si="327"/>
        <v>-76.403549803727259</v>
      </c>
      <c r="CW93" s="415">
        <f t="shared" si="327"/>
        <v>-53.156349776553206</v>
      </c>
      <c r="CX93" s="415">
        <f t="shared" si="327"/>
        <v>11.0032707915627</v>
      </c>
      <c r="CY93" s="415">
        <f t="shared" si="312"/>
        <v>7.3875405415416147</v>
      </c>
      <c r="CZ93" s="415">
        <f t="shared" si="312"/>
        <v>13.541042816505277</v>
      </c>
      <c r="DA93" s="482">
        <f t="shared" si="312"/>
        <v>11.070007121535605</v>
      </c>
      <c r="DB93" s="415">
        <f t="shared" si="312"/>
        <v>3.2484861918715553</v>
      </c>
      <c r="DC93" s="415">
        <f t="shared" si="313"/>
        <v>0.165522816286158</v>
      </c>
      <c r="DD93" s="415">
        <f t="shared" si="314"/>
        <v>-2.6833990917648003</v>
      </c>
      <c r="DE93" s="482">
        <f t="shared" si="315"/>
        <v>1.6095175437779754</v>
      </c>
      <c r="DF93" s="415">
        <f t="shared" si="316"/>
        <v>-6.6727816177043762</v>
      </c>
      <c r="DG93" s="415">
        <f t="shared" si="316"/>
        <v>-14.183734087702856</v>
      </c>
      <c r="DH93" s="415">
        <f t="shared" si="317"/>
        <v>-12.45459173581577</v>
      </c>
      <c r="DI93" s="482">
        <f t="shared" si="318"/>
        <v>-19.355743575352346</v>
      </c>
      <c r="DJ93" s="1795">
        <f t="shared" si="317"/>
        <v>-3.6745748876108526</v>
      </c>
      <c r="DK93" s="415">
        <f t="shared" si="317"/>
        <v>-0.32110285457066096</v>
      </c>
      <c r="DL93" s="415">
        <f t="shared" si="317"/>
        <v>-0.86589966383478212</v>
      </c>
      <c r="DM93" s="482">
        <f t="shared" si="317"/>
        <v>1.6025102018728774</v>
      </c>
      <c r="DN93" s="415"/>
      <c r="DO93" s="1584"/>
      <c r="DP93" s="1585"/>
      <c r="DQ93" s="415">
        <f t="shared" ref="DQ93:DV97" si="330">(DQ78-DP78)*10000</f>
        <v>0</v>
      </c>
      <c r="DR93" s="415">
        <f t="shared" si="330"/>
        <v>0</v>
      </c>
      <c r="DS93" s="415">
        <f t="shared" si="330"/>
        <v>0</v>
      </c>
      <c r="DT93" s="415">
        <f t="shared" si="330"/>
        <v>0</v>
      </c>
      <c r="DU93" s="415">
        <f t="shared" si="330"/>
        <v>0</v>
      </c>
      <c r="DV93" s="415">
        <f t="shared" si="330"/>
        <v>0</v>
      </c>
      <c r="DW93" s="415">
        <f t="shared" ref="DW93:EP93" si="331">(DW78-DV78)*10000</f>
        <v>0</v>
      </c>
      <c r="DX93" s="415">
        <f t="shared" si="331"/>
        <v>0</v>
      </c>
      <c r="DY93" s="415">
        <f t="shared" si="331"/>
        <v>0</v>
      </c>
      <c r="DZ93" s="415">
        <f t="shared" si="331"/>
        <v>0</v>
      </c>
      <c r="EA93" s="415">
        <f t="shared" si="331"/>
        <v>0</v>
      </c>
      <c r="EB93" s="415">
        <f t="shared" si="331"/>
        <v>0</v>
      </c>
      <c r="EC93" s="415">
        <f t="shared" si="331"/>
        <v>0</v>
      </c>
      <c r="ED93" s="415">
        <f t="shared" si="331"/>
        <v>299.34314349630785</v>
      </c>
      <c r="EE93" s="415">
        <f t="shared" si="331"/>
        <v>13.186043783027754</v>
      </c>
      <c r="EF93" s="415">
        <f t="shared" si="331"/>
        <v>-37.022732209682083</v>
      </c>
      <c r="EG93" s="415">
        <f t="shared" si="331"/>
        <v>-17.743636393056544</v>
      </c>
      <c r="EH93" s="415">
        <f t="shared" si="331"/>
        <v>17.242274010304641</v>
      </c>
      <c r="EI93" s="415">
        <f t="shared" si="331"/>
        <v>-15.463664479997488</v>
      </c>
      <c r="EJ93" s="415">
        <f t="shared" si="331"/>
        <v>-11.551282978688356</v>
      </c>
      <c r="EK93" s="415">
        <f t="shared" si="331"/>
        <v>-35.099846346933404</v>
      </c>
      <c r="EL93" s="415">
        <f t="shared" si="331"/>
        <v>-21.750204435588628</v>
      </c>
      <c r="EM93" s="415">
        <f t="shared" si="331"/>
        <v>-21.196742229765697</v>
      </c>
      <c r="EN93" s="415">
        <f t="shared" si="331"/>
        <v>-27.27019247833395</v>
      </c>
      <c r="EO93" s="415">
        <f t="shared" si="331"/>
        <v>36.551856175836853</v>
      </c>
      <c r="EP93" s="415">
        <f t="shared" si="331"/>
        <v>-4.0275840777412308E-2</v>
      </c>
      <c r="EQ93" s="415">
        <f t="shared" si="320"/>
        <v>30.065407854887194</v>
      </c>
      <c r="ER93" s="970">
        <f t="shared" si="321"/>
        <v>26.098386105486391</v>
      </c>
      <c r="ES93" s="415">
        <f t="shared" si="321"/>
        <v>1.8845150350284625</v>
      </c>
      <c r="ET93" s="415">
        <f t="shared" si="322"/>
        <v>27.295410929118262</v>
      </c>
      <c r="EU93" s="415">
        <f t="shared" ref="EU93:FH93" si="332">(EU78-ET78)*10000</f>
        <v>-39.729665850892282</v>
      </c>
      <c r="EV93" s="415">
        <f t="shared" si="332"/>
        <v>-10.146470312424084</v>
      </c>
      <c r="EW93" s="415">
        <f t="shared" si="332"/>
        <v>11.458808978043848</v>
      </c>
      <c r="EX93" s="415">
        <f t="shared" si="332"/>
        <v>0.84928507170081713</v>
      </c>
      <c r="EY93" s="415">
        <f t="shared" si="332"/>
        <v>-15.918841166482935</v>
      </c>
      <c r="EZ93" s="1795">
        <f t="shared" si="332"/>
        <v>0</v>
      </c>
      <c r="FA93" s="415">
        <f t="shared" si="332"/>
        <v>0</v>
      </c>
      <c r="FB93" s="415">
        <f t="shared" si="332"/>
        <v>0</v>
      </c>
      <c r="FC93" s="415">
        <f t="shared" si="332"/>
        <v>0</v>
      </c>
      <c r="FD93" s="415">
        <f t="shared" si="332"/>
        <v>0</v>
      </c>
      <c r="FE93" s="415">
        <f t="shared" si="332"/>
        <v>0</v>
      </c>
      <c r="FF93" s="415">
        <f t="shared" si="332"/>
        <v>0</v>
      </c>
      <c r="FG93" s="415">
        <f t="shared" si="332"/>
        <v>0</v>
      </c>
      <c r="FH93" s="415">
        <f t="shared" si="332"/>
        <v>0</v>
      </c>
      <c r="FI93" s="1586"/>
      <c r="FJ93"/>
      <c r="FK93"/>
      <c r="FL93"/>
      <c r="FM93"/>
      <c r="FN93"/>
      <c r="FO93"/>
      <c r="FS93" s="415"/>
      <c r="FT93" s="415"/>
      <c r="FU93"/>
      <c r="FV93" s="415"/>
      <c r="FW93" s="415"/>
      <c r="FX93" s="415"/>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row>
    <row r="94" spans="1:260" s="4" customFormat="1" ht="12.75" customHeight="1" x14ac:dyDescent="0.2">
      <c r="A94" s="1302" t="s">
        <v>172</v>
      </c>
      <c r="B94" s="401"/>
      <c r="C94" s="401"/>
      <c r="D94" s="401"/>
      <c r="E94" s="469"/>
      <c r="F94" s="19">
        <f t="shared" si="303"/>
        <v>1263.2446432776076</v>
      </c>
      <c r="G94" s="19">
        <f t="shared" si="303"/>
        <v>1227.2657130732598</v>
      </c>
      <c r="H94" s="19">
        <f t="shared" si="303"/>
        <v>1079.3327658717017</v>
      </c>
      <c r="I94" s="19">
        <f t="shared" si="303"/>
        <v>1032.1907687851387</v>
      </c>
      <c r="J94" s="19">
        <f t="shared" si="303"/>
        <v>38.465839992951331</v>
      </c>
      <c r="K94" s="19">
        <f t="shared" si="303"/>
        <v>6.5936843442437887</v>
      </c>
      <c r="L94" s="19">
        <f t="shared" si="303"/>
        <v>-41.14592178451268</v>
      </c>
      <c r="M94" s="19">
        <f t="shared" si="303"/>
        <v>17.482234875418889</v>
      </c>
      <c r="N94" s="19">
        <f t="shared" si="303"/>
        <v>40.215653315188447</v>
      </c>
      <c r="O94" s="19">
        <f t="shared" si="303"/>
        <v>70.406783484758819</v>
      </c>
      <c r="P94" s="19">
        <f t="shared" si="304"/>
        <v>216.6080968391386</v>
      </c>
      <c r="Q94" s="19">
        <f t="shared" si="304"/>
        <v>237.28118445591363</v>
      </c>
      <c r="R94" s="19">
        <f t="shared" si="304"/>
        <v>168.55812441810502</v>
      </c>
      <c r="S94" s="19">
        <f t="shared" si="304"/>
        <v>195.7416263522388</v>
      </c>
      <c r="T94" s="19">
        <f t="shared" si="304"/>
        <v>98.124648067097482</v>
      </c>
      <c r="U94" s="19">
        <f t="shared" si="304"/>
        <v>-64.484818221488553</v>
      </c>
      <c r="V94" s="19">
        <f t="shared" si="304"/>
        <v>172.12438754496378</v>
      </c>
      <c r="W94" s="19">
        <f t="shared" si="304"/>
        <v>49.993432548122165</v>
      </c>
      <c r="X94" s="19">
        <f t="shared" si="304"/>
        <v>67.299816118056853</v>
      </c>
      <c r="Y94" s="19">
        <f t="shared" si="304"/>
        <v>66.836567842826483</v>
      </c>
      <c r="Z94" s="19">
        <f t="shared" si="305"/>
        <v>-46.422148079928171</v>
      </c>
      <c r="AA94" s="19">
        <f t="shared" si="305"/>
        <v>91.134156082199326</v>
      </c>
      <c r="AB94" s="19">
        <f t="shared" si="305"/>
        <v>85.182165429466821</v>
      </c>
      <c r="AC94" s="19">
        <f t="shared" si="305"/>
        <v>-2.572358959632981</v>
      </c>
      <c r="AD94" s="19">
        <f t="shared" si="305"/>
        <v>41.014231854497595</v>
      </c>
      <c r="AE94" s="19">
        <f t="shared" si="305"/>
        <v>41.938821315826992</v>
      </c>
      <c r="AF94" s="19">
        <f t="shared" si="305"/>
        <v>113.0739176586612</v>
      </c>
      <c r="AG94" s="19">
        <f t="shared" si="305"/>
        <v>215.20724442381567</v>
      </c>
      <c r="AH94" s="19">
        <f t="shared" si="305"/>
        <v>367.7005389776694</v>
      </c>
      <c r="AI94" s="19">
        <f t="shared" si="305"/>
        <v>238.15536973498919</v>
      </c>
      <c r="AJ94" s="19">
        <f t="shared" si="306"/>
        <v>271.76841423941443</v>
      </c>
      <c r="AK94" s="19">
        <f t="shared" si="306"/>
        <v>-14.8348060100148</v>
      </c>
      <c r="AL94" s="19">
        <f t="shared" si="306"/>
        <v>218.30672489123432</v>
      </c>
      <c r="AM94" s="19">
        <f t="shared" si="306"/>
        <v>293.3032850366796</v>
      </c>
      <c r="AN94" s="19">
        <f t="shared" si="306"/>
        <v>273.07708762139254</v>
      </c>
      <c r="AO94" s="19">
        <f t="shared" si="306"/>
        <v>145.45944281660783</v>
      </c>
      <c r="AP94" s="19">
        <f t="shared" si="306"/>
        <v>31.136476815422643</v>
      </c>
      <c r="AQ94" s="19">
        <f t="shared" si="306"/>
        <v>-96.297141801821866</v>
      </c>
      <c r="AR94" s="19">
        <f t="shared" si="306"/>
        <v>-34.673775206305599</v>
      </c>
      <c r="AS94" s="19">
        <f t="shared" si="306"/>
        <v>-105.75755374748891</v>
      </c>
      <c r="AT94" s="19">
        <f t="shared" si="307"/>
        <v>-237.39977507013205</v>
      </c>
      <c r="AU94" s="19">
        <f t="shared" si="307"/>
        <v>-98.498888065233487</v>
      </c>
      <c r="AV94" s="19">
        <f t="shared" si="307"/>
        <v>-157.83331384613768</v>
      </c>
      <c r="AW94" s="19">
        <f t="shared" si="307"/>
        <v>-22.526991554257247</v>
      </c>
      <c r="AX94" s="19">
        <f t="shared" si="307"/>
        <v>98.988613602138955</v>
      </c>
      <c r="AY94" s="19">
        <f t="shared" si="307"/>
        <v>143.79643154439376</v>
      </c>
      <c r="AZ94" s="19">
        <f t="shared" si="307"/>
        <v>209.14519919652543</v>
      </c>
      <c r="BA94" s="19">
        <f t="shared" si="307"/>
        <v>98.636881982584185</v>
      </c>
      <c r="BB94" s="19">
        <f t="shared" si="307"/>
        <v>-103.91434329715537</v>
      </c>
      <c r="BC94" s="19">
        <f t="shared" si="307"/>
        <v>-95.928380844185199</v>
      </c>
      <c r="BD94" s="19">
        <f t="shared" si="308"/>
        <v>-56.744182229755694</v>
      </c>
      <c r="BE94" s="19">
        <f t="shared" si="308"/>
        <v>-74.892368361645651</v>
      </c>
      <c r="BF94" s="19">
        <f t="shared" si="324"/>
        <v>-0.80160984720578643</v>
      </c>
      <c r="BG94" s="19">
        <f t="shared" si="324"/>
        <v>-81.319178519757287</v>
      </c>
      <c r="BH94" s="19">
        <f t="shared" si="324"/>
        <v>-122.81201708836149</v>
      </c>
      <c r="BI94" s="19">
        <f t="shared" si="324"/>
        <v>-11.4059619393439</v>
      </c>
      <c r="BJ94" s="19">
        <f t="shared" si="324"/>
        <v>13.298770636900326</v>
      </c>
      <c r="BK94" s="19">
        <f t="shared" si="324"/>
        <v>97.175157053945028</v>
      </c>
      <c r="BL94" s="19">
        <f t="shared" si="324"/>
        <v>249.16231650492253</v>
      </c>
      <c r="BM94" s="19">
        <f t="shared" si="324"/>
        <v>180.60954746649733</v>
      </c>
      <c r="BN94" s="19">
        <f t="shared" si="324"/>
        <v>123.69585709949033</v>
      </c>
      <c r="BO94" s="19">
        <f t="shared" si="324"/>
        <v>97.631489393419926</v>
      </c>
      <c r="BP94" s="19">
        <f t="shared" si="325"/>
        <v>-115.50001446382602</v>
      </c>
      <c r="BQ94" s="19">
        <f t="shared" si="325"/>
        <v>-69.72946694500493</v>
      </c>
      <c r="BR94" s="19">
        <f t="shared" si="325"/>
        <v>110.85170164057023</v>
      </c>
      <c r="BS94" s="19">
        <f t="shared" si="325"/>
        <v>29.86098612290461</v>
      </c>
      <c r="BT94" s="19">
        <f t="shared" si="325"/>
        <v>50.964233573783105</v>
      </c>
      <c r="BU94" s="19">
        <f t="shared" si="325"/>
        <v>58.031949153066478</v>
      </c>
      <c r="BV94" s="19">
        <f t="shared" si="325"/>
        <v>-28.496960167199713</v>
      </c>
      <c r="BW94" s="19">
        <f t="shared" si="325"/>
        <v>65.419262644324519</v>
      </c>
      <c r="BX94" s="19">
        <f t="shared" si="325"/>
        <v>-22.867274339099243</v>
      </c>
      <c r="BY94" s="19">
        <f t="shared" si="325"/>
        <v>-50.534502677544168</v>
      </c>
      <c r="BZ94" s="19"/>
      <c r="CA94" s="19"/>
      <c r="CB94" s="19"/>
      <c r="CC94" s="469"/>
      <c r="CD94" s="1583">
        <f t="shared" si="326"/>
        <v>17.525739509668959</v>
      </c>
      <c r="CE94" s="1879">
        <f t="shared" si="326"/>
        <v>71.181154756241042</v>
      </c>
      <c r="CF94" s="1879">
        <f t="shared" si="326"/>
        <v>-7.6275146977841661</v>
      </c>
      <c r="CG94" s="1581">
        <f t="shared" si="326"/>
        <v>-11.27259167512551</v>
      </c>
      <c r="CH94" s="1583">
        <f t="shared" si="326"/>
        <v>7.6800408260702113</v>
      </c>
      <c r="CI94" s="1879">
        <f t="shared" si="326"/>
        <v>8.7377768418295254</v>
      </c>
      <c r="CJ94" s="1879">
        <f t="shared" si="326"/>
        <v>142.23655885446357</v>
      </c>
      <c r="CK94" s="1581">
        <f t="shared" si="326"/>
        <v>103.26854841809119</v>
      </c>
      <c r="CL94" s="1583">
        <f t="shared" si="311"/>
        <v>-60.494034302553679</v>
      </c>
      <c r="CM94" s="1879">
        <f t="shared" si="311"/>
        <v>-77.497097574903691</v>
      </c>
      <c r="CN94" s="1879">
        <f t="shared" si="311"/>
        <v>118.60289181635287</v>
      </c>
      <c r="CO94" s="1581">
        <f t="shared" si="311"/>
        <v>59.684482034670914</v>
      </c>
      <c r="CP94" s="1583">
        <f t="shared" si="327"/>
        <v>28.61036475658635</v>
      </c>
      <c r="CQ94" s="1879">
        <f t="shared" si="327"/>
        <v>-35.783420087965588</v>
      </c>
      <c r="CR94" s="1879">
        <f t="shared" si="327"/>
        <v>-142.55451440108646</v>
      </c>
      <c r="CS94" s="1581">
        <f t="shared" si="327"/>
        <v>-98.752228163992712</v>
      </c>
      <c r="CT94" s="1583">
        <f t="shared" si="327"/>
        <v>-108.18901924713326</v>
      </c>
      <c r="CU94" s="1879">
        <f t="shared" si="327"/>
        <v>-139.18372901382676</v>
      </c>
      <c r="CV94" s="1879">
        <f t="shared" si="327"/>
        <v>-134.73881798428539</v>
      </c>
      <c r="CW94" s="1879">
        <f t="shared" si="327"/>
        <v>-13.969755555246211</v>
      </c>
      <c r="CX94" s="1879">
        <f t="shared" si="327"/>
        <v>26.140038268929466</v>
      </c>
      <c r="CY94" s="1879">
        <f>(CY79-CU79)*10000</f>
        <v>66.650399776252144</v>
      </c>
      <c r="CZ94" s="1879">
        <f t="shared" si="312"/>
        <v>64.479010060712056</v>
      </c>
      <c r="DA94" s="1581">
        <f t="shared" si="312"/>
        <v>36.747528753372507</v>
      </c>
      <c r="DB94" s="1933">
        <f t="shared" si="312"/>
        <v>-7.6478931050963368</v>
      </c>
      <c r="DC94" s="1933">
        <f t="shared" si="313"/>
        <v>-42.258820133027342</v>
      </c>
      <c r="DD94" s="1933">
        <f t="shared" si="314"/>
        <v>-10.911321286533049</v>
      </c>
      <c r="DE94" s="1944">
        <f t="shared" si="315"/>
        <v>-3.3906243992129492</v>
      </c>
      <c r="DF94" s="1933">
        <f t="shared" si="316"/>
        <v>-20.32862908736416</v>
      </c>
      <c r="DG94" s="1933">
        <f t="shared" si="316"/>
        <v>-37.493730748186238</v>
      </c>
      <c r="DH94" s="1933">
        <f t="shared" si="317"/>
        <v>-39.950868085126821</v>
      </c>
      <c r="DI94" s="1944">
        <f t="shared" si="318"/>
        <v>0.27896337210925326</v>
      </c>
      <c r="DJ94" s="2695">
        <f t="shared" si="317"/>
        <v>-1.1532931452412631</v>
      </c>
      <c r="DK94" s="1879">
        <f t="shared" si="317"/>
        <v>-1.6007022553796157</v>
      </c>
      <c r="DL94" s="1879">
        <f t="shared" si="317"/>
        <v>-14.943019908793264</v>
      </c>
      <c r="DM94" s="1581">
        <f t="shared" si="317"/>
        <v>9.1030527670923895</v>
      </c>
      <c r="DN94" s="1582"/>
      <c r="DO94" s="1581"/>
      <c r="DP94" s="1582"/>
      <c r="DQ94" s="1582">
        <f t="shared" si="330"/>
        <v>1875.0626315262048</v>
      </c>
      <c r="DR94" s="1582">
        <f t="shared" si="330"/>
        <v>298.0878786778768</v>
      </c>
      <c r="DS94" s="1582">
        <f t="shared" si="330"/>
        <v>-54.964062902660707</v>
      </c>
      <c r="DT94" s="1582">
        <f t="shared" si="330"/>
        <v>-28.02363166332006</v>
      </c>
      <c r="DU94" s="1582">
        <f t="shared" si="330"/>
        <v>-124.51180777585752</v>
      </c>
      <c r="DV94" s="1582">
        <f t="shared" si="330"/>
        <v>-220.06214617471653</v>
      </c>
      <c r="DW94" s="1582">
        <f t="shared" ref="DW94:EP94" si="333">(DW79-DV79)*10000</f>
        <v>-213.92608602020303</v>
      </c>
      <c r="DX94" s="1582">
        <f t="shared" si="333"/>
        <v>-268.59041393783701</v>
      </c>
      <c r="DY94" s="1582">
        <f t="shared" si="333"/>
        <v>-143.87961370475864</v>
      </c>
      <c r="DZ94" s="1582">
        <f t="shared" si="333"/>
        <v>8.6173104435253993</v>
      </c>
      <c r="EA94" s="1582">
        <f t="shared" si="333"/>
        <v>166.3811985937061</v>
      </c>
      <c r="EB94" s="1582">
        <f t="shared" si="333"/>
        <v>76.057236870699654</v>
      </c>
      <c r="EC94" s="1582">
        <f t="shared" si="333"/>
        <v>83.633738984424937</v>
      </c>
      <c r="ED94" s="1582">
        <f t="shared" si="333"/>
        <v>30.163378332390966</v>
      </c>
      <c r="EE94" s="1582">
        <f t="shared" si="333"/>
        <v>117.616182724114</v>
      </c>
      <c r="EF94" s="1582">
        <f t="shared" si="333"/>
        <v>180.75388189516622</v>
      </c>
      <c r="EG94" s="1582">
        <f t="shared" si="333"/>
        <v>235.15331104998816</v>
      </c>
      <c r="EH94" s="1582">
        <f t="shared" si="333"/>
        <v>-66.866196126321441</v>
      </c>
      <c r="EI94" s="1582">
        <f t="shared" si="333"/>
        <v>-108.76060437460421</v>
      </c>
      <c r="EJ94" s="1582">
        <f t="shared" si="333"/>
        <v>129.66051067761774</v>
      </c>
      <c r="EK94" s="1582">
        <f t="shared" si="333"/>
        <v>-87.593123989185287</v>
      </c>
      <c r="EL94" s="1582">
        <f t="shared" si="333"/>
        <v>-38.820556790631898</v>
      </c>
      <c r="EM94" s="1582">
        <f t="shared" si="333"/>
        <v>150.59016840058726</v>
      </c>
      <c r="EN94" s="1582">
        <f t="shared" si="333"/>
        <v>-9.0202198512320813</v>
      </c>
      <c r="EO94" s="1582">
        <f t="shared" si="333"/>
        <v>67.068215275064574</v>
      </c>
      <c r="EP94" s="1582">
        <f t="shared" si="333"/>
        <v>-14.859013290422496</v>
      </c>
      <c r="EQ94" s="1582">
        <f t="shared" si="320"/>
        <v>18.771875582302975</v>
      </c>
      <c r="ER94" s="1582">
        <f t="shared" si="321"/>
        <v>14.812478031570874</v>
      </c>
      <c r="ES94" s="1582">
        <f t="shared" si="321"/>
        <v>66.273234996495617</v>
      </c>
      <c r="ET94" s="1582">
        <f t="shared" si="322"/>
        <v>10.080112103511564</v>
      </c>
      <c r="EU94" s="1582">
        <f t="shared" ref="EU94:FH94" si="334">(EU79-ET79)*10000</f>
        <v>-67.408483893038323</v>
      </c>
      <c r="EV94" s="1582">
        <f t="shared" si="334"/>
        <v>-91.377077629601899</v>
      </c>
      <c r="EW94" s="1582">
        <f t="shared" si="334"/>
        <v>50.796860752060077</v>
      </c>
      <c r="EX94" s="1933">
        <f t="shared" si="334"/>
        <v>-12.935453106959482</v>
      </c>
      <c r="EY94" s="1933">
        <f t="shared" si="334"/>
        <v>-31.489265079946982</v>
      </c>
      <c r="EZ94" s="1794">
        <f t="shared" si="334"/>
        <v>1.5374853696481505</v>
      </c>
      <c r="FA94" s="1582">
        <f>(FA79-EZ79)*10000</f>
        <v>-10.288800864674819</v>
      </c>
      <c r="FB94" s="1582">
        <f t="shared" si="334"/>
        <v>-4.9836575174264102</v>
      </c>
      <c r="FC94" s="1582">
        <f t="shared" si="334"/>
        <v>-0.54565116979016226</v>
      </c>
      <c r="FD94" s="1582">
        <f t="shared" si="334"/>
        <v>-0.61087199015930072</v>
      </c>
      <c r="FE94" s="1582">
        <f t="shared" si="334"/>
        <v>-0.60593174925321902</v>
      </c>
      <c r="FF94" s="1582">
        <f t="shared" si="334"/>
        <v>-0.60070208106971501</v>
      </c>
      <c r="FG94" s="1582">
        <f t="shared" si="334"/>
        <v>-0.595175924806568</v>
      </c>
      <c r="FH94" s="1582">
        <f t="shared" si="334"/>
        <v>-0.58934690912337828</v>
      </c>
      <c r="FI94" s="1583"/>
      <c r="FJ94"/>
      <c r="FK94"/>
      <c r="FL94"/>
      <c r="FM94"/>
      <c r="FN94"/>
      <c r="FO94"/>
      <c r="FS94" s="415"/>
      <c r="FT94" s="415"/>
      <c r="FU94"/>
      <c r="FV94" s="2634"/>
      <c r="FW94" s="2634"/>
      <c r="FX94" s="263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row>
    <row r="95" spans="1:260" s="4" customFormat="1" ht="12.75" customHeight="1" x14ac:dyDescent="0.2">
      <c r="A95" s="1048" t="s">
        <v>173</v>
      </c>
      <c r="B95" s="3"/>
      <c r="C95" s="3"/>
      <c r="D95" s="3"/>
      <c r="E95" s="470"/>
      <c r="F95" s="415">
        <f t="shared" si="303"/>
        <v>1167.4240640452083</v>
      </c>
      <c r="G95" s="415">
        <f t="shared" si="303"/>
        <v>1136.2535523997719</v>
      </c>
      <c r="H95" s="415">
        <f t="shared" si="303"/>
        <v>1002.5698751954816</v>
      </c>
      <c r="I95" s="482">
        <f t="shared" si="303"/>
        <v>972.73858552491367</v>
      </c>
      <c r="J95" s="415">
        <f t="shared" si="303"/>
        <v>34.158464438656807</v>
      </c>
      <c r="K95" s="415">
        <f t="shared" si="303"/>
        <v>5.7503685661292048</v>
      </c>
      <c r="L95" s="415">
        <f t="shared" si="303"/>
        <v>-38.758043094647974</v>
      </c>
      <c r="M95" s="482">
        <f t="shared" si="303"/>
        <v>20.472998423301387</v>
      </c>
      <c r="N95" s="415">
        <f t="shared" si="303"/>
        <v>36.250238022526304</v>
      </c>
      <c r="O95" s="415">
        <f t="shared" si="303"/>
        <v>67.639402022449246</v>
      </c>
      <c r="P95" s="415">
        <f t="shared" si="304"/>
        <v>206.93588974177862</v>
      </c>
      <c r="Q95" s="482">
        <f t="shared" si="304"/>
        <v>225.15576733728255</v>
      </c>
      <c r="R95" s="415">
        <f t="shared" si="304"/>
        <v>166.2434190613246</v>
      </c>
      <c r="S95" s="415">
        <f t="shared" si="304"/>
        <v>188.61365167822413</v>
      </c>
      <c r="T95" s="415">
        <f t="shared" si="304"/>
        <v>100.10063556960172</v>
      </c>
      <c r="U95" s="482">
        <f t="shared" si="304"/>
        <v>-62.361382341955682</v>
      </c>
      <c r="V95" s="415">
        <f t="shared" si="304"/>
        <v>187.71449769766551</v>
      </c>
      <c r="W95" s="415">
        <f t="shared" si="304"/>
        <v>65.793800301902067</v>
      </c>
      <c r="X95" s="415">
        <f t="shared" si="304"/>
        <v>68.840392729713756</v>
      </c>
      <c r="Y95" s="482">
        <f t="shared" si="304"/>
        <v>69.721238285561924</v>
      </c>
      <c r="Z95" s="415">
        <f t="shared" si="305"/>
        <v>-54.69738649846623</v>
      </c>
      <c r="AA95" s="415">
        <f t="shared" si="305"/>
        <v>93.441110807064575</v>
      </c>
      <c r="AB95" s="415">
        <f t="shared" si="305"/>
        <v>85.18084076501286</v>
      </c>
      <c r="AC95" s="482">
        <f t="shared" si="305"/>
        <v>-28.00968202697096</v>
      </c>
      <c r="AD95" s="415">
        <f t="shared" si="305"/>
        <v>32.134949645192535</v>
      </c>
      <c r="AE95" s="415">
        <f t="shared" si="305"/>
        <v>8.8325567995042871</v>
      </c>
      <c r="AF95" s="415">
        <f t="shared" si="305"/>
        <v>78.388645786806592</v>
      </c>
      <c r="AG95" s="482">
        <f t="shared" si="305"/>
        <v>207.18213790025462</v>
      </c>
      <c r="AH95" s="415">
        <f t="shared" si="305"/>
        <v>294.4450021678216</v>
      </c>
      <c r="AI95" s="415">
        <f t="shared" si="305"/>
        <v>194.00216645473338</v>
      </c>
      <c r="AJ95" s="415">
        <f t="shared" si="306"/>
        <v>225.08490880667335</v>
      </c>
      <c r="AK95" s="482">
        <f t="shared" si="306"/>
        <v>-29.54149691327568</v>
      </c>
      <c r="AL95" s="415">
        <f t="shared" si="306"/>
        <v>197.25012124396397</v>
      </c>
      <c r="AM95" s="415">
        <f t="shared" si="306"/>
        <v>268.22010377298921</v>
      </c>
      <c r="AN95" s="415">
        <f t="shared" si="306"/>
        <v>251.7776886449702</v>
      </c>
      <c r="AO95" s="482">
        <f t="shared" si="306"/>
        <v>192.82040012938873</v>
      </c>
      <c r="AP95" s="415">
        <f t="shared" si="306"/>
        <v>23.481086045857857</v>
      </c>
      <c r="AQ95" s="415">
        <f t="shared" si="306"/>
        <v>-80.807646827971979</v>
      </c>
      <c r="AR95" s="415">
        <f t="shared" si="306"/>
        <v>-5.6513381241704579</v>
      </c>
      <c r="AS95" s="482">
        <f t="shared" si="306"/>
        <v>-162.09500613386331</v>
      </c>
      <c r="AT95" s="415">
        <f t="shared" si="307"/>
        <v>-215.45026714918203</v>
      </c>
      <c r="AU95" s="415">
        <f t="shared" si="307"/>
        <v>-97.410118606374994</v>
      </c>
      <c r="AV95" s="415">
        <f t="shared" si="307"/>
        <v>-163.12603280473152</v>
      </c>
      <c r="AW95" s="482">
        <f t="shared" si="307"/>
        <v>-61.117699124704494</v>
      </c>
      <c r="AX95" s="415">
        <f t="shared" si="307"/>
        <v>108.81632451905155</v>
      </c>
      <c r="AY95" s="415">
        <f t="shared" si="307"/>
        <v>144.59794012784855</v>
      </c>
      <c r="AZ95" s="415">
        <f t="shared" si="307"/>
        <v>217.28639363422704</v>
      </c>
      <c r="BA95" s="482">
        <f t="shared" si="307"/>
        <v>142.92341229646871</v>
      </c>
      <c r="BB95" s="415">
        <f t="shared" si="307"/>
        <v>-99.627101829935498</v>
      </c>
      <c r="BC95" s="415">
        <f t="shared" si="307"/>
        <v>-91.730780696322455</v>
      </c>
      <c r="BD95" s="415">
        <f t="shared" si="308"/>
        <v>-50.581939938170173</v>
      </c>
      <c r="BE95" s="482">
        <f t="shared" si="308"/>
        <v>-68.399390419739689</v>
      </c>
      <c r="BF95" s="415">
        <f t="shared" si="324"/>
        <v>2.7699227646554858</v>
      </c>
      <c r="BG95" s="415">
        <f t="shared" si="324"/>
        <v>-81.481821085661593</v>
      </c>
      <c r="BH95" s="415">
        <f t="shared" si="324"/>
        <v>-118.66032625984624</v>
      </c>
      <c r="BI95" s="482">
        <f t="shared" si="324"/>
        <v>-22.858492267411602</v>
      </c>
      <c r="BJ95" s="415">
        <f t="shared" si="324"/>
        <v>13.413695859029461</v>
      </c>
      <c r="BK95" s="415">
        <f t="shared" si="324"/>
        <v>98.497937528240485</v>
      </c>
      <c r="BL95" s="415">
        <f t="shared" si="324"/>
        <v>173.65588760817008</v>
      </c>
      <c r="BM95" s="482">
        <f t="shared" si="324"/>
        <v>143.71090761925831</v>
      </c>
      <c r="BN95" s="415">
        <f t="shared" si="324"/>
        <v>78.927056147907464</v>
      </c>
      <c r="BO95" s="415">
        <f t="shared" si="324"/>
        <v>50.392022810821778</v>
      </c>
      <c r="BP95" s="415">
        <f t="shared" si="325"/>
        <v>-91.094043796464959</v>
      </c>
      <c r="BQ95" s="482">
        <f t="shared" si="325"/>
        <v>-61.456295751204095</v>
      </c>
      <c r="BR95" s="415">
        <f t="shared" si="325"/>
        <v>100.53844186173694</v>
      </c>
      <c r="BS95" s="415">
        <f t="shared" si="325"/>
        <v>30.454048328872606</v>
      </c>
      <c r="BT95" s="415">
        <f t="shared" si="325"/>
        <v>32.819278739968929</v>
      </c>
      <c r="BU95" s="482">
        <f t="shared" si="325"/>
        <v>54.701595887892417</v>
      </c>
      <c r="BV95" s="415">
        <f t="shared" si="325"/>
        <v>-18.947921096031106</v>
      </c>
      <c r="BW95" s="415">
        <f t="shared" si="325"/>
        <v>64.685955199166585</v>
      </c>
      <c r="BX95" s="415">
        <f t="shared" si="325"/>
        <v>-3.5314208661635371</v>
      </c>
      <c r="BY95" s="482">
        <f t="shared" si="325"/>
        <v>-42.306780626038545</v>
      </c>
      <c r="CC95" s="470"/>
      <c r="CD95" s="970">
        <f t="shared" si="326"/>
        <v>24.570109320695423</v>
      </c>
      <c r="CE95" s="415">
        <f t="shared" si="326"/>
        <v>69.334968859702528</v>
      </c>
      <c r="CF95" s="415">
        <f t="shared" si="326"/>
        <v>12.770620684228462</v>
      </c>
      <c r="CG95" s="482">
        <f t="shared" si="326"/>
        <v>-6.7045513605762386</v>
      </c>
      <c r="CH95" s="970">
        <f t="shared" si="326"/>
        <v>11.127695186958775</v>
      </c>
      <c r="CI95" s="415">
        <f t="shared" si="326"/>
        <v>12.717314272590595</v>
      </c>
      <c r="CJ95" s="415">
        <f t="shared" si="326"/>
        <v>143.05037912985318</v>
      </c>
      <c r="CK95" s="482">
        <f t="shared" si="326"/>
        <v>108.99738026703216</v>
      </c>
      <c r="CL95" s="970">
        <f t="shared" si="311"/>
        <v>-81.389791865535415</v>
      </c>
      <c r="CM95" s="415">
        <f t="shared" si="311"/>
        <v>-101.47983239673752</v>
      </c>
      <c r="CN95" s="415">
        <f t="shared" si="311"/>
        <v>89.222179994126463</v>
      </c>
      <c r="CO95" s="482">
        <f t="shared" si="311"/>
        <v>49.22163255210166</v>
      </c>
      <c r="CP95" s="970">
        <f t="shared" si="327"/>
        <v>21.873089842080475</v>
      </c>
      <c r="CQ95" s="415">
        <f t="shared" si="327"/>
        <v>5.6977820860651391</v>
      </c>
      <c r="CR95" s="415">
        <f t="shared" si="327"/>
        <v>-88.559488071366658</v>
      </c>
      <c r="CS95" s="482">
        <f t="shared" si="327"/>
        <v>-63.286724291350957</v>
      </c>
      <c r="CT95" s="970">
        <f t="shared" si="327"/>
        <v>-59.338128002502657</v>
      </c>
      <c r="CU95" s="415">
        <f t="shared" si="327"/>
        <v>-123.31075095370375</v>
      </c>
      <c r="CV95" s="415">
        <f t="shared" si="327"/>
        <v>-134.76909034821765</v>
      </c>
      <c r="CW95" s="415">
        <f t="shared" si="327"/>
        <v>-16.659722961859526</v>
      </c>
      <c r="CX95" s="415">
        <f t="shared" si="327"/>
        <v>22.03913885738179</v>
      </c>
      <c r="CY95" s="415">
        <f t="shared" si="312"/>
        <v>62.298623068073326</v>
      </c>
      <c r="CZ95" s="415">
        <f t="shared" si="312"/>
        <v>56.665012161217774</v>
      </c>
      <c r="DA95" s="482">
        <f t="shared" si="312"/>
        <v>38.146976548806002</v>
      </c>
      <c r="DB95" s="415">
        <f t="shared" si="312"/>
        <v>-9.0577571489183768</v>
      </c>
      <c r="DC95" s="415">
        <f t="shared" si="313"/>
        <v>-44.490664100900467</v>
      </c>
      <c r="DD95" s="415">
        <f t="shared" si="314"/>
        <v>-3.7561819464568269</v>
      </c>
      <c r="DE95" s="482">
        <f t="shared" si="315"/>
        <v>-4.6419768186350963</v>
      </c>
      <c r="DF95" s="415">
        <f t="shared" si="316"/>
        <v>-17.243571781101753</v>
      </c>
      <c r="DG95" s="415">
        <f t="shared" si="316"/>
        <v>-32.046265439794055</v>
      </c>
      <c r="DH95" s="415">
        <f t="shared" si="317"/>
        <v>-40.084613410037996</v>
      </c>
      <c r="DI95" s="482">
        <f t="shared" si="318"/>
        <v>2.0635468133128887</v>
      </c>
      <c r="DJ95" s="1795">
        <f t="shared" si="317"/>
        <v>11.636575522676051</v>
      </c>
      <c r="DK95" s="415">
        <f t="shared" si="317"/>
        <v>10.318760831868612</v>
      </c>
      <c r="DL95" s="415">
        <f t="shared" si="317"/>
        <v>-7.4666250590074696</v>
      </c>
      <c r="DM95" s="482">
        <f t="shared" si="317"/>
        <v>-47.779587342261507</v>
      </c>
      <c r="DN95" s="415"/>
      <c r="DO95" s="1584"/>
      <c r="DP95" s="1585"/>
      <c r="DQ95" s="415">
        <f t="shared" si="330"/>
        <v>1806.3767244546877</v>
      </c>
      <c r="DR95" s="415">
        <f t="shared" si="330"/>
        <v>253.89113268816905</v>
      </c>
      <c r="DS95" s="415">
        <f t="shared" si="330"/>
        <v>-79.072848123250267</v>
      </c>
      <c r="DT95" s="415">
        <f t="shared" si="330"/>
        <v>2.1919462304664794</v>
      </c>
      <c r="DU95" s="415">
        <f t="shared" si="330"/>
        <v>-134.95511700139602</v>
      </c>
      <c r="DV95" s="415">
        <f t="shared" si="330"/>
        <v>-210.54531238849955</v>
      </c>
      <c r="DW95" s="415">
        <f t="shared" ref="DW95:EP95" si="335">(DW80-DV80)*10000</f>
        <v>-197.78054911234494</v>
      </c>
      <c r="DX95" s="415">
        <f t="shared" si="335"/>
        <v>-251.57792417965896</v>
      </c>
      <c r="DY95" s="415">
        <f t="shared" si="335"/>
        <v>-145.26716785270455</v>
      </c>
      <c r="DZ95" s="415">
        <f t="shared" si="335"/>
        <v>8.5358720484776658</v>
      </c>
      <c r="EA95" s="415">
        <f t="shared" si="335"/>
        <v>156.37374768205882</v>
      </c>
      <c r="EB95" s="415">
        <f t="shared" si="335"/>
        <v>76.432672891868648</v>
      </c>
      <c r="EC95" s="415">
        <f t="shared" si="335"/>
        <v>91.415412883778799</v>
      </c>
      <c r="ED95" s="415">
        <f t="shared" si="335"/>
        <v>20.352298482489985</v>
      </c>
      <c r="EE95" s="415">
        <f t="shared" si="335"/>
        <v>97.634716855718452</v>
      </c>
      <c r="EF95" s="415">
        <f t="shared" si="335"/>
        <v>140.93851854076632</v>
      </c>
      <c r="EG95" s="415">
        <f t="shared" si="335"/>
        <v>234.62524475261398</v>
      </c>
      <c r="EH95" s="415">
        <f t="shared" si="335"/>
        <v>-75.721334630385613</v>
      </c>
      <c r="EI95" s="415">
        <f t="shared" si="335"/>
        <v>-119.22258312381473</v>
      </c>
      <c r="EJ95" s="415">
        <f t="shared" si="335"/>
        <v>149.15566923290879</v>
      </c>
      <c r="EK95" s="415">
        <f t="shared" si="335"/>
        <v>-81.420125174160859</v>
      </c>
      <c r="EL95" s="415">
        <f t="shared" si="335"/>
        <v>-42.088651755245735</v>
      </c>
      <c r="EM95" s="415">
        <f t="shared" si="335"/>
        <v>119.34334025845844</v>
      </c>
      <c r="EN95" s="415">
        <f t="shared" si="335"/>
        <v>-19.197122064028569</v>
      </c>
      <c r="EO95" s="415">
        <f t="shared" si="335"/>
        <v>58.866925354013333</v>
      </c>
      <c r="EP95" s="415">
        <f t="shared" si="335"/>
        <v>-5.5533244921501801</v>
      </c>
      <c r="EQ95" s="415">
        <f t="shared" si="320"/>
        <v>9.128149957673692</v>
      </c>
      <c r="ER95" s="970">
        <f t="shared" si="321"/>
        <v>21.951459944723474</v>
      </c>
      <c r="ES95" s="415">
        <f t="shared" si="321"/>
        <v>70.317591987862642</v>
      </c>
      <c r="ET95" s="415">
        <f t="shared" si="322"/>
        <v>-9.2709039321098317</v>
      </c>
      <c r="EU95" s="415">
        <f t="shared" ref="EU95:FH95" si="336">(EU80-ET80)*10000</f>
        <v>-35.519232798355837</v>
      </c>
      <c r="EV95" s="415">
        <f t="shared" si="336"/>
        <v>-77.691946120202743</v>
      </c>
      <c r="EW95" s="415">
        <f t="shared" si="336"/>
        <v>47.207347902603338</v>
      </c>
      <c r="EX95" s="415">
        <f t="shared" si="336"/>
        <v>-12.701369703603527</v>
      </c>
      <c r="EY95" s="415">
        <f t="shared" si="336"/>
        <v>-27.548543087886067</v>
      </c>
      <c r="EZ95" s="1795">
        <f t="shared" si="336"/>
        <v>-12.426026765295362</v>
      </c>
      <c r="FA95" s="415">
        <f t="shared" si="336"/>
        <v>-10.288800864674819</v>
      </c>
      <c r="FB95" s="415">
        <f t="shared" si="336"/>
        <v>-4.9836575174264102</v>
      </c>
      <c r="FC95" s="415">
        <f t="shared" si="336"/>
        <v>-0.54565116979016226</v>
      </c>
      <c r="FD95" s="415">
        <f t="shared" si="336"/>
        <v>-0.61087199015902316</v>
      </c>
      <c r="FE95" s="415">
        <f t="shared" si="336"/>
        <v>-0.60593174925349658</v>
      </c>
      <c r="FF95" s="415">
        <f t="shared" si="336"/>
        <v>-0.60070208106943745</v>
      </c>
      <c r="FG95" s="415">
        <f t="shared" si="336"/>
        <v>-0.595175924806568</v>
      </c>
      <c r="FH95" s="415">
        <f t="shared" si="336"/>
        <v>-0.58934690912337828</v>
      </c>
      <c r="FI95" s="1586"/>
      <c r="FJ95"/>
      <c r="FK95"/>
      <c r="FL95"/>
      <c r="FM95"/>
      <c r="FN95"/>
      <c r="FO95"/>
      <c r="FS95" s="415"/>
      <c r="FT95" s="415"/>
      <c r="FU95"/>
      <c r="FV95" s="415"/>
      <c r="FW95" s="415"/>
      <c r="FX95" s="41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row>
    <row r="96" spans="1:260" s="4" customFormat="1" ht="12.75" customHeight="1" x14ac:dyDescent="0.2">
      <c r="A96" s="1048" t="s">
        <v>161</v>
      </c>
      <c r="B96" s="3"/>
      <c r="C96" s="3"/>
      <c r="D96" s="3"/>
      <c r="E96" s="470"/>
      <c r="F96" s="415">
        <f t="shared" si="303"/>
        <v>95.820579232399339</v>
      </c>
      <c r="G96" s="415">
        <f t="shared" si="303"/>
        <v>91.01216067348787</v>
      </c>
      <c r="H96" s="415">
        <f t="shared" si="303"/>
        <v>76.762890676220152</v>
      </c>
      <c r="I96" s="482">
        <f t="shared" si="303"/>
        <v>59.45218326022502</v>
      </c>
      <c r="J96" s="415">
        <f t="shared" si="303"/>
        <v>4.3073755542943033</v>
      </c>
      <c r="K96" s="415">
        <f t="shared" si="303"/>
        <v>0.84331577811449721</v>
      </c>
      <c r="L96" s="415">
        <f t="shared" si="303"/>
        <v>-2.3878786898646425</v>
      </c>
      <c r="M96" s="482">
        <f t="shared" si="303"/>
        <v>-2.9907635478824015</v>
      </c>
      <c r="N96" s="415">
        <f t="shared" si="303"/>
        <v>3.9654152926621444</v>
      </c>
      <c r="O96" s="415">
        <f t="shared" si="303"/>
        <v>2.7673814623093742</v>
      </c>
      <c r="P96" s="415">
        <f t="shared" si="304"/>
        <v>9.6722070973599354</v>
      </c>
      <c r="Q96" s="482">
        <f t="shared" si="304"/>
        <v>12.12541711863112</v>
      </c>
      <c r="R96" s="415">
        <f t="shared" si="304"/>
        <v>2.3147053567803764</v>
      </c>
      <c r="S96" s="415">
        <f t="shared" si="304"/>
        <v>7.1279746740146939</v>
      </c>
      <c r="T96" s="415">
        <f t="shared" si="304"/>
        <v>-1.975987502504245</v>
      </c>
      <c r="U96" s="482">
        <f t="shared" si="304"/>
        <v>-2.1234358795331043</v>
      </c>
      <c r="V96" s="415">
        <f t="shared" si="304"/>
        <v>-15.59011015270147</v>
      </c>
      <c r="W96" s="415">
        <f t="shared" si="304"/>
        <v>-15.800367753779874</v>
      </c>
      <c r="X96" s="415">
        <f t="shared" si="304"/>
        <v>-1.5405766116569595</v>
      </c>
      <c r="Y96" s="482">
        <f t="shared" si="304"/>
        <v>-2.8846704427355414</v>
      </c>
      <c r="Z96" s="415">
        <f t="shared" si="305"/>
        <v>8.27523841853783</v>
      </c>
      <c r="AA96" s="415">
        <f t="shared" si="305"/>
        <v>-2.3069547248650775</v>
      </c>
      <c r="AB96" s="415">
        <f t="shared" si="305"/>
        <v>1.3246644539090247E-3</v>
      </c>
      <c r="AC96" s="482">
        <f t="shared" si="305"/>
        <v>25.437323067338188</v>
      </c>
      <c r="AD96" s="415">
        <f t="shared" si="305"/>
        <v>8.8792822093051491</v>
      </c>
      <c r="AE96" s="415">
        <f t="shared" si="305"/>
        <v>33.106264516322511</v>
      </c>
      <c r="AF96" s="415">
        <f t="shared" si="305"/>
        <v>34.685271871854539</v>
      </c>
      <c r="AG96" s="482">
        <f t="shared" si="305"/>
        <v>8.0251065235612327</v>
      </c>
      <c r="AH96" s="415">
        <f t="shared" si="305"/>
        <v>73.25553680984757</v>
      </c>
      <c r="AI96" s="415">
        <f t="shared" si="305"/>
        <v>44.153203280255759</v>
      </c>
      <c r="AJ96" s="415">
        <f t="shared" si="306"/>
        <v>46.683505432741185</v>
      </c>
      <c r="AK96" s="482">
        <f t="shared" si="306"/>
        <v>14.706690903260808</v>
      </c>
      <c r="AL96" s="415">
        <f t="shared" si="306"/>
        <v>21.056603647270773</v>
      </c>
      <c r="AM96" s="415">
        <f t="shared" si="306"/>
        <v>25.083181263690427</v>
      </c>
      <c r="AN96" s="415">
        <f t="shared" si="306"/>
        <v>21.299398976422427</v>
      </c>
      <c r="AO96" s="482">
        <f t="shared" si="306"/>
        <v>-47.360957312780904</v>
      </c>
      <c r="AP96" s="415">
        <f t="shared" si="306"/>
        <v>7.6553907695645771</v>
      </c>
      <c r="AQ96" s="415">
        <f t="shared" si="306"/>
        <v>-15.489494973849673</v>
      </c>
      <c r="AR96" s="415">
        <f t="shared" si="306"/>
        <v>-29.022437082135056</v>
      </c>
      <c r="AS96" s="482">
        <f t="shared" si="306"/>
        <v>56.337452386374324</v>
      </c>
      <c r="AT96" s="415">
        <f t="shared" si="307"/>
        <v>-21.94950792095019</v>
      </c>
      <c r="AU96" s="415">
        <f t="shared" si="307"/>
        <v>-1.088769458858392</v>
      </c>
      <c r="AV96" s="415">
        <f t="shared" si="307"/>
        <v>5.2927189585936194</v>
      </c>
      <c r="AW96" s="482">
        <f t="shared" si="307"/>
        <v>38.590707570447073</v>
      </c>
      <c r="AX96" s="415">
        <f t="shared" si="307"/>
        <v>-9.8277109169123129</v>
      </c>
      <c r="AY96" s="415">
        <f t="shared" si="307"/>
        <v>-0.80150858345506837</v>
      </c>
      <c r="AZ96" s="415">
        <f t="shared" si="307"/>
        <v>-8.1411944377016336</v>
      </c>
      <c r="BA96" s="482">
        <f t="shared" si="307"/>
        <v>-44.286530313884207</v>
      </c>
      <c r="BB96" s="415">
        <f t="shared" si="307"/>
        <v>-4.2872414672198014</v>
      </c>
      <c r="BC96" s="415">
        <f t="shared" si="307"/>
        <v>-4.1976001478629188</v>
      </c>
      <c r="BD96" s="415">
        <f t="shared" si="308"/>
        <v>-6.162242291585657</v>
      </c>
      <c r="BE96" s="482">
        <f t="shared" si="308"/>
        <v>-6.4929779419060223</v>
      </c>
      <c r="BF96" s="415">
        <f t="shared" si="324"/>
        <v>-3.5715326118615152</v>
      </c>
      <c r="BG96" s="415">
        <f t="shared" si="324"/>
        <v>0.16264256590445281</v>
      </c>
      <c r="BH96" s="415">
        <f t="shared" si="324"/>
        <v>-4.1516908285150516</v>
      </c>
      <c r="BI96" s="482">
        <f t="shared" si="324"/>
        <v>11.452530328067596</v>
      </c>
      <c r="BJ96" s="415">
        <f t="shared" si="324"/>
        <v>-0.11492522212910167</v>
      </c>
      <c r="BK96" s="415">
        <f t="shared" si="324"/>
        <v>-1.3227804742956331</v>
      </c>
      <c r="BL96" s="415">
        <f t="shared" si="324"/>
        <v>75.506428896752254</v>
      </c>
      <c r="BM96" s="482">
        <f t="shared" si="324"/>
        <v>36.898639847238975</v>
      </c>
      <c r="BN96" s="415">
        <f t="shared" si="324"/>
        <v>44.768800951582868</v>
      </c>
      <c r="BO96" s="415">
        <f t="shared" si="324"/>
        <v>47.239466582598489</v>
      </c>
      <c r="BP96" s="415">
        <f t="shared" si="325"/>
        <v>-24.405970667360915</v>
      </c>
      <c r="BQ96" s="482">
        <f t="shared" si="325"/>
        <v>-8.2731711938008843</v>
      </c>
      <c r="BR96" s="415">
        <f t="shared" si="325"/>
        <v>10.31325977883326</v>
      </c>
      <c r="BS96" s="415">
        <f t="shared" si="325"/>
        <v>-0.59306220596831016</v>
      </c>
      <c r="BT96" s="415">
        <f t="shared" si="325"/>
        <v>18.144954833814278</v>
      </c>
      <c r="BU96" s="482">
        <f t="shared" si="325"/>
        <v>3.3303532651740055</v>
      </c>
      <c r="BV96" s="415">
        <f t="shared" si="325"/>
        <v>-9.5490390711685045</v>
      </c>
      <c r="BW96" s="415">
        <f t="shared" si="325"/>
        <v>0.73330744515816981</v>
      </c>
      <c r="BX96" s="415">
        <f t="shared" si="325"/>
        <v>-19.335853472935739</v>
      </c>
      <c r="BY96" s="482">
        <f t="shared" si="325"/>
        <v>-8.2277220515054523</v>
      </c>
      <c r="CC96" s="470"/>
      <c r="CD96" s="970">
        <f t="shared" si="326"/>
        <v>-7.0443698110262893</v>
      </c>
      <c r="CE96" s="415">
        <f t="shared" si="326"/>
        <v>1.8461858965389613</v>
      </c>
      <c r="CF96" s="415">
        <f t="shared" si="326"/>
        <v>-20.398135382012455</v>
      </c>
      <c r="CG96" s="482">
        <f t="shared" si="326"/>
        <v>-4.5680403145490631</v>
      </c>
      <c r="CH96" s="970">
        <f t="shared" si="326"/>
        <v>-3.4476543608884596</v>
      </c>
      <c r="CI96" s="415">
        <f t="shared" si="326"/>
        <v>-3.9795374307613831</v>
      </c>
      <c r="CJ96" s="415">
        <f t="shared" si="326"/>
        <v>-0.81382027538969004</v>
      </c>
      <c r="CK96" s="482">
        <f t="shared" si="326"/>
        <v>-5.7288318489409802</v>
      </c>
      <c r="CL96" s="970">
        <f t="shared" si="311"/>
        <v>20.895757562981697</v>
      </c>
      <c r="CM96" s="415">
        <f t="shared" si="311"/>
        <v>23.982734821833759</v>
      </c>
      <c r="CN96" s="415">
        <f t="shared" si="311"/>
        <v>29.380711822226505</v>
      </c>
      <c r="CO96" s="482">
        <f t="shared" si="311"/>
        <v>10.462849482569537</v>
      </c>
      <c r="CP96" s="970">
        <f t="shared" si="327"/>
        <v>6.7372749145061182</v>
      </c>
      <c r="CQ96" s="415">
        <f t="shared" si="327"/>
        <v>-41.481202174030905</v>
      </c>
      <c r="CR96" s="415">
        <f t="shared" si="327"/>
        <v>-53.995026329720048</v>
      </c>
      <c r="CS96" s="482">
        <f t="shared" si="327"/>
        <v>-35.465503872642024</v>
      </c>
      <c r="CT96" s="970">
        <f t="shared" si="327"/>
        <v>-48.850891244630809</v>
      </c>
      <c r="CU96" s="415">
        <f t="shared" si="327"/>
        <v>-15.872978060122861</v>
      </c>
      <c r="CV96" s="415">
        <f t="shared" si="327"/>
        <v>3.0272363932201674E-2</v>
      </c>
      <c r="CW96" s="415">
        <f t="shared" si="327"/>
        <v>2.6899674066134525</v>
      </c>
      <c r="CX96" s="415">
        <f t="shared" si="327"/>
        <v>4.1008994115475028</v>
      </c>
      <c r="CY96" s="415">
        <f t="shared" si="312"/>
        <v>4.3517767081787531</v>
      </c>
      <c r="CZ96" s="415">
        <f t="shared" si="312"/>
        <v>7.8139978994945167</v>
      </c>
      <c r="DA96" s="482">
        <f t="shared" si="312"/>
        <v>-1.3994477954337032</v>
      </c>
      <c r="DB96" s="415">
        <f t="shared" si="312"/>
        <v>1.4098640438222483</v>
      </c>
      <c r="DC96" s="415">
        <f t="shared" si="313"/>
        <v>2.2318439678730915</v>
      </c>
      <c r="DD96" s="415">
        <f t="shared" si="314"/>
        <v>-7.1551393400764649</v>
      </c>
      <c r="DE96" s="482">
        <f t="shared" si="315"/>
        <v>1.2513524194223553</v>
      </c>
      <c r="DF96" s="415">
        <f t="shared" si="316"/>
        <v>-3.0850573062623372</v>
      </c>
      <c r="DG96" s="415">
        <f t="shared" si="316"/>
        <v>-5.4474653083921503</v>
      </c>
      <c r="DH96" s="415">
        <f t="shared" si="317"/>
        <v>0.13374532491120666</v>
      </c>
      <c r="DI96" s="482">
        <f t="shared" si="318"/>
        <v>-1.784583441203514</v>
      </c>
      <c r="DJ96" s="1795">
        <f t="shared" si="317"/>
        <v>-12.789868667917453</v>
      </c>
      <c r="DK96" s="415">
        <f t="shared" si="317"/>
        <v>-11.919463087248298</v>
      </c>
      <c r="DL96" s="415">
        <f t="shared" si="317"/>
        <v>-7.4763948497854127</v>
      </c>
      <c r="DM96" s="482">
        <f t="shared" si="317"/>
        <v>56.882640109353659</v>
      </c>
      <c r="DN96" s="415"/>
      <c r="DO96" s="1584"/>
      <c r="DP96" s="1585"/>
      <c r="DQ96" s="415">
        <f t="shared" si="330"/>
        <v>68.685907071516851</v>
      </c>
      <c r="DR96" s="415">
        <f t="shared" si="330"/>
        <v>44.196745989707637</v>
      </c>
      <c r="DS96" s="415">
        <f t="shared" si="330"/>
        <v>24.108785220589862</v>
      </c>
      <c r="DT96" s="415">
        <f t="shared" si="330"/>
        <v>-30.215577893786676</v>
      </c>
      <c r="DU96" s="415">
        <f t="shared" si="330"/>
        <v>10.443309225538645</v>
      </c>
      <c r="DV96" s="415">
        <f t="shared" si="330"/>
        <v>-9.5168337862170524</v>
      </c>
      <c r="DW96" s="415">
        <f t="shared" ref="DW96:EP96" si="337">(DW81-DV81)*10000</f>
        <v>-16.145536907857771</v>
      </c>
      <c r="DX96" s="415">
        <f t="shared" si="337"/>
        <v>-17.01248975817818</v>
      </c>
      <c r="DY96" s="415">
        <f t="shared" si="337"/>
        <v>1.3875541479457192</v>
      </c>
      <c r="DZ96" s="415">
        <f t="shared" si="337"/>
        <v>8.1438395047803147E-2</v>
      </c>
      <c r="EA96" s="415">
        <f t="shared" si="337"/>
        <v>10.007450911647251</v>
      </c>
      <c r="EB96" s="415">
        <f t="shared" si="337"/>
        <v>-0.37543602116899</v>
      </c>
      <c r="EC96" s="415">
        <f t="shared" si="337"/>
        <v>-7.7816738993539882</v>
      </c>
      <c r="ED96" s="415">
        <f t="shared" si="337"/>
        <v>9.8110798499011658</v>
      </c>
      <c r="EE96" s="415">
        <f t="shared" si="337"/>
        <v>19.981465868395553</v>
      </c>
      <c r="EF96" s="415">
        <f t="shared" si="337"/>
        <v>39.815363354399942</v>
      </c>
      <c r="EG96" s="415">
        <f t="shared" si="337"/>
        <v>0.5280662973739837</v>
      </c>
      <c r="EH96" s="415">
        <f t="shared" si="337"/>
        <v>8.8551385040643549</v>
      </c>
      <c r="EI96" s="415">
        <f t="shared" si="337"/>
        <v>10.461978749210544</v>
      </c>
      <c r="EJ96" s="415">
        <f t="shared" si="337"/>
        <v>-19.495158555291187</v>
      </c>
      <c r="EK96" s="415">
        <f t="shared" si="337"/>
        <v>-6.1729988150244042</v>
      </c>
      <c r="EL96" s="415">
        <f t="shared" si="337"/>
        <v>3.268094964613919</v>
      </c>
      <c r="EM96" s="415">
        <f t="shared" si="337"/>
        <v>31.246828142128848</v>
      </c>
      <c r="EN96" s="415">
        <f t="shared" si="337"/>
        <v>10.176902212796318</v>
      </c>
      <c r="EO96" s="415">
        <f t="shared" si="337"/>
        <v>8.2012899210514085</v>
      </c>
      <c r="EP96" s="415">
        <f t="shared" si="337"/>
        <v>-9.305688798272211</v>
      </c>
      <c r="EQ96" s="415">
        <f t="shared" si="320"/>
        <v>9.6437256246293881</v>
      </c>
      <c r="ER96" s="970">
        <f t="shared" si="321"/>
        <v>-7.1389819131527021</v>
      </c>
      <c r="ES96" s="415">
        <f t="shared" si="321"/>
        <v>-4.0443569913669801</v>
      </c>
      <c r="ET96" s="415">
        <f t="shared" si="322"/>
        <v>19.35101603562136</v>
      </c>
      <c r="EU96" s="415">
        <f t="shared" ref="EU96:FH96" si="338">(EU81-ET81)*10000</f>
        <v>-31.88925109468256</v>
      </c>
      <c r="EV96" s="415">
        <f t="shared" si="338"/>
        <v>-13.685131509399012</v>
      </c>
      <c r="EW96" s="415">
        <f t="shared" si="338"/>
        <v>3.5895128494569524</v>
      </c>
      <c r="EX96" s="415">
        <f t="shared" si="338"/>
        <v>-0.23408340335609457</v>
      </c>
      <c r="EY96" s="415">
        <f t="shared" si="338"/>
        <v>-3.9407219920609138</v>
      </c>
      <c r="EZ96" s="1795">
        <f t="shared" si="338"/>
        <v>13.963512134943407</v>
      </c>
      <c r="FA96" s="415">
        <f t="shared" si="338"/>
        <v>0</v>
      </c>
      <c r="FB96" s="415">
        <f t="shared" si="338"/>
        <v>0</v>
      </c>
      <c r="FC96" s="415">
        <f t="shared" si="338"/>
        <v>0</v>
      </c>
      <c r="FD96" s="415">
        <f t="shared" si="338"/>
        <v>0</v>
      </c>
      <c r="FE96" s="415">
        <f t="shared" si="338"/>
        <v>0</v>
      </c>
      <c r="FF96" s="415">
        <f t="shared" si="338"/>
        <v>0</v>
      </c>
      <c r="FG96" s="415">
        <f t="shared" si="338"/>
        <v>0</v>
      </c>
      <c r="FH96" s="415">
        <f t="shared" si="338"/>
        <v>0</v>
      </c>
      <c r="FI96" s="1586"/>
      <c r="FJ96"/>
      <c r="FK96"/>
      <c r="FL96"/>
      <c r="FM96"/>
      <c r="FN96"/>
      <c r="FO96"/>
      <c r="FS96" s="415"/>
      <c r="FT96" s="415"/>
      <c r="FU96"/>
      <c r="FV96" s="415"/>
      <c r="FW96" s="415"/>
      <c r="FX96" s="415"/>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row>
    <row r="97" spans="1:260" s="4" customFormat="1" ht="12.75" customHeight="1" x14ac:dyDescent="0.2">
      <c r="A97" s="1302" t="s">
        <v>2</v>
      </c>
      <c r="B97" s="401"/>
      <c r="C97" s="401"/>
      <c r="D97" s="401"/>
      <c r="E97" s="469"/>
      <c r="F97" s="19">
        <f t="shared" si="303"/>
        <v>137.74429008712036</v>
      </c>
      <c r="G97" s="19">
        <f t="shared" si="303"/>
        <v>189.2362822716494</v>
      </c>
      <c r="H97" s="19">
        <f t="shared" si="303"/>
        <v>281.60468667006006</v>
      </c>
      <c r="I97" s="19">
        <f t="shared" si="303"/>
        <v>280.25623603379563</v>
      </c>
      <c r="J97" s="19">
        <f t="shared" si="303"/>
        <v>-9.5855288714621558</v>
      </c>
      <c r="K97" s="19">
        <f t="shared" si="303"/>
        <v>-55.688378402772351</v>
      </c>
      <c r="L97" s="19">
        <f t="shared" si="303"/>
        <v>-60.85878030202656</v>
      </c>
      <c r="M97" s="19">
        <f t="shared" si="303"/>
        <v>-107.75421317588966</v>
      </c>
      <c r="N97" s="19">
        <f t="shared" si="303"/>
        <v>-49.047311311433297</v>
      </c>
      <c r="O97" s="19">
        <f t="shared" si="303"/>
        <v>-22.87907824930161</v>
      </c>
      <c r="P97" s="19">
        <f t="shared" si="304"/>
        <v>-236.23917003647941</v>
      </c>
      <c r="Q97" s="19">
        <f t="shared" si="304"/>
        <v>-71.63025736772255</v>
      </c>
      <c r="R97" s="19">
        <f t="shared" si="304"/>
        <v>-46.644382254333699</v>
      </c>
      <c r="S97" s="19">
        <f t="shared" si="304"/>
        <v>0.45071236940892945</v>
      </c>
      <c r="T97" s="19">
        <f t="shared" si="304"/>
        <v>266.63493541105498</v>
      </c>
      <c r="U97" s="19">
        <f t="shared" si="304"/>
        <v>280.59155131261656</v>
      </c>
      <c r="V97" s="19">
        <f t="shared" si="304"/>
        <v>85.074202573795773</v>
      </c>
      <c r="W97" s="19">
        <f t="shared" si="304"/>
        <v>203.13369215603583</v>
      </c>
      <c r="X97" s="19">
        <f t="shared" si="304"/>
        <v>110.86913923302328</v>
      </c>
      <c r="Y97" s="19">
        <f t="shared" si="304"/>
        <v>109.82582131232148</v>
      </c>
      <c r="Z97" s="19">
        <f t="shared" si="305"/>
        <v>183.03753503205073</v>
      </c>
      <c r="AA97" s="19">
        <f t="shared" si="305"/>
        <v>19.271172082297173</v>
      </c>
      <c r="AB97" s="19">
        <f t="shared" si="305"/>
        <v>32.5006308152008</v>
      </c>
      <c r="AC97" s="19">
        <f t="shared" si="305"/>
        <v>100.56899986474451</v>
      </c>
      <c r="AD97" s="19">
        <f t="shared" si="305"/>
        <v>65.576139310512715</v>
      </c>
      <c r="AE97" s="19">
        <f t="shared" si="305"/>
        <v>30.450908666288246</v>
      </c>
      <c r="AF97" s="19">
        <f t="shared" si="305"/>
        <v>-166.72157662181289</v>
      </c>
      <c r="AG97" s="19">
        <f t="shared" si="305"/>
        <v>-50.441703235468708</v>
      </c>
      <c r="AH97" s="19">
        <f t="shared" si="305"/>
        <v>-122.71431703041056</v>
      </c>
      <c r="AI97" s="19">
        <f t="shared" si="305"/>
        <v>-8.5478373105124525</v>
      </c>
      <c r="AJ97" s="19">
        <f t="shared" si="306"/>
        <v>43.446467883965468</v>
      </c>
      <c r="AK97" s="19">
        <f t="shared" si="306"/>
        <v>275.20247643038789</v>
      </c>
      <c r="AL97" s="19">
        <f t="shared" si="306"/>
        <v>63.556040717372902</v>
      </c>
      <c r="AM97" s="19">
        <f t="shared" si="306"/>
        <v>-76.448234828767923</v>
      </c>
      <c r="AN97" s="19">
        <f t="shared" si="306"/>
        <v>1.6149629906705294</v>
      </c>
      <c r="AO97" s="19">
        <f t="shared" si="306"/>
        <v>59.042843010362887</v>
      </c>
      <c r="AP97" s="19">
        <f t="shared" si="306"/>
        <v>-62.780729949870882</v>
      </c>
      <c r="AQ97" s="19">
        <f t="shared" si="306"/>
        <v>145.4091971241032</v>
      </c>
      <c r="AR97" s="19">
        <f t="shared" si="306"/>
        <v>62.029340561118339</v>
      </c>
      <c r="AS97" s="19">
        <f t="shared" si="306"/>
        <v>22.669409266147937</v>
      </c>
      <c r="AT97" s="19">
        <f t="shared" si="307"/>
        <v>91.611767482385403</v>
      </c>
      <c r="AU97" s="19">
        <f t="shared" si="307"/>
        <v>-26.362120088954804</v>
      </c>
      <c r="AV97" s="19">
        <f t="shared" si="307"/>
        <v>15.653438918017681</v>
      </c>
      <c r="AW97" s="19">
        <f t="shared" si="307"/>
        <v>-49.734653209613924</v>
      </c>
      <c r="AX97" s="19">
        <f t="shared" si="307"/>
        <v>54.822833606230844</v>
      </c>
      <c r="AY97" s="19">
        <f t="shared" si="307"/>
        <v>-8.5903265325354425</v>
      </c>
      <c r="AZ97" s="19">
        <f t="shared" si="307"/>
        <v>-92.865363866350521</v>
      </c>
      <c r="BA97" s="19">
        <f t="shared" si="307"/>
        <v>44.511130270802752</v>
      </c>
      <c r="BB97" s="19">
        <f t="shared" si="307"/>
        <v>93.6144412087029</v>
      </c>
      <c r="BC97" s="19">
        <f t="shared" si="307"/>
        <v>44.603205797645458</v>
      </c>
      <c r="BD97" s="19">
        <f t="shared" si="308"/>
        <v>-26.345685573590309</v>
      </c>
      <c r="BE97" s="19">
        <f t="shared" si="308"/>
        <v>-12.419215053146859</v>
      </c>
      <c r="BF97" s="19">
        <f t="shared" si="324"/>
        <v>-148.70297732073172</v>
      </c>
      <c r="BG97" s="19">
        <f t="shared" si="324"/>
        <v>24.246519231130581</v>
      </c>
      <c r="BH97" s="19">
        <f t="shared" si="324"/>
        <v>122.22250171730977</v>
      </c>
      <c r="BI97" s="19">
        <f t="shared" si="324"/>
        <v>-28.847614608242395</v>
      </c>
      <c r="BJ97" s="19">
        <f t="shared" si="324"/>
        <v>-27.441869798283044</v>
      </c>
      <c r="BK97" s="19">
        <f t="shared" si="324"/>
        <v>-112.40264112991387</v>
      </c>
      <c r="BL97" s="19">
        <f t="shared" si="324"/>
        <v>-115.28465823494379</v>
      </c>
      <c r="BM97" s="19">
        <f t="shared" si="324"/>
        <v>-88.461294415344426</v>
      </c>
      <c r="BN97" s="19">
        <f t="shared" si="324"/>
        <v>36.604977959661319</v>
      </c>
      <c r="BO97" s="19">
        <f t="shared" si="324"/>
        <v>-91.845693369917612</v>
      </c>
      <c r="BP97" s="19">
        <f t="shared" si="325"/>
        <v>74.447047933119265</v>
      </c>
      <c r="BQ97" s="19">
        <f t="shared" si="325"/>
        <v>11.706570678367139</v>
      </c>
      <c r="BR97" s="19">
        <f t="shared" si="325"/>
        <v>-54.56102504101095</v>
      </c>
      <c r="BS97" s="19">
        <f t="shared" si="325"/>
        <v>108.42844612469132</v>
      </c>
      <c r="BT97" s="19">
        <f t="shared" si="325"/>
        <v>11.093596378871084</v>
      </c>
      <c r="BU97" s="19">
        <f t="shared" si="325"/>
        <v>-20.287858767661511</v>
      </c>
      <c r="BV97" s="19">
        <f t="shared" si="325"/>
        <v>-30.566280184574531</v>
      </c>
      <c r="BW97" s="19">
        <f t="shared" si="325"/>
        <v>-107.77295554836384</v>
      </c>
      <c r="BX97" s="19">
        <f t="shared" si="325"/>
        <v>-52.704729018955007</v>
      </c>
      <c r="BY97" s="19">
        <f t="shared" si="325"/>
        <v>61.196961070260073</v>
      </c>
      <c r="BZ97" s="19"/>
      <c r="CA97" s="19"/>
      <c r="CB97" s="19"/>
      <c r="CC97" s="469"/>
      <c r="CD97" s="1583">
        <f t="shared" si="326"/>
        <v>30.102279976809768</v>
      </c>
      <c r="CE97" s="1879">
        <f t="shared" si="326"/>
        <v>-119.15089440904949</v>
      </c>
      <c r="CF97" s="1879">
        <f t="shared" si="326"/>
        <v>-50.638794550675605</v>
      </c>
      <c r="CG97" s="1581">
        <f t="shared" si="326"/>
        <v>-42.60516509583659</v>
      </c>
      <c r="CH97" s="1583">
        <f t="shared" si="326"/>
        <v>-73.071377665469697</v>
      </c>
      <c r="CI97" s="1879">
        <f t="shared" si="326"/>
        <v>-121.92991766021332</v>
      </c>
      <c r="CJ97" s="1879">
        <f t="shared" si="326"/>
        <v>-297.21862965031892</v>
      </c>
      <c r="CK97" s="1581">
        <f t="shared" si="326"/>
        <v>-163.28457611014557</v>
      </c>
      <c r="CL97" s="1583">
        <f t="shared" si="311"/>
        <v>-17.690653193029039</v>
      </c>
      <c r="CM97" s="1879">
        <f t="shared" si="311"/>
        <v>-45.687994095804932</v>
      </c>
      <c r="CN97" s="1879">
        <f t="shared" si="311"/>
        <v>-303.48189540927996</v>
      </c>
      <c r="CO97" s="1581">
        <f t="shared" si="311"/>
        <v>-145.72154257549542</v>
      </c>
      <c r="CP97" s="1583">
        <f t="shared" si="327"/>
        <v>-161.94208703530362</v>
      </c>
      <c r="CQ97" s="1879">
        <f t="shared" si="327"/>
        <v>29.454499063136275</v>
      </c>
      <c r="CR97" s="1879">
        <f t="shared" si="327"/>
        <v>112.90201433789682</v>
      </c>
      <c r="CS97" s="1581">
        <f t="shared" si="327"/>
        <v>-122.00739335570796</v>
      </c>
      <c r="CT97" s="1583">
        <f t="shared" si="327"/>
        <v>27.32202178916069</v>
      </c>
      <c r="CU97" s="1879">
        <f t="shared" si="327"/>
        <v>62.820426159906596</v>
      </c>
      <c r="CV97" s="1879">
        <f t="shared" si="327"/>
        <v>87.872235934665696</v>
      </c>
      <c r="CW97" s="1879">
        <f t="shared" si="327"/>
        <v>127.20661467230548</v>
      </c>
      <c r="CX97" s="1879">
        <f t="shared" si="327"/>
        <v>-12.769204454188936</v>
      </c>
      <c r="CY97" s="1879">
        <f t="shared" si="312"/>
        <v>39.89916487141268</v>
      </c>
      <c r="CZ97" s="1879">
        <f t="shared" si="312"/>
        <v>30.722177567537521</v>
      </c>
      <c r="DA97" s="1581">
        <f t="shared" si="312"/>
        <v>-2.3963005644797586</v>
      </c>
      <c r="DB97" s="1933">
        <f t="shared" si="312"/>
        <v>41.211708600491747</v>
      </c>
      <c r="DC97" s="1933">
        <f t="shared" si="313"/>
        <v>13.872035045928016</v>
      </c>
      <c r="DD97" s="1933">
        <f t="shared" si="314"/>
        <v>80.044286717451783</v>
      </c>
      <c r="DE97" s="1944">
        <f t="shared" si="315"/>
        <v>86.844282593500012</v>
      </c>
      <c r="DF97" s="1933">
        <f t="shared" si="316"/>
        <v>67.523214386108435</v>
      </c>
      <c r="DG97" s="1933">
        <f t="shared" si="316"/>
        <v>29.270491113458501</v>
      </c>
      <c r="DH97" s="1933">
        <f t="shared" si="317"/>
        <v>23.474403663782255</v>
      </c>
      <c r="DI97" s="1944">
        <f t="shared" si="318"/>
        <v>-20.941371893197502</v>
      </c>
      <c r="DJ97" s="2695">
        <f t="shared" si="317"/>
        <v>-22.019645915747621</v>
      </c>
      <c r="DK97" s="1879">
        <f t="shared" si="317"/>
        <v>-12.209267116948878</v>
      </c>
      <c r="DL97" s="1879">
        <f t="shared" si="317"/>
        <v>6.3178844623055372</v>
      </c>
      <c r="DM97" s="1581">
        <f t="shared" si="317"/>
        <v>-4.8570421579254006</v>
      </c>
      <c r="DN97" s="1582"/>
      <c r="DO97" s="1581"/>
      <c r="DP97" s="1582"/>
      <c r="DQ97" s="1582">
        <f t="shared" si="330"/>
        <v>639.88542606139561</v>
      </c>
      <c r="DR97" s="1582">
        <f t="shared" si="330"/>
        <v>-432.08659224215307</v>
      </c>
      <c r="DS97" s="1582">
        <f t="shared" si="330"/>
        <v>-35.516458958880015</v>
      </c>
      <c r="DT97" s="1582">
        <f t="shared" si="330"/>
        <v>84.069384913450577</v>
      </c>
      <c r="DU97" s="1582">
        <f t="shared" si="330"/>
        <v>-91.255185196821714</v>
      </c>
      <c r="DV97" s="1582">
        <f t="shared" si="330"/>
        <v>36.862784006281466</v>
      </c>
      <c r="DW97" s="1582">
        <f t="shared" ref="DW97:EP97" si="339">(DW82-DV82)*10000</f>
        <v>19.697972565669296</v>
      </c>
      <c r="DX97" s="1582">
        <f t="shared" si="339"/>
        <v>35.043574279035695</v>
      </c>
      <c r="DY97" s="1582">
        <f t="shared" si="339"/>
        <v>-16.638490499423092</v>
      </c>
      <c r="DZ97" s="1582">
        <f t="shared" si="339"/>
        <v>-70.256607563291894</v>
      </c>
      <c r="EA97" s="1582">
        <f t="shared" si="339"/>
        <v>-101.33563556698022</v>
      </c>
      <c r="EB97" s="1582">
        <f t="shared" si="339"/>
        <v>155.06860309466032</v>
      </c>
      <c r="EC97" s="1582">
        <f t="shared" si="339"/>
        <v>125.44717056405679</v>
      </c>
      <c r="ED97" s="1582">
        <f t="shared" si="339"/>
        <v>82.627634892580218</v>
      </c>
      <c r="EE97" s="1582">
        <f t="shared" si="339"/>
        <v>-37.147604304974408</v>
      </c>
      <c r="EF97" s="1582">
        <f t="shared" si="339"/>
        <v>83.668432283199735</v>
      </c>
      <c r="EG97" s="1582">
        <f t="shared" si="339"/>
        <v>4.0578956920552658</v>
      </c>
      <c r="EH97" s="1582">
        <f t="shared" si="339"/>
        <v>49.076793556020462</v>
      </c>
      <c r="EI97" s="1582">
        <f t="shared" si="339"/>
        <v>-5.624800561336504</v>
      </c>
      <c r="EJ97" s="1582">
        <f t="shared" si="339"/>
        <v>7.2913876327583562</v>
      </c>
      <c r="EK97" s="1582">
        <f t="shared" si="339"/>
        <v>23.361972167969537</v>
      </c>
      <c r="EL97" s="1582">
        <f t="shared" si="339"/>
        <v>-16.358122047763768</v>
      </c>
      <c r="EM97" s="1582">
        <f t="shared" si="339"/>
        <v>-92.533114685313805</v>
      </c>
      <c r="EN97" s="1582">
        <f t="shared" si="339"/>
        <v>12.81010505162411</v>
      </c>
      <c r="EO97" s="1582">
        <f t="shared" si="339"/>
        <v>4.4556581889054065</v>
      </c>
      <c r="EP97" s="1582">
        <f t="shared" si="339"/>
        <v>-22.065942143486492</v>
      </c>
      <c r="EQ97" s="1582">
        <f t="shared" si="320"/>
        <v>44.172076525433177</v>
      </c>
      <c r="ER97" s="1582">
        <f t="shared" si="321"/>
        <v>-44.965328743043415</v>
      </c>
      <c r="ES97" s="1582">
        <f t="shared" si="321"/>
        <v>-160.15481802815728</v>
      </c>
      <c r="ET97" s="1582">
        <f t="shared" si="322"/>
        <v>-124.5384959835262</v>
      </c>
      <c r="EU97" s="1582">
        <f t="shared" ref="EU97:FH97" si="340">(EU82-ET82)*10000</f>
        <v>-48.509164413906809</v>
      </c>
      <c r="EV97" s="1582">
        <f t="shared" si="340"/>
        <v>84.729273571608303</v>
      </c>
      <c r="EW97" s="1582">
        <f t="shared" si="340"/>
        <v>9.6378785321620661</v>
      </c>
      <c r="EX97" s="1933">
        <f t="shared" si="340"/>
        <v>59.07146272054964</v>
      </c>
      <c r="EY97" s="1933">
        <f t="shared" si="340"/>
        <v>25.180671947549818</v>
      </c>
      <c r="EZ97" s="1794">
        <f t="shared" si="340"/>
        <v>-8.841744910655855</v>
      </c>
      <c r="FA97" s="1582">
        <f t="shared" si="340"/>
        <v>4.8249452628388454</v>
      </c>
      <c r="FB97" s="1582">
        <f t="shared" si="340"/>
        <v>7.7298991793291885</v>
      </c>
      <c r="FC97" s="1582">
        <f t="shared" si="340"/>
        <v>-4.0178796457725205</v>
      </c>
      <c r="FD97" s="1582">
        <f t="shared" si="340"/>
        <v>-3.9499137277841658</v>
      </c>
      <c r="FE97" s="1582">
        <f t="shared" si="340"/>
        <v>-3.9633205832943776</v>
      </c>
      <c r="FF97" s="1582">
        <f t="shared" si="340"/>
        <v>-3.9772908015229396</v>
      </c>
      <c r="FG97" s="1582">
        <f t="shared" si="340"/>
        <v>-3.9918303107373818</v>
      </c>
      <c r="FH97" s="1582">
        <f t="shared" si="340"/>
        <v>-4.0069433049099574</v>
      </c>
      <c r="FI97" s="1583"/>
      <c r="FJ97"/>
      <c r="FK97"/>
      <c r="FL97"/>
      <c r="FM97"/>
      <c r="FN97"/>
      <c r="FO97"/>
      <c r="FS97" s="415"/>
      <c r="FT97" s="415"/>
      <c r="FU97"/>
      <c r="FV97" s="2634"/>
      <c r="FW97" s="2634"/>
      <c r="FX97" s="2634"/>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row>
    <row r="98" spans="1:260" s="4" customFormat="1" ht="12.75" customHeight="1" x14ac:dyDescent="0.2">
      <c r="A98" s="1048" t="s">
        <v>1</v>
      </c>
      <c r="B98" s="3"/>
      <c r="C98" s="3"/>
      <c r="D98" s="3"/>
      <c r="E98" s="470"/>
      <c r="F98" s="415">
        <f t="shared" ref="F98:O101" si="341">(F84-B84)*10000</f>
        <v>233.56486931951969</v>
      </c>
      <c r="G98" s="415">
        <f t="shared" si="341"/>
        <v>280.2484429451373</v>
      </c>
      <c r="H98" s="415">
        <f t="shared" si="341"/>
        <v>358.36757734628014</v>
      </c>
      <c r="I98" s="482">
        <f t="shared" si="341"/>
        <v>339.70841929402064</v>
      </c>
      <c r="J98" s="415">
        <f t="shared" si="341"/>
        <v>-5.2781533171678694</v>
      </c>
      <c r="K98" s="415">
        <f t="shared" si="341"/>
        <v>-54.845062624657885</v>
      </c>
      <c r="L98" s="415">
        <f t="shared" si="341"/>
        <v>-63.246658991891159</v>
      </c>
      <c r="M98" s="482">
        <f t="shared" si="341"/>
        <v>-110.74497672377201</v>
      </c>
      <c r="N98" s="415">
        <f t="shared" si="341"/>
        <v>-45.081896018771133</v>
      </c>
      <c r="O98" s="415">
        <f t="shared" si="341"/>
        <v>-20.111696786992219</v>
      </c>
      <c r="P98" s="415">
        <f t="shared" ref="P98:Y101" si="342">(P84-L84)*10000</f>
        <v>-226.56696293911946</v>
      </c>
      <c r="Q98" s="482">
        <f t="shared" si="342"/>
        <v>-59.50484024909143</v>
      </c>
      <c r="R98" s="415">
        <f t="shared" si="342"/>
        <v>-44.32967689755332</v>
      </c>
      <c r="S98" s="415">
        <f t="shared" si="342"/>
        <v>7.5786870434236056</v>
      </c>
      <c r="T98" s="415">
        <f t="shared" si="342"/>
        <v>264.65894790855077</v>
      </c>
      <c r="U98" s="482">
        <f t="shared" si="342"/>
        <v>278.46811543308337</v>
      </c>
      <c r="V98" s="415">
        <f t="shared" si="342"/>
        <v>69.484092421094289</v>
      </c>
      <c r="W98" s="415">
        <f t="shared" si="342"/>
        <v>187.33332440225601</v>
      </c>
      <c r="X98" s="415">
        <f t="shared" si="342"/>
        <v>109.3285626213663</v>
      </c>
      <c r="Y98" s="482">
        <f t="shared" si="342"/>
        <v>106.94115086958604</v>
      </c>
      <c r="Z98" s="415">
        <f t="shared" ref="Z98:AI101" si="343">(Z84-V84)*10000</f>
        <v>191.31277345058854</v>
      </c>
      <c r="AA98" s="415">
        <f t="shared" si="343"/>
        <v>16.964217357432059</v>
      </c>
      <c r="AB98" s="415">
        <f t="shared" si="343"/>
        <v>32.50195547965469</v>
      </c>
      <c r="AC98" s="482">
        <f t="shared" si="343"/>
        <v>126.00632293208264</v>
      </c>
      <c r="AD98" s="415">
        <f t="shared" si="343"/>
        <v>74.455421519817875</v>
      </c>
      <c r="AE98" s="415">
        <f t="shared" si="343"/>
        <v>63.557173182610811</v>
      </c>
      <c r="AF98" s="415">
        <f t="shared" si="343"/>
        <v>-132.03630474995836</v>
      </c>
      <c r="AG98" s="482">
        <f t="shared" si="343"/>
        <v>-42.416596711907509</v>
      </c>
      <c r="AH98" s="415">
        <f t="shared" si="343"/>
        <v>-49.45878022056295</v>
      </c>
      <c r="AI98" s="415">
        <f t="shared" si="343"/>
        <v>35.605365969743275</v>
      </c>
      <c r="AJ98" s="415">
        <f t="shared" ref="AJ98:AS101" si="344">(AJ84-AF84)*10000</f>
        <v>90.129973316706653</v>
      </c>
      <c r="AK98" s="482">
        <f t="shared" si="344"/>
        <v>289.90916733364872</v>
      </c>
      <c r="AL98" s="415">
        <f t="shared" si="344"/>
        <v>84.612644364643614</v>
      </c>
      <c r="AM98" s="415">
        <f t="shared" si="344"/>
        <v>-51.365053565077531</v>
      </c>
      <c r="AN98" s="415">
        <f t="shared" si="344"/>
        <v>22.914361967092955</v>
      </c>
      <c r="AO98" s="482">
        <f t="shared" si="344"/>
        <v>11.681885697581995</v>
      </c>
      <c r="AP98" s="415">
        <f t="shared" si="344"/>
        <v>-55.125339180306234</v>
      </c>
      <c r="AQ98" s="415">
        <f t="shared" si="344"/>
        <v>129.91970215025358</v>
      </c>
      <c r="AR98" s="415">
        <f t="shared" si="344"/>
        <v>33.006903478983233</v>
      </c>
      <c r="AS98" s="482">
        <f t="shared" si="344"/>
        <v>79.006861652522332</v>
      </c>
      <c r="AT98" s="415">
        <f t="shared" ref="AT98:BC101" si="345">(AT84-AP84)*10000</f>
        <v>69.662259561435249</v>
      </c>
      <c r="AU98" s="415">
        <f t="shared" si="345"/>
        <v>-27.450889547813162</v>
      </c>
      <c r="AV98" s="415">
        <f t="shared" si="345"/>
        <v>20.946157876611387</v>
      </c>
      <c r="AW98" s="482">
        <f t="shared" si="345"/>
        <v>-11.143945639166958</v>
      </c>
      <c r="AX98" s="415">
        <f t="shared" si="345"/>
        <v>44.995122689318464</v>
      </c>
      <c r="AY98" s="415">
        <f t="shared" si="345"/>
        <v>-9.39183511599051</v>
      </c>
      <c r="AZ98" s="415">
        <f t="shared" si="345"/>
        <v>-101.00655830405216</v>
      </c>
      <c r="BA98" s="482">
        <f t="shared" si="345"/>
        <v>0.22459995691850865</v>
      </c>
      <c r="BB98" s="415">
        <f t="shared" si="345"/>
        <v>89.327199741483099</v>
      </c>
      <c r="BC98" s="415">
        <f t="shared" si="345"/>
        <v>40.405605649782572</v>
      </c>
      <c r="BD98" s="415">
        <f t="shared" ref="BD98:BE101" si="346">(BD84-AZ84)*10000</f>
        <v>-32.507927865175965</v>
      </c>
      <c r="BE98" s="482">
        <f t="shared" si="346"/>
        <v>-18.912192995052813</v>
      </c>
      <c r="BF98" s="415">
        <f t="shared" ref="BF98:BO101" si="347">(BF84-BB84)*10000</f>
        <v>-152.27450993259319</v>
      </c>
      <c r="BG98" s="415">
        <f t="shared" si="347"/>
        <v>24.409161797034965</v>
      </c>
      <c r="BH98" s="415">
        <f t="shared" si="347"/>
        <v>118.0708108887947</v>
      </c>
      <c r="BI98" s="482">
        <f t="shared" si="347"/>
        <v>-17.395084280174832</v>
      </c>
      <c r="BJ98" s="415">
        <f t="shared" si="347"/>
        <v>-27.556795020412181</v>
      </c>
      <c r="BK98" s="415">
        <f t="shared" si="347"/>
        <v>-113.72542160420947</v>
      </c>
      <c r="BL98" s="415">
        <f t="shared" si="347"/>
        <v>-39.77822933819153</v>
      </c>
      <c r="BM98" s="482">
        <f t="shared" si="347"/>
        <v>-51.562654568105408</v>
      </c>
      <c r="BN98" s="415">
        <f t="shared" si="347"/>
        <v>81.373778911244187</v>
      </c>
      <c r="BO98" s="415">
        <f t="shared" si="347"/>
        <v>-44.606226787319152</v>
      </c>
      <c r="BP98" s="415">
        <f t="shared" ref="BP98:BY101" si="348">(BP84-BL84)*10000</f>
        <v>50.041077265758346</v>
      </c>
      <c r="BQ98" s="482">
        <f t="shared" si="348"/>
        <v>3.4333994845663076</v>
      </c>
      <c r="BR98" s="415">
        <f t="shared" si="348"/>
        <v>-44.247765262177694</v>
      </c>
      <c r="BS98" s="415">
        <f t="shared" si="348"/>
        <v>107.83538391872301</v>
      </c>
      <c r="BT98" s="415">
        <f t="shared" si="348"/>
        <v>29.23855121268533</v>
      </c>
      <c r="BU98" s="482">
        <f t="shared" si="348"/>
        <v>-16.957505502487592</v>
      </c>
      <c r="BV98" s="415">
        <f t="shared" si="348"/>
        <v>-40.115319255743032</v>
      </c>
      <c r="BW98" s="415">
        <f t="shared" si="348"/>
        <v>-107.03964810320564</v>
      </c>
      <c r="BX98" s="415">
        <f t="shared" si="348"/>
        <v>-72.040582491890717</v>
      </c>
      <c r="BY98" s="482">
        <f t="shared" si="348"/>
        <v>52.969239018754585</v>
      </c>
      <c r="CC98" s="470"/>
      <c r="CD98" s="970">
        <f t="shared" ref="CD98:CK101" si="349">(CD84-BZ84)*10000</f>
        <v>23.057910165783511</v>
      </c>
      <c r="CE98" s="415">
        <f t="shared" si="349"/>
        <v>-117.30470851251056</v>
      </c>
      <c r="CF98" s="415">
        <f t="shared" si="349"/>
        <v>-71.036929932688096</v>
      </c>
      <c r="CG98" s="482">
        <f t="shared" si="349"/>
        <v>-47.173205410385584</v>
      </c>
      <c r="CH98" s="970">
        <f t="shared" si="349"/>
        <v>-76.519032026358119</v>
      </c>
      <c r="CI98" s="415">
        <f t="shared" si="349"/>
        <v>-125.90945509097472</v>
      </c>
      <c r="CJ98" s="415">
        <f t="shared" si="349"/>
        <v>-298.03244992570853</v>
      </c>
      <c r="CK98" s="482">
        <f t="shared" si="349"/>
        <v>-169.01340795908658</v>
      </c>
      <c r="CL98" s="970">
        <f>(CL84-CD84)*10000</f>
        <v>3.2051043699526245</v>
      </c>
      <c r="CM98" s="415">
        <f t="shared" ref="CM98:CO101" si="350">(CM84-CE84)*10000</f>
        <v>-21.705259273971169</v>
      </c>
      <c r="CN98" s="415">
        <f t="shared" si="350"/>
        <v>-274.10118358705341</v>
      </c>
      <c r="CO98" s="482">
        <f t="shared" si="350"/>
        <v>-135.25869309292588</v>
      </c>
      <c r="CP98" s="970">
        <f t="shared" ref="CP98:CX101" si="351">(CP84-CL84)*10000</f>
        <v>-155.20481212079744</v>
      </c>
      <c r="CQ98" s="415">
        <f t="shared" si="351"/>
        <v>-12.026703110894626</v>
      </c>
      <c r="CR98" s="415">
        <f t="shared" si="351"/>
        <v>58.906988008176761</v>
      </c>
      <c r="CS98" s="482">
        <f t="shared" si="351"/>
        <v>-157.47289722834998</v>
      </c>
      <c r="CT98" s="970">
        <f t="shared" si="351"/>
        <v>-21.528869455470154</v>
      </c>
      <c r="CU98" s="415">
        <f t="shared" si="351"/>
        <v>46.947448099783699</v>
      </c>
      <c r="CV98" s="415">
        <f t="shared" si="351"/>
        <v>87.902508298597908</v>
      </c>
      <c r="CW98" s="415">
        <f t="shared" si="351"/>
        <v>129.89658207891887</v>
      </c>
      <c r="CX98" s="415">
        <f t="shared" si="351"/>
        <v>-8.6683050426414336</v>
      </c>
      <c r="CY98" s="415">
        <f t="shared" ref="CY98:DB101" si="352">(CY84-CU84)*10000</f>
        <v>44.250941579591434</v>
      </c>
      <c r="CZ98" s="415">
        <f t="shared" si="352"/>
        <v>38.536175467032002</v>
      </c>
      <c r="DA98" s="482">
        <f t="shared" si="352"/>
        <v>-3.7957483599135311</v>
      </c>
      <c r="DB98" s="415">
        <f t="shared" si="352"/>
        <v>42.621572644314028</v>
      </c>
      <c r="DC98" s="415">
        <f t="shared" ref="DC98:DE101" si="353">(DC84-CY84)*10000</f>
        <v>16.103879013801141</v>
      </c>
      <c r="DD98" s="415">
        <f t="shared" si="353"/>
        <v>72.88914737737538</v>
      </c>
      <c r="DE98" s="482">
        <f t="shared" si="353"/>
        <v>88.0956350129225</v>
      </c>
      <c r="DF98" s="415">
        <f t="shared" ref="DF98:DM101" si="354">(DF84-DB84)*10000</f>
        <v>64.438157079846064</v>
      </c>
      <c r="DG98" s="415">
        <f t="shared" si="354"/>
        <v>23.823025805066315</v>
      </c>
      <c r="DH98" s="415">
        <f t="shared" si="354"/>
        <v>23.608148988693429</v>
      </c>
      <c r="DI98" s="482">
        <f t="shared" si="354"/>
        <v>-22.725955334401139</v>
      </c>
      <c r="DJ98" s="1795">
        <f t="shared" si="354"/>
        <v>-34.809514583665077</v>
      </c>
      <c r="DK98" s="415">
        <f t="shared" si="354"/>
        <v>-24.128730204197105</v>
      </c>
      <c r="DL98" s="415">
        <f t="shared" si="354"/>
        <v>-1.1585103874799803</v>
      </c>
      <c r="DM98" s="482">
        <f t="shared" si="354"/>
        <v>52.02559795142836</v>
      </c>
      <c r="DN98" s="415"/>
      <c r="DO98" s="1584"/>
      <c r="DP98" s="1585"/>
      <c r="DQ98" s="415">
        <f t="shared" ref="DQ98:DT100" si="355">(DQ84-DP84)*10000</f>
        <v>708.57133313291251</v>
      </c>
      <c r="DR98" s="415">
        <f t="shared" si="355"/>
        <v>-387.88984625244558</v>
      </c>
      <c r="DS98" s="415">
        <f t="shared" si="355"/>
        <v>-11.407673738290173</v>
      </c>
      <c r="DT98" s="415">
        <f t="shared" si="355"/>
        <v>53.853807019663968</v>
      </c>
      <c r="DU98" s="415">
        <f t="shared" ref="DU98:DX100" si="356">(DU84-DT84)*10000</f>
        <v>-80.811875971283115</v>
      </c>
      <c r="DV98" s="415">
        <f t="shared" si="356"/>
        <v>27.345950220064413</v>
      </c>
      <c r="DW98" s="415">
        <f t="shared" si="356"/>
        <v>3.5524356578115617</v>
      </c>
      <c r="DX98" s="415">
        <f t="shared" si="356"/>
        <v>18.031084520857554</v>
      </c>
      <c r="DY98" s="415">
        <f t="shared" ref="DY98:EK98" si="357">(DY84-DX84)*10000</f>
        <v>-15.250936351477382</v>
      </c>
      <c r="DZ98" s="415">
        <f t="shared" si="357"/>
        <v>-70.175169168244125</v>
      </c>
      <c r="EA98" s="415">
        <f t="shared" si="357"/>
        <v>-91.328184655332947</v>
      </c>
      <c r="EB98" s="415">
        <f t="shared" si="357"/>
        <v>154.69316707349137</v>
      </c>
      <c r="EC98" s="415">
        <f t="shared" si="357"/>
        <v>117.6654966647028</v>
      </c>
      <c r="ED98" s="415">
        <f t="shared" si="357"/>
        <v>92.438714742481352</v>
      </c>
      <c r="EE98" s="415">
        <f t="shared" si="357"/>
        <v>-17.166138436578855</v>
      </c>
      <c r="EF98" s="415">
        <f t="shared" si="357"/>
        <v>123.48379563759968</v>
      </c>
      <c r="EG98" s="415">
        <f t="shared" si="357"/>
        <v>4.5859619894292329</v>
      </c>
      <c r="EH98" s="415">
        <f t="shared" si="357"/>
        <v>57.931932060084762</v>
      </c>
      <c r="EI98" s="415">
        <f t="shared" si="357"/>
        <v>4.8371781878740752</v>
      </c>
      <c r="EJ98" s="415">
        <f t="shared" si="357"/>
        <v>-12.203770922532831</v>
      </c>
      <c r="EK98" s="415">
        <f t="shared" si="357"/>
        <v>17.188973352945254</v>
      </c>
      <c r="EL98" s="415">
        <f t="shared" ref="EL98:EP101" si="358">(EL84-EK84)*10000</f>
        <v>-13.090027083149936</v>
      </c>
      <c r="EM98" s="415">
        <f t="shared" si="358"/>
        <v>-61.286286543184993</v>
      </c>
      <c r="EN98" s="415">
        <f t="shared" si="358"/>
        <v>22.987007264420463</v>
      </c>
      <c r="EO98" s="415">
        <f t="shared" si="358"/>
        <v>12.656948109956851</v>
      </c>
      <c r="EP98" s="415">
        <f t="shared" si="358"/>
        <v>-31.371630941758738</v>
      </c>
      <c r="EQ98" s="415">
        <f>(EQ84-EN84)*10000</f>
        <v>53.815802150062595</v>
      </c>
      <c r="ER98" s="970">
        <f t="shared" ref="ER98:EV101" si="359">(ER84-EQ84)*10000</f>
        <v>-52.104310656196226</v>
      </c>
      <c r="ES98" s="415">
        <f t="shared" si="359"/>
        <v>-164.19917501952418</v>
      </c>
      <c r="ET98" s="415">
        <f>(ET84-ER84)*10000</f>
        <v>-105.18747994790481</v>
      </c>
      <c r="EU98" s="415">
        <f t="shared" si="359"/>
        <v>196.37388756200733</v>
      </c>
      <c r="EV98" s="415">
        <f t="shared" si="359"/>
        <v>-205.72816100838733</v>
      </c>
      <c r="EW98" s="415">
        <f t="shared" ref="EW98:EZ100" si="360">(EW84-EV84)*10000</f>
        <v>13.227391381618951</v>
      </c>
      <c r="EX98" s="415">
        <f t="shared" si="360"/>
        <v>58.837379317193545</v>
      </c>
      <c r="EY98" s="415">
        <f t="shared" si="360"/>
        <v>21.239949955488903</v>
      </c>
      <c r="EZ98" s="1795">
        <f t="shared" si="360"/>
        <v>5.1217672242875878</v>
      </c>
      <c r="FA98" s="415">
        <f t="shared" ref="FA98:FH100" si="361">(FA84-EZ84)*10000</f>
        <v>4.8249452628389147</v>
      </c>
      <c r="FB98" s="415">
        <f t="shared" si="361"/>
        <v>7.7298991793291192</v>
      </c>
      <c r="FC98" s="415">
        <f t="shared" si="361"/>
        <v>-4.017879645772382</v>
      </c>
      <c r="FD98" s="415">
        <f t="shared" si="361"/>
        <v>-3.9499137277843044</v>
      </c>
      <c r="FE98" s="415">
        <f t="shared" si="361"/>
        <v>-3.9633205832943776</v>
      </c>
      <c r="FF98" s="415">
        <f t="shared" si="361"/>
        <v>-3.9772908015230088</v>
      </c>
      <c r="FG98" s="415">
        <f t="shared" si="361"/>
        <v>-3.9918303107373818</v>
      </c>
      <c r="FH98" s="415">
        <f t="shared" si="361"/>
        <v>-4.0069433049098881</v>
      </c>
      <c r="FI98" s="1586"/>
      <c r="FJ98"/>
      <c r="FK98"/>
      <c r="FL98"/>
      <c r="FM98"/>
      <c r="FN98"/>
      <c r="FO98"/>
      <c r="FS98" s="415"/>
      <c r="FT98" s="415"/>
      <c r="FU98"/>
      <c r="FV98" s="415"/>
      <c r="FW98" s="415"/>
      <c r="FX98" s="415"/>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row>
    <row r="99" spans="1:260" s="4" customFormat="1" ht="12.75" customHeight="1" x14ac:dyDescent="0.2">
      <c r="A99" s="1048" t="s">
        <v>168</v>
      </c>
      <c r="B99" s="3"/>
      <c r="C99" s="3"/>
      <c r="D99" s="3"/>
      <c r="E99" s="470"/>
      <c r="F99" s="415">
        <f t="shared" si="341"/>
        <v>55.33317635978338</v>
      </c>
      <c r="G99" s="415">
        <f t="shared" si="341"/>
        <v>54.641588045933652</v>
      </c>
      <c r="H99" s="415">
        <f t="shared" si="341"/>
        <v>66.754526914053258</v>
      </c>
      <c r="I99" s="482">
        <f t="shared" si="341"/>
        <v>46.68454957113385</v>
      </c>
      <c r="J99" s="415">
        <f t="shared" si="341"/>
        <v>12.260842165810315</v>
      </c>
      <c r="K99" s="415">
        <f t="shared" si="341"/>
        <v>12.998203290247798</v>
      </c>
      <c r="L99" s="415">
        <f t="shared" si="341"/>
        <v>1.5923201172439623</v>
      </c>
      <c r="M99" s="482">
        <f t="shared" si="341"/>
        <v>0.16344178143980204</v>
      </c>
      <c r="N99" s="415">
        <f t="shared" si="341"/>
        <v>7.4189305381645694</v>
      </c>
      <c r="O99" s="415">
        <f t="shared" si="341"/>
        <v>8.1203400001204393</v>
      </c>
      <c r="P99" s="415">
        <f t="shared" si="342"/>
        <v>5.7966395209484505</v>
      </c>
      <c r="Q99" s="482">
        <f t="shared" si="342"/>
        <v>-5.5323134180593634</v>
      </c>
      <c r="R99" s="415">
        <f t="shared" si="342"/>
        <v>-15.631080701035884</v>
      </c>
      <c r="S99" s="415">
        <f t="shared" si="342"/>
        <v>-25.403339805611569</v>
      </c>
      <c r="T99" s="415">
        <f t="shared" si="342"/>
        <v>-28.562073096399722</v>
      </c>
      <c r="U99" s="482">
        <f t="shared" si="342"/>
        <v>-24.366739329362147</v>
      </c>
      <c r="V99" s="415">
        <f t="shared" si="342"/>
        <v>-46.510315114473705</v>
      </c>
      <c r="W99" s="415">
        <f t="shared" si="342"/>
        <v>-45.71901134677708</v>
      </c>
      <c r="X99" s="415">
        <f t="shared" si="342"/>
        <v>-32.782848820887892</v>
      </c>
      <c r="Y99" s="482">
        <f t="shared" si="342"/>
        <v>-37.579546557050705</v>
      </c>
      <c r="Z99" s="415">
        <f t="shared" si="343"/>
        <v>-31.371354751624789</v>
      </c>
      <c r="AA99" s="415">
        <f t="shared" si="343"/>
        <v>-20.553570911364627</v>
      </c>
      <c r="AB99" s="415">
        <f t="shared" si="343"/>
        <v>-27.122727093037113</v>
      </c>
      <c r="AC99" s="482">
        <f t="shared" si="343"/>
        <v>-2.9427583855382631</v>
      </c>
      <c r="AD99" s="415">
        <f t="shared" si="343"/>
        <v>-9.9779416557233649</v>
      </c>
      <c r="AE99" s="415">
        <f t="shared" si="343"/>
        <v>-12.476492301769817</v>
      </c>
      <c r="AF99" s="415">
        <f t="shared" si="343"/>
        <v>-6.4417375226287534</v>
      </c>
      <c r="AG99" s="482">
        <f t="shared" si="343"/>
        <v>1.6017829186584482</v>
      </c>
      <c r="AH99" s="415">
        <f t="shared" si="343"/>
        <v>25.772847297590154</v>
      </c>
      <c r="AI99" s="415">
        <f t="shared" si="343"/>
        <v>52.407652865916695</v>
      </c>
      <c r="AJ99" s="415">
        <f t="shared" si="344"/>
        <v>14.458078281801164</v>
      </c>
      <c r="AK99" s="482">
        <f t="shared" si="344"/>
        <v>14.808259636543424</v>
      </c>
      <c r="AL99" s="415">
        <f t="shared" si="344"/>
        <v>0.32507672776349666</v>
      </c>
      <c r="AM99" s="415">
        <f t="shared" si="344"/>
        <v>-19.690110321124553</v>
      </c>
      <c r="AN99" s="415">
        <f t="shared" si="344"/>
        <v>6.3078216989066442</v>
      </c>
      <c r="AO99" s="482">
        <f t="shared" si="344"/>
        <v>9.2244833366878984E-3</v>
      </c>
      <c r="AP99" s="415">
        <f t="shared" si="344"/>
        <v>6.664309279418501</v>
      </c>
      <c r="AQ99" s="415">
        <f t="shared" si="344"/>
        <v>1.2344143168975605</v>
      </c>
      <c r="AR99" s="415">
        <f t="shared" si="344"/>
        <v>6.6312997347480103</v>
      </c>
      <c r="AS99" s="482">
        <f t="shared" si="344"/>
        <v>5.9705272785408301</v>
      </c>
      <c r="AT99" s="415">
        <f t="shared" si="345"/>
        <v>-4.284490145672665</v>
      </c>
      <c r="AU99" s="415">
        <f t="shared" si="345"/>
        <v>-7.2044106745737579</v>
      </c>
      <c r="AV99" s="415">
        <f t="shared" si="345"/>
        <v>-15.657928288983003</v>
      </c>
      <c r="AW99" s="482">
        <f t="shared" si="345"/>
        <v>7.6862272712515542</v>
      </c>
      <c r="AX99" s="415">
        <f t="shared" si="345"/>
        <v>-21.248774109186005</v>
      </c>
      <c r="AY99" s="415">
        <f t="shared" si="345"/>
        <v>-25.21291758940772</v>
      </c>
      <c r="AZ99" s="415">
        <f t="shared" si="345"/>
        <v>-10.059942679575503</v>
      </c>
      <c r="BA99" s="482">
        <f t="shared" si="345"/>
        <v>-36.428775142411929</v>
      </c>
      <c r="BB99" s="415">
        <f t="shared" si="345"/>
        <v>-11.801951569790857</v>
      </c>
      <c r="BC99" s="415">
        <f t="shared" si="345"/>
        <v>-0.76302161741507224</v>
      </c>
      <c r="BD99" s="415">
        <f t="shared" si="346"/>
        <v>-9.2386972661304938</v>
      </c>
      <c r="BE99" s="482">
        <f t="shared" si="346"/>
        <v>-18.914875534484196</v>
      </c>
      <c r="BF99" s="415">
        <f t="shared" si="347"/>
        <v>-13.625192070486998</v>
      </c>
      <c r="BG99" s="415">
        <f t="shared" si="347"/>
        <v>28.7635331917852</v>
      </c>
      <c r="BH99" s="415">
        <f t="shared" si="347"/>
        <v>19.259998556347114</v>
      </c>
      <c r="BI99" s="482">
        <f t="shared" si="347"/>
        <v>32.445109302883807</v>
      </c>
      <c r="BJ99" s="415">
        <f t="shared" si="347"/>
        <v>37.777141331221372</v>
      </c>
      <c r="BK99" s="415">
        <f t="shared" si="347"/>
        <v>11.100791464427827</v>
      </c>
      <c r="BL99" s="415">
        <f t="shared" si="347"/>
        <v>42.108748204463446</v>
      </c>
      <c r="BM99" s="482">
        <f t="shared" si="347"/>
        <v>27.941661727573507</v>
      </c>
      <c r="BN99" s="415">
        <f t="shared" si="347"/>
        <v>22.767028027950268</v>
      </c>
      <c r="BO99" s="415">
        <f t="shared" si="347"/>
        <v>-8.6145431817723601</v>
      </c>
      <c r="BP99" s="415">
        <f t="shared" si="348"/>
        <v>-23.063438340709887</v>
      </c>
      <c r="BQ99" s="482">
        <f t="shared" si="348"/>
        <v>-5.5045746136983489</v>
      </c>
      <c r="BR99" s="415">
        <f t="shared" si="348"/>
        <v>-3.6707917042660423</v>
      </c>
      <c r="BS99" s="415">
        <f t="shared" si="348"/>
        <v>3.4261904559584182</v>
      </c>
      <c r="BT99" s="415">
        <f t="shared" si="348"/>
        <v>0.11247479809095053</v>
      </c>
      <c r="BU99" s="482">
        <f t="shared" si="348"/>
        <v>-2.9654135891821589</v>
      </c>
      <c r="BV99" s="415">
        <f t="shared" si="348"/>
        <v>7.1699989611030563</v>
      </c>
      <c r="BW99" s="415">
        <f t="shared" si="348"/>
        <v>17.620829966770799</v>
      </c>
      <c r="BX99" s="415">
        <f t="shared" si="348"/>
        <v>13.876408333241226</v>
      </c>
      <c r="BY99" s="482">
        <f t="shared" si="348"/>
        <v>9.5519937168858089</v>
      </c>
      <c r="CC99" s="470"/>
      <c r="CD99" s="970">
        <f t="shared" si="349"/>
        <v>-4.0164755360359197E-2</v>
      </c>
      <c r="CE99" s="415">
        <f t="shared" si="349"/>
        <v>9.2697965542009086</v>
      </c>
      <c r="CF99" s="415">
        <f t="shared" si="349"/>
        <v>24.092105091673293</v>
      </c>
      <c r="CG99" s="482">
        <f t="shared" si="349"/>
        <v>-32.982081663019876</v>
      </c>
      <c r="CH99" s="970">
        <f t="shared" si="349"/>
        <v>13.580380757956664</v>
      </c>
      <c r="CI99" s="415">
        <f t="shared" si="349"/>
        <v>-0.27345400407580156</v>
      </c>
      <c r="CJ99" s="415">
        <f t="shared" si="349"/>
        <v>-16.459229277236556</v>
      </c>
      <c r="CK99" s="482">
        <f t="shared" si="349"/>
        <v>30.58343122930938</v>
      </c>
      <c r="CL99" s="970">
        <f>(CL85-CD85)*10000</f>
        <v>14.425598328617525</v>
      </c>
      <c r="CM99" s="415">
        <f t="shared" si="350"/>
        <v>2.6699430751447397</v>
      </c>
      <c r="CN99" s="415">
        <f t="shared" si="350"/>
        <v>-15.077008408651659</v>
      </c>
      <c r="CO99" s="482">
        <f t="shared" si="350"/>
        <v>43.713153039278808</v>
      </c>
      <c r="CP99" s="970">
        <f t="shared" si="351"/>
        <v>0.54054553678266426</v>
      </c>
      <c r="CQ99" s="415">
        <f t="shared" si="351"/>
        <v>-1.6547168330419051</v>
      </c>
      <c r="CR99" s="415">
        <f t="shared" si="351"/>
        <v>-0.19255568263593439</v>
      </c>
      <c r="CS99" s="482">
        <f t="shared" si="351"/>
        <v>-8.1640214819329167</v>
      </c>
      <c r="CT99" s="970">
        <f t="shared" si="351"/>
        <v>-4.9633735651569229</v>
      </c>
      <c r="CU99" s="415">
        <f t="shared" si="351"/>
        <v>-8.6757192717696228</v>
      </c>
      <c r="CV99" s="415">
        <f t="shared" si="351"/>
        <v>9.750182527466464</v>
      </c>
      <c r="CW99" s="415">
        <f t="shared" si="351"/>
        <v>-0.11079819486256083</v>
      </c>
      <c r="CX99" s="415">
        <f t="shared" si="351"/>
        <v>-4.4877384338446165</v>
      </c>
      <c r="CY99" s="415">
        <f t="shared" si="352"/>
        <v>3.3934792411115788</v>
      </c>
      <c r="CZ99" s="415">
        <f t="shared" si="352"/>
        <v>-8.4028002990162065</v>
      </c>
      <c r="DA99" s="482">
        <f t="shared" si="352"/>
        <v>1.8313863320212898</v>
      </c>
      <c r="DB99" s="415">
        <f t="shared" si="352"/>
        <v>1.3913186642333262</v>
      </c>
      <c r="DC99" s="415">
        <f t="shared" si="353"/>
        <v>-7.042518297245282</v>
      </c>
      <c r="DD99" s="415">
        <f t="shared" si="353"/>
        <v>-10.333018089214995</v>
      </c>
      <c r="DE99" s="482">
        <f t="shared" si="353"/>
        <v>-4.3429001602404051</v>
      </c>
      <c r="DF99" s="415">
        <f t="shared" si="354"/>
        <v>-7.2009206867640598</v>
      </c>
      <c r="DG99" s="415">
        <f t="shared" si="354"/>
        <v>0.58504277773014901</v>
      </c>
      <c r="DH99" s="415">
        <f t="shared" si="354"/>
        <v>-1.4328142655282516</v>
      </c>
      <c r="DI99" s="482">
        <f t="shared" si="354"/>
        <v>-6.5847522444602085</v>
      </c>
      <c r="DJ99" s="1795">
        <f t="shared" si="354"/>
        <v>0.86453267452430005</v>
      </c>
      <c r="DK99" s="415">
        <f t="shared" si="354"/>
        <v>-4.7394228109180592</v>
      </c>
      <c r="DL99" s="415">
        <f t="shared" si="354"/>
        <v>-6.7924880115024582</v>
      </c>
      <c r="DM99" s="482">
        <f t="shared" si="354"/>
        <v>12.430614213347692</v>
      </c>
      <c r="DN99" s="415"/>
      <c r="DO99" s="1584"/>
      <c r="DP99" s="1585"/>
      <c r="DQ99" s="415">
        <f t="shared" si="355"/>
        <v>0</v>
      </c>
      <c r="DR99" s="415">
        <f t="shared" si="355"/>
        <v>98.145954810495624</v>
      </c>
      <c r="DS99" s="415">
        <f t="shared" si="355"/>
        <v>6.3788481199882927</v>
      </c>
      <c r="DT99" s="415">
        <f t="shared" si="355"/>
        <v>-32.88592216612787</v>
      </c>
      <c r="DU99" s="415">
        <f t="shared" si="356"/>
        <v>-17.699711993119188</v>
      </c>
      <c r="DV99" s="415">
        <f t="shared" si="356"/>
        <v>-17.206573460101556</v>
      </c>
      <c r="DW99" s="415">
        <f t="shared" si="356"/>
        <v>-12.763133997463139</v>
      </c>
      <c r="DX99" s="415">
        <f t="shared" si="356"/>
        <v>5.30012286531933</v>
      </c>
      <c r="DY99" s="415">
        <f t="shared" ref="DY99:EK99" si="362">(DY85-DX85)*10000</f>
        <v>25.65649791404266</v>
      </c>
      <c r="DZ99" s="415">
        <f t="shared" si="362"/>
        <v>5.4749946904872768</v>
      </c>
      <c r="EA99" s="415">
        <f t="shared" si="362"/>
        <v>4.3782997526208796</v>
      </c>
      <c r="EB99" s="415">
        <f t="shared" si="362"/>
        <v>-25.291171431497673</v>
      </c>
      <c r="EC99" s="415">
        <f t="shared" si="362"/>
        <v>-39.92041106598694</v>
      </c>
      <c r="ED99" s="415">
        <f t="shared" si="362"/>
        <v>-18.22551541471087</v>
      </c>
      <c r="EE99" s="415">
        <f t="shared" si="362"/>
        <v>-5.6060261071571942</v>
      </c>
      <c r="EF99" s="415">
        <f t="shared" si="362"/>
        <v>24.774029669259253</v>
      </c>
      <c r="EG99" s="415">
        <f t="shared" si="362"/>
        <v>-2.4199546772166496</v>
      </c>
      <c r="EH99" s="415">
        <f t="shared" si="362"/>
        <v>5.1689921081977097</v>
      </c>
      <c r="EI99" s="415">
        <f t="shared" si="362"/>
        <v>-3.6238440948486303</v>
      </c>
      <c r="EJ99" s="415">
        <f t="shared" si="362"/>
        <v>-24.596575107243552</v>
      </c>
      <c r="EK99" s="415">
        <f t="shared" si="362"/>
        <v>-11.494624798529902</v>
      </c>
      <c r="EL99" s="415">
        <f t="shared" si="358"/>
        <v>19.715350098805892</v>
      </c>
      <c r="EM99" s="415">
        <f t="shared" si="358"/>
        <v>29.84711648183168</v>
      </c>
      <c r="EN99" s="415">
        <f t="shared" si="358"/>
        <v>-5.0574807167862428</v>
      </c>
      <c r="EO99" s="415">
        <f t="shared" si="358"/>
        <v>-0.88821755918980405</v>
      </c>
      <c r="EP99" s="415">
        <f t="shared" si="358"/>
        <v>11.852598857666701</v>
      </c>
      <c r="EQ99" s="415">
        <f>(EQ85-EN85)*10000</f>
        <v>1.1688059318685844</v>
      </c>
      <c r="ER99" s="970">
        <f t="shared" si="359"/>
        <v>-3.6226556497729017</v>
      </c>
      <c r="ES99" s="415">
        <f t="shared" si="359"/>
        <v>9.5191566663345952</v>
      </c>
      <c r="ET99" s="415">
        <f>(ET85-ER85)*10000</f>
        <v>15.065276170441134</v>
      </c>
      <c r="EU99" s="415">
        <f t="shared" si="359"/>
        <v>-3.1777399630341168</v>
      </c>
      <c r="EV99" s="415">
        <f t="shared" si="359"/>
        <v>-0.87371125095378432</v>
      </c>
      <c r="EW99" s="415">
        <f t="shared" si="360"/>
        <v>-1.4301231790388256</v>
      </c>
      <c r="EX99" s="415">
        <f t="shared" si="360"/>
        <v>-5.0276022335235604</v>
      </c>
      <c r="EY99" s="415">
        <f t="shared" si="360"/>
        <v>-4.2204539173344218</v>
      </c>
      <c r="EZ99" s="1795">
        <f t="shared" si="360"/>
        <v>2.1807219126077286</v>
      </c>
      <c r="FA99" s="415">
        <f t="shared" si="361"/>
        <v>-0.51962749515001838</v>
      </c>
      <c r="FB99" s="415">
        <f t="shared" si="361"/>
        <v>3.4002745591411561</v>
      </c>
      <c r="FC99" s="415">
        <f t="shared" si="361"/>
        <v>6.4217628116454337</v>
      </c>
      <c r="FD99" s="415">
        <f t="shared" si="361"/>
        <v>2.531511154907351</v>
      </c>
      <c r="FE99" s="415">
        <f t="shared" si="361"/>
        <v>-0.25647188479824801</v>
      </c>
      <c r="FF99" s="415">
        <f t="shared" si="361"/>
        <v>3.053965572909962</v>
      </c>
      <c r="FG99" s="415">
        <f t="shared" si="361"/>
        <v>2.961011555040697</v>
      </c>
      <c r="FH99" s="415">
        <f t="shared" si="361"/>
        <v>-0.35699024854597261</v>
      </c>
      <c r="FI99" s="1586"/>
      <c r="FJ99"/>
      <c r="FK99"/>
      <c r="FL99"/>
      <c r="FM99"/>
      <c r="FN99"/>
      <c r="FO99"/>
      <c r="FS99" s="415"/>
      <c r="FT99" s="415"/>
      <c r="FU99"/>
      <c r="FV99" s="415"/>
      <c r="FW99" s="415"/>
      <c r="FX99" s="415"/>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row>
    <row r="100" spans="1:260" s="4" customFormat="1" ht="12.75" customHeight="1" x14ac:dyDescent="0.2">
      <c r="A100" s="414" t="s">
        <v>169</v>
      </c>
      <c r="B100" s="3"/>
      <c r="C100" s="3"/>
      <c r="D100" s="3"/>
      <c r="E100" s="470"/>
      <c r="F100" s="415">
        <f t="shared" si="341"/>
        <v>82.411113727336968</v>
      </c>
      <c r="G100" s="415">
        <f t="shared" si="341"/>
        <v>134.59469422571576</v>
      </c>
      <c r="H100" s="415">
        <f t="shared" si="341"/>
        <v>214.85015975600678</v>
      </c>
      <c r="I100" s="482">
        <f t="shared" si="341"/>
        <v>233.57168646266177</v>
      </c>
      <c r="J100" s="415">
        <f t="shared" si="341"/>
        <v>-21.846371037272469</v>
      </c>
      <c r="K100" s="415">
        <f t="shared" si="341"/>
        <v>-68.686581693020159</v>
      </c>
      <c r="L100" s="415">
        <f t="shared" si="341"/>
        <v>-62.451100419270517</v>
      </c>
      <c r="M100" s="482">
        <f t="shared" si="341"/>
        <v>-107.91765495732945</v>
      </c>
      <c r="N100" s="415">
        <f t="shared" si="341"/>
        <v>-56.46624184959785</v>
      </c>
      <c r="O100" s="415">
        <f t="shared" si="341"/>
        <v>-30.999418249422042</v>
      </c>
      <c r="P100" s="415">
        <f t="shared" si="342"/>
        <v>-242.03580955742785</v>
      </c>
      <c r="Q100" s="482">
        <f t="shared" si="342"/>
        <v>-66.097943949663176</v>
      </c>
      <c r="R100" s="415">
        <f t="shared" si="342"/>
        <v>-31.013301553297822</v>
      </c>
      <c r="S100" s="415">
        <f t="shared" si="342"/>
        <v>25.854052175020509</v>
      </c>
      <c r="T100" s="415">
        <f t="shared" si="342"/>
        <v>295.19700850745471</v>
      </c>
      <c r="U100" s="482">
        <f t="shared" si="342"/>
        <v>304.95829064197864</v>
      </c>
      <c r="V100" s="415">
        <f t="shared" si="342"/>
        <v>131.58451768826947</v>
      </c>
      <c r="W100" s="415">
        <f t="shared" si="342"/>
        <v>248.85270350281289</v>
      </c>
      <c r="X100" s="415">
        <f t="shared" si="342"/>
        <v>143.65198805391114</v>
      </c>
      <c r="Y100" s="482">
        <f t="shared" si="342"/>
        <v>147.40536786937221</v>
      </c>
      <c r="Z100" s="415">
        <f t="shared" si="343"/>
        <v>214.40888978367545</v>
      </c>
      <c r="AA100" s="415">
        <f t="shared" si="343"/>
        <v>39.824742993661843</v>
      </c>
      <c r="AB100" s="415">
        <f t="shared" si="343"/>
        <v>59.623357908237878</v>
      </c>
      <c r="AC100" s="482">
        <f t="shared" si="343"/>
        <v>103.51175825028272</v>
      </c>
      <c r="AD100" s="415">
        <f t="shared" si="343"/>
        <v>75.554080966236114</v>
      </c>
      <c r="AE100" s="415">
        <f t="shared" si="343"/>
        <v>42.927400968058095</v>
      </c>
      <c r="AF100" s="415">
        <f t="shared" si="343"/>
        <v>-160.2798390991841</v>
      </c>
      <c r="AG100" s="482">
        <f t="shared" si="343"/>
        <v>-52.043486154127045</v>
      </c>
      <c r="AH100" s="415">
        <f t="shared" si="343"/>
        <v>-148.48716432800072</v>
      </c>
      <c r="AI100" s="415">
        <f t="shared" si="343"/>
        <v>-60.955490176429208</v>
      </c>
      <c r="AJ100" s="415">
        <f t="shared" si="344"/>
        <v>28.98838960216435</v>
      </c>
      <c r="AK100" s="482">
        <f t="shared" si="344"/>
        <v>260.39421679384435</v>
      </c>
      <c r="AL100" s="415">
        <f t="shared" si="344"/>
        <v>63.230963989609407</v>
      </c>
      <c r="AM100" s="415">
        <f t="shared" si="344"/>
        <v>-56.758124507643345</v>
      </c>
      <c r="AN100" s="415">
        <f t="shared" si="344"/>
        <v>-4.6928587082361446</v>
      </c>
      <c r="AO100" s="482">
        <f t="shared" si="344"/>
        <v>59.033618527026263</v>
      </c>
      <c r="AP100" s="415">
        <f t="shared" si="344"/>
        <v>-69.445039229289364</v>
      </c>
      <c r="AQ100" s="415">
        <f t="shared" si="344"/>
        <v>144.17478280720564</v>
      </c>
      <c r="AR100" s="415">
        <f t="shared" si="344"/>
        <v>55.398040826370277</v>
      </c>
      <c r="AS100" s="482">
        <f t="shared" si="344"/>
        <v>16.698881987607106</v>
      </c>
      <c r="AT100" s="415">
        <f t="shared" si="345"/>
        <v>95.896257628058052</v>
      </c>
      <c r="AU100" s="415">
        <f t="shared" si="345"/>
        <v>-19.157709414381053</v>
      </c>
      <c r="AV100" s="415">
        <f t="shared" si="345"/>
        <v>31.311367207000757</v>
      </c>
      <c r="AW100" s="482">
        <f t="shared" si="345"/>
        <v>-57.420880480865549</v>
      </c>
      <c r="AX100" s="415">
        <f t="shared" si="345"/>
        <v>76.07160771541686</v>
      </c>
      <c r="AY100" s="415">
        <f t="shared" si="345"/>
        <v>16.622591056872292</v>
      </c>
      <c r="AZ100" s="415">
        <f t="shared" si="345"/>
        <v>-82.805421186775035</v>
      </c>
      <c r="BA100" s="482">
        <f t="shared" si="345"/>
        <v>80.939905413214689</v>
      </c>
      <c r="BB100" s="415">
        <f t="shared" si="345"/>
        <v>105.41639277849374</v>
      </c>
      <c r="BC100" s="415">
        <f t="shared" si="345"/>
        <v>45.36622741506055</v>
      </c>
      <c r="BD100" s="415">
        <f t="shared" si="346"/>
        <v>-17.106988307459826</v>
      </c>
      <c r="BE100" s="482">
        <f t="shared" si="346"/>
        <v>6.4956604813373726</v>
      </c>
      <c r="BF100" s="415">
        <f t="shared" si="347"/>
        <v>-135.07778525024466</v>
      </c>
      <c r="BG100" s="415">
        <f t="shared" si="347"/>
        <v>-4.5170139606546398</v>
      </c>
      <c r="BH100" s="415">
        <f t="shared" si="347"/>
        <v>102.96250316096264</v>
      </c>
      <c r="BI100" s="482">
        <f t="shared" si="347"/>
        <v>-61.292723911126195</v>
      </c>
      <c r="BJ100" s="415">
        <f t="shared" si="347"/>
        <v>-65.219011129504437</v>
      </c>
      <c r="BK100" s="415">
        <f t="shared" si="347"/>
        <v>-123.50343259434169</v>
      </c>
      <c r="BL100" s="415">
        <f t="shared" si="347"/>
        <v>-157.39340643940722</v>
      </c>
      <c r="BM100" s="482">
        <f t="shared" si="347"/>
        <v>-116.40295614291793</v>
      </c>
      <c r="BN100" s="415">
        <f t="shared" si="347"/>
        <v>13.837949931711016</v>
      </c>
      <c r="BO100" s="415">
        <f t="shared" si="347"/>
        <v>-83.231150188145293</v>
      </c>
      <c r="BP100" s="415">
        <f t="shared" si="348"/>
        <v>97.510486273829144</v>
      </c>
      <c r="BQ100" s="482">
        <f t="shared" si="348"/>
        <v>17.211145292065495</v>
      </c>
      <c r="BR100" s="415">
        <f t="shared" si="348"/>
        <v>-50.890233336744892</v>
      </c>
      <c r="BS100" s="415">
        <f t="shared" si="348"/>
        <v>105.0022556687329</v>
      </c>
      <c r="BT100" s="415">
        <f t="shared" si="348"/>
        <v>10.981121580780178</v>
      </c>
      <c r="BU100" s="482">
        <f t="shared" si="348"/>
        <v>-17.322445178479391</v>
      </c>
      <c r="BV100" s="415">
        <f t="shared" si="348"/>
        <v>-37.736279145677599</v>
      </c>
      <c r="BW100" s="415">
        <f t="shared" si="348"/>
        <v>-125.39378551513464</v>
      </c>
      <c r="BX100" s="415">
        <f t="shared" si="348"/>
        <v>-66.581137352196251</v>
      </c>
      <c r="BY100" s="482">
        <f t="shared" si="348"/>
        <v>51.644967353374206</v>
      </c>
      <c r="CC100" s="470"/>
      <c r="CD100" s="970">
        <f t="shared" si="349"/>
        <v>30.142444732170134</v>
      </c>
      <c r="CE100" s="415">
        <f t="shared" si="349"/>
        <v>-128.42069096325042</v>
      </c>
      <c r="CF100" s="415">
        <f t="shared" si="349"/>
        <v>-74.730899642348888</v>
      </c>
      <c r="CG100" s="482">
        <f t="shared" si="349"/>
        <v>-9.6230834328167596</v>
      </c>
      <c r="CH100" s="970">
        <f t="shared" si="349"/>
        <v>-86.651758423426372</v>
      </c>
      <c r="CI100" s="415">
        <f t="shared" si="349"/>
        <v>-121.6564636561375</v>
      </c>
      <c r="CJ100" s="415">
        <f t="shared" si="349"/>
        <v>-280.75940037308231</v>
      </c>
      <c r="CK100" s="482">
        <f t="shared" si="349"/>
        <v>-193.86800733945489</v>
      </c>
      <c r="CL100" s="970">
        <f>(CL86-CD86)*10000</f>
        <v>-32.116251521646582</v>
      </c>
      <c r="CM100" s="415">
        <f t="shared" si="350"/>
        <v>-48.357937170949647</v>
      </c>
      <c r="CN100" s="415">
        <f t="shared" si="350"/>
        <v>-288.40488700062826</v>
      </c>
      <c r="CO100" s="482">
        <f t="shared" si="350"/>
        <v>-189.43469561477417</v>
      </c>
      <c r="CP100" s="970">
        <f t="shared" si="351"/>
        <v>-162.48263257208626</v>
      </c>
      <c r="CQ100" s="415">
        <f t="shared" si="351"/>
        <v>31.109215896178188</v>
      </c>
      <c r="CR100" s="415">
        <f t="shared" si="351"/>
        <v>113.09457002053273</v>
      </c>
      <c r="CS100" s="482">
        <f t="shared" si="351"/>
        <v>-113.84337187377504</v>
      </c>
      <c r="CT100" s="970">
        <f t="shared" si="351"/>
        <v>32.285395354317608</v>
      </c>
      <c r="CU100" s="415">
        <f t="shared" si="351"/>
        <v>71.496145431676212</v>
      </c>
      <c r="CV100" s="415">
        <f t="shared" si="351"/>
        <v>78.122053407199232</v>
      </c>
      <c r="CW100" s="415">
        <f t="shared" si="351"/>
        <v>127.317412867168</v>
      </c>
      <c r="CX100" s="415">
        <f t="shared" si="351"/>
        <v>-8.2814660203443449</v>
      </c>
      <c r="CY100" s="415">
        <f t="shared" si="352"/>
        <v>36.505685630301052</v>
      </c>
      <c r="CZ100" s="415">
        <f t="shared" si="352"/>
        <v>39.124977866553735</v>
      </c>
      <c r="DA100" s="482">
        <f t="shared" si="352"/>
        <v>-4.2276868965010479</v>
      </c>
      <c r="DB100" s="415">
        <f t="shared" si="352"/>
        <v>39.820389936258451</v>
      </c>
      <c r="DC100" s="415">
        <f t="shared" si="353"/>
        <v>20.914553343173367</v>
      </c>
      <c r="DD100" s="415">
        <f t="shared" si="353"/>
        <v>90.377304806666743</v>
      </c>
      <c r="DE100" s="482">
        <f t="shared" si="353"/>
        <v>91.187182753740345</v>
      </c>
      <c r="DF100" s="415">
        <f t="shared" si="354"/>
        <v>74.724135072872514</v>
      </c>
      <c r="DG100" s="415">
        <f t="shared" si="354"/>
        <v>28.685448335728296</v>
      </c>
      <c r="DH100" s="415">
        <f t="shared" si="354"/>
        <v>24.907217929310555</v>
      </c>
      <c r="DI100" s="482">
        <f t="shared" si="354"/>
        <v>-14.356619648737274</v>
      </c>
      <c r="DJ100" s="1795">
        <f t="shared" si="354"/>
        <v>-22.884178590271905</v>
      </c>
      <c r="DK100" s="415">
        <f t="shared" si="354"/>
        <v>-7.4698443060308009</v>
      </c>
      <c r="DL100" s="415">
        <f t="shared" si="354"/>
        <v>13.110372473807905</v>
      </c>
      <c r="DM100" s="482">
        <f t="shared" si="354"/>
        <v>-17.287656371273023</v>
      </c>
      <c r="DN100" s="415"/>
      <c r="DO100" s="1584"/>
      <c r="DP100" s="1585"/>
      <c r="DQ100" s="415">
        <f t="shared" si="355"/>
        <v>639.88542606139561</v>
      </c>
      <c r="DR100" s="415">
        <f t="shared" si="355"/>
        <v>-530.23254705264878</v>
      </c>
      <c r="DS100" s="415">
        <f t="shared" si="355"/>
        <v>-41.895307078868328</v>
      </c>
      <c r="DT100" s="415">
        <f t="shared" si="355"/>
        <v>116.95530707957846</v>
      </c>
      <c r="DU100" s="415">
        <f t="shared" si="356"/>
        <v>-73.555473203702547</v>
      </c>
      <c r="DV100" s="415">
        <f t="shared" si="356"/>
        <v>54.069357466383046</v>
      </c>
      <c r="DW100" s="415">
        <f t="shared" si="356"/>
        <v>32.461106563132397</v>
      </c>
      <c r="DX100" s="415">
        <f t="shared" si="356"/>
        <v>29.7434514137164</v>
      </c>
      <c r="DY100" s="415">
        <f t="shared" ref="DY100:EK100" si="363">(DY86-DX86)*10000</f>
        <v>-42.294988413465738</v>
      </c>
      <c r="DZ100" s="415">
        <f t="shared" si="363"/>
        <v>-75.731602253779172</v>
      </c>
      <c r="EA100" s="415">
        <f t="shared" si="363"/>
        <v>-105.71393531960109</v>
      </c>
      <c r="EB100" s="415">
        <f t="shared" si="363"/>
        <v>180.35977452615796</v>
      </c>
      <c r="EC100" s="415">
        <f t="shared" si="363"/>
        <v>165.36758163004373</v>
      </c>
      <c r="ED100" s="415">
        <f t="shared" si="363"/>
        <v>100.85315030729112</v>
      </c>
      <c r="EE100" s="415">
        <f t="shared" si="363"/>
        <v>-31.541578197817124</v>
      </c>
      <c r="EF100" s="415">
        <f t="shared" si="363"/>
        <v>58.894402613940343</v>
      </c>
      <c r="EG100" s="415">
        <f t="shared" si="363"/>
        <v>6.4778503692719536</v>
      </c>
      <c r="EH100" s="415">
        <f t="shared" si="363"/>
        <v>43.907801447822735</v>
      </c>
      <c r="EI100" s="415">
        <f t="shared" si="363"/>
        <v>-2.0009564664878745</v>
      </c>
      <c r="EJ100" s="415">
        <f t="shared" si="363"/>
        <v>31.887962740001981</v>
      </c>
      <c r="EK100" s="415">
        <f t="shared" si="363"/>
        <v>34.85659696649941</v>
      </c>
      <c r="EL100" s="415">
        <f t="shared" si="358"/>
        <v>-36.073472146569628</v>
      </c>
      <c r="EM100" s="415">
        <f t="shared" si="358"/>
        <v>-122.38023116714555</v>
      </c>
      <c r="EN100" s="415">
        <f t="shared" si="358"/>
        <v>17.867585768410397</v>
      </c>
      <c r="EO100" s="415">
        <f t="shared" si="358"/>
        <v>5.3438757480951669</v>
      </c>
      <c r="EP100" s="415">
        <f t="shared" si="358"/>
        <v>-33.918541001153187</v>
      </c>
      <c r="EQ100" s="415">
        <f>(EQ86-EN86)*10000</f>
        <v>43.003270593564565</v>
      </c>
      <c r="ER100" s="970">
        <f t="shared" si="359"/>
        <v>-41.342673093270541</v>
      </c>
      <c r="ES100" s="415">
        <f t="shared" si="359"/>
        <v>-169.67397469449187</v>
      </c>
      <c r="ET100" s="415">
        <f>(ET86-ER86)*10000</f>
        <v>-139.60377215396738</v>
      </c>
      <c r="EU100" s="415">
        <f t="shared" si="359"/>
        <v>-45.331424450872625</v>
      </c>
      <c r="EV100" s="415">
        <f t="shared" si="359"/>
        <v>85.602984822562078</v>
      </c>
      <c r="EW100" s="415">
        <f t="shared" si="360"/>
        <v>11.068001711200884</v>
      </c>
      <c r="EX100" s="415">
        <f t="shared" si="360"/>
        <v>64.099064954073199</v>
      </c>
      <c r="EY100" s="415">
        <f t="shared" si="360"/>
        <v>29.401125864884289</v>
      </c>
      <c r="EZ100" s="1795">
        <f t="shared" si="360"/>
        <v>-11.022466823263633</v>
      </c>
      <c r="FA100" s="415">
        <f t="shared" si="361"/>
        <v>5.3445727579888578</v>
      </c>
      <c r="FB100" s="415">
        <f t="shared" si="361"/>
        <v>4.3296246201880715</v>
      </c>
      <c r="FC100" s="415">
        <f t="shared" si="361"/>
        <v>-10.439642457417964</v>
      </c>
      <c r="FD100" s="415">
        <f t="shared" si="361"/>
        <v>-6.4814248826915168</v>
      </c>
      <c r="FE100" s="415">
        <f t="shared" si="361"/>
        <v>-3.7068486984961209</v>
      </c>
      <c r="FF100" s="415">
        <f t="shared" si="361"/>
        <v>-7.0312563744329841</v>
      </c>
      <c r="FG100" s="415">
        <f t="shared" si="361"/>
        <v>-6.952841865778062</v>
      </c>
      <c r="FH100" s="415">
        <f t="shared" si="361"/>
        <v>-3.6499530563639802</v>
      </c>
      <c r="FI100" s="1586"/>
      <c r="FJ100"/>
      <c r="FK100"/>
      <c r="FL100"/>
      <c r="FM100"/>
      <c r="FN100"/>
      <c r="FO100"/>
      <c r="FS100" s="415"/>
      <c r="FT100" s="415"/>
      <c r="FU100"/>
      <c r="FV100" s="415"/>
      <c r="FW100" s="415"/>
      <c r="FX100" s="415"/>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row>
    <row r="101" spans="1:260" s="4" customFormat="1" ht="12.75" customHeight="1" x14ac:dyDescent="0.2">
      <c r="A101" s="414" t="s">
        <v>3</v>
      </c>
      <c r="B101" s="3"/>
      <c r="C101" s="3"/>
      <c r="D101" s="3"/>
      <c r="E101" s="470"/>
      <c r="F101" s="415">
        <f t="shared" si="341"/>
        <v>3955.7142857142844</v>
      </c>
      <c r="G101" s="415">
        <f t="shared" si="341"/>
        <v>3949.0445859872725</v>
      </c>
      <c r="H101" s="415">
        <f t="shared" si="341"/>
        <v>3896.2830149644774</v>
      </c>
      <c r="I101" s="482">
        <f t="shared" si="341"/>
        <v>3819.5650739901944</v>
      </c>
      <c r="J101" s="415">
        <f t="shared" si="341"/>
        <v>27.446336047278752</v>
      </c>
      <c r="K101" s="415">
        <f t="shared" si="341"/>
        <v>21.621236530365294</v>
      </c>
      <c r="L101" s="415">
        <f t="shared" si="341"/>
        <v>49.026827903347893</v>
      </c>
      <c r="M101" s="482">
        <f t="shared" si="341"/>
        <v>52.758258210161557</v>
      </c>
      <c r="N101" s="415">
        <f t="shared" si="341"/>
        <v>-78.540651566981751</v>
      </c>
      <c r="O101" s="415">
        <f t="shared" si="341"/>
        <v>-71.487210825039725</v>
      </c>
      <c r="P101" s="415">
        <f t="shared" si="342"/>
        <v>-43.792586156872758</v>
      </c>
      <c r="Q101" s="482">
        <f t="shared" si="342"/>
        <v>30.830948609376073</v>
      </c>
      <c r="R101" s="415">
        <f t="shared" si="342"/>
        <v>-7.7652060872396289</v>
      </c>
      <c r="S101" s="415">
        <f t="shared" si="342"/>
        <v>-0.5001975956364646</v>
      </c>
      <c r="T101" s="415">
        <f t="shared" si="342"/>
        <v>1.6653383280890166</v>
      </c>
      <c r="U101" s="482">
        <f t="shared" si="342"/>
        <v>-61.691452688183432</v>
      </c>
      <c r="V101" s="415">
        <f t="shared" si="342"/>
        <v>-46.492498840468578</v>
      </c>
      <c r="W101" s="415">
        <f t="shared" si="342"/>
        <v>-46.808984936536625</v>
      </c>
      <c r="X101" s="415">
        <f t="shared" si="342"/>
        <v>-54.722117097870672</v>
      </c>
      <c r="Y101" s="482">
        <f t="shared" si="342"/>
        <v>8.504106272891887</v>
      </c>
      <c r="Z101" s="415">
        <f t="shared" si="343"/>
        <v>-0.21643138611360246</v>
      </c>
      <c r="AA101" s="415">
        <f t="shared" si="343"/>
        <v>-36.974135067840422</v>
      </c>
      <c r="AB101" s="415">
        <f t="shared" si="343"/>
        <v>-18.927814743260885</v>
      </c>
      <c r="AC101" s="482">
        <f t="shared" si="343"/>
        <v>-18.833562145959547</v>
      </c>
      <c r="AD101" s="415">
        <f t="shared" si="343"/>
        <v>-19.710976923557055</v>
      </c>
      <c r="AE101" s="415">
        <f t="shared" si="343"/>
        <v>13.071380079902051</v>
      </c>
      <c r="AF101" s="415">
        <f t="shared" si="343"/>
        <v>-2.5757946188298408</v>
      </c>
      <c r="AG101" s="482">
        <f t="shared" si="343"/>
        <v>-5.9790011077598404</v>
      </c>
      <c r="AH101" s="415">
        <f t="shared" si="343"/>
        <v>125.6090990867531</v>
      </c>
      <c r="AI101" s="415">
        <f t="shared" si="343"/>
        <v>12.613035972440789</v>
      </c>
      <c r="AJ101" s="415">
        <f t="shared" si="344"/>
        <v>112.43707081485921</v>
      </c>
      <c r="AK101" s="482">
        <f t="shared" si="344"/>
        <v>87.889107120148751</v>
      </c>
      <c r="AL101" s="415">
        <f t="shared" si="344"/>
        <v>-32.96703296703285</v>
      </c>
      <c r="AM101" s="415">
        <f t="shared" si="344"/>
        <v>-61.052151089809328</v>
      </c>
      <c r="AN101" s="415">
        <f t="shared" si="344"/>
        <v>-82.251082251081911</v>
      </c>
      <c r="AO101" s="482">
        <f t="shared" si="344"/>
        <v>-39.461630610950763</v>
      </c>
      <c r="AP101" s="415">
        <f t="shared" si="344"/>
        <v>-83.79120879120849</v>
      </c>
      <c r="AQ101" s="415">
        <f t="shared" si="344"/>
        <v>50.118458643996775</v>
      </c>
      <c r="AR101" s="415">
        <f t="shared" si="344"/>
        <v>-18.759018759019199</v>
      </c>
      <c r="AS101" s="482">
        <f t="shared" si="344"/>
        <v>-44.634479228866098</v>
      </c>
      <c r="AT101" s="415">
        <f t="shared" si="345"/>
        <v>-29.285714285714469</v>
      </c>
      <c r="AU101" s="415">
        <f t="shared" si="345"/>
        <v>-19.76947448923849</v>
      </c>
      <c r="AV101" s="415">
        <f t="shared" si="345"/>
        <v>-30.852457630700101</v>
      </c>
      <c r="AW101" s="482">
        <f t="shared" si="345"/>
        <v>-547.09408656777089</v>
      </c>
      <c r="AX101" s="415">
        <f t="shared" si="345"/>
        <v>-556.03174603174602</v>
      </c>
      <c r="AY101" s="415">
        <f t="shared" si="345"/>
        <v>-548.22779769016279</v>
      </c>
      <c r="AZ101" s="415">
        <f t="shared" si="345"/>
        <v>-605.5609374033844</v>
      </c>
      <c r="BA101" s="482">
        <f t="shared" si="345"/>
        <v>193.32402311125708</v>
      </c>
      <c r="BB101" s="415">
        <f t="shared" si="345"/>
        <v>246.03174603174571</v>
      </c>
      <c r="BC101" s="415">
        <f t="shared" si="345"/>
        <v>185.64470177373394</v>
      </c>
      <c r="BD101" s="415">
        <f t="shared" si="346"/>
        <v>-20.152261531571902</v>
      </c>
      <c r="BE101" s="482">
        <f t="shared" si="346"/>
        <v>152.84604782945576</v>
      </c>
      <c r="BF101" s="415">
        <f t="shared" si="347"/>
        <v>229.37293729372976</v>
      </c>
      <c r="BG101" s="415">
        <f t="shared" si="347"/>
        <v>152.70655270655243</v>
      </c>
      <c r="BH101" s="415">
        <f t="shared" si="347"/>
        <v>401.51515151515162</v>
      </c>
      <c r="BI101" s="482">
        <f t="shared" si="347"/>
        <v>54.380080682400191</v>
      </c>
      <c r="BJ101" s="415">
        <f t="shared" si="347"/>
        <v>-10.074691679694547</v>
      </c>
      <c r="BK101" s="415">
        <f t="shared" si="347"/>
        <v>130.88685015290537</v>
      </c>
      <c r="BL101" s="415">
        <f t="shared" si="347"/>
        <v>-701.97740112994347</v>
      </c>
      <c r="BM101" s="482">
        <f t="shared" si="347"/>
        <v>-267.76928713493129</v>
      </c>
      <c r="BN101" s="415">
        <f t="shared" si="347"/>
        <v>53.156844206324052</v>
      </c>
      <c r="BO101" s="415">
        <f t="shared" si="347"/>
        <v>580.70735274564572</v>
      </c>
      <c r="BP101" s="415">
        <f t="shared" si="348"/>
        <v>-326.41087725833518</v>
      </c>
      <c r="BQ101" s="482">
        <f t="shared" si="348"/>
        <v>230.29908225240925</v>
      </c>
      <c r="BR101" s="415">
        <f t="shared" si="348"/>
        <v>234.16742673593228</v>
      </c>
      <c r="BS101" s="415">
        <f t="shared" si="348"/>
        <v>-688.76541877944453</v>
      </c>
      <c r="BT101" s="415">
        <f t="shared" si="348"/>
        <v>1010.7385911675459</v>
      </c>
      <c r="BU101" s="482">
        <f t="shared" si="348"/>
        <v>-1075.3751271208778</v>
      </c>
      <c r="BV101" s="415">
        <f t="shared" si="348"/>
        <v>-270.77345995251801</v>
      </c>
      <c r="BW101" s="415">
        <f t="shared" si="348"/>
        <v>170.27466415675542</v>
      </c>
      <c r="BX101" s="415">
        <f t="shared" si="348"/>
        <v>79.801303720175014</v>
      </c>
      <c r="BY101" s="482">
        <f t="shared" si="348"/>
        <v>199.90297637131616</v>
      </c>
      <c r="CC101" s="470"/>
      <c r="CD101" s="970">
        <f t="shared" si="349"/>
        <v>-415.29690155160614</v>
      </c>
      <c r="CE101" s="415">
        <f t="shared" si="349"/>
        <v>-154.25531914893654</v>
      </c>
      <c r="CF101" s="415">
        <f t="shared" si="349"/>
        <v>31.072197978235792</v>
      </c>
      <c r="CG101" s="482">
        <f t="shared" si="349"/>
        <v>869.91780653040303</v>
      </c>
      <c r="CH101" s="970">
        <f t="shared" si="349"/>
        <v>-106.71642701206241</v>
      </c>
      <c r="CI101" s="415">
        <f t="shared" si="349"/>
        <v>1197.872340425532</v>
      </c>
      <c r="CJ101" s="415">
        <f t="shared" si="349"/>
        <v>120.15503875968948</v>
      </c>
      <c r="CK101" s="482">
        <f t="shared" si="349"/>
        <v>100.41304657456173</v>
      </c>
      <c r="CL101" s="970">
        <f>(CL87-CD87)*10000</f>
        <v>-290.05460671546467</v>
      </c>
      <c r="CM101" s="415">
        <f t="shared" si="350"/>
        <v>629.0825315083348</v>
      </c>
      <c r="CN101" s="415">
        <f t="shared" si="350"/>
        <v>-914.93268053855604</v>
      </c>
      <c r="CO101" s="482">
        <f t="shared" si="350"/>
        <v>144.459650723468</v>
      </c>
      <c r="CP101" s="970">
        <f t="shared" si="351"/>
        <v>0.2891844997110482</v>
      </c>
      <c r="CQ101" s="415">
        <f t="shared" si="351"/>
        <v>-308.22168533567617</v>
      </c>
      <c r="CR101" s="415">
        <f t="shared" si="351"/>
        <v>1654.1353383458645</v>
      </c>
      <c r="CS101" s="482">
        <f t="shared" si="351"/>
        <v>-543.45868664803231</v>
      </c>
      <c r="CT101" s="970">
        <f t="shared" si="351"/>
        <v>838.7201034259856</v>
      </c>
      <c r="CU101" s="415">
        <f t="shared" si="351"/>
        <v>-485.87060181699559</v>
      </c>
      <c r="CV101" s="415">
        <f t="shared" si="351"/>
        <v>-620.79281974569915</v>
      </c>
      <c r="CW101" s="415">
        <f t="shared" si="351"/>
        <v>345.90651153624975</v>
      </c>
      <c r="CX101" s="415">
        <f t="shared" si="351"/>
        <v>-329.56259426847657</v>
      </c>
      <c r="CY101" s="415">
        <f>(CY87-CU87)*10000</f>
        <v>165.17217240574701</v>
      </c>
      <c r="CZ101" s="415">
        <f t="shared" si="352"/>
        <v>90.73464262869868</v>
      </c>
      <c r="DA101" s="482">
        <f t="shared" si="352"/>
        <v>-97.152710602683158</v>
      </c>
      <c r="DB101" s="415">
        <f t="shared" si="352"/>
        <v>120.03630587701375</v>
      </c>
      <c r="DC101" s="415">
        <f t="shared" si="353"/>
        <v>-238.00436205016373</v>
      </c>
      <c r="DD101" s="415">
        <f t="shared" si="353"/>
        <v>-83.524961056301578</v>
      </c>
      <c r="DE101" s="482">
        <f t="shared" si="353"/>
        <v>-349.58181447285574</v>
      </c>
      <c r="DF101" s="415">
        <f t="shared" si="354"/>
        <v>-199.41811128621646</v>
      </c>
      <c r="DG101" s="415">
        <f t="shared" si="354"/>
        <v>-172.74966412897442</v>
      </c>
      <c r="DH101" s="415">
        <f t="shared" si="354"/>
        <v>-622.27777510696581</v>
      </c>
      <c r="DI101" s="482">
        <f t="shared" si="354"/>
        <v>-331.38178974539966</v>
      </c>
      <c r="DJ101" s="1795">
        <f t="shared" si="354"/>
        <v>-1311.6438356164381</v>
      </c>
      <c r="DK101" s="415">
        <f t="shared" si="354"/>
        <v>-691.53605015673963</v>
      </c>
      <c r="DL101" s="415">
        <f t="shared" si="354"/>
        <v>-449.85337243401756</v>
      </c>
      <c r="DM101" s="482">
        <f t="shared" si="354"/>
        <v>-195.82909460834185</v>
      </c>
      <c r="DN101" s="415"/>
      <c r="DO101" s="1584"/>
      <c r="DP101" s="1585"/>
      <c r="DQ101" s="415">
        <f t="shared" ref="DQ101:DX101" si="364">(DQ88-DP88)*10000</f>
        <v>308.89868724321087</v>
      </c>
      <c r="DR101" s="415">
        <f t="shared" si="364"/>
        <v>-245.84748461930357</v>
      </c>
      <c r="DS101" s="415">
        <f t="shared" si="364"/>
        <v>-22.391922692433969</v>
      </c>
      <c r="DT101" s="415">
        <f t="shared" si="364"/>
        <v>70.152848371149389</v>
      </c>
      <c r="DU101" s="415">
        <f t="shared" si="364"/>
        <v>-42.523275480143425</v>
      </c>
      <c r="DV101" s="415">
        <f t="shared" si="364"/>
        <v>34.981907816528171</v>
      </c>
      <c r="DW101" s="415">
        <f t="shared" si="364"/>
        <v>19.292632197192155</v>
      </c>
      <c r="DX101" s="415">
        <f t="shared" si="364"/>
        <v>16.167783993997556</v>
      </c>
      <c r="DY101" s="415">
        <f t="shared" ref="DY101:EK101" si="365">(DY88-DX88)*10000</f>
        <v>-25.254678696699592</v>
      </c>
      <c r="DZ101" s="415">
        <f t="shared" si="365"/>
        <v>-46.981831963960971</v>
      </c>
      <c r="EA101" s="415">
        <f t="shared" si="365"/>
        <v>-64.245185654117989</v>
      </c>
      <c r="EB101" s="415">
        <f t="shared" si="365"/>
        <v>110.73308796350564</v>
      </c>
      <c r="EC101" s="415">
        <f t="shared" si="365"/>
        <v>101.91023550047163</v>
      </c>
      <c r="ED101" s="415">
        <f t="shared" si="365"/>
        <v>62.89602352636436</v>
      </c>
      <c r="EE101" s="415">
        <f t="shared" si="365"/>
        <v>-19.303709277408188</v>
      </c>
      <c r="EF101" s="415">
        <f t="shared" si="365"/>
        <v>32.375727819512441</v>
      </c>
      <c r="EG101" s="415">
        <f t="shared" si="365"/>
        <v>6.0932263287229169</v>
      </c>
      <c r="EH101" s="415">
        <f t="shared" si="365"/>
        <v>28.753811102736336</v>
      </c>
      <c r="EI101" s="415">
        <f t="shared" si="365"/>
        <v>14.873168538319243</v>
      </c>
      <c r="EJ101" s="415">
        <f t="shared" si="365"/>
        <v>28.972889891070718</v>
      </c>
      <c r="EK101" s="415">
        <f t="shared" si="365"/>
        <v>13.648596077594499</v>
      </c>
      <c r="EL101" s="415">
        <f t="shared" si="358"/>
        <v>127.47279608229856</v>
      </c>
      <c r="EM101" s="415">
        <f t="shared" si="358"/>
        <v>-210.41889552636306</v>
      </c>
      <c r="EN101" s="415">
        <f t="shared" si="358"/>
        <v>121.63304980667644</v>
      </c>
      <c r="EO101" s="415">
        <f t="shared" si="358"/>
        <v>-464.85555620053799</v>
      </c>
      <c r="EP101" s="415">
        <f t="shared" si="358"/>
        <v>28.461058688610265</v>
      </c>
      <c r="EQ101" s="415">
        <f>(EQ87-EN87)*10000</f>
        <v>-384.25801603901243</v>
      </c>
      <c r="ER101" s="970">
        <f t="shared" si="359"/>
        <v>342.13521499326163</v>
      </c>
      <c r="ES101" s="415">
        <f t="shared" si="359"/>
        <v>111.21729109868195</v>
      </c>
      <c r="ET101" s="415">
        <f>(ET87-ER87)*10000</f>
        <v>56.734447659990138</v>
      </c>
      <c r="EU101" s="415">
        <f t="shared" si="359"/>
        <v>-186.37913146583639</v>
      </c>
      <c r="EV101" s="415">
        <f t="shared" si="359"/>
        <v>182.98368298368283</v>
      </c>
      <c r="EW101" s="415">
        <f t="shared" ref="EW101:FC101" si="366">(EW88-EV88)*10000</f>
        <v>8.9698530415164779</v>
      </c>
      <c r="EX101" s="415">
        <f t="shared" si="366"/>
        <v>50.74658397201587</v>
      </c>
      <c r="EY101" s="415">
        <f t="shared" si="366"/>
        <v>34.650025103351304</v>
      </c>
      <c r="EZ101" s="1795">
        <f t="shared" si="366"/>
        <v>14.153832632250937</v>
      </c>
      <c r="FA101" s="415">
        <f t="shared" si="366"/>
        <v>4.0091524076131533</v>
      </c>
      <c r="FB101" s="415">
        <f t="shared" si="366"/>
        <v>3.2478040352508506</v>
      </c>
      <c r="FC101" s="415">
        <f t="shared" si="366"/>
        <v>-7.8311437766873802</v>
      </c>
      <c r="FD101" s="415">
        <f>(FD88-FC88)*10000</f>
        <v>-4.8619452573388235</v>
      </c>
      <c r="FE101" s="415">
        <f>(FE88-FD88)*10000</f>
        <v>-2.7806378652099619</v>
      </c>
      <c r="FF101" s="415">
        <f>(FF88-FE88)*10000</f>
        <v>-5.2743932393785329</v>
      </c>
      <c r="FG101" s="415">
        <f>(FG88-FF88)*10000</f>
        <v>-5.2155717525354666</v>
      </c>
      <c r="FH101" s="415">
        <f>(FH88-FG88)*10000</f>
        <v>-2.7379584386279241</v>
      </c>
      <c r="FI101" s="1586"/>
      <c r="FJ101"/>
      <c r="FK101"/>
      <c r="FL101"/>
      <c r="FM101"/>
      <c r="FN101"/>
      <c r="FO101"/>
      <c r="FS101" s="415"/>
      <c r="FT101" s="415"/>
      <c r="FU101"/>
      <c r="FV101" s="415"/>
      <c r="FW101" s="415"/>
      <c r="FX101" s="415"/>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row>
    <row r="102" spans="1:260" s="4" customFormat="1" ht="12.75" customHeight="1" x14ac:dyDescent="0.2">
      <c r="A102" s="414"/>
      <c r="B102" s="3"/>
      <c r="C102" s="3"/>
      <c r="D102" s="3"/>
      <c r="E102" s="470"/>
      <c r="I102" s="470"/>
      <c r="M102" s="470"/>
      <c r="Q102" s="470"/>
      <c r="U102" s="470"/>
      <c r="Y102" s="470"/>
      <c r="AC102" s="470"/>
      <c r="AG102" s="470"/>
      <c r="AK102" s="470"/>
      <c r="AO102" s="470"/>
      <c r="AS102" s="470"/>
      <c r="AW102" s="470"/>
      <c r="BA102" s="470"/>
      <c r="BE102" s="470"/>
      <c r="BF102" s="6"/>
      <c r="BG102" s="6"/>
      <c r="BI102" s="470"/>
      <c r="BM102" s="484"/>
      <c r="BN102" s="6"/>
      <c r="BO102" s="6"/>
      <c r="BP102" s="6"/>
      <c r="BQ102" s="484"/>
      <c r="BU102" s="470"/>
      <c r="BY102" s="470"/>
      <c r="CC102" s="470"/>
      <c r="CD102" s="1287"/>
      <c r="CE102" s="1242"/>
      <c r="CF102" s="1242"/>
      <c r="CG102" s="1286"/>
      <c r="CH102" s="1287"/>
      <c r="CI102" s="1242"/>
      <c r="CJ102" s="1242"/>
      <c r="CK102" s="1286"/>
      <c r="CL102" s="1287"/>
      <c r="CM102" s="1242"/>
      <c r="CN102" s="1242"/>
      <c r="CO102" s="1286"/>
      <c r="CP102" s="1287"/>
      <c r="CQ102" s="1242"/>
      <c r="CR102" s="1242"/>
      <c r="CS102" s="1286"/>
      <c r="CT102" s="1287"/>
      <c r="CU102" s="1242"/>
      <c r="CV102" s="1242"/>
      <c r="CW102" s="1286"/>
      <c r="CX102" s="1287"/>
      <c r="CY102" s="1242"/>
      <c r="CZ102" s="1242"/>
      <c r="DA102" s="1286"/>
      <c r="DB102" s="6"/>
      <c r="DC102" s="6"/>
      <c r="DD102" s="415"/>
      <c r="DE102" s="484"/>
      <c r="DF102" s="6"/>
      <c r="DG102" s="6"/>
      <c r="DH102" s="6"/>
      <c r="DI102" s="484"/>
      <c r="DJ102" s="1671"/>
      <c r="DK102" s="6"/>
      <c r="DL102" s="6"/>
      <c r="DM102" s="484"/>
      <c r="DN102" s="413"/>
      <c r="DO102" s="470"/>
      <c r="EM102" s="6"/>
      <c r="ER102" s="413"/>
      <c r="ES102" s="3"/>
      <c r="ET102" s="3"/>
      <c r="EU102" s="3"/>
      <c r="EV102" s="3"/>
      <c r="EW102" s="3"/>
      <c r="EX102" s="7"/>
      <c r="EY102" s="7"/>
      <c r="EZ102" s="1671"/>
      <c r="FI102" s="413"/>
      <c r="FJ102"/>
      <c r="FK102"/>
      <c r="FL102"/>
      <c r="FM102"/>
      <c r="FN102"/>
      <c r="FO102"/>
      <c r="FS102" s="7"/>
      <c r="FT102" s="7"/>
      <c r="FU102"/>
      <c r="FV102" s="7"/>
      <c r="FW102" s="7"/>
      <c r="FX102" s="7"/>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row>
    <row r="103" spans="1:260" s="448" customFormat="1" ht="12.75" customHeight="1" x14ac:dyDescent="0.2">
      <c r="A103" s="447" t="s">
        <v>170</v>
      </c>
      <c r="B103" s="435"/>
      <c r="C103" s="435"/>
      <c r="D103" s="435"/>
      <c r="E103" s="464"/>
      <c r="F103" s="435"/>
      <c r="G103" s="435"/>
      <c r="H103" s="435"/>
      <c r="I103" s="464"/>
      <c r="J103" s="435"/>
      <c r="K103" s="435"/>
      <c r="L103" s="435"/>
      <c r="M103" s="464"/>
      <c r="N103" s="435"/>
      <c r="O103" s="435"/>
      <c r="P103" s="435"/>
      <c r="Q103" s="464"/>
      <c r="R103" s="435"/>
      <c r="S103" s="435"/>
      <c r="T103" s="435"/>
      <c r="U103" s="464"/>
      <c r="V103" s="435"/>
      <c r="W103" s="435"/>
      <c r="X103" s="435"/>
      <c r="Y103" s="464"/>
      <c r="Z103" s="435"/>
      <c r="AA103" s="435"/>
      <c r="AB103" s="435"/>
      <c r="AC103" s="464"/>
      <c r="AD103" s="435"/>
      <c r="AE103" s="435"/>
      <c r="AF103" s="435"/>
      <c r="AG103" s="464"/>
      <c r="AH103" s="435"/>
      <c r="AI103" s="435"/>
      <c r="AJ103" s="435"/>
      <c r="AK103" s="464"/>
      <c r="AL103" s="435"/>
      <c r="AM103" s="435"/>
      <c r="AN103" s="435"/>
      <c r="AO103" s="464"/>
      <c r="AP103" s="435"/>
      <c r="AQ103" s="435"/>
      <c r="AR103" s="435"/>
      <c r="AS103" s="464"/>
      <c r="AT103" s="435"/>
      <c r="AU103" s="435"/>
      <c r="AV103" s="435"/>
      <c r="AW103" s="464"/>
      <c r="AX103" s="435"/>
      <c r="AY103" s="435"/>
      <c r="AZ103" s="435"/>
      <c r="BA103" s="464"/>
      <c r="BB103" s="435"/>
      <c r="BC103" s="435"/>
      <c r="BD103" s="435"/>
      <c r="BE103" s="464"/>
      <c r="BF103" s="435"/>
      <c r="BG103" s="435"/>
      <c r="BH103" s="435"/>
      <c r="BI103" s="464"/>
      <c r="BJ103" s="435"/>
      <c r="BK103" s="435"/>
      <c r="BL103" s="435"/>
      <c r="BM103" s="498"/>
      <c r="BN103" s="597"/>
      <c r="BO103" s="597"/>
      <c r="BP103" s="597"/>
      <c r="BQ103" s="609"/>
      <c r="BR103" s="450"/>
      <c r="BS103" s="450"/>
      <c r="BT103" s="450"/>
      <c r="BU103" s="505"/>
      <c r="BV103" s="450"/>
      <c r="BW103" s="450"/>
      <c r="BX103" s="450"/>
      <c r="BY103" s="505"/>
      <c r="BZ103" s="450"/>
      <c r="CA103" s="450"/>
      <c r="CB103" s="450"/>
      <c r="CC103" s="505"/>
      <c r="CD103" s="450"/>
      <c r="CE103" s="450"/>
      <c r="CF103" s="450"/>
      <c r="CG103" s="505"/>
      <c r="CH103" s="450"/>
      <c r="CI103" s="450"/>
      <c r="CJ103" s="450"/>
      <c r="CK103" s="505"/>
      <c r="CL103" s="450"/>
      <c r="CM103" s="450"/>
      <c r="CN103" s="450"/>
      <c r="CO103" s="505"/>
      <c r="CP103" s="1228"/>
      <c r="CQ103" s="1228"/>
      <c r="CR103" s="1228"/>
      <c r="CS103" s="1228"/>
      <c r="CT103" s="1228"/>
      <c r="CU103" s="1228"/>
      <c r="CV103" s="1228"/>
      <c r="CW103" s="1261"/>
      <c r="CX103" s="2052"/>
      <c r="CY103" s="2052"/>
      <c r="CZ103" s="2052"/>
      <c r="DA103" s="2053"/>
      <c r="DB103" s="2054"/>
      <c r="DC103" s="2054"/>
      <c r="DD103" s="2054"/>
      <c r="DE103" s="2054"/>
      <c r="DF103" s="2054"/>
      <c r="DG103" s="2054"/>
      <c r="DH103" s="2054"/>
      <c r="DI103" s="2054"/>
      <c r="DJ103" s="2696"/>
      <c r="DK103" s="597"/>
      <c r="DL103" s="597"/>
      <c r="DM103" s="2053"/>
      <c r="DN103" s="2046"/>
      <c r="DO103" s="2047"/>
      <c r="DP103" s="2048"/>
      <c r="DQ103" s="2048"/>
      <c r="DR103" s="2048"/>
      <c r="DS103" s="2048"/>
      <c r="DT103" s="2048"/>
      <c r="DU103" s="2048"/>
      <c r="DV103" s="2048"/>
      <c r="DW103" s="2048"/>
      <c r="DX103" s="2049"/>
      <c r="DY103" s="2049"/>
      <c r="DZ103" s="2049"/>
      <c r="EA103" s="2049"/>
      <c r="EB103" s="2049"/>
      <c r="EC103" s="2049"/>
      <c r="ED103" s="2049"/>
      <c r="EE103" s="2049"/>
      <c r="EF103" s="2049"/>
      <c r="EG103" s="2049"/>
      <c r="EH103" s="2049"/>
      <c r="EI103" s="2049"/>
      <c r="EJ103" s="2049"/>
      <c r="EK103" s="2049"/>
      <c r="EL103" s="2049"/>
      <c r="EM103" s="2044"/>
      <c r="EN103" s="2050"/>
      <c r="EO103" s="2050"/>
      <c r="EP103" s="2050"/>
      <c r="EQ103" s="2050"/>
      <c r="ER103" s="2051"/>
      <c r="ES103" s="2050"/>
      <c r="ET103" s="2050"/>
      <c r="EU103" s="2044"/>
      <c r="EV103" s="2044"/>
      <c r="EW103" s="2044"/>
      <c r="EX103" s="2044"/>
      <c r="EY103" s="2044"/>
      <c r="EZ103" s="2045"/>
      <c r="FA103" s="2049"/>
      <c r="FB103" s="2049"/>
      <c r="FC103" s="2049"/>
      <c r="FD103" s="2049"/>
      <c r="FE103" s="2049"/>
      <c r="FF103" s="2049"/>
      <c r="FG103" s="2049"/>
      <c r="FH103" s="2049"/>
      <c r="FI103" s="2046"/>
      <c r="FJ103"/>
      <c r="FK103"/>
      <c r="FL103"/>
      <c r="FM103"/>
      <c r="FN103"/>
      <c r="FO103"/>
      <c r="FP103" s="6"/>
      <c r="FQ103" s="4"/>
      <c r="FR103" s="4"/>
      <c r="FS103" s="335"/>
      <c r="FT103" s="335"/>
      <c r="FU103"/>
      <c r="FV103" s="2635"/>
      <c r="FW103" s="2635"/>
      <c r="FX103" s="2635"/>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row>
    <row r="104" spans="1:260" s="4" customFormat="1" ht="12.75" customHeight="1" x14ac:dyDescent="0.2">
      <c r="A104" s="3" t="s">
        <v>362</v>
      </c>
      <c r="B104" s="3"/>
      <c r="C104" s="3"/>
      <c r="D104" s="3"/>
      <c r="E104" s="470"/>
      <c r="F104" s="15">
        <f>'Revenue Model'!F394</f>
        <v>0.37</v>
      </c>
      <c r="G104" s="15">
        <f>'Revenue Model'!G394</f>
        <v>0.18</v>
      </c>
      <c r="H104" s="15">
        <f>'Revenue Model'!H394</f>
        <v>0.2</v>
      </c>
      <c r="I104" s="518">
        <f>'Revenue Model'!I394</f>
        <v>0.14000000000000001</v>
      </c>
      <c r="J104" s="15">
        <f>'Revenue Model'!J394</f>
        <v>6.2E-2</v>
      </c>
      <c r="K104" s="15">
        <f>'Revenue Model'!K394</f>
        <v>6.9000000000000006E-2</v>
      </c>
      <c r="L104" s="15">
        <f>'Revenue Model'!L394</f>
        <v>0.11</v>
      </c>
      <c r="M104" s="518">
        <f>'Revenue Model'!M394</f>
        <v>1.4E-2</v>
      </c>
      <c r="N104" s="15">
        <f>'Revenue Model'!N394</f>
        <v>3.5999999999999997E-2</v>
      </c>
      <c r="O104" s="15">
        <f>'Revenue Model'!O394</f>
        <v>3.6999999999999998E-2</v>
      </c>
      <c r="P104" s="15">
        <f>'Revenue Model'!P394</f>
        <v>-8.1000000000000003E-2</v>
      </c>
      <c r="Q104" s="518">
        <f>'Revenue Model'!Q394</f>
        <v>-0.112</v>
      </c>
      <c r="R104" s="15">
        <f>'Revenue Model'!R394</f>
        <v>-8.2000000000000003E-2</v>
      </c>
      <c r="S104" s="15">
        <f>'Revenue Model'!S394</f>
        <v>-5.6000000000000001E-2</v>
      </c>
      <c r="T104" s="15">
        <f>'Revenue Model'!T394</f>
        <v>-4.0000000000000001E-3</v>
      </c>
      <c r="U104" s="518">
        <f>'Revenue Model'!U394</f>
        <v>0.16900000000000001</v>
      </c>
      <c r="V104" s="15">
        <f>'Revenue Model'!V394</f>
        <v>0.153</v>
      </c>
      <c r="W104" s="15">
        <f>'Revenue Model'!W394</f>
        <v>0.17899999999999999</v>
      </c>
      <c r="X104" s="15">
        <f>'Revenue Model'!X394</f>
        <v>0.122</v>
      </c>
      <c r="Y104" s="518">
        <f>'Revenue Model'!Y394</f>
        <v>0.108</v>
      </c>
      <c r="Z104" s="15">
        <f>'Revenue Model'!Z394</f>
        <v>0.13300000000000001</v>
      </c>
      <c r="AA104" s="15">
        <f>'Revenue Model'!AA394</f>
        <v>0.111</v>
      </c>
      <c r="AB104" s="15">
        <f>'Revenue Model'!AB394</f>
        <v>1.2E-2</v>
      </c>
      <c r="AC104" s="518">
        <f>'Revenue Model'!AC394</f>
        <v>0.11</v>
      </c>
      <c r="AD104" s="15">
        <f>'Revenue Model'!AD394</f>
        <v>9.5000000000000001E-2</v>
      </c>
      <c r="AE104" s="15">
        <f>'Revenue Model'!AE394</f>
        <v>5.0999999999999997E-2</v>
      </c>
      <c r="AF104" s="15">
        <f>'Revenue Model'!AF394</f>
        <v>5.8999999999999997E-2</v>
      </c>
      <c r="AG104" s="518">
        <f>'Revenue Model'!AG394</f>
        <v>1.7999999999999999E-2</v>
      </c>
      <c r="AH104" s="15">
        <f>'Revenue Model'!AH394</f>
        <v>-3.1E-2</v>
      </c>
      <c r="AI104" s="15">
        <f>'Revenue Model'!AI394</f>
        <v>2.8000000000000001E-2</v>
      </c>
      <c r="AJ104" s="15">
        <f>'Revenue Model'!AJ394</f>
        <v>1.6E-2</v>
      </c>
      <c r="AK104" s="518">
        <f>'Revenue Model'!AK394</f>
        <v>4.4999999999999998E-2</v>
      </c>
      <c r="AL104" s="15">
        <f>'Revenue Model'!AL394</f>
        <v>6.6000000000000003E-2</v>
      </c>
      <c r="AM104" s="15">
        <f>'Revenue Model'!AM394</f>
        <v>2.7E-2</v>
      </c>
      <c r="AN104" s="15">
        <f>'Revenue Model'!AN394</f>
        <v>7.0000000000000001E-3</v>
      </c>
      <c r="AO104" s="518">
        <f>'Revenue Model'!AO394</f>
        <v>1.2999999999999999E-2</v>
      </c>
      <c r="AP104" s="15">
        <f>'Revenue Model'!AP394</f>
        <v>2.3E-2</v>
      </c>
      <c r="AQ104" s="15">
        <f>'Revenue Model'!AQ394</f>
        <v>7.8E-2</v>
      </c>
      <c r="AR104" s="15">
        <f>'Revenue Model'!AR394</f>
        <v>0.09</v>
      </c>
      <c r="AS104" s="518">
        <f>'Revenue Model'!AS394</f>
        <v>9.9000000000000005E-2</v>
      </c>
      <c r="AT104" s="15">
        <f>'Revenue Model'!AT394</f>
        <v>8.4000000000000005E-2</v>
      </c>
      <c r="AU104" s="15">
        <f>'Revenue Model'!AU394</f>
        <v>4.3999999999999997E-2</v>
      </c>
      <c r="AV104" s="15">
        <f>'Revenue Model'!AV394</f>
        <v>0.03</v>
      </c>
      <c r="AW104" s="518">
        <f>'Revenue Model'!AW394</f>
        <v>3.1E-2</v>
      </c>
      <c r="AX104" s="15">
        <f>'Revenue Model'!AX394</f>
        <v>4.4999999999999998E-2</v>
      </c>
      <c r="AY104" s="15">
        <f>'Revenue Model'!AY394</f>
        <v>3.7999999999999999E-2</v>
      </c>
      <c r="AZ104" s="15">
        <f>'Revenue Model'!AZ394</f>
        <v>3.7999999999999999E-2</v>
      </c>
      <c r="BA104" s="518">
        <f>'Revenue Model'!BA394</f>
        <v>7.3999999999999996E-2</v>
      </c>
      <c r="BB104" s="15">
        <f>'Revenue Model'!BB394</f>
        <v>4.5999999999999999E-2</v>
      </c>
      <c r="BC104" s="15">
        <f>'Revenue Model'!BC394</f>
        <v>0.03</v>
      </c>
      <c r="BD104" s="15">
        <f>'Revenue Model'!BD394</f>
        <v>3.5999999999999997E-2</v>
      </c>
      <c r="BE104" s="518">
        <f>'Revenue Model'!BE394</f>
        <v>4.8000000000000001E-2</v>
      </c>
      <c r="BF104" s="15">
        <f>'Revenue Model'!BF394</f>
        <v>1.7000000000000001E-2</v>
      </c>
      <c r="BG104" s="15">
        <f>'Revenue Model'!BG394</f>
        <v>1.7000000000000001E-2</v>
      </c>
      <c r="BH104" s="15">
        <f>'Revenue Model'!BH394</f>
        <v>6.0999999999999999E-2</v>
      </c>
      <c r="BI104" s="518">
        <f>'Revenue Model'!BI394</f>
        <v>-8.9999999999999993E-3</v>
      </c>
      <c r="BJ104" s="15">
        <f>'Revenue Model'!BJ394</f>
        <v>3.5000000000000003E-2</v>
      </c>
      <c r="BK104" s="15">
        <f>'Revenue Model'!BK394</f>
        <v>5.2999999999999999E-2</v>
      </c>
      <c r="BL104" s="15">
        <f>'Revenue Model'!BL394</f>
        <v>-6.3E-2</v>
      </c>
      <c r="BM104" s="518">
        <f>'Revenue Model'!BM394</f>
        <v>-4.8000000000000001E-2</v>
      </c>
      <c r="BN104" s="15">
        <f>'Revenue Model'!BN394</f>
        <v>-4.9000000000000002E-2</v>
      </c>
      <c r="BO104" s="15">
        <f>'Revenue Model'!BO394</f>
        <v>-3.1E-2</v>
      </c>
      <c r="BP104" s="15">
        <f>'Revenue Model'!BP394</f>
        <v>4.5999999999999999E-2</v>
      </c>
      <c r="BQ104" s="518">
        <f>'Revenue Model'!BQ394</f>
        <v>7.3999999999999996E-2</v>
      </c>
      <c r="BR104" s="15">
        <f>'Revenue Model'!BR394</f>
        <v>1.9E-2</v>
      </c>
      <c r="BS104" s="15">
        <f>'Revenue Model'!BS394</f>
        <v>-1.4E-2</v>
      </c>
      <c r="BT104" s="15">
        <f>'Revenue Model'!BT394</f>
        <v>-0.05</v>
      </c>
      <c r="BU104" s="518">
        <f>'Revenue Model'!BU394</f>
        <v>-5.5E-2</v>
      </c>
      <c r="BV104" s="15">
        <f>'Revenue Model'!BV394</f>
        <v>-2.4E-2</v>
      </c>
      <c r="BW104" s="15">
        <f>'Revenue Model'!BW394</f>
        <v>-2.7E-2</v>
      </c>
      <c r="BX104" s="15">
        <f>'Revenue Model'!BX394</f>
        <v>8.9999999999999993E-3</v>
      </c>
      <c r="BY104" s="518">
        <f>'Revenue Model'!BY394</f>
        <v>-2.1999999999999999E-2</v>
      </c>
      <c r="BZ104" s="15">
        <f>'Revenue Model'!BZ394</f>
        <v>4.7E-2</v>
      </c>
      <c r="CA104" s="15">
        <f>'Revenue Model'!CA394</f>
        <v>0</v>
      </c>
      <c r="CB104" s="15">
        <f>'Revenue Model'!CB394</f>
        <v>-3.9E-2</v>
      </c>
      <c r="CC104" s="518">
        <f>'Revenue Model'!CC394</f>
        <v>-5.1999999999999998E-2</v>
      </c>
      <c r="CD104" s="15">
        <f>'Revenue Model'!CD394</f>
        <v>-3.7999999999999999E-2</v>
      </c>
      <c r="CE104" s="15">
        <f>'Revenue Model'!CE394</f>
        <v>-4.1000000000000002E-2</v>
      </c>
      <c r="CF104" s="15">
        <f>'Revenue Model'!CF394</f>
        <v>1E-3</v>
      </c>
      <c r="CG104" s="518">
        <f>'Revenue Model'!CG394</f>
        <v>-1.0999999999999999E-2</v>
      </c>
      <c r="CH104" s="15">
        <f>'Revenue Model'!CH394</f>
        <v>-3.6999999999999998E-2</v>
      </c>
      <c r="CI104" s="15">
        <f>'Revenue Model'!CI394</f>
        <v>-1.6E-2</v>
      </c>
      <c r="CJ104" s="15">
        <f>'Revenue Model'!CJ394</f>
        <v>-0.04</v>
      </c>
      <c r="CK104" s="518">
        <f>'Revenue Model'!CK394</f>
        <v>8.9999999999999993E-3</v>
      </c>
      <c r="CL104" s="15">
        <f>'Revenue Model'!CL394</f>
        <v>-3.6999999999999998E-2</v>
      </c>
      <c r="CM104" s="15">
        <f>'Revenue Model'!CM394</f>
        <v>-1.6E-2</v>
      </c>
      <c r="CN104" s="15">
        <f>'Revenue Model'!CN394</f>
        <v>-0.04</v>
      </c>
      <c r="CO104" s="518">
        <f>'Revenue Model'!CO394</f>
        <v>8.9999999999999993E-3</v>
      </c>
      <c r="CP104" s="674">
        <f>'Revenue Model'!CP394</f>
        <v>-1.2E-2</v>
      </c>
      <c r="CQ104" s="161">
        <f>'Revenue Model'!CQ394</f>
        <v>-4.0000000000000001E-3</v>
      </c>
      <c r="CR104" s="161">
        <f>'Revenue Model'!CR394</f>
        <v>1.7999999999999999E-2</v>
      </c>
      <c r="CS104" s="518">
        <f>'Revenue Model'!CS394</f>
        <v>-1.2E-2</v>
      </c>
      <c r="CT104" s="674">
        <f>'Revenue Model'!CT394</f>
        <v>-1.2999999999999999E-2</v>
      </c>
      <c r="CU104" s="70">
        <f>'Revenue Model'!CU394</f>
        <v>-0.02</v>
      </c>
      <c r="CV104" s="70">
        <f>'Revenue Model'!CV394</f>
        <v>3.2000000000000001E-2</v>
      </c>
      <c r="CW104" s="487">
        <f>'Revenue Model'!CW394</f>
        <v>2.8000000000000001E-2</v>
      </c>
      <c r="CX104" s="70">
        <f>'Revenue Model'!CX394</f>
        <v>6.0000000000000001E-3</v>
      </c>
      <c r="CY104" s="70">
        <f>'Revenue Model'!CY394</f>
        <v>3.7999999999999999E-2</v>
      </c>
      <c r="CZ104" s="70">
        <f>'Revenue Model'!CZ394</f>
        <v>8.0000000000000002E-3</v>
      </c>
      <c r="DA104" s="487">
        <f>'Revenue Model'!DA394</f>
        <v>-1.7000000000000001E-2</v>
      </c>
      <c r="DB104" s="70">
        <f>'Revenue Model'!DB394</f>
        <v>-1E-3</v>
      </c>
      <c r="DC104" s="70">
        <f>'Revenue Model'!DC394</f>
        <v>8.0000000000000002E-3</v>
      </c>
      <c r="DD104" s="70">
        <f>'Revenue Model'!DD394</f>
        <v>1.7999999999999999E-2</v>
      </c>
      <c r="DE104" s="487">
        <f>'Revenue Model'!DE394</f>
        <v>-8.9999999999999993E-3</v>
      </c>
      <c r="DF104" s="70">
        <f>'Revenue Model'!DF394</f>
        <v>1.4E-2</v>
      </c>
      <c r="DG104" s="70">
        <f>'Revenue Model'!DG394</f>
        <v>5.3999999999999999E-2</v>
      </c>
      <c r="DH104" s="70">
        <f>'Revenue Model'!DH394</f>
        <v>4.4999999999999998E-2</v>
      </c>
      <c r="DI104" s="487">
        <f>'Revenue Model'!DI394</f>
        <v>0.09</v>
      </c>
      <c r="DJ104" s="1673">
        <f>'Revenue Model'!DJ394</f>
        <v>3.5492354524772493E-2</v>
      </c>
      <c r="DK104" s="70">
        <f>'Revenue Model'!DK394</f>
        <v>1.8262936943907158E-2</v>
      </c>
      <c r="DL104" s="70">
        <f>'Revenue Model'!DL394</f>
        <v>1.5417252888211051E-2</v>
      </c>
      <c r="DM104" s="487">
        <f>'Revenue Model'!DM394</f>
        <v>-1.5540498702366484E-2</v>
      </c>
      <c r="DN104" s="971"/>
      <c r="DO104" s="470"/>
      <c r="DQ104" s="15">
        <f>'Revenue Model'!DQ394</f>
        <v>0</v>
      </c>
      <c r="DR104" s="15">
        <f>'Revenue Model'!DR394</f>
        <v>0</v>
      </c>
      <c r="DS104" s="15">
        <f>'Revenue Model'!DS394</f>
        <v>0</v>
      </c>
      <c r="DT104" s="15">
        <f>'Revenue Model'!DT394</f>
        <v>0</v>
      </c>
      <c r="DU104" s="15">
        <f>'Revenue Model'!DU394</f>
        <v>0</v>
      </c>
      <c r="DV104" s="15">
        <f>'Revenue Model'!DV394</f>
        <v>0</v>
      </c>
      <c r="DW104" s="15">
        <f>'Revenue Model'!DW394</f>
        <v>0</v>
      </c>
      <c r="DX104" s="15">
        <f>'Revenue Model'!DX394</f>
        <v>0</v>
      </c>
      <c r="DY104" s="15">
        <f>'Revenue Model'!DY394</f>
        <v>0.19900000000000001</v>
      </c>
      <c r="DZ104" s="15">
        <f>'Revenue Model'!DZ394</f>
        <v>5.5E-2</v>
      </c>
      <c r="EA104" s="15">
        <f>'Revenue Model'!EA394</f>
        <v>-4.7E-2</v>
      </c>
      <c r="EB104" s="15">
        <f>'Revenue Model'!EB394</f>
        <v>0.02</v>
      </c>
      <c r="EC104" s="15">
        <f>'Revenue Model'!EC394</f>
        <v>0.13549656162770154</v>
      </c>
      <c r="ED104" s="15">
        <f>'Revenue Model'!ED394</f>
        <v>0.111</v>
      </c>
      <c r="EE104" s="15">
        <f>'Revenue Model'!EE394</f>
        <v>4.9000000000000002E-2</v>
      </c>
      <c r="EF104" s="15">
        <f>'Revenue Model'!EF394</f>
        <v>1.9413664884963978E-2</v>
      </c>
      <c r="EG104" s="15">
        <f>'Revenue Model'!EG394</f>
        <v>2.5348368720870013E-2</v>
      </c>
      <c r="EH104" s="15">
        <f>'Revenue Model'!EH394</f>
        <v>7.7525984251968494E-2</v>
      </c>
      <c r="EI104" s="15">
        <f>'Revenue Model'!EI394</f>
        <v>4.4389665258368537E-2</v>
      </c>
      <c r="EJ104" s="15">
        <f>'Revenue Model'!EJ394</f>
        <v>5.0999999999999997E-2</v>
      </c>
      <c r="EK104" s="15">
        <f>'Revenue Model'!EK394</f>
        <v>4.1000000000000002E-2</v>
      </c>
      <c r="EL104" s="15">
        <f>'Revenue Model'!EL394</f>
        <v>1.9E-2</v>
      </c>
      <c r="EM104" s="15">
        <f>'Revenue Model'!EM394</f>
        <v>-1.2999999999999999E-2</v>
      </c>
      <c r="EN104" s="15">
        <f>'Revenue Model'!EN394</f>
        <v>1.7000000000000001E-2</v>
      </c>
      <c r="EO104" s="15">
        <f>'Revenue Model'!EO394</f>
        <v>-0.03</v>
      </c>
      <c r="EP104" s="15">
        <f>'Revenue Model'!EP394</f>
        <v>-2.5075394514202581E-2</v>
      </c>
      <c r="EQ104" s="15">
        <f>'Revenue Model'!EQ394</f>
        <v>-1.7000000000000001E-2</v>
      </c>
      <c r="ER104" s="674">
        <f>'Revenue Model'!ER394</f>
        <v>-2.1000000000000001E-2</v>
      </c>
      <c r="ES104" s="161">
        <f>'Revenue Model'!ES394</f>
        <v>-1.7000000000000001E-2</v>
      </c>
      <c r="ET104" s="161">
        <f>'Revenue Model'!ET394</f>
        <v>-1.7000000000000001E-2</v>
      </c>
      <c r="EU104" s="161">
        <f>'Revenue Model'!EU394</f>
        <v>-3.4264322289397822E-3</v>
      </c>
      <c r="EV104" s="161">
        <f>'Revenue Model'!EV394</f>
        <v>8.6212085590945883E-3</v>
      </c>
      <c r="EW104" s="161">
        <f>'Revenue Model'!EW394</f>
        <v>6.0835629327071232E-3</v>
      </c>
      <c r="EX104" s="70">
        <f>'Revenue Model'!EX394</f>
        <v>2.9965187658916419E-3</v>
      </c>
      <c r="EY104" s="70">
        <f>'Revenue Model'!EY394</f>
        <v>5.6000000000000001E-2</v>
      </c>
      <c r="EZ104" s="1673">
        <f>'Revenue Model'!EZ394</f>
        <v>1.0630606375747502E-2</v>
      </c>
      <c r="FA104" s="15">
        <f>'Revenue Model'!FA394</f>
        <v>1.0185936187522131E-2</v>
      </c>
      <c r="FB104" s="15">
        <f>'Revenue Model'!FB394</f>
        <v>1.0500646930568611E-2</v>
      </c>
      <c r="FC104" s="15">
        <f>'Revenue Model'!FC394</f>
        <v>1.0360827496940443E-2</v>
      </c>
      <c r="FD104" s="15">
        <f>'Revenue Model'!FD394</f>
        <v>1.5778306751168761E-2</v>
      </c>
      <c r="FE104" s="15">
        <f>'Revenue Model'!FE394</f>
        <v>1.6164607939728102E-2</v>
      </c>
      <c r="FF104" s="15">
        <f>'Revenue Model'!FF394</f>
        <v>1.6560723781934492E-2</v>
      </c>
      <c r="FG104" s="15">
        <f>'Revenue Model'!FG394</f>
        <v>1.6966614137626467E-2</v>
      </c>
      <c r="FH104" s="15">
        <f>'Revenue Model'!FH394</f>
        <v>1.7382216362661941E-2</v>
      </c>
      <c r="FI104" s="413"/>
      <c r="FJ104"/>
      <c r="FK104"/>
      <c r="FL104"/>
      <c r="FM104"/>
      <c r="FN104"/>
      <c r="FO104"/>
      <c r="FS104" s="70"/>
      <c r="FT104" s="70"/>
      <c r="FU104"/>
      <c r="FV104" s="70"/>
      <c r="FW104" s="70"/>
      <c r="FX104" s="70"/>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row>
    <row r="105" spans="1:260" s="4" customFormat="1" ht="12.75" customHeight="1" x14ac:dyDescent="0.2">
      <c r="A105" s="3" t="s">
        <v>363</v>
      </c>
      <c r="B105" s="3"/>
      <c r="C105" s="3"/>
      <c r="D105" s="3"/>
      <c r="E105" s="470"/>
      <c r="F105" s="15">
        <f>'Revenue Model'!F399</f>
        <v>0</v>
      </c>
      <c r="G105" s="15">
        <f>'Revenue Model'!G399</f>
        <v>0</v>
      </c>
      <c r="H105" s="15">
        <f>'Revenue Model'!H399</f>
        <v>0</v>
      </c>
      <c r="I105" s="518">
        <f>'Revenue Model'!I399</f>
        <v>0</v>
      </c>
      <c r="J105" s="15">
        <f>'Revenue Model'!J399</f>
        <v>0</v>
      </c>
      <c r="K105" s="15">
        <f>'Revenue Model'!K399</f>
        <v>0</v>
      </c>
      <c r="L105" s="15">
        <f>'Revenue Model'!L399</f>
        <v>0</v>
      </c>
      <c r="M105" s="518">
        <f>'Revenue Model'!M399</f>
        <v>0</v>
      </c>
      <c r="N105" s="15">
        <f>'Revenue Model'!N399</f>
        <v>0</v>
      </c>
      <c r="O105" s="15">
        <f>'Revenue Model'!O399</f>
        <v>0</v>
      </c>
      <c r="P105" s="15">
        <f>'Revenue Model'!P399</f>
        <v>0</v>
      </c>
      <c r="Q105" s="518">
        <f>'Revenue Model'!Q399</f>
        <v>0</v>
      </c>
      <c r="R105" s="15">
        <f>'Revenue Model'!R399</f>
        <v>0</v>
      </c>
      <c r="S105" s="15">
        <f>'Revenue Model'!S399</f>
        <v>0</v>
      </c>
      <c r="T105" s="15">
        <f>'Revenue Model'!T399</f>
        <v>0</v>
      </c>
      <c r="U105" s="518">
        <f>'Revenue Model'!U399</f>
        <v>0</v>
      </c>
      <c r="V105" s="15">
        <f>'Revenue Model'!V399</f>
        <v>0</v>
      </c>
      <c r="W105" s="15">
        <f>'Revenue Model'!W399</f>
        <v>0</v>
      </c>
      <c r="X105" s="15">
        <f>'Revenue Model'!X399</f>
        <v>0</v>
      </c>
      <c r="Y105" s="518">
        <f>'Revenue Model'!Y399</f>
        <v>0</v>
      </c>
      <c r="Z105" s="15">
        <f>'Revenue Model'!Z399</f>
        <v>0</v>
      </c>
      <c r="AA105" s="15">
        <f>'Revenue Model'!AA399</f>
        <v>0</v>
      </c>
      <c r="AB105" s="15">
        <f>'Revenue Model'!AB399</f>
        <v>0</v>
      </c>
      <c r="AC105" s="518">
        <f>'Revenue Model'!AC399</f>
        <v>0</v>
      </c>
      <c r="AD105" s="15">
        <f>'Revenue Model'!AD399</f>
        <v>0</v>
      </c>
      <c r="AE105" s="15">
        <f>'Revenue Model'!AE399</f>
        <v>0</v>
      </c>
      <c r="AF105" s="15">
        <f>'Revenue Model'!AF399</f>
        <v>0</v>
      </c>
      <c r="AG105" s="518">
        <f>'Revenue Model'!AG399</f>
        <v>0</v>
      </c>
      <c r="AH105" s="15">
        <f>'Revenue Model'!AH399</f>
        <v>6.3E-2</v>
      </c>
      <c r="AI105" s="15">
        <f>'Revenue Model'!AI399</f>
        <v>0.151</v>
      </c>
      <c r="AJ105" s="15">
        <f>'Revenue Model'!AJ399</f>
        <v>0.11199999999999999</v>
      </c>
      <c r="AK105" s="518">
        <f>'Revenue Model'!AK399</f>
        <v>0.16500000000000001</v>
      </c>
      <c r="AL105" s="15">
        <f>'Revenue Model'!AL399</f>
        <v>9.6000000000000002E-2</v>
      </c>
      <c r="AM105" s="15">
        <f>'Revenue Model'!AM399</f>
        <v>6.9000000000000006E-2</v>
      </c>
      <c r="AN105" s="15">
        <f>'Revenue Model'!AN399</f>
        <v>3.7999999999999999E-2</v>
      </c>
      <c r="AO105" s="518">
        <f>'Revenue Model'!AO399</f>
        <v>6.0000000000000001E-3</v>
      </c>
      <c r="AP105" s="15">
        <f>'Revenue Model'!AP399</f>
        <v>0</v>
      </c>
      <c r="AQ105" s="15">
        <f>'Revenue Model'!AQ399</f>
        <v>4.1000000000000002E-2</v>
      </c>
      <c r="AR105" s="15">
        <f>'Revenue Model'!AR399</f>
        <v>0.04</v>
      </c>
      <c r="AS105" s="518">
        <f>'Revenue Model'!AS399</f>
        <v>7.9000000000000001E-2</v>
      </c>
      <c r="AT105" s="15">
        <f>'Revenue Model'!AT399</f>
        <v>7.1999999999999995E-2</v>
      </c>
      <c r="AU105" s="15">
        <f>'Revenue Model'!AU399</f>
        <v>0.03</v>
      </c>
      <c r="AV105" s="15">
        <f>'Revenue Model'!AV399</f>
        <v>0.05</v>
      </c>
      <c r="AW105" s="518">
        <f>'Revenue Model'!AW399</f>
        <v>5.0000000000000001E-3</v>
      </c>
      <c r="AX105" s="15">
        <f>'Revenue Model'!AX399</f>
        <v>0.03</v>
      </c>
      <c r="AY105" s="15">
        <f>'Revenue Model'!AY399</f>
        <v>8.9999999999999993E-3</v>
      </c>
      <c r="AZ105" s="15">
        <f>'Revenue Model'!AZ399</f>
        <v>-5.0000000000000001E-3</v>
      </c>
      <c r="BA105" s="518">
        <f>'Revenue Model'!BA399</f>
        <v>6.4000000000000001E-2</v>
      </c>
      <c r="BB105" s="15">
        <f>'Revenue Model'!BB399</f>
        <v>7.0999999999999994E-2</v>
      </c>
      <c r="BC105" s="15">
        <f>'Revenue Model'!BC399</f>
        <v>9.2999999999999999E-2</v>
      </c>
      <c r="BD105" s="15">
        <f>'Revenue Model'!BD399</f>
        <v>0.13700000000000001</v>
      </c>
      <c r="BE105" s="518">
        <f>'Revenue Model'!BE399</f>
        <v>0.14000000000000001</v>
      </c>
      <c r="BF105" s="15">
        <f>'Revenue Model'!BF399</f>
        <v>0.128</v>
      </c>
      <c r="BG105" s="15">
        <f>'Revenue Model'!BG399</f>
        <v>0.16300000000000001</v>
      </c>
      <c r="BH105" s="15">
        <f>'Revenue Model'!BH399</f>
        <v>9.2999999999999999E-2</v>
      </c>
      <c r="BI105" s="518">
        <f>'Revenue Model'!BI399</f>
        <v>3.4000000000000002E-2</v>
      </c>
      <c r="BJ105" s="15">
        <f>'Revenue Model'!BJ399</f>
        <v>4.7E-2</v>
      </c>
      <c r="BK105" s="15">
        <f>'Revenue Model'!BK399</f>
        <v>-0.01</v>
      </c>
      <c r="BL105" s="15">
        <f>'Revenue Model'!BL399</f>
        <v>3.0000000000000001E-3</v>
      </c>
      <c r="BM105" s="518">
        <f>'Revenue Model'!BM399</f>
        <v>-5.2999999999999999E-2</v>
      </c>
      <c r="BN105" s="15">
        <f>'Revenue Model'!BN399</f>
        <v>-0.13900000000000001</v>
      </c>
      <c r="BO105" s="15">
        <f>'Revenue Model'!BO399</f>
        <v>-8.3000000000000004E-2</v>
      </c>
      <c r="BP105" s="15">
        <f>'Revenue Model'!BP399</f>
        <v>-6.7000000000000004E-2</v>
      </c>
      <c r="BQ105" s="518">
        <f>'Revenue Model'!BQ399</f>
        <v>5.5E-2</v>
      </c>
      <c r="BR105" s="15">
        <f>'Revenue Model'!BR399</f>
        <v>6.3E-2</v>
      </c>
      <c r="BS105" s="15">
        <f>'Revenue Model'!BS399</f>
        <v>4.2999999999999997E-2</v>
      </c>
      <c r="BT105" s="15">
        <f>'Revenue Model'!BT399</f>
        <v>2.3E-2</v>
      </c>
      <c r="BU105" s="518">
        <f>'Revenue Model'!BU399</f>
        <v>-1.2999999999999999E-2</v>
      </c>
      <c r="BV105" s="15">
        <f>'Revenue Model'!BV399</f>
        <v>4.0000000000000001E-3</v>
      </c>
      <c r="BW105" s="15">
        <f>'Revenue Model'!BW399</f>
        <v>-3.2000000000000001E-2</v>
      </c>
      <c r="BX105" s="15">
        <f>'Revenue Model'!BX399</f>
        <v>-1.7000000000000001E-2</v>
      </c>
      <c r="BY105" s="518">
        <f>'Revenue Model'!BY399</f>
        <v>-2.9000000000000001E-2</v>
      </c>
      <c r="BZ105" s="15">
        <f>'Revenue Model'!BZ399</f>
        <v>7.0999999999999994E-2</v>
      </c>
      <c r="CA105" s="15">
        <f>'Revenue Model'!CA399</f>
        <v>4.9000000000000002E-2</v>
      </c>
      <c r="CB105" s="15">
        <f>'Revenue Model'!CB399</f>
        <v>2.5999999999999999E-2</v>
      </c>
      <c r="CC105" s="518">
        <f>'Revenue Model'!CC399</f>
        <v>-0.02</v>
      </c>
      <c r="CD105" s="15">
        <f>'Revenue Model'!CD399</f>
        <v>-2E-3</v>
      </c>
      <c r="CE105" s="15">
        <f>'Revenue Model'!CE399</f>
        <v>-2.8000000000000001E-2</v>
      </c>
      <c r="CF105" s="15">
        <f>'Revenue Model'!CF399</f>
        <v>-3.2000000000000001E-2</v>
      </c>
      <c r="CG105" s="518">
        <f>'Revenue Model'!CG399</f>
        <v>-1.7999999999999999E-2</v>
      </c>
      <c r="CH105" s="15">
        <f>'Revenue Model'!CH399</f>
        <v>-0.105</v>
      </c>
      <c r="CI105" s="15">
        <f>'Revenue Model'!CI399</f>
        <v>-8.2000000000000003E-2</v>
      </c>
      <c r="CJ105" s="15">
        <f>'Revenue Model'!CJ399</f>
        <v>-5.1999999999999998E-2</v>
      </c>
      <c r="CK105" s="518">
        <f>'Revenue Model'!CK399</f>
        <v>-6.6000000000000003E-2</v>
      </c>
      <c r="CL105" s="15">
        <f>'Revenue Model'!CL399</f>
        <v>-0.13400000000000001</v>
      </c>
      <c r="CM105" s="15">
        <f>'Revenue Model'!CM399</f>
        <v>-0.113</v>
      </c>
      <c r="CN105" s="15">
        <f>'Revenue Model'!CN399</f>
        <v>-0.10299999999999999</v>
      </c>
      <c r="CO105" s="518">
        <f>'Revenue Model'!CO399</f>
        <v>-0.126</v>
      </c>
      <c r="CP105" s="674">
        <f>'Revenue Model'!CP399</f>
        <v>-6.4000000000000001E-2</v>
      </c>
      <c r="CQ105" s="161">
        <f>'Revenue Model'!CQ399</f>
        <v>-7.0999999999999994E-2</v>
      </c>
      <c r="CR105" s="161">
        <f>'Revenue Model'!CR399</f>
        <v>-7.0999999999999994E-2</v>
      </c>
      <c r="CS105" s="518">
        <f>'Revenue Model'!CS399</f>
        <v>-0.02</v>
      </c>
      <c r="CT105" s="674">
        <f>'Revenue Model'!CT399</f>
        <v>-6.6000000000000003E-2</v>
      </c>
      <c r="CU105" s="70">
        <f>'Revenue Model'!CU399</f>
        <v>-3.7999999999999999E-2</v>
      </c>
      <c r="CV105" s="70">
        <f>'Revenue Model'!CV399</f>
        <v>-2E-3</v>
      </c>
      <c r="CW105" s="487">
        <f>'Revenue Model'!CW399</f>
        <v>-0.04</v>
      </c>
      <c r="CX105" s="70">
        <f>'Revenue Model'!CX399</f>
        <v>6.0000000000000001E-3</v>
      </c>
      <c r="CY105" s="75">
        <f>'Revenue Model'!CY399</f>
        <v>-0.03</v>
      </c>
      <c r="CZ105" s="70">
        <f>'Revenue Model'!CZ399</f>
        <v>5.0000000000000001E-3</v>
      </c>
      <c r="DA105" s="487">
        <f>'Revenue Model'!DA399</f>
        <v>-0.01</v>
      </c>
      <c r="DB105" s="70">
        <f>'Revenue Model'!DB399</f>
        <v>-1.2E-2</v>
      </c>
      <c r="DC105" s="70">
        <f>'Revenue Model'!DC399</f>
        <v>4.1000000000000002E-2</v>
      </c>
      <c r="DD105" s="70">
        <f>'Revenue Model'!DD399</f>
        <v>1.7999999999999999E-2</v>
      </c>
      <c r="DE105" s="487">
        <f>'Revenue Model'!DE399</f>
        <v>8.9999999999999993E-3</v>
      </c>
      <c r="DF105" s="70">
        <f>'Revenue Model'!DF399</f>
        <v>0.04</v>
      </c>
      <c r="DG105" s="70">
        <f>'Revenue Model'!DG399</f>
        <v>4.7E-2</v>
      </c>
      <c r="DH105" s="70">
        <f>'Revenue Model'!DH399</f>
        <v>3.7999999999999999E-2</v>
      </c>
      <c r="DI105" s="487">
        <f>'Revenue Model'!DI399</f>
        <v>9.9000000000000005E-2</v>
      </c>
      <c r="DJ105" s="1673">
        <f>'Revenue Model'!DJ399</f>
        <v>0.02</v>
      </c>
      <c r="DK105" s="70">
        <f>'Revenue Model'!DK399</f>
        <v>2.5000000000000001E-3</v>
      </c>
      <c r="DL105" s="70">
        <f>'Revenue Model'!DL399</f>
        <v>0.01</v>
      </c>
      <c r="DM105" s="487">
        <f>'Revenue Model'!DM399</f>
        <v>2.5000000000000001E-2</v>
      </c>
      <c r="DN105" s="971"/>
      <c r="DO105" s="470"/>
      <c r="DQ105" s="15">
        <f>'Revenue Model'!DQ399</f>
        <v>0</v>
      </c>
      <c r="DR105" s="15">
        <f>'Revenue Model'!DR399</f>
        <v>0</v>
      </c>
      <c r="DS105" s="15">
        <f>'Revenue Model'!DS399</f>
        <v>0</v>
      </c>
      <c r="DT105" s="15">
        <f>'Revenue Model'!DT399</f>
        <v>0</v>
      </c>
      <c r="DU105" s="15">
        <f>'Revenue Model'!DU399</f>
        <v>0</v>
      </c>
      <c r="DV105" s="15">
        <f>'Revenue Model'!DV399</f>
        <v>0</v>
      </c>
      <c r="DW105" s="15">
        <f>'Revenue Model'!DW399</f>
        <v>0</v>
      </c>
      <c r="DX105" s="15">
        <f>'Revenue Model'!DX399</f>
        <v>0</v>
      </c>
      <c r="DY105" s="15">
        <f>'Revenue Model'!DY399</f>
        <v>0</v>
      </c>
      <c r="DZ105" s="15">
        <f>'Revenue Model'!DZ399</f>
        <v>0</v>
      </c>
      <c r="EA105" s="15">
        <f>'Revenue Model'!EA399</f>
        <v>0</v>
      </c>
      <c r="EB105" s="15">
        <f>'Revenue Model'!EB399</f>
        <v>0</v>
      </c>
      <c r="EC105" s="15">
        <f>'Revenue Model'!EC399</f>
        <v>0</v>
      </c>
      <c r="ED105" s="15">
        <f>'Revenue Model'!ED399</f>
        <v>0</v>
      </c>
      <c r="EE105" s="15">
        <f>'Revenue Model'!EE399</f>
        <v>0</v>
      </c>
      <c r="EF105" s="15">
        <f>'Revenue Model'!EF399</f>
        <v>0.12916373411253704</v>
      </c>
      <c r="EG105" s="15">
        <f>'Revenue Model'!EG399</f>
        <v>4.3765281173594135E-2</v>
      </c>
      <c r="EH105" s="15">
        <f>'Revenue Model'!EH399</f>
        <v>4.7707758620689655E-2</v>
      </c>
      <c r="EI105" s="15">
        <f>'Revenue Model'!EI399</f>
        <v>3.3601917613636366E-2</v>
      </c>
      <c r="EJ105" s="15">
        <f>'Revenue Model'!EJ399</f>
        <v>2.8000000000000001E-2</v>
      </c>
      <c r="EK105" s="15">
        <f>'Revenue Model'!EK399</f>
        <v>0.11700000000000001</v>
      </c>
      <c r="EL105" s="15">
        <f>'Revenue Model'!EL399</f>
        <v>0.09</v>
      </c>
      <c r="EM105" s="15">
        <f>'Revenue Model'!EM399</f>
        <v>-8.9999999999999993E-3</v>
      </c>
      <c r="EN105" s="15">
        <f>'Revenue Model'!EN399</f>
        <v>-3.6999999999999998E-2</v>
      </c>
      <c r="EO105" s="15">
        <f>'Revenue Model'!EO399</f>
        <v>2.4E-2</v>
      </c>
      <c r="EP105" s="15">
        <f>'Revenue Model'!EP399</f>
        <v>-1.9337764270347405E-2</v>
      </c>
      <c r="EQ105" s="15">
        <f>'Revenue Model'!EQ399</f>
        <v>2.5000000000000001E-2</v>
      </c>
      <c r="ER105" s="674">
        <f>'Revenue Model'!ER399</f>
        <v>-0.02</v>
      </c>
      <c r="ES105" s="161">
        <f>'Revenue Model'!ES399</f>
        <v>-6.4000000000000001E-2</v>
      </c>
      <c r="ET105" s="161">
        <f>'Revenue Model'!ET399</f>
        <v>-0.12</v>
      </c>
      <c r="EU105" s="161">
        <f>'Revenue Model'!EU399</f>
        <v>-5.4912187359463106E-2</v>
      </c>
      <c r="EV105" s="161">
        <f>'Revenue Model'!EV399</f>
        <v>-3.5622361388379931E-2</v>
      </c>
      <c r="EW105" s="161">
        <f>'Revenue Model'!EW399</f>
        <v>-7.0531990534699208E-3</v>
      </c>
      <c r="EX105" s="70">
        <f>'Revenue Model'!EX399</f>
        <v>1.3515799425861208E-2</v>
      </c>
      <c r="EY105" s="70">
        <f>'Revenue Model'!EY399</f>
        <v>6.3073305530510201E-2</v>
      </c>
      <c r="EZ105" s="1673">
        <f>'Revenue Model'!EZ399</f>
        <v>1.632224989282733E-2</v>
      </c>
      <c r="FA105" s="15">
        <f>'Revenue Model'!FA399</f>
        <v>0.01</v>
      </c>
      <c r="FB105" s="15">
        <f>'Revenue Model'!FB399</f>
        <v>0.01</v>
      </c>
      <c r="FC105" s="15">
        <f>'Revenue Model'!FC399</f>
        <v>0</v>
      </c>
      <c r="FD105" s="15">
        <f>'Revenue Model'!FD399</f>
        <v>0</v>
      </c>
      <c r="FE105" s="15">
        <f>'Revenue Model'!FE399</f>
        <v>0</v>
      </c>
      <c r="FF105" s="15">
        <f>'Revenue Model'!FF399</f>
        <v>0</v>
      </c>
      <c r="FG105" s="15">
        <f>'Revenue Model'!FG399</f>
        <v>0</v>
      </c>
      <c r="FH105" s="15">
        <f>'Revenue Model'!FH399</f>
        <v>0</v>
      </c>
      <c r="FI105" s="413"/>
      <c r="FJ105"/>
      <c r="FK105"/>
      <c r="FL105"/>
      <c r="FM105"/>
      <c r="FN105"/>
      <c r="FO105"/>
      <c r="FS105" s="70"/>
      <c r="FT105" s="70"/>
      <c r="FU105"/>
      <c r="FV105" s="70"/>
      <c r="FW105" s="70"/>
      <c r="FX105" s="70"/>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row>
    <row r="106" spans="1:260" s="19" customFormat="1" ht="12.75" customHeight="1" x14ac:dyDescent="0.2">
      <c r="A106" s="53" t="s">
        <v>364</v>
      </c>
      <c r="B106" s="401"/>
      <c r="C106" s="401"/>
      <c r="D106" s="401"/>
      <c r="E106" s="469"/>
      <c r="F106" s="50">
        <f>'Revenue Model'!F407</f>
        <v>0</v>
      </c>
      <c r="G106" s="50">
        <f>'Revenue Model'!G407</f>
        <v>0</v>
      </c>
      <c r="H106" s="50">
        <f>'Revenue Model'!H407</f>
        <v>0</v>
      </c>
      <c r="I106" s="550">
        <f>'Revenue Model'!I407</f>
        <v>0</v>
      </c>
      <c r="J106" s="50">
        <f>'Revenue Model'!J407</f>
        <v>0</v>
      </c>
      <c r="K106" s="50">
        <f>'Revenue Model'!K407</f>
        <v>0</v>
      </c>
      <c r="L106" s="50">
        <f>'Revenue Model'!L407</f>
        <v>0</v>
      </c>
      <c r="M106" s="550">
        <f>'Revenue Model'!M407</f>
        <v>0</v>
      </c>
      <c r="N106" s="50">
        <f>'Revenue Model'!N407</f>
        <v>0</v>
      </c>
      <c r="O106" s="50">
        <f>'Revenue Model'!O407</f>
        <v>0</v>
      </c>
      <c r="P106" s="50">
        <f>'Revenue Model'!P407</f>
        <v>0</v>
      </c>
      <c r="Q106" s="550">
        <f>'Revenue Model'!Q407</f>
        <v>0</v>
      </c>
      <c r="R106" s="50">
        <f>'Revenue Model'!R407</f>
        <v>0</v>
      </c>
      <c r="S106" s="50">
        <f>'Revenue Model'!S407</f>
        <v>0</v>
      </c>
      <c r="T106" s="50">
        <f>'Revenue Model'!T407</f>
        <v>0</v>
      </c>
      <c r="U106" s="550">
        <f>'Revenue Model'!U407</f>
        <v>0</v>
      </c>
      <c r="V106" s="50">
        <f>'Revenue Model'!V407</f>
        <v>0</v>
      </c>
      <c r="W106" s="50">
        <f>'Revenue Model'!W407</f>
        <v>0</v>
      </c>
      <c r="X106" s="50">
        <f>'Revenue Model'!X407</f>
        <v>0</v>
      </c>
      <c r="Y106" s="550">
        <f>'Revenue Model'!Y407</f>
        <v>0</v>
      </c>
      <c r="Z106" s="50">
        <f>'Revenue Model'!Z407</f>
        <v>0</v>
      </c>
      <c r="AA106" s="50">
        <f>'Revenue Model'!AA407</f>
        <v>0</v>
      </c>
      <c r="AB106" s="50">
        <f>'Revenue Model'!AB407</f>
        <v>0</v>
      </c>
      <c r="AC106" s="550">
        <f>'Revenue Model'!AC407</f>
        <v>0</v>
      </c>
      <c r="AD106" s="50">
        <f>'Revenue Model'!AD407</f>
        <v>0</v>
      </c>
      <c r="AE106" s="50">
        <f>'Revenue Model'!AE407</f>
        <v>0</v>
      </c>
      <c r="AF106" s="50">
        <f>'Revenue Model'!AF407</f>
        <v>0</v>
      </c>
      <c r="AG106" s="550">
        <f>'Revenue Model'!AG407</f>
        <v>0</v>
      </c>
      <c r="AH106" s="50">
        <f>'Revenue Model'!AH407</f>
        <v>0</v>
      </c>
      <c r="AI106" s="50">
        <f>'Revenue Model'!AI407</f>
        <v>0</v>
      </c>
      <c r="AJ106" s="50">
        <f>'Revenue Model'!AJ407</f>
        <v>0</v>
      </c>
      <c r="AK106" s="550">
        <f>'Revenue Model'!AK407</f>
        <v>0</v>
      </c>
      <c r="AL106" s="50">
        <f>'Revenue Model'!AL407</f>
        <v>0</v>
      </c>
      <c r="AM106" s="50">
        <f>'Revenue Model'!AM407</f>
        <v>0</v>
      </c>
      <c r="AN106" s="50">
        <f>'Revenue Model'!AN407</f>
        <v>0</v>
      </c>
      <c r="AO106" s="550">
        <f>'Revenue Model'!AO407</f>
        <v>0</v>
      </c>
      <c r="AP106" s="50">
        <f>'Revenue Model'!AP407</f>
        <v>0</v>
      </c>
      <c r="AQ106" s="50">
        <f>'Revenue Model'!AQ407</f>
        <v>0</v>
      </c>
      <c r="AR106" s="50">
        <f>'Revenue Model'!AR407</f>
        <v>0</v>
      </c>
      <c r="AS106" s="550">
        <f>'Revenue Model'!AS407</f>
        <v>0</v>
      </c>
      <c r="AT106" s="50">
        <f>'Revenue Model'!AT407</f>
        <v>0</v>
      </c>
      <c r="AU106" s="50">
        <f>'Revenue Model'!AU407</f>
        <v>0</v>
      </c>
      <c r="AV106" s="50">
        <f>'Revenue Model'!AV407</f>
        <v>0</v>
      </c>
      <c r="AW106" s="550">
        <f>'Revenue Model'!AW407</f>
        <v>0</v>
      </c>
      <c r="AX106" s="50">
        <f>'Revenue Model'!AX407</f>
        <v>4.3999999999999997E-2</v>
      </c>
      <c r="AY106" s="50">
        <f>'Revenue Model'!AY407</f>
        <v>3.5000000000000003E-2</v>
      </c>
      <c r="AZ106" s="50">
        <f>'Revenue Model'!AZ407</f>
        <v>3.3000000000000002E-2</v>
      </c>
      <c r="BA106" s="550">
        <f>'Revenue Model'!BA407</f>
        <v>7.2999999999999995E-2</v>
      </c>
      <c r="BB106" s="50">
        <f>'Revenue Model'!BB407</f>
        <v>4.9000000000000002E-2</v>
      </c>
      <c r="BC106" s="50">
        <f>'Revenue Model'!BC407</f>
        <v>3.6999999999999998E-2</v>
      </c>
      <c r="BD106" s="50">
        <f>'Revenue Model'!BD407</f>
        <v>4.8000000000000001E-2</v>
      </c>
      <c r="BE106" s="550">
        <f>'Revenue Model'!BE407</f>
        <v>5.8999999999999997E-2</v>
      </c>
      <c r="BF106" s="50">
        <f>'Revenue Model'!BF407</f>
        <v>0.03</v>
      </c>
      <c r="BG106" s="50">
        <f>'Revenue Model'!BG407</f>
        <v>3.5999999999999997E-2</v>
      </c>
      <c r="BH106" s="50">
        <f>'Revenue Model'!BH407</f>
        <v>6.7000000000000004E-2</v>
      </c>
      <c r="BI106" s="550">
        <f>'Revenue Model'!BI407</f>
        <v>-2E-3</v>
      </c>
      <c r="BJ106" s="50">
        <f>'Revenue Model'!BJ407</f>
        <v>3.6999999999999998E-2</v>
      </c>
      <c r="BK106" s="50">
        <f>'Revenue Model'!BK407</f>
        <v>4.2000000000000003E-2</v>
      </c>
      <c r="BL106" s="50">
        <f>'Revenue Model'!BL407</f>
        <v>-5.2999999999999999E-2</v>
      </c>
      <c r="BM106" s="550">
        <f>'Revenue Model'!BM407</f>
        <v>-4.9000000000000002E-2</v>
      </c>
      <c r="BN106" s="50">
        <f>'Revenue Model'!BN407</f>
        <v>-6.2E-2</v>
      </c>
      <c r="BO106" s="50">
        <f>'Revenue Model'!BO407</f>
        <v>-3.9E-2</v>
      </c>
      <c r="BP106" s="50">
        <f>'Revenue Model'!BP407</f>
        <v>1.7000000000000001E-2</v>
      </c>
      <c r="BQ106" s="550">
        <f>'Revenue Model'!BQ407</f>
        <v>7.0000000000000007E-2</v>
      </c>
      <c r="BR106" s="50">
        <f>'Revenue Model'!BR407</f>
        <v>2.8000000000000001E-2</v>
      </c>
      <c r="BS106" s="50">
        <f>'Revenue Model'!BS407</f>
        <v>-1E-3</v>
      </c>
      <c r="BT106" s="50">
        <f>'Revenue Model'!BT407</f>
        <v>-3.3000000000000002E-2</v>
      </c>
      <c r="BU106" s="550">
        <f>'Revenue Model'!BU407</f>
        <v>-4.5999999999999999E-2</v>
      </c>
      <c r="BV106" s="50">
        <f>'Revenue Model'!BV407</f>
        <v>-1.7240950639853748E-2</v>
      </c>
      <c r="BW106" s="50">
        <f>'Revenue Model'!BW407</f>
        <v>-2.8000000000000001E-2</v>
      </c>
      <c r="BX106" s="50">
        <f>'Revenue Model'!BX407</f>
        <v>3.0000000000000001E-3</v>
      </c>
      <c r="BY106" s="550">
        <f>'Revenue Model'!BY407</f>
        <v>-2.4E-2</v>
      </c>
      <c r="BZ106" s="50">
        <f>'Revenue Model'!BZ407</f>
        <v>5.1999999999999998E-2</v>
      </c>
      <c r="CA106" s="50">
        <f>'Revenue Model'!CA407</f>
        <v>0.01</v>
      </c>
      <c r="CB106" s="50">
        <f>'Revenue Model'!CB407</f>
        <v>-2.4E-2</v>
      </c>
      <c r="CC106" s="550">
        <f>'Revenue Model'!CC407</f>
        <v>-4.5999999999999999E-2</v>
      </c>
      <c r="CD106" s="50">
        <f>'Revenue Model'!CD407</f>
        <v>-0.03</v>
      </c>
      <c r="CE106" s="50">
        <f>'Revenue Model'!CE407</f>
        <v>-3.7999999999999999E-2</v>
      </c>
      <c r="CF106" s="50">
        <f>'Revenue Model'!CF407</f>
        <v>-7.0000000000000001E-3</v>
      </c>
      <c r="CG106" s="550">
        <f>'Revenue Model'!CG407</f>
        <v>-1.2999999999999999E-2</v>
      </c>
      <c r="CH106" s="50">
        <f>'Revenue Model'!CH407</f>
        <v>-5.2999999999999999E-2</v>
      </c>
      <c r="CI106" s="50">
        <f>'Revenue Model'!CI407</f>
        <v>-3.2000000000000001E-2</v>
      </c>
      <c r="CJ106" s="50">
        <f>'Revenue Model'!CJ407</f>
        <v>-4.2999999999999997E-2</v>
      </c>
      <c r="CK106" s="550">
        <f>'Revenue Model'!CK407</f>
        <v>-8.0000000000000002E-3</v>
      </c>
      <c r="CL106" s="50">
        <f>'Revenue Model'!CL407</f>
        <v>-5.1999999999999998E-2</v>
      </c>
      <c r="CM106" s="50">
        <f>'Revenue Model'!CM407</f>
        <v>-3.3000000000000002E-2</v>
      </c>
      <c r="CN106" s="50">
        <f>'Revenue Model'!CN407</f>
        <v>-5.0999999999999997E-2</v>
      </c>
      <c r="CO106" s="550">
        <f>'Revenue Model'!CO407</f>
        <v>-1.4E-2</v>
      </c>
      <c r="CP106" s="1157">
        <f>'Revenue Model'!CP407</f>
        <v>-1.7999999999999999E-2</v>
      </c>
      <c r="CQ106" s="219">
        <f>'Revenue Model'!CQ407</f>
        <v>-6.0000000000000001E-3</v>
      </c>
      <c r="CR106" s="219">
        <f>'Revenue Model'!CR407</f>
        <v>5.0000000000000001E-3</v>
      </c>
      <c r="CS106" s="550">
        <f>'Revenue Model'!CS407</f>
        <v>-1.2999999999999999E-2</v>
      </c>
      <c r="CT106" s="1157">
        <f>'Revenue Model'!CT407</f>
        <v>-1.7999999999999999E-2</v>
      </c>
      <c r="CU106" s="197">
        <f>'Revenue Model'!CU407</f>
        <v>-2.1999999999999999E-2</v>
      </c>
      <c r="CV106" s="197">
        <f>'Revenue Model'!CV407</f>
        <v>2.9000000000000001E-2</v>
      </c>
      <c r="CW106" s="572">
        <f>'Revenue Model'!CW407</f>
        <v>0.02</v>
      </c>
      <c r="CX106" s="197">
        <f>'Revenue Model'!CX407</f>
        <v>6.0000000000000001E-3</v>
      </c>
      <c r="CY106" s="197">
        <f>'Revenue Model'!CY407</f>
        <v>3.7999999999999999E-2</v>
      </c>
      <c r="CZ106" s="197">
        <f>'Revenue Model'!CZ407</f>
        <v>7.7520126998525908E-3</v>
      </c>
      <c r="DA106" s="572">
        <f>'Revenue Model'!DA407</f>
        <v>-1.6426558026866329E-2</v>
      </c>
      <c r="DB106" s="197">
        <f>'Revenue Model'!DB407</f>
        <v>-1.7999526234750681E-3</v>
      </c>
      <c r="DC106" s="197">
        <f>'Revenue Model'!DC407</f>
        <v>1.0490566037735849E-2</v>
      </c>
      <c r="DD106" s="197">
        <f>'Revenue Model'!DD407</f>
        <v>1.7999999999999999E-2</v>
      </c>
      <c r="DE106" s="572">
        <f>'Revenue Model'!DE407</f>
        <v>-7.4726301735647521E-3</v>
      </c>
      <c r="DF106" s="578">
        <f>'Revenue Model'!DF407</f>
        <v>1.5878048780487805E-2</v>
      </c>
      <c r="DG106" s="197">
        <f>'Revenue Model'!DG407</f>
        <v>5.347695749440716E-2</v>
      </c>
      <c r="DH106" s="197">
        <f>'Revenue Model'!DH407</f>
        <v>4.4377360515021461E-2</v>
      </c>
      <c r="DI106" s="572">
        <f>'Revenue Model'!DI407</f>
        <v>9.0806092560046861E-2</v>
      </c>
      <c r="DJ106" s="1713">
        <f>'Revenue Model'!DJ407</f>
        <v>3.4377005258931934E-2</v>
      </c>
      <c r="DK106" s="197">
        <f>'Revenue Model'!DK407</f>
        <v>1.70892718628117E-2</v>
      </c>
      <c r="DL106" s="197">
        <f>'Revenue Model'!DL407</f>
        <v>1.4934614570902296E-2</v>
      </c>
      <c r="DM106" s="572">
        <f>'Revenue Model'!DM407</f>
        <v>-1.1782934237688171E-2</v>
      </c>
      <c r="DN106" s="1158"/>
      <c r="DO106" s="469"/>
      <c r="DQ106" s="50">
        <f>'Revenue Model'!DQ407</f>
        <v>0</v>
      </c>
      <c r="DR106" s="50">
        <f>'Revenue Model'!DR407</f>
        <v>0</v>
      </c>
      <c r="DS106" s="50">
        <f>'Revenue Model'!DS407</f>
        <v>0</v>
      </c>
      <c r="DT106" s="50">
        <f>'Revenue Model'!DT407</f>
        <v>0</v>
      </c>
      <c r="DU106" s="50">
        <f>'Revenue Model'!DU407</f>
        <v>0</v>
      </c>
      <c r="DV106" s="50">
        <f>'Revenue Model'!DV407</f>
        <v>0</v>
      </c>
      <c r="DW106" s="50">
        <f>'Revenue Model'!DW407</f>
        <v>0</v>
      </c>
      <c r="DX106" s="50">
        <f>'Revenue Model'!DX407</f>
        <v>0</v>
      </c>
      <c r="DY106" s="50">
        <f>'Revenue Model'!DY407</f>
        <v>0</v>
      </c>
      <c r="DZ106" s="50">
        <f>'Revenue Model'!DZ407</f>
        <v>0</v>
      </c>
      <c r="EA106" s="50">
        <f>'Revenue Model'!EA407</f>
        <v>0</v>
      </c>
      <c r="EB106" s="50">
        <f>'Revenue Model'!EB407</f>
        <v>0</v>
      </c>
      <c r="EC106" s="50">
        <f>'Revenue Model'!EC407</f>
        <v>0</v>
      </c>
      <c r="ED106" s="50">
        <f>'Revenue Model'!ED407</f>
        <v>0</v>
      </c>
      <c r="EE106" s="50">
        <f>'Revenue Model'!EE407</f>
        <v>0</v>
      </c>
      <c r="EF106" s="50">
        <f>'Revenue Model'!EF407</f>
        <v>2.6222386640812365E-2</v>
      </c>
      <c r="EG106" s="50">
        <f>'Revenue Model'!EG407</f>
        <v>2.6786832808173393E-2</v>
      </c>
      <c r="EH106" s="50">
        <f>'Revenue Model'!EH407</f>
        <v>7.4707557547361983E-2</v>
      </c>
      <c r="EI106" s="50">
        <f>'Revenue Model'!EI407</f>
        <v>4.3280683847920387E-2</v>
      </c>
      <c r="EJ106" s="50">
        <f>'Revenue Model'!EJ407</f>
        <v>4.9000000000000002E-2</v>
      </c>
      <c r="EK106" s="50">
        <f>'Revenue Model'!EK407</f>
        <v>0.05</v>
      </c>
      <c r="EL106" s="50">
        <f>'Revenue Model'!EL407</f>
        <v>2.9000000000000001E-2</v>
      </c>
      <c r="EM106" s="50">
        <f>'Revenue Model'!EM407</f>
        <v>-1.2999999999999999E-2</v>
      </c>
      <c r="EN106" s="50">
        <f>'Revenue Model'!EN407</f>
        <v>3.5472692880428236E-3</v>
      </c>
      <c r="EO106" s="50">
        <f>'Revenue Model'!EO407</f>
        <v>-1.5943586887332904E-2</v>
      </c>
      <c r="EP106" s="50">
        <f>'Revenue Model'!EP407</f>
        <v>-2.3572719320378115E-2</v>
      </c>
      <c r="EQ106" s="50">
        <f>'Revenue Model'!EQ407</f>
        <v>-8.0000000000000002E-3</v>
      </c>
      <c r="ER106" s="1157">
        <f>'Revenue Model'!ER407</f>
        <v>-2.1000000000000001E-2</v>
      </c>
      <c r="ES106" s="219">
        <f>'Revenue Model'!ES407</f>
        <v>-2.9098325305818101E-2</v>
      </c>
      <c r="ET106" s="219">
        <f>'Revenue Model'!ET407</f>
        <v>-3.5000000000000003E-2</v>
      </c>
      <c r="EU106" s="219">
        <f>'Revenue Model'!EU407</f>
        <v>-9.4864137493136103E-3</v>
      </c>
      <c r="EV106" s="219">
        <f>'Revenue Model'!EV407</f>
        <v>3.9225434049018513E-3</v>
      </c>
      <c r="EW106" s="219">
        <f>'Revenue Model'!EW407</f>
        <v>5.0323693949040982E-3</v>
      </c>
      <c r="EX106" s="197">
        <f>'Revenue Model'!EX407</f>
        <v>3.8387980462054245E-3</v>
      </c>
      <c r="EY106" s="197">
        <f>'Revenue Model'!EY407</f>
        <v>5.6585484638465279E-2</v>
      </c>
      <c r="EZ106" s="1713">
        <f>'Revenue Model'!EZ407</f>
        <v>1.110731572678156E-2</v>
      </c>
      <c r="FA106" s="50">
        <f>'Revenue Model'!FA407</f>
        <v>1.017036710693504E-2</v>
      </c>
      <c r="FB106" s="50">
        <f>'Revenue Model'!FB407</f>
        <v>1.0458690457012528E-2</v>
      </c>
      <c r="FC106" s="50">
        <f>'Revenue Model'!FC407</f>
        <v>9.4983743750895883E-3</v>
      </c>
      <c r="FD106" s="50">
        <f>'Revenue Model'!FD407</f>
        <v>1.4478854502601193E-2</v>
      </c>
      <c r="FE106" s="50">
        <f>'Revenue Model'!FE407</f>
        <v>1.4847937941708703E-2</v>
      </c>
      <c r="FF106" s="50">
        <f>'Revenue Model'!FF407</f>
        <v>1.5227042828709972E-2</v>
      </c>
      <c r="FG106" s="50">
        <f>'Revenue Model'!FG407</f>
        <v>1.5616178773899723E-2</v>
      </c>
      <c r="FH106" s="50">
        <f>'Revenue Model'!FH407</f>
        <v>1.6015334596311947E-2</v>
      </c>
      <c r="FI106" s="416"/>
      <c r="FJ106"/>
      <c r="FK106"/>
      <c r="FL106"/>
      <c r="FM106"/>
      <c r="FN106"/>
      <c r="FO106"/>
      <c r="FQ106" s="4"/>
      <c r="FR106" s="4"/>
      <c r="FS106" s="197"/>
      <c r="FT106" s="197"/>
      <c r="FU106"/>
      <c r="FV106" s="197"/>
      <c r="FW106" s="197"/>
      <c r="FX106" s="197"/>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row>
    <row r="107" spans="1:260" s="4" customFormat="1" ht="12.75" customHeight="1" x14ac:dyDescent="0.2">
      <c r="A107" s="1474" t="s">
        <v>624</v>
      </c>
      <c r="B107" s="3"/>
      <c r="C107" s="3"/>
      <c r="D107" s="3"/>
      <c r="E107" s="470"/>
      <c r="F107" s="15">
        <f t="shared" ref="F107:AK107" si="367">(F7/B7)-1</f>
        <v>0.92207169187113469</v>
      </c>
      <c r="G107" s="15">
        <f t="shared" si="367"/>
        <v>0.65755799495541578</v>
      </c>
      <c r="H107" s="15">
        <f t="shared" si="367"/>
        <v>0.66964882074421506</v>
      </c>
      <c r="I107" s="518">
        <f t="shared" si="367"/>
        <v>0.63189566520472118</v>
      </c>
      <c r="J107" s="15">
        <f t="shared" si="367"/>
        <v>0.50066988462444084</v>
      </c>
      <c r="K107" s="15">
        <f t="shared" si="367"/>
        <v>0.54088528159867644</v>
      </c>
      <c r="L107" s="15">
        <f t="shared" si="367"/>
        <v>0.42923064500237418</v>
      </c>
      <c r="M107" s="518">
        <f t="shared" si="367"/>
        <v>0.32276177372527792</v>
      </c>
      <c r="N107" s="15">
        <f t="shared" si="367"/>
        <v>0.28439932249077993</v>
      </c>
      <c r="O107" s="15">
        <f t="shared" si="367"/>
        <v>0.23696111929041508</v>
      </c>
      <c r="P107" s="15">
        <f t="shared" si="367"/>
        <v>4.0454014638644509E-2</v>
      </c>
      <c r="Q107" s="518">
        <f t="shared" si="367"/>
        <v>-8.853555959005488E-2</v>
      </c>
      <c r="R107" s="15">
        <f t="shared" si="367"/>
        <v>-1.8710786325788709E-2</v>
      </c>
      <c r="S107" s="15">
        <f t="shared" si="367"/>
        <v>8.1882786848377354E-3</v>
      </c>
      <c r="T107" s="15">
        <f t="shared" si="367"/>
        <v>4.9327861371657011E-2</v>
      </c>
      <c r="U107" s="518">
        <f t="shared" si="367"/>
        <v>0.21493225873096677</v>
      </c>
      <c r="V107" s="15">
        <f t="shared" si="367"/>
        <v>0.20654930967021912</v>
      </c>
      <c r="W107" s="15">
        <f t="shared" si="367"/>
        <v>0.21445524324059062</v>
      </c>
      <c r="X107" s="15">
        <f t="shared" si="367"/>
        <v>0.18331599679254218</v>
      </c>
      <c r="Y107" s="518">
        <f t="shared" si="367"/>
        <v>0.21175093685486046</v>
      </c>
      <c r="Z107" s="15">
        <f t="shared" si="367"/>
        <v>0.23062934414922132</v>
      </c>
      <c r="AA107" s="15">
        <f t="shared" si="367"/>
        <v>0.23366789636719454</v>
      </c>
      <c r="AB107" s="15">
        <f t="shared" si="367"/>
        <v>0.24669133031650969</v>
      </c>
      <c r="AC107" s="518">
        <f t="shared" si="367"/>
        <v>0.24843100320309697</v>
      </c>
      <c r="AD107" s="15">
        <f t="shared" si="367"/>
        <v>0.24242453460192293</v>
      </c>
      <c r="AE107" s="15">
        <f t="shared" si="367"/>
        <v>0.17960389185004311</v>
      </c>
      <c r="AF107" s="15">
        <f t="shared" si="367"/>
        <v>0.20105415022573991</v>
      </c>
      <c r="AG107" s="518">
        <f t="shared" si="367"/>
        <v>0.26583716044189365</v>
      </c>
      <c r="AH107" s="15">
        <f t="shared" si="367"/>
        <v>0.24741962629372982</v>
      </c>
      <c r="AI107" s="15">
        <f t="shared" si="367"/>
        <v>0.31390827443517577</v>
      </c>
      <c r="AJ107" s="15">
        <f t="shared" si="367"/>
        <v>0.27435639107414644</v>
      </c>
      <c r="AK107" s="518">
        <f t="shared" si="367"/>
        <v>0.27801376885894236</v>
      </c>
      <c r="AL107" s="15">
        <f t="shared" ref="AL107:BQ107" si="368">(AL7/AH7)-1</f>
        <v>0.13659724100622128</v>
      </c>
      <c r="AM107" s="15">
        <f t="shared" si="368"/>
        <v>0.11047070124879932</v>
      </c>
      <c r="AN107" s="15">
        <f t="shared" si="368"/>
        <v>7.8847771236333131E-2</v>
      </c>
      <c r="AO107" s="518">
        <f t="shared" si="368"/>
        <v>1.289398280802212E-3</v>
      </c>
      <c r="AP107" s="15">
        <f t="shared" si="368"/>
        <v>0.11089957163255582</v>
      </c>
      <c r="AQ107" s="15">
        <f t="shared" si="368"/>
        <v>0.16695501730103812</v>
      </c>
      <c r="AR107" s="15">
        <f t="shared" si="368"/>
        <v>0.17559929838238153</v>
      </c>
      <c r="AS107" s="518">
        <f t="shared" si="368"/>
        <v>0.20889969952782939</v>
      </c>
      <c r="AT107" s="15">
        <f t="shared" si="368"/>
        <v>0.17373607540702651</v>
      </c>
      <c r="AU107" s="15">
        <f t="shared" si="368"/>
        <v>0.12676056338028174</v>
      </c>
      <c r="AV107" s="15">
        <f t="shared" si="368"/>
        <v>0.10195623342175075</v>
      </c>
      <c r="AW107" s="518">
        <f t="shared" si="368"/>
        <v>9.2081903183808711E-2</v>
      </c>
      <c r="AX107" s="15">
        <f t="shared" si="368"/>
        <v>0.11662712173754342</v>
      </c>
      <c r="AY107" s="15">
        <f t="shared" si="368"/>
        <v>0.10230263157894748</v>
      </c>
      <c r="AZ107" s="15">
        <f t="shared" si="368"/>
        <v>0.10350534075522799</v>
      </c>
      <c r="BA107" s="518">
        <f t="shared" si="368"/>
        <v>0.15888154329684623</v>
      </c>
      <c r="BB107" s="15">
        <f t="shared" si="368"/>
        <v>0.13746322327558036</v>
      </c>
      <c r="BC107" s="15">
        <f t="shared" si="368"/>
        <v>0.13443748134885114</v>
      </c>
      <c r="BD107" s="15">
        <f t="shared" si="368"/>
        <v>0.1551465576005453</v>
      </c>
      <c r="BE107" s="518">
        <f t="shared" si="368"/>
        <v>0.20630318900215094</v>
      </c>
      <c r="BF107" s="15">
        <f t="shared" si="368"/>
        <v>0.13910044546630274</v>
      </c>
      <c r="BG107" s="15">
        <f t="shared" si="368"/>
        <v>0.15086150203866899</v>
      </c>
      <c r="BH107" s="15">
        <f t="shared" si="368"/>
        <v>0.17172194028089227</v>
      </c>
      <c r="BI107" s="518">
        <f t="shared" si="368"/>
        <v>4.0235677184277785E-2</v>
      </c>
      <c r="BJ107" s="15">
        <f t="shared" si="368"/>
        <v>0.13409865018291911</v>
      </c>
      <c r="BK107" s="15">
        <f t="shared" si="368"/>
        <v>0.12011428571428562</v>
      </c>
      <c r="BL107" s="15">
        <f t="shared" si="368"/>
        <v>0.15834004834810633</v>
      </c>
      <c r="BM107" s="518">
        <f t="shared" si="368"/>
        <v>9.7331942167238061E-2</v>
      </c>
      <c r="BN107" s="15">
        <f t="shared" si="368"/>
        <v>0.12291434927697442</v>
      </c>
      <c r="BO107" s="15">
        <f t="shared" si="368"/>
        <v>0.12457912457912457</v>
      </c>
      <c r="BP107" s="15">
        <f t="shared" si="368"/>
        <v>4.5565217391304369E-2</v>
      </c>
      <c r="BQ107" s="518">
        <f t="shared" si="368"/>
        <v>0.12421896223852213</v>
      </c>
      <c r="BR107" s="15">
        <f t="shared" ref="BR107:BY107" si="369">(BR7/BN7)-1</f>
        <v>6.8548786527984129E-2</v>
      </c>
      <c r="BS107" s="15">
        <f t="shared" si="369"/>
        <v>2.8760660497187507E-2</v>
      </c>
      <c r="BT107" s="15">
        <f t="shared" si="369"/>
        <v>-1.1144377910844994E-2</v>
      </c>
      <c r="BU107" s="518">
        <f t="shared" si="369"/>
        <v>-1.7942366942548138E-2</v>
      </c>
      <c r="BV107" s="15">
        <f t="shared" si="369"/>
        <v>1.4183739686659758E-2</v>
      </c>
      <c r="BW107" s="15">
        <f t="shared" si="369"/>
        <v>7.0552958814706912E-4</v>
      </c>
      <c r="BX107" s="15">
        <f t="shared" si="369"/>
        <v>1.7577796467619811E-2</v>
      </c>
      <c r="BY107" s="518">
        <f t="shared" si="369"/>
        <v>2.3006889763779625E-2</v>
      </c>
      <c r="BZ107" s="15">
        <f>(BZ7/BN7)-1</f>
        <v>0.12154531946508174</v>
      </c>
      <c r="CA107" s="15">
        <f>(CA7/BO7)-1</f>
        <v>-1.0887316276537828E-2</v>
      </c>
      <c r="CB107" s="15">
        <f>(CB7/BP7)-1</f>
        <v>-8.6743180306054546E-2</v>
      </c>
      <c r="CC107" s="518">
        <f>(CC7/BQ7)-1</f>
        <v>8.699329426689939E-3</v>
      </c>
      <c r="CD107" s="15">
        <f>(CD7/BZ7)-1</f>
        <v>4.151210033563002E-3</v>
      </c>
      <c r="CE107" s="15">
        <f>(CE7/CA7)-1</f>
        <v>-4.2194092827003704E-3</v>
      </c>
      <c r="CF107" s="15">
        <f>(CF7/CB7)-1</f>
        <v>1.4934887533011532E-2</v>
      </c>
      <c r="CG107" s="518">
        <f>(CG7/CC7)-1</f>
        <v>-1.5571659579565189E-3</v>
      </c>
      <c r="CH107" s="15">
        <f>(CH7/BV7)-1</f>
        <v>6.1243144424131701E-2</v>
      </c>
      <c r="CI107" s="15">
        <f>(CI7/BW7)-1</f>
        <v>-7.0503216709262406E-2</v>
      </c>
      <c r="CJ107" s="15">
        <f>(CJ7/BX7)-1</f>
        <v>-0.11124886354244157</v>
      </c>
      <c r="CK107" s="518">
        <f>(CK7/BY7)-1</f>
        <v>4.870715574263329E-3</v>
      </c>
      <c r="CL107" s="15">
        <f>(CL7/CD7)-1</f>
        <v>-8.7606649661359892E-2</v>
      </c>
      <c r="CM107" s="15">
        <f>(CM7/CE7)-1</f>
        <v>-0.13973839351510686</v>
      </c>
      <c r="CN107" s="15">
        <f>(CN7/CF7)-1</f>
        <v>-0.15827725437415885</v>
      </c>
      <c r="CO107" s="518">
        <f>(CO7/CG7)-1</f>
        <v>-0.10311319057045165</v>
      </c>
      <c r="CP107" s="674">
        <f t="shared" ref="CP107:DE107" si="370">(CP7/CL7)-1</f>
        <v>-0.13930396220958252</v>
      </c>
      <c r="CQ107" s="161">
        <f t="shared" si="370"/>
        <v>-6.4782096584216742E-2</v>
      </c>
      <c r="CR107" s="161">
        <f t="shared" si="370"/>
        <v>-4.8715488753864222E-2</v>
      </c>
      <c r="CS107" s="518">
        <f t="shared" si="370"/>
        <v>-6.19983948635634E-2</v>
      </c>
      <c r="CT107" s="674">
        <f t="shared" si="370"/>
        <v>-3.2370071684587831E-2</v>
      </c>
      <c r="CU107" s="70">
        <f t="shared" si="370"/>
        <v>-3.1486146095717871E-2</v>
      </c>
      <c r="CV107" s="70">
        <f t="shared" si="370"/>
        <v>1.2102196324518255E-2</v>
      </c>
      <c r="CW107" s="487">
        <f t="shared" si="370"/>
        <v>1.3119429590017884E-2</v>
      </c>
      <c r="CX107" s="70">
        <f t="shared" si="370"/>
        <v>-9.3760851950457358E-3</v>
      </c>
      <c r="CY107" s="70">
        <f t="shared" si="370"/>
        <v>8.1569925523110598E-3</v>
      </c>
      <c r="CZ107" s="70">
        <f t="shared" si="370"/>
        <v>-2.3582816651904315E-2</v>
      </c>
      <c r="DA107" s="487">
        <f t="shared" si="370"/>
        <v>-4.1241466676050442E-2</v>
      </c>
      <c r="DB107" s="70">
        <f t="shared" si="370"/>
        <v>-1.3437719093246092E-2</v>
      </c>
      <c r="DC107" s="70">
        <f t="shared" si="370"/>
        <v>5.8630393996250696E-4</v>
      </c>
      <c r="DD107" s="70">
        <f t="shared" si="370"/>
        <v>1.4287334164871268E-2</v>
      </c>
      <c r="DE107" s="487">
        <f t="shared" si="370"/>
        <v>-1.035014314027749E-2</v>
      </c>
      <c r="DF107" s="580">
        <f t="shared" ref="DF107:DM107" si="371">(DF7/DB7)-1</f>
        <v>1.0067511548027985E-2</v>
      </c>
      <c r="DG107" s="70">
        <f t="shared" si="371"/>
        <v>4.7697175670924574E-2</v>
      </c>
      <c r="DH107" s="70">
        <f t="shared" si="371"/>
        <v>4.1922861934041267E-2</v>
      </c>
      <c r="DI107" s="487">
        <f t="shared" si="371"/>
        <v>0.13951935914552727</v>
      </c>
      <c r="DJ107" s="1673">
        <f t="shared" si="371"/>
        <v>2.1485711294402465E-2</v>
      </c>
      <c r="DK107" s="70">
        <f t="shared" si="371"/>
        <v>5.4774854253358818E-3</v>
      </c>
      <c r="DL107" s="70">
        <f t="shared" si="371"/>
        <v>8.3639332343257156E-3</v>
      </c>
      <c r="DM107" s="487">
        <f t="shared" si="371"/>
        <v>-9.5126907320315368E-3</v>
      </c>
      <c r="DN107" s="674"/>
      <c r="DO107" s="470"/>
      <c r="DQ107" s="15">
        <f t="shared" ref="DQ107:EP107" si="372">(DQ7/DP7)-1</f>
        <v>1.1169232945003271</v>
      </c>
      <c r="DR107" s="15">
        <f t="shared" si="372"/>
        <v>0.83318301767044134</v>
      </c>
      <c r="DS107" s="15">
        <f t="shared" si="372"/>
        <v>0.15404974489795897</v>
      </c>
      <c r="DT107" s="15">
        <f t="shared" si="372"/>
        <v>1.2189297260171372E-2</v>
      </c>
      <c r="DU107" s="15">
        <f t="shared" si="372"/>
        <v>0.29633031100711693</v>
      </c>
      <c r="DV107" s="15">
        <f t="shared" si="372"/>
        <v>0.39840528982902224</v>
      </c>
      <c r="DW107" s="15">
        <f t="shared" si="372"/>
        <v>0.74248891030577879</v>
      </c>
      <c r="DX107" s="15">
        <f t="shared" si="372"/>
        <v>0.85591038890651605</v>
      </c>
      <c r="DY107" s="15">
        <f t="shared" si="372"/>
        <v>0.68950492494014703</v>
      </c>
      <c r="DZ107" s="15">
        <f t="shared" si="372"/>
        <v>0.42087691163436802</v>
      </c>
      <c r="EA107" s="15">
        <f t="shared" si="372"/>
        <v>7.6656467732726163E-2</v>
      </c>
      <c r="EB107" s="15">
        <f t="shared" si="372"/>
        <v>7.5605837993905967E-2</v>
      </c>
      <c r="EC107" s="15">
        <f t="shared" si="372"/>
        <v>0.20416544630704836</v>
      </c>
      <c r="ED107" s="15">
        <f t="shared" si="372"/>
        <v>0.24137729235583638</v>
      </c>
      <c r="EE107" s="15">
        <f t="shared" si="372"/>
        <v>0.22671208465039649</v>
      </c>
      <c r="EF107" s="15">
        <f t="shared" si="372"/>
        <v>0.2786292874811056</v>
      </c>
      <c r="EG107" s="15">
        <f t="shared" si="372"/>
        <v>6.8837066897994514E-2</v>
      </c>
      <c r="EH107" s="15">
        <f t="shared" si="372"/>
        <v>0.17182278239281956</v>
      </c>
      <c r="EI107" s="15">
        <f t="shared" si="372"/>
        <v>0.11766143817478092</v>
      </c>
      <c r="EJ107" s="15">
        <f t="shared" si="372"/>
        <v>0.12448510917508115</v>
      </c>
      <c r="EK107" s="15">
        <f t="shared" si="372"/>
        <v>0.16487292531120334</v>
      </c>
      <c r="EL107" s="15">
        <f t="shared" si="372"/>
        <v>0.11379195191183844</v>
      </c>
      <c r="EM107" s="15">
        <f t="shared" si="372"/>
        <v>0.12472828123828794</v>
      </c>
      <c r="EN107" s="15">
        <f t="shared" si="372"/>
        <v>0.10394313006775513</v>
      </c>
      <c r="EO107" s="15">
        <f t="shared" si="372"/>
        <v>1.1631182838974574E-2</v>
      </c>
      <c r="EP107" s="15">
        <f t="shared" si="372"/>
        <v>1.4799490770210033E-2</v>
      </c>
      <c r="EQ107" s="15">
        <f>(EQ7/EN7)-1</f>
        <v>4.1856159697348794E-3</v>
      </c>
      <c r="ER107" s="674">
        <f>(ER7/EQ7)-1</f>
        <v>2.7854595006211458E-3</v>
      </c>
      <c r="ES107" s="161">
        <f>(ES7/EP7)-1</f>
        <v>-2.7344362552924606E-2</v>
      </c>
      <c r="ET107" s="161">
        <f>(ET7/ER7)-1</f>
        <v>-0.11982174616814212</v>
      </c>
      <c r="EU107" s="161">
        <f t="shared" ref="EU107:FH107" si="373">(EU7/ET7)-1</f>
        <v>-7.7965716880463165E-2</v>
      </c>
      <c r="EV107" s="161">
        <f t="shared" si="373"/>
        <v>-6.6976927433454181E-3</v>
      </c>
      <c r="EW107" s="161">
        <f t="shared" si="373"/>
        <v>-2.0104613401422888E-2</v>
      </c>
      <c r="EX107" s="70">
        <f t="shared" si="373"/>
        <v>-3.1623153207852583E-3</v>
      </c>
      <c r="EY107" s="70">
        <f t="shared" si="373"/>
        <v>6.97408826739081E-2</v>
      </c>
      <c r="EZ107" s="1673">
        <f>(EZ7/EY7)-1</f>
        <v>3.8909457818057103E-3</v>
      </c>
      <c r="FA107" s="15">
        <f t="shared" si="373"/>
        <v>1.0079130563356964E-2</v>
      </c>
      <c r="FB107" s="15">
        <f t="shared" si="373"/>
        <v>9.9336293157095135E-3</v>
      </c>
      <c r="FC107" s="15">
        <f t="shared" si="373"/>
        <v>8.7104249902583142E-3</v>
      </c>
      <c r="FD107" s="15">
        <f t="shared" si="373"/>
        <v>1.2692032314878254E-2</v>
      </c>
      <c r="FE107" s="15">
        <f t="shared" si="373"/>
        <v>1.3025999748297767E-2</v>
      </c>
      <c r="FF107" s="15">
        <f t="shared" si="373"/>
        <v>1.3369313110822345E-2</v>
      </c>
      <c r="FG107" s="15">
        <f t="shared" si="373"/>
        <v>1.3721983429219486E-2</v>
      </c>
      <c r="FH107" s="15">
        <f t="shared" si="373"/>
        <v>1.4084002678209862E-2</v>
      </c>
      <c r="FI107" s="413"/>
      <c r="FJ107"/>
      <c r="FK107"/>
      <c r="FL107"/>
      <c r="FM107"/>
      <c r="FN107"/>
      <c r="FO107"/>
      <c r="FS107" s="70"/>
      <c r="FT107" s="70"/>
      <c r="FU107"/>
      <c r="FV107" s="70"/>
      <c r="FW107" s="70"/>
      <c r="FX107" s="70"/>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row>
    <row r="108" spans="1:260" s="4" customFormat="1" ht="12.75" customHeight="1" x14ac:dyDescent="0.2">
      <c r="A108" s="1048" t="s">
        <v>31</v>
      </c>
      <c r="B108" s="3"/>
      <c r="C108" s="3"/>
      <c r="D108" s="3"/>
      <c r="E108" s="470"/>
      <c r="F108" s="15">
        <f t="shared" ref="F108:AK108" si="374">(F9/B9)-1</f>
        <v>0.5978301734787046</v>
      </c>
      <c r="G108" s="15">
        <f t="shared" si="374"/>
        <v>0.40325696936240596</v>
      </c>
      <c r="H108" s="15">
        <f t="shared" si="374"/>
        <v>0.51690226904911429</v>
      </c>
      <c r="I108" s="518">
        <f t="shared" si="374"/>
        <v>0.52891835135183629</v>
      </c>
      <c r="J108" s="15">
        <f t="shared" si="374"/>
        <v>0.53160504201680836</v>
      </c>
      <c r="K108" s="15">
        <f t="shared" si="374"/>
        <v>0.48747957392725394</v>
      </c>
      <c r="L108" s="15">
        <f t="shared" si="374"/>
        <v>0.32210724569835958</v>
      </c>
      <c r="M108" s="518">
        <f t="shared" si="374"/>
        <v>0.23178033089673944</v>
      </c>
      <c r="N108" s="15">
        <f t="shared" si="374"/>
        <v>0.27646616665111901</v>
      </c>
      <c r="O108" s="15">
        <f t="shared" si="374"/>
        <v>0.27995483697061885</v>
      </c>
      <c r="P108" s="15">
        <f t="shared" si="374"/>
        <v>2.4229773182972814E-2</v>
      </c>
      <c r="Q108" s="518">
        <f t="shared" si="374"/>
        <v>3.5002334971519167E-2</v>
      </c>
      <c r="R108" s="15">
        <f t="shared" si="374"/>
        <v>6.5476036965399498E-2</v>
      </c>
      <c r="S108" s="15">
        <f t="shared" si="374"/>
        <v>0.14798184895853916</v>
      </c>
      <c r="T108" s="15">
        <f t="shared" si="374"/>
        <v>0.35817307692307643</v>
      </c>
      <c r="U108" s="518">
        <f t="shared" si="374"/>
        <v>0.4041166738797477</v>
      </c>
      <c r="V108" s="15">
        <f t="shared" si="374"/>
        <v>0.40767216791792915</v>
      </c>
      <c r="W108" s="15">
        <f t="shared" si="374"/>
        <v>0.40526049815166121</v>
      </c>
      <c r="X108" s="15">
        <f t="shared" si="374"/>
        <v>0.31475123568236385</v>
      </c>
      <c r="Y108" s="518">
        <f t="shared" si="374"/>
        <v>0.34521714609242071</v>
      </c>
      <c r="Z108" s="15">
        <f t="shared" si="374"/>
        <v>0.32402317890284182</v>
      </c>
      <c r="AA108" s="15">
        <f t="shared" si="374"/>
        <v>0.30672847427652328</v>
      </c>
      <c r="AB108" s="15">
        <f t="shared" si="374"/>
        <v>0.32901185236878527</v>
      </c>
      <c r="AC108" s="518">
        <f t="shared" si="374"/>
        <v>0.31713951889810921</v>
      </c>
      <c r="AD108" s="15">
        <f t="shared" si="374"/>
        <v>0.31080168484119097</v>
      </c>
      <c r="AE108" s="15">
        <f t="shared" si="374"/>
        <v>0.22284739500867068</v>
      </c>
      <c r="AF108" s="15">
        <f t="shared" si="374"/>
        <v>0.16714010098802867</v>
      </c>
      <c r="AG108" s="518">
        <f t="shared" si="374"/>
        <v>0.37685987119697995</v>
      </c>
      <c r="AH108" s="15">
        <f t="shared" si="374"/>
        <v>0.39697783825110289</v>
      </c>
      <c r="AI108" s="15">
        <f t="shared" si="374"/>
        <v>0.46128293859682956</v>
      </c>
      <c r="AJ108" s="15">
        <f t="shared" si="374"/>
        <v>0.49192863704772338</v>
      </c>
      <c r="AK108" s="518">
        <f t="shared" si="374"/>
        <v>0.44086021505376349</v>
      </c>
      <c r="AL108" s="15">
        <f t="shared" ref="AL108:BQ108" si="375">(AL9/AH9)-1</f>
        <v>0.27659574468085113</v>
      </c>
      <c r="AM108" s="15">
        <f t="shared" si="375"/>
        <v>0.21624472573839659</v>
      </c>
      <c r="AN108" s="15">
        <f t="shared" si="375"/>
        <v>0.21595330739299601</v>
      </c>
      <c r="AO108" s="518">
        <f t="shared" si="375"/>
        <v>9.0174129353233878E-2</v>
      </c>
      <c r="AP108" s="15">
        <f t="shared" si="375"/>
        <v>9.7222222222222321E-2</v>
      </c>
      <c r="AQ108" s="15">
        <f t="shared" si="375"/>
        <v>0.18993928881179523</v>
      </c>
      <c r="AR108" s="15">
        <f t="shared" si="375"/>
        <v>0.18880000000000008</v>
      </c>
      <c r="AS108" s="518">
        <f t="shared" si="375"/>
        <v>0.16885339418140322</v>
      </c>
      <c r="AT108" s="15">
        <f t="shared" si="375"/>
        <v>0.10632911392405053</v>
      </c>
      <c r="AU108" s="15">
        <f t="shared" si="375"/>
        <v>7.1428571428571397E-2</v>
      </c>
      <c r="AV108" s="15">
        <f t="shared" si="375"/>
        <v>3.8358008075370043E-2</v>
      </c>
      <c r="AW108" s="518">
        <f t="shared" si="375"/>
        <v>5.9541239629087306E-2</v>
      </c>
      <c r="AX108" s="15">
        <f t="shared" si="375"/>
        <v>0.18840579710144922</v>
      </c>
      <c r="AY108" s="15">
        <f t="shared" si="375"/>
        <v>0.16394557823129241</v>
      </c>
      <c r="AZ108" s="15">
        <f t="shared" si="375"/>
        <v>0.15878159429682426</v>
      </c>
      <c r="BA108" s="518">
        <f t="shared" si="375"/>
        <v>0.22938737908797791</v>
      </c>
      <c r="BB108" s="15">
        <f t="shared" si="375"/>
        <v>0.13286264441591777</v>
      </c>
      <c r="BC108" s="15">
        <f t="shared" si="375"/>
        <v>0.11163062536528345</v>
      </c>
      <c r="BD108" s="15">
        <f t="shared" si="375"/>
        <v>0.11577181208053688</v>
      </c>
      <c r="BE108" s="518">
        <f t="shared" si="375"/>
        <v>0.16410640689396772</v>
      </c>
      <c r="BF108" s="15">
        <f t="shared" si="375"/>
        <v>7.1954674220963133E-2</v>
      </c>
      <c r="BG108" s="15">
        <f t="shared" si="375"/>
        <v>0.12460567823343838</v>
      </c>
      <c r="BH108" s="15">
        <f t="shared" si="375"/>
        <v>0.17142857142857149</v>
      </c>
      <c r="BI108" s="518">
        <f t="shared" si="375"/>
        <v>2.2851625362085626E-2</v>
      </c>
      <c r="BJ108" s="15">
        <f t="shared" si="375"/>
        <v>0.12737843551797035</v>
      </c>
      <c r="BK108" s="15">
        <f t="shared" si="375"/>
        <v>0.11313697989714822</v>
      </c>
      <c r="BL108" s="15">
        <f t="shared" si="375"/>
        <v>0.22421908429610604</v>
      </c>
      <c r="BM108" s="518">
        <f t="shared" si="375"/>
        <v>0.14002517306482054</v>
      </c>
      <c r="BN108" s="15">
        <f t="shared" si="375"/>
        <v>0.19878105954055325</v>
      </c>
      <c r="BO108" s="15">
        <f t="shared" si="375"/>
        <v>0.1272574548509029</v>
      </c>
      <c r="BP108" s="15">
        <f t="shared" si="375"/>
        <v>2.8311779098217471E-2</v>
      </c>
      <c r="BQ108" s="518">
        <f t="shared" si="375"/>
        <v>9.7709080872205423E-2</v>
      </c>
      <c r="BR108" s="15">
        <f t="shared" ref="BR108:BY108" si="376">(BR9/BN9)-1</f>
        <v>9.2295658975361849E-2</v>
      </c>
      <c r="BS108" s="15">
        <f t="shared" si="376"/>
        <v>8.7183308494783951E-2</v>
      </c>
      <c r="BT108" s="15">
        <f t="shared" si="376"/>
        <v>1.3936097892589983E-2</v>
      </c>
      <c r="BU108" s="518">
        <f t="shared" si="376"/>
        <v>-2.5144581342720906E-3</v>
      </c>
      <c r="BV108" s="15">
        <f t="shared" si="376"/>
        <v>-8.9509488005728999E-3</v>
      </c>
      <c r="BW108" s="15">
        <f t="shared" si="376"/>
        <v>-1.5764222069910905E-2</v>
      </c>
      <c r="BX108" s="15">
        <f t="shared" si="376"/>
        <v>-1.3074086490110659E-2</v>
      </c>
      <c r="BY108" s="518">
        <f t="shared" si="376"/>
        <v>2.7476682631711657E-2</v>
      </c>
      <c r="BZ108" s="15">
        <f>(BZ9/BN9)-1</f>
        <v>0.11654282362143142</v>
      </c>
      <c r="CA108" s="15">
        <f>(CA9/BO9)-1</f>
        <v>5.2906110283159391E-2</v>
      </c>
      <c r="CB108" s="15">
        <f>(CB9/BP9)-1</f>
        <v>-2.277362338545208E-2</v>
      </c>
      <c r="CC108" s="518">
        <f>(CC9/BQ9)-1</f>
        <v>-2.0115665074176281E-3</v>
      </c>
      <c r="CD108" s="15">
        <f>(CD9/BZ9)-1</f>
        <v>2.3117338003502574E-2</v>
      </c>
      <c r="CE108" s="15">
        <f>(CE9/CA9)-1</f>
        <v>-2.2646850672328411E-2</v>
      </c>
      <c r="CF108" s="15">
        <f>(CF9/CB9)-1</f>
        <v>-7.652173913043514E-3</v>
      </c>
      <c r="CG108" s="518">
        <f>(CG9/CC9)-1</f>
        <v>-2.4187452758881345E-2</v>
      </c>
      <c r="CH108" s="15">
        <f>(CH9/BV9)-1</f>
        <v>5.0216763005780374E-2</v>
      </c>
      <c r="CI108" s="15">
        <f>(CI9/BW9)-1</f>
        <v>-0.10724233983286913</v>
      </c>
      <c r="CJ108" s="15">
        <f>(CJ9/BX9)-1</f>
        <v>-0.12160326086956519</v>
      </c>
      <c r="CK108" s="518">
        <f>(CK9/BY9)-1</f>
        <v>-7.2129538763493595E-2</v>
      </c>
      <c r="CL108" s="15">
        <f>(CL9/CD9)-1</f>
        <v>-0.11537144813420064</v>
      </c>
      <c r="CM108" s="15">
        <f>(CM9/CE9)-1</f>
        <v>-0.18139029688631425</v>
      </c>
      <c r="CN108" s="15">
        <f>(CN9/CF9)-1</f>
        <v>-0.21906764808973012</v>
      </c>
      <c r="CO108" s="518">
        <f>(CO9/CG9)-1</f>
        <v>-0.13632842757552288</v>
      </c>
      <c r="CP108" s="674">
        <f t="shared" ref="CP108:DE108" si="377">(CP9/CL9)-1</f>
        <v>-0.18537151702786381</v>
      </c>
      <c r="CQ108" s="161">
        <f t="shared" si="377"/>
        <v>-6.7226890756302504E-2</v>
      </c>
      <c r="CR108" s="161">
        <f t="shared" si="377"/>
        <v>-6.0592459605026905E-2</v>
      </c>
      <c r="CS108" s="518">
        <f t="shared" si="377"/>
        <v>-0.15455904334828097</v>
      </c>
      <c r="CT108" s="674">
        <f t="shared" si="377"/>
        <v>-6.5558194774346767E-2</v>
      </c>
      <c r="CU108" s="70">
        <f t="shared" si="377"/>
        <v>-6.2114746325272696E-2</v>
      </c>
      <c r="CV108" s="70">
        <f t="shared" si="377"/>
        <v>-8.1223124701385041E-3</v>
      </c>
      <c r="CW108" s="487">
        <f t="shared" si="377"/>
        <v>7.0014144271570045E-2</v>
      </c>
      <c r="CX108" s="70">
        <f t="shared" si="377"/>
        <v>-3.558718861209953E-3</v>
      </c>
      <c r="CY108" s="70">
        <f t="shared" si="377"/>
        <v>5.409504550050559E-2</v>
      </c>
      <c r="CZ108" s="70">
        <f t="shared" si="377"/>
        <v>1.6859344894027073E-2</v>
      </c>
      <c r="DA108" s="487">
        <f t="shared" si="377"/>
        <v>-2.5776602775941848E-2</v>
      </c>
      <c r="DB108" s="70">
        <f t="shared" si="377"/>
        <v>1.0204081632652073E-3</v>
      </c>
      <c r="DC108" s="70">
        <f t="shared" si="377"/>
        <v>-1.1031175059951992E-2</v>
      </c>
      <c r="DD108" s="70">
        <f t="shared" si="377"/>
        <v>4.3581241117953473E-2</v>
      </c>
      <c r="DE108" s="487">
        <f t="shared" si="377"/>
        <v>2.7815468113975506E-2</v>
      </c>
      <c r="DF108" s="580">
        <f t="shared" ref="DF108:DM108" si="378">(DF9/DB9)-1</f>
        <v>3.0581039755351647E-2</v>
      </c>
      <c r="DG108" s="70">
        <f t="shared" si="378"/>
        <v>4.4131910766246341E-2</v>
      </c>
      <c r="DH108" s="70">
        <f t="shared" si="378"/>
        <v>3.4952337721289251E-2</v>
      </c>
      <c r="DI108" s="487">
        <f t="shared" si="378"/>
        <v>0.12904290429042908</v>
      </c>
      <c r="DJ108" s="1673">
        <f t="shared" si="378"/>
        <v>1.1502288677309291E-2</v>
      </c>
      <c r="DK108" s="70">
        <f t="shared" si="378"/>
        <v>-2.8830104507338028E-4</v>
      </c>
      <c r="DL108" s="70">
        <f t="shared" si="378"/>
        <v>4.8087311425446533E-3</v>
      </c>
      <c r="DM108" s="487">
        <f t="shared" si="378"/>
        <v>-7.62403436622483E-3</v>
      </c>
      <c r="DN108" s="674"/>
      <c r="DO108" s="470"/>
      <c r="DQ108" s="15">
        <f t="shared" ref="DQ108:EP108" si="379">(DQ9/DP9)-1</f>
        <v>1.1082984674652714</v>
      </c>
      <c r="DR108" s="15">
        <f t="shared" si="379"/>
        <v>0.73550936379333276</v>
      </c>
      <c r="DS108" s="15">
        <f t="shared" si="379"/>
        <v>0.11019369922665634</v>
      </c>
      <c r="DT108" s="15">
        <f t="shared" si="379"/>
        <v>3.6956677216526623E-2</v>
      </c>
      <c r="DU108" s="15">
        <f t="shared" si="379"/>
        <v>0.17712998894807197</v>
      </c>
      <c r="DV108" s="15">
        <f t="shared" si="379"/>
        <v>0.27817192231940613</v>
      </c>
      <c r="DW108" s="15">
        <f t="shared" si="379"/>
        <v>0.56871127017264844</v>
      </c>
      <c r="DX108" s="15">
        <f t="shared" si="379"/>
        <v>0.60869825443432779</v>
      </c>
      <c r="DY108" s="15">
        <f t="shared" si="379"/>
        <v>0.51105980193686062</v>
      </c>
      <c r="DZ108" s="15">
        <f t="shared" si="379"/>
        <v>0.35644320079485481</v>
      </c>
      <c r="EA108" s="15">
        <f t="shared" si="379"/>
        <v>0.13062600369016186</v>
      </c>
      <c r="EB108" s="15">
        <f t="shared" si="379"/>
        <v>0.2580431606573359</v>
      </c>
      <c r="EC108" s="15">
        <f t="shared" si="379"/>
        <v>0.36213383499059493</v>
      </c>
      <c r="ED108" s="15">
        <f t="shared" si="379"/>
        <v>0.31904032078954003</v>
      </c>
      <c r="EE108" s="15">
        <f t="shared" si="379"/>
        <v>0.27824096724824487</v>
      </c>
      <c r="EF108" s="15">
        <f t="shared" si="379"/>
        <v>0.44800627839832874</v>
      </c>
      <c r="EG108" s="15">
        <f t="shared" si="379"/>
        <v>0.18194130925507901</v>
      </c>
      <c r="EH108" s="15">
        <f t="shared" si="379"/>
        <v>0.16348357524828105</v>
      </c>
      <c r="EI108" s="15">
        <f t="shared" si="379"/>
        <v>6.6152330925804304E-2</v>
      </c>
      <c r="EJ108" s="15">
        <f t="shared" si="379"/>
        <v>0.18953040800615861</v>
      </c>
      <c r="EK108" s="15">
        <f t="shared" si="379"/>
        <v>0.13499870566916905</v>
      </c>
      <c r="EL108" s="15">
        <f t="shared" si="379"/>
        <v>8.8607594936708889E-2</v>
      </c>
      <c r="EM108" s="15">
        <f t="shared" si="379"/>
        <v>0.15210559396605916</v>
      </c>
      <c r="EN108" s="15">
        <f t="shared" si="379"/>
        <v>0.10565557374068013</v>
      </c>
      <c r="EO108" s="15">
        <f t="shared" si="379"/>
        <v>4.1200657894736814E-2</v>
      </c>
      <c r="EP108" s="15">
        <f t="shared" si="379"/>
        <v>-7.8982702788055192E-5</v>
      </c>
      <c r="EQ108" s="15">
        <f>(EQ9/EN9)-1</f>
        <v>3.0016447368421018E-2</v>
      </c>
      <c r="ER108" s="674">
        <f>(ER9/EQ9)-1</f>
        <v>-9.2614770459081841E-3</v>
      </c>
      <c r="ES108" s="161">
        <f>(ES9/EP9)-1</f>
        <v>-6.4849921011058465E-2</v>
      </c>
      <c r="ET108" s="161">
        <f>(ET9/ER9)-1</f>
        <v>-0.16044806189056326</v>
      </c>
      <c r="EU108" s="161">
        <f t="shared" ref="EU108:FH108" si="380">(EU9/ET9)-1</f>
        <v>-0.1231522365137262</v>
      </c>
      <c r="EV108" s="161">
        <f t="shared" si="380"/>
        <v>-9.6332785987958136E-3</v>
      </c>
      <c r="EW108" s="161">
        <f t="shared" si="380"/>
        <v>6.3004310821266341E-3</v>
      </c>
      <c r="EX108" s="70">
        <f t="shared" si="380"/>
        <v>1.6805799648506259E-2</v>
      </c>
      <c r="EY108" s="70">
        <f t="shared" si="380"/>
        <v>6.6868315869072159E-2</v>
      </c>
      <c r="EZ108" s="1673">
        <f t="shared" si="380"/>
        <v>7.6134072434408395E-4</v>
      </c>
      <c r="FA108" s="15">
        <f t="shared" si="380"/>
        <v>7.7162736139535504E-3</v>
      </c>
      <c r="FB108" s="15">
        <f t="shared" si="380"/>
        <v>1.1123861061090645E-2</v>
      </c>
      <c r="FC108" s="15">
        <f t="shared" si="380"/>
        <v>6.737294009638628E-3</v>
      </c>
      <c r="FD108" s="15">
        <f t="shared" si="380"/>
        <v>1.0708424402074312E-2</v>
      </c>
      <c r="FE108" s="15">
        <f t="shared" si="380"/>
        <v>1.1034152580202017E-2</v>
      </c>
      <c r="FF108" s="15">
        <f t="shared" si="380"/>
        <v>1.1369046405984351E-2</v>
      </c>
      <c r="FG108" s="15">
        <f t="shared" si="380"/>
        <v>1.1713115754806713E-2</v>
      </c>
      <c r="FH108" s="15">
        <f t="shared" si="380"/>
        <v>1.2066351924167718E-2</v>
      </c>
      <c r="FI108" s="413"/>
      <c r="FJ108"/>
      <c r="FK108"/>
      <c r="FL108"/>
      <c r="FM108"/>
      <c r="FN108"/>
      <c r="FO108"/>
      <c r="FS108" s="70"/>
      <c r="FT108" s="70"/>
      <c r="FU108"/>
      <c r="FV108" s="70"/>
      <c r="FW108" s="70"/>
      <c r="FX108" s="70"/>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row>
    <row r="109" spans="1:260" s="4" customFormat="1" ht="12.75" customHeight="1" x14ac:dyDescent="0.2">
      <c r="A109" s="1302" t="s">
        <v>16</v>
      </c>
      <c r="B109" s="401"/>
      <c r="C109" s="401"/>
      <c r="D109" s="401"/>
      <c r="E109" s="469"/>
      <c r="F109" s="50">
        <f t="shared" ref="F109:AK109" si="381">(F16/B16)-1</f>
        <v>0.5154939126013387</v>
      </c>
      <c r="G109" s="50">
        <f t="shared" si="381"/>
        <v>0.4120062139369729</v>
      </c>
      <c r="H109" s="50">
        <f t="shared" si="381"/>
        <v>0.45319622178557539</v>
      </c>
      <c r="I109" s="550">
        <f t="shared" si="381"/>
        <v>0.57534214362977942</v>
      </c>
      <c r="J109" s="50">
        <f t="shared" si="381"/>
        <v>0.54636533084808958</v>
      </c>
      <c r="K109" s="50">
        <f t="shared" si="381"/>
        <v>0.54916393800480234</v>
      </c>
      <c r="L109" s="50">
        <f t="shared" si="381"/>
        <v>0.37474604656270594</v>
      </c>
      <c r="M109" s="550">
        <f t="shared" si="381"/>
        <v>0.34516541529214506</v>
      </c>
      <c r="N109" s="50">
        <f t="shared" si="381"/>
        <v>0.32408015669730306</v>
      </c>
      <c r="O109" s="50">
        <f t="shared" si="381"/>
        <v>0.30754489397919027</v>
      </c>
      <c r="P109" s="50">
        <f t="shared" si="381"/>
        <v>0.25753513567487962</v>
      </c>
      <c r="Q109" s="550">
        <f t="shared" si="381"/>
        <v>0.1175032365452191</v>
      </c>
      <c r="R109" s="50">
        <f t="shared" si="381"/>
        <v>0.1045480614297809</v>
      </c>
      <c r="S109" s="50">
        <f t="shared" si="381"/>
        <v>0.1594951332430965</v>
      </c>
      <c r="T109" s="50">
        <f t="shared" si="381"/>
        <v>0.13138503561247905</v>
      </c>
      <c r="U109" s="550">
        <f t="shared" si="381"/>
        <v>0.15405621001135317</v>
      </c>
      <c r="V109" s="50">
        <f t="shared" si="381"/>
        <v>0.34403936258329315</v>
      </c>
      <c r="W109" s="50">
        <f t="shared" si="381"/>
        <v>0.25493155675844448</v>
      </c>
      <c r="X109" s="50">
        <f t="shared" si="381"/>
        <v>0.24217902874327568</v>
      </c>
      <c r="Y109" s="550">
        <f t="shared" si="381"/>
        <v>0.2780014914243103</v>
      </c>
      <c r="Z109" s="50">
        <f t="shared" si="381"/>
        <v>0.19667702986932545</v>
      </c>
      <c r="AA109" s="50">
        <f t="shared" si="381"/>
        <v>0.30620285939434888</v>
      </c>
      <c r="AB109" s="50">
        <f t="shared" si="381"/>
        <v>0.32146559882480896</v>
      </c>
      <c r="AC109" s="550">
        <f t="shared" si="381"/>
        <v>0.24594019587601101</v>
      </c>
      <c r="AD109" s="50">
        <f t="shared" si="381"/>
        <v>0.27356834853100565</v>
      </c>
      <c r="AE109" s="50">
        <f t="shared" si="381"/>
        <v>0.20974838630662673</v>
      </c>
      <c r="AF109" s="50">
        <f t="shared" si="381"/>
        <v>0.29126788504828149</v>
      </c>
      <c r="AG109" s="550">
        <f t="shared" si="381"/>
        <v>0.4775494617922964</v>
      </c>
      <c r="AH109" s="50">
        <f t="shared" si="381"/>
        <v>0.52089724890610078</v>
      </c>
      <c r="AI109" s="50">
        <f t="shared" si="381"/>
        <v>0.49982658255139256</v>
      </c>
      <c r="AJ109" s="50">
        <f t="shared" si="381"/>
        <v>0.48834160005827543</v>
      </c>
      <c r="AK109" s="550">
        <f t="shared" si="381"/>
        <v>0.26539071071559195</v>
      </c>
      <c r="AL109" s="50">
        <f t="shared" ref="AL109:BQ109" si="382">(AL16/AH16)-1</f>
        <v>0.25793650793650791</v>
      </c>
      <c r="AM109" s="50">
        <f t="shared" si="382"/>
        <v>0.28000000000000003</v>
      </c>
      <c r="AN109" s="50">
        <f t="shared" si="382"/>
        <v>0.23470522803114569</v>
      </c>
      <c r="AO109" s="550">
        <f t="shared" si="382"/>
        <v>9.9229287090558671E-2</v>
      </c>
      <c r="AP109" s="50">
        <f t="shared" si="382"/>
        <v>0.12618296529968465</v>
      </c>
      <c r="AQ109" s="50">
        <f t="shared" si="382"/>
        <v>0.1162109375</v>
      </c>
      <c r="AR109" s="50">
        <f t="shared" si="382"/>
        <v>0.15675675675675671</v>
      </c>
      <c r="AS109" s="550">
        <f t="shared" si="382"/>
        <v>0.13058720420683612</v>
      </c>
      <c r="AT109" s="50">
        <f t="shared" si="382"/>
        <v>5.2287581699346442E-2</v>
      </c>
      <c r="AU109" s="50">
        <f t="shared" si="382"/>
        <v>7.4365704286964096E-2</v>
      </c>
      <c r="AV109" s="50">
        <f t="shared" si="382"/>
        <v>2.024922118380057E-2</v>
      </c>
      <c r="AW109" s="550">
        <f t="shared" si="382"/>
        <v>7.5968992248061973E-2</v>
      </c>
      <c r="AX109" s="50">
        <f t="shared" si="382"/>
        <v>0.17036379769299015</v>
      </c>
      <c r="AY109" s="50">
        <f t="shared" si="382"/>
        <v>0.1807817589576548</v>
      </c>
      <c r="AZ109" s="50">
        <f t="shared" si="382"/>
        <v>0.22061068702290076</v>
      </c>
      <c r="BA109" s="550">
        <f t="shared" si="382"/>
        <v>0.23487031700288186</v>
      </c>
      <c r="BB109" s="50">
        <f t="shared" si="382"/>
        <v>8.2638362395754283E-2</v>
      </c>
      <c r="BC109" s="50">
        <f t="shared" si="382"/>
        <v>8.4137931034482749E-2</v>
      </c>
      <c r="BD109" s="50">
        <f t="shared" si="382"/>
        <v>0.12507817385866171</v>
      </c>
      <c r="BE109" s="550">
        <f t="shared" si="382"/>
        <v>0.1499416569428238</v>
      </c>
      <c r="BF109" s="50">
        <f t="shared" si="382"/>
        <v>0.1386554621848739</v>
      </c>
      <c r="BG109" s="50">
        <f t="shared" si="382"/>
        <v>0.1055979643765903</v>
      </c>
      <c r="BH109" s="50">
        <f t="shared" si="382"/>
        <v>0.10394663702056706</v>
      </c>
      <c r="BI109" s="550">
        <f t="shared" si="382"/>
        <v>3.2470826991374935E-2</v>
      </c>
      <c r="BJ109" s="50">
        <f t="shared" si="382"/>
        <v>0.14145141451414522</v>
      </c>
      <c r="BK109" s="50">
        <f t="shared" si="382"/>
        <v>0.17491369390103562</v>
      </c>
      <c r="BL109" s="50">
        <f t="shared" si="382"/>
        <v>0.30261832829808655</v>
      </c>
      <c r="BM109" s="550">
        <f t="shared" si="382"/>
        <v>0.22800982800982794</v>
      </c>
      <c r="BN109" s="50">
        <f t="shared" si="382"/>
        <v>0.19019396551724133</v>
      </c>
      <c r="BO109" s="50">
        <f t="shared" si="382"/>
        <v>0.17727717923604303</v>
      </c>
      <c r="BP109" s="50">
        <f t="shared" si="382"/>
        <v>-8.1175106300734878E-3</v>
      </c>
      <c r="BQ109" s="550">
        <f t="shared" si="382"/>
        <v>7.8031212484994006E-2</v>
      </c>
      <c r="BR109" s="50">
        <f t="shared" ref="BR109:BY109" si="383">(BR16/BN16)-1</f>
        <v>0.12267994567677687</v>
      </c>
      <c r="BS109" s="50">
        <f t="shared" si="383"/>
        <v>4.2845257903494138E-2</v>
      </c>
      <c r="BT109" s="50">
        <f t="shared" si="383"/>
        <v>1.2470771628994459E-2</v>
      </c>
      <c r="BU109" s="550">
        <f t="shared" si="383"/>
        <v>1.7074981440237558E-2</v>
      </c>
      <c r="BV109" s="50">
        <f t="shared" si="383"/>
        <v>1.612903225806539E-3</v>
      </c>
      <c r="BW109" s="50">
        <f t="shared" si="383"/>
        <v>3.0315117670522529E-2</v>
      </c>
      <c r="BX109" s="50">
        <f t="shared" si="383"/>
        <v>6.9284064665127154E-3</v>
      </c>
      <c r="BY109" s="550">
        <f t="shared" si="383"/>
        <v>-7.6642335766423653E-3</v>
      </c>
      <c r="BZ109" s="50">
        <f>(BZ16/BN16)-1</f>
        <v>9.8687188773200596E-2</v>
      </c>
      <c r="CA109" s="50">
        <f>(CA16/BO16)-1</f>
        <v>1.2895174708818624E-2</v>
      </c>
      <c r="CB109" s="50">
        <f>(CB16/BP16)-1</f>
        <v>-4.7544816835541681E-2</v>
      </c>
      <c r="CC109" s="550">
        <f>(CC16/BQ16)-1</f>
        <v>2.9695619896066283E-3</v>
      </c>
      <c r="CD109" s="50">
        <f>(CD16/BZ16)-1</f>
        <v>1.2360939431396822E-2</v>
      </c>
      <c r="CE109" s="50">
        <f>(CE16/CA16)-1</f>
        <v>2.7515400410677682E-2</v>
      </c>
      <c r="CF109" s="50">
        <f>(CF16/CB16)-1</f>
        <v>1.1456628477905184E-2</v>
      </c>
      <c r="CG109" s="550">
        <f>(CG16/CC16)-1</f>
        <v>-8.5122131754256092E-3</v>
      </c>
      <c r="CH109" s="50">
        <f>(CH16/BV16)-1</f>
        <v>1.3687600644122444E-2</v>
      </c>
      <c r="CI109" s="50">
        <f>(CI16/BW16)-1</f>
        <v>-5.5361982191250436E-2</v>
      </c>
      <c r="CJ109" s="50">
        <f>(CJ16/BX16)-1</f>
        <v>-2.9816513761467878E-2</v>
      </c>
      <c r="CK109" s="550">
        <f>(CK16/BY16)-1</f>
        <v>5.1121735932328161E-2</v>
      </c>
      <c r="CL109" s="50">
        <f>(CL16/CD16)-1</f>
        <v>-0.11314611314611311</v>
      </c>
      <c r="CM109" s="50">
        <f>(CM16/CE16)-1</f>
        <v>-0.16866506794564351</v>
      </c>
      <c r="CN109" s="50">
        <f>(CN16/CF16)-1</f>
        <v>-0.11326860841423947</v>
      </c>
      <c r="CO109" s="550">
        <f>(CO16/CG16)-1</f>
        <v>-6.9802164986935478E-2</v>
      </c>
      <c r="CP109" s="1157">
        <f t="shared" ref="CP109:DE109" si="384">(CP16/CL16)-1</f>
        <v>-0.12758145938503895</v>
      </c>
      <c r="CQ109" s="219">
        <f t="shared" si="384"/>
        <v>-7.9807692307692357E-2</v>
      </c>
      <c r="CR109" s="219">
        <f t="shared" si="384"/>
        <v>-0.10675182481751821</v>
      </c>
      <c r="CS109" s="550">
        <f t="shared" si="384"/>
        <v>-0.1175762439807384</v>
      </c>
      <c r="CT109" s="1157">
        <f t="shared" si="384"/>
        <v>-8.1536033666491314E-2</v>
      </c>
      <c r="CU109" s="197">
        <f t="shared" si="384"/>
        <v>-9.2998955067920552E-2</v>
      </c>
      <c r="CV109" s="197">
        <f t="shared" si="384"/>
        <v>-5.0051072522982687E-2</v>
      </c>
      <c r="CW109" s="572">
        <f t="shared" si="384"/>
        <v>4.0927694406549531E-3</v>
      </c>
      <c r="CX109" s="197">
        <f t="shared" si="384"/>
        <v>3.4364261168384758E-3</v>
      </c>
      <c r="CY109" s="197">
        <f t="shared" si="384"/>
        <v>4.0898617511520685E-2</v>
      </c>
      <c r="CZ109" s="197">
        <f t="shared" si="384"/>
        <v>6.9892473118280396E-3</v>
      </c>
      <c r="DA109" s="572">
        <f t="shared" si="384"/>
        <v>-1.85688405797102E-2</v>
      </c>
      <c r="DB109" s="197">
        <f t="shared" si="384"/>
        <v>-1.7123287671232834E-2</v>
      </c>
      <c r="DC109" s="197">
        <f t="shared" si="384"/>
        <v>-1.9369120088544522E-2</v>
      </c>
      <c r="DD109" s="197">
        <f t="shared" si="384"/>
        <v>9.0763481046449712E-3</v>
      </c>
      <c r="DE109" s="572">
        <f t="shared" si="384"/>
        <v>-1.2459621596677461E-2</v>
      </c>
      <c r="DF109" s="578">
        <f t="shared" ref="DF109:DM109" si="385">(DF16/DB16)-1</f>
        <v>0</v>
      </c>
      <c r="DG109" s="197">
        <f t="shared" si="385"/>
        <v>2.8781038374717793E-2</v>
      </c>
      <c r="DH109" s="197">
        <f t="shared" si="385"/>
        <v>2.2222222222222143E-2</v>
      </c>
      <c r="DI109" s="572">
        <f t="shared" si="385"/>
        <v>0.13971962616822431</v>
      </c>
      <c r="DJ109" s="1713">
        <f t="shared" si="385"/>
        <v>2.090228492890267E-2</v>
      </c>
      <c r="DK109" s="197">
        <f t="shared" si="385"/>
        <v>4.688200592468883E-3</v>
      </c>
      <c r="DL109" s="197">
        <f t="shared" si="385"/>
        <v>1.0951039531588158E-3</v>
      </c>
      <c r="DM109" s="572">
        <f t="shared" si="385"/>
        <v>-3.8333201718572241E-3</v>
      </c>
      <c r="DN109" s="1157"/>
      <c r="DO109" s="469"/>
      <c r="DP109" s="19"/>
      <c r="DQ109" s="50">
        <f t="shared" ref="DQ109:EP109" si="386">(DQ16/DP16)-1</f>
        <v>1.228303478390314</v>
      </c>
      <c r="DR109" s="50">
        <f t="shared" si="386"/>
        <v>1.1246130892733874</v>
      </c>
      <c r="DS109" s="50">
        <f t="shared" si="386"/>
        <v>0.12486112566816909</v>
      </c>
      <c r="DT109" s="50">
        <f t="shared" si="386"/>
        <v>-1.2019790725193991E-3</v>
      </c>
      <c r="DU109" s="50">
        <f t="shared" si="386"/>
        <v>0.21910741272832435</v>
      </c>
      <c r="DV109" s="50">
        <f t="shared" si="386"/>
        <v>0.24184847070346871</v>
      </c>
      <c r="DW109" s="50">
        <f t="shared" si="386"/>
        <v>0.52894273073462905</v>
      </c>
      <c r="DX109" s="50">
        <f t="shared" si="386"/>
        <v>0.53046033063846609</v>
      </c>
      <c r="DY109" s="50">
        <f t="shared" si="386"/>
        <v>0.49704935127861427</v>
      </c>
      <c r="DZ109" s="50">
        <f t="shared" si="386"/>
        <v>0.43181706244503082</v>
      </c>
      <c r="EA109" s="50">
        <f t="shared" si="386"/>
        <v>0.23549118660225932</v>
      </c>
      <c r="EB109" s="50">
        <f t="shared" si="386"/>
        <v>0.13881721232008348</v>
      </c>
      <c r="EC109" s="50">
        <f t="shared" si="386"/>
        <v>0.27766223107013133</v>
      </c>
      <c r="ED109" s="50">
        <f t="shared" si="386"/>
        <v>0.2671318769258948</v>
      </c>
      <c r="EE109" s="50">
        <f t="shared" si="386"/>
        <v>0.32393361989461567</v>
      </c>
      <c r="EF109" s="50">
        <f t="shared" si="386"/>
        <v>0.42292767062707415</v>
      </c>
      <c r="EG109" s="50">
        <f t="shared" si="386"/>
        <v>0.2098482679645004</v>
      </c>
      <c r="EH109" s="50">
        <f t="shared" si="386"/>
        <v>0.1329862754377662</v>
      </c>
      <c r="EI109" s="50">
        <f t="shared" si="386"/>
        <v>5.5346700083542144E-2</v>
      </c>
      <c r="EJ109" s="50">
        <f t="shared" si="386"/>
        <v>0.20364140114783291</v>
      </c>
      <c r="EK109" s="50">
        <f t="shared" si="386"/>
        <v>0.11312068398553099</v>
      </c>
      <c r="EL109" s="50">
        <f t="shared" si="386"/>
        <v>9.0841949778434294E-2</v>
      </c>
      <c r="EM109" s="50">
        <f t="shared" si="386"/>
        <v>0.21651997291807712</v>
      </c>
      <c r="EN109" s="50">
        <f t="shared" si="386"/>
        <v>9.8953695458593005E-2</v>
      </c>
      <c r="EO109" s="50">
        <f t="shared" si="386"/>
        <v>4.578142408589092E-2</v>
      </c>
      <c r="EP109" s="50">
        <f t="shared" si="386"/>
        <v>7.4576271186441723E-3</v>
      </c>
      <c r="EQ109" s="50">
        <f>(EQ16/EN16)-1</f>
        <v>1.3673655423883213E-2</v>
      </c>
      <c r="ER109" s="1157">
        <f>(ER16/EQ16)-1</f>
        <v>1.0191846522781711E-2</v>
      </c>
      <c r="ES109" s="219">
        <f>(ES16/EP16)-1</f>
        <v>-4.6144972120746308E-3</v>
      </c>
      <c r="ET109" s="219">
        <f>(ET16/ER16)-1</f>
        <v>-0.11543026706231452</v>
      </c>
      <c r="EU109" s="219">
        <f t="shared" ref="EU109:FH109" si="387">(EU16/ET16)-1</f>
        <v>-0.10857654031085762</v>
      </c>
      <c r="EV109" s="219">
        <f t="shared" si="387"/>
        <v>-5.2935273457099807E-2</v>
      </c>
      <c r="EW109" s="219">
        <f t="shared" si="387"/>
        <v>6.4900662251654584E-3</v>
      </c>
      <c r="EX109" s="197">
        <f t="shared" si="387"/>
        <v>-9.869719699960533E-3</v>
      </c>
      <c r="EY109" s="197">
        <f t="shared" si="387"/>
        <v>5.2099946836788869E-2</v>
      </c>
      <c r="EZ109" s="1713">
        <f t="shared" si="387"/>
        <v>4.712809154368891E-3</v>
      </c>
      <c r="FA109" s="50">
        <f t="shared" si="387"/>
        <v>4.5498725645309879E-3</v>
      </c>
      <c r="FB109" s="50">
        <f t="shared" si="387"/>
        <v>7.2410307287607001E-3</v>
      </c>
      <c r="FC109" s="50">
        <f t="shared" si="387"/>
        <v>8.4151874249980274E-3</v>
      </c>
      <c r="FD109" s="50">
        <f t="shared" si="387"/>
        <v>1.2360103655403076E-2</v>
      </c>
      <c r="FE109" s="50">
        <f t="shared" si="387"/>
        <v>1.2696538894908294E-2</v>
      </c>
      <c r="FF109" s="50">
        <f t="shared" si="387"/>
        <v>1.3042478779283329E-2</v>
      </c>
      <c r="FG109" s="50">
        <f t="shared" si="387"/>
        <v>1.3397938599311265E-2</v>
      </c>
      <c r="FH109" s="50">
        <f t="shared" si="387"/>
        <v>1.3762914240793123E-2</v>
      </c>
      <c r="FI109" s="416"/>
      <c r="FJ109"/>
      <c r="FK109"/>
      <c r="FL109"/>
      <c r="FM109"/>
      <c r="FN109"/>
      <c r="FO109"/>
      <c r="FS109" s="70"/>
      <c r="FT109" s="70"/>
      <c r="FU109"/>
      <c r="FV109" s="197"/>
      <c r="FW109" s="197"/>
      <c r="FX109" s="197"/>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row>
    <row r="110" spans="1:260" s="4" customFormat="1" ht="12.75" customHeight="1" x14ac:dyDescent="0.2">
      <c r="A110" s="1048" t="s">
        <v>684</v>
      </c>
      <c r="B110" s="3"/>
      <c r="C110" s="3"/>
      <c r="D110" s="3"/>
      <c r="E110" s="470"/>
      <c r="F110" s="15">
        <f t="shared" ref="F110:AK110" si="388">(F19/B19)-1</f>
        <v>0.81836461126005355</v>
      </c>
      <c r="G110" s="15">
        <f t="shared" si="388"/>
        <v>0.73574494175352601</v>
      </c>
      <c r="H110" s="15">
        <f t="shared" si="388"/>
        <v>0.82237073513893777</v>
      </c>
      <c r="I110" s="518">
        <f t="shared" si="388"/>
        <v>0.57346744596982502</v>
      </c>
      <c r="J110" s="15">
        <f t="shared" si="388"/>
        <v>0.56812876274726642</v>
      </c>
      <c r="K110" s="15">
        <f t="shared" si="388"/>
        <v>0.55516307547391941</v>
      </c>
      <c r="L110" s="15">
        <f t="shared" si="388"/>
        <v>0.38477127967573876</v>
      </c>
      <c r="M110" s="518">
        <f t="shared" si="388"/>
        <v>0.25621976503109867</v>
      </c>
      <c r="N110" s="15">
        <f t="shared" si="388"/>
        <v>0.33526600329076239</v>
      </c>
      <c r="O110" s="15">
        <f t="shared" si="388"/>
        <v>0.27422774076317369</v>
      </c>
      <c r="P110" s="15">
        <f t="shared" si="388"/>
        <v>0.1757613770994495</v>
      </c>
      <c r="Q110" s="518">
        <f t="shared" si="388"/>
        <v>0.10720671159400297</v>
      </c>
      <c r="R110" s="15">
        <f t="shared" si="388"/>
        <v>3.1099636192932767E-3</v>
      </c>
      <c r="S110" s="15">
        <f t="shared" si="388"/>
        <v>8.4135472370766795E-2</v>
      </c>
      <c r="T110" s="15">
        <f t="shared" si="388"/>
        <v>2.4657696639203142E-2</v>
      </c>
      <c r="U110" s="518">
        <f t="shared" si="388"/>
        <v>0.17731817899509417</v>
      </c>
      <c r="V110" s="15">
        <f t="shared" si="388"/>
        <v>2.9774787949693016E-2</v>
      </c>
      <c r="W110" s="15">
        <f t="shared" si="388"/>
        <v>2.5868683547078941E-2</v>
      </c>
      <c r="X110" s="15">
        <f t="shared" si="388"/>
        <v>0.16110371955804914</v>
      </c>
      <c r="Y110" s="518">
        <f t="shared" si="388"/>
        <v>0.15915805022156593</v>
      </c>
      <c r="Z110" s="15">
        <f t="shared" si="388"/>
        <v>0.34276300840718044</v>
      </c>
      <c r="AA110" s="15">
        <f t="shared" si="388"/>
        <v>0.20055561491612317</v>
      </c>
      <c r="AB110" s="15">
        <f t="shared" si="388"/>
        <v>0.24671183738541291</v>
      </c>
      <c r="AC110" s="518">
        <f t="shared" si="388"/>
        <v>0.74791789923997576</v>
      </c>
      <c r="AD110" s="15">
        <f t="shared" si="388"/>
        <v>0.35375243252390209</v>
      </c>
      <c r="AE110" s="15">
        <f t="shared" si="388"/>
        <v>0.64649341402634408</v>
      </c>
      <c r="AF110" s="15">
        <f t="shared" si="388"/>
        <v>0.71835038363171355</v>
      </c>
      <c r="AG110" s="518">
        <f t="shared" si="388"/>
        <v>0.37995677871221401</v>
      </c>
      <c r="AH110" s="15">
        <f t="shared" si="388"/>
        <v>1.09375</v>
      </c>
      <c r="AI110" s="15">
        <f t="shared" si="388"/>
        <v>0.81081081081081074</v>
      </c>
      <c r="AJ110" s="15">
        <f t="shared" si="388"/>
        <v>0.79069767441860472</v>
      </c>
      <c r="AK110" s="518">
        <f t="shared" si="388"/>
        <v>0.47169811320754707</v>
      </c>
      <c r="AL110" s="15">
        <f t="shared" ref="AL110:BQ110" si="389">(AL19/AH19)-1</f>
        <v>0.26865671641791056</v>
      </c>
      <c r="AM110" s="15">
        <f t="shared" si="389"/>
        <v>0.28358208955223874</v>
      </c>
      <c r="AN110" s="15">
        <f t="shared" si="389"/>
        <v>0.22077922077922074</v>
      </c>
      <c r="AO110" s="518">
        <f t="shared" si="389"/>
        <v>-0.42307692307692313</v>
      </c>
      <c r="AP110" s="15">
        <f t="shared" si="389"/>
        <v>0.15294117647058814</v>
      </c>
      <c r="AQ110" s="15">
        <f t="shared" si="389"/>
        <v>6.9767441860465018E-2</v>
      </c>
      <c r="AR110" s="15">
        <f t="shared" si="389"/>
        <v>-1.0638297872340385E-2</v>
      </c>
      <c r="AS110" s="518">
        <f t="shared" si="389"/>
        <v>1.2666666666666666</v>
      </c>
      <c r="AT110" s="15">
        <f t="shared" si="389"/>
        <v>5.1020408163265252E-2</v>
      </c>
      <c r="AU110" s="15">
        <f t="shared" si="389"/>
        <v>0.11956521739130443</v>
      </c>
      <c r="AV110" s="15">
        <f t="shared" si="389"/>
        <v>0.13978494623655924</v>
      </c>
      <c r="AW110" s="518">
        <f t="shared" si="389"/>
        <v>0.44117647058823528</v>
      </c>
      <c r="AX110" s="15">
        <f t="shared" si="389"/>
        <v>5.8252427184465994E-2</v>
      </c>
      <c r="AY110" s="15">
        <f t="shared" si="389"/>
        <v>9.7087378640776656E-2</v>
      </c>
      <c r="AZ110" s="15">
        <f t="shared" si="389"/>
        <v>4.7169811320754818E-2</v>
      </c>
      <c r="BA110" s="518">
        <f t="shared" si="389"/>
        <v>-0.16326530612244894</v>
      </c>
      <c r="BB110" s="15">
        <f t="shared" si="389"/>
        <v>0.11009174311926606</v>
      </c>
      <c r="BC110" s="15">
        <f t="shared" si="389"/>
        <v>0.10619469026548667</v>
      </c>
      <c r="BD110" s="15">
        <f t="shared" si="389"/>
        <v>0.10810810810810811</v>
      </c>
      <c r="BE110" s="518">
        <f t="shared" si="389"/>
        <v>0.13821138211382111</v>
      </c>
      <c r="BF110" s="15">
        <f t="shared" si="389"/>
        <v>0.11570247933884303</v>
      </c>
      <c r="BG110" s="15">
        <f t="shared" si="389"/>
        <v>0.15199999999999991</v>
      </c>
      <c r="BH110" s="15">
        <f t="shared" si="389"/>
        <v>0.13821138211382111</v>
      </c>
      <c r="BI110" s="518">
        <f t="shared" si="389"/>
        <v>0.14999999999999991</v>
      </c>
      <c r="BJ110" s="15">
        <f t="shared" si="389"/>
        <v>0.1333333333333333</v>
      </c>
      <c r="BK110" s="15">
        <f t="shared" si="389"/>
        <v>0.11111111111111116</v>
      </c>
      <c r="BL110" s="15">
        <f t="shared" si="389"/>
        <v>0.77857142857142847</v>
      </c>
      <c r="BM110" s="518">
        <f t="shared" si="389"/>
        <v>0.43478260869565211</v>
      </c>
      <c r="BN110" s="15">
        <f t="shared" si="389"/>
        <v>0.41830065359477131</v>
      </c>
      <c r="BO110" s="15">
        <f t="shared" si="389"/>
        <v>0.44999999999999996</v>
      </c>
      <c r="BP110" s="15">
        <f t="shared" si="389"/>
        <v>-7.2289156626506035E-2</v>
      </c>
      <c r="BQ110" s="518">
        <f t="shared" si="389"/>
        <v>6.4935064935064846E-2</v>
      </c>
      <c r="BR110" s="15">
        <f t="shared" ref="BR110:BY110" si="390">(BR19/BN19)-1</f>
        <v>0.1198156682027649</v>
      </c>
      <c r="BS110" s="15">
        <f t="shared" si="390"/>
        <v>2.5862068965517349E-2</v>
      </c>
      <c r="BT110" s="15">
        <f t="shared" si="390"/>
        <v>8.2251082251082241E-2</v>
      </c>
      <c r="BU110" s="518">
        <f t="shared" si="390"/>
        <v>4.0650406504065817E-3</v>
      </c>
      <c r="BV110" s="15">
        <f t="shared" si="390"/>
        <v>-2.8806584362139898E-2</v>
      </c>
      <c r="BW110" s="15">
        <f t="shared" si="390"/>
        <v>4.2016806722688926E-3</v>
      </c>
      <c r="BX110" s="15">
        <f t="shared" si="390"/>
        <v>-7.5999999999999956E-2</v>
      </c>
      <c r="BY110" s="518">
        <f t="shared" si="390"/>
        <v>-3.2388663967611309E-2</v>
      </c>
      <c r="BZ110" s="15">
        <f>(BZ19/BN19)-1</f>
        <v>0.1198156682027649</v>
      </c>
      <c r="CA110" s="15">
        <f>(CA19/BO19)-1</f>
        <v>2.5862068965517349E-2</v>
      </c>
      <c r="CB110" s="15">
        <f>(CB19/BP19)-1</f>
        <v>8.2251082251082241E-2</v>
      </c>
      <c r="CC110" s="518">
        <f>(CC19/BQ19)-1</f>
        <v>4.0650406504065817E-3</v>
      </c>
      <c r="CD110" s="15">
        <f>(CD19/BZ19)-1</f>
        <v>-2.8806584362139898E-2</v>
      </c>
      <c r="CE110" s="15">
        <f>(CE19/CA19)-1</f>
        <v>4.2016806722688926E-3</v>
      </c>
      <c r="CF110" s="15">
        <f>(CF19/CB19)-1</f>
        <v>-7.5999999999999956E-2</v>
      </c>
      <c r="CG110" s="518">
        <f>(CG19/CC19)-1</f>
        <v>-3.2388663967611309E-2</v>
      </c>
      <c r="CH110" s="15">
        <f>(CH19/BV19)-1</f>
        <v>4.237288135593209E-3</v>
      </c>
      <c r="CI110" s="15">
        <f>(CI19/BW19)-1</f>
        <v>-4.6025104602510414E-2</v>
      </c>
      <c r="CJ110" s="15">
        <f>(CJ19/BX19)-1</f>
        <v>-3.8961038961038974E-2</v>
      </c>
      <c r="CK110" s="518">
        <f>(CK19/BY19)-1</f>
        <v>-3.7656903765690419E-2</v>
      </c>
      <c r="CL110" s="15">
        <f>(CL19/CD19)-1</f>
        <v>4.237288135593209E-3</v>
      </c>
      <c r="CM110" s="15">
        <f>(CM19/CE19)-1</f>
        <v>-4.6025104602510414E-2</v>
      </c>
      <c r="CN110" s="15">
        <f>(CN19/CF19)-1</f>
        <v>-3.8961038961038974E-2</v>
      </c>
      <c r="CO110" s="518">
        <f>(CO19/CG19)-1</f>
        <v>-3.7656903765690419E-2</v>
      </c>
      <c r="CP110" s="674">
        <f t="shared" ref="CP110:DE110" si="391">(CP19/CL19)-1</f>
        <v>-0.11392405063291144</v>
      </c>
      <c r="CQ110" s="161">
        <f t="shared" si="391"/>
        <v>-0.22368421052631582</v>
      </c>
      <c r="CR110" s="161">
        <f t="shared" si="391"/>
        <v>-0.26576576576576572</v>
      </c>
      <c r="CS110" s="518">
        <f t="shared" si="391"/>
        <v>-0.27826086956521734</v>
      </c>
      <c r="CT110" s="674">
        <f t="shared" si="391"/>
        <v>-0.23333333333333328</v>
      </c>
      <c r="CU110" s="70">
        <f t="shared" si="391"/>
        <v>-0.10734463276836159</v>
      </c>
      <c r="CV110" s="70">
        <f t="shared" si="391"/>
        <v>1.2269938650306678E-2</v>
      </c>
      <c r="CW110" s="487">
        <f t="shared" si="391"/>
        <v>3.6144578313253017E-2</v>
      </c>
      <c r="CX110" s="70">
        <f t="shared" si="391"/>
        <v>1.2422360248447228E-2</v>
      </c>
      <c r="CY110" s="70">
        <f t="shared" si="391"/>
        <v>3.1645569620253111E-2</v>
      </c>
      <c r="CZ110" s="70">
        <f t="shared" si="391"/>
        <v>1.8181818181818077E-2</v>
      </c>
      <c r="DA110" s="487">
        <f t="shared" si="391"/>
        <v>-5.2325581395348819E-2</v>
      </c>
      <c r="DB110" s="70">
        <f t="shared" si="391"/>
        <v>-6.1349693251533388E-3</v>
      </c>
      <c r="DC110" s="70">
        <f t="shared" si="391"/>
        <v>1.2269938650306678E-2</v>
      </c>
      <c r="DD110" s="70">
        <f t="shared" si="391"/>
        <v>-2.3809523809523836E-2</v>
      </c>
      <c r="DE110" s="487">
        <f t="shared" si="391"/>
        <v>0</v>
      </c>
      <c r="DF110" s="580">
        <f t="shared" ref="DF110:DM110" si="392">(DF19/DB19)-1</f>
        <v>-6.1728395061728669E-3</v>
      </c>
      <c r="DG110" s="70">
        <f t="shared" si="392"/>
        <v>1.8181818181818077E-2</v>
      </c>
      <c r="DH110" s="70">
        <f t="shared" si="392"/>
        <v>4.2682926829268331E-2</v>
      </c>
      <c r="DI110" s="487">
        <f t="shared" si="392"/>
        <v>0.12269938650306744</v>
      </c>
      <c r="DJ110" s="1673">
        <f t="shared" si="392"/>
        <v>-4.7716456098332416E-2</v>
      </c>
      <c r="DK110" s="70">
        <f t="shared" si="392"/>
        <v>-5.8298515078785251E-2</v>
      </c>
      <c r="DL110" s="70">
        <f t="shared" si="392"/>
        <v>-3.2725422828696393E-2</v>
      </c>
      <c r="DM110" s="487">
        <f t="shared" si="392"/>
        <v>0.46347909818685729</v>
      </c>
      <c r="DN110" s="674"/>
      <c r="DO110" s="470"/>
      <c r="DQ110" s="15">
        <f t="shared" ref="DQ110:EP110" si="393">(DQ19/DP19)-1</f>
        <v>2.2003891050583659</v>
      </c>
      <c r="DR110" s="15">
        <f t="shared" si="393"/>
        <v>2.0127659574468089</v>
      </c>
      <c r="DS110" s="15">
        <f t="shared" si="393"/>
        <v>0.40052461662631145</v>
      </c>
      <c r="DT110" s="15">
        <f t="shared" si="393"/>
        <v>-0.21106468808529033</v>
      </c>
      <c r="DU110" s="15">
        <f t="shared" si="393"/>
        <v>0.42311906501095686</v>
      </c>
      <c r="DV110" s="15">
        <f t="shared" si="393"/>
        <v>0.28487103811112524</v>
      </c>
      <c r="DW110" s="15">
        <f t="shared" si="393"/>
        <v>0.48127434335364039</v>
      </c>
      <c r="DX110" s="15">
        <f t="shared" si="393"/>
        <v>0.51105717367853276</v>
      </c>
      <c r="DY110" s="15">
        <f t="shared" si="393"/>
        <v>0.72095306086025346</v>
      </c>
      <c r="DZ110" s="15">
        <f t="shared" si="393"/>
        <v>0.42240082966035786</v>
      </c>
      <c r="EA110" s="15">
        <f t="shared" si="393"/>
        <v>0.21840253727534531</v>
      </c>
      <c r="EB110" s="15">
        <f t="shared" si="393"/>
        <v>7.0911375740530413E-2</v>
      </c>
      <c r="EC110" s="15">
        <f t="shared" si="393"/>
        <v>9.4755811354492625E-2</v>
      </c>
      <c r="ED110" s="15">
        <f t="shared" si="393"/>
        <v>0.39779499023823783</v>
      </c>
      <c r="EE110" s="15">
        <f t="shared" si="393"/>
        <v>0.50628531782620212</v>
      </c>
      <c r="EF110" s="15">
        <f t="shared" si="393"/>
        <v>0.75151515151515147</v>
      </c>
      <c r="EG110" s="15">
        <f t="shared" si="393"/>
        <v>7.2664359861591699E-2</v>
      </c>
      <c r="EH110" s="15">
        <f t="shared" si="393"/>
        <v>0.24193548387096775</v>
      </c>
      <c r="EI110" s="15">
        <f t="shared" si="393"/>
        <v>0.19220779220779227</v>
      </c>
      <c r="EJ110" s="15">
        <f t="shared" si="393"/>
        <v>-6.5359477124182774E-3</v>
      </c>
      <c r="EK110" s="15">
        <f t="shared" si="393"/>
        <v>0.11622807017543857</v>
      </c>
      <c r="EL110" s="15">
        <f t="shared" si="393"/>
        <v>0.13948919449901775</v>
      </c>
      <c r="EM110" s="15">
        <f t="shared" si="393"/>
        <v>0.36724137931034484</v>
      </c>
      <c r="EN110" s="15">
        <f t="shared" si="393"/>
        <v>0.16771752837326614</v>
      </c>
      <c r="EO110" s="15">
        <f t="shared" si="393"/>
        <v>5.6155507559395357E-2</v>
      </c>
      <c r="EP110" s="15">
        <f t="shared" si="393"/>
        <v>-3.3742331288343586E-2</v>
      </c>
      <c r="EQ110" s="15">
        <f>(EQ19/EN19)-1</f>
        <v>5.6155507559395357E-2</v>
      </c>
      <c r="ER110" s="674">
        <f>(ER19/EQ19)-1</f>
        <v>-3.3742331288343586E-2</v>
      </c>
      <c r="ES110" s="161">
        <f>(ES19/EP19)-1</f>
        <v>-2.9629629629629672E-2</v>
      </c>
      <c r="ET110" s="161">
        <f>(ET19/ER19)-1</f>
        <v>-2.9629629629629672E-2</v>
      </c>
      <c r="EU110" s="161">
        <f t="shared" ref="EU110:FH110" si="394">(EU19/ET19)-1</f>
        <v>-0.21919302071973823</v>
      </c>
      <c r="EV110" s="161">
        <f t="shared" si="394"/>
        <v>-8.3798882681564213E-2</v>
      </c>
      <c r="EW110" s="161">
        <f t="shared" si="394"/>
        <v>1.5243902439023849E-3</v>
      </c>
      <c r="EX110" s="70">
        <f t="shared" si="394"/>
        <v>-4.5662100456621557E-3</v>
      </c>
      <c r="EY110" s="70">
        <f t="shared" si="394"/>
        <v>4.4342507645259932E-2</v>
      </c>
      <c r="EZ110" s="1673">
        <f t="shared" si="394"/>
        <v>9.0401358271479326E-2</v>
      </c>
      <c r="FA110" s="15">
        <f t="shared" si="394"/>
        <v>1.0079130563356964E-2</v>
      </c>
      <c r="FB110" s="15">
        <f t="shared" si="394"/>
        <v>9.9336293157095135E-3</v>
      </c>
      <c r="FC110" s="15">
        <f t="shared" si="394"/>
        <v>8.7104249902583142E-3</v>
      </c>
      <c r="FD110" s="15">
        <f t="shared" si="394"/>
        <v>1.2692032314878254E-2</v>
      </c>
      <c r="FE110" s="15">
        <f t="shared" si="394"/>
        <v>1.3025999748297545E-2</v>
      </c>
      <c r="FF110" s="15">
        <f t="shared" si="394"/>
        <v>1.3369313110822345E-2</v>
      </c>
      <c r="FG110" s="15">
        <f t="shared" si="394"/>
        <v>1.3721983429219486E-2</v>
      </c>
      <c r="FH110" s="15">
        <f t="shared" si="394"/>
        <v>1.4084002678209862E-2</v>
      </c>
      <c r="FI110" s="413"/>
      <c r="FJ110"/>
      <c r="FK110"/>
      <c r="FL110"/>
      <c r="FM110"/>
      <c r="FN110"/>
      <c r="FO110"/>
      <c r="FS110" s="70"/>
      <c r="FT110" s="70"/>
      <c r="FU110"/>
      <c r="FV110" s="70"/>
      <c r="FW110" s="70"/>
      <c r="FX110" s="7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row>
    <row r="111" spans="1:260" s="4" customFormat="1" ht="12.75" customHeight="1" x14ac:dyDescent="0.2">
      <c r="A111" s="1302" t="s">
        <v>682</v>
      </c>
      <c r="B111" s="401"/>
      <c r="C111" s="401"/>
      <c r="D111" s="401"/>
      <c r="E111" s="469"/>
      <c r="F111" s="50">
        <f t="shared" ref="F111:AK111" si="395">(F17/B17)-1</f>
        <v>2.1845400108873236</v>
      </c>
      <c r="G111" s="50">
        <f t="shared" si="395"/>
        <v>0.34904507257447825</v>
      </c>
      <c r="H111" s="50">
        <f t="shared" si="395"/>
        <v>0.82325291380882337</v>
      </c>
      <c r="I111" s="550">
        <f t="shared" si="395"/>
        <v>0.37922406167066725</v>
      </c>
      <c r="J111" s="50">
        <f t="shared" si="395"/>
        <v>0.39623931623933162</v>
      </c>
      <c r="K111" s="50">
        <f t="shared" si="395"/>
        <v>8.7434169545281604E-2</v>
      </c>
      <c r="L111" s="50">
        <f t="shared" si="395"/>
        <v>0.1203535632546755</v>
      </c>
      <c r="M111" s="550">
        <f t="shared" si="395"/>
        <v>-0.18581978779160357</v>
      </c>
      <c r="N111" s="50">
        <f t="shared" si="395"/>
        <v>-0.20714985308522826</v>
      </c>
      <c r="O111" s="50">
        <f t="shared" si="395"/>
        <v>2.504816955684408E-2</v>
      </c>
      <c r="P111" s="50">
        <f t="shared" si="395"/>
        <v>-1.0730252653329566</v>
      </c>
      <c r="Q111" s="550">
        <f t="shared" si="395"/>
        <v>-0.46701478763870907</v>
      </c>
      <c r="R111" s="50">
        <f t="shared" si="395"/>
        <v>-0.59728227300802228</v>
      </c>
      <c r="S111" s="50">
        <f t="shared" si="395"/>
        <v>1.2294249136339364E-2</v>
      </c>
      <c r="T111" s="50">
        <f t="shared" si="395"/>
        <v>-18.009324758842645</v>
      </c>
      <c r="U111" s="550">
        <f t="shared" si="395"/>
        <v>3.594467905405442</v>
      </c>
      <c r="V111" s="50">
        <f t="shared" si="395"/>
        <v>3.3680981595091923</v>
      </c>
      <c r="W111" s="50">
        <f t="shared" si="395"/>
        <v>2.4345578640971817</v>
      </c>
      <c r="X111" s="50">
        <f t="shared" si="395"/>
        <v>0.7057033214238515</v>
      </c>
      <c r="Y111" s="550">
        <f t="shared" si="395"/>
        <v>0.56062207597636493</v>
      </c>
      <c r="Z111" s="50">
        <f t="shared" si="395"/>
        <v>2.1469891151685232</v>
      </c>
      <c r="AA111" s="50">
        <f t="shared" si="395"/>
        <v>0.30932098134050268</v>
      </c>
      <c r="AB111" s="50">
        <f t="shared" si="395"/>
        <v>0.35861686800399006</v>
      </c>
      <c r="AC111" s="550">
        <f t="shared" si="395"/>
        <v>0.50399019971611803</v>
      </c>
      <c r="AD111" s="50">
        <f t="shared" si="395"/>
        <v>0.51347958884813205</v>
      </c>
      <c r="AE111" s="50">
        <f t="shared" si="395"/>
        <v>0.2873021895855179</v>
      </c>
      <c r="AF111" s="50">
        <f t="shared" si="395"/>
        <v>-0.30651450386661372</v>
      </c>
      <c r="AG111" s="550">
        <f t="shared" si="395"/>
        <v>0.15795491925251848</v>
      </c>
      <c r="AH111" s="50">
        <f t="shared" si="395"/>
        <v>-0.17064450137304299</v>
      </c>
      <c r="AI111" s="50">
        <f t="shared" si="395"/>
        <v>0.28305158214130999</v>
      </c>
      <c r="AJ111" s="50">
        <f t="shared" si="395"/>
        <v>0.51741498359075044</v>
      </c>
      <c r="AK111" s="550">
        <f t="shared" si="395"/>
        <v>0.92762935407507574</v>
      </c>
      <c r="AL111" s="50">
        <f t="shared" ref="AL111:BQ111" si="396">(AL17/AH17)-1</f>
        <v>0.43333333333333335</v>
      </c>
      <c r="AM111" s="50">
        <f t="shared" si="396"/>
        <v>-0.1283783783783784</v>
      </c>
      <c r="AN111" s="50">
        <f t="shared" si="396"/>
        <v>8.5271317829457294E-2</v>
      </c>
      <c r="AO111" s="550">
        <f t="shared" si="396"/>
        <v>7.3684210526315796E-2</v>
      </c>
      <c r="AP111" s="50">
        <f t="shared" si="396"/>
        <v>-0.11627906976744184</v>
      </c>
      <c r="AQ111" s="50">
        <f t="shared" si="396"/>
        <v>0.77519379844961245</v>
      </c>
      <c r="AR111" s="50">
        <f t="shared" si="396"/>
        <v>0.44285714285714284</v>
      </c>
      <c r="AS111" s="550">
        <f t="shared" si="396"/>
        <v>0.24019607843137258</v>
      </c>
      <c r="AT111" s="50">
        <f t="shared" si="396"/>
        <v>0.61403508771929816</v>
      </c>
      <c r="AU111" s="50">
        <f t="shared" si="396"/>
        <v>5.6768558951965087E-2</v>
      </c>
      <c r="AV111" s="50">
        <f t="shared" si="396"/>
        <v>0.15346534653465338</v>
      </c>
      <c r="AW111" s="550">
        <f t="shared" si="396"/>
        <v>3.1620553359683834E-2</v>
      </c>
      <c r="AX111" s="50">
        <f t="shared" si="396"/>
        <v>0.29891304347826098</v>
      </c>
      <c r="AY111" s="50">
        <f t="shared" si="396"/>
        <v>7.8512396694214948E-2</v>
      </c>
      <c r="AZ111" s="50">
        <f t="shared" si="396"/>
        <v>-0.18884120171673824</v>
      </c>
      <c r="BA111" s="550">
        <f t="shared" si="396"/>
        <v>0.21966794380587484</v>
      </c>
      <c r="BB111" s="50">
        <f t="shared" si="396"/>
        <v>0.41004184100418417</v>
      </c>
      <c r="BC111" s="50">
        <f t="shared" si="396"/>
        <v>0.26436781609195403</v>
      </c>
      <c r="BD111" s="50">
        <f t="shared" si="396"/>
        <v>3.7037037037036979E-2</v>
      </c>
      <c r="BE111" s="550">
        <f t="shared" si="396"/>
        <v>0.18952879581151838</v>
      </c>
      <c r="BF111" s="50">
        <f t="shared" si="396"/>
        <v>-0.21068249258160232</v>
      </c>
      <c r="BG111" s="50">
        <f t="shared" si="396"/>
        <v>0.21515151515151509</v>
      </c>
      <c r="BH111" s="50">
        <f t="shared" si="396"/>
        <v>0.79081632653061229</v>
      </c>
      <c r="BI111" s="550">
        <f t="shared" si="396"/>
        <v>6.1619718309859906E-3</v>
      </c>
      <c r="BJ111" s="50">
        <f t="shared" si="396"/>
        <v>4.1353383458646586E-2</v>
      </c>
      <c r="BK111" s="50">
        <f t="shared" si="396"/>
        <v>-0.15461346633416462</v>
      </c>
      <c r="BL111" s="50">
        <f t="shared" si="396"/>
        <v>-0.21937321937321941</v>
      </c>
      <c r="BM111" s="550">
        <f t="shared" si="396"/>
        <v>-1.6622922134733153E-2</v>
      </c>
      <c r="BN111" s="50">
        <f t="shared" si="396"/>
        <v>0.25631768953068601</v>
      </c>
      <c r="BO111" s="50">
        <f t="shared" si="396"/>
        <v>-0.17404129793510326</v>
      </c>
      <c r="BP111" s="50">
        <f t="shared" si="396"/>
        <v>0.37226277372262784</v>
      </c>
      <c r="BQ111" s="550">
        <f t="shared" si="396"/>
        <v>0.14145907473309616</v>
      </c>
      <c r="BR111" s="50">
        <f t="shared" ref="BR111:BY111" si="397">(BR17/BN17)-1</f>
        <v>-0.10057471264367812</v>
      </c>
      <c r="BS111" s="50">
        <f t="shared" si="397"/>
        <v>0.46785714285714275</v>
      </c>
      <c r="BT111" s="50">
        <f t="shared" si="397"/>
        <v>2.3936170212766061E-2</v>
      </c>
      <c r="BU111" s="550">
        <f t="shared" si="397"/>
        <v>-4.364770070148094E-2</v>
      </c>
      <c r="BV111" s="50">
        <f t="shared" si="397"/>
        <v>-9.2651757188498385E-2</v>
      </c>
      <c r="BW111" s="50">
        <f t="shared" si="397"/>
        <v>-0.2968369829683698</v>
      </c>
      <c r="BX111" s="50">
        <f t="shared" si="397"/>
        <v>-0.1480519480519481</v>
      </c>
      <c r="BY111" s="550">
        <f t="shared" si="397"/>
        <v>0.10594947025264867</v>
      </c>
      <c r="BZ111" s="50">
        <f>(BZ17/BN17)-1</f>
        <v>0.22988505747126431</v>
      </c>
      <c r="CA111" s="50">
        <f>(CA17/BO17)-1</f>
        <v>0.39642857142857135</v>
      </c>
      <c r="CB111" s="50">
        <f>(CB17/BP17)-1</f>
        <v>0.14627659574468077</v>
      </c>
      <c r="CC111" s="550">
        <f>(CC17/BQ17)-1</f>
        <v>-1.247077162899457E-2</v>
      </c>
      <c r="CD111" s="50">
        <f>(CD17/BZ17)-1</f>
        <v>8.4112149532710179E-2</v>
      </c>
      <c r="CE111" s="50">
        <f>(CE17/CA17)-1</f>
        <v>-0.33503836317135549</v>
      </c>
      <c r="CF111" s="50">
        <f>(CF17/CB17)-1</f>
        <v>-0.11600928074245942</v>
      </c>
      <c r="CG111" s="550">
        <f>(CG17/CC17)-1</f>
        <v>-5.761641673243878E-2</v>
      </c>
      <c r="CH111" s="50">
        <f>(CH17/BV17)-1</f>
        <v>0.36971830985915499</v>
      </c>
      <c r="CI111" s="50">
        <f>(CI17/BW17)-1</f>
        <v>-0.5709342560553633</v>
      </c>
      <c r="CJ111" s="50">
        <f>(CJ17/BX17)-1</f>
        <v>-0.85365853658536583</v>
      </c>
      <c r="CK111" s="550">
        <f>(CK17/BY17)-1</f>
        <v>-0.3190862196020634</v>
      </c>
      <c r="CL111" s="50">
        <f>(CL17/CD17)-1</f>
        <v>-0.12715517241379315</v>
      </c>
      <c r="CM111" s="50">
        <f>(CM17/CE17)-1</f>
        <v>-0.30384615384615388</v>
      </c>
      <c r="CN111" s="50">
        <f>(CN17/CF17)-1</f>
        <v>-0.90551181102362199</v>
      </c>
      <c r="CO111" s="550">
        <f>(CO17/CG17)-1</f>
        <v>-0.28559463986599665</v>
      </c>
      <c r="CP111" s="1157">
        <f t="shared" ref="CP111:DE111" si="398">(CP17/CL17)-1</f>
        <v>-0.49629629629629635</v>
      </c>
      <c r="CQ111" s="219">
        <f t="shared" si="398"/>
        <v>7.7348066298342566E-2</v>
      </c>
      <c r="CR111" s="219">
        <f t="shared" si="398"/>
        <v>2.75</v>
      </c>
      <c r="CS111" s="550">
        <f t="shared" si="398"/>
        <v>-0.26260257913247365</v>
      </c>
      <c r="CT111" s="1157">
        <f t="shared" si="398"/>
        <v>8.3333333333333259E-2</v>
      </c>
      <c r="CU111" s="197">
        <f t="shared" si="398"/>
        <v>0.24102564102564106</v>
      </c>
      <c r="CV111" s="197">
        <f t="shared" si="398"/>
        <v>0.60000000000000009</v>
      </c>
      <c r="CW111" s="572">
        <f t="shared" si="398"/>
        <v>0.30047694753577114</v>
      </c>
      <c r="CX111" s="197">
        <f t="shared" si="398"/>
        <v>-5.8823529411764719E-2</v>
      </c>
      <c r="CY111" s="197">
        <f t="shared" si="398"/>
        <v>0.14876033057851235</v>
      </c>
      <c r="CZ111" s="197">
        <f t="shared" si="398"/>
        <v>0.10185185185185186</v>
      </c>
      <c r="DA111" s="572">
        <f t="shared" si="398"/>
        <v>-4.5232273838630821E-2</v>
      </c>
      <c r="DB111" s="197">
        <f t="shared" si="398"/>
        <v>0.15384615384615374</v>
      </c>
      <c r="DC111" s="197">
        <f t="shared" si="398"/>
        <v>4.3165467625899234E-2</v>
      </c>
      <c r="DD111" s="197">
        <f t="shared" si="398"/>
        <v>0.31512605042016806</v>
      </c>
      <c r="DE111" s="572">
        <f t="shared" si="398"/>
        <v>0.13956466069142115</v>
      </c>
      <c r="DF111" s="197">
        <f t="shared" ref="DF111:DM111" si="399">(DF17/DB17)-1</f>
        <v>0.25</v>
      </c>
      <c r="DG111" s="197">
        <f t="shared" si="399"/>
        <v>0.13793103448275867</v>
      </c>
      <c r="DH111" s="197">
        <f t="shared" si="399"/>
        <v>0.11182108626198084</v>
      </c>
      <c r="DI111" s="572">
        <f t="shared" si="399"/>
        <v>0.10337078651685383</v>
      </c>
      <c r="DJ111" s="1713">
        <f t="shared" si="399"/>
        <v>-4.2453689806836059E-2</v>
      </c>
      <c r="DK111" s="197">
        <f t="shared" si="399"/>
        <v>-2.7779702515496107E-2</v>
      </c>
      <c r="DL111" s="197">
        <f t="shared" si="399"/>
        <v>2.5425764849134724E-2</v>
      </c>
      <c r="DM111" s="572">
        <f t="shared" si="399"/>
        <v>-1.7039056688080811E-2</v>
      </c>
      <c r="DN111" s="1157"/>
      <c r="DO111" s="469"/>
      <c r="DP111" s="19"/>
      <c r="DQ111" s="50">
        <f t="shared" ref="DQ111:EP111" si="400">(DQ17/DP17)-1</f>
        <v>0.82093414812957866</v>
      </c>
      <c r="DR111" s="50">
        <f t="shared" si="400"/>
        <v>-0.40468515497552859</v>
      </c>
      <c r="DS111" s="50">
        <f t="shared" si="400"/>
        <v>-4.3197562258866729E-2</v>
      </c>
      <c r="DT111" s="50">
        <f t="shared" si="400"/>
        <v>0.50611174118753466</v>
      </c>
      <c r="DU111" s="50">
        <f t="shared" si="400"/>
        <v>-0.16513272990036443</v>
      </c>
      <c r="DV111" s="50">
        <f t="shared" si="400"/>
        <v>0.71064139941692406</v>
      </c>
      <c r="DW111" s="50">
        <f t="shared" si="400"/>
        <v>0.91244141457179806</v>
      </c>
      <c r="DX111" s="50">
        <f t="shared" si="400"/>
        <v>1.1493260554750968</v>
      </c>
      <c r="DY111" s="50">
        <f t="shared" si="400"/>
        <v>0.5799968903055277</v>
      </c>
      <c r="DZ111" s="50">
        <f t="shared" si="400"/>
        <v>5.0434226388194059E-3</v>
      </c>
      <c r="EA111" s="50">
        <f t="shared" si="400"/>
        <v>-0.56586376839975749</v>
      </c>
      <c r="EB111" s="50">
        <f t="shared" si="400"/>
        <v>2.5115964364921548</v>
      </c>
      <c r="EC111" s="50">
        <f t="shared" si="400"/>
        <v>0.87992806602512208</v>
      </c>
      <c r="ED111" s="50">
        <f t="shared" si="400"/>
        <v>0.53529190700428297</v>
      </c>
      <c r="EE111" s="50">
        <f t="shared" si="400"/>
        <v>0.12113288790729393</v>
      </c>
      <c r="EF111" s="50">
        <f t="shared" si="400"/>
        <v>0.54983368647046604</v>
      </c>
      <c r="EG111" s="50">
        <f t="shared" si="400"/>
        <v>7.7908217716115225E-2</v>
      </c>
      <c r="EH111" s="50">
        <f t="shared" si="400"/>
        <v>0.29108910891089113</v>
      </c>
      <c r="EI111" s="50">
        <f t="shared" si="400"/>
        <v>0.10582822085889565</v>
      </c>
      <c r="EJ111" s="50">
        <f t="shared" si="400"/>
        <v>0.1400832177531206</v>
      </c>
      <c r="EK111" s="50">
        <f t="shared" si="400"/>
        <v>0.21593673965936744</v>
      </c>
      <c r="EL111" s="50">
        <f t="shared" si="400"/>
        <v>8.1040520260130089E-2</v>
      </c>
      <c r="EM111" s="50">
        <f t="shared" si="400"/>
        <v>-6.8024062933826901E-2</v>
      </c>
      <c r="EN111" s="50">
        <f t="shared" si="400"/>
        <v>0.1355511420059583</v>
      </c>
      <c r="EO111" s="50">
        <f t="shared" si="400"/>
        <v>2.1425448185395712E-2</v>
      </c>
      <c r="EP111" s="50">
        <f t="shared" si="400"/>
        <v>-3.339041095890416E-2</v>
      </c>
      <c r="EQ111" s="50">
        <f>(EQ17/EN17)-1</f>
        <v>0.1005684302579799</v>
      </c>
      <c r="ER111" s="1157">
        <f>(ER17/EQ17)-1</f>
        <v>-8.6611044894715938E-2</v>
      </c>
      <c r="ES111" s="219">
        <f>(ES17/EP17)-1</f>
        <v>-0.34233835252435785</v>
      </c>
      <c r="ET111" s="219">
        <f>(ET17/ER17)-1</f>
        <v>-0.3584167029143106</v>
      </c>
      <c r="EU111" s="219">
        <f t="shared" ref="EU111:FH111" si="401">(EU17/ET17)-1</f>
        <v>-0.21152542372881356</v>
      </c>
      <c r="EV111" s="219">
        <f t="shared" si="401"/>
        <v>0.2871883061049012</v>
      </c>
      <c r="EW111" s="219">
        <f t="shared" si="401"/>
        <v>5.3440213760855837E-3</v>
      </c>
      <c r="EX111" s="197">
        <f t="shared" si="401"/>
        <v>0.15149501661129561</v>
      </c>
      <c r="EY111" s="197">
        <f t="shared" si="401"/>
        <v>0.13098672821696478</v>
      </c>
      <c r="EZ111" s="1713">
        <f t="shared" si="401"/>
        <v>-1.5197753200184239E-2</v>
      </c>
      <c r="FA111" s="50">
        <f>(FA17/EZ17)-1</f>
        <v>2.0763209954911988E-2</v>
      </c>
      <c r="FB111" s="50">
        <f t="shared" si="401"/>
        <v>2.6868674903500311E-2</v>
      </c>
      <c r="FC111" s="50">
        <f t="shared" si="401"/>
        <v>6.3512423731593159E-5</v>
      </c>
      <c r="FD111" s="50">
        <f t="shared" si="401"/>
        <v>4.0840460561046843E-3</v>
      </c>
      <c r="FE111" s="50">
        <f t="shared" si="401"/>
        <v>4.3118768027960996E-3</v>
      </c>
      <c r="FF111" s="50">
        <f t="shared" si="401"/>
        <v>4.5456081880792532E-3</v>
      </c>
      <c r="FG111" s="50">
        <f t="shared" si="401"/>
        <v>4.7851244011534178E-3</v>
      </c>
      <c r="FH111" s="50">
        <f t="shared" si="401"/>
        <v>5.0302887424953369E-3</v>
      </c>
      <c r="FI111" s="416"/>
      <c r="FJ111"/>
      <c r="FK111"/>
      <c r="FL111"/>
      <c r="FM111"/>
      <c r="FN111"/>
      <c r="FO111"/>
      <c r="FS111" s="70"/>
      <c r="FT111" s="70"/>
      <c r="FU111"/>
      <c r="FV111" s="197"/>
      <c r="FW111" s="197"/>
      <c r="FX111" s="197"/>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row>
    <row r="112" spans="1:260" s="4" customFormat="1" ht="12.75" customHeight="1" x14ac:dyDescent="0.2">
      <c r="A112" s="1048" t="s">
        <v>171</v>
      </c>
      <c r="B112" s="3"/>
      <c r="C112" s="3"/>
      <c r="D112" s="3"/>
      <c r="E112" s="470"/>
      <c r="F112" s="15">
        <f t="shared" ref="F112:AK112" si="402">(F20/B20)-1</f>
        <v>1.4342331288343586</v>
      </c>
      <c r="G112" s="15">
        <f t="shared" si="402"/>
        <v>0.45426235889450695</v>
      </c>
      <c r="H112" s="15">
        <f t="shared" si="402"/>
        <v>0.82306387789712288</v>
      </c>
      <c r="I112" s="518">
        <f t="shared" si="402"/>
        <v>0.40967989429265472</v>
      </c>
      <c r="J112" s="15">
        <f t="shared" si="402"/>
        <v>0.46675739704623109</v>
      </c>
      <c r="K112" s="15">
        <f t="shared" si="402"/>
        <v>0.2393315998776433</v>
      </c>
      <c r="L112" s="15">
        <f t="shared" si="402"/>
        <v>0.17699224806201519</v>
      </c>
      <c r="M112" s="518">
        <f t="shared" si="402"/>
        <v>-0.10845868924332913</v>
      </c>
      <c r="N112" s="15">
        <f t="shared" si="402"/>
        <v>3.0757070689703125E-2</v>
      </c>
      <c r="O112" s="15">
        <f t="shared" si="402"/>
        <v>0.12659282342414824</v>
      </c>
      <c r="P112" s="15">
        <f t="shared" si="402"/>
        <v>-0.75831181832551708</v>
      </c>
      <c r="Q112" s="518">
        <f t="shared" si="402"/>
        <v>-0.32541418663411192</v>
      </c>
      <c r="R112" s="15">
        <f t="shared" si="402"/>
        <v>-0.25615123024604447</v>
      </c>
      <c r="S112" s="15">
        <f t="shared" si="402"/>
        <v>4.540724105821603E-2</v>
      </c>
      <c r="T112" s="15">
        <f t="shared" si="402"/>
        <v>4.10035607877332</v>
      </c>
      <c r="U112" s="518">
        <f t="shared" si="402"/>
        <v>2.2114074558206327</v>
      </c>
      <c r="V112" s="15">
        <f t="shared" si="402"/>
        <v>0.81022813858634946</v>
      </c>
      <c r="W112" s="15">
        <f t="shared" si="402"/>
        <v>1.2832180655978283</v>
      </c>
      <c r="X112" s="15">
        <f t="shared" si="402"/>
        <v>0.57156697916963917</v>
      </c>
      <c r="Y112" s="518">
        <f t="shared" si="402"/>
        <v>0.50105281284980041</v>
      </c>
      <c r="Z112" s="15">
        <f t="shared" si="402"/>
        <v>1.3605773992274863</v>
      </c>
      <c r="AA112" s="15">
        <f t="shared" si="402"/>
        <v>0.28596179220928186</v>
      </c>
      <c r="AB112" s="15">
        <f t="shared" si="402"/>
        <v>0.33825315950753398</v>
      </c>
      <c r="AC112" s="518">
        <f t="shared" si="402"/>
        <v>0.53194030162073891</v>
      </c>
      <c r="AD112" s="15">
        <f t="shared" si="402"/>
        <v>0.47387742686623424</v>
      </c>
      <c r="AE112" s="15">
        <f t="shared" si="402"/>
        <v>0.35932118703046023</v>
      </c>
      <c r="AF112" s="15">
        <f t="shared" si="402"/>
        <v>-0.13277375823104132</v>
      </c>
      <c r="AG112" s="518">
        <f t="shared" si="402"/>
        <v>0.18697897341807113</v>
      </c>
      <c r="AH112" s="15">
        <f t="shared" si="402"/>
        <v>0.11729458147710736</v>
      </c>
      <c r="AI112" s="15">
        <f t="shared" si="402"/>
        <v>0.41122415490646613</v>
      </c>
      <c r="AJ112" s="15">
        <f t="shared" si="402"/>
        <v>0.60921156445048941</v>
      </c>
      <c r="AK112" s="518">
        <f t="shared" si="402"/>
        <v>0.85833094350444483</v>
      </c>
      <c r="AL112" s="15">
        <f t="shared" ref="AL112:BQ112" si="403">(AL20/AH20)-1</f>
        <v>0.36305732484076425</v>
      </c>
      <c r="AM112" s="15">
        <f t="shared" si="403"/>
        <v>0</v>
      </c>
      <c r="AN112" s="15">
        <f t="shared" si="403"/>
        <v>0.13592233009708732</v>
      </c>
      <c r="AO112" s="518">
        <f t="shared" si="403"/>
        <v>1.388888888888884E-2</v>
      </c>
      <c r="AP112" s="15">
        <f t="shared" si="403"/>
        <v>-9.3457943925233655E-3</v>
      </c>
      <c r="AQ112" s="15">
        <f t="shared" si="403"/>
        <v>0.49302325581395356</v>
      </c>
      <c r="AR112" s="15">
        <f t="shared" si="403"/>
        <v>0.26068376068376065</v>
      </c>
      <c r="AS112" s="518">
        <f t="shared" si="403"/>
        <v>0.31050228310502281</v>
      </c>
      <c r="AT112" s="15">
        <f t="shared" si="403"/>
        <v>0.35377358490566047</v>
      </c>
      <c r="AU112" s="15">
        <f t="shared" si="403"/>
        <v>7.4766355140186924E-2</v>
      </c>
      <c r="AV112" s="15">
        <f t="shared" si="403"/>
        <v>0.14915254237288145</v>
      </c>
      <c r="AW112" s="518">
        <f t="shared" si="403"/>
        <v>8.0139372822299659E-2</v>
      </c>
      <c r="AX112" s="15">
        <f t="shared" si="403"/>
        <v>0.21254355400696867</v>
      </c>
      <c r="AY112" s="15">
        <f t="shared" si="403"/>
        <v>8.405797101449286E-2</v>
      </c>
      <c r="AZ112" s="15">
        <f t="shared" si="403"/>
        <v>-0.11504424778761058</v>
      </c>
      <c r="BA112" s="518">
        <f t="shared" si="403"/>
        <v>0.1591397849462366</v>
      </c>
      <c r="BB112" s="15">
        <f t="shared" si="403"/>
        <v>0.31609195402298851</v>
      </c>
      <c r="BC112" s="15">
        <f t="shared" si="403"/>
        <v>0.21657754010695185</v>
      </c>
      <c r="BD112" s="15">
        <f t="shared" si="403"/>
        <v>6.3333333333333242E-2</v>
      </c>
      <c r="BE112" s="518">
        <f t="shared" si="403"/>
        <v>0.18367346938775508</v>
      </c>
      <c r="BF112" s="15">
        <f t="shared" si="403"/>
        <v>-0.12445414847161573</v>
      </c>
      <c r="BG112" s="15">
        <f t="shared" si="403"/>
        <v>0.19780219780219777</v>
      </c>
      <c r="BH112" s="15">
        <f t="shared" si="403"/>
        <v>0.53918495297805635</v>
      </c>
      <c r="BI112" s="518">
        <f t="shared" si="403"/>
        <v>2.1943573667711602E-2</v>
      </c>
      <c r="BJ112" s="15">
        <f t="shared" si="403"/>
        <v>7.2319201995012516E-2</v>
      </c>
      <c r="BK112" s="15">
        <f t="shared" si="403"/>
        <v>-8.4403669724770647E-2</v>
      </c>
      <c r="BL112" s="15">
        <f t="shared" si="403"/>
        <v>6.5173116089612959E-2</v>
      </c>
      <c r="BM112" s="518">
        <f t="shared" si="403"/>
        <v>3.9110429447852813E-2</v>
      </c>
      <c r="BN112" s="15">
        <f t="shared" si="403"/>
        <v>0.31395348837209291</v>
      </c>
      <c r="BO112" s="15">
        <f t="shared" si="403"/>
        <v>2.6052104208416749E-2</v>
      </c>
      <c r="BP112" s="15">
        <f t="shared" si="403"/>
        <v>0.16061185468451233</v>
      </c>
      <c r="BQ112" s="518">
        <f t="shared" si="403"/>
        <v>0.12841328413284137</v>
      </c>
      <c r="BR112" s="15">
        <f t="shared" ref="BR112:BY112" si="404">(BR20/BN20)-1</f>
        <v>-1.5929203539822967E-2</v>
      </c>
      <c r="BS112" s="15">
        <f t="shared" si="404"/>
        <v>0.267578125</v>
      </c>
      <c r="BT112" s="15">
        <f t="shared" si="404"/>
        <v>4.6128500823723328E-2</v>
      </c>
      <c r="BU112" s="518">
        <f t="shared" si="404"/>
        <v>-3.5971223021582732E-2</v>
      </c>
      <c r="BV112" s="15">
        <f t="shared" si="404"/>
        <v>-6.4748201438848962E-2</v>
      </c>
      <c r="BW112" s="15">
        <f t="shared" si="404"/>
        <v>-0.18644067796610164</v>
      </c>
      <c r="BX112" s="15">
        <f t="shared" si="404"/>
        <v>-0.11968503937007879</v>
      </c>
      <c r="BY112" s="518">
        <f t="shared" si="404"/>
        <v>8.2767978290366306E-2</v>
      </c>
      <c r="BZ112" s="15">
        <f>(BZ20/BN20)-1</f>
        <v>0.18761061946902657</v>
      </c>
      <c r="CA112" s="15">
        <f>(CA20/BO20)-1</f>
        <v>0.228515625</v>
      </c>
      <c r="CB112" s="15">
        <f>(CB20/BP20)-1</f>
        <v>0.12191103789126845</v>
      </c>
      <c r="CC112" s="518">
        <f>(CC20/BQ20)-1</f>
        <v>-9.8103335513407552E-3</v>
      </c>
      <c r="CD112" s="15">
        <f>(CD20/BZ20)-1</f>
        <v>4.3219076005961199E-2</v>
      </c>
      <c r="CE112" s="15">
        <f>(CE20/CA20)-1</f>
        <v>-0.2066772655007949</v>
      </c>
      <c r="CF112" s="15">
        <f>(CF20/CB20)-1</f>
        <v>-0.10132158590308371</v>
      </c>
      <c r="CG112" s="518">
        <f>(CG20/CC20)-1</f>
        <v>-5.3500660501981545E-2</v>
      </c>
      <c r="CH112" s="15">
        <f>(CH20/BV20)-1</f>
        <v>0.20384615384615379</v>
      </c>
      <c r="CI112" s="15">
        <f>(CI20/BW20)-1</f>
        <v>-0.33333333333333337</v>
      </c>
      <c r="CJ112" s="15">
        <f>(CJ20/BX20)-1</f>
        <v>-0.51699463327370299</v>
      </c>
      <c r="CK112" s="518">
        <f>(CK20/BY20)-1</f>
        <v>-0.27694235588972427</v>
      </c>
      <c r="CL112" s="15">
        <f>(CL20/CD20)-1</f>
        <v>-8.2857142857142851E-2</v>
      </c>
      <c r="CM112" s="15">
        <f>(CM20/CE20)-1</f>
        <v>-0.18036072144288573</v>
      </c>
      <c r="CN112" s="15">
        <f>(CN20/CF20)-1</f>
        <v>-0.57843137254901955</v>
      </c>
      <c r="CO112" s="518">
        <f>(CO20/CG20)-1</f>
        <v>-0.24424284717376132</v>
      </c>
      <c r="CP112" s="674">
        <f t="shared" ref="CP112:DE112" si="405">(CP20/CL20)-1</f>
        <v>-0.35514018691588789</v>
      </c>
      <c r="CQ112" s="161">
        <f t="shared" si="405"/>
        <v>-9.0464547677261642E-2</v>
      </c>
      <c r="CR112" s="161">
        <f t="shared" si="405"/>
        <v>0.15503875968992253</v>
      </c>
      <c r="CS112" s="518">
        <f t="shared" si="405"/>
        <v>-0.26592797783933519</v>
      </c>
      <c r="CT112" s="674">
        <f t="shared" si="405"/>
        <v>-7.7294685990338174E-2</v>
      </c>
      <c r="CU112" s="70">
        <f t="shared" si="405"/>
        <v>7.5268817204301008E-2</v>
      </c>
      <c r="CV112" s="70">
        <f t="shared" si="405"/>
        <v>0.27852348993288589</v>
      </c>
      <c r="CW112" s="487">
        <f t="shared" si="405"/>
        <v>0.24528301886792447</v>
      </c>
      <c r="CX112" s="70">
        <f t="shared" si="405"/>
        <v>-2.8795811518324554E-2</v>
      </c>
      <c r="CY112" s="70">
        <f t="shared" si="405"/>
        <v>0.10250000000000004</v>
      </c>
      <c r="CZ112" s="70">
        <f t="shared" si="405"/>
        <v>6.5616797900262425E-2</v>
      </c>
      <c r="DA112" s="487">
        <f t="shared" si="405"/>
        <v>-4.6464646464646431E-2</v>
      </c>
      <c r="DB112" s="70">
        <f t="shared" si="405"/>
        <v>8.3557951482479798E-2</v>
      </c>
      <c r="DC112" s="70">
        <f t="shared" si="405"/>
        <v>3.1746031746031855E-2</v>
      </c>
      <c r="DD112" s="70">
        <f t="shared" si="405"/>
        <v>0.17487684729064035</v>
      </c>
      <c r="DE112" s="487">
        <f t="shared" si="405"/>
        <v>0.11546610169491522</v>
      </c>
      <c r="DF112" s="70">
        <f t="shared" ref="DF112:DM112" si="406">(DF20/DB20)-1</f>
        <v>0.1467661691542288</v>
      </c>
      <c r="DG112" s="70">
        <f t="shared" si="406"/>
        <v>9.4505494505494614E-2</v>
      </c>
      <c r="DH112" s="70">
        <f t="shared" si="406"/>
        <v>8.8050314465408785E-2</v>
      </c>
      <c r="DI112" s="487">
        <f t="shared" si="406"/>
        <v>0.10636277302943964</v>
      </c>
      <c r="DJ112" s="1673">
        <f t="shared" si="406"/>
        <v>-4.4291662416230726E-2</v>
      </c>
      <c r="DK112" s="70">
        <f t="shared" si="406"/>
        <v>-3.8075205548894875E-2</v>
      </c>
      <c r="DL112" s="70">
        <f t="shared" si="406"/>
        <v>6.266124978404175E-3</v>
      </c>
      <c r="DM112" s="487">
        <f t="shared" si="406"/>
        <v>5.8441477511158357E-2</v>
      </c>
      <c r="DN112" s="674"/>
      <c r="DO112" s="470"/>
      <c r="DQ112" s="15">
        <f t="shared" ref="DQ112:EP112" si="407">(DQ20/DP20)-1</f>
        <v>0.90033381821521119</v>
      </c>
      <c r="DR112" s="15">
        <f t="shared" si="407"/>
        <v>-0.1703476723629922</v>
      </c>
      <c r="DS112" s="15">
        <f t="shared" si="407"/>
        <v>0.112996477072554</v>
      </c>
      <c r="DT112" s="15">
        <f t="shared" si="407"/>
        <v>0.1884416819292849</v>
      </c>
      <c r="DU112" s="15">
        <f t="shared" si="407"/>
        <v>7.839768028776728E-3</v>
      </c>
      <c r="DV112" s="15">
        <f t="shared" si="407"/>
        <v>0.53385902285684605</v>
      </c>
      <c r="DW112" s="15">
        <f t="shared" si="407"/>
        <v>0.76247872451283771</v>
      </c>
      <c r="DX112" s="15">
        <f t="shared" si="407"/>
        <v>0.96275128104059537</v>
      </c>
      <c r="DY112" s="15">
        <f t="shared" si="407"/>
        <v>0.61171804398031959</v>
      </c>
      <c r="DZ112" s="15">
        <f t="shared" si="407"/>
        <v>0.10533234482372089</v>
      </c>
      <c r="EA112" s="15">
        <f t="shared" si="407"/>
        <v>-0.32334937830434762</v>
      </c>
      <c r="EB112" s="15">
        <f t="shared" si="407"/>
        <v>1.1526197417742683</v>
      </c>
      <c r="EC112" s="15">
        <f t="shared" si="407"/>
        <v>0.6624319910843568</v>
      </c>
      <c r="ED112" s="15">
        <f t="shared" si="407"/>
        <v>0.51021044717405428</v>
      </c>
      <c r="EE112" s="15">
        <f t="shared" si="407"/>
        <v>0.18616060419235425</v>
      </c>
      <c r="EF112" s="15">
        <f t="shared" si="407"/>
        <v>0.5930746731013381</v>
      </c>
      <c r="EG112" s="15">
        <f t="shared" si="407"/>
        <v>7.6672104404567731E-2</v>
      </c>
      <c r="EH112" s="15">
        <f t="shared" si="407"/>
        <v>0.27954545454545454</v>
      </c>
      <c r="EI112" s="15">
        <f t="shared" si="407"/>
        <v>0.1255180580224986</v>
      </c>
      <c r="EJ112" s="15">
        <f t="shared" si="407"/>
        <v>0.10468174644923733</v>
      </c>
      <c r="EK112" s="15">
        <f t="shared" si="407"/>
        <v>0.19428571428571439</v>
      </c>
      <c r="EL112" s="15">
        <f t="shared" si="407"/>
        <v>9.2902711323763931E-2</v>
      </c>
      <c r="EM112" s="15">
        <f t="shared" si="407"/>
        <v>2.4078803356439193E-2</v>
      </c>
      <c r="EN112" s="15">
        <f t="shared" si="407"/>
        <v>0.14463840399002503</v>
      </c>
      <c r="EO112" s="15">
        <f t="shared" si="407"/>
        <v>3.1434796140678456E-2</v>
      </c>
      <c r="EP112" s="15">
        <f t="shared" si="407"/>
        <v>-3.3494266747133405E-2</v>
      </c>
      <c r="EQ112" s="15">
        <f>(EQ20/EN20)-1</f>
        <v>8.776844070961709E-2</v>
      </c>
      <c r="ER112" s="674">
        <f>(ER20/EQ20)-1</f>
        <v>-7.1816881258941367E-2</v>
      </c>
      <c r="ES112" s="161">
        <f>(ES20/EP20)-1</f>
        <v>-0.25007805182641274</v>
      </c>
      <c r="ET112" s="161">
        <f>(ET20/ER20)-1</f>
        <v>-0.26263871763255242</v>
      </c>
      <c r="EU112" s="161">
        <f t="shared" ref="EU112:FH112" si="408">(EU20/ET20)-1</f>
        <v>0.25543478260869557</v>
      </c>
      <c r="EV112" s="161">
        <f t="shared" si="408"/>
        <v>-0.28305028305028301</v>
      </c>
      <c r="EW112" s="161">
        <f t="shared" si="408"/>
        <v>4.1802136553645841E-3</v>
      </c>
      <c r="EX112" s="70">
        <f t="shared" si="408"/>
        <v>0.10407030527289551</v>
      </c>
      <c r="EY112" s="70">
        <f t="shared" si="408"/>
        <v>0.10724759111855886</v>
      </c>
      <c r="EZ112" s="1673">
        <f t="shared" si="408"/>
        <v>1.2091006972023921E-2</v>
      </c>
      <c r="FA112" s="15">
        <f t="shared" si="408"/>
        <v>1.7788617548174734E-2</v>
      </c>
      <c r="FB112" s="15">
        <f t="shared" si="408"/>
        <v>2.2189443348879401E-2</v>
      </c>
      <c r="FC112" s="15">
        <f t="shared" si="408"/>
        <v>2.4240486889697266E-3</v>
      </c>
      <c r="FD112" s="15">
        <f t="shared" si="408"/>
        <v>6.4486924525430922E-3</v>
      </c>
      <c r="FE112" s="15">
        <f t="shared" si="408"/>
        <v>6.7205289112768352E-3</v>
      </c>
      <c r="FF112" s="15">
        <f t="shared" si="408"/>
        <v>6.999825627980405E-3</v>
      </c>
      <c r="FG112" s="15">
        <f t="shared" si="408"/>
        <v>7.28653693988357E-3</v>
      </c>
      <c r="FH112" s="15">
        <f t="shared" si="408"/>
        <v>7.5805990061106332E-3</v>
      </c>
      <c r="FI112" s="413"/>
      <c r="FJ112"/>
      <c r="FK112"/>
      <c r="FL112"/>
      <c r="FM112"/>
      <c r="FN112"/>
      <c r="FO112"/>
      <c r="FS112" s="70"/>
      <c r="FT112" s="70"/>
      <c r="FU112"/>
      <c r="FV112" s="70"/>
      <c r="FW112" s="70"/>
      <c r="FX112" s="70"/>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row>
    <row r="113" spans="1:260" s="4" customFormat="1" ht="12.75" customHeight="1" x14ac:dyDescent="0.2">
      <c r="A113" s="414" t="s">
        <v>189</v>
      </c>
      <c r="B113" s="3"/>
      <c r="C113" s="3"/>
      <c r="D113" s="3"/>
      <c r="E113" s="470"/>
      <c r="F113" s="15">
        <f t="shared" ref="F113:AK113" si="409">(F25/B25)-1</f>
        <v>1.8629856850715849</v>
      </c>
      <c r="G113" s="15">
        <f t="shared" si="409"/>
        <v>1.5359741309614483E-2</v>
      </c>
      <c r="H113" s="15">
        <f t="shared" si="409"/>
        <v>0.58576193340259963</v>
      </c>
      <c r="I113" s="518">
        <f t="shared" si="409"/>
        <v>0.28930657141237015</v>
      </c>
      <c r="J113" s="15">
        <f t="shared" si="409"/>
        <v>0.10285714285716874</v>
      </c>
      <c r="K113" s="15">
        <f t="shared" si="409"/>
        <v>-0.24546178343948133</v>
      </c>
      <c r="L113" s="15">
        <f t="shared" si="409"/>
        <v>1.3792152265360569E-2</v>
      </c>
      <c r="M113" s="518">
        <f t="shared" si="409"/>
        <v>-0.28839684249873609</v>
      </c>
      <c r="N113" s="15">
        <f t="shared" si="409"/>
        <v>-0.91308290155442495</v>
      </c>
      <c r="O113" s="15">
        <f t="shared" si="409"/>
        <v>-0.3448348633533701</v>
      </c>
      <c r="P113" s="15">
        <f t="shared" si="409"/>
        <v>-1.6119651724372466</v>
      </c>
      <c r="Q113" s="518">
        <f t="shared" si="409"/>
        <v>-0.56799431449495441</v>
      </c>
      <c r="R113" s="15">
        <f t="shared" si="409"/>
        <v>-7.4441132637867273</v>
      </c>
      <c r="S113" s="15">
        <f t="shared" si="409"/>
        <v>0.75487196005791257</v>
      </c>
      <c r="T113" s="15">
        <f t="shared" si="409"/>
        <v>-3.4063802589896066</v>
      </c>
      <c r="U113" s="518">
        <f t="shared" si="409"/>
        <v>6.4360203132824187</v>
      </c>
      <c r="V113" s="15">
        <f t="shared" si="409"/>
        <v>-5.6921831637373455</v>
      </c>
      <c r="W113" s="15">
        <f t="shared" si="409"/>
        <v>5.1882342143906737</v>
      </c>
      <c r="X113" s="15">
        <f t="shared" si="409"/>
        <v>1.0102545152201108</v>
      </c>
      <c r="Y113" s="518">
        <f t="shared" si="409"/>
        <v>0.70176889855045155</v>
      </c>
      <c r="Z113" s="15">
        <f t="shared" si="409"/>
        <v>2.7514909556902545</v>
      </c>
      <c r="AA113" s="15">
        <f t="shared" si="409"/>
        <v>0.39235024545063513</v>
      </c>
      <c r="AB113" s="15">
        <f t="shared" si="409"/>
        <v>0.45954733455882346</v>
      </c>
      <c r="AC113" s="518">
        <f t="shared" si="409"/>
        <v>0.50086761888074016</v>
      </c>
      <c r="AD113" s="15">
        <f t="shared" si="409"/>
        <v>0.53661612843891948</v>
      </c>
      <c r="AE113" s="15">
        <f t="shared" si="409"/>
        <v>0.32451375130482862</v>
      </c>
      <c r="AF113" s="15">
        <f t="shared" si="409"/>
        <v>-0.26980690968915411</v>
      </c>
      <c r="AG113" s="518">
        <f t="shared" si="409"/>
        <v>0.15879262620746859</v>
      </c>
      <c r="AH113" s="15">
        <f t="shared" si="409"/>
        <v>-0.22194291968056812</v>
      </c>
      <c r="AI113" s="15">
        <f t="shared" si="409"/>
        <v>0.10978865763824186</v>
      </c>
      <c r="AJ113" s="15">
        <f t="shared" si="409"/>
        <v>0.4229811454998269</v>
      </c>
      <c r="AK113" s="518">
        <f t="shared" si="409"/>
        <v>0.86870328241793926</v>
      </c>
      <c r="AL113" s="15">
        <f t="shared" ref="AL113:BQ113" si="410">(AL25/AH25)-1</f>
        <v>0.4285714285714286</v>
      </c>
      <c r="AM113" s="15">
        <f t="shared" si="410"/>
        <v>-7.9710144927536253E-2</v>
      </c>
      <c r="AN113" s="15">
        <f t="shared" si="410"/>
        <v>6.0606060606060552E-2</v>
      </c>
      <c r="AO113" s="518">
        <f t="shared" si="410"/>
        <v>7.3043478260869543E-2</v>
      </c>
      <c r="AP113" s="15">
        <f t="shared" si="410"/>
        <v>-0.13846153846153841</v>
      </c>
      <c r="AQ113" s="15">
        <f t="shared" si="410"/>
        <v>0.77952755905511806</v>
      </c>
      <c r="AR113" s="15">
        <f t="shared" si="410"/>
        <v>0.41428571428571437</v>
      </c>
      <c r="AS113" s="518">
        <f t="shared" si="410"/>
        <v>0.2317666126418152</v>
      </c>
      <c r="AT113" s="15">
        <f t="shared" si="410"/>
        <v>0.64285714285714279</v>
      </c>
      <c r="AU113" s="15">
        <f t="shared" si="410"/>
        <v>7.5221238938053103E-2</v>
      </c>
      <c r="AV113" s="15">
        <f t="shared" si="410"/>
        <v>0.20707070707070696</v>
      </c>
      <c r="AW113" s="518">
        <f t="shared" si="410"/>
        <v>2.2368421052631593E-2</v>
      </c>
      <c r="AX113" s="15">
        <f t="shared" si="410"/>
        <v>0.36956521739130443</v>
      </c>
      <c r="AY113" s="15">
        <f t="shared" si="410"/>
        <v>0.14814814814814814</v>
      </c>
      <c r="AZ113" s="15">
        <f t="shared" si="410"/>
        <v>-0.15062761506276146</v>
      </c>
      <c r="BA113" s="518">
        <f t="shared" si="410"/>
        <v>0.27027027027027017</v>
      </c>
      <c r="BB113" s="15">
        <f t="shared" si="410"/>
        <v>0.4285714285714286</v>
      </c>
      <c r="BC113" s="15">
        <f t="shared" si="410"/>
        <v>0.25806451612903225</v>
      </c>
      <c r="BD113" s="15">
        <f t="shared" si="410"/>
        <v>8.3743842364532028E-2</v>
      </c>
      <c r="BE113" s="518">
        <f t="shared" si="410"/>
        <v>0.21479229989868287</v>
      </c>
      <c r="BF113" s="15">
        <f t="shared" si="410"/>
        <v>-0.15833333333333333</v>
      </c>
      <c r="BG113" s="15">
        <f t="shared" si="410"/>
        <v>0.13960113960113962</v>
      </c>
      <c r="BH113" s="15">
        <f t="shared" si="410"/>
        <v>0.63636363636363646</v>
      </c>
      <c r="BI113" s="518">
        <f t="shared" si="410"/>
        <v>-2.8356964136780682E-2</v>
      </c>
      <c r="BJ113" s="15">
        <f t="shared" si="410"/>
        <v>-5.9405940594059459E-2</v>
      </c>
      <c r="BK113" s="15">
        <f t="shared" si="410"/>
        <v>-0.1825</v>
      </c>
      <c r="BL113" s="15">
        <f t="shared" si="410"/>
        <v>-0.34444444444444444</v>
      </c>
      <c r="BM113" s="518">
        <f t="shared" si="410"/>
        <v>-4.9785407725321917E-2</v>
      </c>
      <c r="BN113" s="15">
        <f t="shared" si="410"/>
        <v>0.1719298245614036</v>
      </c>
      <c r="BO113" s="15">
        <f t="shared" si="410"/>
        <v>-0.15596330275229353</v>
      </c>
      <c r="BP113" s="15">
        <f t="shared" si="410"/>
        <v>0.54237288135593231</v>
      </c>
      <c r="BQ113" s="518">
        <f t="shared" si="410"/>
        <v>0.14995483288166223</v>
      </c>
      <c r="BR113" s="15">
        <f t="shared" ref="BR113:BY113" si="411">(BR25/BN25)-1</f>
        <v>-9.5808383233532912E-2</v>
      </c>
      <c r="BS113" s="15">
        <f t="shared" si="411"/>
        <v>0.46014492753623193</v>
      </c>
      <c r="BT113" s="15">
        <f t="shared" si="411"/>
        <v>2.4725274725274637E-2</v>
      </c>
      <c r="BU113" s="518">
        <f t="shared" si="411"/>
        <v>-4.0062843676355042E-2</v>
      </c>
      <c r="BV113" s="15">
        <f t="shared" si="411"/>
        <v>-0.12251655629139069</v>
      </c>
      <c r="BW113" s="15">
        <f t="shared" si="411"/>
        <v>-0.35235732009925558</v>
      </c>
      <c r="BX113" s="15">
        <f t="shared" si="411"/>
        <v>-0.19839142091152817</v>
      </c>
      <c r="BY113" s="518">
        <f t="shared" si="411"/>
        <v>9.328968903436996E-2</v>
      </c>
      <c r="BZ113" s="15">
        <f>(BZ25/BN25)-1</f>
        <v>0.24850299401197606</v>
      </c>
      <c r="CA113" s="15">
        <f>(CA25/BO25)-1</f>
        <v>0.3623188405797102</v>
      </c>
      <c r="CB113" s="15">
        <f>(CB25/BP25)-1</f>
        <v>0.1565934065934067</v>
      </c>
      <c r="CC113" s="518">
        <f>(CC25/BQ25)-1</f>
        <v>-1.256873527101332E-2</v>
      </c>
      <c r="CD113" s="15">
        <f>(CD25/BZ25)-1</f>
        <v>8.6330935251798468E-2</v>
      </c>
      <c r="CE113" s="15">
        <f>(CE25/CA25)-1</f>
        <v>-0.375</v>
      </c>
      <c r="CF113" s="15">
        <f>(CF25/CB25)-1</f>
        <v>-0.18289786223277915</v>
      </c>
      <c r="CG113" s="518">
        <f>(CG25/CC25)-1</f>
        <v>-1.4319809069212375E-2</v>
      </c>
      <c r="CH113" s="15">
        <f>(CH25/BV25)-1</f>
        <v>0.36603773584905652</v>
      </c>
      <c r="CI113" s="15">
        <f>(CI25/BW25)-1</f>
        <v>-0.61685823754789271</v>
      </c>
      <c r="CJ113" s="15">
        <f>(CJ25/BX25)-1</f>
        <v>-0.89966555183946484</v>
      </c>
      <c r="CK113" s="518">
        <f>(CK25/BY25)-1</f>
        <v>-0.31287425149700598</v>
      </c>
      <c r="CL113" s="15">
        <f>(CL25/CD25)-1</f>
        <v>-0.16114790286975722</v>
      </c>
      <c r="CM113" s="15">
        <f>(CM25/CE25)-1</f>
        <v>-0.33191489361702131</v>
      </c>
      <c r="CN113" s="15">
        <f>(CN25/CF25)-1</f>
        <v>-0.94476744186046513</v>
      </c>
      <c r="CO113" s="518">
        <f>(CO25/CG25)-1</f>
        <v>-0.33171912832929784</v>
      </c>
      <c r="CP113" s="674">
        <f t="shared" ref="CP113:DE113" si="412">(CP25/CL25)-1</f>
        <v>-0.52105263157894743</v>
      </c>
      <c r="CQ113" s="161">
        <f t="shared" si="412"/>
        <v>0.10828025477707004</v>
      </c>
      <c r="CR113" s="161">
        <f t="shared" si="412"/>
        <v>5.2631578947368425</v>
      </c>
      <c r="CS113" s="518">
        <f t="shared" si="412"/>
        <v>-0.25483091787439616</v>
      </c>
      <c r="CT113" s="674">
        <f t="shared" si="412"/>
        <v>0.12087912087912089</v>
      </c>
      <c r="CU113" s="70">
        <f t="shared" si="412"/>
        <v>0.31609195402298851</v>
      </c>
      <c r="CV113" s="70">
        <f t="shared" si="412"/>
        <v>0.60504201680672276</v>
      </c>
      <c r="CW113" s="487">
        <f t="shared" si="412"/>
        <v>0.30632090761750397</v>
      </c>
      <c r="CX113" s="70">
        <f t="shared" si="412"/>
        <v>-4.4117647058823484E-2</v>
      </c>
      <c r="CY113" s="70">
        <f t="shared" si="412"/>
        <v>0.14410480349344978</v>
      </c>
      <c r="CZ113" s="70">
        <f t="shared" si="412"/>
        <v>0.15706806282722519</v>
      </c>
      <c r="DA113" s="487">
        <f t="shared" si="412"/>
        <v>-4.8387096774193505E-2</v>
      </c>
      <c r="DB113" s="70">
        <f t="shared" si="412"/>
        <v>0.15897435897435908</v>
      </c>
      <c r="DC113" s="70">
        <f t="shared" si="412"/>
        <v>6.8702290076335881E-2</v>
      </c>
      <c r="DD113" s="70">
        <f t="shared" si="412"/>
        <v>0.38009049773755654</v>
      </c>
      <c r="DE113" s="487">
        <f t="shared" si="412"/>
        <v>0.1499348109517602</v>
      </c>
      <c r="DF113" s="70">
        <f t="shared" ref="DF113:DM113" si="413">(DF25/DB25)-1</f>
        <v>0.29203539823008851</v>
      </c>
      <c r="DG113" s="70">
        <f t="shared" si="413"/>
        <v>0.13928571428571423</v>
      </c>
      <c r="DH113" s="70">
        <f t="shared" si="413"/>
        <v>0.11803278688524599</v>
      </c>
      <c r="DI113" s="487">
        <f t="shared" si="413"/>
        <v>0.11451247165532874</v>
      </c>
      <c r="DJ113" s="1673">
        <f t="shared" si="413"/>
        <v>-4.6784612815242488E-2</v>
      </c>
      <c r="DK113" s="70">
        <f t="shared" si="413"/>
        <v>-1.5571479091265661E-2</v>
      </c>
      <c r="DL113" s="70">
        <f t="shared" si="413"/>
        <v>4.4496088467738781E-2</v>
      </c>
      <c r="DM113" s="487">
        <f t="shared" si="413"/>
        <v>-3.627401186947643E-2</v>
      </c>
      <c r="DN113" s="674"/>
      <c r="DO113" s="470"/>
      <c r="DQ113" s="15">
        <f t="shared" ref="DQ113:EP113" si="414">(DQ25/DP25)-1</f>
        <v>0.87576269796487605</v>
      </c>
      <c r="DR113" s="15">
        <f t="shared" si="414"/>
        <v>-0.68585970636215177</v>
      </c>
      <c r="DS113" s="15">
        <f t="shared" si="414"/>
        <v>-0.28688047858420651</v>
      </c>
      <c r="DT113" s="15">
        <f t="shared" si="414"/>
        <v>1.7593137397687793</v>
      </c>
      <c r="DU113" s="15">
        <f t="shared" si="414"/>
        <v>-0.21988810302967288</v>
      </c>
      <c r="DV113" s="15">
        <f t="shared" si="414"/>
        <v>1.0786197564276305</v>
      </c>
      <c r="DW113" s="15">
        <f t="shared" si="414"/>
        <v>1.0848252066922774</v>
      </c>
      <c r="DX113" s="15">
        <f t="shared" si="414"/>
        <v>1.1351444184231005</v>
      </c>
      <c r="DY113" s="15">
        <f t="shared" si="414"/>
        <v>0.3753107724706779</v>
      </c>
      <c r="DZ113" s="15">
        <f t="shared" si="414"/>
        <v>-0.16034495592347708</v>
      </c>
      <c r="EA113" s="15">
        <f t="shared" si="414"/>
        <v>-0.96367873154176131</v>
      </c>
      <c r="EB113" s="15">
        <f t="shared" si="414"/>
        <v>52.637726638782738</v>
      </c>
      <c r="EC113" s="15">
        <f t="shared" si="414"/>
        <v>1.2860959612046954</v>
      </c>
      <c r="ED113" s="15">
        <f t="shared" si="414"/>
        <v>0.59967811372366775</v>
      </c>
      <c r="EE113" s="15">
        <f t="shared" si="414"/>
        <v>0.14078070284586719</v>
      </c>
      <c r="EF113" s="15">
        <f t="shared" si="414"/>
        <v>0.4584687013551616</v>
      </c>
      <c r="EG113" s="15">
        <f t="shared" si="414"/>
        <v>8.3333333333333259E-2</v>
      </c>
      <c r="EH113" s="15">
        <f t="shared" si="414"/>
        <v>0.27810650887573973</v>
      </c>
      <c r="EI113" s="15">
        <f t="shared" si="414"/>
        <v>0.11342592592592582</v>
      </c>
      <c r="EJ113" s="15">
        <f t="shared" si="414"/>
        <v>0.1926541926541927</v>
      </c>
      <c r="EK113" s="15">
        <f t="shared" si="414"/>
        <v>0.23765252760023237</v>
      </c>
      <c r="EL113" s="15">
        <f t="shared" si="414"/>
        <v>4.6009389671361589E-2</v>
      </c>
      <c r="EM113" s="15">
        <f t="shared" si="414"/>
        <v>-0.12253141831238779</v>
      </c>
      <c r="EN113" s="15">
        <f t="shared" si="414"/>
        <v>0.14936061381074173</v>
      </c>
      <c r="EO113" s="15">
        <f t="shared" si="414"/>
        <v>2.3587004895416097E-2</v>
      </c>
      <c r="EP113" s="15">
        <f t="shared" si="414"/>
        <v>-6.0434782608695614E-2</v>
      </c>
      <c r="EQ113" s="15">
        <f>(EQ25/EN25)-1</f>
        <v>9.9688473520249232E-2</v>
      </c>
      <c r="ER113" s="674">
        <f>(ER25/EQ25)-1</f>
        <v>-8.0938891137191438E-2</v>
      </c>
      <c r="ES113" s="161">
        <f>(ES25/EP25)-1</f>
        <v>-0.34752429430819065</v>
      </c>
      <c r="ET113" s="161">
        <f>(ET25/ER25)-1</f>
        <v>-0.39057683839718182</v>
      </c>
      <c r="EU113" s="161">
        <f t="shared" ref="EU113:FH113" si="415">(EU25/ET25)-1</f>
        <v>-0.21098265895953761</v>
      </c>
      <c r="EV113" s="161">
        <f t="shared" si="415"/>
        <v>0.30952380952380953</v>
      </c>
      <c r="EW113" s="161">
        <f t="shared" si="415"/>
        <v>1.0489510489510412E-2</v>
      </c>
      <c r="EX113" s="70">
        <f t="shared" si="415"/>
        <v>0.17162629757785464</v>
      </c>
      <c r="EY113" s="70">
        <f t="shared" si="415"/>
        <v>0.14294152392203197</v>
      </c>
      <c r="EZ113" s="1673">
        <f t="shared" si="415"/>
        <v>-2.0213228047731846E-2</v>
      </c>
      <c r="FA113" s="15">
        <f t="shared" si="415"/>
        <v>2.2128110199839179E-2</v>
      </c>
      <c r="FB113" s="15">
        <f t="shared" si="415"/>
        <v>1.9578025060895676E-2</v>
      </c>
      <c r="FC113" s="15">
        <f t="shared" si="415"/>
        <v>-1.4296387129872912E-2</v>
      </c>
      <c r="FD113" s="15">
        <f t="shared" si="415"/>
        <v>-1.9827733174310191E-3</v>
      </c>
      <c r="FE113" s="15">
        <f t="shared" si="415"/>
        <v>4.506986772587096E-3</v>
      </c>
      <c r="FF113" s="15">
        <f t="shared" si="415"/>
        <v>-2.9323585054777945E-3</v>
      </c>
      <c r="FG113" s="15">
        <f t="shared" si="415"/>
        <v>-2.6671428480120607E-3</v>
      </c>
      <c r="FH113" s="15">
        <f t="shared" si="415"/>
        <v>5.3358866828594476E-3</v>
      </c>
      <c r="FI113" s="413"/>
      <c r="FJ113"/>
      <c r="FK113"/>
      <c r="FL113"/>
      <c r="FM113"/>
      <c r="FN113"/>
      <c r="FO113"/>
      <c r="FS113" s="70"/>
      <c r="FT113" s="70"/>
      <c r="FU113"/>
      <c r="FV113" s="70"/>
      <c r="FW113" s="70"/>
      <c r="FX113" s="70"/>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row>
    <row r="114" spans="1:260" s="4" customFormat="1" ht="12.75" customHeight="1" x14ac:dyDescent="0.2">
      <c r="A114" s="1048" t="s">
        <v>469</v>
      </c>
      <c r="B114" s="3"/>
      <c r="C114" s="3"/>
      <c r="D114" s="3"/>
      <c r="E114" s="470"/>
      <c r="F114" s="15">
        <f t="shared" ref="F114:AK114" si="416">(F30/B30)-1</f>
        <v>1.7908970976253458</v>
      </c>
      <c r="G114" s="15">
        <f t="shared" si="416"/>
        <v>7.9009744534253024E-4</v>
      </c>
      <c r="H114" s="15">
        <f t="shared" si="416"/>
        <v>0.58605859689993234</v>
      </c>
      <c r="I114" s="518">
        <f t="shared" si="416"/>
        <v>0.31106861327487056</v>
      </c>
      <c r="J114" s="15">
        <f t="shared" si="416"/>
        <v>9.7849208225048612E-2</v>
      </c>
      <c r="K114" s="15">
        <f t="shared" si="416"/>
        <v>-0.24815789473682692</v>
      </c>
      <c r="L114" s="15">
        <f t="shared" si="416"/>
        <v>5.6490792000896128E-3</v>
      </c>
      <c r="M114" s="518">
        <f t="shared" si="416"/>
        <v>-0.29447132488971184</v>
      </c>
      <c r="N114" s="15">
        <f t="shared" si="416"/>
        <v>-0.9119483315393242</v>
      </c>
      <c r="O114" s="15">
        <f t="shared" si="416"/>
        <v>-0.33706685334264774</v>
      </c>
      <c r="P114" s="15">
        <f t="shared" si="416"/>
        <v>-1.6163914166947493</v>
      </c>
      <c r="Q114" s="518">
        <f t="shared" si="416"/>
        <v>-0.57016791891484075</v>
      </c>
      <c r="R114" s="15">
        <f t="shared" si="416"/>
        <v>-7.4523227383884967</v>
      </c>
      <c r="S114" s="15">
        <f t="shared" si="416"/>
        <v>0.75501583949302509</v>
      </c>
      <c r="T114" s="15">
        <f t="shared" si="416"/>
        <v>-3.4057231386129585</v>
      </c>
      <c r="U114" s="518">
        <f t="shared" si="416"/>
        <v>6.5112623181606644</v>
      </c>
      <c r="V114" s="15">
        <f t="shared" si="416"/>
        <v>-5.7279272451687309</v>
      </c>
      <c r="W114" s="15">
        <f t="shared" si="416"/>
        <v>5.2357099879664242</v>
      </c>
      <c r="X114" s="15">
        <f t="shared" si="416"/>
        <v>1.0282975983029154</v>
      </c>
      <c r="Y114" s="518">
        <f t="shared" si="416"/>
        <v>0.69941898603693153</v>
      </c>
      <c r="Z114" s="15">
        <f t="shared" si="416"/>
        <v>2.7516229862947483</v>
      </c>
      <c r="AA114" s="15">
        <f t="shared" si="416"/>
        <v>0.40072367627547911</v>
      </c>
      <c r="AB114" s="15">
        <f t="shared" si="416"/>
        <v>0.46403824963113727</v>
      </c>
      <c r="AC114" s="518">
        <f t="shared" si="416"/>
        <v>0.50546380288032378</v>
      </c>
      <c r="AD114" s="15">
        <f t="shared" si="416"/>
        <v>0.5415411566151791</v>
      </c>
      <c r="AE114" s="15">
        <f t="shared" si="416"/>
        <v>0.32171457109890156</v>
      </c>
      <c r="AF114" s="15">
        <f t="shared" si="416"/>
        <v>-0.26950209850872497</v>
      </c>
      <c r="AG114" s="518">
        <f t="shared" si="416"/>
        <v>0.15991575348737941</v>
      </c>
      <c r="AH114" s="15">
        <f t="shared" si="416"/>
        <v>-0.23778375232129345</v>
      </c>
      <c r="AI114" s="15">
        <f t="shared" si="416"/>
        <v>0.10752071715223988</v>
      </c>
      <c r="AJ114" s="15">
        <f t="shared" si="416"/>
        <v>0.39706267572429721</v>
      </c>
      <c r="AK114" s="518">
        <f t="shared" si="416"/>
        <v>0.84210526315789425</v>
      </c>
      <c r="AL114" s="15">
        <f t="shared" ref="AL114:BQ114" si="417">(AL30/AH30)-1</f>
        <v>0.43636363636363629</v>
      </c>
      <c r="AM114" s="15">
        <f t="shared" si="417"/>
        <v>-7.0588235294117618E-2</v>
      </c>
      <c r="AN114" s="15">
        <f t="shared" si="417"/>
        <v>7.4999999999999956E-2</v>
      </c>
      <c r="AO114" s="518">
        <f t="shared" si="417"/>
        <v>8.0000000000000071E-2</v>
      </c>
      <c r="AP114" s="15">
        <f t="shared" si="417"/>
        <v>-0.12658227848101267</v>
      </c>
      <c r="AQ114" s="15">
        <f t="shared" si="417"/>
        <v>0.76518987341772138</v>
      </c>
      <c r="AR114" s="15">
        <f t="shared" si="417"/>
        <v>0.41860465116279078</v>
      </c>
      <c r="AS114" s="518">
        <f t="shared" si="417"/>
        <v>0.2407407407407407</v>
      </c>
      <c r="AT114" s="15">
        <f t="shared" si="417"/>
        <v>0.65066666666666673</v>
      </c>
      <c r="AU114" s="15">
        <f t="shared" si="417"/>
        <v>7.8666188598063957E-2</v>
      </c>
      <c r="AV114" s="15">
        <f t="shared" si="417"/>
        <v>0.21311475409836067</v>
      </c>
      <c r="AW114" s="518">
        <f t="shared" si="417"/>
        <v>0.11300639658848621</v>
      </c>
      <c r="AX114" s="15">
        <f t="shared" si="417"/>
        <v>0.4925897309826508</v>
      </c>
      <c r="AY114" s="15">
        <f t="shared" si="417"/>
        <v>0.24983379869698163</v>
      </c>
      <c r="AZ114" s="15">
        <f t="shared" si="417"/>
        <v>-6.7567567567567544E-2</v>
      </c>
      <c r="BA114" s="518">
        <f t="shared" si="417"/>
        <v>0.23371647509578541</v>
      </c>
      <c r="BB114" s="15">
        <f t="shared" si="417"/>
        <v>0.37647058823529411</v>
      </c>
      <c r="BC114" s="15">
        <f t="shared" si="417"/>
        <v>0.22340425531914887</v>
      </c>
      <c r="BD114" s="15">
        <f t="shared" si="417"/>
        <v>8.6956521739130377E-2</v>
      </c>
      <c r="BE114" s="518">
        <f t="shared" si="417"/>
        <v>0.18478260869565211</v>
      </c>
      <c r="BF114" s="15">
        <f t="shared" si="417"/>
        <v>-0.17948717948717952</v>
      </c>
      <c r="BG114" s="15">
        <f t="shared" si="417"/>
        <v>8.6956521739130377E-2</v>
      </c>
      <c r="BH114" s="15">
        <f t="shared" si="417"/>
        <v>0.52</v>
      </c>
      <c r="BI114" s="518">
        <f t="shared" si="417"/>
        <v>-3.4076015727391828E-2</v>
      </c>
      <c r="BJ114" s="15">
        <f t="shared" si="417"/>
        <v>-6.770833333333337E-2</v>
      </c>
      <c r="BK114" s="15">
        <f t="shared" si="417"/>
        <v>-0.19199999999999995</v>
      </c>
      <c r="BL114" s="15">
        <f t="shared" si="417"/>
        <v>-0.28508771929824561</v>
      </c>
      <c r="BM114" s="518">
        <f t="shared" si="417"/>
        <v>-3.1207598371777445E-2</v>
      </c>
      <c r="BN114" s="15">
        <f t="shared" si="417"/>
        <v>0.14525139664804465</v>
      </c>
      <c r="BO114" s="15">
        <f t="shared" si="417"/>
        <v>-0.21782178217821779</v>
      </c>
      <c r="BP114" s="15">
        <f t="shared" si="417"/>
        <v>0.3926380368098159</v>
      </c>
      <c r="BQ114" s="518">
        <f t="shared" si="417"/>
        <v>9.1036414565826229E-2</v>
      </c>
      <c r="BR114" s="15">
        <f t="shared" ref="BR114:BY114" si="418">(BR30/BN30)-1</f>
        <v>-0.24390243902439024</v>
      </c>
      <c r="BS114" s="15">
        <f t="shared" si="418"/>
        <v>0.60759493670886067</v>
      </c>
      <c r="BT114" s="15">
        <f t="shared" si="418"/>
        <v>-4.4052863436123357E-2</v>
      </c>
      <c r="BU114" s="518">
        <f t="shared" si="418"/>
        <v>0.12066752246469825</v>
      </c>
      <c r="BV114" s="15">
        <f t="shared" si="418"/>
        <v>-0.10967741935483866</v>
      </c>
      <c r="BW114" s="15">
        <f t="shared" si="418"/>
        <v>-0.29527559055118113</v>
      </c>
      <c r="BX114" s="15">
        <f t="shared" si="418"/>
        <v>-0.20737327188940091</v>
      </c>
      <c r="BY114" s="518">
        <f t="shared" si="418"/>
        <v>-2.2909507445589838E-3</v>
      </c>
      <c r="BZ114" s="15">
        <f>(BZ30/BN30)-1</f>
        <v>9.7560975609756184E-2</v>
      </c>
      <c r="CA114" s="15">
        <f>(CA30/BO30)-1</f>
        <v>0.379746835443038</v>
      </c>
      <c r="CB114" s="15">
        <f>(CB30/BP30)-1</f>
        <v>6.1674008810572722E-2</v>
      </c>
      <c r="CC114" s="518">
        <f>(CC30/BQ30)-1</f>
        <v>0.11681643132220798</v>
      </c>
      <c r="CD114" s="15">
        <f>(CD30/BZ30)-1</f>
        <v>0.1511111111111112</v>
      </c>
      <c r="CE114" s="15">
        <f>(CE30/CA30)-1</f>
        <v>-0.31192660550458717</v>
      </c>
      <c r="CF114" s="15">
        <f>(CF30/CB30)-1</f>
        <v>-0.28215767634854771</v>
      </c>
      <c r="CG114" s="518">
        <f>(CG30/CC30)-1</f>
        <v>-9.9999999999999978E-2</v>
      </c>
      <c r="CH114" s="15">
        <f>(CH30/BV30)-1</f>
        <v>0.78260869565217384</v>
      </c>
      <c r="CI114" s="15">
        <f>(CI30/BW30)-1</f>
        <v>-0.62011173184357538</v>
      </c>
      <c r="CJ114" s="15">
        <f>(CJ30/BX30)-1</f>
        <v>-0.94186046511627908</v>
      </c>
      <c r="CK114" s="518">
        <f>(CK30/BY30)-1</f>
        <v>-0.36394948335246846</v>
      </c>
      <c r="CL114" s="15">
        <f>(CL30/CD30)-1</f>
        <v>7.7220077220077066E-3</v>
      </c>
      <c r="CM114" s="15">
        <f>(CM30/CE30)-1</f>
        <v>-0.40666666666666662</v>
      </c>
      <c r="CN114" s="15">
        <f>(CN30/CF30)-1</f>
        <v>-0.91907514450867056</v>
      </c>
      <c r="CO114" s="518">
        <f>(CO30/CG30)-1</f>
        <v>-0.330779054916986</v>
      </c>
      <c r="CP114" s="674">
        <f t="shared" ref="CP114:DE114" si="419">(CP30/CL30)-1</f>
        <v>-0.52107279693486586</v>
      </c>
      <c r="CQ114" s="161">
        <f t="shared" si="419"/>
        <v>0.1685393258426966</v>
      </c>
      <c r="CR114" s="161">
        <f t="shared" si="419"/>
        <v>3.8571428571428568</v>
      </c>
      <c r="CS114" s="518">
        <f t="shared" si="419"/>
        <v>-0.19083969465648853</v>
      </c>
      <c r="CT114" s="674">
        <f t="shared" si="419"/>
        <v>-1.6000000000000014E-2</v>
      </c>
      <c r="CU114" s="70">
        <f t="shared" si="419"/>
        <v>0.42307692307692313</v>
      </c>
      <c r="CV114" s="70">
        <f t="shared" si="419"/>
        <v>0.77941176470588225</v>
      </c>
      <c r="CW114" s="487">
        <f t="shared" si="419"/>
        <v>0.24056603773584895</v>
      </c>
      <c r="CX114" s="70">
        <f t="shared" si="419"/>
        <v>8.1300813008129413E-3</v>
      </c>
      <c r="CY114" s="70">
        <f t="shared" si="419"/>
        <v>0.11486486486486491</v>
      </c>
      <c r="CZ114" s="70">
        <f t="shared" si="419"/>
        <v>0.14049586776859502</v>
      </c>
      <c r="DA114" s="487">
        <f t="shared" si="419"/>
        <v>-3.4220532319391594E-2</v>
      </c>
      <c r="DB114" s="70">
        <f t="shared" si="419"/>
        <v>0.13709677419354849</v>
      </c>
      <c r="DC114" s="70">
        <f t="shared" si="419"/>
        <v>0.10909090909090913</v>
      </c>
      <c r="DD114" s="70">
        <f t="shared" si="419"/>
        <v>0.39855072463768115</v>
      </c>
      <c r="DE114" s="487">
        <f t="shared" si="419"/>
        <v>0.21062992125984259</v>
      </c>
      <c r="DF114" s="70">
        <f t="shared" ref="DF114:DM114" si="420">(DF30/DB30)-1</f>
        <v>0.33333333333333326</v>
      </c>
      <c r="DG114" s="70">
        <f t="shared" si="420"/>
        <v>0.1693989071038251</v>
      </c>
      <c r="DH114" s="70">
        <f t="shared" si="420"/>
        <v>0.22797927461139889</v>
      </c>
      <c r="DI114" s="487">
        <f t="shared" si="420"/>
        <v>0.16747967479674797</v>
      </c>
      <c r="DJ114" s="1673">
        <f t="shared" si="420"/>
        <v>0.14740767085058826</v>
      </c>
      <c r="DK114" s="70">
        <f t="shared" si="420"/>
        <v>8.5907460961288873E-2</v>
      </c>
      <c r="DL114" s="70">
        <f t="shared" si="420"/>
        <v>0.11210186904619901</v>
      </c>
      <c r="DM114" s="487">
        <f t="shared" si="420"/>
        <v>-1.0435954388261282E-2</v>
      </c>
      <c r="DN114" s="674"/>
      <c r="DO114" s="470"/>
      <c r="DQ114" s="15">
        <f t="shared" ref="DQ114:EP114" si="421">(DQ30/DP30)-1</f>
        <v>0.82216299959852757</v>
      </c>
      <c r="DR114" s="15">
        <f t="shared" si="421"/>
        <v>-0.62581778859150794</v>
      </c>
      <c r="DS114" s="15">
        <f t="shared" si="421"/>
        <v>-0.25579799147463622</v>
      </c>
      <c r="DT114" s="15">
        <f t="shared" si="421"/>
        <v>1.7586039512645972</v>
      </c>
      <c r="DU114" s="15">
        <f t="shared" si="421"/>
        <v>-0.20112616575753839</v>
      </c>
      <c r="DV114" s="15">
        <f t="shared" si="421"/>
        <v>1.114757709251144</v>
      </c>
      <c r="DW114" s="15">
        <f t="shared" si="421"/>
        <v>1.0680137485678651</v>
      </c>
      <c r="DX114" s="15">
        <f t="shared" si="421"/>
        <v>1.1007302946361017</v>
      </c>
      <c r="DY114" s="15">
        <f t="shared" si="421"/>
        <v>0.38194677535363253</v>
      </c>
      <c r="DZ114" s="15">
        <f t="shared" si="421"/>
        <v>-0.16739820613798695</v>
      </c>
      <c r="EA114" s="15">
        <f t="shared" si="421"/>
        <v>-0.96357726287715773</v>
      </c>
      <c r="EB114" s="15">
        <f t="shared" si="421"/>
        <v>53.023455377591027</v>
      </c>
      <c r="EC114" s="15">
        <f t="shared" si="421"/>
        <v>1.2903222390478102</v>
      </c>
      <c r="ED114" s="15">
        <f t="shared" si="421"/>
        <v>0.60471051682524801</v>
      </c>
      <c r="EE114" s="15">
        <f t="shared" si="421"/>
        <v>0.14146713919382115</v>
      </c>
      <c r="EF114" s="15">
        <f t="shared" si="421"/>
        <v>0.43877991463239341</v>
      </c>
      <c r="EG114" s="15">
        <f t="shared" si="421"/>
        <v>9.1228070175438658E-2</v>
      </c>
      <c r="EH114" s="15">
        <f t="shared" si="421"/>
        <v>0.2852893890675241</v>
      </c>
      <c r="EI114" s="15">
        <f t="shared" si="421"/>
        <v>0.168698480205141</v>
      </c>
      <c r="EJ114" s="15">
        <f t="shared" si="421"/>
        <v>0.22014393417216449</v>
      </c>
      <c r="EK114" s="15">
        <f t="shared" si="421"/>
        <v>0.20789473684210535</v>
      </c>
      <c r="EL114" s="15">
        <f t="shared" si="421"/>
        <v>2.1786492374727739E-2</v>
      </c>
      <c r="EM114" s="15">
        <f t="shared" si="421"/>
        <v>-0.10589907604832982</v>
      </c>
      <c r="EN114" s="15">
        <f t="shared" si="421"/>
        <v>8.8235294117646967E-2</v>
      </c>
      <c r="EO114" s="15">
        <f t="shared" si="421"/>
        <v>9.495982468955444E-2</v>
      </c>
      <c r="EP114" s="15">
        <f t="shared" si="421"/>
        <v>-9.2728485657104787E-2</v>
      </c>
      <c r="EQ114" s="15">
        <f>(EQ30/EN30)-1</f>
        <v>0.13513513513513509</v>
      </c>
      <c r="ER114" s="674">
        <f>(ER30/EQ30)-1</f>
        <v>-0.1216216216216216</v>
      </c>
      <c r="ES114" s="161">
        <f>(ES30/EP30)-1</f>
        <v>-0.35441176470588232</v>
      </c>
      <c r="ET114" s="161">
        <f>(ET30/ER30)-1</f>
        <v>-0.34945054945054943</v>
      </c>
      <c r="EU114" s="161">
        <f t="shared" ref="EU114:FH114" si="422">(EU30/ET30)-1</f>
        <v>-0.18806306306306309</v>
      </c>
      <c r="EV114" s="161">
        <f t="shared" si="422"/>
        <v>0.27323162274618595</v>
      </c>
      <c r="EW114" s="161">
        <f t="shared" si="422"/>
        <v>1.8518518518518601E-2</v>
      </c>
      <c r="EX114" s="70">
        <f t="shared" si="422"/>
        <v>0.2106951871657754</v>
      </c>
      <c r="EY114" s="70">
        <f t="shared" si="422"/>
        <v>0.19876325088339231</v>
      </c>
      <c r="EZ114" s="1673">
        <f t="shared" si="422"/>
        <v>4.8026504405898285E-2</v>
      </c>
      <c r="FA114" s="15">
        <f t="shared" si="422"/>
        <v>2.2128110199839179E-2</v>
      </c>
      <c r="FB114" s="15">
        <f t="shared" si="422"/>
        <v>1.9578025060895676E-2</v>
      </c>
      <c r="FC114" s="15">
        <f t="shared" si="422"/>
        <v>-1.4296387129872912E-2</v>
      </c>
      <c r="FD114" s="15">
        <f t="shared" si="422"/>
        <v>-1.9827733174310191E-3</v>
      </c>
      <c r="FE114" s="15">
        <f t="shared" si="422"/>
        <v>4.506986772587096E-3</v>
      </c>
      <c r="FF114" s="15">
        <f t="shared" si="422"/>
        <v>-2.9323585054777945E-3</v>
      </c>
      <c r="FG114" s="15">
        <f t="shared" si="422"/>
        <v>-2.6671428480119497E-3</v>
      </c>
      <c r="FH114" s="15">
        <f t="shared" si="422"/>
        <v>5.3358866828594476E-3</v>
      </c>
      <c r="FI114" s="413"/>
      <c r="FJ114"/>
      <c r="FK114"/>
      <c r="FL114"/>
      <c r="FM114"/>
      <c r="FN114"/>
      <c r="FO114"/>
      <c r="FS114" s="70"/>
      <c r="FT114" s="70"/>
      <c r="FU114"/>
      <c r="FV114" s="70"/>
      <c r="FW114" s="70"/>
      <c r="FX114" s="70"/>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row>
    <row r="115" spans="1:260" s="4" customFormat="1" ht="12.75" customHeight="1" x14ac:dyDescent="0.2">
      <c r="A115" s="51" t="s">
        <v>683</v>
      </c>
      <c r="B115" s="401"/>
      <c r="C115" s="401"/>
      <c r="D115" s="401"/>
      <c r="E115" s="469"/>
      <c r="F115" s="50">
        <f t="shared" ref="F115:AK115" si="423">(F37/B37)-1</f>
        <v>1.3319736619869729</v>
      </c>
      <c r="G115" s="50">
        <f t="shared" si="423"/>
        <v>-1.5794000633042482E-2</v>
      </c>
      <c r="H115" s="50">
        <f t="shared" si="423"/>
        <v>0.56852384200966788</v>
      </c>
      <c r="I115" s="550">
        <f t="shared" si="423"/>
        <v>0.17396518032741537</v>
      </c>
      <c r="J115" s="50">
        <f t="shared" si="423"/>
        <v>9.3652285659464374E-2</v>
      </c>
      <c r="K115" s="50">
        <f t="shared" si="423"/>
        <v>-0.25531041688533163</v>
      </c>
      <c r="L115" s="50">
        <f t="shared" si="423"/>
        <v>7.3357508320619491E-3</v>
      </c>
      <c r="M115" s="550">
        <f t="shared" si="423"/>
        <v>-0.22031179154957248</v>
      </c>
      <c r="N115" s="50">
        <f t="shared" si="423"/>
        <v>-0.91223332110072708</v>
      </c>
      <c r="O115" s="50">
        <f t="shared" si="423"/>
        <v>-0.3399568024687617</v>
      </c>
      <c r="P115" s="50">
        <f t="shared" si="423"/>
        <v>-1.6141057159255379</v>
      </c>
      <c r="Q115" s="550">
        <f t="shared" si="423"/>
        <v>-0.56910863399439038</v>
      </c>
      <c r="R115" s="50">
        <f t="shared" si="423"/>
        <v>-7.4530633801316961</v>
      </c>
      <c r="S115" s="50">
        <f t="shared" si="423"/>
        <v>0.73349258288352503</v>
      </c>
      <c r="T115" s="50">
        <f t="shared" si="423"/>
        <v>-3.0800939468112318</v>
      </c>
      <c r="U115" s="550">
        <f t="shared" si="423"/>
        <v>5.3529821819826955</v>
      </c>
      <c r="V115" s="50">
        <f t="shared" si="423"/>
        <v>-5.1233907703396158</v>
      </c>
      <c r="W115" s="50">
        <f t="shared" si="423"/>
        <v>4.2736127138199764</v>
      </c>
      <c r="X115" s="50">
        <f t="shared" si="423"/>
        <v>0.95160611393415029</v>
      </c>
      <c r="Y115" s="550">
        <f t="shared" si="423"/>
        <v>0.64617034275669827</v>
      </c>
      <c r="Z115" s="50">
        <f t="shared" si="423"/>
        <v>2.5141902945200942</v>
      </c>
      <c r="AA115" s="50">
        <f t="shared" si="423"/>
        <v>0.37384297255324994</v>
      </c>
      <c r="AB115" s="50">
        <f t="shared" si="423"/>
        <v>0.43559910825520065</v>
      </c>
      <c r="AC115" s="550">
        <f t="shared" si="423"/>
        <v>0.51694944696783973</v>
      </c>
      <c r="AD115" s="50">
        <f t="shared" si="423"/>
        <v>0.55435326204834889</v>
      </c>
      <c r="AE115" s="50">
        <f t="shared" si="423"/>
        <v>0.3240109338006365</v>
      </c>
      <c r="AF115" s="50">
        <f t="shared" si="423"/>
        <v>-0.2653867526196716</v>
      </c>
      <c r="AG115" s="550">
        <f t="shared" si="423"/>
        <v>0.14830567909835501</v>
      </c>
      <c r="AH115" s="50">
        <f t="shared" si="423"/>
        <v>-0.24449511281514669</v>
      </c>
      <c r="AI115" s="50">
        <f t="shared" si="423"/>
        <v>9.8956988186899242E-2</v>
      </c>
      <c r="AJ115" s="50">
        <f t="shared" si="423"/>
        <v>0.38540097471138424</v>
      </c>
      <c r="AK115" s="550">
        <f t="shared" si="423"/>
        <v>0.80640225390425724</v>
      </c>
      <c r="AL115" s="50">
        <f t="shared" ref="AL115:BQ115" si="424">(AL37/AH37)-1</f>
        <v>0.40907140668096842</v>
      </c>
      <c r="AM115" s="50">
        <f t="shared" si="424"/>
        <v>-7.545726456992663E-2</v>
      </c>
      <c r="AN115" s="50">
        <f t="shared" si="424"/>
        <v>6.8697932736809575E-2</v>
      </c>
      <c r="AO115" s="550">
        <f t="shared" si="424"/>
        <v>6.8233280782103112E-2</v>
      </c>
      <c r="AP115" s="50">
        <f t="shared" si="424"/>
        <v>-0.12362791349432489</v>
      </c>
      <c r="AQ115" s="50">
        <f t="shared" si="424"/>
        <v>0.68580558151388993</v>
      </c>
      <c r="AR115" s="50">
        <f t="shared" si="424"/>
        <v>0.39113394082257313</v>
      </c>
      <c r="AS115" s="550">
        <f t="shared" si="424"/>
        <v>0.21497379861675214</v>
      </c>
      <c r="AT115" s="50">
        <f t="shared" si="424"/>
        <v>0.59903723562704791</v>
      </c>
      <c r="AU115" s="50">
        <f t="shared" si="424"/>
        <v>9.3732907191714787E-2</v>
      </c>
      <c r="AV115" s="50">
        <f t="shared" si="424"/>
        <v>0.18725029976164698</v>
      </c>
      <c r="AW115" s="550">
        <f t="shared" si="424"/>
        <v>0.10379712380347494</v>
      </c>
      <c r="AX115" s="50">
        <f t="shared" si="424"/>
        <v>0.50952615409690938</v>
      </c>
      <c r="AY115" s="50">
        <f t="shared" si="424"/>
        <v>0.23399913359858138</v>
      </c>
      <c r="AZ115" s="50">
        <f t="shared" si="424"/>
        <v>-6.8762522380424462E-2</v>
      </c>
      <c r="BA115" s="550">
        <f t="shared" si="424"/>
        <v>0.24524653561069942</v>
      </c>
      <c r="BB115" s="50">
        <f t="shared" si="424"/>
        <v>0.36850069863323953</v>
      </c>
      <c r="BC115" s="50">
        <f t="shared" si="424"/>
        <v>0.25445137237256543</v>
      </c>
      <c r="BD115" s="50">
        <f t="shared" si="424"/>
        <v>0.11194906782187752</v>
      </c>
      <c r="BE115" s="550">
        <f t="shared" si="424"/>
        <v>0.20466472687635151</v>
      </c>
      <c r="BF115" s="50">
        <f t="shared" si="424"/>
        <v>-0.16396170801053811</v>
      </c>
      <c r="BG115" s="50">
        <f t="shared" si="424"/>
        <v>0.18297657396641442</v>
      </c>
      <c r="BH115" s="50">
        <f t="shared" si="424"/>
        <v>0.74934076137418737</v>
      </c>
      <c r="BI115" s="550">
        <f t="shared" si="424"/>
        <v>0.10743162406405204</v>
      </c>
      <c r="BJ115" s="50">
        <f t="shared" si="424"/>
        <v>8.2242215792788675E-2</v>
      </c>
      <c r="BK115" s="50">
        <f t="shared" si="424"/>
        <v>-0.12920009449562964</v>
      </c>
      <c r="BL115" s="50">
        <f t="shared" si="424"/>
        <v>-0.27121578200114582</v>
      </c>
      <c r="BM115" s="550">
        <f t="shared" si="424"/>
        <v>-1.2436100986731535E-2</v>
      </c>
      <c r="BN115" s="50">
        <f t="shared" si="424"/>
        <v>0.13906375696683604</v>
      </c>
      <c r="BO115" s="50">
        <f t="shared" si="424"/>
        <v>-0.22459943886660316</v>
      </c>
      <c r="BP115" s="50">
        <f t="shared" si="424"/>
        <v>0.37314240400333221</v>
      </c>
      <c r="BQ115" s="550">
        <f t="shared" si="424"/>
        <v>7.4782613231512141E-2</v>
      </c>
      <c r="BR115" s="50">
        <f t="shared" ref="BR115:BY115" si="425">(BR37/BN37)-1</f>
        <v>-0.25441109171341891</v>
      </c>
      <c r="BS115" s="50">
        <f t="shared" si="425"/>
        <v>0.62049820107337927</v>
      </c>
      <c r="BT115" s="50">
        <f t="shared" si="425"/>
        <v>4.7055976735592697E-3</v>
      </c>
      <c r="BU115" s="550">
        <f t="shared" si="425"/>
        <v>0.19345257226285195</v>
      </c>
      <c r="BV115" s="50">
        <f t="shared" si="425"/>
        <v>-3.2345775265568699E-2</v>
      </c>
      <c r="BW115" s="50">
        <f t="shared" si="425"/>
        <v>-0.21730136381090792</v>
      </c>
      <c r="BX115" s="50">
        <f t="shared" si="425"/>
        <v>-0.12355428491458154</v>
      </c>
      <c r="BY115" s="550">
        <f t="shared" si="425"/>
        <v>0.14177540558764501</v>
      </c>
      <c r="BZ115" s="50">
        <f>(BZ37/BN37)-1</f>
        <v>8.4819380815122081E-2</v>
      </c>
      <c r="CA115" s="50">
        <f>(CA37/BO37)-1</f>
        <v>0.37491691653250236</v>
      </c>
      <c r="CB115" s="50">
        <f>(CB37/BP37)-1</f>
        <v>0.10659893038961932</v>
      </c>
      <c r="CC115" s="550">
        <f>(CC37/BQ37)-1</f>
        <v>0.18494526771059672</v>
      </c>
      <c r="CD115" s="50">
        <f>(CD37/BZ37)-1</f>
        <v>0.23729362504506013</v>
      </c>
      <c r="CE115" s="50">
        <f>(CE37/CA37)-1</f>
        <v>-0.23537487152156555</v>
      </c>
      <c r="CF115" s="50">
        <f>(CF37/CB37)-1</f>
        <v>-0.20736637087680665</v>
      </c>
      <c r="CG115" s="550">
        <f>(CG37/CC37)-1</f>
        <v>1.2574114733423514E-2</v>
      </c>
      <c r="CH115" s="50">
        <f>(CH37/BV37)-1</f>
        <v>1.0654964233169295</v>
      </c>
      <c r="CI115" s="50">
        <f>(CI37/BW37)-1</f>
        <v>-0.57209277768794942</v>
      </c>
      <c r="CJ115" s="50">
        <f>(CJ37/BX37)-1</f>
        <v>-0.93641203895279868</v>
      </c>
      <c r="CK115" s="550">
        <f>(CK37/BY37)-1</f>
        <v>-0.33685948796730292</v>
      </c>
      <c r="CL115" s="50">
        <f>(CL37/CD37)-1</f>
        <v>0.17792942967972136</v>
      </c>
      <c r="CM115" s="50">
        <f>(CM37/CE37)-1</f>
        <v>-0.32430793463280172</v>
      </c>
      <c r="CN115" s="50">
        <f>(CN37/CF37)-1</f>
        <v>-0.91086537656027478</v>
      </c>
      <c r="CO115" s="550">
        <f>(CO37/CG37)-1</f>
        <v>-0.28850096212228837</v>
      </c>
      <c r="CP115" s="1157">
        <f t="shared" ref="CP115:DE115" si="426">(CP37/CL37)-1</f>
        <v>-0.51854473545241064</v>
      </c>
      <c r="CQ115" s="219">
        <f t="shared" si="426"/>
        <v>0.14886009213222162</v>
      </c>
      <c r="CR115" s="219">
        <f t="shared" si="426"/>
        <v>3.7067927773000866</v>
      </c>
      <c r="CS115" s="550">
        <f t="shared" si="426"/>
        <v>-0.22319692751339026</v>
      </c>
      <c r="CT115" s="1157">
        <f t="shared" si="426"/>
        <v>-4.2397260273972615E-2</v>
      </c>
      <c r="CU115" s="197">
        <f t="shared" si="426"/>
        <v>0.39156073909055156</v>
      </c>
      <c r="CV115" s="197">
        <f t="shared" si="426"/>
        <v>0.75377617148554332</v>
      </c>
      <c r="CW115" s="572">
        <f t="shared" si="426"/>
        <v>0.22802803173964192</v>
      </c>
      <c r="CX115" s="197">
        <f t="shared" si="426"/>
        <v>-6.0163282480325542E-3</v>
      </c>
      <c r="CY115" s="197">
        <f t="shared" si="426"/>
        <v>0.10950948122465509</v>
      </c>
      <c r="CZ115" s="197">
        <f t="shared" si="426"/>
        <v>0.15683535011484984</v>
      </c>
      <c r="DA115" s="572">
        <f t="shared" si="426"/>
        <v>4.9975062454941099E-3</v>
      </c>
      <c r="DB115" s="197">
        <f t="shared" si="426"/>
        <v>0.23694307620260702</v>
      </c>
      <c r="DC115" s="197">
        <f t="shared" si="426"/>
        <v>0.21556913201385197</v>
      </c>
      <c r="DD115" s="197">
        <f t="shared" si="426"/>
        <v>0.52529438405797113</v>
      </c>
      <c r="DE115" s="572">
        <f t="shared" si="426"/>
        <v>0.30191210193918994</v>
      </c>
      <c r="DF115" s="197">
        <f t="shared" ref="DF115:DM115" si="427">(DF37/DB37)-1</f>
        <v>0.38285714285714278</v>
      </c>
      <c r="DG115" s="197">
        <f t="shared" si="427"/>
        <v>0.21492569853225585</v>
      </c>
      <c r="DH115" s="197">
        <f t="shared" si="427"/>
        <v>0.28668424320775276</v>
      </c>
      <c r="DI115" s="572">
        <f t="shared" si="427"/>
        <v>0.25247313949378114</v>
      </c>
      <c r="DJ115" s="1713">
        <f t="shared" si="427"/>
        <v>0.24423863430584514</v>
      </c>
      <c r="DK115" s="197">
        <f t="shared" si="427"/>
        <v>0.18979958269545483</v>
      </c>
      <c r="DL115" s="197">
        <f t="shared" si="427"/>
        <v>0.20243028388835915</v>
      </c>
      <c r="DM115" s="572">
        <f t="shared" si="427"/>
        <v>4.6224259395829526E-2</v>
      </c>
      <c r="DN115" s="1157"/>
      <c r="DO115" s="469"/>
      <c r="DP115" s="19"/>
      <c r="DQ115" s="50">
        <f t="shared" ref="DQ115:EP115" si="428">(DQ37/DP37)-1</f>
        <v>0.40399553617459305</v>
      </c>
      <c r="DR115" s="50">
        <f t="shared" si="428"/>
        <v>-0.6399738271460671</v>
      </c>
      <c r="DS115" s="50">
        <f t="shared" si="428"/>
        <v>-0.25714912075663598</v>
      </c>
      <c r="DT115" s="50">
        <f t="shared" si="428"/>
        <v>1.7572690352465643</v>
      </c>
      <c r="DU115" s="50">
        <f t="shared" si="428"/>
        <v>-0.20286200943406707</v>
      </c>
      <c r="DV115" s="50">
        <f t="shared" si="428"/>
        <v>0.82182330110612267</v>
      </c>
      <c r="DW115" s="50">
        <f t="shared" si="428"/>
        <v>0.71549518687272151</v>
      </c>
      <c r="DX115" s="50">
        <f t="shared" si="428"/>
        <v>0.71172222366546123</v>
      </c>
      <c r="DY115" s="50">
        <f t="shared" si="428"/>
        <v>0.29347228462368191</v>
      </c>
      <c r="DZ115" s="50">
        <f t="shared" si="428"/>
        <v>-0.12776810677519312</v>
      </c>
      <c r="EA115" s="50">
        <f t="shared" si="428"/>
        <v>-0.96281846402135252</v>
      </c>
      <c r="EB115" s="50">
        <f t="shared" si="428"/>
        <v>44.345904762216435</v>
      </c>
      <c r="EC115" s="50">
        <f t="shared" si="428"/>
        <v>1.2124847800872947</v>
      </c>
      <c r="ED115" s="50">
        <f t="shared" si="428"/>
        <v>0.59058997942162916</v>
      </c>
      <c r="EE115" s="50">
        <f t="shared" si="428"/>
        <v>0.13913946714808145</v>
      </c>
      <c r="EF115" s="50">
        <f t="shared" si="428"/>
        <v>0.42282804244783989</v>
      </c>
      <c r="EG115" s="50">
        <f t="shared" si="428"/>
        <v>8.3543365455893026E-2</v>
      </c>
      <c r="EH115" s="50">
        <f t="shared" si="428"/>
        <v>0.25048160684063081</v>
      </c>
      <c r="EI115" s="50">
        <f t="shared" si="428"/>
        <v>0.15877783331944384</v>
      </c>
      <c r="EJ115" s="50">
        <f t="shared" si="428"/>
        <v>0.22083884578285073</v>
      </c>
      <c r="EK115" s="50">
        <f t="shared" si="428"/>
        <v>0.22909818913859614</v>
      </c>
      <c r="EL115" s="50">
        <f t="shared" si="428"/>
        <v>0.11923090277749426</v>
      </c>
      <c r="EM115" s="50">
        <f t="shared" si="428"/>
        <v>-4.2472668579542572E-2</v>
      </c>
      <c r="EN115" s="50">
        <f t="shared" si="428"/>
        <v>7.6525627794977513E-2</v>
      </c>
      <c r="EO115" s="50">
        <f t="shared" si="428"/>
        <v>0.12387833146406857</v>
      </c>
      <c r="EP115" s="50">
        <f t="shared" si="428"/>
        <v>7.7434114909418206E-3</v>
      </c>
      <c r="EQ115" s="50">
        <f>(EQ37/EN37)-1</f>
        <v>0.15871602261287077</v>
      </c>
      <c r="ER115" s="1157">
        <f>(ER37/EQ37)-1</f>
        <v>-7.3802890856318193E-3</v>
      </c>
      <c r="ES115" s="219">
        <f>(ES37/EP37)-1</f>
        <v>-0.28626977657724861</v>
      </c>
      <c r="ET115" s="219">
        <f>(ET37/ER37)-1</f>
        <v>-0.28985677062260273</v>
      </c>
      <c r="EU115" s="219">
        <f t="shared" ref="EU115:FH115" si="429">(EU37/ET37)-1</f>
        <v>-0.2049820748717569</v>
      </c>
      <c r="EV115" s="219">
        <f t="shared" si="429"/>
        <v>0.24847634161954524</v>
      </c>
      <c r="EW115" s="219">
        <f t="shared" si="429"/>
        <v>2.6940827340029116E-2</v>
      </c>
      <c r="EX115" s="197">
        <f t="shared" si="429"/>
        <v>0.31615251747996709</v>
      </c>
      <c r="EY115" s="197">
        <f t="shared" si="429"/>
        <v>0.25926742017252491</v>
      </c>
      <c r="EZ115" s="1713">
        <f t="shared" si="429"/>
        <v>0.13203882198936046</v>
      </c>
      <c r="FA115" s="50">
        <f t="shared" si="429"/>
        <v>5.9655509771465054E-2</v>
      </c>
      <c r="FB115" s="50">
        <f t="shared" si="429"/>
        <v>5.7270914423987795E-2</v>
      </c>
      <c r="FC115" s="50">
        <f t="shared" si="429"/>
        <v>1.1718172944179317E-2</v>
      </c>
      <c r="FD115" s="50">
        <f t="shared" si="429"/>
        <v>1.2859761641810241E-2</v>
      </c>
      <c r="FE115" s="50">
        <f t="shared" si="429"/>
        <v>1.5044166968523287E-2</v>
      </c>
      <c r="FF115" s="50">
        <f t="shared" si="429"/>
        <v>3.3075085956542072E-3</v>
      </c>
      <c r="FG115" s="50">
        <f t="shared" si="429"/>
        <v>-4.5940186520809778E-4</v>
      </c>
      <c r="FH115" s="50">
        <f t="shared" si="429"/>
        <v>3.7137030999456755E-3</v>
      </c>
      <c r="FI115" s="416"/>
      <c r="FJ115"/>
      <c r="FK115"/>
      <c r="FL115"/>
      <c r="FM115"/>
      <c r="FN115"/>
      <c r="FO115"/>
      <c r="FS115" s="70"/>
      <c r="FT115" s="70"/>
      <c r="FU115"/>
      <c r="FV115" s="197"/>
      <c r="FW115" s="197"/>
      <c r="FX115" s="197"/>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row>
    <row r="116" spans="1:260" s="4" customFormat="1" ht="12.75" customHeight="1" x14ac:dyDescent="0.2">
      <c r="A116" s="414"/>
      <c r="B116" s="3"/>
      <c r="C116" s="3"/>
      <c r="D116" s="3"/>
      <c r="E116" s="470"/>
      <c r="I116" s="470"/>
      <c r="M116" s="470"/>
      <c r="Q116" s="470"/>
      <c r="U116" s="470"/>
      <c r="Y116" s="470"/>
      <c r="AC116" s="470"/>
      <c r="AG116" s="470"/>
      <c r="AK116" s="470"/>
      <c r="AO116" s="470"/>
      <c r="AS116" s="470"/>
      <c r="AW116" s="470"/>
      <c r="BA116" s="470"/>
      <c r="BE116" s="470"/>
      <c r="BF116" s="6"/>
      <c r="BG116" s="6"/>
      <c r="BI116" s="470"/>
      <c r="BM116" s="484"/>
      <c r="BN116" s="6"/>
      <c r="BO116" s="6"/>
      <c r="BP116" s="6"/>
      <c r="BQ116" s="484"/>
      <c r="BU116" s="470"/>
      <c r="BY116" s="470"/>
      <c r="CC116" s="470"/>
      <c r="CG116" s="470"/>
      <c r="CK116" s="470"/>
      <c r="CO116" s="470"/>
      <c r="CP116" s="413"/>
      <c r="CQ116" s="3"/>
      <c r="CR116" s="3"/>
      <c r="CS116" s="470"/>
      <c r="CT116" s="413"/>
      <c r="CU116" s="7"/>
      <c r="CV116" s="7"/>
      <c r="CW116" s="484"/>
      <c r="CX116" s="7"/>
      <c r="CY116" s="7"/>
      <c r="CZ116" s="7"/>
      <c r="DA116" s="484"/>
      <c r="DB116" s="7"/>
      <c r="DC116" s="7"/>
      <c r="DD116" s="7"/>
      <c r="DE116" s="484"/>
      <c r="DF116" s="7"/>
      <c r="DG116" s="7"/>
      <c r="DH116" s="7"/>
      <c r="DI116" s="484"/>
      <c r="DJ116" s="1671"/>
      <c r="DK116" s="7"/>
      <c r="DL116" s="7"/>
      <c r="DM116" s="484"/>
      <c r="DN116" s="413"/>
      <c r="DO116" s="470"/>
      <c r="EM116" s="6"/>
      <c r="ER116" s="413"/>
      <c r="ES116" s="3"/>
      <c r="ET116" s="3"/>
      <c r="EU116" s="3"/>
      <c r="EV116" s="3"/>
      <c r="EW116" s="3"/>
      <c r="EX116" s="7"/>
      <c r="EY116" s="7"/>
      <c r="EZ116" s="1671"/>
      <c r="FI116" s="413"/>
      <c r="FJ116"/>
      <c r="FK116"/>
      <c r="FL116"/>
      <c r="FM116"/>
      <c r="FN116"/>
      <c r="FO116"/>
      <c r="FS116" s="7"/>
      <c r="FT116" s="7"/>
      <c r="FU116"/>
      <c r="FV116" s="7"/>
      <c r="FW116" s="7"/>
      <c r="FX116" s="7"/>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row>
    <row r="117" spans="1:260" s="448" customFormat="1" ht="12.75" hidden="1" customHeight="1" outlineLevel="1" x14ac:dyDescent="0.2">
      <c r="A117" s="447" t="s">
        <v>190</v>
      </c>
      <c r="B117" s="435"/>
      <c r="C117" s="435"/>
      <c r="D117" s="435"/>
      <c r="E117" s="464"/>
      <c r="F117" s="435"/>
      <c r="G117" s="435"/>
      <c r="H117" s="435"/>
      <c r="I117" s="464"/>
      <c r="J117" s="435"/>
      <c r="K117" s="435"/>
      <c r="L117" s="435"/>
      <c r="M117" s="464"/>
      <c r="N117" s="435"/>
      <c r="O117" s="435"/>
      <c r="P117" s="435"/>
      <c r="Q117" s="464"/>
      <c r="R117" s="435"/>
      <c r="S117" s="435"/>
      <c r="T117" s="435"/>
      <c r="U117" s="464"/>
      <c r="V117" s="435"/>
      <c r="W117" s="435"/>
      <c r="X117" s="435"/>
      <c r="Y117" s="464"/>
      <c r="Z117" s="435"/>
      <c r="AA117" s="435"/>
      <c r="AB117" s="435"/>
      <c r="AC117" s="464"/>
      <c r="AD117" s="435"/>
      <c r="AE117" s="435"/>
      <c r="AF117" s="435"/>
      <c r="AG117" s="464"/>
      <c r="AH117" s="435"/>
      <c r="AI117" s="435"/>
      <c r="AJ117" s="435"/>
      <c r="AK117" s="464"/>
      <c r="AL117" s="435"/>
      <c r="AM117" s="435"/>
      <c r="AN117" s="435"/>
      <c r="AO117" s="464"/>
      <c r="AP117" s="435"/>
      <c r="AQ117" s="435"/>
      <c r="AR117" s="435"/>
      <c r="AS117" s="464"/>
      <c r="AT117" s="435"/>
      <c r="AU117" s="435"/>
      <c r="AV117" s="435"/>
      <c r="AW117" s="464"/>
      <c r="AX117" s="435"/>
      <c r="AY117" s="435"/>
      <c r="AZ117" s="435"/>
      <c r="BA117" s="464"/>
      <c r="BB117" s="435"/>
      <c r="BC117" s="435"/>
      <c r="BD117" s="435"/>
      <c r="BE117" s="464"/>
      <c r="BF117" s="435"/>
      <c r="BG117" s="435"/>
      <c r="BH117" s="435"/>
      <c r="BI117" s="464"/>
      <c r="BJ117" s="435"/>
      <c r="BK117" s="435"/>
      <c r="BL117" s="435"/>
      <c r="BM117" s="498"/>
      <c r="BN117" s="597"/>
      <c r="BO117" s="597"/>
      <c r="BP117" s="597"/>
      <c r="BQ117" s="609"/>
      <c r="BR117" s="450"/>
      <c r="BS117" s="450"/>
      <c r="BT117" s="450"/>
      <c r="BU117" s="505"/>
      <c r="BV117" s="450"/>
      <c r="BW117" s="450"/>
      <c r="BX117" s="450"/>
      <c r="BY117" s="505"/>
      <c r="BZ117" s="450"/>
      <c r="CA117" s="450"/>
      <c r="CB117" s="450"/>
      <c r="CC117" s="505"/>
      <c r="CD117" s="450"/>
      <c r="CE117" s="450"/>
      <c r="CF117" s="450"/>
      <c r="CG117" s="505"/>
      <c r="CH117" s="450"/>
      <c r="CI117" s="450"/>
      <c r="CJ117" s="450"/>
      <c r="CK117" s="505"/>
      <c r="CL117" s="450"/>
      <c r="CM117" s="450"/>
      <c r="CN117" s="450"/>
      <c r="CO117" s="505"/>
      <c r="CP117" s="1067"/>
      <c r="CQ117" s="1228"/>
      <c r="CR117" s="1228"/>
      <c r="CS117" s="1228"/>
      <c r="CT117" s="1067"/>
      <c r="CU117" s="1228"/>
      <c r="CV117" s="1228"/>
      <c r="CW117" s="1261"/>
      <c r="CX117" s="2231"/>
      <c r="CY117" s="2231"/>
      <c r="CZ117" s="2231"/>
      <c r="DA117" s="2232"/>
      <c r="DB117" s="2233"/>
      <c r="DC117" s="2233"/>
      <c r="DD117" s="2234"/>
      <c r="DE117" s="2234"/>
      <c r="DF117" s="2234"/>
      <c r="DG117" s="2233"/>
      <c r="DH117" s="2233"/>
      <c r="DI117" s="2234"/>
      <c r="DJ117" s="2697"/>
      <c r="DK117" s="597"/>
      <c r="DL117" s="597"/>
      <c r="DM117" s="2617"/>
      <c r="DN117" s="671"/>
      <c r="DO117" s="535"/>
      <c r="DP117" s="449"/>
      <c r="DQ117" s="449"/>
      <c r="DR117" s="449"/>
      <c r="DS117" s="449"/>
      <c r="DT117" s="449"/>
      <c r="DU117" s="449"/>
      <c r="DV117" s="449"/>
      <c r="DW117" s="449"/>
      <c r="DX117" s="435"/>
      <c r="DY117" s="435"/>
      <c r="DZ117" s="435"/>
      <c r="EA117" s="435"/>
      <c r="EB117" s="435"/>
      <c r="EC117" s="435"/>
      <c r="ED117" s="435"/>
      <c r="EE117" s="435"/>
      <c r="EF117" s="435"/>
      <c r="EG117" s="435"/>
      <c r="EH117" s="435"/>
      <c r="EI117" s="435"/>
      <c r="EJ117" s="435"/>
      <c r="EK117" s="435"/>
      <c r="EL117" s="435"/>
      <c r="EM117" s="597"/>
      <c r="EN117" s="450"/>
      <c r="EO117" s="450"/>
      <c r="EP117" s="450"/>
      <c r="EQ117" s="450"/>
      <c r="ER117" s="1067"/>
      <c r="ES117" s="450"/>
      <c r="ET117" s="450"/>
      <c r="EU117" s="597"/>
      <c r="EV117" s="597"/>
      <c r="EW117" s="597"/>
      <c r="EX117" s="597"/>
      <c r="EY117" s="597"/>
      <c r="EZ117" s="1793"/>
      <c r="FA117" s="435"/>
      <c r="FB117" s="435"/>
      <c r="FC117" s="435"/>
      <c r="FD117" s="435"/>
      <c r="FE117" s="435"/>
      <c r="FF117" s="435"/>
      <c r="FG117" s="435"/>
      <c r="FH117" s="435"/>
      <c r="FI117" s="671"/>
      <c r="FJ117"/>
      <c r="FK117"/>
      <c r="FL117"/>
      <c r="FM117"/>
      <c r="FN117"/>
      <c r="FO117"/>
      <c r="FP117" s="6"/>
      <c r="FQ117" s="4"/>
      <c r="FR117" s="4"/>
      <c r="FS117" s="335"/>
      <c r="FT117" s="335"/>
      <c r="FU117"/>
      <c r="FV117" s="335"/>
      <c r="FW117" s="335"/>
      <c r="FX117" s="335"/>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row>
    <row r="118" spans="1:260" s="4" customFormat="1" ht="12.75" hidden="1" customHeight="1" outlineLevel="1" x14ac:dyDescent="0.2">
      <c r="A118" s="3" t="s">
        <v>365</v>
      </c>
      <c r="B118" s="3"/>
      <c r="C118" s="3"/>
      <c r="D118" s="3"/>
      <c r="E118" s="470"/>
      <c r="I118" s="470"/>
      <c r="J118" s="15">
        <f t="shared" ref="J118:S120" si="430">J104+F104</f>
        <v>0.432</v>
      </c>
      <c r="K118" s="15">
        <f t="shared" si="430"/>
        <v>0.249</v>
      </c>
      <c r="L118" s="15">
        <f t="shared" si="430"/>
        <v>0.31</v>
      </c>
      <c r="M118" s="518">
        <f t="shared" si="430"/>
        <v>0.15400000000000003</v>
      </c>
      <c r="N118" s="15">
        <f t="shared" si="430"/>
        <v>9.8000000000000004E-2</v>
      </c>
      <c r="O118" s="15">
        <f t="shared" si="430"/>
        <v>0.10600000000000001</v>
      </c>
      <c r="P118" s="15">
        <f t="shared" si="430"/>
        <v>2.8999999999999998E-2</v>
      </c>
      <c r="Q118" s="518">
        <f t="shared" si="430"/>
        <v>-9.8000000000000004E-2</v>
      </c>
      <c r="R118" s="15">
        <f t="shared" si="430"/>
        <v>-4.6000000000000006E-2</v>
      </c>
      <c r="S118" s="15">
        <f t="shared" si="430"/>
        <v>-1.9000000000000003E-2</v>
      </c>
      <c r="T118" s="15">
        <f t="shared" ref="T118:AC120" si="431">T104+P104</f>
        <v>-8.5000000000000006E-2</v>
      </c>
      <c r="U118" s="518">
        <f t="shared" si="431"/>
        <v>5.7000000000000009E-2</v>
      </c>
      <c r="V118" s="15">
        <f t="shared" si="431"/>
        <v>7.0999999999999994E-2</v>
      </c>
      <c r="W118" s="15">
        <f t="shared" si="431"/>
        <v>0.123</v>
      </c>
      <c r="X118" s="15">
        <f t="shared" si="431"/>
        <v>0.11799999999999999</v>
      </c>
      <c r="Y118" s="518">
        <f t="shared" si="431"/>
        <v>0.27700000000000002</v>
      </c>
      <c r="Z118" s="15">
        <f t="shared" si="431"/>
        <v>0.28600000000000003</v>
      </c>
      <c r="AA118" s="15">
        <f t="shared" si="431"/>
        <v>0.28999999999999998</v>
      </c>
      <c r="AB118" s="15">
        <f t="shared" si="431"/>
        <v>0.13400000000000001</v>
      </c>
      <c r="AC118" s="518">
        <f t="shared" si="431"/>
        <v>0.218</v>
      </c>
      <c r="AD118" s="15">
        <f t="shared" ref="AD118:AM120" si="432">AD104+Z104</f>
        <v>0.22800000000000001</v>
      </c>
      <c r="AE118" s="15">
        <f t="shared" si="432"/>
        <v>0.16200000000000001</v>
      </c>
      <c r="AF118" s="15">
        <f t="shared" si="432"/>
        <v>7.0999999999999994E-2</v>
      </c>
      <c r="AG118" s="518">
        <f t="shared" si="432"/>
        <v>0.128</v>
      </c>
      <c r="AH118" s="15">
        <f t="shared" si="432"/>
        <v>6.4000000000000001E-2</v>
      </c>
      <c r="AI118" s="15">
        <f t="shared" si="432"/>
        <v>7.9000000000000001E-2</v>
      </c>
      <c r="AJ118" s="15">
        <f t="shared" si="432"/>
        <v>7.4999999999999997E-2</v>
      </c>
      <c r="AK118" s="518">
        <f t="shared" si="432"/>
        <v>6.3E-2</v>
      </c>
      <c r="AL118" s="15">
        <f t="shared" si="432"/>
        <v>3.5000000000000003E-2</v>
      </c>
      <c r="AM118" s="15">
        <f t="shared" si="432"/>
        <v>5.5E-2</v>
      </c>
      <c r="AN118" s="15">
        <f t="shared" ref="AN118:AW120" si="433">AN104+AJ104</f>
        <v>2.3E-2</v>
      </c>
      <c r="AO118" s="518">
        <f t="shared" si="433"/>
        <v>5.7999999999999996E-2</v>
      </c>
      <c r="AP118" s="15">
        <f t="shared" si="433"/>
        <v>8.8999999999999996E-2</v>
      </c>
      <c r="AQ118" s="15">
        <f t="shared" si="433"/>
        <v>0.105</v>
      </c>
      <c r="AR118" s="15">
        <f t="shared" si="433"/>
        <v>9.7000000000000003E-2</v>
      </c>
      <c r="AS118" s="518">
        <f t="shared" si="433"/>
        <v>0.112</v>
      </c>
      <c r="AT118" s="15">
        <f t="shared" si="433"/>
        <v>0.10700000000000001</v>
      </c>
      <c r="AU118" s="15">
        <f t="shared" si="433"/>
        <v>0.122</v>
      </c>
      <c r="AV118" s="15">
        <f t="shared" si="433"/>
        <v>0.12</v>
      </c>
      <c r="AW118" s="518">
        <f t="shared" si="433"/>
        <v>0.13</v>
      </c>
      <c r="AX118" s="15">
        <f t="shared" ref="AX118:BG120" si="434">AX104+AT104</f>
        <v>0.129</v>
      </c>
      <c r="AY118" s="15">
        <f t="shared" si="434"/>
        <v>8.199999999999999E-2</v>
      </c>
      <c r="AZ118" s="15">
        <f t="shared" si="434"/>
        <v>6.8000000000000005E-2</v>
      </c>
      <c r="BA118" s="518">
        <f t="shared" si="434"/>
        <v>0.105</v>
      </c>
      <c r="BB118" s="15">
        <f t="shared" si="434"/>
        <v>9.0999999999999998E-2</v>
      </c>
      <c r="BC118" s="15">
        <f t="shared" si="434"/>
        <v>6.8000000000000005E-2</v>
      </c>
      <c r="BD118" s="15">
        <f t="shared" si="434"/>
        <v>7.3999999999999996E-2</v>
      </c>
      <c r="BE118" s="518">
        <f t="shared" si="434"/>
        <v>0.122</v>
      </c>
      <c r="BF118" s="15">
        <f t="shared" si="434"/>
        <v>6.3E-2</v>
      </c>
      <c r="BG118" s="15">
        <f t="shared" si="434"/>
        <v>4.7E-2</v>
      </c>
      <c r="BH118" s="15">
        <f t="shared" ref="BH118:BQ120" si="435">BH104+BD104</f>
        <v>9.7000000000000003E-2</v>
      </c>
      <c r="BI118" s="518">
        <f t="shared" si="435"/>
        <v>3.9E-2</v>
      </c>
      <c r="BJ118" s="15">
        <f t="shared" si="435"/>
        <v>5.2000000000000005E-2</v>
      </c>
      <c r="BK118" s="15">
        <f t="shared" si="435"/>
        <v>7.0000000000000007E-2</v>
      </c>
      <c r="BL118" s="15">
        <f t="shared" si="435"/>
        <v>-2.0000000000000018E-3</v>
      </c>
      <c r="BM118" s="518">
        <f t="shared" si="435"/>
        <v>-5.7000000000000002E-2</v>
      </c>
      <c r="BN118" s="15">
        <f t="shared" si="435"/>
        <v>-1.3999999999999999E-2</v>
      </c>
      <c r="BO118" s="15">
        <f t="shared" si="435"/>
        <v>2.1999999999999999E-2</v>
      </c>
      <c r="BP118" s="15">
        <f t="shared" si="435"/>
        <v>-1.7000000000000001E-2</v>
      </c>
      <c r="BQ118" s="518">
        <f t="shared" si="435"/>
        <v>2.5999999999999995E-2</v>
      </c>
      <c r="BR118" s="15">
        <f t="shared" ref="BR118:BY120" si="436">BR104+BN104</f>
        <v>-3.0000000000000002E-2</v>
      </c>
      <c r="BS118" s="15">
        <f t="shared" si="436"/>
        <v>-4.4999999999999998E-2</v>
      </c>
      <c r="BT118" s="15">
        <f t="shared" si="436"/>
        <v>-4.0000000000000036E-3</v>
      </c>
      <c r="BU118" s="518">
        <f t="shared" si="436"/>
        <v>1.8999999999999996E-2</v>
      </c>
      <c r="BV118" s="15">
        <f t="shared" si="436"/>
        <v>-5.000000000000001E-3</v>
      </c>
      <c r="BW118" s="15">
        <f t="shared" si="436"/>
        <v>-4.1000000000000002E-2</v>
      </c>
      <c r="BX118" s="15">
        <f t="shared" si="436"/>
        <v>-4.1000000000000002E-2</v>
      </c>
      <c r="BY118" s="518">
        <f t="shared" si="436"/>
        <v>-7.6999999999999999E-2</v>
      </c>
      <c r="BZ118" s="15">
        <f>BZ104+BN104</f>
        <v>-2.0000000000000018E-3</v>
      </c>
      <c r="CA118" s="15">
        <f t="shared" ref="CA118:CC120" si="437">CA104+BO104</f>
        <v>-3.1E-2</v>
      </c>
      <c r="CB118" s="15">
        <f t="shared" si="437"/>
        <v>6.9999999999999993E-3</v>
      </c>
      <c r="CC118" s="518">
        <f t="shared" si="437"/>
        <v>2.1999999999999999E-2</v>
      </c>
      <c r="CD118" s="15">
        <f t="shared" ref="CD118:CK120" si="438">CD104+BZ104</f>
        <v>9.0000000000000011E-3</v>
      </c>
      <c r="CE118" s="15">
        <f t="shared" si="438"/>
        <v>-4.1000000000000002E-2</v>
      </c>
      <c r="CF118" s="15">
        <f t="shared" si="438"/>
        <v>-3.7999999999999999E-2</v>
      </c>
      <c r="CG118" s="518">
        <f t="shared" si="438"/>
        <v>-6.3E-2</v>
      </c>
      <c r="CH118" s="15">
        <f t="shared" si="438"/>
        <v>-7.4999999999999997E-2</v>
      </c>
      <c r="CI118" s="15">
        <f t="shared" si="438"/>
        <v>-5.7000000000000002E-2</v>
      </c>
      <c r="CJ118" s="15">
        <f t="shared" si="438"/>
        <v>-3.9E-2</v>
      </c>
      <c r="CK118" s="518">
        <f t="shared" si="438"/>
        <v>-2E-3</v>
      </c>
      <c r="CL118" s="15">
        <f t="shared" ref="CL118:CO120" si="439">CL104+CD104</f>
        <v>-7.4999999999999997E-2</v>
      </c>
      <c r="CM118" s="15">
        <f t="shared" si="439"/>
        <v>-5.7000000000000002E-2</v>
      </c>
      <c r="CN118" s="15">
        <f t="shared" si="439"/>
        <v>-3.9E-2</v>
      </c>
      <c r="CO118" s="518">
        <f t="shared" si="439"/>
        <v>-2E-3</v>
      </c>
      <c r="CP118" s="674">
        <f t="shared" ref="CP118:CX120" si="440">CP104+CL104</f>
        <v>-4.9000000000000002E-2</v>
      </c>
      <c r="CQ118" s="161">
        <f t="shared" si="440"/>
        <v>-0.02</v>
      </c>
      <c r="CR118" s="161">
        <f t="shared" si="440"/>
        <v>-2.2000000000000002E-2</v>
      </c>
      <c r="CS118" s="518">
        <f t="shared" si="440"/>
        <v>-3.0000000000000009E-3</v>
      </c>
      <c r="CT118" s="674">
        <f t="shared" si="440"/>
        <v>-2.5000000000000001E-2</v>
      </c>
      <c r="CU118" s="70">
        <f t="shared" si="440"/>
        <v>-2.4E-2</v>
      </c>
      <c r="CV118" s="70">
        <f t="shared" si="440"/>
        <v>0.05</v>
      </c>
      <c r="CW118" s="1275">
        <f t="shared" si="440"/>
        <v>1.6E-2</v>
      </c>
      <c r="CX118" s="70">
        <f t="shared" si="440"/>
        <v>-6.9999999999999993E-3</v>
      </c>
      <c r="CY118" s="70">
        <f t="shared" ref="CY118:DB120" si="441">CY104+CU104</f>
        <v>1.7999999999999999E-2</v>
      </c>
      <c r="CZ118" s="70">
        <f t="shared" si="441"/>
        <v>0.04</v>
      </c>
      <c r="DA118" s="487">
        <f t="shared" si="441"/>
        <v>1.0999999999999999E-2</v>
      </c>
      <c r="DB118" s="70">
        <f t="shared" si="441"/>
        <v>5.0000000000000001E-3</v>
      </c>
      <c r="DC118" s="70">
        <f t="shared" ref="DC118:DG120" si="442">DC104+CY104</f>
        <v>4.5999999999999999E-2</v>
      </c>
      <c r="DD118" s="70">
        <f t="shared" si="442"/>
        <v>2.5999999999999999E-2</v>
      </c>
      <c r="DE118" s="487">
        <f t="shared" si="442"/>
        <v>-2.6000000000000002E-2</v>
      </c>
      <c r="DF118" s="70">
        <f t="shared" ref="DF118:DM120" si="443">DF104+DB104</f>
        <v>1.3000000000000001E-2</v>
      </c>
      <c r="DG118" s="70">
        <f t="shared" si="442"/>
        <v>6.2E-2</v>
      </c>
      <c r="DH118" s="70">
        <f t="shared" si="443"/>
        <v>6.3E-2</v>
      </c>
      <c r="DI118" s="487">
        <f t="shared" si="443"/>
        <v>8.1000000000000003E-2</v>
      </c>
      <c r="DJ118" s="1673">
        <f t="shared" si="443"/>
        <v>4.9492354524772492E-2</v>
      </c>
      <c r="DK118" s="70">
        <f t="shared" si="443"/>
        <v>7.2262936943907161E-2</v>
      </c>
      <c r="DL118" s="70">
        <f t="shared" si="443"/>
        <v>6.0417252888211051E-2</v>
      </c>
      <c r="DM118" s="487">
        <f t="shared" si="443"/>
        <v>7.4459501297633512E-2</v>
      </c>
      <c r="DN118" s="674"/>
      <c r="DO118" s="470"/>
      <c r="DQ118" s="15"/>
      <c r="DR118" s="15">
        <f>DR104+DQ104</f>
        <v>0</v>
      </c>
      <c r="DS118" s="15">
        <f t="shared" ref="DS118:EO118" si="444">DS104+DR104</f>
        <v>0</v>
      </c>
      <c r="DT118" s="15">
        <f t="shared" si="444"/>
        <v>0</v>
      </c>
      <c r="DU118" s="15">
        <f t="shared" si="444"/>
        <v>0</v>
      </c>
      <c r="DV118" s="15">
        <f t="shared" si="444"/>
        <v>0</v>
      </c>
      <c r="DW118" s="15">
        <f t="shared" si="444"/>
        <v>0</v>
      </c>
      <c r="DX118" s="15">
        <f t="shared" si="444"/>
        <v>0</v>
      </c>
      <c r="DY118" s="15">
        <f t="shared" si="444"/>
        <v>0.19900000000000001</v>
      </c>
      <c r="DZ118" s="15">
        <f t="shared" si="444"/>
        <v>0.254</v>
      </c>
      <c r="EA118" s="15">
        <f t="shared" si="444"/>
        <v>8.0000000000000002E-3</v>
      </c>
      <c r="EB118" s="15">
        <f t="shared" si="444"/>
        <v>-2.7E-2</v>
      </c>
      <c r="EC118" s="15">
        <f t="shared" si="444"/>
        <v>0.15549656162770154</v>
      </c>
      <c r="ED118" s="15">
        <f t="shared" si="444"/>
        <v>0.24649656162770156</v>
      </c>
      <c r="EE118" s="15">
        <f t="shared" si="444"/>
        <v>0.16</v>
      </c>
      <c r="EF118" s="15">
        <f t="shared" si="444"/>
        <v>6.8413664884963976E-2</v>
      </c>
      <c r="EG118" s="15">
        <f t="shared" si="444"/>
        <v>4.4762033605833987E-2</v>
      </c>
      <c r="EH118" s="15">
        <f t="shared" si="444"/>
        <v>0.10287435297283851</v>
      </c>
      <c r="EI118" s="15">
        <f t="shared" si="444"/>
        <v>0.12191564951033704</v>
      </c>
      <c r="EJ118" s="15">
        <f t="shared" si="444"/>
        <v>9.5389665258368533E-2</v>
      </c>
      <c r="EK118" s="15">
        <f t="shared" si="444"/>
        <v>9.1999999999999998E-2</v>
      </c>
      <c r="EL118" s="15">
        <f t="shared" si="444"/>
        <v>0.06</v>
      </c>
      <c r="EM118" s="15">
        <f t="shared" si="444"/>
        <v>6.0000000000000001E-3</v>
      </c>
      <c r="EN118" s="15">
        <f t="shared" si="444"/>
        <v>4.0000000000000018E-3</v>
      </c>
      <c r="EO118" s="15">
        <f t="shared" si="444"/>
        <v>-1.2999999999999998E-2</v>
      </c>
      <c r="EP118" s="15">
        <f>EP104+EO104</f>
        <v>-5.5075394514202583E-2</v>
      </c>
      <c r="EQ118" s="15">
        <f>EQ104+EN104</f>
        <v>0</v>
      </c>
      <c r="ER118" s="674">
        <f t="shared" ref="ER118:ES120" si="445">ER104+EQ104</f>
        <v>-3.8000000000000006E-2</v>
      </c>
      <c r="ES118" s="161">
        <f t="shared" si="445"/>
        <v>-3.8000000000000006E-2</v>
      </c>
      <c r="ET118" s="161">
        <f>ET104+ER104</f>
        <v>-3.8000000000000006E-2</v>
      </c>
      <c r="EU118" s="161">
        <f t="shared" ref="EU118:EV120" si="446">EU104+ET104</f>
        <v>-2.0426432228939785E-2</v>
      </c>
      <c r="EV118" s="161">
        <f t="shared" si="446"/>
        <v>5.1947763301548062E-3</v>
      </c>
      <c r="EW118" s="161">
        <f t="shared" ref="EW118:FC120" si="447">EW104+EV104</f>
        <v>1.4704771491801712E-2</v>
      </c>
      <c r="EX118" s="70">
        <f t="shared" si="447"/>
        <v>9.0800816985987659E-3</v>
      </c>
      <c r="EY118" s="70">
        <f t="shared" si="447"/>
        <v>5.899651876589164E-2</v>
      </c>
      <c r="EZ118" s="1673">
        <f t="shared" si="447"/>
        <v>6.6630606375747498E-2</v>
      </c>
      <c r="FA118" s="77">
        <f t="shared" si="447"/>
        <v>2.0816542563269633E-2</v>
      </c>
      <c r="FB118" s="77">
        <f t="shared" si="447"/>
        <v>2.068658311809074E-2</v>
      </c>
      <c r="FC118" s="77">
        <f t="shared" si="447"/>
        <v>2.0861474427509054E-2</v>
      </c>
      <c r="FD118" s="77">
        <f t="shared" ref="FD118:FH120" si="448">FD104+FC104</f>
        <v>2.6139134248109205E-2</v>
      </c>
      <c r="FE118" s="77">
        <f t="shared" si="448"/>
        <v>3.1942914690896863E-2</v>
      </c>
      <c r="FF118" s="77">
        <f t="shared" si="448"/>
        <v>3.2725331721662594E-2</v>
      </c>
      <c r="FG118" s="77">
        <f t="shared" si="448"/>
        <v>3.3527337919560959E-2</v>
      </c>
      <c r="FH118" s="77">
        <f t="shared" si="448"/>
        <v>3.4348830500288405E-2</v>
      </c>
      <c r="FI118" s="413"/>
      <c r="FJ118"/>
      <c r="FK118"/>
      <c r="FL118"/>
      <c r="FM118"/>
      <c r="FN118"/>
      <c r="FO118"/>
      <c r="FS118" s="70"/>
      <c r="FT118" s="70"/>
      <c r="FU118"/>
      <c r="FV118" s="70"/>
      <c r="FW118" s="70"/>
      <c r="FX118" s="70"/>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row>
    <row r="119" spans="1:260" s="4" customFormat="1" ht="12.75" hidden="1" customHeight="1" outlineLevel="1" x14ac:dyDescent="0.2">
      <c r="A119" s="3" t="s">
        <v>366</v>
      </c>
      <c r="B119" s="3"/>
      <c r="C119" s="3"/>
      <c r="D119" s="3"/>
      <c r="E119" s="470"/>
      <c r="I119" s="470"/>
      <c r="J119" s="15">
        <f t="shared" si="430"/>
        <v>0</v>
      </c>
      <c r="K119" s="15">
        <f t="shared" si="430"/>
        <v>0</v>
      </c>
      <c r="L119" s="15">
        <f t="shared" si="430"/>
        <v>0</v>
      </c>
      <c r="M119" s="518">
        <f t="shared" si="430"/>
        <v>0</v>
      </c>
      <c r="N119" s="15">
        <f t="shared" si="430"/>
        <v>0</v>
      </c>
      <c r="O119" s="15">
        <f t="shared" si="430"/>
        <v>0</v>
      </c>
      <c r="P119" s="15">
        <f t="shared" si="430"/>
        <v>0</v>
      </c>
      <c r="Q119" s="518">
        <f t="shared" si="430"/>
        <v>0</v>
      </c>
      <c r="R119" s="15">
        <f t="shared" si="430"/>
        <v>0</v>
      </c>
      <c r="S119" s="15">
        <f t="shared" si="430"/>
        <v>0</v>
      </c>
      <c r="T119" s="15">
        <f t="shared" si="431"/>
        <v>0</v>
      </c>
      <c r="U119" s="518">
        <f t="shared" si="431"/>
        <v>0</v>
      </c>
      <c r="V119" s="15">
        <f t="shared" si="431"/>
        <v>0</v>
      </c>
      <c r="W119" s="15">
        <f t="shared" si="431"/>
        <v>0</v>
      </c>
      <c r="X119" s="15">
        <f t="shared" si="431"/>
        <v>0</v>
      </c>
      <c r="Y119" s="518">
        <f t="shared" si="431"/>
        <v>0</v>
      </c>
      <c r="Z119" s="15">
        <f t="shared" si="431"/>
        <v>0</v>
      </c>
      <c r="AA119" s="15">
        <f t="shared" si="431"/>
        <v>0</v>
      </c>
      <c r="AB119" s="15">
        <f t="shared" si="431"/>
        <v>0</v>
      </c>
      <c r="AC119" s="518">
        <f t="shared" si="431"/>
        <v>0</v>
      </c>
      <c r="AD119" s="15">
        <f t="shared" si="432"/>
        <v>0</v>
      </c>
      <c r="AE119" s="15">
        <f t="shared" si="432"/>
        <v>0</v>
      </c>
      <c r="AF119" s="15">
        <f t="shared" si="432"/>
        <v>0</v>
      </c>
      <c r="AG119" s="518">
        <f t="shared" si="432"/>
        <v>0</v>
      </c>
      <c r="AH119" s="15">
        <f t="shared" si="432"/>
        <v>6.3E-2</v>
      </c>
      <c r="AI119" s="15">
        <f t="shared" si="432"/>
        <v>0.151</v>
      </c>
      <c r="AJ119" s="15">
        <f t="shared" si="432"/>
        <v>0.11199999999999999</v>
      </c>
      <c r="AK119" s="518">
        <f t="shared" si="432"/>
        <v>0.16500000000000001</v>
      </c>
      <c r="AL119" s="15">
        <f t="shared" si="432"/>
        <v>0.159</v>
      </c>
      <c r="AM119" s="15">
        <f t="shared" si="432"/>
        <v>0.22</v>
      </c>
      <c r="AN119" s="15">
        <f t="shared" si="433"/>
        <v>0.15</v>
      </c>
      <c r="AO119" s="518">
        <f t="shared" si="433"/>
        <v>0.17100000000000001</v>
      </c>
      <c r="AP119" s="15">
        <f t="shared" si="433"/>
        <v>9.6000000000000002E-2</v>
      </c>
      <c r="AQ119" s="15">
        <f t="shared" si="433"/>
        <v>0.11000000000000001</v>
      </c>
      <c r="AR119" s="15">
        <f t="shared" si="433"/>
        <v>7.8E-2</v>
      </c>
      <c r="AS119" s="518">
        <f t="shared" si="433"/>
        <v>8.5000000000000006E-2</v>
      </c>
      <c r="AT119" s="15">
        <f t="shared" si="433"/>
        <v>7.1999999999999995E-2</v>
      </c>
      <c r="AU119" s="15">
        <f t="shared" si="433"/>
        <v>7.1000000000000008E-2</v>
      </c>
      <c r="AV119" s="15">
        <f t="shared" si="433"/>
        <v>0.09</v>
      </c>
      <c r="AW119" s="518">
        <f t="shared" si="433"/>
        <v>8.4000000000000005E-2</v>
      </c>
      <c r="AX119" s="15">
        <f t="shared" si="434"/>
        <v>0.10199999999999999</v>
      </c>
      <c r="AY119" s="15">
        <f t="shared" si="434"/>
        <v>3.9E-2</v>
      </c>
      <c r="AZ119" s="15">
        <f t="shared" si="434"/>
        <v>4.5000000000000005E-2</v>
      </c>
      <c r="BA119" s="518">
        <f t="shared" si="434"/>
        <v>6.9000000000000006E-2</v>
      </c>
      <c r="BB119" s="15">
        <f t="shared" si="434"/>
        <v>0.10099999999999999</v>
      </c>
      <c r="BC119" s="15">
        <f t="shared" si="434"/>
        <v>0.10199999999999999</v>
      </c>
      <c r="BD119" s="15">
        <f t="shared" si="434"/>
        <v>0.13200000000000001</v>
      </c>
      <c r="BE119" s="518">
        <f t="shared" si="434"/>
        <v>0.20400000000000001</v>
      </c>
      <c r="BF119" s="15">
        <f t="shared" si="434"/>
        <v>0.19900000000000001</v>
      </c>
      <c r="BG119" s="15">
        <f t="shared" si="434"/>
        <v>0.25600000000000001</v>
      </c>
      <c r="BH119" s="15">
        <f t="shared" si="435"/>
        <v>0.23</v>
      </c>
      <c r="BI119" s="518">
        <f t="shared" si="435"/>
        <v>0.17400000000000002</v>
      </c>
      <c r="BJ119" s="15">
        <f t="shared" si="435"/>
        <v>0.17499999999999999</v>
      </c>
      <c r="BK119" s="15">
        <f t="shared" si="435"/>
        <v>0.153</v>
      </c>
      <c r="BL119" s="15">
        <f t="shared" si="435"/>
        <v>9.6000000000000002E-2</v>
      </c>
      <c r="BM119" s="518">
        <f t="shared" si="435"/>
        <v>-1.8999999999999996E-2</v>
      </c>
      <c r="BN119" s="15">
        <f t="shared" si="435"/>
        <v>-9.2000000000000012E-2</v>
      </c>
      <c r="BO119" s="15">
        <f t="shared" si="435"/>
        <v>-9.2999999999999999E-2</v>
      </c>
      <c r="BP119" s="15">
        <f t="shared" si="435"/>
        <v>-6.4000000000000001E-2</v>
      </c>
      <c r="BQ119" s="518">
        <f t="shared" si="435"/>
        <v>2.0000000000000018E-3</v>
      </c>
      <c r="BR119" s="15">
        <f t="shared" si="436"/>
        <v>-7.6000000000000012E-2</v>
      </c>
      <c r="BS119" s="15">
        <f t="shared" si="436"/>
        <v>-4.0000000000000008E-2</v>
      </c>
      <c r="BT119" s="15">
        <f t="shared" si="436"/>
        <v>-4.4000000000000004E-2</v>
      </c>
      <c r="BU119" s="518">
        <f t="shared" si="436"/>
        <v>4.2000000000000003E-2</v>
      </c>
      <c r="BV119" s="15">
        <f t="shared" si="436"/>
        <v>6.7000000000000004E-2</v>
      </c>
      <c r="BW119" s="15">
        <f t="shared" si="436"/>
        <v>1.0999999999999996E-2</v>
      </c>
      <c r="BX119" s="15">
        <f t="shared" si="436"/>
        <v>5.9999999999999984E-3</v>
      </c>
      <c r="BY119" s="518">
        <f t="shared" si="436"/>
        <v>-4.2000000000000003E-2</v>
      </c>
      <c r="BZ119" s="15">
        <f>BZ105+BN105</f>
        <v>-6.8000000000000019E-2</v>
      </c>
      <c r="CA119" s="15">
        <f t="shared" si="437"/>
        <v>-3.4000000000000002E-2</v>
      </c>
      <c r="CB119" s="15">
        <f t="shared" si="437"/>
        <v>-4.1000000000000009E-2</v>
      </c>
      <c r="CC119" s="518">
        <f t="shared" si="437"/>
        <v>3.5000000000000003E-2</v>
      </c>
      <c r="CD119" s="15">
        <f t="shared" si="438"/>
        <v>6.8999999999999992E-2</v>
      </c>
      <c r="CE119" s="15">
        <f t="shared" si="438"/>
        <v>2.1000000000000001E-2</v>
      </c>
      <c r="CF119" s="15">
        <f t="shared" si="438"/>
        <v>-6.0000000000000019E-3</v>
      </c>
      <c r="CG119" s="518">
        <f t="shared" si="438"/>
        <v>-3.7999999999999999E-2</v>
      </c>
      <c r="CH119" s="15">
        <f t="shared" si="438"/>
        <v>-0.107</v>
      </c>
      <c r="CI119" s="15">
        <f t="shared" si="438"/>
        <v>-0.11</v>
      </c>
      <c r="CJ119" s="15">
        <f t="shared" si="438"/>
        <v>-8.3999999999999991E-2</v>
      </c>
      <c r="CK119" s="518">
        <f t="shared" si="438"/>
        <v>-8.4000000000000005E-2</v>
      </c>
      <c r="CL119" s="15">
        <f t="shared" si="439"/>
        <v>-0.13600000000000001</v>
      </c>
      <c r="CM119" s="15">
        <f t="shared" si="439"/>
        <v>-0.14100000000000001</v>
      </c>
      <c r="CN119" s="15">
        <f t="shared" si="439"/>
        <v>-0.13500000000000001</v>
      </c>
      <c r="CO119" s="518">
        <f t="shared" si="439"/>
        <v>-0.14399999999999999</v>
      </c>
      <c r="CP119" s="674">
        <f t="shared" si="440"/>
        <v>-0.19800000000000001</v>
      </c>
      <c r="CQ119" s="161">
        <f t="shared" si="440"/>
        <v>-0.184</v>
      </c>
      <c r="CR119" s="161">
        <f t="shared" si="440"/>
        <v>-0.17399999999999999</v>
      </c>
      <c r="CS119" s="518">
        <f t="shared" si="440"/>
        <v>-0.14599999999999999</v>
      </c>
      <c r="CT119" s="674">
        <f t="shared" si="440"/>
        <v>-0.13</v>
      </c>
      <c r="CU119" s="70">
        <f t="shared" si="440"/>
        <v>-0.10899999999999999</v>
      </c>
      <c r="CV119" s="70">
        <f t="shared" si="440"/>
        <v>-7.2999999999999995E-2</v>
      </c>
      <c r="CW119" s="487">
        <f t="shared" si="440"/>
        <v>-0.06</v>
      </c>
      <c r="CX119" s="70">
        <f t="shared" si="440"/>
        <v>-6.0000000000000005E-2</v>
      </c>
      <c r="CY119" s="70">
        <f t="shared" si="441"/>
        <v>-6.8000000000000005E-2</v>
      </c>
      <c r="CZ119" s="70">
        <f t="shared" si="441"/>
        <v>3.0000000000000001E-3</v>
      </c>
      <c r="DA119" s="487">
        <f t="shared" si="441"/>
        <v>-0.05</v>
      </c>
      <c r="DB119" s="70">
        <f t="shared" si="441"/>
        <v>-6.0000000000000001E-3</v>
      </c>
      <c r="DC119" s="70">
        <f t="shared" si="442"/>
        <v>1.1000000000000003E-2</v>
      </c>
      <c r="DD119" s="70">
        <f t="shared" si="442"/>
        <v>2.3E-2</v>
      </c>
      <c r="DE119" s="487">
        <f t="shared" si="442"/>
        <v>-1.0000000000000009E-3</v>
      </c>
      <c r="DF119" s="70">
        <f t="shared" si="443"/>
        <v>2.8000000000000001E-2</v>
      </c>
      <c r="DG119" s="70">
        <f t="shared" si="442"/>
        <v>8.7999999999999995E-2</v>
      </c>
      <c r="DH119" s="70">
        <f t="shared" si="443"/>
        <v>5.5999999999999994E-2</v>
      </c>
      <c r="DI119" s="487">
        <f t="shared" si="443"/>
        <v>0.108</v>
      </c>
      <c r="DJ119" s="1673">
        <f t="shared" si="443"/>
        <v>0.06</v>
      </c>
      <c r="DK119" s="70">
        <f t="shared" si="443"/>
        <v>4.9500000000000002E-2</v>
      </c>
      <c r="DL119" s="70">
        <f t="shared" si="443"/>
        <v>4.8000000000000001E-2</v>
      </c>
      <c r="DM119" s="487">
        <f t="shared" si="443"/>
        <v>0.124</v>
      </c>
      <c r="DN119" s="674"/>
      <c r="DO119" s="470"/>
      <c r="DQ119" s="15"/>
      <c r="DR119" s="15">
        <f>DR105+DQ105</f>
        <v>0</v>
      </c>
      <c r="DS119" s="15">
        <f t="shared" ref="DS119:EO119" si="449">DS105+DR105</f>
        <v>0</v>
      </c>
      <c r="DT119" s="15">
        <f t="shared" si="449"/>
        <v>0</v>
      </c>
      <c r="DU119" s="15">
        <f t="shared" si="449"/>
        <v>0</v>
      </c>
      <c r="DV119" s="15">
        <f t="shared" si="449"/>
        <v>0</v>
      </c>
      <c r="DW119" s="15">
        <f t="shared" si="449"/>
        <v>0</v>
      </c>
      <c r="DX119" s="15">
        <f t="shared" si="449"/>
        <v>0</v>
      </c>
      <c r="DY119" s="15">
        <f t="shared" si="449"/>
        <v>0</v>
      </c>
      <c r="DZ119" s="15">
        <f t="shared" si="449"/>
        <v>0</v>
      </c>
      <c r="EA119" s="15">
        <f t="shared" si="449"/>
        <v>0</v>
      </c>
      <c r="EB119" s="15">
        <f t="shared" si="449"/>
        <v>0</v>
      </c>
      <c r="EC119" s="15">
        <f t="shared" si="449"/>
        <v>0</v>
      </c>
      <c r="ED119" s="15">
        <f t="shared" si="449"/>
        <v>0</v>
      </c>
      <c r="EE119" s="15">
        <f t="shared" si="449"/>
        <v>0</v>
      </c>
      <c r="EF119" s="15">
        <f t="shared" si="449"/>
        <v>0.12916373411253704</v>
      </c>
      <c r="EG119" s="15">
        <f t="shared" si="449"/>
        <v>0.17292901528613117</v>
      </c>
      <c r="EH119" s="15">
        <f t="shared" si="449"/>
        <v>9.1473039794283784E-2</v>
      </c>
      <c r="EI119" s="15">
        <f t="shared" si="449"/>
        <v>8.1309676234326028E-2</v>
      </c>
      <c r="EJ119" s="15">
        <f t="shared" si="449"/>
        <v>6.160191761363637E-2</v>
      </c>
      <c r="EK119" s="15">
        <f t="shared" si="449"/>
        <v>0.14500000000000002</v>
      </c>
      <c r="EL119" s="15">
        <f t="shared" si="449"/>
        <v>0.20700000000000002</v>
      </c>
      <c r="EM119" s="15">
        <f t="shared" si="449"/>
        <v>8.1000000000000003E-2</v>
      </c>
      <c r="EN119" s="15">
        <f t="shared" si="449"/>
        <v>-4.5999999999999999E-2</v>
      </c>
      <c r="EO119" s="15">
        <f t="shared" si="449"/>
        <v>-1.2999999999999998E-2</v>
      </c>
      <c r="EP119" s="15">
        <f>EP105+EO105</f>
        <v>4.662235729652596E-3</v>
      </c>
      <c r="EQ119" s="15">
        <f>EQ105+EN105</f>
        <v>-1.1999999999999997E-2</v>
      </c>
      <c r="ER119" s="674">
        <f t="shared" si="445"/>
        <v>5.000000000000001E-3</v>
      </c>
      <c r="ES119" s="161">
        <f t="shared" si="445"/>
        <v>-8.4000000000000005E-2</v>
      </c>
      <c r="ET119" s="161">
        <f>ET105+ER105</f>
        <v>-0.13999999999999999</v>
      </c>
      <c r="EU119" s="161">
        <f t="shared" si="446"/>
        <v>-0.17491218735946309</v>
      </c>
      <c r="EV119" s="161">
        <f t="shared" si="446"/>
        <v>-9.053454874784303E-2</v>
      </c>
      <c r="EW119" s="161">
        <f t="shared" si="447"/>
        <v>-4.267556044184985E-2</v>
      </c>
      <c r="EX119" s="70">
        <f t="shared" si="447"/>
        <v>6.4626003723912868E-3</v>
      </c>
      <c r="EY119" s="70">
        <f t="shared" si="447"/>
        <v>7.6589104956371404E-2</v>
      </c>
      <c r="EZ119" s="1673">
        <f t="shared" si="447"/>
        <v>7.9395555423337538E-2</v>
      </c>
      <c r="FA119" s="77">
        <f t="shared" si="447"/>
        <v>2.6322249892827332E-2</v>
      </c>
      <c r="FB119" s="77">
        <f t="shared" si="447"/>
        <v>0.02</v>
      </c>
      <c r="FC119" s="77">
        <f t="shared" si="447"/>
        <v>0.01</v>
      </c>
      <c r="FD119" s="77">
        <f t="shared" si="448"/>
        <v>0</v>
      </c>
      <c r="FE119" s="77">
        <f t="shared" si="448"/>
        <v>0</v>
      </c>
      <c r="FF119" s="77">
        <f t="shared" si="448"/>
        <v>0</v>
      </c>
      <c r="FG119" s="77">
        <f t="shared" si="448"/>
        <v>0</v>
      </c>
      <c r="FH119" s="77">
        <f t="shared" si="448"/>
        <v>0</v>
      </c>
      <c r="FI119" s="413"/>
      <c r="FJ119"/>
      <c r="FK119"/>
      <c r="FL119"/>
      <c r="FM119"/>
      <c r="FN119"/>
      <c r="FO119"/>
      <c r="FS119" s="70"/>
      <c r="FT119" s="70"/>
      <c r="FU119"/>
      <c r="FV119" s="70"/>
      <c r="FW119" s="70"/>
      <c r="FX119" s="70"/>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row>
    <row r="120" spans="1:260" s="4" customFormat="1" ht="12.75" hidden="1" customHeight="1" outlineLevel="1" x14ac:dyDescent="0.2">
      <c r="A120" s="3" t="s">
        <v>367</v>
      </c>
      <c r="B120" s="3"/>
      <c r="C120" s="3"/>
      <c r="D120" s="3"/>
      <c r="E120" s="470"/>
      <c r="I120" s="470"/>
      <c r="J120" s="15">
        <f t="shared" si="430"/>
        <v>0</v>
      </c>
      <c r="K120" s="15">
        <f t="shared" si="430"/>
        <v>0</v>
      </c>
      <c r="L120" s="15">
        <f t="shared" si="430"/>
        <v>0</v>
      </c>
      <c r="M120" s="518">
        <f t="shared" si="430"/>
        <v>0</v>
      </c>
      <c r="N120" s="15">
        <f t="shared" si="430"/>
        <v>0</v>
      </c>
      <c r="O120" s="15">
        <f t="shared" si="430"/>
        <v>0</v>
      </c>
      <c r="P120" s="15">
        <f t="shared" si="430"/>
        <v>0</v>
      </c>
      <c r="Q120" s="518">
        <f t="shared" si="430"/>
        <v>0</v>
      </c>
      <c r="R120" s="15">
        <f t="shared" si="430"/>
        <v>0</v>
      </c>
      <c r="S120" s="15">
        <f t="shared" si="430"/>
        <v>0</v>
      </c>
      <c r="T120" s="15">
        <f t="shared" si="431"/>
        <v>0</v>
      </c>
      <c r="U120" s="518">
        <f t="shared" si="431"/>
        <v>0</v>
      </c>
      <c r="V120" s="15">
        <f t="shared" si="431"/>
        <v>0</v>
      </c>
      <c r="W120" s="15">
        <f t="shared" si="431"/>
        <v>0</v>
      </c>
      <c r="X120" s="15">
        <f t="shared" si="431"/>
        <v>0</v>
      </c>
      <c r="Y120" s="518">
        <f t="shared" si="431"/>
        <v>0</v>
      </c>
      <c r="Z120" s="15">
        <f t="shared" si="431"/>
        <v>0</v>
      </c>
      <c r="AA120" s="15">
        <f t="shared" si="431"/>
        <v>0</v>
      </c>
      <c r="AB120" s="15">
        <f t="shared" si="431"/>
        <v>0</v>
      </c>
      <c r="AC120" s="518">
        <f t="shared" si="431"/>
        <v>0</v>
      </c>
      <c r="AD120" s="15">
        <f t="shared" si="432"/>
        <v>0</v>
      </c>
      <c r="AE120" s="15">
        <f t="shared" si="432"/>
        <v>0</v>
      </c>
      <c r="AF120" s="15">
        <f t="shared" si="432"/>
        <v>0</v>
      </c>
      <c r="AG120" s="518">
        <f t="shared" si="432"/>
        <v>0</v>
      </c>
      <c r="AH120" s="15">
        <f t="shared" si="432"/>
        <v>0</v>
      </c>
      <c r="AI120" s="15">
        <f t="shared" si="432"/>
        <v>0</v>
      </c>
      <c r="AJ120" s="15">
        <f t="shared" si="432"/>
        <v>0</v>
      </c>
      <c r="AK120" s="518">
        <f t="shared" si="432"/>
        <v>0</v>
      </c>
      <c r="AL120" s="15">
        <f t="shared" si="432"/>
        <v>0</v>
      </c>
      <c r="AM120" s="15">
        <f t="shared" si="432"/>
        <v>0</v>
      </c>
      <c r="AN120" s="15">
        <f t="shared" si="433"/>
        <v>0</v>
      </c>
      <c r="AO120" s="518">
        <f t="shared" si="433"/>
        <v>0</v>
      </c>
      <c r="AP120" s="15">
        <f t="shared" si="433"/>
        <v>0</v>
      </c>
      <c r="AQ120" s="15">
        <f t="shared" si="433"/>
        <v>0</v>
      </c>
      <c r="AR120" s="15">
        <f t="shared" si="433"/>
        <v>0</v>
      </c>
      <c r="AS120" s="518">
        <f t="shared" si="433"/>
        <v>0</v>
      </c>
      <c r="AT120" s="15">
        <f t="shared" si="433"/>
        <v>0</v>
      </c>
      <c r="AU120" s="15">
        <f t="shared" si="433"/>
        <v>0</v>
      </c>
      <c r="AV120" s="15">
        <f t="shared" si="433"/>
        <v>0</v>
      </c>
      <c r="AW120" s="518">
        <f t="shared" si="433"/>
        <v>0</v>
      </c>
      <c r="AX120" s="15">
        <f t="shared" si="434"/>
        <v>4.3999999999999997E-2</v>
      </c>
      <c r="AY120" s="15">
        <f t="shared" si="434"/>
        <v>3.5000000000000003E-2</v>
      </c>
      <c r="AZ120" s="15">
        <f t="shared" si="434"/>
        <v>3.3000000000000002E-2</v>
      </c>
      <c r="BA120" s="518">
        <f t="shared" si="434"/>
        <v>7.2999999999999995E-2</v>
      </c>
      <c r="BB120" s="15">
        <f t="shared" si="434"/>
        <v>9.2999999999999999E-2</v>
      </c>
      <c r="BC120" s="15">
        <f t="shared" si="434"/>
        <v>7.2000000000000008E-2</v>
      </c>
      <c r="BD120" s="15">
        <f t="shared" si="434"/>
        <v>8.1000000000000003E-2</v>
      </c>
      <c r="BE120" s="518">
        <f t="shared" si="434"/>
        <v>0.13200000000000001</v>
      </c>
      <c r="BF120" s="15">
        <f t="shared" si="434"/>
        <v>7.9000000000000001E-2</v>
      </c>
      <c r="BG120" s="15">
        <f t="shared" si="434"/>
        <v>7.2999999999999995E-2</v>
      </c>
      <c r="BH120" s="15">
        <f t="shared" si="435"/>
        <v>0.115</v>
      </c>
      <c r="BI120" s="518">
        <f t="shared" si="435"/>
        <v>5.6999999999999995E-2</v>
      </c>
      <c r="BJ120" s="15">
        <f t="shared" si="435"/>
        <v>6.7000000000000004E-2</v>
      </c>
      <c r="BK120" s="15">
        <f t="shared" si="435"/>
        <v>7.8E-2</v>
      </c>
      <c r="BL120" s="15">
        <f t="shared" si="435"/>
        <v>1.4000000000000005E-2</v>
      </c>
      <c r="BM120" s="518">
        <f t="shared" si="435"/>
        <v>-5.1000000000000004E-2</v>
      </c>
      <c r="BN120" s="15">
        <f t="shared" si="435"/>
        <v>-2.5000000000000001E-2</v>
      </c>
      <c r="BO120" s="15">
        <f t="shared" si="435"/>
        <v>3.0000000000000027E-3</v>
      </c>
      <c r="BP120" s="15">
        <f t="shared" si="435"/>
        <v>-3.5999999999999997E-2</v>
      </c>
      <c r="BQ120" s="518">
        <f t="shared" si="435"/>
        <v>2.1000000000000005E-2</v>
      </c>
      <c r="BR120" s="15">
        <f t="shared" si="436"/>
        <v>-3.4000000000000002E-2</v>
      </c>
      <c r="BS120" s="15">
        <f t="shared" si="436"/>
        <v>-0.04</v>
      </c>
      <c r="BT120" s="15">
        <f t="shared" si="436"/>
        <v>-1.6E-2</v>
      </c>
      <c r="BU120" s="518">
        <f t="shared" si="436"/>
        <v>2.4000000000000007E-2</v>
      </c>
      <c r="BV120" s="15">
        <f t="shared" si="436"/>
        <v>1.0759049360146253E-2</v>
      </c>
      <c r="BW120" s="15">
        <f t="shared" si="436"/>
        <v>-2.9000000000000001E-2</v>
      </c>
      <c r="BX120" s="15">
        <f t="shared" si="436"/>
        <v>-3.0000000000000002E-2</v>
      </c>
      <c r="BY120" s="518">
        <f t="shared" si="436"/>
        <v>-7.0000000000000007E-2</v>
      </c>
      <c r="BZ120" s="15">
        <f>BZ106+BN106</f>
        <v>-1.0000000000000002E-2</v>
      </c>
      <c r="CA120" s="15">
        <f t="shared" si="437"/>
        <v>-2.8999999999999998E-2</v>
      </c>
      <c r="CB120" s="15">
        <f t="shared" si="437"/>
        <v>-6.9999999999999993E-3</v>
      </c>
      <c r="CC120" s="518">
        <f t="shared" si="437"/>
        <v>2.4000000000000007E-2</v>
      </c>
      <c r="CD120" s="15">
        <f t="shared" si="438"/>
        <v>2.1999999999999999E-2</v>
      </c>
      <c r="CE120" s="15">
        <f t="shared" si="438"/>
        <v>-2.7999999999999997E-2</v>
      </c>
      <c r="CF120" s="15">
        <f t="shared" si="438"/>
        <v>-3.1E-2</v>
      </c>
      <c r="CG120" s="518">
        <f t="shared" si="438"/>
        <v>-5.8999999999999997E-2</v>
      </c>
      <c r="CH120" s="15">
        <f t="shared" si="438"/>
        <v>-8.299999999999999E-2</v>
      </c>
      <c r="CI120" s="15">
        <f t="shared" si="438"/>
        <v>-7.0000000000000007E-2</v>
      </c>
      <c r="CJ120" s="15">
        <f t="shared" si="438"/>
        <v>-4.9999999999999996E-2</v>
      </c>
      <c r="CK120" s="518">
        <f t="shared" si="438"/>
        <v>-2.0999999999999998E-2</v>
      </c>
      <c r="CL120" s="15">
        <f t="shared" si="439"/>
        <v>-8.199999999999999E-2</v>
      </c>
      <c r="CM120" s="15">
        <f t="shared" si="439"/>
        <v>-7.1000000000000008E-2</v>
      </c>
      <c r="CN120" s="15">
        <f t="shared" si="439"/>
        <v>-5.7999999999999996E-2</v>
      </c>
      <c r="CO120" s="518">
        <f t="shared" si="439"/>
        <v>-2.7E-2</v>
      </c>
      <c r="CP120" s="674">
        <f t="shared" si="440"/>
        <v>-6.9999999999999993E-2</v>
      </c>
      <c r="CQ120" s="161">
        <f t="shared" si="440"/>
        <v>-3.9E-2</v>
      </c>
      <c r="CR120" s="161">
        <f t="shared" si="440"/>
        <v>-4.5999999999999999E-2</v>
      </c>
      <c r="CS120" s="518">
        <f t="shared" si="440"/>
        <v>-2.7E-2</v>
      </c>
      <c r="CT120" s="674">
        <f t="shared" si="440"/>
        <v>-3.5999999999999997E-2</v>
      </c>
      <c r="CU120" s="70">
        <f t="shared" si="440"/>
        <v>-2.7999999999999997E-2</v>
      </c>
      <c r="CV120" s="70">
        <f t="shared" si="440"/>
        <v>3.4000000000000002E-2</v>
      </c>
      <c r="CW120" s="487">
        <f t="shared" si="440"/>
        <v>7.000000000000001E-3</v>
      </c>
      <c r="CX120" s="70">
        <f t="shared" si="440"/>
        <v>-1.1999999999999999E-2</v>
      </c>
      <c r="CY120" s="70">
        <f t="shared" si="441"/>
        <v>1.6E-2</v>
      </c>
      <c r="CZ120" s="70">
        <f t="shared" si="441"/>
        <v>3.6752012699852593E-2</v>
      </c>
      <c r="DA120" s="487">
        <f t="shared" si="441"/>
        <v>3.573441973133671E-3</v>
      </c>
      <c r="DB120" s="70">
        <f t="shared" si="441"/>
        <v>4.200047376524932E-3</v>
      </c>
      <c r="DC120" s="70">
        <f t="shared" si="442"/>
        <v>4.8490566037735848E-2</v>
      </c>
      <c r="DD120" s="70">
        <f t="shared" si="442"/>
        <v>2.575201269985259E-2</v>
      </c>
      <c r="DE120" s="487">
        <f t="shared" si="442"/>
        <v>-2.3899188200431083E-2</v>
      </c>
      <c r="DF120" s="70">
        <f t="shared" si="443"/>
        <v>1.4078096157012738E-2</v>
      </c>
      <c r="DG120" s="70">
        <f t="shared" si="442"/>
        <v>6.3967523532143009E-2</v>
      </c>
      <c r="DH120" s="70">
        <f t="shared" si="443"/>
        <v>6.2377360515021463E-2</v>
      </c>
      <c r="DI120" s="487">
        <f t="shared" si="443"/>
        <v>8.3333462386482107E-2</v>
      </c>
      <c r="DJ120" s="1673">
        <f t="shared" si="443"/>
        <v>5.0255054039419739E-2</v>
      </c>
      <c r="DK120" s="70">
        <f t="shared" si="443"/>
        <v>7.056622935721886E-2</v>
      </c>
      <c r="DL120" s="70">
        <f t="shared" si="443"/>
        <v>5.9311975085923757E-2</v>
      </c>
      <c r="DM120" s="487">
        <f t="shared" si="443"/>
        <v>7.9023158322358691E-2</v>
      </c>
      <c r="DN120" s="674"/>
      <c r="DO120" s="470"/>
      <c r="DQ120" s="15"/>
      <c r="DR120" s="15">
        <f>DR106+DQ106</f>
        <v>0</v>
      </c>
      <c r="DS120" s="15">
        <f t="shared" ref="DS120:EO120" si="450">DS106+DR106</f>
        <v>0</v>
      </c>
      <c r="DT120" s="15">
        <f t="shared" si="450"/>
        <v>0</v>
      </c>
      <c r="DU120" s="15">
        <f t="shared" si="450"/>
        <v>0</v>
      </c>
      <c r="DV120" s="15">
        <f t="shared" si="450"/>
        <v>0</v>
      </c>
      <c r="DW120" s="15">
        <f t="shared" si="450"/>
        <v>0</v>
      </c>
      <c r="DX120" s="15">
        <f t="shared" si="450"/>
        <v>0</v>
      </c>
      <c r="DY120" s="15">
        <f t="shared" si="450"/>
        <v>0</v>
      </c>
      <c r="DZ120" s="15">
        <f t="shared" si="450"/>
        <v>0</v>
      </c>
      <c r="EA120" s="15">
        <f t="shared" si="450"/>
        <v>0</v>
      </c>
      <c r="EB120" s="15">
        <f t="shared" si="450"/>
        <v>0</v>
      </c>
      <c r="EC120" s="15">
        <f t="shared" si="450"/>
        <v>0</v>
      </c>
      <c r="ED120" s="15">
        <f t="shared" si="450"/>
        <v>0</v>
      </c>
      <c r="EE120" s="15">
        <f t="shared" si="450"/>
        <v>0</v>
      </c>
      <c r="EF120" s="15">
        <f t="shared" si="450"/>
        <v>2.6222386640812365E-2</v>
      </c>
      <c r="EG120" s="15">
        <f t="shared" si="450"/>
        <v>5.3009219448985762E-2</v>
      </c>
      <c r="EH120" s="15">
        <f t="shared" si="450"/>
        <v>0.10149439035553537</v>
      </c>
      <c r="EI120" s="15">
        <f t="shared" si="450"/>
        <v>0.11798824139528237</v>
      </c>
      <c r="EJ120" s="15">
        <f t="shared" si="450"/>
        <v>9.2280683847920389E-2</v>
      </c>
      <c r="EK120" s="15">
        <f t="shared" si="450"/>
        <v>9.9000000000000005E-2</v>
      </c>
      <c r="EL120" s="15">
        <f t="shared" si="450"/>
        <v>7.9000000000000001E-2</v>
      </c>
      <c r="EM120" s="15">
        <f t="shared" si="450"/>
        <v>1.6E-2</v>
      </c>
      <c r="EN120" s="15">
        <f t="shared" si="450"/>
        <v>-9.4527307119571767E-3</v>
      </c>
      <c r="EO120" s="15">
        <f t="shared" si="450"/>
        <v>-1.239631759929008E-2</v>
      </c>
      <c r="EP120" s="15">
        <f>EP106+EO106</f>
        <v>-3.9516306207711016E-2</v>
      </c>
      <c r="EQ120" s="15">
        <f>EQ106+EN106</f>
        <v>-4.4527307119571766E-3</v>
      </c>
      <c r="ER120" s="674">
        <f t="shared" si="445"/>
        <v>-2.9000000000000001E-2</v>
      </c>
      <c r="ES120" s="161">
        <f t="shared" si="445"/>
        <v>-5.0098325305818106E-2</v>
      </c>
      <c r="ET120" s="161">
        <f>ET106+ER106</f>
        <v>-5.6000000000000008E-2</v>
      </c>
      <c r="EU120" s="161">
        <f t="shared" si="446"/>
        <v>-4.4486413749313614E-2</v>
      </c>
      <c r="EV120" s="161">
        <f t="shared" si="446"/>
        <v>-5.5638703444117589E-3</v>
      </c>
      <c r="EW120" s="161">
        <f t="shared" si="447"/>
        <v>8.9549127998059495E-3</v>
      </c>
      <c r="EX120" s="70">
        <f t="shared" si="447"/>
        <v>8.8711674411095232E-3</v>
      </c>
      <c r="EY120" s="70">
        <f t="shared" si="447"/>
        <v>6.0424282684670705E-2</v>
      </c>
      <c r="EZ120" s="1673">
        <f t="shared" si="447"/>
        <v>6.7692800365246844E-2</v>
      </c>
      <c r="FA120" s="77">
        <f t="shared" si="447"/>
        <v>2.1277682833716602E-2</v>
      </c>
      <c r="FB120" s="77">
        <f t="shared" si="447"/>
        <v>2.0629057563947568E-2</v>
      </c>
      <c r="FC120" s="77">
        <f t="shared" si="447"/>
        <v>1.9957064832102116E-2</v>
      </c>
      <c r="FD120" s="77">
        <f t="shared" si="448"/>
        <v>2.3977228877690781E-2</v>
      </c>
      <c r="FE120" s="77">
        <f t="shared" si="448"/>
        <v>2.9326792444309895E-2</v>
      </c>
      <c r="FF120" s="77">
        <f t="shared" si="448"/>
        <v>3.0074980770418674E-2</v>
      </c>
      <c r="FG120" s="77">
        <f t="shared" si="448"/>
        <v>3.0843221602609695E-2</v>
      </c>
      <c r="FH120" s="77">
        <f t="shared" si="448"/>
        <v>3.1631513370211667E-2</v>
      </c>
      <c r="FI120" s="413"/>
      <c r="FJ120"/>
      <c r="FK120"/>
      <c r="FL120"/>
      <c r="FM120"/>
      <c r="FN120"/>
      <c r="FO120"/>
      <c r="FS120" s="70"/>
      <c r="FT120" s="70"/>
      <c r="FU120"/>
      <c r="FV120" s="70"/>
      <c r="FW120" s="70"/>
      <c r="FX120" s="7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row>
    <row r="121" spans="1:260" s="4" customFormat="1" ht="12.75" hidden="1" customHeight="1" outlineLevel="1" x14ac:dyDescent="0.2">
      <c r="A121" s="3"/>
      <c r="B121" s="3"/>
      <c r="C121" s="3"/>
      <c r="D121" s="3"/>
      <c r="E121" s="470"/>
      <c r="I121" s="470"/>
      <c r="M121" s="470"/>
      <c r="Q121" s="470"/>
      <c r="U121" s="470"/>
      <c r="Y121" s="470"/>
      <c r="AC121" s="470"/>
      <c r="AG121" s="470"/>
      <c r="AK121" s="470"/>
      <c r="AO121" s="470"/>
      <c r="AS121" s="470"/>
      <c r="AW121" s="470"/>
      <c r="BA121" s="470"/>
      <c r="BE121" s="470"/>
      <c r="BI121" s="470"/>
      <c r="BM121" s="470"/>
      <c r="BQ121" s="470"/>
      <c r="BU121" s="470"/>
      <c r="BY121" s="470"/>
      <c r="CC121" s="470"/>
      <c r="CG121" s="470"/>
      <c r="CK121" s="470"/>
      <c r="CO121" s="470"/>
      <c r="CP121" s="413"/>
      <c r="CQ121" s="3"/>
      <c r="CR121" s="3"/>
      <c r="CS121" s="470"/>
      <c r="CT121" s="413"/>
      <c r="CU121" s="7"/>
      <c r="CV121" s="7"/>
      <c r="CW121" s="484"/>
      <c r="CX121" s="7"/>
      <c r="CY121" s="7"/>
      <c r="CZ121" s="7"/>
      <c r="DA121" s="484"/>
      <c r="DB121" s="7"/>
      <c r="DC121" s="7"/>
      <c r="DD121" s="7"/>
      <c r="DE121" s="484"/>
      <c r="DF121" s="7"/>
      <c r="DG121" s="7"/>
      <c r="DH121" s="7"/>
      <c r="DI121" s="484"/>
      <c r="DJ121" s="1671"/>
      <c r="DK121" s="7"/>
      <c r="DL121" s="7"/>
      <c r="DM121" s="484"/>
      <c r="DN121" s="413"/>
      <c r="DO121" s="470"/>
      <c r="DQ121" s="15"/>
      <c r="DR121" s="15"/>
      <c r="ER121" s="413"/>
      <c r="ES121" s="3"/>
      <c r="ET121" s="3"/>
      <c r="EU121" s="3"/>
      <c r="EV121" s="3"/>
      <c r="EW121" s="3"/>
      <c r="EX121" s="7"/>
      <c r="EY121" s="7"/>
      <c r="EZ121" s="1671"/>
      <c r="FA121" s="77"/>
      <c r="FB121" s="77"/>
      <c r="FC121" s="77"/>
      <c r="FD121" s="77"/>
      <c r="FE121" s="77"/>
      <c r="FF121" s="77"/>
      <c r="FG121" s="77"/>
      <c r="FH121" s="77"/>
      <c r="FI121" s="413"/>
      <c r="FJ121"/>
      <c r="FK121"/>
      <c r="FL121"/>
      <c r="FM121"/>
      <c r="FN121"/>
      <c r="FO121"/>
      <c r="FS121" s="70"/>
      <c r="FT121" s="70"/>
      <c r="FU121"/>
      <c r="FV121" s="70"/>
      <c r="FW121" s="70"/>
      <c r="FX121" s="70"/>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row>
    <row r="122" spans="1:260" s="4" customFormat="1" ht="12.75" hidden="1" customHeight="1" outlineLevel="1" x14ac:dyDescent="0.2">
      <c r="A122" s="3" t="s">
        <v>368</v>
      </c>
      <c r="B122" s="3"/>
      <c r="C122" s="3"/>
      <c r="D122" s="3"/>
      <c r="E122" s="470"/>
      <c r="I122" s="470"/>
      <c r="J122" s="427"/>
      <c r="K122" s="427"/>
      <c r="L122" s="427"/>
      <c r="M122" s="519"/>
      <c r="N122" s="427">
        <f t="shared" ref="N122:W124" si="451">N104+J104+B104</f>
        <v>9.8000000000000004E-2</v>
      </c>
      <c r="O122" s="427">
        <f t="shared" si="451"/>
        <v>0.10600000000000001</v>
      </c>
      <c r="P122" s="427">
        <f t="shared" si="451"/>
        <v>2.8999999999999998E-2</v>
      </c>
      <c r="Q122" s="519">
        <f t="shared" si="451"/>
        <v>-9.8000000000000004E-2</v>
      </c>
      <c r="R122" s="427">
        <f t="shared" si="451"/>
        <v>0.32400000000000001</v>
      </c>
      <c r="S122" s="427">
        <f t="shared" si="451"/>
        <v>0.16099999999999998</v>
      </c>
      <c r="T122" s="427">
        <f t="shared" si="451"/>
        <v>0.115</v>
      </c>
      <c r="U122" s="519">
        <f t="shared" si="451"/>
        <v>0.19700000000000001</v>
      </c>
      <c r="V122" s="427">
        <f t="shared" si="451"/>
        <v>0.13300000000000001</v>
      </c>
      <c r="W122" s="427">
        <f t="shared" si="451"/>
        <v>0.192</v>
      </c>
      <c r="X122" s="427">
        <f t="shared" ref="X122:AG124" si="452">X104+T104+L104</f>
        <v>0.22799999999999998</v>
      </c>
      <c r="Y122" s="519">
        <f t="shared" si="452"/>
        <v>0.29100000000000004</v>
      </c>
      <c r="Z122" s="427">
        <f t="shared" si="452"/>
        <v>0.32200000000000001</v>
      </c>
      <c r="AA122" s="427">
        <f t="shared" si="452"/>
        <v>0.32699999999999996</v>
      </c>
      <c r="AB122" s="427">
        <f t="shared" si="452"/>
        <v>5.3000000000000005E-2</v>
      </c>
      <c r="AC122" s="519">
        <f t="shared" si="452"/>
        <v>0.106</v>
      </c>
      <c r="AD122" s="427">
        <f t="shared" si="452"/>
        <v>0.14600000000000002</v>
      </c>
      <c r="AE122" s="427">
        <f t="shared" si="452"/>
        <v>0.10600000000000001</v>
      </c>
      <c r="AF122" s="427">
        <f t="shared" si="452"/>
        <v>6.699999999999999E-2</v>
      </c>
      <c r="AG122" s="519">
        <f t="shared" si="452"/>
        <v>0.29700000000000004</v>
      </c>
      <c r="AH122" s="427">
        <f t="shared" ref="AH122:AQ124" si="453">AH104+AD104+V104</f>
        <v>0.217</v>
      </c>
      <c r="AI122" s="427">
        <f t="shared" si="453"/>
        <v>0.25800000000000001</v>
      </c>
      <c r="AJ122" s="427">
        <f t="shared" si="453"/>
        <v>0.19700000000000001</v>
      </c>
      <c r="AK122" s="519">
        <f t="shared" si="453"/>
        <v>0.17099999999999999</v>
      </c>
      <c r="AL122" s="427">
        <f t="shared" si="453"/>
        <v>0.16800000000000001</v>
      </c>
      <c r="AM122" s="427">
        <f t="shared" si="453"/>
        <v>0.16600000000000001</v>
      </c>
      <c r="AN122" s="427">
        <f t="shared" si="453"/>
        <v>3.5000000000000003E-2</v>
      </c>
      <c r="AO122" s="519">
        <f t="shared" si="453"/>
        <v>0.16799999999999998</v>
      </c>
      <c r="AP122" s="427">
        <f t="shared" si="453"/>
        <v>0.184</v>
      </c>
      <c r="AQ122" s="427">
        <f t="shared" si="453"/>
        <v>0.156</v>
      </c>
      <c r="AR122" s="427">
        <f t="shared" ref="AR122:BA124" si="454">AR104+AN104+AF104</f>
        <v>0.156</v>
      </c>
      <c r="AS122" s="519">
        <f t="shared" si="454"/>
        <v>0.13</v>
      </c>
      <c r="AT122" s="427">
        <f t="shared" si="454"/>
        <v>7.6000000000000012E-2</v>
      </c>
      <c r="AU122" s="427">
        <f t="shared" si="454"/>
        <v>0.15</v>
      </c>
      <c r="AV122" s="427">
        <f t="shared" si="454"/>
        <v>0.13600000000000001</v>
      </c>
      <c r="AW122" s="519">
        <f t="shared" si="454"/>
        <v>0.17499999999999999</v>
      </c>
      <c r="AX122" s="427">
        <f t="shared" si="454"/>
        <v>0.19500000000000001</v>
      </c>
      <c r="AY122" s="427">
        <f t="shared" si="454"/>
        <v>0.10899999999999999</v>
      </c>
      <c r="AZ122" s="427">
        <f t="shared" si="454"/>
        <v>7.5000000000000011E-2</v>
      </c>
      <c r="BA122" s="519">
        <f t="shared" si="454"/>
        <v>0.11799999999999999</v>
      </c>
      <c r="BB122" s="427">
        <f t="shared" ref="BB122:BK124" si="455">BB104+AX104+AP104</f>
        <v>0.11399999999999999</v>
      </c>
      <c r="BC122" s="427">
        <f t="shared" si="455"/>
        <v>0.14600000000000002</v>
      </c>
      <c r="BD122" s="427">
        <f t="shared" si="455"/>
        <v>0.16399999999999998</v>
      </c>
      <c r="BE122" s="519">
        <f t="shared" si="455"/>
        <v>0.221</v>
      </c>
      <c r="BF122" s="427">
        <f t="shared" si="455"/>
        <v>0.14700000000000002</v>
      </c>
      <c r="BG122" s="427">
        <f t="shared" si="455"/>
        <v>9.0999999999999998E-2</v>
      </c>
      <c r="BH122" s="427">
        <f t="shared" si="455"/>
        <v>0.127</v>
      </c>
      <c r="BI122" s="519">
        <f t="shared" si="455"/>
        <v>7.0000000000000007E-2</v>
      </c>
      <c r="BJ122" s="427">
        <f t="shared" si="455"/>
        <v>9.7000000000000003E-2</v>
      </c>
      <c r="BK122" s="427">
        <f t="shared" si="455"/>
        <v>0.10800000000000001</v>
      </c>
      <c r="BL122" s="427">
        <f t="shared" ref="BL122:BU124" si="456">BL104+BH104+AZ104</f>
        <v>3.5999999999999997E-2</v>
      </c>
      <c r="BM122" s="519">
        <f t="shared" si="456"/>
        <v>1.6999999999999994E-2</v>
      </c>
      <c r="BN122" s="427">
        <f t="shared" si="456"/>
        <v>3.2000000000000001E-2</v>
      </c>
      <c r="BO122" s="427">
        <f t="shared" si="456"/>
        <v>5.1999999999999998E-2</v>
      </c>
      <c r="BP122" s="427">
        <f t="shared" si="456"/>
        <v>1.8999999999999996E-2</v>
      </c>
      <c r="BQ122" s="519">
        <f t="shared" si="456"/>
        <v>7.3999999999999996E-2</v>
      </c>
      <c r="BR122" s="427">
        <f t="shared" si="456"/>
        <v>-1.3000000000000001E-2</v>
      </c>
      <c r="BS122" s="427">
        <f t="shared" si="456"/>
        <v>-2.7999999999999997E-2</v>
      </c>
      <c r="BT122" s="427">
        <f t="shared" si="456"/>
        <v>5.6999999999999995E-2</v>
      </c>
      <c r="BU122" s="519">
        <f t="shared" si="456"/>
        <v>9.9999999999999967E-3</v>
      </c>
      <c r="BV122" s="427">
        <f t="shared" ref="BV122:BY124" si="457">BV104+BR104+BJ104</f>
        <v>3.0000000000000002E-2</v>
      </c>
      <c r="BW122" s="427">
        <f t="shared" si="457"/>
        <v>1.1999999999999997E-2</v>
      </c>
      <c r="BX122" s="427">
        <f t="shared" si="457"/>
        <v>-0.10400000000000001</v>
      </c>
      <c r="BY122" s="519">
        <f t="shared" si="457"/>
        <v>-0.125</v>
      </c>
      <c r="BZ122" s="427">
        <f>BZ104+BN104+BJ104</f>
        <v>3.3000000000000002E-2</v>
      </c>
      <c r="CA122" s="427">
        <f t="shared" ref="CA122:CC124" si="458">CA104+BO104+BK104</f>
        <v>2.1999999999999999E-2</v>
      </c>
      <c r="CB122" s="427">
        <f t="shared" si="458"/>
        <v>-5.6000000000000001E-2</v>
      </c>
      <c r="CC122" s="519">
        <f t="shared" si="458"/>
        <v>-2.6000000000000002E-2</v>
      </c>
      <c r="CD122" s="427">
        <f t="shared" ref="CD122:CK124" si="459">CD104+BZ104+BR104</f>
        <v>2.8000000000000001E-2</v>
      </c>
      <c r="CE122" s="427">
        <f t="shared" si="459"/>
        <v>-5.5E-2</v>
      </c>
      <c r="CF122" s="427">
        <f t="shared" si="459"/>
        <v>-8.7999999999999995E-2</v>
      </c>
      <c r="CG122" s="519">
        <f t="shared" si="459"/>
        <v>-0.11799999999999999</v>
      </c>
      <c r="CH122" s="427">
        <f t="shared" si="459"/>
        <v>-9.9000000000000005E-2</v>
      </c>
      <c r="CI122" s="427">
        <f t="shared" si="459"/>
        <v>-8.4000000000000005E-2</v>
      </c>
      <c r="CJ122" s="427">
        <f t="shared" si="459"/>
        <v>-0.03</v>
      </c>
      <c r="CK122" s="519">
        <f t="shared" si="459"/>
        <v>-2.4E-2</v>
      </c>
      <c r="CL122" s="427">
        <f t="shared" ref="CL122:CO124" si="460">CL104+CD104+BZ104</f>
        <v>-2.7999999999999997E-2</v>
      </c>
      <c r="CM122" s="427">
        <f t="shared" si="460"/>
        <v>-5.7000000000000002E-2</v>
      </c>
      <c r="CN122" s="427">
        <f t="shared" si="460"/>
        <v>-7.8E-2</v>
      </c>
      <c r="CO122" s="519">
        <f t="shared" si="460"/>
        <v>-5.3999999999999999E-2</v>
      </c>
      <c r="CP122" s="972">
        <f t="shared" ref="CP122:CS124" si="461">CP104+CL104+CD104</f>
        <v>-8.6999999999999994E-2</v>
      </c>
      <c r="CQ122" s="529">
        <f t="shared" si="461"/>
        <v>-6.0999999999999999E-2</v>
      </c>
      <c r="CR122" s="529">
        <f t="shared" si="461"/>
        <v>-2.1000000000000001E-2</v>
      </c>
      <c r="CS122" s="519">
        <f t="shared" si="461"/>
        <v>-1.4E-2</v>
      </c>
      <c r="CT122" s="972">
        <f t="shared" ref="CT122:CX124" si="462">CT104+CP104+CL104</f>
        <v>-6.2E-2</v>
      </c>
      <c r="CU122" s="573">
        <f t="shared" si="462"/>
        <v>-0.04</v>
      </c>
      <c r="CV122" s="573">
        <f t="shared" si="462"/>
        <v>1.0000000000000002E-2</v>
      </c>
      <c r="CW122" s="568">
        <f t="shared" si="462"/>
        <v>2.5000000000000001E-2</v>
      </c>
      <c r="CX122" s="573">
        <f t="shared" si="462"/>
        <v>-1.9E-2</v>
      </c>
      <c r="CY122" s="573">
        <f t="shared" ref="CY122:DB124" si="463">CY104+CU104+CQ104</f>
        <v>1.3999999999999999E-2</v>
      </c>
      <c r="CZ122" s="573">
        <f t="shared" si="463"/>
        <v>5.7999999999999996E-2</v>
      </c>
      <c r="DA122" s="568">
        <f t="shared" si="463"/>
        <v>-1.0000000000000009E-3</v>
      </c>
      <c r="DB122" s="573">
        <f t="shared" si="463"/>
        <v>-8.0000000000000002E-3</v>
      </c>
      <c r="DC122" s="573">
        <f t="shared" ref="DC122:DG124" si="464">DC104+CY104+CU104</f>
        <v>2.5999999999999999E-2</v>
      </c>
      <c r="DD122" s="573">
        <f t="shared" si="464"/>
        <v>5.7999999999999996E-2</v>
      </c>
      <c r="DE122" s="568">
        <f t="shared" si="464"/>
        <v>1.9999999999999983E-3</v>
      </c>
      <c r="DF122" s="573">
        <f t="shared" ref="DF122:DM124" si="465">DF104+DB104+CX104</f>
        <v>1.9000000000000003E-2</v>
      </c>
      <c r="DG122" s="573">
        <f t="shared" si="464"/>
        <v>0.1</v>
      </c>
      <c r="DH122" s="573">
        <f t="shared" si="465"/>
        <v>7.1000000000000008E-2</v>
      </c>
      <c r="DI122" s="568">
        <f t="shared" si="465"/>
        <v>6.4000000000000001E-2</v>
      </c>
      <c r="DJ122" s="1672">
        <f t="shared" si="465"/>
        <v>4.8492354524772491E-2</v>
      </c>
      <c r="DK122" s="573">
        <f t="shared" si="465"/>
        <v>8.0262936943907154E-2</v>
      </c>
      <c r="DL122" s="573">
        <f t="shared" si="465"/>
        <v>7.8417252888211053E-2</v>
      </c>
      <c r="DM122" s="568">
        <f t="shared" si="465"/>
        <v>6.5459501297633518E-2</v>
      </c>
      <c r="DN122" s="972"/>
      <c r="DO122" s="470"/>
      <c r="DQ122" s="15"/>
      <c r="DR122" s="15"/>
      <c r="DS122" s="427">
        <f t="shared" ref="DS122:EO122" si="466">DS104+DR104+DQ104</f>
        <v>0</v>
      </c>
      <c r="DT122" s="427">
        <f t="shared" si="466"/>
        <v>0</v>
      </c>
      <c r="DU122" s="427">
        <f t="shared" si="466"/>
        <v>0</v>
      </c>
      <c r="DV122" s="427">
        <f t="shared" si="466"/>
        <v>0</v>
      </c>
      <c r="DW122" s="427">
        <f t="shared" si="466"/>
        <v>0</v>
      </c>
      <c r="DX122" s="427">
        <f t="shared" si="466"/>
        <v>0</v>
      </c>
      <c r="DY122" s="427">
        <f t="shared" si="466"/>
        <v>0.19900000000000001</v>
      </c>
      <c r="DZ122" s="427">
        <f t="shared" si="466"/>
        <v>0.254</v>
      </c>
      <c r="EA122" s="427">
        <f t="shared" si="466"/>
        <v>0.20700000000000002</v>
      </c>
      <c r="EB122" s="427">
        <f t="shared" si="466"/>
        <v>2.8000000000000001E-2</v>
      </c>
      <c r="EC122" s="427">
        <f t="shared" si="466"/>
        <v>0.10849656162770153</v>
      </c>
      <c r="ED122" s="427">
        <f t="shared" si="466"/>
        <v>0.26649656162770158</v>
      </c>
      <c r="EE122" s="427">
        <f t="shared" si="466"/>
        <v>0.29549656162770155</v>
      </c>
      <c r="EF122" s="427">
        <f t="shared" si="466"/>
        <v>0.17941366488496396</v>
      </c>
      <c r="EG122" s="427">
        <f t="shared" si="466"/>
        <v>9.3762033605833989E-2</v>
      </c>
      <c r="EH122" s="427">
        <f t="shared" si="466"/>
        <v>0.12228801785780248</v>
      </c>
      <c r="EI122" s="427">
        <f t="shared" si="466"/>
        <v>0.14726401823120705</v>
      </c>
      <c r="EJ122" s="427">
        <f t="shared" si="466"/>
        <v>0.17291564951033703</v>
      </c>
      <c r="EK122" s="427">
        <f t="shared" si="466"/>
        <v>0.13638966525836854</v>
      </c>
      <c r="EL122" s="427">
        <f t="shared" si="466"/>
        <v>0.11099999999999999</v>
      </c>
      <c r="EM122" s="427">
        <f t="shared" si="466"/>
        <v>4.7E-2</v>
      </c>
      <c r="EN122" s="427">
        <f t="shared" si="466"/>
        <v>2.3E-2</v>
      </c>
      <c r="EO122" s="427">
        <f t="shared" si="466"/>
        <v>-2.5999999999999995E-2</v>
      </c>
      <c r="EP122" s="427">
        <f>EP104+EO104+EN104</f>
        <v>-3.8075394514202582E-2</v>
      </c>
      <c r="EQ122" s="427">
        <f>EQ104+EN104+EM104</f>
        <v>-1.2999999999999999E-2</v>
      </c>
      <c r="ER122" s="972">
        <f>ER104+EQ104+EN104</f>
        <v>-2.1000000000000005E-2</v>
      </c>
      <c r="ES122" s="529">
        <f>ES104+ER104+EQ104</f>
        <v>-5.5000000000000007E-2</v>
      </c>
      <c r="ET122" s="529">
        <f>ET104+ER104+EQ104</f>
        <v>-5.5000000000000007E-2</v>
      </c>
      <c r="EU122" s="529">
        <f>EU104+ET104+ER104</f>
        <v>-4.1426432228939783E-2</v>
      </c>
      <c r="EV122" s="529">
        <f>EV104+EU104+ET104</f>
        <v>-1.1805223669845195E-2</v>
      </c>
      <c r="EW122" s="529">
        <f t="shared" ref="EW122:FC124" si="467">EW104+EV104+EU104</f>
        <v>1.127833926286193E-2</v>
      </c>
      <c r="EX122" s="573">
        <f t="shared" si="467"/>
        <v>1.7701290257693354E-2</v>
      </c>
      <c r="EY122" s="573">
        <f t="shared" si="467"/>
        <v>6.508008169859876E-2</v>
      </c>
      <c r="EZ122" s="1672">
        <f t="shared" si="467"/>
        <v>6.9627125141639143E-2</v>
      </c>
      <c r="FA122" s="77">
        <f t="shared" si="467"/>
        <v>7.6816542563269641E-2</v>
      </c>
      <c r="FB122" s="77">
        <f t="shared" si="467"/>
        <v>3.1317189493838243E-2</v>
      </c>
      <c r="FC122" s="77">
        <f t="shared" si="467"/>
        <v>3.1047410615031183E-2</v>
      </c>
      <c r="FD122" s="77">
        <f t="shared" ref="FD122:FH124" si="468">FD104+FC104+FB104</f>
        <v>3.6639781178677819E-2</v>
      </c>
      <c r="FE122" s="77">
        <f t="shared" si="468"/>
        <v>4.2303742187837307E-2</v>
      </c>
      <c r="FF122" s="77">
        <f t="shared" si="468"/>
        <v>4.8503638472831359E-2</v>
      </c>
      <c r="FG122" s="77">
        <f t="shared" si="468"/>
        <v>4.9691945859289058E-2</v>
      </c>
      <c r="FH122" s="77">
        <f t="shared" si="468"/>
        <v>5.0909554282222894E-2</v>
      </c>
      <c r="FI122" s="413"/>
      <c r="FJ122"/>
      <c r="FK122"/>
      <c r="FL122"/>
      <c r="FM122"/>
      <c r="FN122"/>
      <c r="FO122"/>
      <c r="FS122" s="70"/>
      <c r="FT122" s="70"/>
      <c r="FU122"/>
      <c r="FV122" s="70"/>
      <c r="FW122" s="70"/>
      <c r="FX122" s="70"/>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row>
    <row r="123" spans="1:260" s="4" customFormat="1" ht="12.75" hidden="1" customHeight="1" outlineLevel="1" x14ac:dyDescent="0.2">
      <c r="A123" s="3" t="s">
        <v>369</v>
      </c>
      <c r="B123" s="3"/>
      <c r="C123" s="3"/>
      <c r="D123" s="3"/>
      <c r="E123" s="470"/>
      <c r="I123" s="470"/>
      <c r="J123" s="427"/>
      <c r="K123" s="427"/>
      <c r="L123" s="427"/>
      <c r="M123" s="519"/>
      <c r="N123" s="427">
        <f t="shared" si="451"/>
        <v>0</v>
      </c>
      <c r="O123" s="427">
        <f t="shared" si="451"/>
        <v>0</v>
      </c>
      <c r="P123" s="427">
        <f t="shared" si="451"/>
        <v>0</v>
      </c>
      <c r="Q123" s="519">
        <f t="shared" si="451"/>
        <v>0</v>
      </c>
      <c r="R123" s="427">
        <f t="shared" si="451"/>
        <v>0</v>
      </c>
      <c r="S123" s="427">
        <f t="shared" si="451"/>
        <v>0</v>
      </c>
      <c r="T123" s="427">
        <f t="shared" si="451"/>
        <v>0</v>
      </c>
      <c r="U123" s="519">
        <f t="shared" si="451"/>
        <v>0</v>
      </c>
      <c r="V123" s="427">
        <f t="shared" si="451"/>
        <v>0</v>
      </c>
      <c r="W123" s="427">
        <f t="shared" si="451"/>
        <v>0</v>
      </c>
      <c r="X123" s="427">
        <f t="shared" si="452"/>
        <v>0</v>
      </c>
      <c r="Y123" s="519">
        <f t="shared" si="452"/>
        <v>0</v>
      </c>
      <c r="Z123" s="427">
        <f t="shared" si="452"/>
        <v>0</v>
      </c>
      <c r="AA123" s="427">
        <f t="shared" si="452"/>
        <v>0</v>
      </c>
      <c r="AB123" s="427">
        <f t="shared" si="452"/>
        <v>0</v>
      </c>
      <c r="AC123" s="519">
        <f t="shared" si="452"/>
        <v>0</v>
      </c>
      <c r="AD123" s="427">
        <f t="shared" si="452"/>
        <v>0</v>
      </c>
      <c r="AE123" s="427">
        <f t="shared" si="452"/>
        <v>0</v>
      </c>
      <c r="AF123" s="427">
        <f t="shared" si="452"/>
        <v>0</v>
      </c>
      <c r="AG123" s="519">
        <f t="shared" si="452"/>
        <v>0</v>
      </c>
      <c r="AH123" s="427">
        <f t="shared" si="453"/>
        <v>6.3E-2</v>
      </c>
      <c r="AI123" s="427">
        <f t="shared" si="453"/>
        <v>0.151</v>
      </c>
      <c r="AJ123" s="427">
        <f t="shared" si="453"/>
        <v>0.11199999999999999</v>
      </c>
      <c r="AK123" s="519">
        <f t="shared" si="453"/>
        <v>0.16500000000000001</v>
      </c>
      <c r="AL123" s="427">
        <f t="shared" si="453"/>
        <v>0.159</v>
      </c>
      <c r="AM123" s="427">
        <f t="shared" si="453"/>
        <v>0.22</v>
      </c>
      <c r="AN123" s="427">
        <f t="shared" si="453"/>
        <v>0.15</v>
      </c>
      <c r="AO123" s="519">
        <f t="shared" si="453"/>
        <v>0.17100000000000001</v>
      </c>
      <c r="AP123" s="427">
        <f t="shared" si="453"/>
        <v>9.6000000000000002E-2</v>
      </c>
      <c r="AQ123" s="427">
        <f t="shared" si="453"/>
        <v>0.11000000000000001</v>
      </c>
      <c r="AR123" s="427">
        <f t="shared" si="454"/>
        <v>7.8E-2</v>
      </c>
      <c r="AS123" s="519">
        <f t="shared" si="454"/>
        <v>8.5000000000000006E-2</v>
      </c>
      <c r="AT123" s="427">
        <f t="shared" si="454"/>
        <v>0.13500000000000001</v>
      </c>
      <c r="AU123" s="427">
        <f t="shared" si="454"/>
        <v>0.222</v>
      </c>
      <c r="AV123" s="427">
        <f t="shared" si="454"/>
        <v>0.20199999999999999</v>
      </c>
      <c r="AW123" s="519">
        <f t="shared" si="454"/>
        <v>0.249</v>
      </c>
      <c r="AX123" s="427">
        <f t="shared" si="454"/>
        <v>0.19800000000000001</v>
      </c>
      <c r="AY123" s="427">
        <f t="shared" si="454"/>
        <v>0.10800000000000001</v>
      </c>
      <c r="AZ123" s="427">
        <f t="shared" si="454"/>
        <v>8.3000000000000004E-2</v>
      </c>
      <c r="BA123" s="519">
        <f t="shared" si="454"/>
        <v>7.5000000000000011E-2</v>
      </c>
      <c r="BB123" s="427">
        <f t="shared" si="455"/>
        <v>0.10099999999999999</v>
      </c>
      <c r="BC123" s="427">
        <f t="shared" si="455"/>
        <v>0.14299999999999999</v>
      </c>
      <c r="BD123" s="427">
        <f t="shared" si="455"/>
        <v>0.17200000000000001</v>
      </c>
      <c r="BE123" s="519">
        <f t="shared" si="455"/>
        <v>0.28300000000000003</v>
      </c>
      <c r="BF123" s="427">
        <f t="shared" si="455"/>
        <v>0.27100000000000002</v>
      </c>
      <c r="BG123" s="427">
        <f t="shared" si="455"/>
        <v>0.28600000000000003</v>
      </c>
      <c r="BH123" s="427">
        <f t="shared" si="455"/>
        <v>0.28000000000000003</v>
      </c>
      <c r="BI123" s="519">
        <f t="shared" si="455"/>
        <v>0.17900000000000002</v>
      </c>
      <c r="BJ123" s="427">
        <f t="shared" si="455"/>
        <v>0.20499999999999999</v>
      </c>
      <c r="BK123" s="427">
        <f t="shared" si="455"/>
        <v>0.16200000000000001</v>
      </c>
      <c r="BL123" s="427">
        <f t="shared" si="456"/>
        <v>9.0999999999999998E-2</v>
      </c>
      <c r="BM123" s="519">
        <f t="shared" si="456"/>
        <v>4.5000000000000005E-2</v>
      </c>
      <c r="BN123" s="427">
        <f t="shared" si="456"/>
        <v>-2.1000000000000019E-2</v>
      </c>
      <c r="BO123" s="427">
        <f t="shared" si="456"/>
        <v>0</v>
      </c>
      <c r="BP123" s="427">
        <f t="shared" si="456"/>
        <v>7.3000000000000009E-2</v>
      </c>
      <c r="BQ123" s="519">
        <f t="shared" si="456"/>
        <v>0.14200000000000002</v>
      </c>
      <c r="BR123" s="427">
        <f t="shared" si="456"/>
        <v>5.1999999999999991E-2</v>
      </c>
      <c r="BS123" s="427">
        <f t="shared" si="456"/>
        <v>0.123</v>
      </c>
      <c r="BT123" s="427">
        <f t="shared" si="456"/>
        <v>4.8999999999999995E-2</v>
      </c>
      <c r="BU123" s="519">
        <f t="shared" si="456"/>
        <v>7.6000000000000012E-2</v>
      </c>
      <c r="BV123" s="427">
        <f t="shared" si="457"/>
        <v>0.114</v>
      </c>
      <c r="BW123" s="427">
        <f t="shared" si="457"/>
        <v>9.9999999999999568E-4</v>
      </c>
      <c r="BX123" s="427">
        <f t="shared" si="457"/>
        <v>8.9999999999999976E-3</v>
      </c>
      <c r="BY123" s="519">
        <f t="shared" si="457"/>
        <v>-9.5000000000000001E-2</v>
      </c>
      <c r="BZ123" s="427">
        <f>BZ105+BN105+BJ105</f>
        <v>-2.1000000000000019E-2</v>
      </c>
      <c r="CA123" s="427">
        <f t="shared" si="458"/>
        <v>-4.4000000000000004E-2</v>
      </c>
      <c r="CB123" s="427">
        <f t="shared" si="458"/>
        <v>-3.8000000000000006E-2</v>
      </c>
      <c r="CC123" s="519">
        <f t="shared" si="458"/>
        <v>-1.7999999999999995E-2</v>
      </c>
      <c r="CD123" s="427">
        <f t="shared" si="459"/>
        <v>0.13200000000000001</v>
      </c>
      <c r="CE123" s="427">
        <f t="shared" si="459"/>
        <v>6.4000000000000001E-2</v>
      </c>
      <c r="CF123" s="427">
        <f t="shared" si="459"/>
        <v>1.6999999999999998E-2</v>
      </c>
      <c r="CG123" s="519">
        <f t="shared" si="459"/>
        <v>-5.0999999999999997E-2</v>
      </c>
      <c r="CH123" s="427">
        <f t="shared" si="459"/>
        <v>-0.10299999999999999</v>
      </c>
      <c r="CI123" s="427">
        <f t="shared" si="459"/>
        <v>-0.14200000000000002</v>
      </c>
      <c r="CJ123" s="427">
        <f t="shared" si="459"/>
        <v>-0.10099999999999999</v>
      </c>
      <c r="CK123" s="519">
        <f t="shared" si="459"/>
        <v>-0.113</v>
      </c>
      <c r="CL123" s="427">
        <f t="shared" si="460"/>
        <v>-6.5000000000000016E-2</v>
      </c>
      <c r="CM123" s="427">
        <f t="shared" si="460"/>
        <v>-9.2000000000000012E-2</v>
      </c>
      <c r="CN123" s="427">
        <f t="shared" si="460"/>
        <v>-0.10900000000000001</v>
      </c>
      <c r="CO123" s="519">
        <f t="shared" si="460"/>
        <v>-0.16399999999999998</v>
      </c>
      <c r="CP123" s="972">
        <f t="shared" si="461"/>
        <v>-0.2</v>
      </c>
      <c r="CQ123" s="529">
        <f t="shared" si="461"/>
        <v>-0.21199999999999999</v>
      </c>
      <c r="CR123" s="529">
        <f t="shared" si="461"/>
        <v>-0.20599999999999999</v>
      </c>
      <c r="CS123" s="519">
        <f t="shared" si="461"/>
        <v>-0.16399999999999998</v>
      </c>
      <c r="CT123" s="972">
        <f t="shared" si="462"/>
        <v>-0.26400000000000001</v>
      </c>
      <c r="CU123" s="573">
        <f t="shared" si="462"/>
        <v>-0.22199999999999998</v>
      </c>
      <c r="CV123" s="573">
        <f t="shared" si="462"/>
        <v>-0.17599999999999999</v>
      </c>
      <c r="CW123" s="568">
        <f t="shared" si="462"/>
        <v>-0.186</v>
      </c>
      <c r="CX123" s="573">
        <f t="shared" si="462"/>
        <v>-0.124</v>
      </c>
      <c r="CY123" s="573">
        <f t="shared" si="463"/>
        <v>-0.13900000000000001</v>
      </c>
      <c r="CZ123" s="573">
        <f t="shared" si="463"/>
        <v>-6.7999999999999991E-2</v>
      </c>
      <c r="DA123" s="568">
        <f t="shared" si="463"/>
        <v>-7.0000000000000007E-2</v>
      </c>
      <c r="DB123" s="573">
        <f t="shared" si="463"/>
        <v>-7.2000000000000008E-2</v>
      </c>
      <c r="DC123" s="573">
        <f t="shared" si="464"/>
        <v>-2.6999999999999996E-2</v>
      </c>
      <c r="DD123" s="573">
        <f t="shared" si="464"/>
        <v>2.0999999999999998E-2</v>
      </c>
      <c r="DE123" s="568">
        <f t="shared" si="464"/>
        <v>-4.1000000000000002E-2</v>
      </c>
      <c r="DF123" s="573">
        <f t="shared" si="465"/>
        <v>3.4000000000000002E-2</v>
      </c>
      <c r="DG123" s="573">
        <f t="shared" si="464"/>
        <v>5.7999999999999996E-2</v>
      </c>
      <c r="DH123" s="573">
        <f t="shared" si="465"/>
        <v>6.0999999999999992E-2</v>
      </c>
      <c r="DI123" s="568">
        <f t="shared" si="465"/>
        <v>9.8000000000000004E-2</v>
      </c>
      <c r="DJ123" s="1672">
        <f t="shared" si="465"/>
        <v>4.8000000000000001E-2</v>
      </c>
      <c r="DK123" s="573">
        <f t="shared" si="465"/>
        <v>9.0499999999999997E-2</v>
      </c>
      <c r="DL123" s="573">
        <f t="shared" si="465"/>
        <v>6.6000000000000003E-2</v>
      </c>
      <c r="DM123" s="568">
        <f t="shared" si="465"/>
        <v>0.13300000000000001</v>
      </c>
      <c r="DN123" s="972"/>
      <c r="DO123" s="470"/>
      <c r="DQ123" s="15"/>
      <c r="DR123" s="15"/>
      <c r="DS123" s="427">
        <f t="shared" ref="DS123:EO123" si="469">DS105+DR105+DQ105</f>
        <v>0</v>
      </c>
      <c r="DT123" s="427">
        <f t="shared" si="469"/>
        <v>0</v>
      </c>
      <c r="DU123" s="427">
        <f t="shared" si="469"/>
        <v>0</v>
      </c>
      <c r="DV123" s="427">
        <f t="shared" si="469"/>
        <v>0</v>
      </c>
      <c r="DW123" s="427">
        <f t="shared" si="469"/>
        <v>0</v>
      </c>
      <c r="DX123" s="427">
        <f t="shared" si="469"/>
        <v>0</v>
      </c>
      <c r="DY123" s="427">
        <f t="shared" si="469"/>
        <v>0</v>
      </c>
      <c r="DZ123" s="427">
        <f t="shared" si="469"/>
        <v>0</v>
      </c>
      <c r="EA123" s="427">
        <f t="shared" si="469"/>
        <v>0</v>
      </c>
      <c r="EB123" s="427">
        <f t="shared" si="469"/>
        <v>0</v>
      </c>
      <c r="EC123" s="427">
        <f t="shared" si="469"/>
        <v>0</v>
      </c>
      <c r="ED123" s="427">
        <f t="shared" si="469"/>
        <v>0</v>
      </c>
      <c r="EE123" s="427">
        <f t="shared" si="469"/>
        <v>0</v>
      </c>
      <c r="EF123" s="427">
        <f t="shared" si="469"/>
        <v>0.12916373411253704</v>
      </c>
      <c r="EG123" s="427">
        <f t="shared" si="469"/>
        <v>0.17292901528613117</v>
      </c>
      <c r="EH123" s="427">
        <f t="shared" si="469"/>
        <v>0.22063677390682082</v>
      </c>
      <c r="EI123" s="427">
        <f t="shared" si="469"/>
        <v>0.12507495740792016</v>
      </c>
      <c r="EJ123" s="427">
        <f t="shared" si="469"/>
        <v>0.10930967623432603</v>
      </c>
      <c r="EK123" s="427">
        <f t="shared" si="469"/>
        <v>0.17860191761363639</v>
      </c>
      <c r="EL123" s="427">
        <f t="shared" si="469"/>
        <v>0.23500000000000001</v>
      </c>
      <c r="EM123" s="427">
        <f t="shared" si="469"/>
        <v>0.19800000000000001</v>
      </c>
      <c r="EN123" s="427">
        <f t="shared" si="469"/>
        <v>4.3999999999999997E-2</v>
      </c>
      <c r="EO123" s="427">
        <f t="shared" si="469"/>
        <v>-2.1999999999999999E-2</v>
      </c>
      <c r="EP123" s="427">
        <f>EP105+EO105+EN105</f>
        <v>-3.2337764270347402E-2</v>
      </c>
      <c r="EQ123" s="427">
        <f>EQ105+EN105+EM105</f>
        <v>-2.0999999999999998E-2</v>
      </c>
      <c r="ER123" s="972">
        <f>ER105+EQ105+EN105</f>
        <v>-3.2000000000000001E-2</v>
      </c>
      <c r="ES123" s="529">
        <f>ES105+ER105+EQ105</f>
        <v>-5.9000000000000004E-2</v>
      </c>
      <c r="ET123" s="529">
        <f>ET105+ER105+EQ105</f>
        <v>-0.11499999999999999</v>
      </c>
      <c r="EU123" s="529">
        <f>EU105+ET105+ER105</f>
        <v>-0.19491218735946308</v>
      </c>
      <c r="EV123" s="529">
        <f>EV105+EU105+ET105</f>
        <v>-0.21053454874784303</v>
      </c>
      <c r="EW123" s="529">
        <f t="shared" si="467"/>
        <v>-9.7587747801312963E-2</v>
      </c>
      <c r="EX123" s="573">
        <f t="shared" si="467"/>
        <v>-2.9159761015988644E-2</v>
      </c>
      <c r="EY123" s="573">
        <f t="shared" si="467"/>
        <v>6.9535905902901485E-2</v>
      </c>
      <c r="EZ123" s="1672">
        <f t="shared" si="467"/>
        <v>9.2911354849198741E-2</v>
      </c>
      <c r="FA123" s="77">
        <f t="shared" si="467"/>
        <v>8.9395555423337533E-2</v>
      </c>
      <c r="FB123" s="77">
        <f t="shared" si="467"/>
        <v>3.6322249892827327E-2</v>
      </c>
      <c r="FC123" s="77">
        <f t="shared" si="467"/>
        <v>0.02</v>
      </c>
      <c r="FD123" s="77">
        <f t="shared" si="468"/>
        <v>0.01</v>
      </c>
      <c r="FE123" s="77">
        <f t="shared" si="468"/>
        <v>0</v>
      </c>
      <c r="FF123" s="77">
        <f t="shared" si="468"/>
        <v>0</v>
      </c>
      <c r="FG123" s="77">
        <f t="shared" si="468"/>
        <v>0</v>
      </c>
      <c r="FH123" s="77">
        <f t="shared" si="468"/>
        <v>0</v>
      </c>
      <c r="FI123" s="413"/>
      <c r="FJ123"/>
      <c r="FK123"/>
      <c r="FL123"/>
      <c r="FM123"/>
      <c r="FN123"/>
      <c r="FO123"/>
      <c r="FS123" s="70"/>
      <c r="FT123" s="70"/>
      <c r="FU123"/>
      <c r="FV123" s="70"/>
      <c r="FW123" s="70"/>
      <c r="FX123" s="70"/>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row>
    <row r="124" spans="1:260" s="4" customFormat="1" ht="12.75" hidden="1" customHeight="1" outlineLevel="1" x14ac:dyDescent="0.2">
      <c r="A124" s="3" t="s">
        <v>370</v>
      </c>
      <c r="B124" s="3"/>
      <c r="C124" s="3"/>
      <c r="D124" s="3"/>
      <c r="E124" s="470"/>
      <c r="I124" s="470"/>
      <c r="J124" s="427"/>
      <c r="K124" s="427"/>
      <c r="L124" s="427"/>
      <c r="M124" s="519"/>
      <c r="N124" s="427">
        <f t="shared" si="451"/>
        <v>0</v>
      </c>
      <c r="O124" s="427">
        <f t="shared" si="451"/>
        <v>0</v>
      </c>
      <c r="P124" s="427">
        <f t="shared" si="451"/>
        <v>0</v>
      </c>
      <c r="Q124" s="519">
        <f t="shared" si="451"/>
        <v>0</v>
      </c>
      <c r="R124" s="427">
        <f t="shared" si="451"/>
        <v>0</v>
      </c>
      <c r="S124" s="427">
        <f t="shared" si="451"/>
        <v>0</v>
      </c>
      <c r="T124" s="427">
        <f t="shared" si="451"/>
        <v>0</v>
      </c>
      <c r="U124" s="519">
        <f t="shared" si="451"/>
        <v>0</v>
      </c>
      <c r="V124" s="427">
        <f t="shared" si="451"/>
        <v>0</v>
      </c>
      <c r="W124" s="427">
        <f t="shared" si="451"/>
        <v>0</v>
      </c>
      <c r="X124" s="427">
        <f t="shared" si="452"/>
        <v>0</v>
      </c>
      <c r="Y124" s="519">
        <f t="shared" si="452"/>
        <v>0</v>
      </c>
      <c r="Z124" s="427">
        <f t="shared" si="452"/>
        <v>0</v>
      </c>
      <c r="AA124" s="427">
        <f t="shared" si="452"/>
        <v>0</v>
      </c>
      <c r="AB124" s="427">
        <f t="shared" si="452"/>
        <v>0</v>
      </c>
      <c r="AC124" s="519">
        <f t="shared" si="452"/>
        <v>0</v>
      </c>
      <c r="AD124" s="427">
        <f t="shared" si="452"/>
        <v>0</v>
      </c>
      <c r="AE124" s="427">
        <f t="shared" si="452"/>
        <v>0</v>
      </c>
      <c r="AF124" s="427">
        <f t="shared" si="452"/>
        <v>0</v>
      </c>
      <c r="AG124" s="519">
        <f t="shared" si="452"/>
        <v>0</v>
      </c>
      <c r="AH124" s="427">
        <f t="shared" si="453"/>
        <v>0</v>
      </c>
      <c r="AI124" s="427">
        <f t="shared" si="453"/>
        <v>0</v>
      </c>
      <c r="AJ124" s="427">
        <f t="shared" si="453"/>
        <v>0</v>
      </c>
      <c r="AK124" s="519">
        <f t="shared" si="453"/>
        <v>0</v>
      </c>
      <c r="AL124" s="427">
        <f t="shared" si="453"/>
        <v>0</v>
      </c>
      <c r="AM124" s="427">
        <f t="shared" si="453"/>
        <v>0</v>
      </c>
      <c r="AN124" s="427">
        <f t="shared" si="453"/>
        <v>0</v>
      </c>
      <c r="AO124" s="519">
        <f t="shared" si="453"/>
        <v>0</v>
      </c>
      <c r="AP124" s="427">
        <f t="shared" si="453"/>
        <v>0</v>
      </c>
      <c r="AQ124" s="427">
        <f t="shared" si="453"/>
        <v>0</v>
      </c>
      <c r="AR124" s="427">
        <f t="shared" si="454"/>
        <v>0</v>
      </c>
      <c r="AS124" s="519">
        <f t="shared" si="454"/>
        <v>0</v>
      </c>
      <c r="AT124" s="427">
        <f t="shared" si="454"/>
        <v>0</v>
      </c>
      <c r="AU124" s="427">
        <f t="shared" si="454"/>
        <v>0</v>
      </c>
      <c r="AV124" s="427">
        <f t="shared" si="454"/>
        <v>0</v>
      </c>
      <c r="AW124" s="519">
        <f t="shared" si="454"/>
        <v>0</v>
      </c>
      <c r="AX124" s="427">
        <f t="shared" si="454"/>
        <v>4.3999999999999997E-2</v>
      </c>
      <c r="AY124" s="427">
        <f t="shared" si="454"/>
        <v>3.5000000000000003E-2</v>
      </c>
      <c r="AZ124" s="427">
        <f t="shared" si="454"/>
        <v>3.3000000000000002E-2</v>
      </c>
      <c r="BA124" s="519">
        <f t="shared" si="454"/>
        <v>7.2999999999999995E-2</v>
      </c>
      <c r="BB124" s="427">
        <f t="shared" si="455"/>
        <v>9.2999999999999999E-2</v>
      </c>
      <c r="BC124" s="427">
        <f t="shared" si="455"/>
        <v>7.2000000000000008E-2</v>
      </c>
      <c r="BD124" s="427">
        <f t="shared" si="455"/>
        <v>8.1000000000000003E-2</v>
      </c>
      <c r="BE124" s="519">
        <f t="shared" si="455"/>
        <v>0.13200000000000001</v>
      </c>
      <c r="BF124" s="427">
        <f t="shared" si="455"/>
        <v>7.9000000000000001E-2</v>
      </c>
      <c r="BG124" s="427">
        <f t="shared" si="455"/>
        <v>7.2999999999999995E-2</v>
      </c>
      <c r="BH124" s="427">
        <f t="shared" si="455"/>
        <v>0.115</v>
      </c>
      <c r="BI124" s="519">
        <f t="shared" si="455"/>
        <v>5.6999999999999995E-2</v>
      </c>
      <c r="BJ124" s="427">
        <f t="shared" si="455"/>
        <v>0.111</v>
      </c>
      <c r="BK124" s="427">
        <f t="shared" si="455"/>
        <v>0.113</v>
      </c>
      <c r="BL124" s="427">
        <f t="shared" si="456"/>
        <v>4.7000000000000007E-2</v>
      </c>
      <c r="BM124" s="519">
        <f t="shared" si="456"/>
        <v>2.1999999999999992E-2</v>
      </c>
      <c r="BN124" s="427">
        <f t="shared" si="456"/>
        <v>2.4E-2</v>
      </c>
      <c r="BO124" s="427">
        <f t="shared" si="456"/>
        <v>0.04</v>
      </c>
      <c r="BP124" s="427">
        <f t="shared" si="456"/>
        <v>1.2000000000000004E-2</v>
      </c>
      <c r="BQ124" s="519">
        <f t="shared" si="456"/>
        <v>0.08</v>
      </c>
      <c r="BR124" s="427">
        <f t="shared" si="456"/>
        <v>-4.0000000000000036E-3</v>
      </c>
      <c r="BS124" s="427">
        <f t="shared" si="456"/>
        <v>-4.0000000000000036E-3</v>
      </c>
      <c r="BT124" s="427">
        <f t="shared" si="456"/>
        <v>5.1000000000000004E-2</v>
      </c>
      <c r="BU124" s="519">
        <f t="shared" si="456"/>
        <v>2.2000000000000006E-2</v>
      </c>
      <c r="BV124" s="427">
        <f t="shared" si="457"/>
        <v>4.7759049360146251E-2</v>
      </c>
      <c r="BW124" s="427">
        <f t="shared" si="457"/>
        <v>1.3000000000000001E-2</v>
      </c>
      <c r="BX124" s="427">
        <f t="shared" si="457"/>
        <v>-8.3000000000000004E-2</v>
      </c>
      <c r="BY124" s="519">
        <f t="shared" si="457"/>
        <v>-0.11900000000000001</v>
      </c>
      <c r="BZ124" s="427">
        <f>BZ106+BN106+BJ106</f>
        <v>2.6999999999999996E-2</v>
      </c>
      <c r="CA124" s="427">
        <f t="shared" si="458"/>
        <v>1.3000000000000005E-2</v>
      </c>
      <c r="CB124" s="427">
        <f t="shared" si="458"/>
        <v>-0.06</v>
      </c>
      <c r="CC124" s="519">
        <f t="shared" si="458"/>
        <v>-2.4999999999999994E-2</v>
      </c>
      <c r="CD124" s="427">
        <f t="shared" si="459"/>
        <v>0.05</v>
      </c>
      <c r="CE124" s="427">
        <f t="shared" si="459"/>
        <v>-2.8999999999999998E-2</v>
      </c>
      <c r="CF124" s="427">
        <f t="shared" si="459"/>
        <v>-6.4000000000000001E-2</v>
      </c>
      <c r="CG124" s="519">
        <f t="shared" si="459"/>
        <v>-0.105</v>
      </c>
      <c r="CH124" s="427">
        <f t="shared" si="459"/>
        <v>-0.10024095063985373</v>
      </c>
      <c r="CI124" s="427">
        <f t="shared" si="459"/>
        <v>-9.8000000000000004E-2</v>
      </c>
      <c r="CJ124" s="427">
        <f t="shared" si="459"/>
        <v>-4.6999999999999993E-2</v>
      </c>
      <c r="CK124" s="519">
        <f t="shared" si="459"/>
        <v>-4.4999999999999998E-2</v>
      </c>
      <c r="CL124" s="427">
        <f t="shared" si="460"/>
        <v>-2.9999999999999992E-2</v>
      </c>
      <c r="CM124" s="427">
        <f t="shared" si="460"/>
        <v>-6.1000000000000006E-2</v>
      </c>
      <c r="CN124" s="427">
        <f t="shared" si="460"/>
        <v>-8.199999999999999E-2</v>
      </c>
      <c r="CO124" s="519">
        <f t="shared" si="460"/>
        <v>-7.2999999999999995E-2</v>
      </c>
      <c r="CP124" s="972">
        <f t="shared" si="461"/>
        <v>-9.9999999999999992E-2</v>
      </c>
      <c r="CQ124" s="529">
        <f t="shared" si="461"/>
        <v>-7.6999999999999999E-2</v>
      </c>
      <c r="CR124" s="529">
        <f t="shared" si="461"/>
        <v>-5.2999999999999999E-2</v>
      </c>
      <c r="CS124" s="519">
        <f t="shared" si="461"/>
        <v>-0.04</v>
      </c>
      <c r="CT124" s="972">
        <f t="shared" si="462"/>
        <v>-8.7999999999999995E-2</v>
      </c>
      <c r="CU124" s="573">
        <f t="shared" si="462"/>
        <v>-6.0999999999999999E-2</v>
      </c>
      <c r="CV124" s="573">
        <f t="shared" si="462"/>
        <v>-1.6999999999999994E-2</v>
      </c>
      <c r="CW124" s="568">
        <f t="shared" si="462"/>
        <v>-6.9999999999999993E-3</v>
      </c>
      <c r="CX124" s="573">
        <f t="shared" si="462"/>
        <v>-0.03</v>
      </c>
      <c r="CY124" s="573">
        <f t="shared" si="463"/>
        <v>0.01</v>
      </c>
      <c r="CZ124" s="573">
        <f t="shared" si="463"/>
        <v>4.1752012699852591E-2</v>
      </c>
      <c r="DA124" s="568">
        <f t="shared" si="463"/>
        <v>-9.4265580268663284E-3</v>
      </c>
      <c r="DB124" s="573">
        <f t="shared" si="463"/>
        <v>-1.3799952623475067E-2</v>
      </c>
      <c r="DC124" s="573">
        <f t="shared" si="464"/>
        <v>2.6490566037735849E-2</v>
      </c>
      <c r="DD124" s="573">
        <f t="shared" si="464"/>
        <v>5.4752012699852595E-2</v>
      </c>
      <c r="DE124" s="568">
        <f t="shared" si="464"/>
        <v>-3.8991882004310828E-3</v>
      </c>
      <c r="DF124" s="573">
        <f t="shared" si="465"/>
        <v>2.007809615701274E-2</v>
      </c>
      <c r="DG124" s="573">
        <f t="shared" si="464"/>
        <v>0.101967523532143</v>
      </c>
      <c r="DH124" s="573">
        <f t="shared" si="465"/>
        <v>7.0129373214874058E-2</v>
      </c>
      <c r="DI124" s="568">
        <f t="shared" si="465"/>
        <v>6.6906904359615771E-2</v>
      </c>
      <c r="DJ124" s="1672">
        <f t="shared" si="465"/>
        <v>4.8455101415944668E-2</v>
      </c>
      <c r="DK124" s="573">
        <f t="shared" si="465"/>
        <v>8.1056795394954709E-2</v>
      </c>
      <c r="DL124" s="573">
        <f t="shared" si="465"/>
        <v>7.7311975085923759E-2</v>
      </c>
      <c r="DM124" s="568">
        <f t="shared" si="465"/>
        <v>7.1550528148793938E-2</v>
      </c>
      <c r="DN124" s="972"/>
      <c r="DO124" s="470"/>
      <c r="DQ124" s="15"/>
      <c r="DR124" s="15"/>
      <c r="DS124" s="427">
        <f t="shared" ref="DS124:EO124" si="470">DS106+DR106+DQ106</f>
        <v>0</v>
      </c>
      <c r="DT124" s="427">
        <f t="shared" si="470"/>
        <v>0</v>
      </c>
      <c r="DU124" s="427">
        <f t="shared" si="470"/>
        <v>0</v>
      </c>
      <c r="DV124" s="427">
        <f t="shared" si="470"/>
        <v>0</v>
      </c>
      <c r="DW124" s="427">
        <f t="shared" si="470"/>
        <v>0</v>
      </c>
      <c r="DX124" s="427">
        <f t="shared" si="470"/>
        <v>0</v>
      </c>
      <c r="DY124" s="427">
        <f t="shared" si="470"/>
        <v>0</v>
      </c>
      <c r="DZ124" s="427">
        <f t="shared" si="470"/>
        <v>0</v>
      </c>
      <c r="EA124" s="427">
        <f t="shared" si="470"/>
        <v>0</v>
      </c>
      <c r="EB124" s="427">
        <f t="shared" si="470"/>
        <v>0</v>
      </c>
      <c r="EC124" s="427">
        <f t="shared" si="470"/>
        <v>0</v>
      </c>
      <c r="ED124" s="427">
        <f t="shared" si="470"/>
        <v>0</v>
      </c>
      <c r="EE124" s="427">
        <f t="shared" si="470"/>
        <v>0</v>
      </c>
      <c r="EF124" s="427">
        <f t="shared" si="470"/>
        <v>2.6222386640812365E-2</v>
      </c>
      <c r="EG124" s="427">
        <f t="shared" si="470"/>
        <v>5.3009219448985762E-2</v>
      </c>
      <c r="EH124" s="427">
        <f t="shared" si="470"/>
        <v>0.12771677699634773</v>
      </c>
      <c r="EI124" s="427">
        <f t="shared" si="470"/>
        <v>0.14477507420345576</v>
      </c>
      <c r="EJ124" s="427">
        <f t="shared" si="470"/>
        <v>0.16698824139528237</v>
      </c>
      <c r="EK124" s="427">
        <f t="shared" si="470"/>
        <v>0.14228068384792039</v>
      </c>
      <c r="EL124" s="427">
        <f t="shared" si="470"/>
        <v>0.128</v>
      </c>
      <c r="EM124" s="427">
        <f t="shared" si="470"/>
        <v>6.6000000000000003E-2</v>
      </c>
      <c r="EN124" s="427">
        <f t="shared" si="470"/>
        <v>1.9547269288042825E-2</v>
      </c>
      <c r="EO124" s="427">
        <f t="shared" si="470"/>
        <v>-2.5396317599290077E-2</v>
      </c>
      <c r="EP124" s="427">
        <f>EP106+EO106+EN106</f>
        <v>-3.5969036919668192E-2</v>
      </c>
      <c r="EQ124" s="427">
        <f>EQ106+EN106+EM106</f>
        <v>-1.7452730711957177E-2</v>
      </c>
      <c r="ER124" s="972">
        <f>ER106+EQ106+EN106</f>
        <v>-2.5452730711957177E-2</v>
      </c>
      <c r="ES124" s="529">
        <f>ES106+ER106+EQ106</f>
        <v>-5.8098325305818106E-2</v>
      </c>
      <c r="ET124" s="529">
        <f>ET106+ER106+EQ106</f>
        <v>-6.4000000000000001E-2</v>
      </c>
      <c r="EU124" s="529">
        <f>EU106+ET106+ER106</f>
        <v>-6.5486413749313618E-2</v>
      </c>
      <c r="EV124" s="529">
        <f>EV106+EU106+ET106</f>
        <v>-4.0563870344411765E-2</v>
      </c>
      <c r="EW124" s="529">
        <f t="shared" si="467"/>
        <v>-5.3150094950766072E-4</v>
      </c>
      <c r="EX124" s="573">
        <f t="shared" si="467"/>
        <v>1.2793710846011375E-2</v>
      </c>
      <c r="EY124" s="573">
        <f t="shared" si="467"/>
        <v>6.5456652079574809E-2</v>
      </c>
      <c r="EZ124" s="1672">
        <f t="shared" si="467"/>
        <v>7.1531598411452263E-2</v>
      </c>
      <c r="FA124" s="77">
        <f t="shared" si="467"/>
        <v>7.7863167472181888E-2</v>
      </c>
      <c r="FB124" s="77">
        <f t="shared" si="467"/>
        <v>3.1736373290729127E-2</v>
      </c>
      <c r="FC124" s="77">
        <f t="shared" si="467"/>
        <v>3.0127431939037157E-2</v>
      </c>
      <c r="FD124" s="77">
        <f t="shared" si="468"/>
        <v>3.4435919334703309E-2</v>
      </c>
      <c r="FE124" s="77">
        <f t="shared" si="468"/>
        <v>3.8825166819399487E-2</v>
      </c>
      <c r="FF124" s="77">
        <f t="shared" si="468"/>
        <v>4.4553835273019871E-2</v>
      </c>
      <c r="FG124" s="77">
        <f t="shared" si="468"/>
        <v>4.5691159544318398E-2</v>
      </c>
      <c r="FH124" s="77">
        <f t="shared" si="468"/>
        <v>4.6858556198921639E-2</v>
      </c>
      <c r="FI124" s="413"/>
      <c r="FJ124"/>
      <c r="FK124"/>
      <c r="FL124"/>
      <c r="FM124"/>
      <c r="FN124"/>
      <c r="FO124"/>
      <c r="FS124" s="70"/>
      <c r="FT124" s="70"/>
      <c r="FU124"/>
      <c r="FV124" s="70"/>
      <c r="FW124" s="70"/>
      <c r="FX124" s="70"/>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row>
    <row r="125" spans="1:260" s="4" customFormat="1" ht="12.75" hidden="1" customHeight="1" outlineLevel="1" x14ac:dyDescent="0.2">
      <c r="A125" s="414"/>
      <c r="B125" s="3"/>
      <c r="C125" s="3"/>
      <c r="D125" s="3"/>
      <c r="E125" s="470"/>
      <c r="I125" s="470"/>
      <c r="M125" s="470"/>
      <c r="Q125" s="470"/>
      <c r="U125" s="470"/>
      <c r="Y125" s="470"/>
      <c r="AC125" s="470"/>
      <c r="AG125" s="470"/>
      <c r="AK125" s="470"/>
      <c r="AO125" s="470"/>
      <c r="AS125" s="470"/>
      <c r="AW125" s="470"/>
      <c r="BA125" s="470"/>
      <c r="BE125" s="470"/>
      <c r="BF125" s="6"/>
      <c r="BG125" s="6"/>
      <c r="BI125" s="470"/>
      <c r="BM125" s="484"/>
      <c r="BN125" s="6"/>
      <c r="BO125" s="6"/>
      <c r="BP125" s="6"/>
      <c r="BQ125" s="484"/>
      <c r="BU125" s="470"/>
      <c r="BY125" s="470"/>
      <c r="CC125" s="470"/>
      <c r="CG125" s="470"/>
      <c r="CK125" s="470"/>
      <c r="CO125" s="470"/>
      <c r="CP125" s="413"/>
      <c r="CQ125" s="3"/>
      <c r="CR125" s="3"/>
      <c r="CS125" s="470"/>
      <c r="CT125" s="413"/>
      <c r="CU125" s="7"/>
      <c r="CV125" s="7"/>
      <c r="CW125" s="484"/>
      <c r="CX125" s="7"/>
      <c r="CY125" s="7"/>
      <c r="CZ125" s="7"/>
      <c r="DA125" s="484"/>
      <c r="DB125" s="7"/>
      <c r="DC125" s="7"/>
      <c r="DD125" s="7"/>
      <c r="DE125" s="484"/>
      <c r="DF125" s="7"/>
      <c r="DG125" s="7"/>
      <c r="DH125" s="7"/>
      <c r="DI125" s="484"/>
      <c r="DJ125" s="1671"/>
      <c r="DK125" s="7"/>
      <c r="DL125" s="7"/>
      <c r="DM125" s="484"/>
      <c r="DN125" s="413"/>
      <c r="DO125" s="470"/>
      <c r="EM125" s="6"/>
      <c r="ER125" s="413"/>
      <c r="ES125" s="3"/>
      <c r="ET125" s="3"/>
      <c r="EU125" s="3"/>
      <c r="EV125" s="3"/>
      <c r="EW125" s="3"/>
      <c r="EX125" s="7"/>
      <c r="EY125" s="7"/>
      <c r="EZ125" s="1671"/>
      <c r="FI125" s="413"/>
      <c r="FJ125"/>
      <c r="FK125"/>
      <c r="FL125"/>
      <c r="FM125"/>
      <c r="FN125"/>
      <c r="FO125"/>
      <c r="FS125" s="7"/>
      <c r="FT125" s="7"/>
      <c r="FU125"/>
      <c r="FV125" s="7"/>
      <c r="FW125" s="7"/>
      <c r="FX125" s="7"/>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row>
    <row r="126" spans="1:260" s="448" customFormat="1" ht="12.75" customHeight="1" collapsed="1" x14ac:dyDescent="0.2">
      <c r="A126" s="447" t="s">
        <v>191</v>
      </c>
      <c r="B126" s="435"/>
      <c r="C126" s="435"/>
      <c r="D126" s="435"/>
      <c r="E126" s="464"/>
      <c r="F126" s="435"/>
      <c r="G126" s="435"/>
      <c r="H126" s="435"/>
      <c r="I126" s="464"/>
      <c r="J126" s="435"/>
      <c r="K126" s="435"/>
      <c r="L126" s="435"/>
      <c r="M126" s="464"/>
      <c r="N126" s="435"/>
      <c r="O126" s="435"/>
      <c r="P126" s="435"/>
      <c r="Q126" s="464"/>
      <c r="R126" s="435"/>
      <c r="S126" s="435"/>
      <c r="T126" s="435"/>
      <c r="U126" s="464"/>
      <c r="V126" s="435"/>
      <c r="W126" s="435"/>
      <c r="X126" s="435"/>
      <c r="Y126" s="464"/>
      <c r="Z126" s="435"/>
      <c r="AA126" s="435"/>
      <c r="AB126" s="435"/>
      <c r="AC126" s="464"/>
      <c r="AD126" s="435"/>
      <c r="AE126" s="435"/>
      <c r="AF126" s="435"/>
      <c r="AG126" s="464"/>
      <c r="AH126" s="435"/>
      <c r="AI126" s="435"/>
      <c r="AJ126" s="435"/>
      <c r="AK126" s="464"/>
      <c r="AL126" s="435"/>
      <c r="AM126" s="435"/>
      <c r="AN126" s="435"/>
      <c r="AO126" s="464"/>
      <c r="AP126" s="435"/>
      <c r="AQ126" s="435"/>
      <c r="AR126" s="435"/>
      <c r="AS126" s="464"/>
      <c r="AT126" s="435"/>
      <c r="AU126" s="435"/>
      <c r="AV126" s="435"/>
      <c r="AW126" s="464"/>
      <c r="AX126" s="435"/>
      <c r="AY126" s="435"/>
      <c r="AZ126" s="435"/>
      <c r="BA126" s="464"/>
      <c r="BB126" s="435"/>
      <c r="BC126" s="435"/>
      <c r="BD126" s="435"/>
      <c r="BE126" s="464"/>
      <c r="BF126" s="435"/>
      <c r="BG126" s="435"/>
      <c r="BH126" s="435"/>
      <c r="BI126" s="464"/>
      <c r="BJ126" s="435"/>
      <c r="BK126" s="435"/>
      <c r="BL126" s="435"/>
      <c r="BM126" s="498"/>
      <c r="BN126" s="597"/>
      <c r="BO126" s="597"/>
      <c r="BP126" s="597"/>
      <c r="BQ126" s="609"/>
      <c r="BR126" s="450"/>
      <c r="BS126" s="450"/>
      <c r="BT126" s="450"/>
      <c r="BU126" s="505"/>
      <c r="BV126" s="450"/>
      <c r="BW126" s="450"/>
      <c r="BX126" s="450"/>
      <c r="BY126" s="505"/>
      <c r="BZ126" s="450"/>
      <c r="CA126" s="450"/>
      <c r="CB126" s="450"/>
      <c r="CC126" s="505"/>
      <c r="CD126" s="450"/>
      <c r="CE126" s="450"/>
      <c r="CF126" s="450"/>
      <c r="CG126" s="505"/>
      <c r="CH126" s="450"/>
      <c r="CI126" s="450"/>
      <c r="CJ126" s="450"/>
      <c r="CK126" s="505"/>
      <c r="CL126" s="450"/>
      <c r="CM126" s="450"/>
      <c r="CN126" s="450"/>
      <c r="CO126" s="505"/>
      <c r="CP126" s="1067"/>
      <c r="CQ126" s="450"/>
      <c r="CR126" s="450"/>
      <c r="CS126" s="505"/>
      <c r="CT126" s="1067"/>
      <c r="CU126" s="450"/>
      <c r="CV126" s="450"/>
      <c r="CW126" s="505"/>
      <c r="CX126" s="450"/>
      <c r="CY126" s="450"/>
      <c r="CZ126" s="450"/>
      <c r="DA126" s="505"/>
      <c r="DB126" s="450"/>
      <c r="DC126" s="450"/>
      <c r="DD126" s="450"/>
      <c r="DE126" s="505"/>
      <c r="DF126" s="450"/>
      <c r="DG126" s="450"/>
      <c r="DH126" s="450"/>
      <c r="DI126" s="505"/>
      <c r="DJ126" s="1762"/>
      <c r="DK126" s="597"/>
      <c r="DL126" s="597"/>
      <c r="DM126" s="505"/>
      <c r="DN126" s="730"/>
      <c r="DO126" s="535"/>
      <c r="DP126" s="449"/>
      <c r="DQ126" s="449"/>
      <c r="DR126" s="449"/>
      <c r="DS126" s="449"/>
      <c r="DT126" s="449"/>
      <c r="DU126" s="449"/>
      <c r="DV126" s="449"/>
      <c r="DW126" s="449"/>
      <c r="DX126" s="435"/>
      <c r="DY126" s="435"/>
      <c r="DZ126" s="435"/>
      <c r="EA126" s="435"/>
      <c r="EB126" s="435"/>
      <c r="EC126" s="435"/>
      <c r="ED126" s="435"/>
      <c r="EE126" s="435"/>
      <c r="EF126" s="435"/>
      <c r="EG126" s="435"/>
      <c r="EH126" s="435"/>
      <c r="EI126" s="435"/>
      <c r="EJ126" s="435"/>
      <c r="EK126" s="435"/>
      <c r="EL126" s="435"/>
      <c r="EM126" s="597"/>
      <c r="EN126" s="450"/>
      <c r="EO126" s="450"/>
      <c r="EP126" s="450"/>
      <c r="EQ126" s="450"/>
      <c r="ER126" s="1067"/>
      <c r="ES126" s="450"/>
      <c r="ET126" s="450"/>
      <c r="EU126" s="450"/>
      <c r="EV126" s="450"/>
      <c r="EW126" s="450"/>
      <c r="EX126" s="450"/>
      <c r="EY126" s="450"/>
      <c r="EZ126" s="1762"/>
      <c r="FA126" s="435"/>
      <c r="FB126" s="435"/>
      <c r="FC126" s="435"/>
      <c r="FD126" s="435"/>
      <c r="FE126" s="435"/>
      <c r="FF126" s="435"/>
      <c r="FG126" s="435"/>
      <c r="FH126" s="435"/>
      <c r="FI126" s="671"/>
      <c r="FJ126"/>
      <c r="FK126"/>
      <c r="FL126"/>
      <c r="FM126"/>
      <c r="FN126"/>
      <c r="FO126"/>
      <c r="FP126" s="6"/>
      <c r="FQ126" s="4"/>
      <c r="FR126" s="4"/>
      <c r="FS126" s="335"/>
      <c r="FT126" s="335"/>
      <c r="FU126"/>
      <c r="FV126" s="335"/>
      <c r="FW126" s="335"/>
      <c r="FX126" s="335"/>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row>
    <row r="127" spans="1:260" s="4" customFormat="1" ht="12.75" customHeight="1" x14ac:dyDescent="0.2">
      <c r="A127" s="3" t="s">
        <v>346</v>
      </c>
      <c r="B127" s="1001" t="str">
        <f t="shared" ref="B127:AW127" si="471">IF(ISERROR((B91/B106)/100),"NM",(B91/B106)/100)</f>
        <v>NM</v>
      </c>
      <c r="C127" s="1001" t="str">
        <f t="shared" si="471"/>
        <v>NM</v>
      </c>
      <c r="D127" s="1001" t="str">
        <f t="shared" si="471"/>
        <v>NM</v>
      </c>
      <c r="E127" s="1002" t="str">
        <f t="shared" si="471"/>
        <v>NM</v>
      </c>
      <c r="F127" s="1001" t="str">
        <f t="shared" si="471"/>
        <v>NM</v>
      </c>
      <c r="G127" s="1001" t="str">
        <f t="shared" si="471"/>
        <v>NM</v>
      </c>
      <c r="H127" s="1001" t="str">
        <f t="shared" si="471"/>
        <v>NM</v>
      </c>
      <c r="I127" s="1002" t="str">
        <f t="shared" si="471"/>
        <v>NM</v>
      </c>
      <c r="J127" s="1001" t="str">
        <f t="shared" si="471"/>
        <v>NM</v>
      </c>
      <c r="K127" s="1001" t="str">
        <f t="shared" si="471"/>
        <v>NM</v>
      </c>
      <c r="L127" s="1001" t="str">
        <f t="shared" si="471"/>
        <v>NM</v>
      </c>
      <c r="M127" s="1002" t="str">
        <f t="shared" si="471"/>
        <v>NM</v>
      </c>
      <c r="N127" s="1001" t="str">
        <f t="shared" si="471"/>
        <v>NM</v>
      </c>
      <c r="O127" s="1001" t="str">
        <f t="shared" si="471"/>
        <v>NM</v>
      </c>
      <c r="P127" s="1001" t="str">
        <f t="shared" si="471"/>
        <v>NM</v>
      </c>
      <c r="Q127" s="1002" t="str">
        <f t="shared" si="471"/>
        <v>NM</v>
      </c>
      <c r="R127" s="1001" t="str">
        <f t="shared" si="471"/>
        <v>NM</v>
      </c>
      <c r="S127" s="1001" t="str">
        <f t="shared" si="471"/>
        <v>NM</v>
      </c>
      <c r="T127" s="1001" t="str">
        <f t="shared" si="471"/>
        <v>NM</v>
      </c>
      <c r="U127" s="1002" t="str">
        <f t="shared" si="471"/>
        <v>NM</v>
      </c>
      <c r="V127" s="1001" t="str">
        <f t="shared" si="471"/>
        <v>NM</v>
      </c>
      <c r="W127" s="1001" t="str">
        <f t="shared" si="471"/>
        <v>NM</v>
      </c>
      <c r="X127" s="1001" t="str">
        <f t="shared" si="471"/>
        <v>NM</v>
      </c>
      <c r="Y127" s="1002" t="str">
        <f t="shared" si="471"/>
        <v>NM</v>
      </c>
      <c r="Z127" s="1001" t="str">
        <f t="shared" si="471"/>
        <v>NM</v>
      </c>
      <c r="AA127" s="1001" t="str">
        <f t="shared" si="471"/>
        <v>NM</v>
      </c>
      <c r="AB127" s="1001" t="str">
        <f t="shared" si="471"/>
        <v>NM</v>
      </c>
      <c r="AC127" s="1002" t="str">
        <f t="shared" si="471"/>
        <v>NM</v>
      </c>
      <c r="AD127" s="1001" t="str">
        <f t="shared" si="471"/>
        <v>NM</v>
      </c>
      <c r="AE127" s="1001" t="str">
        <f t="shared" si="471"/>
        <v>NM</v>
      </c>
      <c r="AF127" s="1001" t="str">
        <f t="shared" si="471"/>
        <v>NM</v>
      </c>
      <c r="AG127" s="1002" t="str">
        <f t="shared" si="471"/>
        <v>NM</v>
      </c>
      <c r="AH127" s="1001" t="str">
        <f t="shared" si="471"/>
        <v>NM</v>
      </c>
      <c r="AI127" s="1001" t="str">
        <f t="shared" si="471"/>
        <v>NM</v>
      </c>
      <c r="AJ127" s="1001" t="str">
        <f t="shared" si="471"/>
        <v>NM</v>
      </c>
      <c r="AK127" s="1002" t="str">
        <f t="shared" si="471"/>
        <v>NM</v>
      </c>
      <c r="AL127" s="1001" t="str">
        <f t="shared" si="471"/>
        <v>NM</v>
      </c>
      <c r="AM127" s="1001" t="str">
        <f t="shared" si="471"/>
        <v>NM</v>
      </c>
      <c r="AN127" s="1001" t="str">
        <f t="shared" si="471"/>
        <v>NM</v>
      </c>
      <c r="AO127" s="1002" t="str">
        <f t="shared" si="471"/>
        <v>NM</v>
      </c>
      <c r="AP127" s="1001" t="str">
        <f t="shared" si="471"/>
        <v>NM</v>
      </c>
      <c r="AQ127" s="1001" t="str">
        <f t="shared" si="471"/>
        <v>NM</v>
      </c>
      <c r="AR127" s="1001" t="str">
        <f t="shared" si="471"/>
        <v>NM</v>
      </c>
      <c r="AS127" s="1002" t="str">
        <f t="shared" si="471"/>
        <v>NM</v>
      </c>
      <c r="AT127" s="1001" t="str">
        <f t="shared" si="471"/>
        <v>NM</v>
      </c>
      <c r="AU127" s="1001" t="str">
        <f t="shared" si="471"/>
        <v>NM</v>
      </c>
      <c r="AV127" s="1001" t="str">
        <f t="shared" si="471"/>
        <v>NM</v>
      </c>
      <c r="AW127" s="1002" t="str">
        <f t="shared" si="471"/>
        <v>NM</v>
      </c>
      <c r="AX127" s="417">
        <f t="shared" ref="AX127:BM127" si="472">(AX91/AX106)/100</f>
        <v>34.957147092811276</v>
      </c>
      <c r="AY127" s="417">
        <f t="shared" si="472"/>
        <v>38.630315717673881</v>
      </c>
      <c r="AZ127" s="417">
        <f t="shared" si="472"/>
        <v>35.236313736416662</v>
      </c>
      <c r="BA127" s="520">
        <f t="shared" si="472"/>
        <v>19.60931674703933</v>
      </c>
      <c r="BB127" s="417">
        <f t="shared" si="472"/>
        <v>-2.1020208343779583</v>
      </c>
      <c r="BC127" s="417">
        <f t="shared" si="472"/>
        <v>-13.871668931497265</v>
      </c>
      <c r="BD127" s="417">
        <f t="shared" si="472"/>
        <v>-17.310389125697068</v>
      </c>
      <c r="BE127" s="520">
        <f t="shared" si="472"/>
        <v>-14.798573460134323</v>
      </c>
      <c r="BF127" s="417">
        <f t="shared" si="472"/>
        <v>-49.83486238931264</v>
      </c>
      <c r="BG127" s="417">
        <f t="shared" si="472"/>
        <v>-15.853516469063052</v>
      </c>
      <c r="BH127" s="417">
        <f t="shared" si="472"/>
        <v>-8.7987368813682729E-2</v>
      </c>
      <c r="BI127" s="520">
        <f t="shared" si="472"/>
        <v>201.26788273793079</v>
      </c>
      <c r="BJ127" s="417">
        <f t="shared" si="472"/>
        <v>-3.822459232806084</v>
      </c>
      <c r="BK127" s="417">
        <f t="shared" si="472"/>
        <v>-3.6255914466592647</v>
      </c>
      <c r="BL127" s="417">
        <f t="shared" si="472"/>
        <v>-25.259935522637466</v>
      </c>
      <c r="BM127" s="520">
        <f t="shared" si="472"/>
        <v>-18.805765928806686</v>
      </c>
      <c r="BN127" s="417">
        <f t="shared" ref="BN127:CV127" si="473">(BN91/BN106)/100</f>
        <v>-25.85497339663733</v>
      </c>
      <c r="BO127" s="417">
        <f t="shared" si="473"/>
        <v>-1.4835374419237146</v>
      </c>
      <c r="BP127" s="417">
        <f t="shared" si="473"/>
        <v>-24.148803841592127</v>
      </c>
      <c r="BQ127" s="520">
        <f t="shared" si="473"/>
        <v>-8.2889851809482735</v>
      </c>
      <c r="BR127" s="417">
        <f t="shared" si="473"/>
        <v>20.103813071271109</v>
      </c>
      <c r="BS127" s="417">
        <f t="shared" si="473"/>
        <v>-1382.894322475958</v>
      </c>
      <c r="BT127" s="417">
        <f t="shared" si="473"/>
        <v>-18.8054030159559</v>
      </c>
      <c r="BU127" s="520">
        <f t="shared" si="473"/>
        <v>-8.2052370403053967</v>
      </c>
      <c r="BV127" s="417">
        <f t="shared" si="473"/>
        <v>34.257531145205355</v>
      </c>
      <c r="BW127" s="417">
        <f t="shared" si="473"/>
        <v>15.126318894299686</v>
      </c>
      <c r="BX127" s="417">
        <f t="shared" si="473"/>
        <v>-251.90667786018176</v>
      </c>
      <c r="BY127" s="520">
        <f t="shared" si="473"/>
        <v>-4.4426909969649593</v>
      </c>
      <c r="BZ127" s="417">
        <f t="shared" si="473"/>
        <v>0</v>
      </c>
      <c r="CA127" s="417">
        <f t="shared" si="473"/>
        <v>0</v>
      </c>
      <c r="CB127" s="417">
        <f t="shared" si="473"/>
        <v>0</v>
      </c>
      <c r="CC127" s="520">
        <f t="shared" si="473"/>
        <v>0</v>
      </c>
      <c r="CD127" s="417">
        <f t="shared" si="473"/>
        <v>-15.876006495492886</v>
      </c>
      <c r="CE127" s="417">
        <f t="shared" si="473"/>
        <v>12.623615698107466</v>
      </c>
      <c r="CF127" s="417">
        <f t="shared" si="473"/>
        <v>83.237584640656806</v>
      </c>
      <c r="CG127" s="520">
        <f t="shared" si="473"/>
        <v>41.44442828535535</v>
      </c>
      <c r="CH127" s="417">
        <f t="shared" si="473"/>
        <v>12.337988082905538</v>
      </c>
      <c r="CI127" s="417">
        <f t="shared" si="473"/>
        <v>35.372544005744977</v>
      </c>
      <c r="CJ127" s="417">
        <f t="shared" si="473"/>
        <v>36.042342045547784</v>
      </c>
      <c r="CK127" s="520">
        <f t="shared" si="473"/>
        <v>75.020034615068056</v>
      </c>
      <c r="CL127" s="417">
        <f t="shared" si="473"/>
        <v>15.035516826073547</v>
      </c>
      <c r="CM127" s="417">
        <f t="shared" si="473"/>
        <v>37.328815657790493</v>
      </c>
      <c r="CN127" s="417">
        <f t="shared" si="473"/>
        <v>36.250785018221002</v>
      </c>
      <c r="CO127" s="520">
        <f t="shared" si="473"/>
        <v>61.45504324344607</v>
      </c>
      <c r="CP127" s="973">
        <f t="shared" si="473"/>
        <v>74.073179043731812</v>
      </c>
      <c r="CQ127" s="530">
        <f t="shared" si="473"/>
        <v>10.548201708049376</v>
      </c>
      <c r="CR127" s="530">
        <f t="shared" si="473"/>
        <v>-59.305000126379511</v>
      </c>
      <c r="CS127" s="520">
        <f t="shared" si="473"/>
        <v>169.81509347669294</v>
      </c>
      <c r="CT127" s="973">
        <f t="shared" si="473"/>
        <v>44.926109698873667</v>
      </c>
      <c r="CU127" s="1155">
        <f t="shared" si="473"/>
        <v>34.710592206327206</v>
      </c>
      <c r="CV127" s="1155">
        <f t="shared" si="473"/>
        <v>-16.160890361937842</v>
      </c>
      <c r="CW127" s="1168">
        <f>(CW91/CW106)/100</f>
        <v>56.618429558529662</v>
      </c>
      <c r="CX127" s="1155">
        <f>(CX91/CX106)/100</f>
        <v>22.28472302456726</v>
      </c>
      <c r="CY127" s="1155">
        <f t="shared" ref="CY127:DE127" si="474">IFERROR((CY91/CY106)/100,"NA")</f>
        <v>28.039359117806494</v>
      </c>
      <c r="CZ127" s="1155">
        <f t="shared" si="474"/>
        <v>122.80834837907315</v>
      </c>
      <c r="DA127" s="1168">
        <f>IFERROR((DA91/DA106)/100,"NA")</f>
        <v>-20.912006113946614</v>
      </c>
      <c r="DB127" s="1155">
        <f>IFERROR((DB91/DB106)/100,"NA")</f>
        <v>-186.47054960033148</v>
      </c>
      <c r="DC127" s="1155">
        <f t="shared" si="474"/>
        <v>-27.059345496695268</v>
      </c>
      <c r="DD127" s="1493">
        <f t="shared" si="474"/>
        <v>38.407203017177018</v>
      </c>
      <c r="DE127" s="1477">
        <f t="shared" si="474"/>
        <v>-111.67909592196011</v>
      </c>
      <c r="DF127" s="1493">
        <f>IFERROR((DF91/DF106)/100,"NA")</f>
        <v>29.723164320253712</v>
      </c>
      <c r="DG127" s="1155">
        <f t="shared" ref="DG127" si="475">IFERROR((DG91/DG106)/100,"NA")</f>
        <v>-1.5377164333980471</v>
      </c>
      <c r="DH127" s="1155">
        <f t="shared" ref="DH127:DM127" si="476">IFERROR((DH91/DH106)/100,"NA")</f>
        <v>-3.7128085650265854</v>
      </c>
      <c r="DI127" s="1477">
        <f t="shared" si="476"/>
        <v>-2.2754429728847687</v>
      </c>
      <c r="DJ127" s="1796">
        <f t="shared" si="476"/>
        <v>-6.7408254111860852</v>
      </c>
      <c r="DK127" s="1493">
        <f t="shared" si="476"/>
        <v>-8.0810753572131819</v>
      </c>
      <c r="DL127" s="1493">
        <f t="shared" si="476"/>
        <v>-5.7752648423161936</v>
      </c>
      <c r="DM127" s="1477">
        <f t="shared" si="476"/>
        <v>-3.6035256783372525</v>
      </c>
      <c r="DN127" s="973"/>
      <c r="DO127" s="470"/>
      <c r="DQ127" s="15"/>
      <c r="DR127" s="1001" t="str">
        <f t="shared" ref="DR127:EI127" si="477">IF(ISERROR((DR91/DR106)/100),"NM",(DR91/DR106)/100)</f>
        <v>NM</v>
      </c>
      <c r="DS127" s="1001" t="str">
        <f t="shared" si="477"/>
        <v>NM</v>
      </c>
      <c r="DT127" s="1001" t="str">
        <f t="shared" si="477"/>
        <v>NM</v>
      </c>
      <c r="DU127" s="1001" t="str">
        <f t="shared" si="477"/>
        <v>NM</v>
      </c>
      <c r="DV127" s="1001" t="str">
        <f t="shared" si="477"/>
        <v>NM</v>
      </c>
      <c r="DW127" s="1001" t="str">
        <f t="shared" si="477"/>
        <v>NM</v>
      </c>
      <c r="DX127" s="1001" t="str">
        <f t="shared" si="477"/>
        <v>NM</v>
      </c>
      <c r="DY127" s="1001" t="str">
        <f t="shared" si="477"/>
        <v>NM</v>
      </c>
      <c r="DZ127" s="1001" t="str">
        <f t="shared" si="477"/>
        <v>NM</v>
      </c>
      <c r="EA127" s="1001" t="str">
        <f t="shared" si="477"/>
        <v>NM</v>
      </c>
      <c r="EB127" s="1001" t="str">
        <f t="shared" si="477"/>
        <v>NM</v>
      </c>
      <c r="EC127" s="1001" t="str">
        <f t="shared" si="477"/>
        <v>NM</v>
      </c>
      <c r="ED127" s="1001" t="str">
        <f t="shared" si="477"/>
        <v>NM</v>
      </c>
      <c r="EE127" s="1001" t="str">
        <f t="shared" si="477"/>
        <v>NM</v>
      </c>
      <c r="EF127" s="1001">
        <f t="shared" si="477"/>
        <v>100.83838584197387</v>
      </c>
      <c r="EG127" s="1001">
        <f t="shared" si="477"/>
        <v>89.301788104285933</v>
      </c>
      <c r="EH127" s="1001">
        <f t="shared" si="477"/>
        <v>-2.3812052159546404</v>
      </c>
      <c r="EI127" s="1001">
        <f t="shared" si="477"/>
        <v>-26.428742516608057</v>
      </c>
      <c r="EJ127" s="417">
        <f t="shared" ref="EJ127:FC127" si="478">(EJ91/EJ106)/100</f>
        <v>27.94936700211754</v>
      </c>
      <c r="EK127" s="417">
        <f t="shared" si="478"/>
        <v>-12.84623036424315</v>
      </c>
      <c r="EL127" s="417">
        <f t="shared" si="478"/>
        <v>-19.027130633929538</v>
      </c>
      <c r="EM127" s="417">
        <f t="shared" si="478"/>
        <v>-44.659272088671777</v>
      </c>
      <c r="EN127" s="417">
        <f t="shared" si="478"/>
        <v>10.68395121049033</v>
      </c>
      <c r="EO127" s="417">
        <f t="shared" si="478"/>
        <v>-44.860591264313086</v>
      </c>
      <c r="EP127" s="417">
        <f t="shared" si="478"/>
        <v>15.664274847572726</v>
      </c>
      <c r="EQ127" s="417">
        <f t="shared" si="478"/>
        <v>-78.679940134670701</v>
      </c>
      <c r="ER127" s="973">
        <f t="shared" si="478"/>
        <v>14.358500338796613</v>
      </c>
      <c r="ES127" s="530">
        <f t="shared" si="478"/>
        <v>32.263569138424053</v>
      </c>
      <c r="ET127" s="530">
        <f t="shared" si="478"/>
        <v>32.702395394289937</v>
      </c>
      <c r="EU127" s="1481">
        <f t="shared" ref="EU127:EX127" si="479">IFERROR((EU91/EU106)/100,"NA")</f>
        <v>122.19332971359425</v>
      </c>
      <c r="EV127" s="1481">
        <f t="shared" si="479"/>
        <v>-16.947687690812849</v>
      </c>
      <c r="EW127" s="1481">
        <f t="shared" si="479"/>
        <v>120.09201738135505</v>
      </c>
      <c r="EX127" s="1493">
        <f t="shared" si="479"/>
        <v>120.18347685467508</v>
      </c>
      <c r="EY127" s="1493">
        <f>IFERROR((EY91/EY106)/100,"NA")</f>
        <v>-1.1148783425120339</v>
      </c>
      <c r="EZ127" s="1796">
        <f>IFERROR((EZ91/EZ106)/100,"NA")</f>
        <v>-6.5760798744524802</v>
      </c>
      <c r="FA127" s="417">
        <f t="shared" si="478"/>
        <v>-5.3723287904822152</v>
      </c>
      <c r="FB127" s="417">
        <f t="shared" si="478"/>
        <v>2.6257987777633285</v>
      </c>
      <c r="FC127" s="417">
        <f t="shared" si="478"/>
        <v>-4.804538793007409</v>
      </c>
      <c r="FD127" s="417">
        <f>(FD91/FD106)/100</f>
        <v>-3.1499630838364743</v>
      </c>
      <c r="FE127" s="417">
        <f>(FE91/FE106)/100</f>
        <v>-3.0773649179341231</v>
      </c>
      <c r="FF127" s="417">
        <f>(FF91/FF106)/100</f>
        <v>-3.0064884784857675</v>
      </c>
      <c r="FG127" s="417">
        <f>(FG91/FG106)/100</f>
        <v>-2.9373422922198058</v>
      </c>
      <c r="FH127" s="417">
        <f>(FH91/FH106)/100</f>
        <v>-2.8699308068729645</v>
      </c>
      <c r="FI127" s="413"/>
      <c r="FJ127"/>
      <c r="FK127"/>
      <c r="FL127"/>
      <c r="FM127"/>
      <c r="FN127"/>
      <c r="FO127"/>
      <c r="FS127" s="1493"/>
      <c r="FT127" s="1493"/>
      <c r="FU127"/>
      <c r="FV127" s="1493"/>
      <c r="FW127" s="1155"/>
      <c r="FX127" s="1155"/>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row>
    <row r="128" spans="1:260" s="4" customFormat="1" ht="12.75" customHeight="1" x14ac:dyDescent="0.2">
      <c r="A128" s="3" t="s">
        <v>16</v>
      </c>
      <c r="B128" s="1001" t="str">
        <f>IF(ISERROR(-(B92/B107)/100),"NM",-(B92/B107)/100)</f>
        <v>NM</v>
      </c>
      <c r="C128" s="1001" t="str">
        <f>IF(ISERROR(-(C92/C107)/100),"NM",-(C92/C107)/100)</f>
        <v>NM</v>
      </c>
      <c r="D128" s="1001" t="str">
        <f>IF(ISERROR(-(D92/D107)/100),"NM",-(D92/D107)/100)</f>
        <v>NM</v>
      </c>
      <c r="E128" s="1002" t="str">
        <f>IF(ISERROR(-(E92/E107)/100),"NM",-(E92/E107)/100)</f>
        <v>NM</v>
      </c>
      <c r="F128" s="417">
        <f t="shared" ref="F128:AG128" si="480">-(F92/F107)/100</f>
        <v>-1.765056828371153</v>
      </c>
      <c r="G128" s="417">
        <f t="shared" si="480"/>
        <v>-2.3508772448796758</v>
      </c>
      <c r="H128" s="417">
        <f t="shared" si="480"/>
        <v>-1.9470127803161739</v>
      </c>
      <c r="I128" s="520">
        <f t="shared" si="480"/>
        <v>-1.5980377034289137</v>
      </c>
      <c r="J128" s="417">
        <f t="shared" si="480"/>
        <v>-0.60919042230080711</v>
      </c>
      <c r="K128" s="417">
        <f t="shared" si="480"/>
        <v>-0.41970405618783885</v>
      </c>
      <c r="L128" s="417">
        <f t="shared" si="480"/>
        <v>-0.30672237254997103</v>
      </c>
      <c r="M128" s="520">
        <f t="shared" si="480"/>
        <v>-0.24766373070523995</v>
      </c>
      <c r="N128" s="417">
        <f t="shared" si="480"/>
        <v>-0.85407963619596117</v>
      </c>
      <c r="O128" s="417">
        <f t="shared" si="480"/>
        <v>-0.86360589925860565</v>
      </c>
      <c r="P128" s="417">
        <f t="shared" si="480"/>
        <v>-7.9350533639415097</v>
      </c>
      <c r="Q128" s="520">
        <f t="shared" si="480"/>
        <v>3.8814175068155556</v>
      </c>
      <c r="R128" s="417">
        <f t="shared" si="480"/>
        <v>12.356335487539711</v>
      </c>
      <c r="S128" s="417">
        <f t="shared" si="480"/>
        <v>-39.542608518301847</v>
      </c>
      <c r="T128" s="417">
        <f t="shared" si="480"/>
        <v>-2.0214387822155127</v>
      </c>
      <c r="U128" s="520">
        <f t="shared" si="480"/>
        <v>-0.32482585246078705</v>
      </c>
      <c r="V128" s="417">
        <f t="shared" si="480"/>
        <v>1.1819850141777706</v>
      </c>
      <c r="W128" s="417">
        <f t="shared" si="480"/>
        <v>1.1876911130200956</v>
      </c>
      <c r="X128" s="417">
        <f t="shared" si="480"/>
        <v>-0.33456660259034798</v>
      </c>
      <c r="Y128" s="520">
        <f t="shared" si="480"/>
        <v>-5.0471430790806272E-2</v>
      </c>
      <c r="Z128" s="417">
        <f t="shared" si="480"/>
        <v>-6.9605779421689953E-2</v>
      </c>
      <c r="AA128" s="417">
        <f t="shared" si="480"/>
        <v>0.88887608587691902</v>
      </c>
      <c r="AB128" s="417">
        <f t="shared" si="480"/>
        <v>0.59611420516118907</v>
      </c>
      <c r="AC128" s="520">
        <f t="shared" si="480"/>
        <v>-0.58746004343613489</v>
      </c>
      <c r="AD128" s="417">
        <f t="shared" si="480"/>
        <v>1.0109435200730619</v>
      </c>
      <c r="AE128" s="417">
        <f t="shared" si="480"/>
        <v>-1.4017023638876713</v>
      </c>
      <c r="AF128" s="417">
        <f t="shared" si="480"/>
        <v>-1.4558977206019048</v>
      </c>
      <c r="AG128" s="520">
        <f t="shared" si="480"/>
        <v>-0.58514525081542734</v>
      </c>
      <c r="AH128" s="417">
        <f t="shared" ref="AH128:BM128" si="481">-(AH92/AH107)/100</f>
        <v>-5.3649913069721258</v>
      </c>
      <c r="AI128" s="417">
        <f t="shared" si="481"/>
        <v>-2.5629158297426513</v>
      </c>
      <c r="AJ128" s="417">
        <f t="shared" si="481"/>
        <v>-3.0978547539375723</v>
      </c>
      <c r="AK128" s="520">
        <f t="shared" si="481"/>
        <v>-0.70253878770672273</v>
      </c>
      <c r="AL128" s="417">
        <f t="shared" si="481"/>
        <v>2.8530122615673035</v>
      </c>
      <c r="AM128" s="417">
        <f t="shared" si="481"/>
        <v>2.3113507427556432</v>
      </c>
      <c r="AN128" s="417">
        <f t="shared" si="481"/>
        <v>3.9675557345858583</v>
      </c>
      <c r="AO128" s="520">
        <f t="shared" si="481"/>
        <v>850.63668981680678</v>
      </c>
      <c r="AP128" s="417">
        <f t="shared" si="481"/>
        <v>2.8777252898570636</v>
      </c>
      <c r="AQ128" s="417">
        <f t="shared" si="481"/>
        <v>3.3977575494254757</v>
      </c>
      <c r="AR128" s="417">
        <f t="shared" si="481"/>
        <v>4.1349820970598286</v>
      </c>
      <c r="AS128" s="520">
        <f t="shared" si="481"/>
        <v>-2.6502089131191182</v>
      </c>
      <c r="AT128" s="417">
        <f t="shared" si="481"/>
        <v>2.9019375016636588</v>
      </c>
      <c r="AU128" s="417">
        <f t="shared" si="481"/>
        <v>1.7917952519775695</v>
      </c>
      <c r="AV128" s="417">
        <f t="shared" si="481"/>
        <v>1.3438078219317728</v>
      </c>
      <c r="AW128" s="520">
        <f t="shared" si="481"/>
        <v>-2.9099286042374981</v>
      </c>
      <c r="AX128" s="417">
        <f t="shared" si="481"/>
        <v>-0.26177040073433738</v>
      </c>
      <c r="AY128" s="417">
        <f t="shared" si="481"/>
        <v>-0.50683302181588763</v>
      </c>
      <c r="AZ128" s="417">
        <f t="shared" si="481"/>
        <v>3.5057484208992053E-2</v>
      </c>
      <c r="BA128" s="520">
        <f t="shared" si="481"/>
        <v>0.94378016270791976</v>
      </c>
      <c r="BB128" s="417">
        <f t="shared" si="481"/>
        <v>-0.77817773850883454</v>
      </c>
      <c r="BC128" s="417">
        <f t="shared" si="481"/>
        <v>-0.76593467696021766</v>
      </c>
      <c r="BD128" s="417">
        <f t="shared" si="481"/>
        <v>-0.39523552543406437</v>
      </c>
      <c r="BE128" s="520">
        <f t="shared" si="481"/>
        <v>6.5595162588701947E-2</v>
      </c>
      <c r="BF128" s="417">
        <f t="shared" si="481"/>
        <v>0.32789268829499485</v>
      </c>
      <c r="BG128" s="417">
        <f t="shared" si="481"/>
        <v>0.4093890416471046</v>
      </c>
      <c r="BH128" s="417">
        <f t="shared" si="481"/>
        <v>0.5030621745401157</v>
      </c>
      <c r="BI128" s="520">
        <f t="shared" si="481"/>
        <v>-2.8202550089722651</v>
      </c>
      <c r="BJ128" s="417">
        <f t="shared" si="481"/>
        <v>-2.0565992188376025</v>
      </c>
      <c r="BK128" s="417">
        <f t="shared" si="481"/>
        <v>-2.3075352631619408</v>
      </c>
      <c r="BL128" s="417">
        <f t="shared" si="481"/>
        <v>-1.1357808470984734</v>
      </c>
      <c r="BM128" s="520">
        <f t="shared" si="481"/>
        <v>-2.8869007302193199</v>
      </c>
      <c r="BN128" s="417">
        <f t="shared" ref="BN128:CP128" si="482">-(BN92/BN107)/100</f>
        <v>-0.67581091361960166</v>
      </c>
      <c r="BO128" s="417">
        <f t="shared" si="482"/>
        <v>-0.58437274006136064</v>
      </c>
      <c r="BP128" s="417">
        <f t="shared" si="482"/>
        <v>-4.5963416678094093</v>
      </c>
      <c r="BQ128" s="520">
        <f t="shared" si="482"/>
        <v>-0.525390625054589</v>
      </c>
      <c r="BR128" s="417">
        <f t="shared" si="482"/>
        <v>1.370811035449641</v>
      </c>
      <c r="BS128" s="417">
        <f t="shared" si="482"/>
        <v>3.081020832490176E-2</v>
      </c>
      <c r="BT128" s="417">
        <f t="shared" si="482"/>
        <v>7.5202270333008485</v>
      </c>
      <c r="BU128" s="520">
        <f t="shared" si="482"/>
        <v>5.339101697369439</v>
      </c>
      <c r="BV128" s="417">
        <f t="shared" si="482"/>
        <v>-2.8015251994277977</v>
      </c>
      <c r="BW128" s="417">
        <f t="shared" si="482"/>
        <v>-97.970505621477713</v>
      </c>
      <c r="BX128" s="417">
        <f t="shared" si="482"/>
        <v>-1.6300852961512344</v>
      </c>
      <c r="BY128" s="520">
        <f t="shared" si="482"/>
        <v>-0.7173778639784314</v>
      </c>
      <c r="BZ128" s="417">
        <f t="shared" si="482"/>
        <v>0</v>
      </c>
      <c r="CA128" s="417">
        <f t="shared" si="482"/>
        <v>0</v>
      </c>
      <c r="CB128" s="417">
        <f t="shared" si="482"/>
        <v>0</v>
      </c>
      <c r="CC128" s="520">
        <f t="shared" si="482"/>
        <v>0</v>
      </c>
      <c r="CD128" s="417">
        <f t="shared" si="482"/>
        <v>-70.53405915157596</v>
      </c>
      <c r="CE128" s="417">
        <f t="shared" si="482"/>
        <v>77.413234793946941</v>
      </c>
      <c r="CF128" s="417">
        <f t="shared" si="482"/>
        <v>-18.318791733056649</v>
      </c>
      <c r="CG128" s="520">
        <f t="shared" si="482"/>
        <v>-198.60778061609352</v>
      </c>
      <c r="CH128" s="417">
        <f t="shared" si="482"/>
        <v>-0.97301514715966964</v>
      </c>
      <c r="CI128" s="417">
        <f t="shared" si="482"/>
        <v>-5.5751841763468056E-2</v>
      </c>
      <c r="CJ128" s="417">
        <f t="shared" si="482"/>
        <v>0.13009376829923333</v>
      </c>
      <c r="CK128" s="520">
        <f t="shared" si="482"/>
        <v>11.647645085086602</v>
      </c>
      <c r="CL128" s="417">
        <f t="shared" si="482"/>
        <v>4.278414125840972</v>
      </c>
      <c r="CM128" s="417">
        <f t="shared" si="482"/>
        <v>2.4729507464239666</v>
      </c>
      <c r="CN128" s="417">
        <f t="shared" si="482"/>
        <v>2.5402910719380944</v>
      </c>
      <c r="CO128" s="520">
        <f t="shared" si="482"/>
        <v>1.3954138293583347</v>
      </c>
      <c r="CP128" s="973">
        <f t="shared" si="482"/>
        <v>-4.1926015776123284</v>
      </c>
      <c r="CQ128" s="530">
        <f>-(CQ92/CQ107)/100</f>
        <v>-9.6345673509031471</v>
      </c>
      <c r="CR128" s="530">
        <f>-(CR92/CR107)/100</f>
        <v>-13.592495503266312</v>
      </c>
      <c r="CS128" s="520">
        <f>-(CS92/CS107)/100</f>
        <v>-6.3605031925452602</v>
      </c>
      <c r="CT128" s="973">
        <f t="shared" ref="CT128:DD128" si="483">IFERROR(-(CT94/CT106)/100,"NA")</f>
        <v>-60.10501069285182</v>
      </c>
      <c r="CU128" s="1155">
        <f t="shared" si="483"/>
        <v>-63.265331369921256</v>
      </c>
      <c r="CV128" s="1155">
        <f t="shared" si="483"/>
        <v>46.461661373891509</v>
      </c>
      <c r="CW128" s="1168">
        <f t="shared" si="483"/>
        <v>6.9848777776231055</v>
      </c>
      <c r="CX128" s="1155">
        <f t="shared" si="483"/>
        <v>-43.566730448215779</v>
      </c>
      <c r="CY128" s="1155">
        <f t="shared" si="483"/>
        <v>-17.539578888487405</v>
      </c>
      <c r="CZ128" s="1155">
        <f t="shared" si="483"/>
        <v>-83.177121293852068</v>
      </c>
      <c r="DA128" s="1168">
        <f t="shared" si="483"/>
        <v>22.370802631488818</v>
      </c>
      <c r="DB128" s="1155">
        <f t="shared" si="483"/>
        <v>-42.489413362063807</v>
      </c>
      <c r="DC128" s="1155">
        <f t="shared" si="483"/>
        <v>40.28268825630304</v>
      </c>
      <c r="DD128" s="1155">
        <f t="shared" si="483"/>
        <v>6.0618451591850269</v>
      </c>
      <c r="DE128" s="1477">
        <f>IFERROR(-(DE94/DE106)/100,"NA")</f>
        <v>-4.5373908790611033</v>
      </c>
      <c r="DF128" s="1493">
        <f>IFERROR(-(DF94/DF106)/100,"NA")</f>
        <v>12.802976844576506</v>
      </c>
      <c r="DG128" s="1155">
        <f t="shared" ref="DG128" si="484">IFERROR(-(DG94/DG106)/100,"NA")</f>
        <v>7.0111937000356628</v>
      </c>
      <c r="DH128" s="1155">
        <f t="shared" ref="DH128:DM128" si="485">IFERROR(-(DH94/DH106)/100,"NA")</f>
        <v>9.0025336391071971</v>
      </c>
      <c r="DI128" s="1477">
        <f t="shared" si="485"/>
        <v>-3.072077701447011E-2</v>
      </c>
      <c r="DJ128" s="1796">
        <f t="shared" si="485"/>
        <v>0.33548389004641732</v>
      </c>
      <c r="DK128" s="1493">
        <f t="shared" si="485"/>
        <v>0.93667083549822583</v>
      </c>
      <c r="DL128" s="1493">
        <f t="shared" si="485"/>
        <v>10.00562809160629</v>
      </c>
      <c r="DM128" s="1477">
        <f t="shared" si="485"/>
        <v>7.7256246903050032</v>
      </c>
      <c r="DN128" s="973"/>
      <c r="DO128" s="470"/>
      <c r="DQ128" s="15"/>
      <c r="DR128" s="1001" t="str">
        <f t="shared" ref="DR128:EI128" si="486">IF(ISERROR(-(DR94/DR106)/100),"NM",-(DR94/DR106)/100)</f>
        <v>NM</v>
      </c>
      <c r="DS128" s="1001" t="str">
        <f t="shared" si="486"/>
        <v>NM</v>
      </c>
      <c r="DT128" s="1001" t="str">
        <f t="shared" si="486"/>
        <v>NM</v>
      </c>
      <c r="DU128" s="1001" t="str">
        <f t="shared" si="486"/>
        <v>NM</v>
      </c>
      <c r="DV128" s="1001" t="str">
        <f t="shared" si="486"/>
        <v>NM</v>
      </c>
      <c r="DW128" s="1001" t="str">
        <f t="shared" si="486"/>
        <v>NM</v>
      </c>
      <c r="DX128" s="1001" t="str">
        <f t="shared" si="486"/>
        <v>NM</v>
      </c>
      <c r="DY128" s="1001" t="str">
        <f t="shared" si="486"/>
        <v>NM</v>
      </c>
      <c r="DZ128" s="1001" t="str">
        <f t="shared" si="486"/>
        <v>NM</v>
      </c>
      <c r="EA128" s="1001" t="str">
        <f t="shared" si="486"/>
        <v>NM</v>
      </c>
      <c r="EB128" s="1001" t="str">
        <f t="shared" si="486"/>
        <v>NM</v>
      </c>
      <c r="EC128" s="1001" t="str">
        <f t="shared" si="486"/>
        <v>NM</v>
      </c>
      <c r="ED128" s="1001" t="str">
        <f t="shared" si="486"/>
        <v>NM</v>
      </c>
      <c r="EE128" s="1001" t="str">
        <f t="shared" si="486"/>
        <v>NM</v>
      </c>
      <c r="EF128" s="1001">
        <f t="shared" si="486"/>
        <v>-68.931132917490416</v>
      </c>
      <c r="EG128" s="1001">
        <f t="shared" si="486"/>
        <v>-87.786903638057751</v>
      </c>
      <c r="EH128" s="1001">
        <f t="shared" si="486"/>
        <v>8.95039247989477</v>
      </c>
      <c r="EI128" s="1001">
        <f t="shared" si="486"/>
        <v>25.129132607231227</v>
      </c>
      <c r="EJ128" s="417">
        <f t="shared" ref="EJ128:FC128" si="487">-(EJ94/EJ106)/100</f>
        <v>-26.461328709717904</v>
      </c>
      <c r="EK128" s="417">
        <f t="shared" si="487"/>
        <v>17.518624797837056</v>
      </c>
      <c r="EL128" s="417">
        <f t="shared" si="487"/>
        <v>13.386398893321344</v>
      </c>
      <c r="EM128" s="417">
        <f t="shared" si="487"/>
        <v>115.83859107737482</v>
      </c>
      <c r="EN128" s="417">
        <f t="shared" si="487"/>
        <v>25.428630077895534</v>
      </c>
      <c r="EO128" s="417">
        <f t="shared" si="487"/>
        <v>42.065951500756654</v>
      </c>
      <c r="EP128" s="417">
        <f t="shared" si="487"/>
        <v>-6.3034786476998406</v>
      </c>
      <c r="EQ128" s="417">
        <f t="shared" si="487"/>
        <v>23.464844477878717</v>
      </c>
      <c r="ER128" s="973">
        <f t="shared" si="487"/>
        <v>7.0535609674147022</v>
      </c>
      <c r="ES128" s="530">
        <f t="shared" si="487"/>
        <v>22.775618287298663</v>
      </c>
      <c r="ET128" s="530">
        <f t="shared" si="487"/>
        <v>2.8800320295747319</v>
      </c>
      <c r="EU128" s="1481">
        <f t="shared" ref="EU128:EX128" si="488">IFERROR(-(EU94/EU106)/100,"NA")</f>
        <v>-71.057921016691537</v>
      </c>
      <c r="EV128" s="1481">
        <f t="shared" si="488"/>
        <v>232.95364307610078</v>
      </c>
      <c r="EW128" s="1481">
        <f t="shared" si="488"/>
        <v>-100.9402465635735</v>
      </c>
      <c r="EX128" s="1493">
        <f t="shared" si="488"/>
        <v>33.696623138969038</v>
      </c>
      <c r="EY128" s="1493">
        <f>IFERROR(-(EY94/EY106)/100,"NA")</f>
        <v>5.5649015434147984</v>
      </c>
      <c r="EZ128" s="1796">
        <f>IFERROR(-(EZ94/EZ106)/100,"NA")</f>
        <v>-1.3842096573711515</v>
      </c>
      <c r="FA128" s="417">
        <f t="shared" si="487"/>
        <v>10.116449835580685</v>
      </c>
      <c r="FB128" s="417">
        <f t="shared" si="487"/>
        <v>4.7650875010693898</v>
      </c>
      <c r="FC128" s="417">
        <f t="shared" si="487"/>
        <v>0.57446795445459131</v>
      </c>
      <c r="FD128" s="417">
        <f>-(FD94/FD106)/100</f>
        <v>0.42190629793921525</v>
      </c>
      <c r="FE128" s="417">
        <f>-(FE94/FE106)/100</f>
        <v>0.40809151522052245</v>
      </c>
      <c r="FF128" s="417">
        <f>-(FF94/FF106)/100</f>
        <v>0.39449687495270952</v>
      </c>
      <c r="FG128" s="417">
        <f>-(FG94/FG106)/100</f>
        <v>0.38112776078186428</v>
      </c>
      <c r="FH128" s="417">
        <f>-(FH94/FH106)/100</f>
        <v>0.36798913290209662</v>
      </c>
      <c r="FI128" s="413"/>
      <c r="FJ128"/>
      <c r="FK128"/>
      <c r="FL128"/>
      <c r="FM128"/>
      <c r="FN128"/>
      <c r="FO128"/>
      <c r="FS128" s="1493"/>
      <c r="FT128" s="1493"/>
      <c r="FU128"/>
      <c r="FV128" s="1493"/>
      <c r="FW128" s="1155"/>
      <c r="FX128" s="1155"/>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row>
    <row r="129" spans="1:260" s="4" customFormat="1" ht="12.75" customHeight="1" x14ac:dyDescent="0.2">
      <c r="A129" s="414"/>
      <c r="B129" s="3"/>
      <c r="C129" s="3"/>
      <c r="D129" s="3"/>
      <c r="E129" s="470"/>
      <c r="I129" s="470"/>
      <c r="M129" s="470"/>
      <c r="Q129" s="470"/>
      <c r="U129" s="470"/>
      <c r="Y129" s="470"/>
      <c r="AC129" s="470"/>
      <c r="AG129" s="470"/>
      <c r="AK129" s="470"/>
      <c r="AO129" s="470"/>
      <c r="AS129" s="470"/>
      <c r="AW129" s="470"/>
      <c r="BA129" s="470"/>
      <c r="BE129" s="470"/>
      <c r="BF129" s="6"/>
      <c r="BG129" s="6"/>
      <c r="BI129" s="470"/>
      <c r="BM129" s="484"/>
      <c r="BN129" s="6"/>
      <c r="BO129" s="6"/>
      <c r="BP129" s="6"/>
      <c r="BQ129" s="484"/>
      <c r="BU129" s="470"/>
      <c r="BY129" s="470"/>
      <c r="CC129" s="470"/>
      <c r="CG129" s="470"/>
      <c r="CK129" s="470"/>
      <c r="CO129" s="470"/>
      <c r="CP129" s="413"/>
      <c r="CQ129" s="3"/>
      <c r="CR129" s="3"/>
      <c r="CS129" s="470"/>
      <c r="CT129" s="413"/>
      <c r="CU129" s="7"/>
      <c r="CV129" s="7"/>
      <c r="CW129" s="484"/>
      <c r="CX129" s="7"/>
      <c r="CY129" s="7"/>
      <c r="CZ129" s="7"/>
      <c r="DA129" s="484"/>
      <c r="DB129" s="7"/>
      <c r="DC129" s="7"/>
      <c r="DD129" s="7"/>
      <c r="DE129" s="484"/>
      <c r="DF129" s="7"/>
      <c r="DG129" s="7"/>
      <c r="DH129" s="7"/>
      <c r="DI129" s="484"/>
      <c r="DJ129" s="1671"/>
      <c r="DK129" s="7"/>
      <c r="DL129" s="7"/>
      <c r="DM129" s="484"/>
      <c r="DN129" s="413"/>
      <c r="DO129" s="470"/>
      <c r="EM129" s="6"/>
      <c r="ER129" s="413"/>
      <c r="ES129" s="3"/>
      <c r="ET129" s="3"/>
      <c r="EU129" s="3"/>
      <c r="EV129" s="3"/>
      <c r="EW129" s="3"/>
      <c r="EX129" s="7"/>
      <c r="EY129" s="7"/>
      <c r="EZ129" s="1671"/>
      <c r="FI129" s="413"/>
      <c r="FJ129"/>
      <c r="FK129"/>
      <c r="FL129"/>
      <c r="FM129"/>
      <c r="FN129"/>
      <c r="FO129"/>
      <c r="FS129" s="7"/>
      <c r="FT129" s="7"/>
      <c r="FU129"/>
      <c r="FV129" s="7"/>
      <c r="FW129" s="7"/>
      <c r="FX129" s="7"/>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row>
    <row r="130" spans="1:260" s="448" customFormat="1" ht="12.75" customHeight="1" x14ac:dyDescent="0.2">
      <c r="A130" s="447" t="s">
        <v>192</v>
      </c>
      <c r="B130" s="435"/>
      <c r="C130" s="435"/>
      <c r="D130" s="435"/>
      <c r="E130" s="464"/>
      <c r="F130" s="435"/>
      <c r="G130" s="435"/>
      <c r="H130" s="435"/>
      <c r="I130" s="464"/>
      <c r="J130" s="435"/>
      <c r="K130" s="435"/>
      <c r="L130" s="435"/>
      <c r="M130" s="464"/>
      <c r="N130" s="435"/>
      <c r="O130" s="435"/>
      <c r="P130" s="435"/>
      <c r="Q130" s="464"/>
      <c r="R130" s="435"/>
      <c r="S130" s="435"/>
      <c r="T130" s="435"/>
      <c r="U130" s="464"/>
      <c r="V130" s="435"/>
      <c r="W130" s="435"/>
      <c r="X130" s="435"/>
      <c r="Y130" s="464"/>
      <c r="Z130" s="435"/>
      <c r="AA130" s="435"/>
      <c r="AB130" s="435"/>
      <c r="AC130" s="464"/>
      <c r="AD130" s="435"/>
      <c r="AE130" s="435"/>
      <c r="AF130" s="435"/>
      <c r="AG130" s="464"/>
      <c r="AH130" s="435"/>
      <c r="AI130" s="435"/>
      <c r="AJ130" s="435"/>
      <c r="AK130" s="464"/>
      <c r="AL130" s="435"/>
      <c r="AM130" s="435"/>
      <c r="AN130" s="435"/>
      <c r="AO130" s="464"/>
      <c r="AP130" s="435"/>
      <c r="AQ130" s="435"/>
      <c r="AR130" s="435"/>
      <c r="AS130" s="464"/>
      <c r="AT130" s="435"/>
      <c r="AU130" s="435"/>
      <c r="AV130" s="435"/>
      <c r="AW130" s="464"/>
      <c r="AX130" s="435"/>
      <c r="AY130" s="435"/>
      <c r="AZ130" s="435"/>
      <c r="BA130" s="464"/>
      <c r="BB130" s="435"/>
      <c r="BC130" s="435"/>
      <c r="BD130" s="435"/>
      <c r="BE130" s="464"/>
      <c r="BF130" s="435"/>
      <c r="BG130" s="435"/>
      <c r="BH130" s="435"/>
      <c r="BI130" s="464"/>
      <c r="BJ130" s="435"/>
      <c r="BK130" s="435"/>
      <c r="BL130" s="435"/>
      <c r="BM130" s="498"/>
      <c r="BN130" s="597"/>
      <c r="BO130" s="597"/>
      <c r="BP130" s="597"/>
      <c r="BQ130" s="609"/>
      <c r="BR130" s="450"/>
      <c r="BS130" s="450"/>
      <c r="BT130" s="450"/>
      <c r="BU130" s="505"/>
      <c r="BV130" s="450"/>
      <c r="BW130" s="450"/>
      <c r="BX130" s="450"/>
      <c r="BY130" s="505"/>
      <c r="BZ130" s="450"/>
      <c r="CA130" s="450"/>
      <c r="CB130" s="450"/>
      <c r="CC130" s="505"/>
      <c r="CD130" s="450"/>
      <c r="CE130" s="450"/>
      <c r="CF130" s="450"/>
      <c r="CG130" s="505"/>
      <c r="CH130" s="450"/>
      <c r="CI130" s="450"/>
      <c r="CJ130" s="450"/>
      <c r="CK130" s="505"/>
      <c r="CL130" s="450"/>
      <c r="CM130" s="450"/>
      <c r="CN130" s="450"/>
      <c r="CO130" s="505"/>
      <c r="CP130" s="1067"/>
      <c r="CQ130" s="450"/>
      <c r="CR130" s="450"/>
      <c r="CS130" s="505"/>
      <c r="CT130" s="1067"/>
      <c r="CU130" s="450"/>
      <c r="CV130" s="450"/>
      <c r="CW130" s="505"/>
      <c r="CX130" s="450"/>
      <c r="CY130" s="450"/>
      <c r="CZ130" s="450"/>
      <c r="DA130" s="505"/>
      <c r="DB130" s="450"/>
      <c r="DC130" s="450"/>
      <c r="DD130" s="450"/>
      <c r="DE130" s="505"/>
      <c r="DF130" s="450"/>
      <c r="DG130" s="450"/>
      <c r="DH130" s="450"/>
      <c r="DI130" s="505"/>
      <c r="DJ130" s="1762"/>
      <c r="DK130" s="597"/>
      <c r="DL130" s="597"/>
      <c r="DM130" s="505"/>
      <c r="DN130" s="730"/>
      <c r="DO130" s="535"/>
      <c r="DP130" s="449"/>
      <c r="DQ130" s="449"/>
      <c r="DR130" s="449"/>
      <c r="DS130" s="449"/>
      <c r="DT130" s="449"/>
      <c r="DU130" s="449"/>
      <c r="DV130" s="449"/>
      <c r="DW130" s="449"/>
      <c r="DX130" s="435"/>
      <c r="DY130" s="435"/>
      <c r="DZ130" s="435"/>
      <c r="EA130" s="435"/>
      <c r="EB130" s="435"/>
      <c r="EC130" s="435"/>
      <c r="ED130" s="435"/>
      <c r="EE130" s="435"/>
      <c r="EF130" s="435"/>
      <c r="EG130" s="435"/>
      <c r="EH130" s="435"/>
      <c r="EI130" s="435"/>
      <c r="EJ130" s="435"/>
      <c r="EK130" s="435"/>
      <c r="EL130" s="435"/>
      <c r="EM130" s="597"/>
      <c r="EN130" s="450"/>
      <c r="EO130" s="450"/>
      <c r="EP130" s="450"/>
      <c r="EQ130" s="450"/>
      <c r="ER130" s="1067"/>
      <c r="ES130" s="450"/>
      <c r="ET130" s="450"/>
      <c r="EU130" s="450"/>
      <c r="EV130" s="450"/>
      <c r="EW130" s="450"/>
      <c r="EX130" s="450"/>
      <c r="EY130" s="450"/>
      <c r="EZ130" s="1762"/>
      <c r="FA130" s="435"/>
      <c r="FB130" s="435"/>
      <c r="FC130" s="435"/>
      <c r="FD130" s="435"/>
      <c r="FE130" s="435"/>
      <c r="FF130" s="435"/>
      <c r="FG130" s="435"/>
      <c r="FH130" s="435"/>
      <c r="FI130" s="671"/>
      <c r="FJ130"/>
      <c r="FK130"/>
      <c r="FL130"/>
      <c r="FM130"/>
      <c r="FN130"/>
      <c r="FO130"/>
      <c r="FP130" s="6"/>
      <c r="FQ130" s="4"/>
      <c r="FR130" s="4"/>
      <c r="FS130" s="335"/>
      <c r="FT130" s="335"/>
      <c r="FU130"/>
      <c r="FV130" s="335"/>
      <c r="FW130" s="335"/>
      <c r="FX130" s="335"/>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row>
    <row r="131" spans="1:260" s="448" customFormat="1" ht="12.75" hidden="1" customHeight="1" outlineLevel="1" x14ac:dyDescent="0.2">
      <c r="A131" s="1229" t="s">
        <v>193</v>
      </c>
      <c r="B131" s="336"/>
      <c r="C131" s="336"/>
      <c r="D131" s="336"/>
      <c r="E131" s="1080"/>
      <c r="F131" s="1230">
        <f t="shared" ref="F131:AK131" si="489">F13+E13+D13+C13</f>
        <v>44.324544214766789</v>
      </c>
      <c r="G131" s="1230">
        <f t="shared" si="489"/>
        <v>50.429240267901598</v>
      </c>
      <c r="H131" s="1230">
        <f t="shared" si="489"/>
        <v>58.359915353885327</v>
      </c>
      <c r="I131" s="1231">
        <f t="shared" si="489"/>
        <v>65.510999999999996</v>
      </c>
      <c r="J131" s="1230">
        <f t="shared" si="489"/>
        <v>76.32007347126337</v>
      </c>
      <c r="K131" s="1230">
        <f t="shared" si="489"/>
        <v>87.386748253704496</v>
      </c>
      <c r="L131" s="1230">
        <f t="shared" si="489"/>
        <v>97.481112228933682</v>
      </c>
      <c r="M131" s="1231">
        <f t="shared" si="489"/>
        <v>105.886</v>
      </c>
      <c r="N131" s="1230">
        <f t="shared" si="489"/>
        <v>116.86836125810089</v>
      </c>
      <c r="O131" s="1230">
        <f t="shared" si="489"/>
        <v>126.5488019530613</v>
      </c>
      <c r="P131" s="1230">
        <f t="shared" si="489"/>
        <v>134.11274848576824</v>
      </c>
      <c r="Q131" s="1231">
        <f t="shared" si="489"/>
        <v>139.69499999999999</v>
      </c>
      <c r="R131" s="1230">
        <f t="shared" si="489"/>
        <v>142.74289981987764</v>
      </c>
      <c r="S131" s="1230">
        <f t="shared" si="489"/>
        <v>148.83704327663537</v>
      </c>
      <c r="T131" s="1230">
        <f t="shared" si="489"/>
        <v>152.67655246386363</v>
      </c>
      <c r="U131" s="1231">
        <f t="shared" si="489"/>
        <v>161.9</v>
      </c>
      <c r="V131" s="1230">
        <f t="shared" si="489"/>
        <v>165.15356449337722</v>
      </c>
      <c r="W131" s="1230">
        <f t="shared" si="489"/>
        <v>168.45648711322482</v>
      </c>
      <c r="X131" s="1230">
        <f t="shared" si="489"/>
        <v>177.15237470886711</v>
      </c>
      <c r="Y131" s="1231">
        <f t="shared" si="489"/>
        <v>186.59999999999997</v>
      </c>
      <c r="Z131" s="1230">
        <f t="shared" si="489"/>
        <v>196.65021744570851</v>
      </c>
      <c r="AA131" s="1230">
        <f t="shared" si="489"/>
        <v>201.48448134181407</v>
      </c>
      <c r="AB131" s="1230">
        <f t="shared" si="489"/>
        <v>208.70519777854696</v>
      </c>
      <c r="AC131" s="1231">
        <f t="shared" si="489"/>
        <v>228</v>
      </c>
      <c r="AD131" s="1230">
        <f t="shared" si="489"/>
        <v>233.33471244564686</v>
      </c>
      <c r="AE131" s="1230">
        <f t="shared" si="489"/>
        <v>250.18624854724689</v>
      </c>
      <c r="AF131" s="1230">
        <f t="shared" si="489"/>
        <v>272.17142124202883</v>
      </c>
      <c r="AG131" s="1231">
        <f t="shared" si="489"/>
        <v>299.70499999999998</v>
      </c>
      <c r="AH131" s="1230">
        <f t="shared" si="489"/>
        <v>362.95674338176298</v>
      </c>
      <c r="AI131" s="1230">
        <f t="shared" si="489"/>
        <v>417.25506647661496</v>
      </c>
      <c r="AJ131" s="1230">
        <f t="shared" si="489"/>
        <v>478.80236481194885</v>
      </c>
      <c r="AK131" s="1231">
        <f t="shared" si="489"/>
        <v>520</v>
      </c>
      <c r="AL131" s="1230">
        <f t="shared" ref="AL131:BQ131" si="490">AL13+AK13+AJ13+AI13</f>
        <v>520.09152807232954</v>
      </c>
      <c r="AM131" s="1230">
        <f t="shared" si="490"/>
        <v>521.60241098336871</v>
      </c>
      <c r="AN131" s="1230">
        <f t="shared" si="490"/>
        <v>516.47505301931017</v>
      </c>
      <c r="AO131" s="1231">
        <f t="shared" si="490"/>
        <v>440</v>
      </c>
      <c r="AP131" s="1230">
        <f t="shared" si="490"/>
        <v>438.48211143695011</v>
      </c>
      <c r="AQ131" s="1230">
        <f t="shared" si="490"/>
        <v>428.2513615416841</v>
      </c>
      <c r="AR131" s="1230">
        <f t="shared" si="490"/>
        <v>407.8813573523251</v>
      </c>
      <c r="AS131" s="1231">
        <f t="shared" si="490"/>
        <v>468</v>
      </c>
      <c r="AT131" s="1230">
        <f t="shared" si="490"/>
        <v>461.07316300257469</v>
      </c>
      <c r="AU131" s="1230">
        <f t="shared" si="490"/>
        <v>461.43983249865596</v>
      </c>
      <c r="AV131" s="1230">
        <f t="shared" si="490"/>
        <v>463.85889143536201</v>
      </c>
      <c r="AW131" s="1231">
        <f t="shared" si="490"/>
        <v>499.99999999999994</v>
      </c>
      <c r="AX131" s="1230">
        <f t="shared" si="490"/>
        <v>514.95341042399866</v>
      </c>
      <c r="AY131" s="1230">
        <f t="shared" si="490"/>
        <v>529.90682084799732</v>
      </c>
      <c r="AZ131" s="1230">
        <f t="shared" si="490"/>
        <v>541.59225741578678</v>
      </c>
      <c r="BA131" s="1231">
        <f t="shared" si="490"/>
        <v>551.00000000000011</v>
      </c>
      <c r="BB131" s="1230">
        <f t="shared" si="490"/>
        <v>575.92307692307702</v>
      </c>
      <c r="BC131" s="1230">
        <f t="shared" si="490"/>
        <v>600.84615384615381</v>
      </c>
      <c r="BD131" s="1230">
        <f t="shared" si="490"/>
        <v>625.76923076923072</v>
      </c>
      <c r="BE131" s="1231">
        <f t="shared" si="490"/>
        <v>659.00000000000011</v>
      </c>
      <c r="BF131" s="1230">
        <f t="shared" si="490"/>
        <v>676.53846153846166</v>
      </c>
      <c r="BG131" s="1230">
        <f t="shared" si="490"/>
        <v>694.07692307692309</v>
      </c>
      <c r="BH131" s="1230">
        <f t="shared" si="490"/>
        <v>711.61538461538464</v>
      </c>
      <c r="BI131" s="1231">
        <f t="shared" si="490"/>
        <v>735.00000000000011</v>
      </c>
      <c r="BJ131" s="1230">
        <f t="shared" si="490"/>
        <v>782.53846153846166</v>
      </c>
      <c r="BK131" s="1230">
        <f t="shared" si="490"/>
        <v>830.07692307692321</v>
      </c>
      <c r="BL131" s="1230">
        <f t="shared" si="490"/>
        <v>877.61538461538464</v>
      </c>
      <c r="BM131" s="1231">
        <f t="shared" si="490"/>
        <v>941.00000000000011</v>
      </c>
      <c r="BN131" s="1230">
        <f t="shared" si="490"/>
        <v>976.07692307692309</v>
      </c>
      <c r="BO131" s="1230">
        <f t="shared" si="490"/>
        <v>1011.1538461538462</v>
      </c>
      <c r="BP131" s="1230">
        <f t="shared" si="490"/>
        <v>1046.2307692307691</v>
      </c>
      <c r="BQ131" s="1231">
        <f t="shared" si="490"/>
        <v>1093.0000000000002</v>
      </c>
      <c r="BR131" s="1230">
        <f t="shared" ref="BR131:BY131" si="491">BR13+BQ13+BP13+BO13</f>
        <v>1100.1538461538462</v>
      </c>
      <c r="BS131" s="1230">
        <f t="shared" si="491"/>
        <v>1107.3076923076924</v>
      </c>
      <c r="BT131" s="1230">
        <f t="shared" si="491"/>
        <v>1114.4615384615386</v>
      </c>
      <c r="BU131" s="1231">
        <f t="shared" si="491"/>
        <v>1124</v>
      </c>
      <c r="BV131" s="1230">
        <f t="shared" si="491"/>
        <v>1132.0261736578204</v>
      </c>
      <c r="BW131" s="1230">
        <f t="shared" si="491"/>
        <v>1140.0523473156409</v>
      </c>
      <c r="BX131" s="1230">
        <f t="shared" si="491"/>
        <v>1148.0785209734613</v>
      </c>
      <c r="BY131" s="1231">
        <f t="shared" si="491"/>
        <v>1158.7800858505548</v>
      </c>
      <c r="BZ131" s="1230">
        <f>BZ13+BQ13+BP13+BO13</f>
        <v>1100.1538461538462</v>
      </c>
      <c r="CA131" s="1230">
        <f>CA13+BZ13+BQ13+BP13</f>
        <v>1107.3076923076924</v>
      </c>
      <c r="CB131" s="1230">
        <f>CB13+CA13+BZ13+BQ13</f>
        <v>1114.4615384615386</v>
      </c>
      <c r="CC131" s="1231">
        <f t="shared" ref="CC131:CK131" si="492">CC13+CB13+CA13+BZ13</f>
        <v>1124</v>
      </c>
      <c r="CD131" s="1230">
        <f t="shared" si="492"/>
        <v>1158.3653846153848</v>
      </c>
      <c r="CE131" s="1230">
        <f t="shared" si="492"/>
        <v>1192.7307692307693</v>
      </c>
      <c r="CF131" s="1230">
        <f t="shared" si="492"/>
        <v>1227.0961538461538</v>
      </c>
      <c r="CG131" s="1231">
        <f t="shared" si="492"/>
        <v>1175</v>
      </c>
      <c r="CH131" s="1230">
        <f t="shared" si="492"/>
        <v>1188.1453687821613</v>
      </c>
      <c r="CI131" s="1230">
        <f t="shared" si="492"/>
        <v>1179.3696397941681</v>
      </c>
      <c r="CJ131" s="1230">
        <f t="shared" si="492"/>
        <v>1170.5939108061748</v>
      </c>
      <c r="CK131" s="1231">
        <f t="shared" si="492"/>
        <v>1161.8181818181818</v>
      </c>
      <c r="CL131" s="1230">
        <f>CL13+CG13+CF13+CE13</f>
        <v>1188.1453687821613</v>
      </c>
      <c r="CM131" s="1230">
        <f>CM13+CL13+CG13+CF13</f>
        <v>1179.3696397941681</v>
      </c>
      <c r="CN131" s="1230">
        <f>CN13+CM13+CL13+CG13</f>
        <v>1170.5939108061748</v>
      </c>
      <c r="CO131" s="1231">
        <f t="shared" ref="CO131:DG131" si="493">CO13+CN13+CM13+CL13</f>
        <v>1161.8181818181818</v>
      </c>
      <c r="CP131" s="1232">
        <f t="shared" si="493"/>
        <v>1066.9228130360207</v>
      </c>
      <c r="CQ131" s="1233">
        <f t="shared" si="493"/>
        <v>993.9485420240137</v>
      </c>
      <c r="CR131" s="1233">
        <f t="shared" si="493"/>
        <v>920.97427101200685</v>
      </c>
      <c r="CS131" s="1231">
        <f t="shared" si="493"/>
        <v>848</v>
      </c>
      <c r="CT131" s="1296">
        <f t="shared" si="493"/>
        <v>844</v>
      </c>
      <c r="CU131" s="1297">
        <f t="shared" si="493"/>
        <v>840</v>
      </c>
      <c r="CV131" s="1297">
        <f t="shared" si="493"/>
        <v>836</v>
      </c>
      <c r="CW131" s="1298">
        <f t="shared" si="493"/>
        <v>832</v>
      </c>
      <c r="CX131" s="1297">
        <f t="shared" si="493"/>
        <v>819.75</v>
      </c>
      <c r="CY131" s="1297">
        <f t="shared" si="493"/>
        <v>807.5</v>
      </c>
      <c r="CZ131" s="1297">
        <f t="shared" si="493"/>
        <v>795.25</v>
      </c>
      <c r="DA131" s="1299">
        <f t="shared" si="493"/>
        <v>783</v>
      </c>
      <c r="DB131" s="1297">
        <f t="shared" si="493"/>
        <v>780.75</v>
      </c>
      <c r="DC131" s="1297">
        <f t="shared" si="493"/>
        <v>778.5</v>
      </c>
      <c r="DD131" s="1297">
        <f t="shared" si="493"/>
        <v>776.25</v>
      </c>
      <c r="DE131" s="1299">
        <f t="shared" si="493"/>
        <v>774</v>
      </c>
      <c r="DF131" s="1297">
        <f>DF13+DE13+DD13+DC13</f>
        <v>782.18183696374149</v>
      </c>
      <c r="DG131" s="1297">
        <f t="shared" si="493"/>
        <v>790.36367392748309</v>
      </c>
      <c r="DH131" s="1297">
        <f t="shared" ref="DH131:DM131" si="494">DH13+DG13+DF13+DE13</f>
        <v>798.54551089122469</v>
      </c>
      <c r="DI131" s="1299">
        <f t="shared" si="494"/>
        <v>806.72734785496618</v>
      </c>
      <c r="DJ131" s="2698">
        <f t="shared" si="494"/>
        <v>812.38904644390414</v>
      </c>
      <c r="DK131" s="1297">
        <f t="shared" si="494"/>
        <v>818.05074503284209</v>
      </c>
      <c r="DL131" s="1297">
        <f t="shared" si="494"/>
        <v>823.71244362178027</v>
      </c>
      <c r="DM131" s="1299">
        <f t="shared" si="494"/>
        <v>829.37414221071822</v>
      </c>
      <c r="DN131" s="730"/>
      <c r="DO131" s="535"/>
      <c r="DP131" s="1234"/>
      <c r="DQ131" s="1234"/>
      <c r="DR131" s="1235">
        <f t="shared" ref="DR131:FG131" si="495">DR13</f>
        <v>0</v>
      </c>
      <c r="DS131" s="1235">
        <f t="shared" si="495"/>
        <v>0</v>
      </c>
      <c r="DT131" s="1235">
        <f t="shared" si="495"/>
        <v>0</v>
      </c>
      <c r="DU131" s="1235">
        <f t="shared" si="495"/>
        <v>13.691000000000001</v>
      </c>
      <c r="DV131" s="1235">
        <f t="shared" si="495"/>
        <v>16.541</v>
      </c>
      <c r="DW131" s="1235">
        <f t="shared" si="495"/>
        <v>23.161999999999999</v>
      </c>
      <c r="DX131" s="1236">
        <f t="shared" si="495"/>
        <v>38.112000000000002</v>
      </c>
      <c r="DY131" s="1236">
        <f t="shared" si="495"/>
        <v>65.510999999999996</v>
      </c>
      <c r="DZ131" s="1236">
        <f t="shared" si="495"/>
        <v>105.886</v>
      </c>
      <c r="EA131" s="1236">
        <f t="shared" si="495"/>
        <v>139.69499999999999</v>
      </c>
      <c r="EB131" s="1236">
        <f t="shared" si="495"/>
        <v>161.9</v>
      </c>
      <c r="EC131" s="1236">
        <f t="shared" si="495"/>
        <v>186.6</v>
      </c>
      <c r="ED131" s="1236">
        <f t="shared" si="495"/>
        <v>228</v>
      </c>
      <c r="EE131" s="1236">
        <f t="shared" si="495"/>
        <v>299.70499999999998</v>
      </c>
      <c r="EF131" s="1236">
        <f t="shared" si="495"/>
        <v>520</v>
      </c>
      <c r="EG131" s="1236">
        <f t="shared" si="495"/>
        <v>440</v>
      </c>
      <c r="EH131" s="1236">
        <f t="shared" si="495"/>
        <v>468</v>
      </c>
      <c r="EI131" s="1236">
        <f t="shared" si="495"/>
        <v>500</v>
      </c>
      <c r="EJ131" s="1236">
        <f t="shared" si="495"/>
        <v>551</v>
      </c>
      <c r="EK131" s="1236">
        <f t="shared" si="495"/>
        <v>659</v>
      </c>
      <c r="EL131" s="1236">
        <f t="shared" si="495"/>
        <v>735</v>
      </c>
      <c r="EM131" s="246">
        <f t="shared" si="495"/>
        <v>941</v>
      </c>
      <c r="EN131" s="1237">
        <f t="shared" si="495"/>
        <v>1093</v>
      </c>
      <c r="EO131" s="1237">
        <f t="shared" si="495"/>
        <v>1124</v>
      </c>
      <c r="EP131" s="1237">
        <f t="shared" si="495"/>
        <v>1158.780085850555</v>
      </c>
      <c r="EQ131" s="1237">
        <f t="shared" si="495"/>
        <v>1124</v>
      </c>
      <c r="ER131" s="1238">
        <f t="shared" si="495"/>
        <v>1175</v>
      </c>
      <c r="ES131" s="1239">
        <f t="shared" si="495"/>
        <v>1161.8181818181818</v>
      </c>
      <c r="ET131" s="1239">
        <f t="shared" si="495"/>
        <v>1161.8181818181818</v>
      </c>
      <c r="EU131" s="1239">
        <f t="shared" si="495"/>
        <v>848</v>
      </c>
      <c r="EV131" s="1239">
        <f t="shared" si="495"/>
        <v>832</v>
      </c>
      <c r="EW131" s="1239">
        <f t="shared" si="495"/>
        <v>783</v>
      </c>
      <c r="EX131" s="1239">
        <f t="shared" si="495"/>
        <v>774</v>
      </c>
      <c r="EY131" s="1239">
        <f>EY13</f>
        <v>806.72734785496618</v>
      </c>
      <c r="EZ131" s="1797">
        <f>EZ13</f>
        <v>829.37414221071822</v>
      </c>
      <c r="FA131" s="1240">
        <f t="shared" si="495"/>
        <v>837.73351247593212</v>
      </c>
      <c r="FB131" s="1240">
        <f t="shared" si="495"/>
        <v>846.05524665421547</v>
      </c>
      <c r="FC131" s="1240">
        <f t="shared" si="495"/>
        <v>853.42474741781143</v>
      </c>
      <c r="FD131" s="1240">
        <f t="shared" si="495"/>
        <v>864.25644189035518</v>
      </c>
      <c r="FE131" s="1240">
        <f t="shared" si="495"/>
        <v>875.51424608488355</v>
      </c>
      <c r="FF131" s="1240">
        <f t="shared" si="495"/>
        <v>887.219270173778</v>
      </c>
      <c r="FG131" s="1240">
        <f t="shared" si="495"/>
        <v>899.39367829718674</v>
      </c>
      <c r="FH131" s="1240">
        <f>FH13</f>
        <v>912.06074127108934</v>
      </c>
      <c r="FI131" s="413"/>
      <c r="FJ131"/>
      <c r="FK131"/>
      <c r="FL131"/>
      <c r="FM131"/>
      <c r="FN131"/>
      <c r="FO131"/>
      <c r="FP131" s="4"/>
      <c r="FQ131" s="4"/>
      <c r="FR131" s="4"/>
      <c r="FS131" s="1236"/>
      <c r="FT131" s="1236"/>
      <c r="FU131"/>
      <c r="FV131" s="1236"/>
      <c r="FW131" s="1236"/>
      <c r="FX131" s="1236"/>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row>
    <row r="132" spans="1:260" s="448" customFormat="1" ht="12.75" hidden="1" customHeight="1" outlineLevel="1" x14ac:dyDescent="0.2">
      <c r="A132" s="1229" t="s">
        <v>194</v>
      </c>
      <c r="B132" s="336"/>
      <c r="C132" s="336"/>
      <c r="D132" s="336"/>
      <c r="E132" s="1080"/>
      <c r="F132" s="1230">
        <f t="shared" ref="F132:AK132" si="496">F17+E17+D17+C17</f>
        <v>85.204000000000008</v>
      </c>
      <c r="G132" s="1230">
        <f t="shared" si="496"/>
        <v>89.772999999999939</v>
      </c>
      <c r="H132" s="1230">
        <f t="shared" si="496"/>
        <v>106.93700000000005</v>
      </c>
      <c r="I132" s="1231">
        <f t="shared" si="496"/>
        <v>121.94100000000002</v>
      </c>
      <c r="J132" s="1230">
        <f t="shared" si="496"/>
        <v>126.5770000000002</v>
      </c>
      <c r="K132" s="1230">
        <f t="shared" si="496"/>
        <v>128.12100000000032</v>
      </c>
      <c r="L132" s="1230">
        <f t="shared" si="496"/>
        <v>132.69600000000031</v>
      </c>
      <c r="M132" s="1231">
        <f t="shared" si="496"/>
        <v>122.5560000000003</v>
      </c>
      <c r="N132" s="1230">
        <f t="shared" si="496"/>
        <v>119.17199999999997</v>
      </c>
      <c r="O132" s="1230">
        <f t="shared" si="496"/>
        <v>119.65300000000005</v>
      </c>
      <c r="P132" s="1230">
        <f t="shared" si="496"/>
        <v>73.955000000000041</v>
      </c>
      <c r="Q132" s="1231">
        <f t="shared" si="496"/>
        <v>53.205999999999847</v>
      </c>
      <c r="R132" s="1230">
        <f t="shared" si="496"/>
        <v>45.470000000000027</v>
      </c>
      <c r="S132" s="1230">
        <f t="shared" si="496"/>
        <v>45.711999999999733</v>
      </c>
      <c r="T132" s="1230">
        <f t="shared" si="496"/>
        <v>101.72099999999958</v>
      </c>
      <c r="U132" s="1231">
        <f t="shared" si="496"/>
        <v>186.83799999999965</v>
      </c>
      <c r="V132" s="1230">
        <f t="shared" si="496"/>
        <v>204.40599999999972</v>
      </c>
      <c r="W132" s="1230">
        <f t="shared" si="496"/>
        <v>252.91699999999986</v>
      </c>
      <c r="X132" s="1230">
        <f t="shared" si="496"/>
        <v>290.2480000000001</v>
      </c>
      <c r="Y132" s="1231">
        <f t="shared" si="496"/>
        <v>351.24200000000059</v>
      </c>
      <c r="Z132" s="1230">
        <f t="shared" si="496"/>
        <v>400.15900000000045</v>
      </c>
      <c r="AA132" s="1230">
        <f t="shared" si="496"/>
        <v>421.32800000000043</v>
      </c>
      <c r="AB132" s="1230">
        <f t="shared" si="496"/>
        <v>453.68600000000049</v>
      </c>
      <c r="AC132" s="1231">
        <f t="shared" si="496"/>
        <v>539.25900000000001</v>
      </c>
      <c r="AD132" s="1230">
        <f t="shared" si="496"/>
        <v>576.07600000000002</v>
      </c>
      <c r="AE132" s="1230">
        <f t="shared" si="496"/>
        <v>601.81999999999994</v>
      </c>
      <c r="AF132" s="1230">
        <f t="shared" si="496"/>
        <v>564.24499999999944</v>
      </c>
      <c r="AG132" s="1231">
        <f t="shared" si="496"/>
        <v>604.58099999999945</v>
      </c>
      <c r="AH132" s="1230">
        <f t="shared" si="496"/>
        <v>586.06299999999965</v>
      </c>
      <c r="AI132" s="1230">
        <f t="shared" si="496"/>
        <v>618.71299999999974</v>
      </c>
      <c r="AJ132" s="1230">
        <f t="shared" si="496"/>
        <v>662.7</v>
      </c>
      <c r="AK132" s="1231">
        <f t="shared" si="496"/>
        <v>937</v>
      </c>
      <c r="AL132" s="1230">
        <f t="shared" ref="AL132:BQ132" si="497">AL17+AK17+AJ17+AI17</f>
        <v>976</v>
      </c>
      <c r="AM132" s="1230">
        <f t="shared" si="497"/>
        <v>957</v>
      </c>
      <c r="AN132" s="1230">
        <f t="shared" si="497"/>
        <v>968</v>
      </c>
      <c r="AO132" s="1231">
        <f t="shared" si="497"/>
        <v>1010</v>
      </c>
      <c r="AP132" s="1230">
        <f t="shared" si="497"/>
        <v>995</v>
      </c>
      <c r="AQ132" s="1230">
        <f t="shared" si="497"/>
        <v>1095</v>
      </c>
      <c r="AR132" s="1230">
        <f t="shared" si="497"/>
        <v>1157</v>
      </c>
      <c r="AS132" s="1231">
        <f t="shared" si="497"/>
        <v>1304</v>
      </c>
      <c r="AT132" s="1230">
        <f t="shared" si="497"/>
        <v>1374</v>
      </c>
      <c r="AU132" s="1230">
        <f t="shared" si="497"/>
        <v>1387</v>
      </c>
      <c r="AV132" s="1230">
        <f t="shared" si="497"/>
        <v>1418</v>
      </c>
      <c r="AW132" s="1231">
        <f t="shared" si="497"/>
        <v>1442</v>
      </c>
      <c r="AX132" s="1230">
        <f t="shared" si="497"/>
        <v>1497</v>
      </c>
      <c r="AY132" s="1230">
        <f t="shared" si="497"/>
        <v>1516</v>
      </c>
      <c r="AZ132" s="1230">
        <f t="shared" si="497"/>
        <v>1472</v>
      </c>
      <c r="BA132" s="1231">
        <f t="shared" si="497"/>
        <v>1644</v>
      </c>
      <c r="BB132" s="1230">
        <f t="shared" si="497"/>
        <v>1742</v>
      </c>
      <c r="BC132" s="1230">
        <f t="shared" si="497"/>
        <v>1811</v>
      </c>
      <c r="BD132" s="1230">
        <f t="shared" si="497"/>
        <v>1818</v>
      </c>
      <c r="BE132" s="1231">
        <f t="shared" si="497"/>
        <v>1999</v>
      </c>
      <c r="BF132" s="1230">
        <f t="shared" si="497"/>
        <v>1928</v>
      </c>
      <c r="BG132" s="1230">
        <f t="shared" si="497"/>
        <v>1999</v>
      </c>
      <c r="BH132" s="1230">
        <f t="shared" si="497"/>
        <v>2154</v>
      </c>
      <c r="BI132" s="1231">
        <f t="shared" si="497"/>
        <v>2161</v>
      </c>
      <c r="BJ132" s="1230">
        <f t="shared" si="497"/>
        <v>2172</v>
      </c>
      <c r="BK132" s="1230">
        <f t="shared" si="497"/>
        <v>2110</v>
      </c>
      <c r="BL132" s="1230">
        <f t="shared" si="497"/>
        <v>2033</v>
      </c>
      <c r="BM132" s="1231">
        <f t="shared" si="497"/>
        <v>2014</v>
      </c>
      <c r="BN132" s="1230">
        <f t="shared" si="497"/>
        <v>2085</v>
      </c>
      <c r="BO132" s="1230">
        <f t="shared" si="497"/>
        <v>2026</v>
      </c>
      <c r="BP132" s="1230">
        <f t="shared" si="497"/>
        <v>2128</v>
      </c>
      <c r="BQ132" s="1231">
        <f t="shared" si="497"/>
        <v>2287</v>
      </c>
      <c r="BR132" s="1230">
        <f t="shared" ref="BR132:BY132" si="498">BR17+BQ17+BP17+BO17</f>
        <v>2252</v>
      </c>
      <c r="BS132" s="1230">
        <f t="shared" si="498"/>
        <v>2383</v>
      </c>
      <c r="BT132" s="1230">
        <f t="shared" si="498"/>
        <v>2392</v>
      </c>
      <c r="BU132" s="1231">
        <f t="shared" si="498"/>
        <v>2336</v>
      </c>
      <c r="BV132" s="1230">
        <f t="shared" si="498"/>
        <v>2307</v>
      </c>
      <c r="BW132" s="1230">
        <f t="shared" si="498"/>
        <v>2185</v>
      </c>
      <c r="BX132" s="1230">
        <f t="shared" si="498"/>
        <v>2128</v>
      </c>
      <c r="BY132" s="1231">
        <f t="shared" si="498"/>
        <v>2258</v>
      </c>
      <c r="BZ132" s="1230">
        <f>BZ17+BQ17+BP17+BO17</f>
        <v>2367</v>
      </c>
      <c r="CA132" s="1230">
        <f>CA17+BZ17+BQ17+BP17</f>
        <v>2478</v>
      </c>
      <c r="CB132" s="1230">
        <f>CB17+CA17+BZ17+BQ17</f>
        <v>2533</v>
      </c>
      <c r="CC132" s="1231">
        <f t="shared" ref="CC132:CK132" si="499">CC17+CB17+CA17+BZ17</f>
        <v>2517</v>
      </c>
      <c r="CD132" s="1230">
        <f t="shared" si="499"/>
        <v>2553</v>
      </c>
      <c r="CE132" s="1230">
        <f t="shared" si="499"/>
        <v>2422</v>
      </c>
      <c r="CF132" s="1230">
        <f t="shared" si="499"/>
        <v>2372</v>
      </c>
      <c r="CG132" s="1231">
        <f t="shared" si="499"/>
        <v>2299</v>
      </c>
      <c r="CH132" s="1230">
        <f t="shared" si="499"/>
        <v>2224</v>
      </c>
      <c r="CI132" s="1230">
        <f t="shared" si="499"/>
        <v>2088</v>
      </c>
      <c r="CJ132" s="1230">
        <f t="shared" si="499"/>
        <v>1755</v>
      </c>
      <c r="CK132" s="1231">
        <f t="shared" si="499"/>
        <v>1485</v>
      </c>
      <c r="CL132" s="1230">
        <f>CL17+CG17+CF17+CE17</f>
        <v>2240</v>
      </c>
      <c r="CM132" s="1230">
        <f>CM17+CL17+CG17+CF17</f>
        <v>2161</v>
      </c>
      <c r="CN132" s="1230">
        <f>CN17+CM17+CL17+CG17</f>
        <v>1816</v>
      </c>
      <c r="CO132" s="1231">
        <f t="shared" ref="CO132:DG132" si="500">CO17+CN17+CM17+CL17</f>
        <v>1475</v>
      </c>
      <c r="CP132" s="1232">
        <f t="shared" si="500"/>
        <v>1274</v>
      </c>
      <c r="CQ132" s="1233">
        <f t="shared" si="500"/>
        <v>1288</v>
      </c>
      <c r="CR132" s="1233">
        <f t="shared" si="500"/>
        <v>1387</v>
      </c>
      <c r="CS132" s="1231">
        <f t="shared" si="500"/>
        <v>1163</v>
      </c>
      <c r="CT132" s="1296">
        <f t="shared" si="500"/>
        <v>1180</v>
      </c>
      <c r="CU132" s="1297">
        <f t="shared" si="500"/>
        <v>1227</v>
      </c>
      <c r="CV132" s="1297">
        <f t="shared" si="500"/>
        <v>1308</v>
      </c>
      <c r="CW132" s="1299">
        <f t="shared" si="500"/>
        <v>1497</v>
      </c>
      <c r="CX132" s="1297">
        <f t="shared" si="500"/>
        <v>1484</v>
      </c>
      <c r="CY132" s="1297">
        <f t="shared" si="500"/>
        <v>1520</v>
      </c>
      <c r="CZ132" s="1297">
        <f t="shared" si="500"/>
        <v>1542</v>
      </c>
      <c r="DA132" s="1299">
        <f t="shared" si="500"/>
        <v>1505</v>
      </c>
      <c r="DB132" s="1297">
        <f t="shared" si="500"/>
        <v>1537</v>
      </c>
      <c r="DC132" s="1297">
        <f t="shared" si="500"/>
        <v>1549</v>
      </c>
      <c r="DD132" s="1297">
        <f t="shared" si="500"/>
        <v>1624</v>
      </c>
      <c r="DE132" s="1299">
        <f t="shared" si="500"/>
        <v>1733</v>
      </c>
      <c r="DF132" s="1297">
        <f>DF17+DE17+DD17+DC17</f>
        <v>1793</v>
      </c>
      <c r="DG132" s="1297">
        <f t="shared" si="500"/>
        <v>1833</v>
      </c>
      <c r="DH132" s="1297">
        <f t="shared" ref="DH132:DM132" si="501">DH17+DG17+DF17+DE17</f>
        <v>1868</v>
      </c>
      <c r="DI132" s="1299">
        <f t="shared" si="501"/>
        <v>1960</v>
      </c>
      <c r="DJ132" s="2698">
        <f t="shared" si="501"/>
        <v>1947.2638930579492</v>
      </c>
      <c r="DK132" s="1297">
        <f t="shared" si="501"/>
        <v>1938.0965912278355</v>
      </c>
      <c r="DL132" s="1297">
        <f t="shared" si="501"/>
        <v>1946.9447573953344</v>
      </c>
      <c r="DM132" s="1299">
        <f t="shared" si="501"/>
        <v>1930.212403727639</v>
      </c>
      <c r="DN132" s="730"/>
      <c r="DO132" s="535"/>
      <c r="DP132" s="1234"/>
      <c r="DQ132" s="1234"/>
      <c r="DR132" s="1235">
        <f t="shared" ref="DR132:FG132" si="502">DR17</f>
        <v>9.1232000000000255</v>
      </c>
      <c r="DS132" s="1235">
        <f t="shared" si="502"/>
        <v>8.7290999999999315</v>
      </c>
      <c r="DT132" s="1235">
        <f t="shared" si="502"/>
        <v>13.147000000000006</v>
      </c>
      <c r="DU132" s="1235">
        <f t="shared" si="502"/>
        <v>10.975999999999914</v>
      </c>
      <c r="DV132" s="1235">
        <f t="shared" si="502"/>
        <v>18.77600000000001</v>
      </c>
      <c r="DW132" s="1235">
        <f t="shared" si="502"/>
        <v>35.908000000000101</v>
      </c>
      <c r="DX132" s="1236">
        <f t="shared" si="502"/>
        <v>77.177999999999997</v>
      </c>
      <c r="DY132" s="1236">
        <f t="shared" si="502"/>
        <v>121.94100000000002</v>
      </c>
      <c r="DZ132" s="1236">
        <f t="shared" si="502"/>
        <v>122.5560000000003</v>
      </c>
      <c r="EA132" s="1236">
        <f t="shared" si="502"/>
        <v>53.205999999999449</v>
      </c>
      <c r="EB132" s="1236">
        <f t="shared" si="502"/>
        <v>186.83799999999965</v>
      </c>
      <c r="EC132" s="1236">
        <f t="shared" si="502"/>
        <v>351.2420000000011</v>
      </c>
      <c r="ED132" s="1236">
        <f t="shared" si="502"/>
        <v>539.25900000000001</v>
      </c>
      <c r="EE132" s="1236">
        <f t="shared" si="502"/>
        <v>604.58099999999945</v>
      </c>
      <c r="EF132" s="1236">
        <f t="shared" si="502"/>
        <v>937</v>
      </c>
      <c r="EG132" s="1236">
        <f t="shared" si="502"/>
        <v>1010</v>
      </c>
      <c r="EH132" s="1236">
        <f t="shared" si="502"/>
        <v>1304</v>
      </c>
      <c r="EI132" s="1236">
        <f t="shared" si="502"/>
        <v>1442</v>
      </c>
      <c r="EJ132" s="1236">
        <f t="shared" si="502"/>
        <v>1644</v>
      </c>
      <c r="EK132" s="1236">
        <f t="shared" si="502"/>
        <v>1999</v>
      </c>
      <c r="EL132" s="1236">
        <f t="shared" si="502"/>
        <v>2161</v>
      </c>
      <c r="EM132" s="244">
        <f t="shared" si="502"/>
        <v>2014</v>
      </c>
      <c r="EN132" s="1239">
        <f t="shared" si="502"/>
        <v>2287</v>
      </c>
      <c r="EO132" s="1237">
        <f t="shared" si="502"/>
        <v>2336</v>
      </c>
      <c r="EP132" s="1237">
        <f t="shared" si="502"/>
        <v>2258</v>
      </c>
      <c r="EQ132" s="1237">
        <f t="shared" si="502"/>
        <v>2517</v>
      </c>
      <c r="ER132" s="1238">
        <f t="shared" si="502"/>
        <v>2299</v>
      </c>
      <c r="ES132" s="1239">
        <f t="shared" si="502"/>
        <v>1485</v>
      </c>
      <c r="ET132" s="1239">
        <f t="shared" si="502"/>
        <v>1475</v>
      </c>
      <c r="EU132" s="1239">
        <f t="shared" si="502"/>
        <v>1163</v>
      </c>
      <c r="EV132" s="1239">
        <f t="shared" si="502"/>
        <v>1497</v>
      </c>
      <c r="EW132" s="1239">
        <f t="shared" si="502"/>
        <v>1505</v>
      </c>
      <c r="EX132" s="1239">
        <f t="shared" si="502"/>
        <v>1733</v>
      </c>
      <c r="EY132" s="1239">
        <f>EY17</f>
        <v>1960</v>
      </c>
      <c r="EZ132" s="1797">
        <f>EZ17</f>
        <v>1930.212403727639</v>
      </c>
      <c r="FA132" s="1236">
        <f t="shared" si="502"/>
        <v>1970.2898091238112</v>
      </c>
      <c r="FB132" s="1236">
        <f t="shared" si="502"/>
        <v>2023.2288854708386</v>
      </c>
      <c r="FC132" s="1236">
        <f t="shared" si="502"/>
        <v>2023.3573856411185</v>
      </c>
      <c r="FD132" s="1236">
        <f t="shared" si="502"/>
        <v>2031.6208703920365</v>
      </c>
      <c r="FE132" s="1236">
        <f t="shared" si="502"/>
        <v>2040.3809692951563</v>
      </c>
      <c r="FF132" s="1236">
        <f t="shared" si="502"/>
        <v>2049.6557417359854</v>
      </c>
      <c r="FG132" s="1236">
        <f t="shared" si="502"/>
        <v>2059.4635994397304</v>
      </c>
      <c r="FH132" s="1236">
        <f>FH17</f>
        <v>2069.8232959995712</v>
      </c>
      <c r="FI132" s="413"/>
      <c r="FJ132"/>
      <c r="FK132"/>
      <c r="FL132"/>
      <c r="FM132"/>
      <c r="FN132"/>
      <c r="FO132"/>
      <c r="FP132" s="4"/>
      <c r="FQ132" s="4"/>
      <c r="FR132" s="4"/>
      <c r="FS132" s="1236"/>
      <c r="FT132" s="1236"/>
      <c r="FU132"/>
      <c r="FV132" s="1236"/>
      <c r="FW132" s="1236"/>
      <c r="FX132" s="1236"/>
      <c r="FY132"/>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row>
    <row r="133" spans="1:260" s="448" customFormat="1" ht="12.75" hidden="1" customHeight="1" outlineLevel="1" x14ac:dyDescent="0.2">
      <c r="A133" s="1229" t="s">
        <v>195</v>
      </c>
      <c r="B133" s="336"/>
      <c r="C133" s="336"/>
      <c r="D133" s="336"/>
      <c r="E133" s="1080"/>
      <c r="F133" s="448">
        <f t="shared" ref="F133:AK133" si="503">F27+E27+D27+C27</f>
        <v>28.507999999999999</v>
      </c>
      <c r="G133" s="448">
        <f t="shared" si="503"/>
        <v>28.692</v>
      </c>
      <c r="H133" s="448">
        <f t="shared" si="503"/>
        <v>32.864000000000004</v>
      </c>
      <c r="I133" s="1231">
        <f t="shared" si="503"/>
        <v>36.4</v>
      </c>
      <c r="J133" s="448">
        <f t="shared" si="503"/>
        <v>36.705999999999996</v>
      </c>
      <c r="K133" s="448">
        <f t="shared" si="503"/>
        <v>35.509</v>
      </c>
      <c r="L133" s="448">
        <f t="shared" si="503"/>
        <v>35.808999999999997</v>
      </c>
      <c r="M133" s="1231">
        <f t="shared" si="503"/>
        <v>30.969999999999995</v>
      </c>
      <c r="N133" s="448">
        <f t="shared" si="503"/>
        <v>28.156999999999996</v>
      </c>
      <c r="O133" s="448">
        <f t="shared" si="503"/>
        <v>26.814999999999998</v>
      </c>
      <c r="P133" s="448">
        <f t="shared" si="503"/>
        <v>8.1950000000000003</v>
      </c>
      <c r="Q133" s="1231">
        <f t="shared" si="503"/>
        <v>1.1200000000000001</v>
      </c>
      <c r="R133" s="448">
        <f t="shared" si="503"/>
        <v>-0.82699999999999996</v>
      </c>
      <c r="S133" s="448">
        <f t="shared" si="503"/>
        <v>1</v>
      </c>
      <c r="T133" s="448">
        <f t="shared" si="503"/>
        <v>24.92</v>
      </c>
      <c r="U133" s="1231">
        <f t="shared" si="503"/>
        <v>59.399999999999991</v>
      </c>
      <c r="V133" s="448">
        <f t="shared" si="503"/>
        <v>68.897000000000006</v>
      </c>
      <c r="W133" s="448">
        <f t="shared" si="503"/>
        <v>90.621000000000009</v>
      </c>
      <c r="X133" s="448">
        <f t="shared" si="503"/>
        <v>107.218</v>
      </c>
      <c r="Y133" s="1231">
        <f t="shared" si="503"/>
        <v>135.39500000000001</v>
      </c>
      <c r="Z133" s="448">
        <f t="shared" si="503"/>
        <v>156.88800000000001</v>
      </c>
      <c r="AA133" s="448">
        <f t="shared" si="503"/>
        <v>166.73099999999999</v>
      </c>
      <c r="AB133" s="448">
        <f t="shared" si="503"/>
        <v>181.88400000000001</v>
      </c>
      <c r="AC133" s="1231">
        <f t="shared" si="503"/>
        <v>215.5</v>
      </c>
      <c r="AD133" s="448">
        <f t="shared" si="503"/>
        <v>230.995</v>
      </c>
      <c r="AE133" s="448">
        <f t="shared" si="503"/>
        <v>242.78</v>
      </c>
      <c r="AF133" s="448">
        <f t="shared" si="503"/>
        <v>229.63</v>
      </c>
      <c r="AG133" s="1231">
        <f t="shared" si="503"/>
        <v>245.59999999999997</v>
      </c>
      <c r="AH133" s="448">
        <f t="shared" si="503"/>
        <v>236.79999999999998</v>
      </c>
      <c r="AI133" s="448">
        <f t="shared" si="503"/>
        <v>242.2</v>
      </c>
      <c r="AJ133" s="448">
        <f t="shared" si="503"/>
        <v>258.7</v>
      </c>
      <c r="AK133" s="1231">
        <f t="shared" si="503"/>
        <v>366</v>
      </c>
      <c r="AL133" s="448">
        <f t="shared" ref="AL133:BQ133" si="504">AL27+AK27+AJ27+AI27</f>
        <v>381</v>
      </c>
      <c r="AM133" s="448">
        <f t="shared" si="504"/>
        <v>376</v>
      </c>
      <c r="AN133" s="448">
        <f t="shared" si="504"/>
        <v>378</v>
      </c>
      <c r="AO133" s="1231">
        <f t="shared" si="504"/>
        <v>392</v>
      </c>
      <c r="AP133" s="448">
        <f t="shared" si="504"/>
        <v>384</v>
      </c>
      <c r="AQ133" s="448">
        <f t="shared" si="504"/>
        <v>422.55</v>
      </c>
      <c r="AR133" s="448">
        <f t="shared" si="504"/>
        <v>444.55</v>
      </c>
      <c r="AS133" s="1231">
        <f t="shared" si="504"/>
        <v>496.55</v>
      </c>
      <c r="AT133" s="448">
        <f t="shared" si="504"/>
        <v>523.654</v>
      </c>
      <c r="AU133" s="448">
        <f t="shared" si="504"/>
        <v>529.68399999999997</v>
      </c>
      <c r="AV133" s="448">
        <f t="shared" si="504"/>
        <v>544.68399999999997</v>
      </c>
      <c r="AW133" s="1231">
        <f t="shared" si="504"/>
        <v>508.68399999999997</v>
      </c>
      <c r="AX133" s="448">
        <f t="shared" si="504"/>
        <v>520.58000000000004</v>
      </c>
      <c r="AY133" s="448">
        <f t="shared" si="504"/>
        <v>519</v>
      </c>
      <c r="AZ133" s="448">
        <f t="shared" si="504"/>
        <v>493</v>
      </c>
      <c r="BA133" s="1231">
        <f t="shared" si="504"/>
        <v>581</v>
      </c>
      <c r="BB133" s="448">
        <f t="shared" si="504"/>
        <v>625</v>
      </c>
      <c r="BC133" s="448">
        <f t="shared" si="504"/>
        <v>655</v>
      </c>
      <c r="BD133" s="448">
        <f t="shared" si="504"/>
        <v>660</v>
      </c>
      <c r="BE133" s="1231">
        <f t="shared" si="504"/>
        <v>752</v>
      </c>
      <c r="BF133" s="448">
        <f t="shared" si="504"/>
        <v>739</v>
      </c>
      <c r="BG133" s="448">
        <f t="shared" si="504"/>
        <v>762</v>
      </c>
      <c r="BH133" s="448">
        <f t="shared" si="504"/>
        <v>821</v>
      </c>
      <c r="BI133" s="1231">
        <f t="shared" si="504"/>
        <v>815</v>
      </c>
      <c r="BJ133" s="448">
        <f t="shared" si="504"/>
        <v>808</v>
      </c>
      <c r="BK133" s="448">
        <f t="shared" si="504"/>
        <v>786</v>
      </c>
      <c r="BL133" s="448">
        <f t="shared" si="504"/>
        <v>725</v>
      </c>
      <c r="BM133" s="1231">
        <f t="shared" si="504"/>
        <v>674</v>
      </c>
      <c r="BN133" s="448">
        <f t="shared" si="504"/>
        <v>694</v>
      </c>
      <c r="BO133" s="448">
        <f t="shared" si="504"/>
        <v>691</v>
      </c>
      <c r="BP133" s="448">
        <f t="shared" si="504"/>
        <v>716</v>
      </c>
      <c r="BQ133" s="1231">
        <f t="shared" si="504"/>
        <v>802</v>
      </c>
      <c r="BR133" s="448">
        <f t="shared" ref="BR133:BY133" si="505">BR27+BQ27+BP27+BO27</f>
        <v>797</v>
      </c>
      <c r="BS133" s="448">
        <f t="shared" si="505"/>
        <v>824</v>
      </c>
      <c r="BT133" s="448">
        <f t="shared" si="505"/>
        <v>864</v>
      </c>
      <c r="BU133" s="1231">
        <f t="shared" si="505"/>
        <v>714</v>
      </c>
      <c r="BV133" s="448">
        <f t="shared" si="505"/>
        <v>692</v>
      </c>
      <c r="BW133" s="448">
        <f t="shared" si="505"/>
        <v>645</v>
      </c>
      <c r="BX133" s="448">
        <f t="shared" si="505"/>
        <v>621</v>
      </c>
      <c r="BY133" s="1231">
        <f t="shared" si="505"/>
        <v>677</v>
      </c>
      <c r="BZ133" s="1230">
        <f>BZ27+BQ27+BP27+BO27</f>
        <v>836</v>
      </c>
      <c r="CA133" s="1230">
        <f>CA27+BZ27+BQ27+BP27</f>
        <v>862</v>
      </c>
      <c r="CB133" s="1230">
        <f>CB27+CA27+BZ27+BQ27</f>
        <v>917</v>
      </c>
      <c r="CC133" s="1231">
        <f t="shared" ref="CC133:CK133" si="506">CC27+CB27+CA27+BZ27</f>
        <v>787</v>
      </c>
      <c r="CD133" s="448">
        <f t="shared" si="506"/>
        <v>782</v>
      </c>
      <c r="CE133" s="448">
        <f t="shared" si="506"/>
        <v>724</v>
      </c>
      <c r="CF133" s="448">
        <f t="shared" si="506"/>
        <v>698</v>
      </c>
      <c r="CG133" s="1231">
        <f t="shared" si="506"/>
        <v>801</v>
      </c>
      <c r="CH133" s="448">
        <f t="shared" si="506"/>
        <v>766</v>
      </c>
      <c r="CI133" s="448">
        <f t="shared" si="506"/>
        <v>728</v>
      </c>
      <c r="CJ133" s="448">
        <f t="shared" si="506"/>
        <v>617</v>
      </c>
      <c r="CK133" s="1231">
        <f t="shared" si="506"/>
        <v>513</v>
      </c>
      <c r="CL133" s="1230">
        <f>CL27+CG27+CF27+CE27</f>
        <v>765</v>
      </c>
      <c r="CM133" s="1230">
        <f>CM27+CL27+CG27+CF27</f>
        <v>746</v>
      </c>
      <c r="CN133" s="1230">
        <f>CN27+CM27+CL27+CG27</f>
        <v>629</v>
      </c>
      <c r="CO133" s="1231">
        <f t="shared" ref="CO133:DG133" si="507">CO27+CN27+CM27+CL27</f>
        <v>496</v>
      </c>
      <c r="CP133" s="1232">
        <f t="shared" si="507"/>
        <v>434</v>
      </c>
      <c r="CQ133" s="1233">
        <f t="shared" si="507"/>
        <v>436</v>
      </c>
      <c r="CR133" s="1233">
        <f t="shared" si="507"/>
        <v>482</v>
      </c>
      <c r="CS133" s="1231">
        <f t="shared" si="507"/>
        <v>371</v>
      </c>
      <c r="CT133" s="1296">
        <f t="shared" si="507"/>
        <v>395</v>
      </c>
      <c r="CU133" s="1297">
        <f t="shared" si="507"/>
        <v>406</v>
      </c>
      <c r="CV133" s="1297">
        <f t="shared" si="507"/>
        <v>425</v>
      </c>
      <c r="CW133" s="1299">
        <f t="shared" si="507"/>
        <v>512</v>
      </c>
      <c r="CX133" s="1297">
        <f t="shared" si="507"/>
        <v>502</v>
      </c>
      <c r="CY133" s="1297">
        <f t="shared" si="507"/>
        <v>518</v>
      </c>
      <c r="CZ133" s="1297">
        <f t="shared" si="507"/>
        <v>531</v>
      </c>
      <c r="DA133" s="1299">
        <f t="shared" si="507"/>
        <v>510</v>
      </c>
      <c r="DB133" s="1297">
        <f t="shared" si="507"/>
        <v>524</v>
      </c>
      <c r="DC133" s="1297">
        <f t="shared" si="507"/>
        <v>524</v>
      </c>
      <c r="DD133" s="1297">
        <f t="shared" si="507"/>
        <v>553</v>
      </c>
      <c r="DE133" s="1299">
        <f t="shared" si="507"/>
        <v>561</v>
      </c>
      <c r="DF133" s="1297">
        <f>DF27+DE27+DD27+DC27</f>
        <v>580</v>
      </c>
      <c r="DG133" s="1297">
        <f t="shared" si="507"/>
        <v>588</v>
      </c>
      <c r="DH133" s="1297">
        <f t="shared" ref="DH133:DM133" si="508">DH27+DG27+DF27+DE27</f>
        <v>580</v>
      </c>
      <c r="DI133" s="1299">
        <f t="shared" si="508"/>
        <v>578</v>
      </c>
      <c r="DJ133" s="2698">
        <f t="shared" si="508"/>
        <v>536.62625093803854</v>
      </c>
      <c r="DK133" s="1297">
        <f t="shared" si="508"/>
        <v>513.27475246220899</v>
      </c>
      <c r="DL133" s="1297">
        <f t="shared" si="508"/>
        <v>501.87977566575876</v>
      </c>
      <c r="DM133" s="1299">
        <f t="shared" si="508"/>
        <v>473.71543724883486</v>
      </c>
      <c r="DN133" s="730"/>
      <c r="DO133" s="535"/>
      <c r="DP133" s="1234"/>
      <c r="DQ133" s="1234"/>
      <c r="DR133" s="1235">
        <f t="shared" ref="DR133:FG133" si="509">DR27</f>
        <v>2.0459999999999998</v>
      </c>
      <c r="DS133" s="1235">
        <f t="shared" si="509"/>
        <v>1.373</v>
      </c>
      <c r="DT133" s="1235">
        <f t="shared" si="509"/>
        <v>3.79</v>
      </c>
      <c r="DU133" s="1235">
        <f t="shared" si="509"/>
        <v>2.85</v>
      </c>
      <c r="DV133" s="1235">
        <f t="shared" si="509"/>
        <v>5.76</v>
      </c>
      <c r="DW133" s="1235">
        <f t="shared" si="509"/>
        <v>12.17</v>
      </c>
      <c r="DX133" s="1236">
        <f t="shared" si="509"/>
        <v>26.667999999999999</v>
      </c>
      <c r="DY133" s="1236">
        <f t="shared" si="509"/>
        <v>36.4</v>
      </c>
      <c r="DZ133" s="1236">
        <f t="shared" si="509"/>
        <v>30.97</v>
      </c>
      <c r="EA133" s="1236">
        <f t="shared" si="509"/>
        <v>1.1200000000000001</v>
      </c>
      <c r="EB133" s="1236">
        <f t="shared" si="509"/>
        <v>59.399999999999991</v>
      </c>
      <c r="EC133" s="1236">
        <f t="shared" si="509"/>
        <v>135.39500000000001</v>
      </c>
      <c r="ED133" s="1236">
        <f t="shared" si="509"/>
        <v>215.5</v>
      </c>
      <c r="EE133" s="1236">
        <f t="shared" si="509"/>
        <v>245.60000000000002</v>
      </c>
      <c r="EF133" s="1236">
        <f t="shared" si="509"/>
        <v>366</v>
      </c>
      <c r="EG133" s="1236">
        <f t="shared" si="509"/>
        <v>392</v>
      </c>
      <c r="EH133" s="1236">
        <f t="shared" si="509"/>
        <v>496.55</v>
      </c>
      <c r="EI133" s="1236">
        <f t="shared" si="509"/>
        <v>508.68399999999997</v>
      </c>
      <c r="EJ133" s="1236">
        <f t="shared" si="509"/>
        <v>581</v>
      </c>
      <c r="EK133" s="1236">
        <f t="shared" si="509"/>
        <v>752</v>
      </c>
      <c r="EL133" s="1236">
        <f t="shared" si="509"/>
        <v>815</v>
      </c>
      <c r="EM133" s="244">
        <f t="shared" si="509"/>
        <v>674</v>
      </c>
      <c r="EN133" s="1239">
        <f t="shared" si="509"/>
        <v>802</v>
      </c>
      <c r="EO133" s="1237">
        <f t="shared" si="509"/>
        <v>714</v>
      </c>
      <c r="EP133" s="1237">
        <f t="shared" si="509"/>
        <v>677</v>
      </c>
      <c r="EQ133" s="1237">
        <f t="shared" si="509"/>
        <v>787</v>
      </c>
      <c r="ER133" s="1238">
        <f t="shared" si="509"/>
        <v>801</v>
      </c>
      <c r="ES133" s="1239">
        <f t="shared" si="509"/>
        <v>513</v>
      </c>
      <c r="ET133" s="1239">
        <f t="shared" si="509"/>
        <v>496</v>
      </c>
      <c r="EU133" s="1239">
        <f t="shared" si="509"/>
        <v>371</v>
      </c>
      <c r="EV133" s="1239">
        <f t="shared" si="509"/>
        <v>512</v>
      </c>
      <c r="EW133" s="1239">
        <f t="shared" si="509"/>
        <v>510</v>
      </c>
      <c r="EX133" s="1239">
        <f t="shared" si="509"/>
        <v>561</v>
      </c>
      <c r="EY133" s="1239">
        <f>EY27</f>
        <v>578</v>
      </c>
      <c r="EZ133" s="1797">
        <f>EZ27</f>
        <v>473.71543724883486</v>
      </c>
      <c r="FA133" s="1236">
        <f t="shared" si="509"/>
        <v>484.19786464764212</v>
      </c>
      <c r="FB133" s="1236">
        <f t="shared" si="509"/>
        <v>493.67750257614586</v>
      </c>
      <c r="FC133" s="1236">
        <f t="shared" si="509"/>
        <v>486.61969788200838</v>
      </c>
      <c r="FD133" s="1236">
        <f t="shared" si="509"/>
        <v>485.65484132931158</v>
      </c>
      <c r="FE133" s="1236">
        <f t="shared" si="509"/>
        <v>487.84368127522572</v>
      </c>
      <c r="FF133" s="1236">
        <f t="shared" si="509"/>
        <v>486.41314870709471</v>
      </c>
      <c r="FG133" s="1236">
        <f t="shared" si="509"/>
        <v>485.11581535634156</v>
      </c>
      <c r="FH133" s="1236">
        <f>FH27</f>
        <v>487.70433837514594</v>
      </c>
      <c r="FI133" s="413"/>
      <c r="FJ133"/>
      <c r="FK133"/>
      <c r="FL133"/>
      <c r="FM133"/>
      <c r="FN133"/>
      <c r="FO133"/>
      <c r="FP133" s="4"/>
      <c r="FQ133" s="4"/>
      <c r="FR133" s="4"/>
      <c r="FS133" s="1236"/>
      <c r="FT133" s="1236"/>
      <c r="FU133"/>
      <c r="FV133" s="1236"/>
      <c r="FW133" s="1236"/>
      <c r="FX133" s="1236"/>
      <c r="FY133"/>
      <c r="FZ133"/>
      <c r="GA133"/>
      <c r="GB133"/>
      <c r="GC133"/>
      <c r="GD133"/>
      <c r="GE133"/>
      <c r="GF133"/>
      <c r="GG133"/>
      <c r="GH133"/>
      <c r="GI133"/>
      <c r="GJ133"/>
      <c r="GK133"/>
      <c r="GL133"/>
      <c r="GM133"/>
      <c r="GN133"/>
      <c r="GO133"/>
      <c r="GP133"/>
      <c r="GQ133"/>
      <c r="GR133"/>
      <c r="GS133"/>
      <c r="GT133"/>
      <c r="GU133"/>
      <c r="GV133"/>
      <c r="GW133"/>
      <c r="GX133"/>
      <c r="GY133"/>
      <c r="GZ133"/>
      <c r="HA133"/>
      <c r="HB133"/>
      <c r="HC133"/>
      <c r="HD133"/>
      <c r="HE133"/>
      <c r="HF133"/>
      <c r="HG133"/>
      <c r="HH133"/>
      <c r="HI133"/>
      <c r="HJ133"/>
      <c r="HK133"/>
      <c r="HL133"/>
      <c r="HM133"/>
      <c r="HN133"/>
      <c r="HO133"/>
      <c r="HP133"/>
      <c r="HQ133"/>
      <c r="HR133"/>
      <c r="HS133"/>
      <c r="HT133"/>
      <c r="HU133"/>
      <c r="HV133"/>
      <c r="HW133"/>
      <c r="HX133"/>
      <c r="HY133"/>
      <c r="HZ133"/>
      <c r="IA133"/>
      <c r="IB133"/>
      <c r="IC133"/>
      <c r="ID133"/>
      <c r="IE133"/>
      <c r="IF133"/>
      <c r="IG133"/>
      <c r="IH133"/>
      <c r="II133"/>
      <c r="IJ133"/>
      <c r="IK133"/>
      <c r="IL133"/>
      <c r="IM133"/>
      <c r="IN133"/>
      <c r="IO133"/>
      <c r="IP133"/>
      <c r="IQ133"/>
      <c r="IR133"/>
      <c r="IS133"/>
      <c r="IT133"/>
      <c r="IU133"/>
      <c r="IV133"/>
      <c r="IW133"/>
      <c r="IX133"/>
      <c r="IY133"/>
      <c r="IZ133"/>
    </row>
    <row r="134" spans="1:260" s="6" customFormat="1" collapsed="1" x14ac:dyDescent="0.2">
      <c r="A134" s="1048" t="s">
        <v>196</v>
      </c>
      <c r="B134" s="418"/>
      <c r="C134" s="418"/>
      <c r="D134" s="418"/>
      <c r="E134" s="471"/>
      <c r="I134" s="484"/>
      <c r="M134" s="484"/>
      <c r="Q134" s="484"/>
      <c r="U134" s="484"/>
      <c r="Y134" s="484"/>
      <c r="AC134" s="484"/>
      <c r="AG134" s="484"/>
      <c r="AK134" s="484"/>
      <c r="AO134" s="484"/>
      <c r="AS134" s="484"/>
      <c r="AW134" s="484"/>
      <c r="BA134" s="484"/>
      <c r="BE134" s="484"/>
      <c r="BI134" s="484"/>
      <c r="BM134" s="484"/>
      <c r="BQ134" s="484"/>
      <c r="BU134" s="484"/>
      <c r="BY134" s="484"/>
      <c r="CC134" s="484"/>
      <c r="CG134" s="484"/>
      <c r="CK134" s="484"/>
      <c r="CO134" s="484"/>
      <c r="CP134" s="671"/>
      <c r="CQ134" s="7"/>
      <c r="CR134" s="7"/>
      <c r="CS134" s="484"/>
      <c r="CT134" s="671"/>
      <c r="CU134" s="7"/>
      <c r="CV134" s="7"/>
      <c r="CW134" s="484"/>
      <c r="CX134" s="7"/>
      <c r="CY134" s="7"/>
      <c r="CZ134" s="7"/>
      <c r="DA134" s="484"/>
      <c r="DB134" s="7"/>
      <c r="DC134" s="7"/>
      <c r="DD134" s="7"/>
      <c r="DE134" s="484"/>
      <c r="DF134" s="7"/>
      <c r="DG134" s="7"/>
      <c r="DH134" s="7"/>
      <c r="DI134" s="484"/>
      <c r="DJ134" s="1671"/>
      <c r="DK134" s="7"/>
      <c r="DL134" s="7"/>
      <c r="DM134" s="484"/>
      <c r="DN134" s="671"/>
      <c r="DO134" s="484"/>
      <c r="DP134" s="418"/>
      <c r="DQ134" s="418"/>
      <c r="DR134" s="419"/>
      <c r="DS134" s="419"/>
      <c r="DT134" s="419"/>
      <c r="DU134" s="419"/>
      <c r="DV134" s="419"/>
      <c r="DW134" s="419"/>
      <c r="DX134" s="419"/>
      <c r="DY134" s="419"/>
      <c r="DZ134" s="419"/>
      <c r="EA134" s="419"/>
      <c r="EB134" s="419">
        <f>+(EB30+(EB13+EB22)*(1-EC87))/(AVERAGE('Balance Sheet'!DO64:DP64)+AVERAGE('Balance Sheet'!DO42:DP42)+8*'Income Statement'!EB13)</f>
        <v>0.1047057160003297</v>
      </c>
      <c r="EC134" s="419">
        <f>+(EC30+(EC13+EC22)*(1-ED87))/(AVERAGE('Balance Sheet'!DP64:DQ64)+AVERAGE('Balance Sheet'!DP42:DQ42)+8*'Income Statement'!EC13)</f>
        <v>0.14090354358803361</v>
      </c>
      <c r="ED134" s="419">
        <f>+(ED30+(ED13+ED22)*(1-EE87))/(AVERAGE('Balance Sheet'!DQ64:DR64)+AVERAGE('Balance Sheet'!DQ42:DR42)+8*'Income Statement'!ED13)</f>
        <v>0.16466386294879742</v>
      </c>
      <c r="EE134" s="419">
        <f>+(EE30+(EE13+EE22)*(1-EF87))/(AVERAGE('Balance Sheet'!DR64:DS64)+AVERAGE('Balance Sheet'!DR42:DS42)+8*'Income Statement'!EE13)</f>
        <v>0.14162404824840899</v>
      </c>
      <c r="EF134" s="419">
        <f>+(EF30+(EF13+EF22)*(1-EG87))/(AVERAGE('Balance Sheet'!DS64:DT64)+AVERAGE('Balance Sheet'!DS42:DT42)+8*'Income Statement'!EF13)</f>
        <v>0.1267137106776785</v>
      </c>
      <c r="EG134" s="419">
        <f>+(EG30+(EG13+EG22)*(1-EH87))/(AVERAGE('Balance Sheet'!DT64:DU64)+AVERAGE('Balance Sheet'!DT42:DU42)+8*'Income Statement'!EG13)</f>
        <v>0.12661687432122862</v>
      </c>
      <c r="EH134" s="419">
        <f>+(EH30+(EH13+EH22)*(1-EI87))/(AVERAGE('Balance Sheet'!DU64:DV64)+AVERAGE('Balance Sheet'!DU42:DV42)+8*'Income Statement'!EH13)</f>
        <v>0.14309074689353687</v>
      </c>
      <c r="EI134" s="419">
        <f>+(EI30+(EI13+EI22)*(1-EJ87))/(AVERAGE('Balance Sheet'!DV64:DW64)+AVERAGE('Balance Sheet'!DV42:DW42)+8*'Income Statement'!EI13)</f>
        <v>0.14073685292173757</v>
      </c>
      <c r="EJ134" s="419">
        <f>+(EJ30+(EJ13+EJ22)*(1-EK87))/(AVERAGE('Balance Sheet'!DW64:DX64)+AVERAGE('Balance Sheet'!DW42:DX42)+8*'Income Statement'!EJ13)</f>
        <v>0.1487932770822937</v>
      </c>
      <c r="EK134" s="419">
        <f>+(EK30+(EK13+EK22)*(1-EL87))/(AVERAGE('Balance Sheet'!DX64:DY64)+AVERAGE('Balance Sheet'!DX42:DY42)+8*'Income Statement'!EK13)</f>
        <v>0.15610794419025331</v>
      </c>
      <c r="EL134" s="419">
        <f>+(EL30+(EL13+EL22)*(1-EM87))/(AVERAGE('Balance Sheet'!DY64:DZ64)+AVERAGE('Balance Sheet'!DY42:DZ42)+8*'Income Statement'!EL13)</f>
        <v>0.16136745803197514</v>
      </c>
      <c r="EM134" s="419">
        <f>+(EM30+(EM13+EM22)*(1-EN87))/(AVERAGE('Balance Sheet'!DZ64:EA64)+AVERAGE('Balance Sheet'!DZ42:EA42)+8*'Income Statement'!EM13)</f>
        <v>0.14268878050094536</v>
      </c>
      <c r="EN134" s="419">
        <f>+(EN30+(EN13+EN22)*(1-EN87))/(AVERAGE('Balance Sheet'!EA64:EB64)+AVERAGE('Balance Sheet'!EA42:EB42)+8*'Income Statement'!EN13)</f>
        <v>0.13237742479032</v>
      </c>
      <c r="EO134" s="419">
        <f>+(EO30+(EO13+EO22)*(1-EO87))/(AVERAGE('Balance Sheet'!EB64:EC64)+AVERAGE('Balance Sheet'!EB42:EC42)+8*'Income Statement'!EO13)</f>
        <v>0.13563433641868086</v>
      </c>
      <c r="EP134" s="419">
        <f>+(EP30+(EP13+EP22)*(1-EP87))/(AVERAGE('Balance Sheet'!EC64:ED64)+AVERAGE('Balance Sheet'!EC42:ED42)+8*'Income Statement'!EP13)</f>
        <v>0.13704083697281261</v>
      </c>
      <c r="EQ134" s="419">
        <f>+(EQ30+(EQ13+EQ22)*(1-EQ87))/(AVERAGE('Balance Sheet'!ED64:EE64)+AVERAGE('Balance Sheet'!ED42:EE42)+8*'Income Statement'!EQ13)</f>
        <v>0.1482321471899114</v>
      </c>
      <c r="ER134" s="975">
        <f>+(ER30+(ER13+ER22)*(1-ER87))/(AVERAGE('Balance Sheet'!EE64:EF64)+AVERAGE('Balance Sheet'!EE42:EF42)+8*'Income Statement'!ER13)</f>
        <v>0.13475271859005561</v>
      </c>
      <c r="ES134" s="419">
        <f>+(ES30+(ES13+ES22)*(1-ES87))/(AVERAGE('Balance Sheet'!EF64:EG64)+AVERAGE('Balance Sheet'!EF42:EG42)+8*'Income Statement'!ES13)</f>
        <v>0.11392131996753901</v>
      </c>
      <c r="ET134" s="419">
        <f>+(ET30+(ET13+ET22)*(1-ET87))/(AVERAGE('Balance Sheet'!EF64:EG64)+AVERAGE('Balance Sheet'!EF42:EG42)+8*'Income Statement'!ET13)</f>
        <v>0.11437421963941843</v>
      </c>
      <c r="EU134" s="419">
        <f>+(EU30+(EU13+EU22)*(1-EU87))/(AVERAGE('Balance Sheet'!EG64:EH64)+AVERAGE('Balance Sheet'!EG42:EH42)+8*'Income Statement'!EU13)</f>
        <v>0.10964857350399519</v>
      </c>
      <c r="EV134" s="419">
        <f>+(EV30+(EV13+EV22)*(1-EV87))/(AVERAGE('Balance Sheet'!EH64:EI64)+AVERAGE('Balance Sheet'!EH42:EI42)+8*'Income Statement'!EV13)</f>
        <v>0.11807048128599584</v>
      </c>
      <c r="EW134" s="419">
        <f>+(EW30+(EW13+EW22)*(1-EW87))/(AVERAGE('Balance Sheet'!EI64:EJ64)+AVERAGE('Balance Sheet'!EI42:EJ42)+8*'Income Statement'!EW13)</f>
        <v>0.11823853091373124</v>
      </c>
      <c r="EX134" s="419">
        <f>+(EX30+(EX13+EX22)*(1-EX87))/(AVERAGE('Balance Sheet'!EJ64:EK64)+AVERAGE('Balance Sheet'!EJ42:EK42)+8*'Income Statement'!EX13)</f>
        <v>0.13819012472290679</v>
      </c>
      <c r="EY134" s="419">
        <f>+(EY30+(EY13+EY22)*(1-EY87))/(AVERAGE('Balance Sheet'!EK64:EL64)+AVERAGE('Balance Sheet'!EK42:EL42)+8*'Income Statement'!EY13)</f>
        <v>0.16496540320517397</v>
      </c>
      <c r="EZ134" s="1798">
        <f>+(EZ30+(EZ13+EZ22)*(1-EZ87))/(AVERAGE('Balance Sheet'!EL64:EM64)+AVERAGE('Balance Sheet'!EL42:EM42)+8*'Income Statement'!EZ13)</f>
        <v>0.18541366764566022</v>
      </c>
      <c r="FA134" s="419">
        <f>+(FA30+(FA13+FA22)*(1-FA87))/(AVERAGE('Balance Sheet'!EM64:EN64)+AVERAGE('Balance Sheet'!EM42:EN42)+8*'Income Statement'!FA13)</f>
        <v>0.19277410176524379</v>
      </c>
      <c r="FB134" s="419">
        <f>+(FB30+(FB13+FB22)*(1-FB87))/(AVERAGE('Balance Sheet'!EN64:EO64)+AVERAGE('Balance Sheet'!EN42:EO42)+8*'Income Statement'!FB13)</f>
        <v>0.19792236903561738</v>
      </c>
      <c r="FC134" s="419">
        <f>+(FC30+(FC13+FC22)*(1-FC87))/(AVERAGE('Balance Sheet'!EO64:EP64)+AVERAGE('Balance Sheet'!EO42:EP42)+8*'Income Statement'!FC13)</f>
        <v>0.1971702355629095</v>
      </c>
      <c r="FD134" s="419">
        <f>+(FD30+(FD13+FD22)*(1-FD87))/(AVERAGE('Balance Sheet'!EP64:EQ64)+AVERAGE('Balance Sheet'!EP42:EQ42)+8*'Income Statement'!FD13)</f>
        <v>0.19694846317336626</v>
      </c>
      <c r="FE134" s="419">
        <f>+(FE30+(FE13+FE22)*(1-FE87))/(AVERAGE('Balance Sheet'!EQ64:ER64)+AVERAGE('Balance Sheet'!EQ42:ER42)+8*'Income Statement'!FE13)</f>
        <v>0.20037635299268874</v>
      </c>
      <c r="FF134" s="419">
        <f>+(FF30+(FF13+FF22)*(1-FF87))/(AVERAGE('Balance Sheet'!ER64:ES64)+AVERAGE('Balance Sheet'!ER42:ES42)+8*'Income Statement'!FF13)</f>
        <v>0.19995746274824852</v>
      </c>
      <c r="FG134" s="419">
        <f>+(FG30+(FG13+FG22)*(1-FG87))/(AVERAGE('Balance Sheet'!ES64:ET64)+AVERAGE('Balance Sheet'!ES42:ET42)+8*'Income Statement'!FG13)</f>
        <v>0.20035464440672304</v>
      </c>
      <c r="FH134" s="419">
        <f>+(FH30+(FH13+FH22)*(1-FH87))/(AVERAGE('Balance Sheet'!ET64:EU64)+AVERAGE('Balance Sheet'!ET42:EU42)+8*'Income Statement'!FH13)</f>
        <v>0.20613035926825368</v>
      </c>
      <c r="FI134" s="413"/>
      <c r="FJ134"/>
      <c r="FK134"/>
      <c r="FL134"/>
      <c r="FM134"/>
      <c r="FN134"/>
      <c r="FO134"/>
      <c r="FP134" s="4"/>
      <c r="FQ134" s="4"/>
      <c r="FR134" s="4"/>
      <c r="FS134" s="419"/>
      <c r="FT134" s="419"/>
      <c r="FU134"/>
      <c r="FV134" s="419"/>
      <c r="FW134" s="419"/>
      <c r="FX134" s="419"/>
      <c r="FY134"/>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row>
    <row r="135" spans="1:260" s="6" customFormat="1" x14ac:dyDescent="0.2">
      <c r="A135" s="1048" t="s">
        <v>149</v>
      </c>
      <c r="B135" s="420"/>
      <c r="C135" s="420"/>
      <c r="D135" s="420"/>
      <c r="E135" s="472"/>
      <c r="F135" s="430"/>
      <c r="G135" s="430">
        <f>1000*G16/AVERAGE('Revenue Model'!F379,'Revenue Model'!G379)</f>
        <v>713.55140186915889</v>
      </c>
      <c r="H135" s="430">
        <f>1000*H16/AVERAGE('Revenue Model'!G379,'Revenue Model'!H379)</f>
        <v>843.39218523878435</v>
      </c>
      <c r="I135" s="517">
        <f>1000*I16/AVERAGE('Revenue Model'!H379,'Revenue Model'!I379)</f>
        <v>1035.9742268041236</v>
      </c>
      <c r="J135" s="430">
        <f>1000*J16/AVERAGE('Revenue Model'!I379,'Revenue Model'!J379)</f>
        <v>806.43985419198054</v>
      </c>
      <c r="K135" s="430">
        <f>1000*K16/AVERAGE('Revenue Model'!J379,'Revenue Model'!K379)</f>
        <v>830.99765807962524</v>
      </c>
      <c r="L135" s="430">
        <f>1000*L16/AVERAGE('Revenue Model'!K379,'Revenue Model'!L379)</f>
        <v>878.48684210526312</v>
      </c>
      <c r="M135" s="517">
        <f>1000*M16/AVERAGE('Revenue Model'!L379,'Revenue Model'!M379)</f>
        <v>1106.8577277379734</v>
      </c>
      <c r="N135" s="430">
        <f>1000*N16/AVERAGE('Revenue Model'!M379,'Revenue Model'!N379)</f>
        <v>868.37154150197625</v>
      </c>
      <c r="O135" s="430">
        <f>1000*O16/AVERAGE('Revenue Model'!N379,'Revenue Model'!O379)</f>
        <v>900.02715809893311</v>
      </c>
      <c r="P135" s="430">
        <f>1000*P16/AVERAGE('Revenue Model'!O379,'Revenue Model'!P379)</f>
        <v>954.98767772511849</v>
      </c>
      <c r="Q135" s="517">
        <f>1000*Q16/AVERAGE('Revenue Model'!P379,'Revenue Model'!Q379)</f>
        <v>1121.0278293135436</v>
      </c>
      <c r="R135" s="430">
        <f>1000*R16/AVERAGE('Revenue Model'!Q379,'Revenue Model'!R379)</f>
        <v>890.52110091743123</v>
      </c>
      <c r="S135" s="430">
        <f>1000*S16/AVERAGE('Revenue Model'!R379,'Revenue Model'!S379)</f>
        <v>978.11636363636364</v>
      </c>
      <c r="T135" s="430">
        <f>1000*T16/AVERAGE('Revenue Model'!S379,'Revenue Model'!T379)</f>
        <v>1018.6630920464701</v>
      </c>
      <c r="U135" s="517">
        <f>1000*U16/AVERAGE('Revenue Model'!T379,'Revenue Model'!U379)</f>
        <v>1228.7577092511012</v>
      </c>
      <c r="V135" s="430">
        <f>1000*V16/AVERAGE('Revenue Model'!U379,'Revenue Model'!V379)</f>
        <v>1139.4026200873363</v>
      </c>
      <c r="W135" s="430">
        <f>1000*W16/AVERAGE('Revenue Model'!V379,'Revenue Model'!W379)</f>
        <v>1170.0311958405546</v>
      </c>
      <c r="X135" s="430">
        <f>1000*X16/AVERAGE('Revenue Model'!W379,'Revenue Model'!X379)</f>
        <v>1199.949152542373</v>
      </c>
      <c r="Y135" s="517">
        <f>1000*Y16/AVERAGE('Revenue Model'!X379,'Revenue Model'!Y379)</f>
        <v>1456.1699346405228</v>
      </c>
      <c r="Z135" s="430">
        <f>1000*Z16/AVERAGE('Revenue Model'!Y379,'Revenue Model'!Z379)</f>
        <v>1251.9679230152365</v>
      </c>
      <c r="AA135" s="430">
        <f>1000*AA16/AVERAGE('Revenue Model'!Z379,'Revenue Model'!AA379)</f>
        <v>1389.7998423955871</v>
      </c>
      <c r="AB135" s="430">
        <f>1000*AB16/AVERAGE('Revenue Model'!AA379,'Revenue Model'!AB379)</f>
        <v>1405.7971450037567</v>
      </c>
      <c r="AC135" s="517">
        <f>1000*AC16/AVERAGE('Revenue Model'!AB379,'Revenue Model'!AC379)</f>
        <v>1589.6234788833215</v>
      </c>
      <c r="AD135" s="430">
        <f>1000*AD16/AVERAGE('Revenue Model'!AC379,'Revenue Model'!AD379)</f>
        <v>1391.3925822253325</v>
      </c>
      <c r="AE135" s="430">
        <f>1000*AE16/AVERAGE('Revenue Model'!AD379,'Revenue Model'!AE379)</f>
        <v>1469.4077134986226</v>
      </c>
      <c r="AF135" s="430">
        <f>1000*AF16/AVERAGE('Revenue Model'!AE379,'Revenue Model'!AF379)</f>
        <v>1589.5473684210526</v>
      </c>
      <c r="AG135" s="517">
        <f>1000*AG16/AVERAGE('Revenue Model'!AF379,'Revenue Model'!AG379)</f>
        <v>2027.9357231149568</v>
      </c>
      <c r="AH135" s="430">
        <f>1000*AH16/AVERAGE('Revenue Model'!AG379,'Revenue Model'!AH379)</f>
        <v>1706.5462753950339</v>
      </c>
      <c r="AI135" s="430">
        <f>1000*AI16/AVERAGE('Revenue Model'!AH379,'Revenue Model'!AI379)</f>
        <v>1607.2325464590658</v>
      </c>
      <c r="AJ135" s="430">
        <f>1000*AJ16/AVERAGE('Revenue Model'!AI379,'Revenue Model'!AJ379)</f>
        <v>1672.5581395348838</v>
      </c>
      <c r="AK135" s="517">
        <f>1000*AK16/AVERAGE('Revenue Model'!AJ379,'Revenue Model'!AK379)</f>
        <v>1853.5714285714287</v>
      </c>
      <c r="AL135" s="430">
        <f>1000*AL16/AVERAGE('Revenue Model'!AK379,'Revenue Model'!AL379)</f>
        <v>1652.4761077324065</v>
      </c>
      <c r="AM135" s="430">
        <f>1000*AM16/AVERAGE('Revenue Model'!AL379,'Revenue Model'!AM379)</f>
        <v>1731.923890063425</v>
      </c>
      <c r="AN135" s="430">
        <f>1000*AN16/AVERAGE('Revenue Model'!AM379,'Revenue Model'!AN379)</f>
        <v>1791.044776119403</v>
      </c>
      <c r="AO135" s="517">
        <f>1000*AO16/AVERAGE('Revenue Model'!AN379,'Revenue Model'!AO379)</f>
        <v>1757.4123989218328</v>
      </c>
      <c r="AP135" s="430">
        <f>1000*AP16/AVERAGE('Revenue Model'!AO379,'Revenue Model'!AP379)</f>
        <v>1605.095541401274</v>
      </c>
      <c r="AQ135" s="430">
        <f>1000*AQ16/AVERAGE('Revenue Model'!AP379,'Revenue Model'!AQ379)</f>
        <v>1669.8319941563184</v>
      </c>
      <c r="AR135" s="430">
        <f>1000*AR16/AVERAGE('Revenue Model'!AQ379,'Revenue Model'!AR379)</f>
        <v>1804.6380885453268</v>
      </c>
      <c r="AS135" s="517">
        <f>1000*AS16/AVERAGE('Revenue Model'!AR379,'Revenue Model'!AS379)</f>
        <v>1742.0661715057395</v>
      </c>
      <c r="AT135" s="430">
        <f>1000*AT16/AVERAGE('Revenue Model'!AS379,'Revenue Model'!AT379)</f>
        <v>1485.337726523888</v>
      </c>
      <c r="AU135" s="430">
        <f>1000*AU16/AVERAGE('Revenue Model'!AT379,'Revenue Model'!AU379)</f>
        <v>1594.8051948051948</v>
      </c>
      <c r="AV135" s="430">
        <f>1000*AV16/AVERAGE('Revenue Model'!AU379,'Revenue Model'!AV379)</f>
        <v>1657.7032584625119</v>
      </c>
      <c r="AW135" s="517">
        <f>1000*AW16/AVERAGE('Revenue Model'!AV379,'Revenue Model'!AW379)</f>
        <v>1695.7849725106903</v>
      </c>
      <c r="AX135" s="430">
        <f>1000*AX16/AVERAGE('Revenue Model'!AW379,'Revenue Model'!AX379)</f>
        <v>1572.5782414307005</v>
      </c>
      <c r="AY135" s="430">
        <f>1000*AY16/AVERAGE('Revenue Model'!AX379,'Revenue Model'!AY379)</f>
        <v>1697.8922716627635</v>
      </c>
      <c r="AZ135" s="430">
        <f>1000*AZ16/AVERAGE('Revenue Model'!AY379,'Revenue Model'!AZ379)</f>
        <v>1810.872027180068</v>
      </c>
      <c r="BA135" s="517">
        <f>1000*BA16/AVERAGE('Revenue Model'!AZ379,'Revenue Model'!BA379)</f>
        <v>1863.5498776841532</v>
      </c>
      <c r="BB135" s="430">
        <f>1000*BB16/AVERAGE('Revenue Model'!BA379,'Revenue Model'!BB379)</f>
        <v>1509.9127676447265</v>
      </c>
      <c r="BC135" s="430">
        <f>1000*BC16/AVERAGE('Revenue Model'!BB379,'Revenue Model'!BC379)</f>
        <v>1575.9398496240601</v>
      </c>
      <c r="BD135" s="430">
        <f>1000*BD16/AVERAGE('Revenue Model'!BC379,'Revenue Model'!BD379)</f>
        <v>1652.3536165327209</v>
      </c>
      <c r="BE135" s="517">
        <f>1000*BE16/AVERAGE('Revenue Model'!BD379,'Revenue Model'!BE379)</f>
        <v>1707.9722703639516</v>
      </c>
      <c r="BF135" s="430">
        <f>1000*BF16/AVERAGE('Revenue Model'!BE379,'Revenue Model'!BF379)</f>
        <v>1377.3824650571792</v>
      </c>
      <c r="BG135" s="430">
        <f>1000*BG16/AVERAGE('Revenue Model'!BF379,'Revenue Model'!BG379)</f>
        <v>1444.1213128375571</v>
      </c>
      <c r="BH135" s="430">
        <f>1000*BH16/AVERAGE('Revenue Model'!BG379,'Revenue Model'!BH379)</f>
        <v>1603.229061553986</v>
      </c>
      <c r="BI135" s="517">
        <f>1000*BI16/AVERAGE('Revenue Model'!BH379,'Revenue Model'!BI379)</f>
        <v>1587.0540066289725</v>
      </c>
      <c r="BJ135" s="430">
        <f>1000*BJ16/AVERAGE('Revenue Model'!BI379,'Revenue Model'!BJ379)</f>
        <v>1408.7286527514232</v>
      </c>
      <c r="BK135" s="430">
        <f>1000*BK16/AVERAGE('Revenue Model'!BJ379,'Revenue Model'!BK379)</f>
        <v>1513.994439295644</v>
      </c>
      <c r="BL135" s="430">
        <f>1000*BL16/AVERAGE('Revenue Model'!BK379,'Revenue Model'!BL379)</f>
        <v>1292.8535732133932</v>
      </c>
      <c r="BM135" s="517">
        <f>1000*BM16/AVERAGE('Revenue Model'!BL379,'Revenue Model'!BM379)</f>
        <v>762.87873006181792</v>
      </c>
      <c r="BN135" s="430">
        <f>1000*BN16/AVERAGE('Revenue Model'!BM379,'Revenue Model'!BN379)</f>
        <v>562.08651399491089</v>
      </c>
      <c r="BO135" s="430">
        <f>1000*BO16/AVERAGE('Revenue Model'!BN379,'Revenue Model'!BO379)</f>
        <v>608.53056575117068</v>
      </c>
      <c r="BP135" s="430">
        <f>1000*BP16/AVERAGE('Revenue Model'!BO379,'Revenue Model'!BP379)</f>
        <v>645.77828111236943</v>
      </c>
      <c r="BQ135" s="517">
        <f>1000*BQ16/AVERAGE('Revenue Model'!BP379,'Revenue Model'!BQ379)</f>
        <v>672.61718993820614</v>
      </c>
      <c r="BR135" s="430">
        <f>1000*BR16/AVERAGE('Revenue Model'!BQ379,'Revenue Model'!BR379)</f>
        <v>616.64698203518367</v>
      </c>
      <c r="BS135" s="430">
        <f>1000*BS16/AVERAGE('Revenue Model'!BR379,'Revenue Model'!BS379)</f>
        <v>620.96724255371851</v>
      </c>
      <c r="BT135" s="430">
        <f>1000*BT16/AVERAGE('Revenue Model'!BS379,'Revenue Model'!BT379)</f>
        <v>637.19418725856883</v>
      </c>
      <c r="BU135" s="517">
        <f>1000*BU16/AVERAGE('Revenue Model'!BT379,'Revenue Model'!BU379)</f>
        <v>664.00096934448084</v>
      </c>
      <c r="BV135" s="430">
        <f>1000*BV16/AVERAGE('Revenue Model'!BU379,'Revenue Model'!BV379)</f>
        <v>596.5059734646095</v>
      </c>
      <c r="BW135" s="430">
        <f>1000*BW16/AVERAGE('Revenue Model'!BV379,'Revenue Model'!BW379)</f>
        <v>615.40294240276376</v>
      </c>
      <c r="BX135" s="430">
        <f>1000*BX16/AVERAGE('Revenue Model'!BW379,'Revenue Model'!BX379)</f>
        <v>615.0952268986598</v>
      </c>
      <c r="BY135" s="517">
        <f>1000*BY16/AVERAGE('Revenue Model'!BX379,'Revenue Model'!BY379)</f>
        <v>631.40783744557325</v>
      </c>
      <c r="BZ135" s="430">
        <f>1000*BZ16/AVERAGE('Revenue Model'!BY379,'Revenue Model'!BZ379)</f>
        <v>581.63081900425379</v>
      </c>
      <c r="CA135" s="430">
        <f>1000*CA16/AVERAGE('Revenue Model'!BZ379,'Revenue Model'!CA379)</f>
        <v>603.13332094866553</v>
      </c>
      <c r="CB135" s="430">
        <f>1000*CB16/AVERAGE('Revenue Model'!CA379,'Revenue Model'!CB379)</f>
        <v>599.42363112391934</v>
      </c>
      <c r="CC135" s="517">
        <f>1000*CC16/AVERAGE('Revenue Model'!CB379,'Revenue Model'!CC379)</f>
        <v>654.79219677692959</v>
      </c>
      <c r="CD135" s="430">
        <f>1000*CD16/AVERAGE('Revenue Model'!CC379,'Revenue Model'!CD379)</f>
        <v>590.02221288347243</v>
      </c>
      <c r="CE135" s="430">
        <f>1000*CE16/AVERAGE('Revenue Model'!CD379,'Revenue Model'!CE379)</f>
        <v>596.10459229257253</v>
      </c>
      <c r="CF135" s="430">
        <f>1000*CF16/AVERAGE('Revenue Model'!CE379,'Revenue Model'!CF379)</f>
        <v>581.23677404185275</v>
      </c>
      <c r="CG135" s="517">
        <f>1000*CG16/AVERAGE('Revenue Model'!CF379,'Revenue Model'!CG379)</f>
        <v>622.11901306240929</v>
      </c>
      <c r="CH135" s="430">
        <f>1000*CH16/AVERAGE('Revenue Model'!CG379,'Revenue Model'!CH379)</f>
        <v>582.63434951119336</v>
      </c>
      <c r="CI135" s="430">
        <f>1000*CI16/AVERAGE('Revenue Model'!CH379,'Revenue Model'!CI379)</f>
        <v>564.35758066381402</v>
      </c>
      <c r="CJ135" s="430">
        <f>1000*CJ16/AVERAGE('Revenue Model'!CI379,'Revenue Model'!CJ379)</f>
        <v>585.26461432030442</v>
      </c>
      <c r="CK135" s="517">
        <f>1000*CK16/AVERAGE('Revenue Model'!CJ379,'Revenue Model'!CK379)</f>
        <v>654.97880142087774</v>
      </c>
      <c r="CL135" s="430">
        <f>1000*CL16/AVERAGE('Revenue Model'!CG379,'Revenue Model'!CL379)</f>
        <v>697.22422206223507</v>
      </c>
      <c r="CM135" s="430">
        <f>1000*CM16/AVERAGE('Revenue Model'!CL379,'Revenue Model'!CM379)</f>
        <v>1074.5189203151233</v>
      </c>
      <c r="CN135" s="430">
        <f>1000*CN16/AVERAGE('Revenue Model'!CM379,'Revenue Model'!CN379)</f>
        <v>1121.8014329580349</v>
      </c>
      <c r="CO135" s="517">
        <f>1000*CO16/AVERAGE('Revenue Model'!CN379,'Revenue Model'!CO379)</f>
        <v>1260.655115720248</v>
      </c>
      <c r="CP135" s="974">
        <f>1000*CP16/AVERAGE('Revenue Model'!CO379,'Revenue Model'!CP379)</f>
        <v>749.16256157635473</v>
      </c>
      <c r="CQ135" s="430">
        <f>1000*CQ16/AVERAGE('Revenue Model'!CP379,'Revenue Model'!CQ379)</f>
        <v>784.66741826381065</v>
      </c>
      <c r="CR135" s="430">
        <f>1000*CR16/AVERAGE('Revenue Model'!CQ379,'Revenue Model'!CR379)</f>
        <v>1093.0914166085136</v>
      </c>
      <c r="CS135" s="517">
        <f>1000*CS16/AVERAGE('Revenue Model'!CR379,'Revenue Model'!CS379)</f>
        <v>1230.2097902097903</v>
      </c>
      <c r="CT135" s="974">
        <f>1000*CT16/AVERAGE('Revenue Model'!CS379,'Revenue Model'!CT379)</f>
        <v>951.88769251737767</v>
      </c>
      <c r="CU135" s="430">
        <f>1000*CU16/AVERAGE('Revenue Model'!CT379,'Revenue Model'!CU379)</f>
        <v>950.71193866374585</v>
      </c>
      <c r="CV135" s="430">
        <f>1000*CV16/AVERAGE('Revenue Model'!CU379,'Revenue Model'!CV379)</f>
        <v>1055.0198525241067</v>
      </c>
      <c r="CW135" s="517">
        <f>1000*CW16/AVERAGE('Revenue Model'!CV379,'Revenue Model'!CW379)</f>
        <v>1261.3538988860325</v>
      </c>
      <c r="CX135" s="430">
        <f>1000*CX16/AVERAGE('Revenue Model'!CW379,'Revenue Model'!CX379)</f>
        <v>1019.790454016298</v>
      </c>
      <c r="CY135" s="430">
        <f>1000*CY16/AVERAGE('Revenue Model'!CX379,'Revenue Model'!CY379)</f>
        <v>1080.2570617247047</v>
      </c>
      <c r="CZ135" s="430">
        <f>1000*CZ16/AVERAGE('Revenue Model'!CY379,'Revenue Model'!CZ379)</f>
        <v>1135.323533868768</v>
      </c>
      <c r="DA135" s="517">
        <f>1000*DA16/AVERAGE('Revenue Model'!CZ379,'Revenue Model'!DA379)</f>
        <v>1319.1295084462031</v>
      </c>
      <c r="DB135" s="430">
        <f>1000*DB16/AVERAGE('Revenue Model'!DA379,'Revenue Model'!DB379)</f>
        <v>1055.632183908046</v>
      </c>
      <c r="DC135" s="430">
        <f>1000*DC16/AVERAGE('Revenue Model'!DB379,'Revenue Model'!DC379)</f>
        <v>1094.6718146718147</v>
      </c>
      <c r="DD135" s="430">
        <f>1000*DD16/AVERAGE('Revenue Model'!DC379,'Revenue Model'!DD379)</f>
        <v>1175.1904243743199</v>
      </c>
      <c r="DE135" s="517">
        <f>1000*DE16/AVERAGE('Revenue Model'!DD379,'Revenue Model'!DE379)</f>
        <v>1342.3239767915948</v>
      </c>
      <c r="DF135" s="430">
        <f>1000*DF16/AVERAGE('Revenue Model'!DE379,'Revenue Model'!DF379)</f>
        <v>1091.9467343056435</v>
      </c>
      <c r="DG135" s="430">
        <f>1000*DG16/AVERAGE('Revenue Model'!DF379,'Revenue Model'!DG379)</f>
        <v>1165.6010230179029</v>
      </c>
      <c r="DH135" s="430">
        <f>1000*DH16/AVERAGE('Revenue Model'!DG379,'Revenue Model'!DH379)</f>
        <v>1243.8435538387253</v>
      </c>
      <c r="DI135" s="517">
        <f>1000*DI16/AVERAGE('Revenue Model'!DH379,'Revenue Model'!DI379)</f>
        <v>1589.1839061736439</v>
      </c>
      <c r="DJ135" s="1799">
        <f>1000*DJ16/AVERAGE('Revenue Model'!DI379,'Revenue Model'!DJ379)</f>
        <v>1211.5739039611099</v>
      </c>
      <c r="DK135" s="430">
        <f>1000*DK16/AVERAGE('Revenue Model'!DJ379,'Revenue Model'!DK379)</f>
        <v>1392.8110948137421</v>
      </c>
      <c r="DL135" s="430">
        <f>1000*DL16/AVERAGE('Revenue Model'!DK379,'Revenue Model'!DL379)</f>
        <v>1547.2925926700023</v>
      </c>
      <c r="DM135" s="517">
        <f>1000*DM16/AVERAGE('Revenue Model'!DL379,'Revenue Model'!DM379)</f>
        <v>1945.6660917724448</v>
      </c>
      <c r="DN135" s="974"/>
      <c r="DO135" s="484"/>
      <c r="DP135" s="420"/>
      <c r="DQ135" s="420"/>
      <c r="DR135" s="430"/>
      <c r="DS135" s="430">
        <f>1000*DS16/AVERAGE('Revenue Model'!DR379,'Revenue Model'!DS379)</f>
        <v>2649.950617283951</v>
      </c>
      <c r="DT135" s="430">
        <f>1000*DT16/AVERAGE('Revenue Model'!DS379,'Revenue Model'!DT379)</f>
        <v>2507.4619883040937</v>
      </c>
      <c r="DU135" s="430">
        <f>1000*DU16/AVERAGE('Revenue Model'!DT379,'Revenue Model'!DU379)</f>
        <v>2680.6358974358977</v>
      </c>
      <c r="DV135" s="430">
        <f>1000*DV16/AVERAGE('Revenue Model'!DU379,'Revenue Model'!DV379)</f>
        <v>2774.1196581196582</v>
      </c>
      <c r="DW135" s="430">
        <f>1000*DW16/AVERAGE('Revenue Model'!DV379,'Revenue Model'!DW379)</f>
        <v>3170.9392971246007</v>
      </c>
      <c r="DX135" s="430">
        <f>1000*DX16/AVERAGE('Revenue Model'!DW379,'Revenue Model'!DX379)</f>
        <v>4127.684782608696</v>
      </c>
      <c r="DY135" s="430" t="e">
        <f>1000*DY16/AVERAGE('Revenue Model'!DX379,'Revenue Model'!DY379)</f>
        <v>#DIV/0!</v>
      </c>
      <c r="DZ135" s="430">
        <f>1000*DZ16/AVERAGE('Revenue Model'!DY379,'Revenue Model'!DZ379)</f>
        <v>3577.9692307692308</v>
      </c>
      <c r="EA135" s="430">
        <f>1000*EA16/AVERAGE('Revenue Model'!DZ379,'Revenue Model'!EA379)</f>
        <v>4113.19018404908</v>
      </c>
      <c r="EB135" s="430">
        <f>1000*EB16/AVERAGE('Revenue Model'!EA379,'Revenue Model'!EB379)</f>
        <v>4241.7777777777774</v>
      </c>
      <c r="EC135" s="430">
        <f>1000*EC16/AVERAGE('Revenue Model'!EB379,'Revenue Model'!EC379)</f>
        <v>5076.4301821335648</v>
      </c>
      <c r="ED135" s="430">
        <f>1000*ED16/AVERAGE('Revenue Model'!EC379,'Revenue Model'!ED379)</f>
        <v>5867.6265822784808</v>
      </c>
      <c r="EE135" s="430">
        <f>1000*EE16/AVERAGE('Revenue Model'!ED379,'Revenue Model'!EE379)</f>
        <v>6799.9944598337952</v>
      </c>
      <c r="EF135" s="430">
        <f>1000*EF16/AVERAGE('Revenue Model'!EE379,'Revenue Model'!EF379)</f>
        <v>7907.1873231465761</v>
      </c>
      <c r="EG135" s="430">
        <f>1000*EG16/AVERAGE('Revenue Model'!EF379,'Revenue Model'!EG379)</f>
        <v>7597.303370786517</v>
      </c>
      <c r="EH135" s="430">
        <f>1000*EH16/AVERAGE('Revenue Model'!EG379,'Revenue Model'!EH379)</f>
        <v>7216.2773172569705</v>
      </c>
      <c r="EI135" s="430">
        <f>1000*EI16/AVERAGE('Revenue Model'!EH379,'Revenue Model'!EI379)</f>
        <v>6701.5915119363399</v>
      </c>
      <c r="EJ135" s="430">
        <f>1000*EJ16/AVERAGE('Revenue Model'!EI379,'Revenue Model'!EJ379)</f>
        <v>7208.2962962962965</v>
      </c>
      <c r="EK135" s="430">
        <f>1000*EK16/AVERAGE('Revenue Model'!EJ379,'Revenue Model'!EK379)</f>
        <v>6957.8622816032885</v>
      </c>
      <c r="EL135" s="430">
        <f>1000*EL16/AVERAGE('Revenue Model'!EK379,'Revenue Model'!EL379)</f>
        <v>6423.1354642313545</v>
      </c>
      <c r="EM135" s="430">
        <f>1000*EM16/AVERAGE('Revenue Model'!EL379,'Revenue Model'!EM379)</f>
        <v>4641.6946525445619</v>
      </c>
      <c r="EN135" s="430">
        <f>1000*EN16/AVERAGE('Revenue Model'!EM379,'Revenue Model'!EN379)</f>
        <v>2986.6142327762232</v>
      </c>
      <c r="EO135" s="430">
        <f>1000*EO16/AVERAGE('Revenue Model'!EN379,'Revenue Model'!EO379)</f>
        <v>2555.0606285572876</v>
      </c>
      <c r="EP135" s="430">
        <f>1000*EP16/AVERAGE('Revenue Model'!EO379,'Revenue Model'!EP379)</f>
        <v>2494.9331414522994</v>
      </c>
      <c r="EQ135" s="430">
        <f>1000*EQ16/AVERAGE('Revenue Model'!EN379:EN379)</f>
        <v>2512.3634994351701</v>
      </c>
      <c r="ER135" s="974">
        <f>1000*ER16/AVERAGE('Revenue Model'!EO379:EO379)</f>
        <v>2466.7561302915701</v>
      </c>
      <c r="ES135" s="430">
        <f>1000*ES16/AVERAGE('Revenue Model'!EP379:EP379)</f>
        <v>2441.9811320754716</v>
      </c>
      <c r="ET135" s="430">
        <f>1000*ET16/AVERAGE('Revenue Model'!ER379,'Revenue Model'!ET379)</f>
        <v>2888.3326604763829</v>
      </c>
      <c r="EU135" s="430">
        <f>1000*EU16/AVERAGE('Revenue Model'!ET379,'Revenue Model'!EU379)</f>
        <v>3168.8363311139819</v>
      </c>
      <c r="EV135" s="430">
        <f>1000*EV16/AVERAGE('Revenue Model'!EV379)</f>
        <v>4304.4469783352333</v>
      </c>
      <c r="EW135" s="430">
        <f>1000*EW16/AVERAGE('Revenue Model'!EV379:EW379)</f>
        <v>4425.742574257426</v>
      </c>
      <c r="EX135" s="430">
        <f>1000*EX16/AVERAGE('Revenue Model'!EW379:EX379)</f>
        <v>4583.6125494974112</v>
      </c>
      <c r="EY135" s="430">
        <f>1000*EY16/AVERAGE('Revenue Model'!EX379:EY379)</f>
        <v>5034.8227063126096</v>
      </c>
      <c r="EZ135" s="1799">
        <f>1000*EZ16/AVERAGE('Revenue Model'!EY379:EZ379)</f>
        <v>5449.3364832243806</v>
      </c>
      <c r="FA135" s="430">
        <f>1000*FA16/AVERAGE('Revenue Model'!EZ379:FA379)</f>
        <v>6086.0736078843556</v>
      </c>
      <c r="FB135" s="430">
        <f>1000*FB16/AVERAGE('Revenue Model'!FA379:FB379)</f>
        <v>6441.7412799701351</v>
      </c>
      <c r="FC135" s="430">
        <f>1000*FC16/AVERAGE('Revenue Model'!FB379:FC379)</f>
        <v>6477.8010081224502</v>
      </c>
      <c r="FD135" s="430">
        <f>1000*FD16/AVERAGE('Revenue Model'!FC379:FD379)</f>
        <v>6530.499411866067</v>
      </c>
      <c r="FE135" s="430">
        <f>1000*FE16/AVERAGE('Revenue Model'!FD379:FE379)</f>
        <v>6582.0213629574491</v>
      </c>
      <c r="FF135" s="430">
        <f>1000*FF16/AVERAGE('Revenue Model'!FE379:FF379)</f>
        <v>6636.3655019310909</v>
      </c>
      <c r="FG135" s="430">
        <f>1000*FG16/AVERAGE('Revenue Model'!FF379:FG379)</f>
        <v>6693.6555499213637</v>
      </c>
      <c r="FH135" s="430">
        <f>1000*FH16/AVERAGE('Revenue Model'!FG379:FH379)</f>
        <v>6754.0210375998013</v>
      </c>
      <c r="FI135" s="413"/>
      <c r="FJ135"/>
      <c r="FK135"/>
      <c r="FL135"/>
      <c r="FM135"/>
      <c r="FN135"/>
      <c r="FO135"/>
      <c r="FP135" s="4"/>
      <c r="FQ135" s="4"/>
      <c r="FR135" s="4"/>
      <c r="FS135" s="430"/>
      <c r="FT135" s="430"/>
      <c r="FU135"/>
      <c r="FV135" s="430"/>
      <c r="FW135" s="430"/>
      <c r="FX135" s="430"/>
      <c r="FY13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row>
    <row r="136" spans="1:260" s="6" customFormat="1" x14ac:dyDescent="0.2">
      <c r="A136" s="1048" t="s">
        <v>150</v>
      </c>
      <c r="B136" s="418"/>
      <c r="C136" s="418"/>
      <c r="D136" s="418"/>
      <c r="E136" s="471"/>
      <c r="F136" s="419"/>
      <c r="G136" s="419"/>
      <c r="H136" s="419"/>
      <c r="I136" s="521"/>
      <c r="J136" s="419"/>
      <c r="K136" s="419">
        <f t="shared" ref="K136:AP136" si="510">(K135/G135)-1</f>
        <v>0.16459396744623311</v>
      </c>
      <c r="L136" s="419">
        <f t="shared" si="510"/>
        <v>4.1611313788190607E-2</v>
      </c>
      <c r="M136" s="521">
        <f t="shared" si="510"/>
        <v>6.8422069873802061E-2</v>
      </c>
      <c r="N136" s="419">
        <f t="shared" si="510"/>
        <v>7.6796412017668292E-2</v>
      </c>
      <c r="O136" s="419">
        <f t="shared" si="510"/>
        <v>8.3068224498766829E-2</v>
      </c>
      <c r="P136" s="419">
        <f t="shared" si="510"/>
        <v>8.7082505910417218E-2</v>
      </c>
      <c r="Q136" s="521">
        <f t="shared" si="510"/>
        <v>1.2802098427346253E-2</v>
      </c>
      <c r="R136" s="419">
        <f t="shared" si="510"/>
        <v>2.5507007492604039E-2</v>
      </c>
      <c r="S136" s="419">
        <f t="shared" si="510"/>
        <v>8.6763165794211172E-2</v>
      </c>
      <c r="T136" s="419">
        <f t="shared" si="510"/>
        <v>6.6676686837502608E-2</v>
      </c>
      <c r="U136" s="521">
        <f t="shared" si="510"/>
        <v>9.6099202107699178E-2</v>
      </c>
      <c r="V136" s="419">
        <f t="shared" si="510"/>
        <v>0.27947851983911765</v>
      </c>
      <c r="W136" s="419">
        <f t="shared" si="510"/>
        <v>0.19620858963109988</v>
      </c>
      <c r="X136" s="419">
        <f t="shared" si="510"/>
        <v>0.17796468912180141</v>
      </c>
      <c r="Y136" s="521">
        <f t="shared" si="510"/>
        <v>0.18507491239100671</v>
      </c>
      <c r="Z136" s="419">
        <f t="shared" si="510"/>
        <v>9.8793263191962799E-2</v>
      </c>
      <c r="AA136" s="419">
        <f t="shared" si="510"/>
        <v>0.18783144187634249</v>
      </c>
      <c r="AB136" s="419">
        <f t="shared" si="510"/>
        <v>0.17154726266962772</v>
      </c>
      <c r="AC136" s="521">
        <f t="shared" si="510"/>
        <v>9.1646957589289757E-2</v>
      </c>
      <c r="AD136" s="419">
        <f t="shared" si="510"/>
        <v>0.11136440211208121</v>
      </c>
      <c r="AE136" s="419">
        <f t="shared" si="510"/>
        <v>5.7280097949799824E-2</v>
      </c>
      <c r="AF136" s="419">
        <f t="shared" si="510"/>
        <v>0.13070891776267257</v>
      </c>
      <c r="AG136" s="521">
        <f t="shared" si="510"/>
        <v>0.27573337337690873</v>
      </c>
      <c r="AH136" s="419">
        <f t="shared" si="510"/>
        <v>0.22650235253206419</v>
      </c>
      <c r="AI136" s="419">
        <f t="shared" si="510"/>
        <v>9.3796181750186891E-2</v>
      </c>
      <c r="AJ136" s="419">
        <f t="shared" si="510"/>
        <v>5.2222898645850613E-2</v>
      </c>
      <c r="AK136" s="521">
        <f t="shared" si="510"/>
        <v>-8.5981174134898364E-2</v>
      </c>
      <c r="AL136" s="419">
        <f t="shared" si="510"/>
        <v>-3.1683973908126939E-2</v>
      </c>
      <c r="AM136" s="419">
        <f t="shared" si="510"/>
        <v>7.7581395348837123E-2</v>
      </c>
      <c r="AN136" s="419">
        <f t="shared" si="510"/>
        <v>7.0841565254926575E-2</v>
      </c>
      <c r="AO136" s="521">
        <f t="shared" si="510"/>
        <v>-5.187770385720003E-2</v>
      </c>
      <c r="AP136" s="419">
        <f t="shared" si="510"/>
        <v>-2.8672466796600182E-2</v>
      </c>
      <c r="AQ136" s="419">
        <f t="shared" ref="AQ136:BV136" si="511">(AQ135/AM135)-1</f>
        <v>-3.5851399858473409E-2</v>
      </c>
      <c r="AR136" s="419">
        <f t="shared" si="511"/>
        <v>7.5895994378074594E-3</v>
      </c>
      <c r="AS136" s="521">
        <f t="shared" si="511"/>
        <v>-8.7322858456604369E-3</v>
      </c>
      <c r="AT136" s="419">
        <f t="shared" si="511"/>
        <v>-7.4611019586307892E-2</v>
      </c>
      <c r="AU136" s="419">
        <f t="shared" si="511"/>
        <v>-4.4930747292951989E-2</v>
      </c>
      <c r="AV136" s="419">
        <f t="shared" si="511"/>
        <v>-8.1420663242930513E-2</v>
      </c>
      <c r="AW136" s="521">
        <f t="shared" si="511"/>
        <v>-2.6566843299096088E-2</v>
      </c>
      <c r="AX136" s="419">
        <f t="shared" si="511"/>
        <v>5.8734463784865909E-2</v>
      </c>
      <c r="AY136" s="419">
        <f t="shared" si="511"/>
        <v>6.4639290863459209E-2</v>
      </c>
      <c r="AZ136" s="419">
        <f t="shared" si="511"/>
        <v>9.2398182808434148E-2</v>
      </c>
      <c r="BA136" s="521">
        <f t="shared" si="511"/>
        <v>9.8930529455676819E-2</v>
      </c>
      <c r="BB136" s="419">
        <f t="shared" si="511"/>
        <v>-3.9848875009845131E-2</v>
      </c>
      <c r="BC136" s="419">
        <f t="shared" si="511"/>
        <v>-7.1825771324863896E-2</v>
      </c>
      <c r="BD136" s="419">
        <f t="shared" si="511"/>
        <v>-8.753705853759064E-2</v>
      </c>
      <c r="BE136" s="521">
        <f t="shared" si="511"/>
        <v>-8.3484541617710351E-2</v>
      </c>
      <c r="BF136" s="419">
        <f t="shared" si="511"/>
        <v>-8.7773482963706462E-2</v>
      </c>
      <c r="BG136" s="419">
        <f t="shared" si="511"/>
        <v>-8.3644395957084505E-2</v>
      </c>
      <c r="BH136" s="419">
        <f t="shared" si="511"/>
        <v>-2.9730049601499609E-2</v>
      </c>
      <c r="BI136" s="521">
        <f t="shared" si="511"/>
        <v>-7.0796385768729486E-2</v>
      </c>
      <c r="BJ136" s="419">
        <f t="shared" si="511"/>
        <v>2.2757794940378329E-2</v>
      </c>
      <c r="BK136" s="419">
        <f t="shared" si="511"/>
        <v>4.8384526865539623E-2</v>
      </c>
      <c r="BL136" s="419">
        <f t="shared" si="511"/>
        <v>-0.19359397592241145</v>
      </c>
      <c r="BM136" s="521">
        <f t="shared" si="511"/>
        <v>-0.51931142426448851</v>
      </c>
      <c r="BN136" s="419">
        <f t="shared" si="511"/>
        <v>-0.60099731563130654</v>
      </c>
      <c r="BO136" s="419">
        <f t="shared" si="511"/>
        <v>-0.59806287925715407</v>
      </c>
      <c r="BP136" s="419">
        <f t="shared" si="511"/>
        <v>-0.50050160784466513</v>
      </c>
      <c r="BQ136" s="521">
        <f t="shared" si="511"/>
        <v>-0.11831702283310175</v>
      </c>
      <c r="BR136" s="419">
        <f t="shared" si="511"/>
        <v>9.7067740786904499E-2</v>
      </c>
      <c r="BS136" s="419">
        <f t="shared" si="511"/>
        <v>2.0437226168246836E-2</v>
      </c>
      <c r="BT136" s="419">
        <f t="shared" si="511"/>
        <v>-1.3292633253342401E-2</v>
      </c>
      <c r="BU136" s="521">
        <f t="shared" si="511"/>
        <v>-1.2809991660363118E-2</v>
      </c>
      <c r="BV136" s="419">
        <f t="shared" si="511"/>
        <v>-3.2662137588188145E-2</v>
      </c>
      <c r="BW136" s="419">
        <f t="shared" ref="BW136:CK136" si="512">(BW135/BS135)-1</f>
        <v>-8.9606983583734312E-3</v>
      </c>
      <c r="BX136" s="419">
        <f t="shared" si="512"/>
        <v>-3.4681672874303016E-2</v>
      </c>
      <c r="BY136" s="521">
        <f t="shared" si="512"/>
        <v>-4.9085970357971576E-2</v>
      </c>
      <c r="BZ136" s="419">
        <f t="shared" si="512"/>
        <v>-2.4937142496592735E-2</v>
      </c>
      <c r="CA136" s="419">
        <f t="shared" si="512"/>
        <v>-1.9937541094933731E-2</v>
      </c>
      <c r="CB136" s="419">
        <f t="shared" si="512"/>
        <v>-2.5478324476288727E-2</v>
      </c>
      <c r="CC136" s="521">
        <f t="shared" si="512"/>
        <v>3.7035269352943434E-2</v>
      </c>
      <c r="CD136" s="419">
        <f t="shared" si="512"/>
        <v>1.4427354268442327E-2</v>
      </c>
      <c r="CE136" s="419">
        <f t="shared" si="512"/>
        <v>-1.1653689842633042E-2</v>
      </c>
      <c r="CF136" s="419">
        <f t="shared" si="512"/>
        <v>-3.0340574074409155E-2</v>
      </c>
      <c r="CG136" s="521">
        <f t="shared" si="512"/>
        <v>-4.9898553885258323E-2</v>
      </c>
      <c r="CH136" s="419">
        <f t="shared" si="512"/>
        <v>-1.2521330910872264E-2</v>
      </c>
      <c r="CI136" s="419">
        <f t="shared" si="512"/>
        <v>-5.3257451862033012E-2</v>
      </c>
      <c r="CJ136" s="419">
        <f t="shared" si="512"/>
        <v>6.9297753657988626E-3</v>
      </c>
      <c r="CK136" s="521">
        <f t="shared" si="512"/>
        <v>5.2819135355974156E-2</v>
      </c>
      <c r="CL136" s="419">
        <f>(CL135/CD135)-1</f>
        <v>0.18169148014760372</v>
      </c>
      <c r="CM136" s="419">
        <f>(CM135/CE135)-1</f>
        <v>0.80256776110817385</v>
      </c>
      <c r="CN136" s="419">
        <f>(CN135/CF135)-1</f>
        <v>0.93002487636347997</v>
      </c>
      <c r="CO136" s="521">
        <f>(CO135/CG135)-1</f>
        <v>1.0263889854685768</v>
      </c>
      <c r="CP136" s="975">
        <f t="shared" ref="CP136:CX136" si="513">(CP135/CL135)-1</f>
        <v>7.4493022288436128E-2</v>
      </c>
      <c r="CQ136" s="419">
        <f t="shared" si="513"/>
        <v>-0.26975002168068674</v>
      </c>
      <c r="CR136" s="419">
        <f t="shared" si="513"/>
        <v>-2.5592779172885383E-2</v>
      </c>
      <c r="CS136" s="521">
        <f t="shared" si="513"/>
        <v>-2.4150400161636165E-2</v>
      </c>
      <c r="CT136" s="975">
        <f t="shared" si="513"/>
        <v>0.27060232496730441</v>
      </c>
      <c r="CU136" s="419">
        <f t="shared" si="513"/>
        <v>0.21161133562463008</v>
      </c>
      <c r="CV136" s="419">
        <f t="shared" si="513"/>
        <v>-3.4829259022570946E-2</v>
      </c>
      <c r="CW136" s="521">
        <f t="shared" si="513"/>
        <v>2.5316095615635748E-2</v>
      </c>
      <c r="CX136" s="419">
        <f t="shared" si="513"/>
        <v>7.1334845520844459E-2</v>
      </c>
      <c r="CY136" s="419">
        <f t="shared" ref="CY136:DG136" si="514">(CY135/CU135)-1</f>
        <v>0.13626117206757549</v>
      </c>
      <c r="CZ136" s="419">
        <f t="shared" si="514"/>
        <v>7.611580118851502E-2</v>
      </c>
      <c r="DA136" s="521">
        <f t="shared" si="514"/>
        <v>4.5804440459727536E-2</v>
      </c>
      <c r="DB136" s="419">
        <f t="shared" si="514"/>
        <v>3.5146171206634325E-2</v>
      </c>
      <c r="DC136" s="419">
        <f t="shared" si="514"/>
        <v>1.334381737259438E-2</v>
      </c>
      <c r="DD136" s="419">
        <f t="shared" si="514"/>
        <v>3.5115004063819732E-2</v>
      </c>
      <c r="DE136" s="521">
        <f t="shared" si="514"/>
        <v>1.7583162378584261E-2</v>
      </c>
      <c r="DF136" s="419">
        <f>(DF135/DB135)-1</f>
        <v>3.4400760938490649E-2</v>
      </c>
      <c r="DG136" s="419">
        <f t="shared" si="514"/>
        <v>6.4794952601710198E-2</v>
      </c>
      <c r="DH136" s="419">
        <f t="shared" ref="DH136:DM136" si="515">(DH135/DD135)-1</f>
        <v>5.8418727757211464E-2</v>
      </c>
      <c r="DI136" s="521">
        <f t="shared" si="515"/>
        <v>0.18390487963426727</v>
      </c>
      <c r="DJ136" s="1798">
        <f t="shared" si="515"/>
        <v>0.10955403399922781</v>
      </c>
      <c r="DK136" s="419">
        <f t="shared" si="515"/>
        <v>0.19492954047651811</v>
      </c>
      <c r="DL136" s="419">
        <f t="shared" si="515"/>
        <v>0.24396077617219514</v>
      </c>
      <c r="DM136" s="521">
        <f t="shared" si="515"/>
        <v>0.2243177672602541</v>
      </c>
      <c r="DN136" s="975"/>
      <c r="DO136" s="484"/>
      <c r="DP136" s="418"/>
      <c r="DQ136" s="418"/>
      <c r="DR136" s="418"/>
      <c r="DS136" s="418"/>
      <c r="DT136" s="419">
        <f t="shared" ref="DT136:EN136" si="516">(DT135/DS135)-1</f>
        <v>-5.3770295963439518E-2</v>
      </c>
      <c r="DU136" s="419">
        <f t="shared" si="516"/>
        <v>6.9063423469453822E-2</v>
      </c>
      <c r="DV136" s="419">
        <f t="shared" si="516"/>
        <v>3.4873725586223925E-2</v>
      </c>
      <c r="DW136" s="419">
        <f t="shared" si="516"/>
        <v>0.14304344725847651</v>
      </c>
      <c r="DX136" s="419">
        <f t="shared" si="516"/>
        <v>0.30172305296152135</v>
      </c>
      <c r="DY136" s="419" t="e">
        <f t="shared" si="516"/>
        <v>#DIV/0!</v>
      </c>
      <c r="DZ136" s="419" t="e">
        <f t="shared" si="516"/>
        <v>#DIV/0!</v>
      </c>
      <c r="EA136" s="419">
        <f t="shared" si="516"/>
        <v>0.14958791391416781</v>
      </c>
      <c r="EB136" s="419">
        <f t="shared" si="516"/>
        <v>3.1262253378742111E-2</v>
      </c>
      <c r="EC136" s="419">
        <f t="shared" si="516"/>
        <v>0.19676947923308075</v>
      </c>
      <c r="ED136" s="419">
        <f t="shared" si="516"/>
        <v>0.15585684659458576</v>
      </c>
      <c r="EE136" s="419">
        <f t="shared" si="516"/>
        <v>0.15890034317645063</v>
      </c>
      <c r="EF136" s="419">
        <f t="shared" si="516"/>
        <v>0.16282261255545838</v>
      </c>
      <c r="EG136" s="419">
        <f t="shared" si="516"/>
        <v>-3.9190162025495634E-2</v>
      </c>
      <c r="EH136" s="419">
        <f t="shared" si="516"/>
        <v>-5.0152802242264594E-2</v>
      </c>
      <c r="EI136" s="419">
        <f t="shared" si="516"/>
        <v>-7.1322897207652169E-2</v>
      </c>
      <c r="EJ136" s="419">
        <f t="shared" si="516"/>
        <v>7.5609619514626525E-2</v>
      </c>
      <c r="EK136" s="419">
        <f t="shared" si="516"/>
        <v>-3.4742469565476108E-2</v>
      </c>
      <c r="EL136" s="419">
        <f t="shared" si="516"/>
        <v>-7.6852170354932303E-2</v>
      </c>
      <c r="EM136" s="419">
        <f t="shared" si="516"/>
        <v>-0.27734753869152196</v>
      </c>
      <c r="EN136" s="419">
        <f t="shared" si="516"/>
        <v>-0.35656813807453469</v>
      </c>
      <c r="EO136" s="419">
        <f>(EO135/EN135)-1</f>
        <v>-0.14449593103886826</v>
      </c>
      <c r="EP136" s="419">
        <f>(EP135/EO135)-1</f>
        <v>-2.3532704638378421E-2</v>
      </c>
      <c r="EQ136" s="419">
        <f>(EQ135/EN135)-1</f>
        <v>-0.15879209579076126</v>
      </c>
      <c r="ER136" s="975">
        <f>(ER135/EQ135)-1</f>
        <v>-1.8153172959985087E-2</v>
      </c>
      <c r="ES136" s="419">
        <f>(ES135/EP135)-1</f>
        <v>-2.1223818986189191E-2</v>
      </c>
      <c r="ET136" s="419">
        <f>(ET135/ER135)-1</f>
        <v>0.17090320563426853</v>
      </c>
      <c r="EU136" s="419">
        <f>(EU135/ET135)-1</f>
        <v>9.7116123248536912E-2</v>
      </c>
      <c r="EV136" s="419">
        <v>0.01</v>
      </c>
      <c r="EW136" s="419">
        <f t="shared" ref="EW136:FC136" si="517">(EW135/EV135)-1</f>
        <v>2.8179135794374366E-2</v>
      </c>
      <c r="EX136" s="419">
        <f t="shared" si="517"/>
        <v>3.5670844517312172E-2</v>
      </c>
      <c r="EY136" s="419">
        <f t="shared" si="517"/>
        <v>9.8439855450843661E-2</v>
      </c>
      <c r="EZ136" s="1798">
        <f t="shared" si="517"/>
        <v>8.2329369094180427E-2</v>
      </c>
      <c r="FA136" s="419">
        <f t="shared" si="517"/>
        <v>0.11684672558212394</v>
      </c>
      <c r="FB136" s="419">
        <f t="shared" si="517"/>
        <v>5.8439594227881253E-2</v>
      </c>
      <c r="FC136" s="419">
        <f t="shared" si="517"/>
        <v>5.5978231017193014E-3</v>
      </c>
      <c r="FD136" s="419">
        <f>(FD135/FC135)-1</f>
        <v>8.1352304088284644E-3</v>
      </c>
      <c r="FE136" s="419">
        <f>(FE135/FD135)-1</f>
        <v>7.8894350710398964E-3</v>
      </c>
      <c r="FF136" s="419">
        <f>(FF135/FE135)-1</f>
        <v>8.2564513204836931E-3</v>
      </c>
      <c r="FG136" s="419">
        <f>(FG135/FF135)-1</f>
        <v>8.6327445306624284E-3</v>
      </c>
      <c r="FH136" s="419">
        <f>(FH135/FG135)-1</f>
        <v>9.0183140181372412E-3</v>
      </c>
      <c r="FI136" s="413"/>
      <c r="FJ136"/>
      <c r="FK136"/>
      <c r="FL136"/>
      <c r="FM136"/>
      <c r="FN136"/>
      <c r="FO136"/>
      <c r="FP136" s="4"/>
      <c r="FQ136" s="4"/>
      <c r="FR136" s="4"/>
      <c r="FS136" s="419"/>
      <c r="FT136" s="419"/>
      <c r="FU136"/>
      <c r="FV136" s="419"/>
      <c r="FW136" s="419"/>
      <c r="FX136" s="419"/>
      <c r="FY136"/>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row>
    <row r="137" spans="1:260" s="6" customFormat="1" x14ac:dyDescent="0.2">
      <c r="A137" s="2578" t="s">
        <v>689</v>
      </c>
      <c r="B137" s="420"/>
      <c r="C137" s="420"/>
      <c r="D137" s="420"/>
      <c r="E137" s="472"/>
      <c r="F137" s="430"/>
      <c r="G137" s="430"/>
      <c r="H137" s="430"/>
      <c r="I137" s="517"/>
      <c r="J137" s="430"/>
      <c r="K137" s="430"/>
      <c r="L137" s="430"/>
      <c r="M137" s="517"/>
      <c r="N137" s="430"/>
      <c r="O137" s="430"/>
      <c r="P137" s="430"/>
      <c r="Q137" s="517"/>
      <c r="R137" s="430"/>
      <c r="S137" s="430"/>
      <c r="T137" s="430"/>
      <c r="U137" s="517"/>
      <c r="V137" s="430"/>
      <c r="W137" s="430"/>
      <c r="X137" s="430"/>
      <c r="Y137" s="517"/>
      <c r="Z137" s="430"/>
      <c r="AA137" s="430"/>
      <c r="AB137" s="430"/>
      <c r="AC137" s="517"/>
      <c r="AD137" s="430"/>
      <c r="AE137" s="430"/>
      <c r="AF137" s="430"/>
      <c r="AG137" s="517"/>
      <c r="AH137" s="430"/>
      <c r="AI137" s="430"/>
      <c r="AJ137" s="430"/>
      <c r="AK137" s="517"/>
      <c r="AL137" s="430"/>
      <c r="AM137" s="430"/>
      <c r="AN137" s="430"/>
      <c r="AO137" s="517"/>
      <c r="AP137" s="430"/>
      <c r="AQ137" s="430"/>
      <c r="AR137" s="430"/>
      <c r="AS137" s="517"/>
      <c r="AT137" s="430"/>
      <c r="AU137" s="430"/>
      <c r="AV137" s="430"/>
      <c r="AW137" s="517"/>
      <c r="AX137" s="430"/>
      <c r="AY137" s="430"/>
      <c r="AZ137" s="430"/>
      <c r="BA137" s="517"/>
      <c r="BB137" s="430"/>
      <c r="BC137" s="430"/>
      <c r="BD137" s="430"/>
      <c r="BE137" s="517"/>
      <c r="BF137" s="430"/>
      <c r="BG137" s="430"/>
      <c r="BH137" s="430"/>
      <c r="BI137" s="517"/>
      <c r="BJ137" s="430"/>
      <c r="BK137" s="430"/>
      <c r="BL137" s="430"/>
      <c r="BM137" s="517"/>
      <c r="BN137" s="430"/>
      <c r="BO137" s="430"/>
      <c r="BP137" s="430"/>
      <c r="BQ137" s="517"/>
      <c r="BR137" s="430"/>
      <c r="BS137" s="430"/>
      <c r="BT137" s="430"/>
      <c r="BU137" s="517"/>
      <c r="BV137" s="430">
        <f>1000*BV16/'Revenue Model'!BV383</f>
        <v>42.722253753676284</v>
      </c>
      <c r="BW137" s="430">
        <f>1000*BW16/'Revenue Model'!BW383</f>
        <v>44.140264533989544</v>
      </c>
      <c r="BX137" s="430">
        <f>1000*BX16/'Revenue Model'!BX383</f>
        <v>44.259466044056438</v>
      </c>
      <c r="BY137" s="517">
        <f>1000*BY16/'Revenue Model'!BY383</f>
        <v>45.699783182345328</v>
      </c>
      <c r="BZ137" s="430">
        <f>1000*BZ16/'Revenue Model'!BZ383</f>
        <v>43.075431452581931</v>
      </c>
      <c r="CA137" s="430">
        <f>1000*CA16/'Revenue Model'!CA383</f>
        <v>42.748922498924692</v>
      </c>
      <c r="CB137" s="430">
        <f>1000*CB16/'Revenue Model'!CB383</f>
        <v>42.423558614464625</v>
      </c>
      <c r="CC137" s="517">
        <f>1000*CC16/'Revenue Model'!CC383</f>
        <v>46.591830048454121</v>
      </c>
      <c r="CD137" s="430">
        <f>1000*CD16/'Revenue Model'!CD383</f>
        <v>42.257881430266757</v>
      </c>
      <c r="CE137" s="430">
        <f>1000*CE16/'Revenue Model'!CE383</f>
        <v>42.756075053829591</v>
      </c>
      <c r="CF137" s="430">
        <f>1000*CF16/'Revenue Model'!CF383</f>
        <v>41.823165160897368</v>
      </c>
      <c r="CG137" s="517">
        <f>1000*CG16/'Revenue Model'!CG383</f>
        <v>45.027480377161872</v>
      </c>
      <c r="CH137" s="430">
        <f>1000*CH16/'Revenue Model'!CH383</f>
        <v>42.201588844568093</v>
      </c>
      <c r="CI137" s="430">
        <f>1000*CI16/'Revenue Model'!CI383</f>
        <v>41.286654596524478</v>
      </c>
      <c r="CJ137" s="430">
        <f>1000*CJ16/'Revenue Model'!CJ383</f>
        <v>43.344604980018445</v>
      </c>
      <c r="CK137" s="517">
        <f>1000*CK16/'Revenue Model'!CK383</f>
        <v>49.324335985364925</v>
      </c>
      <c r="CL137" s="430">
        <f>1000*CL16/'Revenue Model'!CL383</f>
        <v>40.743060684535777</v>
      </c>
      <c r="CM137" s="430">
        <f>1000*CM16/'Revenue Model'!CM383</f>
        <v>42.591530837906461</v>
      </c>
      <c r="CN137" s="430">
        <f>1000*CN16/'Revenue Model'!CN383</f>
        <v>44.899631298648096</v>
      </c>
      <c r="CO137" s="517">
        <f>1000*CO16/'Revenue Model'!CO383</f>
        <v>51.128436602379978</v>
      </c>
      <c r="CP137" s="974">
        <f>1000*CP16/'Revenue Model'!CP383</f>
        <v>35.832092435866024</v>
      </c>
      <c r="CQ137" s="430">
        <f>1000*CQ16/'Revenue Model'!CQ383</f>
        <v>39.192399049881239</v>
      </c>
      <c r="CR137" s="430">
        <f>1000*CR16/'Revenue Model'!CR383</f>
        <v>40.106513723883651</v>
      </c>
      <c r="CS137" s="517">
        <f>1000*CS16/'Revenue Model'!CS383</f>
        <v>45.116947066064832</v>
      </c>
      <c r="CT137" s="974">
        <f>1000*CT16/'Revenue Model'!CT383</f>
        <v>35.89896476925766</v>
      </c>
      <c r="CU137" s="430">
        <f>1000*CU16/'Revenue Model'!CU383</f>
        <v>35.795659570080929</v>
      </c>
      <c r="CV137" s="430">
        <f>1000*CV16/'Revenue Model'!CV383</f>
        <v>38.431737176507049</v>
      </c>
      <c r="CW137" s="1891">
        <f>1000*CW16/'Revenue Model'!CW383</f>
        <v>45.727540073727376</v>
      </c>
      <c r="CX137" s="1890">
        <f>1000*CX16/'Revenue Model'!CX383</f>
        <v>37.115891830054977</v>
      </c>
      <c r="CY137" s="1890">
        <f>1000*CY16/'Revenue Model'!CY383</f>
        <v>39.125257118111939</v>
      </c>
      <c r="CZ137" s="1890">
        <f>1000*CZ16/'Revenue Model'!CZ383</f>
        <v>40.588126943538512</v>
      </c>
      <c r="DA137" s="1891">
        <f>1000*DA16/'Revenue Model'!DA383</f>
        <v>47.158417026647662</v>
      </c>
      <c r="DB137" s="1890">
        <f>1000*DB16/'Revenue Model'!DB383</f>
        <v>37.669397442768549</v>
      </c>
      <c r="DC137" s="1890">
        <f>1000*DC16/'Revenue Model'!DC383</f>
        <v>38.820488104105507</v>
      </c>
      <c r="DD137" s="1890">
        <f>1000*DD16/'Revenue Model'!DD383</f>
        <v>41.54530966642853</v>
      </c>
      <c r="DE137" s="1891">
        <f>1000*DE16/'Revenue Model'!DE383</f>
        <v>47.18905390357115</v>
      </c>
      <c r="DF137" s="1890">
        <f>1000*DF16/'Revenue Model'!DF383</f>
        <v>38.011147287677282</v>
      </c>
      <c r="DG137" s="1890">
        <f>1000*DG16/'Revenue Model'!DG383</f>
        <v>40.257044430703999</v>
      </c>
      <c r="DH137" s="1890">
        <f>1000*DH16/'Revenue Model'!DH383</f>
        <v>42.895204262877442</v>
      </c>
      <c r="DI137" s="1891">
        <f>1000*DI16/'Revenue Model'!DI383</f>
        <v>54.487573303546498</v>
      </c>
      <c r="DJ137" s="1894">
        <f>1000*DJ16/'Revenue Model'!DJ383</f>
        <v>39.647584818564752</v>
      </c>
      <c r="DK137" s="1890">
        <f>1000*DK16/'Revenue Model'!DK383</f>
        <v>41.743062763880459</v>
      </c>
      <c r="DL137" s="1890">
        <f>1000*DL16/'Revenue Model'!DL383</f>
        <v>44.198091100065753</v>
      </c>
      <c r="DM137" s="1891">
        <f>1000*DM16/'Revenue Model'!DM383</f>
        <v>55.557807989723919</v>
      </c>
      <c r="DN137" s="1892"/>
      <c r="DO137" s="875"/>
      <c r="DP137" s="1893" t="e">
        <f>1000*DP16/'Revenue Model'!DP383</f>
        <v>#DIV/0!</v>
      </c>
      <c r="DQ137" s="1893" t="e">
        <f>1000*DQ16/'Revenue Model'!DQ383</f>
        <v>#DIV/0!</v>
      </c>
      <c r="DR137" s="1890" t="e">
        <f>1000*DR16/'Revenue Model'!DR383</f>
        <v>#DIV/0!</v>
      </c>
      <c r="DS137" s="1890" t="e">
        <f>1000*DS16/'Revenue Model'!DS383</f>
        <v>#DIV/0!</v>
      </c>
      <c r="DT137" s="1890" t="e">
        <f>1000*DT16/'Revenue Model'!DT383</f>
        <v>#DIV/0!</v>
      </c>
      <c r="DU137" s="1890" t="e">
        <f>1000*DU16/'Revenue Model'!DU383</f>
        <v>#DIV/0!</v>
      </c>
      <c r="DV137" s="1890">
        <f>1000*DV16/'Revenue Model'!DV383</f>
        <v>158.79256360078278</v>
      </c>
      <c r="DW137" s="1890">
        <f>1000*DW16/'Revenue Model'!DW383</f>
        <v>90.822108345534403</v>
      </c>
      <c r="DX137" s="1890" t="e">
        <f>1000*DX16/'Revenue Model'!DX383</f>
        <v>#DIV/0!</v>
      </c>
      <c r="DY137" s="1890" t="e">
        <f>1000*DY16/'Revenue Model'!DY383</f>
        <v>#DIV/0!</v>
      </c>
      <c r="DZ137" s="1890">
        <f>1000*DZ16/'Revenue Model'!DZ383</f>
        <v>89.493485789676214</v>
      </c>
      <c r="EA137" s="1890">
        <f>1000*EA16/'Revenue Model'!EA383</f>
        <v>91.04426941879413</v>
      </c>
      <c r="EB137" s="1890">
        <f>1000*EB16/'Revenue Model'!EB383</f>
        <v>95.703183755327146</v>
      </c>
      <c r="EC137" s="1890">
        <f>1000*EC16/'Revenue Model'!EC383</f>
        <v>112.69878311768331</v>
      </c>
      <c r="ED137" s="1890">
        <f>1000*ED16/'Revenue Model'!ED383</f>
        <v>126.10398884619309</v>
      </c>
      <c r="EE137" s="1890">
        <f>1000*EE16/'Revenue Model'!EE383</f>
        <v>142.71417608483327</v>
      </c>
      <c r="EF137" s="1890">
        <f>1000*EF16/'Revenue Model'!EF383</f>
        <v>164.81235078183244</v>
      </c>
      <c r="EG137" s="1890">
        <f>1000*EG16/'Revenue Model'!EG383</f>
        <v>166.63709311724926</v>
      </c>
      <c r="EH137" s="1890">
        <f>1000*EH16/'Revenue Model'!EH383</f>
        <v>169.18727915194347</v>
      </c>
      <c r="EI137" s="1890">
        <f>1000*EI16/'Revenue Model'!EI383</f>
        <v>164.36529769424405</v>
      </c>
      <c r="EJ137" s="1890">
        <f>1000*EJ16/'Revenue Model'!EJ383</f>
        <v>182.64333372552704</v>
      </c>
      <c r="EK137" s="1890">
        <f>1000*EK16/'Revenue Model'!EK383</f>
        <v>174.93144534845788</v>
      </c>
      <c r="EL137" s="1890">
        <f>1000*EL16/'Revenue Model'!EL383</f>
        <v>163.54053635095335</v>
      </c>
      <c r="EM137" s="1890">
        <f>1000*EM16/'Revenue Model'!EM383</f>
        <v>176.29513343799059</v>
      </c>
      <c r="EN137" s="1890">
        <f>1000*EN16/'Revenue Model'!EN383</f>
        <v>178.92669292325797</v>
      </c>
      <c r="EO137" s="1890">
        <f>1000*EO16/'Revenue Model'!EO383</f>
        <v>180.81038012370163</v>
      </c>
      <c r="EP137" s="1890">
        <f>1000*EP16/'Revenue Model'!EP383</f>
        <v>176.6914100321041</v>
      </c>
      <c r="EQ137" s="1890">
        <f>1000*EQ16/'Revenue Model'!EQ383</f>
        <v>175.25910743612647</v>
      </c>
      <c r="ER137" s="1892">
        <f>1000*ER16/'Revenue Model'!ER383</f>
        <v>171.73141274991082</v>
      </c>
      <c r="ES137" s="1890">
        <f>1000*ES16/'Revenue Model'!ES383</f>
        <v>176.93701083427322</v>
      </c>
      <c r="ET137" s="1890">
        <f>1000*ET16/'Revenue Model'!ET383</f>
        <v>168.59906113907584</v>
      </c>
      <c r="EU137" s="1890">
        <f>1000*EU16/'Revenue Model'!EU383</f>
        <v>150.29315838093623</v>
      </c>
      <c r="EV137" s="1890">
        <f>1000*EV16/'Revenue Model'!EV383</f>
        <v>155.67491778096229</v>
      </c>
      <c r="EW137" s="1890">
        <f>1000*EW16/'Revenue Model'!EW383</f>
        <v>160.62143310082436</v>
      </c>
      <c r="EX137" s="1890">
        <f>1000*EX16/'Revenue Model'!EX383</f>
        <v>164.19343575418995</v>
      </c>
      <c r="EY137" s="1890">
        <f>1000*EY16/'Revenue Model'!EY383</f>
        <v>175.74708050264198</v>
      </c>
      <c r="EZ137" s="1894">
        <f>1000*EZ16/'Revenue Model'!EZ383</f>
        <v>179.71973229139593</v>
      </c>
      <c r="FA137" s="1890">
        <f>1000*FA16/'Revenue Model'!FA383</f>
        <v>183.28723489516224</v>
      </c>
      <c r="FB137" s="1890">
        <f>1000*FB16/'Revenue Model'!FB383</f>
        <v>185.97215620902838</v>
      </c>
      <c r="FC137" s="1890">
        <f>1000*FC16/'Revenue Model'!FC383</f>
        <v>188.56695009820166</v>
      </c>
      <c r="FD137" s="1890">
        <f>1000*FD16/'Revenue Model'!FD383</f>
        <v>191.6986027017436</v>
      </c>
      <c r="FE137" s="1890">
        <f>1000*FE16/'Revenue Model'!FE383</f>
        <v>194.94964171079224</v>
      </c>
      <c r="FF137" s="1890">
        <f>1000*FF16/'Revenue Model'!FF383</f>
        <v>198.32613951888771</v>
      </c>
      <c r="FG137" s="1890">
        <f>1000*FG16/'Revenue Model'!FG383</f>
        <v>201.8344990065402</v>
      </c>
      <c r="FH137" s="1890">
        <f>1000*FH16/'Revenue Model'!FH383</f>
        <v>205.48147166160339</v>
      </c>
      <c r="FI137" s="413"/>
      <c r="FJ137"/>
      <c r="FK137"/>
      <c r="FL137"/>
      <c r="FM137"/>
      <c r="FN137"/>
      <c r="FO137"/>
      <c r="FP137" s="4"/>
      <c r="FQ137" s="4"/>
      <c r="FR137" s="4"/>
      <c r="FS137" s="430"/>
      <c r="FT137" s="430"/>
      <c r="FU137" s="1880"/>
      <c r="FV137" s="1890"/>
      <c r="FW137" s="1890"/>
      <c r="FX137" s="1890"/>
      <c r="FY137" s="1880"/>
      <c r="FZ137" s="1880"/>
      <c r="GA137" s="1880"/>
      <c r="GB137" s="1880"/>
      <c r="GC137" s="1880"/>
      <c r="GD137" s="1880"/>
      <c r="GE137" s="1880"/>
      <c r="GF137" s="1880"/>
      <c r="GG137" s="1880"/>
      <c r="GH137" s="1880"/>
      <c r="GI137" s="1880"/>
      <c r="GJ137" s="1880"/>
      <c r="GK137" s="1880"/>
      <c r="GL137" s="1880"/>
      <c r="GM137" s="1880"/>
      <c r="GN137" s="1880"/>
      <c r="GO137" s="1880"/>
      <c r="GP137" s="1880"/>
      <c r="GQ137" s="1880"/>
      <c r="GR137" s="1880"/>
      <c r="GS137" s="1880"/>
      <c r="GT137" s="1880"/>
      <c r="GU137" s="1880"/>
      <c r="GV137" s="1880"/>
      <c r="GW137" s="1880"/>
      <c r="GX137" s="1880"/>
      <c r="GY137" s="1880"/>
      <c r="GZ137" s="1880"/>
      <c r="HA137" s="1880"/>
      <c r="HB137" s="1880"/>
      <c r="HC137" s="1880"/>
      <c r="HD137" s="1880"/>
      <c r="HE137" s="1880"/>
      <c r="HF137" s="1880"/>
      <c r="HG137" s="1880"/>
      <c r="HH137" s="1880"/>
      <c r="HI137" s="1880"/>
      <c r="HJ137" s="1880"/>
      <c r="HK137" s="1880"/>
      <c r="HL137" s="1880"/>
      <c r="HM137" s="1880"/>
      <c r="HN137" s="1880"/>
      <c r="HO137" s="1880"/>
      <c r="HP137" s="1880"/>
      <c r="HQ137" s="1880"/>
      <c r="HR137" s="1880"/>
      <c r="HS137" s="1880"/>
      <c r="HT137" s="1880"/>
      <c r="HU137" s="1880"/>
      <c r="HV137" s="1880"/>
      <c r="HW137" s="1880"/>
      <c r="HX137" s="1880"/>
      <c r="HY137" s="1880"/>
      <c r="HZ137" s="1880"/>
      <c r="IA137" s="1880"/>
      <c r="IB137" s="1880"/>
      <c r="IC137" s="1880"/>
      <c r="ID137" s="1880"/>
      <c r="IE137" s="1880"/>
      <c r="IF137" s="1880"/>
      <c r="IG137" s="1880"/>
      <c r="IH137" s="1880"/>
      <c r="II137" s="1880"/>
      <c r="IJ137" s="1880"/>
      <c r="IK137" s="1880"/>
      <c r="IL137" s="1880"/>
      <c r="IM137" s="1880"/>
      <c r="IN137" s="1880"/>
      <c r="IO137" s="1880"/>
      <c r="IP137" s="1880"/>
      <c r="IQ137" s="1880"/>
      <c r="IR137" s="1880"/>
      <c r="IS137" s="1880"/>
      <c r="IT137" s="1880"/>
      <c r="IU137" s="1880"/>
      <c r="IV137" s="1880"/>
      <c r="IW137" s="1880"/>
      <c r="IX137" s="1880"/>
      <c r="IY137" s="1880"/>
      <c r="IZ137" s="1880"/>
    </row>
    <row r="138" spans="1:260" s="88" customFormat="1" x14ac:dyDescent="0.2">
      <c r="A138" s="1302" t="s">
        <v>679</v>
      </c>
      <c r="B138" s="1895"/>
      <c r="C138" s="1895"/>
      <c r="D138" s="1895"/>
      <c r="E138" s="1896"/>
      <c r="F138" s="207"/>
      <c r="G138" s="207"/>
      <c r="H138" s="207"/>
      <c r="I138" s="502"/>
      <c r="J138" s="207"/>
      <c r="K138" s="207"/>
      <c r="L138" s="207"/>
      <c r="M138" s="502"/>
      <c r="N138" s="207"/>
      <c r="O138" s="207"/>
      <c r="P138" s="207"/>
      <c r="Q138" s="502"/>
      <c r="R138" s="207"/>
      <c r="S138" s="207"/>
      <c r="T138" s="207"/>
      <c r="U138" s="502"/>
      <c r="V138" s="207"/>
      <c r="W138" s="207"/>
      <c r="X138" s="207"/>
      <c r="Y138" s="502"/>
      <c r="Z138" s="207"/>
      <c r="AA138" s="207"/>
      <c r="AB138" s="207"/>
      <c r="AC138" s="502"/>
      <c r="AD138" s="207"/>
      <c r="AE138" s="207"/>
      <c r="AF138" s="207"/>
      <c r="AG138" s="502"/>
      <c r="AH138" s="207"/>
      <c r="AI138" s="207"/>
      <c r="AJ138" s="207"/>
      <c r="AK138" s="502"/>
      <c r="AL138" s="207"/>
      <c r="AM138" s="207"/>
      <c r="AN138" s="207"/>
      <c r="AO138" s="502"/>
      <c r="AP138" s="207"/>
      <c r="AQ138" s="207"/>
      <c r="AR138" s="207"/>
      <c r="AS138" s="502"/>
      <c r="AT138" s="207"/>
      <c r="AU138" s="207"/>
      <c r="AV138" s="207"/>
      <c r="AW138" s="502"/>
      <c r="AX138" s="207"/>
      <c r="AY138" s="207"/>
      <c r="AZ138" s="207"/>
      <c r="BA138" s="502"/>
      <c r="BB138" s="207"/>
      <c r="BC138" s="207"/>
      <c r="BD138" s="207"/>
      <c r="BE138" s="502"/>
      <c r="BF138" s="207"/>
      <c r="BG138" s="207"/>
      <c r="BH138" s="207"/>
      <c r="BI138" s="502"/>
      <c r="BJ138" s="207"/>
      <c r="BK138" s="207"/>
      <c r="BL138" s="207"/>
      <c r="BM138" s="502"/>
      <c r="BN138" s="207"/>
      <c r="BO138" s="207"/>
      <c r="BP138" s="207"/>
      <c r="BQ138" s="502"/>
      <c r="BR138" s="207"/>
      <c r="BS138" s="207"/>
      <c r="BT138" s="207"/>
      <c r="BU138" s="502"/>
      <c r="BV138" s="207"/>
      <c r="BW138" s="207"/>
      <c r="BX138" s="207"/>
      <c r="BY138" s="502"/>
      <c r="BZ138" s="207"/>
      <c r="CA138" s="207"/>
      <c r="CB138" s="207"/>
      <c r="CC138" s="502"/>
      <c r="CD138" s="207"/>
      <c r="CE138" s="207"/>
      <c r="CF138" s="207"/>
      <c r="CG138" s="502"/>
      <c r="CH138" s="207"/>
      <c r="CI138" s="207"/>
      <c r="CJ138" s="207"/>
      <c r="CK138" s="502"/>
      <c r="CL138" s="207"/>
      <c r="CM138" s="207"/>
      <c r="CN138" s="207"/>
      <c r="CO138" s="502"/>
      <c r="CP138" s="977"/>
      <c r="CQ138" s="207"/>
      <c r="CR138" s="207"/>
      <c r="CS138" s="502"/>
      <c r="CT138" s="977"/>
      <c r="CU138" s="207"/>
      <c r="CV138" s="207"/>
      <c r="CW138" s="502"/>
      <c r="CX138" s="207">
        <f t="shared" ref="CX138:DD138" si="518">+IFERROR(CX137/CT137-1,"NA")</f>
        <v>3.389866723509094E-2</v>
      </c>
      <c r="CY138" s="207">
        <f t="shared" si="518"/>
        <v>9.301679555624065E-2</v>
      </c>
      <c r="CZ138" s="207">
        <f t="shared" si="518"/>
        <v>5.6109609542959848E-2</v>
      </c>
      <c r="DA138" s="502">
        <f t="shared" si="518"/>
        <v>3.1291360755755893E-2</v>
      </c>
      <c r="DB138" s="207">
        <f t="shared" si="518"/>
        <v>1.491290079322205E-2</v>
      </c>
      <c r="DC138" s="207">
        <f t="shared" si="518"/>
        <v>-7.7895721703857834E-3</v>
      </c>
      <c r="DD138" s="207">
        <f t="shared" si="518"/>
        <v>2.3582825692388898E-2</v>
      </c>
      <c r="DE138" s="502">
        <f>+IFERROR(DE137/DA137-1,"NA")</f>
        <v>6.4965872171196537E-4</v>
      </c>
      <c r="DF138" s="207">
        <f t="shared" ref="DF138:DM138" si="519">+IFERROR(DF137/DB137-1,"NA")</f>
        <v>9.0723470007174623E-3</v>
      </c>
      <c r="DG138" s="207">
        <f t="shared" si="519"/>
        <v>3.7005107270832172E-2</v>
      </c>
      <c r="DH138" s="207">
        <f t="shared" si="519"/>
        <v>3.2492105782514269E-2</v>
      </c>
      <c r="DI138" s="502">
        <f t="shared" si="519"/>
        <v>0.15466551660242156</v>
      </c>
      <c r="DJ138" s="1897">
        <f t="shared" si="519"/>
        <v>4.3051516401294787E-2</v>
      </c>
      <c r="DK138" s="207">
        <f t="shared" si="519"/>
        <v>3.6913249698059758E-2</v>
      </c>
      <c r="DL138" s="207">
        <f t="shared" si="519"/>
        <v>3.0373717984969684E-2</v>
      </c>
      <c r="DM138" s="502">
        <f t="shared" si="519"/>
        <v>1.9641812275529746E-2</v>
      </c>
      <c r="DN138" s="977"/>
      <c r="DO138" s="499"/>
      <c r="DP138" s="1895"/>
      <c r="DQ138" s="1895"/>
      <c r="DR138" s="1895"/>
      <c r="DS138" s="1895"/>
      <c r="DT138" s="207"/>
      <c r="DU138" s="207"/>
      <c r="DV138" s="207"/>
      <c r="DW138" s="207"/>
      <c r="DX138" s="207"/>
      <c r="DY138" s="207"/>
      <c r="DZ138" s="207"/>
      <c r="EA138" s="207"/>
      <c r="EB138" s="207"/>
      <c r="EC138" s="207"/>
      <c r="ED138" s="207"/>
      <c r="EE138" s="207"/>
      <c r="EF138" s="207"/>
      <c r="EG138" s="207"/>
      <c r="EH138" s="207"/>
      <c r="EI138" s="207"/>
      <c r="EJ138" s="207"/>
      <c r="EK138" s="207"/>
      <c r="EL138" s="207"/>
      <c r="EM138" s="207"/>
      <c r="EN138" s="207"/>
      <c r="EO138" s="207"/>
      <c r="EP138" s="207"/>
      <c r="EQ138" s="207"/>
      <c r="ER138" s="977"/>
      <c r="ES138" s="207"/>
      <c r="ET138" s="207"/>
      <c r="EU138" s="207"/>
      <c r="EV138" s="207">
        <f t="shared" ref="EV138:EW138" si="520">+IFERROR(EV137/EU137-1,"NA")</f>
        <v>3.5808412425436753E-2</v>
      </c>
      <c r="EW138" s="207">
        <f t="shared" si="520"/>
        <v>3.1774645462295359E-2</v>
      </c>
      <c r="EX138" s="207">
        <f>+IFERROR(EX137/EW137-1,"NA")</f>
        <v>2.2238642654392127E-2</v>
      </c>
      <c r="EY138" s="207">
        <f t="shared" ref="EY138:FH138" si="521">+IFERROR(EY137/EX137-1,"NA")</f>
        <v>7.0366057542938121E-2</v>
      </c>
      <c r="EZ138" s="1897">
        <f t="shared" si="521"/>
        <v>2.2604368603973635E-2</v>
      </c>
      <c r="FA138" s="207">
        <f t="shared" si="521"/>
        <v>1.9850366780994388E-2</v>
      </c>
      <c r="FB138" s="207">
        <f t="shared" si="521"/>
        <v>1.4648708707957203E-2</v>
      </c>
      <c r="FC138" s="207">
        <f t="shared" si="521"/>
        <v>1.3952593453058659E-2</v>
      </c>
      <c r="FD138" s="207">
        <f t="shared" si="521"/>
        <v>1.6607643078021095E-2</v>
      </c>
      <c r="FE138" s="207">
        <f t="shared" si="521"/>
        <v>1.6959116880506553E-2</v>
      </c>
      <c r="FF138" s="207">
        <f t="shared" si="521"/>
        <v>1.7319846184198351E-2</v>
      </c>
      <c r="FG138" s="207">
        <f t="shared" si="521"/>
        <v>1.7689849135183566E-2</v>
      </c>
      <c r="FH138" s="207">
        <f t="shared" si="521"/>
        <v>1.8069124322225072E-2</v>
      </c>
      <c r="FI138" s="416"/>
      <c r="FJ138"/>
      <c r="FK138"/>
      <c r="FL138"/>
      <c r="FM138"/>
      <c r="FN138"/>
      <c r="FO138"/>
      <c r="FP138" s="19"/>
      <c r="FQ138" s="19"/>
      <c r="FR138" s="19"/>
      <c r="FS138" s="207"/>
      <c r="FT138" s="207"/>
      <c r="FU138" s="19"/>
      <c r="FV138" s="207"/>
      <c r="FW138" s="207"/>
      <c r="FX138" s="207"/>
      <c r="FY138" s="19"/>
      <c r="FZ138" s="19"/>
      <c r="GA138" s="19"/>
      <c r="GB138" s="19"/>
      <c r="GC138" s="19"/>
      <c r="GD138" s="19"/>
      <c r="GE138" s="19"/>
      <c r="GF138" s="19"/>
      <c r="GG138" s="19"/>
      <c r="GH138" s="19"/>
      <c r="GI138" s="19"/>
      <c r="GJ138" s="19"/>
      <c r="GK138" s="19"/>
      <c r="GL138" s="19"/>
      <c r="GM138" s="19"/>
      <c r="GN138" s="19"/>
      <c r="GO138" s="19"/>
      <c r="GP138" s="19"/>
      <c r="GQ138" s="19"/>
      <c r="GR138" s="19"/>
      <c r="GS138" s="19"/>
      <c r="GT138" s="19"/>
      <c r="GU138" s="19"/>
      <c r="GV138" s="19"/>
      <c r="GW138" s="19"/>
      <c r="GX138" s="19"/>
      <c r="GY138" s="19"/>
      <c r="GZ138" s="19"/>
      <c r="HA138" s="19"/>
      <c r="HB138" s="19"/>
      <c r="HC138" s="19"/>
      <c r="HD138" s="19"/>
      <c r="HE138" s="19"/>
      <c r="HF138" s="19"/>
      <c r="HG138" s="19"/>
      <c r="HH138" s="19"/>
      <c r="HI138" s="19"/>
      <c r="HJ138" s="19"/>
      <c r="HK138" s="19"/>
      <c r="HL138" s="19"/>
      <c r="HM138" s="19"/>
      <c r="HN138" s="19"/>
      <c r="HO138" s="19"/>
      <c r="HP138" s="19"/>
      <c r="HQ138" s="19"/>
      <c r="HR138" s="19"/>
      <c r="HS138" s="19"/>
      <c r="HT138" s="19"/>
      <c r="HU138" s="19"/>
      <c r="HV138" s="19"/>
      <c r="HW138" s="19"/>
      <c r="HX138" s="19"/>
      <c r="HY138" s="19"/>
      <c r="HZ138" s="19"/>
      <c r="IA138" s="19"/>
      <c r="IB138" s="19"/>
      <c r="IC138" s="19"/>
      <c r="ID138" s="19"/>
      <c r="IE138" s="19"/>
      <c r="IF138" s="19"/>
      <c r="IG138" s="19"/>
      <c r="IH138" s="19"/>
      <c r="II138" s="19"/>
      <c r="IJ138" s="19"/>
      <c r="IK138" s="19"/>
      <c r="IL138" s="19"/>
      <c r="IM138" s="19"/>
      <c r="IN138" s="19"/>
      <c r="IO138" s="19"/>
      <c r="IP138" s="19"/>
      <c r="IQ138" s="19"/>
      <c r="IR138" s="19"/>
      <c r="IS138" s="19"/>
      <c r="IT138" s="19"/>
      <c r="IU138" s="19"/>
      <c r="IV138" s="19"/>
      <c r="IW138" s="19"/>
      <c r="IX138" s="19"/>
      <c r="IY138" s="19"/>
      <c r="IZ138" s="19"/>
    </row>
    <row r="139" spans="1:260" s="1505" customFormat="1" hidden="1" outlineLevel="1" x14ac:dyDescent="0.2">
      <c r="A139" s="1048" t="s">
        <v>151</v>
      </c>
      <c r="B139" s="418"/>
      <c r="C139" s="418"/>
      <c r="D139" s="418"/>
      <c r="E139" s="471"/>
      <c r="F139" s="432" t="s">
        <v>154</v>
      </c>
      <c r="G139" s="432" t="s">
        <v>154</v>
      </c>
      <c r="H139" s="432" t="s">
        <v>154</v>
      </c>
      <c r="I139" s="522" t="s">
        <v>154</v>
      </c>
      <c r="J139" s="432" t="s">
        <v>154</v>
      </c>
      <c r="K139" s="432" t="s">
        <v>154</v>
      </c>
      <c r="L139" s="432" t="s">
        <v>154</v>
      </c>
      <c r="M139" s="522" t="s">
        <v>154</v>
      </c>
      <c r="N139" s="432" t="s">
        <v>154</v>
      </c>
      <c r="O139" s="432" t="s">
        <v>154</v>
      </c>
      <c r="P139" s="432" t="s">
        <v>154</v>
      </c>
      <c r="Q139" s="522" t="s">
        <v>154</v>
      </c>
      <c r="R139" s="432" t="s">
        <v>154</v>
      </c>
      <c r="S139" s="432" t="s">
        <v>154</v>
      </c>
      <c r="T139" s="432" t="s">
        <v>154</v>
      </c>
      <c r="U139" s="522" t="s">
        <v>154</v>
      </c>
      <c r="V139" s="432" t="s">
        <v>154</v>
      </c>
      <c r="W139" s="432" t="s">
        <v>154</v>
      </c>
      <c r="X139" s="432" t="s">
        <v>154</v>
      </c>
      <c r="Y139" s="522" t="s">
        <v>154</v>
      </c>
      <c r="Z139" s="432" t="s">
        <v>154</v>
      </c>
      <c r="AA139" s="432" t="s">
        <v>154</v>
      </c>
      <c r="AB139" s="432" t="s">
        <v>154</v>
      </c>
      <c r="AC139" s="522" t="s">
        <v>154</v>
      </c>
      <c r="AD139" s="432" t="s">
        <v>154</v>
      </c>
      <c r="AE139" s="432" t="s">
        <v>154</v>
      </c>
      <c r="AF139" s="432" t="s">
        <v>154</v>
      </c>
      <c r="AG139" s="522" t="s">
        <v>154</v>
      </c>
      <c r="AH139" s="432" t="s">
        <v>154</v>
      </c>
      <c r="AI139" s="432" t="s">
        <v>154</v>
      </c>
      <c r="AJ139" s="432" t="s">
        <v>154</v>
      </c>
      <c r="AK139" s="522" t="s">
        <v>154</v>
      </c>
      <c r="AL139" s="432" t="s">
        <v>154</v>
      </c>
      <c r="AM139" s="432" t="s">
        <v>154</v>
      </c>
      <c r="AN139" s="432" t="s">
        <v>154</v>
      </c>
      <c r="AO139" s="522" t="s">
        <v>154</v>
      </c>
      <c r="AP139" s="432" t="s">
        <v>154</v>
      </c>
      <c r="AQ139" s="432" t="s">
        <v>154</v>
      </c>
      <c r="AR139" s="432" t="s">
        <v>154</v>
      </c>
      <c r="AS139" s="522" t="s">
        <v>154</v>
      </c>
      <c r="AT139" s="432" t="s">
        <v>154</v>
      </c>
      <c r="AU139" s="432" t="s">
        <v>154</v>
      </c>
      <c r="AV139" s="432" t="s">
        <v>154</v>
      </c>
      <c r="AW139" s="522" t="s">
        <v>154</v>
      </c>
      <c r="AX139" s="432" t="s">
        <v>154</v>
      </c>
      <c r="AY139" s="432" t="s">
        <v>154</v>
      </c>
      <c r="AZ139" s="432" t="s">
        <v>154</v>
      </c>
      <c r="BA139" s="522" t="s">
        <v>154</v>
      </c>
      <c r="BB139" s="432" t="s">
        <v>154</v>
      </c>
      <c r="BC139" s="432" t="s">
        <v>154</v>
      </c>
      <c r="BD139" s="432" t="s">
        <v>154</v>
      </c>
      <c r="BE139" s="522" t="s">
        <v>154</v>
      </c>
      <c r="BF139" s="432" t="s">
        <v>154</v>
      </c>
      <c r="BG139" s="432" t="s">
        <v>154</v>
      </c>
      <c r="BH139" s="432" t="s">
        <v>154</v>
      </c>
      <c r="BI139" s="522" t="s">
        <v>154</v>
      </c>
      <c r="BJ139" s="432" t="s">
        <v>154</v>
      </c>
      <c r="BK139" s="432" t="s">
        <v>154</v>
      </c>
      <c r="BL139" s="432" t="s">
        <v>154</v>
      </c>
      <c r="BM139" s="522" t="s">
        <v>154</v>
      </c>
      <c r="BN139" s="432" t="s">
        <v>154</v>
      </c>
      <c r="BO139" s="432" t="s">
        <v>154</v>
      </c>
      <c r="BP139" s="432" t="s">
        <v>154</v>
      </c>
      <c r="BQ139" s="522" t="s">
        <v>154</v>
      </c>
      <c r="BR139" s="432" t="s">
        <v>154</v>
      </c>
      <c r="BS139" s="432" t="s">
        <v>154</v>
      </c>
      <c r="BT139" s="432" t="s">
        <v>154</v>
      </c>
      <c r="BU139" s="522" t="s">
        <v>154</v>
      </c>
      <c r="BV139" s="432" t="s">
        <v>154</v>
      </c>
      <c r="BW139" s="432" t="s">
        <v>154</v>
      </c>
      <c r="BX139" s="432" t="s">
        <v>154</v>
      </c>
      <c r="BY139" s="522" t="s">
        <v>154</v>
      </c>
      <c r="BZ139" s="432" t="s">
        <v>154</v>
      </c>
      <c r="CA139" s="432" t="s">
        <v>154</v>
      </c>
      <c r="CB139" s="432" t="s">
        <v>154</v>
      </c>
      <c r="CC139" s="522" t="s">
        <v>154</v>
      </c>
      <c r="CD139" s="432" t="s">
        <v>154</v>
      </c>
      <c r="CE139" s="432" t="s">
        <v>154</v>
      </c>
      <c r="CF139" s="432" t="s">
        <v>154</v>
      </c>
      <c r="CG139" s="522" t="s">
        <v>154</v>
      </c>
      <c r="CH139" s="432" t="s">
        <v>154</v>
      </c>
      <c r="CI139" s="432" t="s">
        <v>154</v>
      </c>
      <c r="CJ139" s="432" t="s">
        <v>154</v>
      </c>
      <c r="CK139" s="522" t="s">
        <v>154</v>
      </c>
      <c r="CL139" s="432" t="s">
        <v>154</v>
      </c>
      <c r="CM139" s="432" t="s">
        <v>154</v>
      </c>
      <c r="CN139" s="432" t="s">
        <v>154</v>
      </c>
      <c r="CO139" s="522" t="s">
        <v>154</v>
      </c>
      <c r="CP139" s="976" t="s">
        <v>154</v>
      </c>
      <c r="CQ139" s="531" t="s">
        <v>154</v>
      </c>
      <c r="CR139" s="531" t="s">
        <v>154</v>
      </c>
      <c r="CS139" s="522" t="s">
        <v>154</v>
      </c>
      <c r="CT139" s="976" t="s">
        <v>154</v>
      </c>
      <c r="CU139" s="531" t="s">
        <v>154</v>
      </c>
      <c r="CV139" s="531" t="s">
        <v>154</v>
      </c>
      <c r="CW139" s="522" t="s">
        <v>154</v>
      </c>
      <c r="CX139" s="531" t="s">
        <v>154</v>
      </c>
      <c r="CY139" s="531" t="s">
        <v>154</v>
      </c>
      <c r="CZ139" s="531" t="s">
        <v>154</v>
      </c>
      <c r="DA139" s="522" t="s">
        <v>154</v>
      </c>
      <c r="DB139" s="531" t="s">
        <v>154</v>
      </c>
      <c r="DC139" s="531" t="s">
        <v>154</v>
      </c>
      <c r="DD139" s="531" t="s">
        <v>154</v>
      </c>
      <c r="DE139" s="522" t="s">
        <v>154</v>
      </c>
      <c r="DF139" s="531" t="s">
        <v>154</v>
      </c>
      <c r="DG139" s="531" t="s">
        <v>154</v>
      </c>
      <c r="DH139" s="531" t="s">
        <v>154</v>
      </c>
      <c r="DI139" s="522" t="s">
        <v>154</v>
      </c>
      <c r="DJ139" s="2699" t="s">
        <v>154</v>
      </c>
      <c r="DK139" s="531" t="s">
        <v>154</v>
      </c>
      <c r="DL139" s="531" t="s">
        <v>154</v>
      </c>
      <c r="DM139" s="522" t="s">
        <v>154</v>
      </c>
      <c r="DN139" s="976"/>
      <c r="DO139" s="484"/>
      <c r="DP139" s="418"/>
      <c r="DQ139" s="418"/>
      <c r="DR139" s="418"/>
      <c r="DS139" s="418"/>
      <c r="DT139" s="422"/>
      <c r="DU139" s="422"/>
      <c r="DV139" s="422"/>
      <c r="DW139" s="422"/>
      <c r="DX139" s="418"/>
      <c r="DY139" s="418"/>
      <c r="DZ139" s="418"/>
      <c r="EA139" s="418"/>
      <c r="EB139" s="418"/>
      <c r="EC139" s="418"/>
      <c r="ED139" s="418"/>
      <c r="EE139" s="7"/>
      <c r="EF139" s="78"/>
      <c r="EG139" s="78"/>
      <c r="EH139" s="78"/>
      <c r="EI139" s="78"/>
      <c r="EJ139" s="78"/>
      <c r="EK139" s="78"/>
      <c r="EL139" s="78"/>
      <c r="EM139" s="422">
        <v>155000</v>
      </c>
      <c r="EN139" s="6">
        <v>180000</v>
      </c>
      <c r="EO139" s="429">
        <v>131000</v>
      </c>
      <c r="EP139" s="429">
        <v>125000</v>
      </c>
      <c r="EQ139" s="135">
        <v>180000</v>
      </c>
      <c r="ER139" s="1081">
        <v>167000</v>
      </c>
      <c r="ES139" s="429">
        <v>165000</v>
      </c>
      <c r="ET139" s="429">
        <v>165000</v>
      </c>
      <c r="EU139" s="429">
        <f>ET139*0.95</f>
        <v>156750</v>
      </c>
      <c r="EV139" s="429">
        <f>EU139*0.95</f>
        <v>148912.5</v>
      </c>
      <c r="EW139" s="429">
        <f t="shared" ref="EW139:FH139" si="522">EV139*0.95</f>
        <v>141466.875</v>
      </c>
      <c r="EX139" s="1934">
        <f t="shared" si="522"/>
        <v>134393.53125</v>
      </c>
      <c r="EY139" s="1934">
        <f t="shared" si="522"/>
        <v>127673.85468749999</v>
      </c>
      <c r="EZ139" s="1800">
        <f t="shared" si="522"/>
        <v>121290.16195312499</v>
      </c>
      <c r="FA139" s="429">
        <f t="shared" si="522"/>
        <v>115225.65385546873</v>
      </c>
      <c r="FB139" s="429">
        <f t="shared" si="522"/>
        <v>109464.37116269529</v>
      </c>
      <c r="FC139" s="429">
        <f t="shared" si="522"/>
        <v>103991.15260456051</v>
      </c>
      <c r="FD139" s="429">
        <f t="shared" si="522"/>
        <v>98791.594974332489</v>
      </c>
      <c r="FE139" s="429">
        <f t="shared" si="522"/>
        <v>93852.015225615862</v>
      </c>
      <c r="FF139" s="429">
        <f t="shared" si="522"/>
        <v>89159.414464335059</v>
      </c>
      <c r="FG139" s="429">
        <f t="shared" si="522"/>
        <v>84701.443741118303</v>
      </c>
      <c r="FH139" s="429">
        <f t="shared" si="522"/>
        <v>80466.371554062382</v>
      </c>
      <c r="FI139" s="413"/>
      <c r="FJ139"/>
      <c r="FK139"/>
      <c r="FL139"/>
      <c r="FM139"/>
      <c r="FN139"/>
      <c r="FO139"/>
      <c r="FP139" s="233"/>
      <c r="FQ139" s="233"/>
      <c r="FR139" s="233"/>
      <c r="FS139" s="1504"/>
      <c r="FT139" s="1504"/>
      <c r="FU139"/>
      <c r="FV139" s="429"/>
      <c r="FW139" s="429"/>
      <c r="FX139" s="429"/>
      <c r="FY139"/>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row>
    <row r="140" spans="1:260" s="7" customFormat="1" hidden="1" outlineLevel="1" x14ac:dyDescent="0.2">
      <c r="A140" s="1048" t="s">
        <v>152</v>
      </c>
      <c r="B140" s="420"/>
      <c r="C140" s="420"/>
      <c r="D140" s="420"/>
      <c r="E140" s="472"/>
      <c r="F140" s="432" t="s">
        <v>154</v>
      </c>
      <c r="G140" s="432" t="s">
        <v>154</v>
      </c>
      <c r="H140" s="432" t="s">
        <v>154</v>
      </c>
      <c r="I140" s="522" t="s">
        <v>154</v>
      </c>
      <c r="J140" s="432" t="s">
        <v>154</v>
      </c>
      <c r="K140" s="432" t="s">
        <v>154</v>
      </c>
      <c r="L140" s="432" t="s">
        <v>154</v>
      </c>
      <c r="M140" s="522" t="s">
        <v>154</v>
      </c>
      <c r="N140" s="432" t="s">
        <v>154</v>
      </c>
      <c r="O140" s="432" t="s">
        <v>154</v>
      </c>
      <c r="P140" s="432" t="s">
        <v>154</v>
      </c>
      <c r="Q140" s="522" t="s">
        <v>154</v>
      </c>
      <c r="R140" s="432" t="s">
        <v>154</v>
      </c>
      <c r="S140" s="432" t="s">
        <v>154</v>
      </c>
      <c r="T140" s="432" t="s">
        <v>154</v>
      </c>
      <c r="U140" s="522" t="s">
        <v>154</v>
      </c>
      <c r="V140" s="432" t="s">
        <v>154</v>
      </c>
      <c r="W140" s="432" t="s">
        <v>154</v>
      </c>
      <c r="X140" s="432" t="s">
        <v>154</v>
      </c>
      <c r="Y140" s="522" t="s">
        <v>154</v>
      </c>
      <c r="Z140" s="432" t="s">
        <v>154</v>
      </c>
      <c r="AA140" s="432" t="s">
        <v>154</v>
      </c>
      <c r="AB140" s="432" t="s">
        <v>154</v>
      </c>
      <c r="AC140" s="522" t="s">
        <v>154</v>
      </c>
      <c r="AD140" s="432" t="s">
        <v>154</v>
      </c>
      <c r="AE140" s="432" t="s">
        <v>154</v>
      </c>
      <c r="AF140" s="432" t="s">
        <v>154</v>
      </c>
      <c r="AG140" s="522" t="s">
        <v>154</v>
      </c>
      <c r="AH140" s="432" t="s">
        <v>154</v>
      </c>
      <c r="AI140" s="432" t="s">
        <v>154</v>
      </c>
      <c r="AJ140" s="432" t="s">
        <v>154</v>
      </c>
      <c r="AK140" s="522" t="s">
        <v>154</v>
      </c>
      <c r="AL140" s="432" t="s">
        <v>154</v>
      </c>
      <c r="AM140" s="432" t="s">
        <v>154</v>
      </c>
      <c r="AN140" s="432" t="s">
        <v>154</v>
      </c>
      <c r="AO140" s="522" t="s">
        <v>154</v>
      </c>
      <c r="AP140" s="432" t="s">
        <v>154</v>
      </c>
      <c r="AQ140" s="432" t="s">
        <v>154</v>
      </c>
      <c r="AR140" s="432" t="s">
        <v>154</v>
      </c>
      <c r="AS140" s="522" t="s">
        <v>154</v>
      </c>
      <c r="AT140" s="432" t="s">
        <v>154</v>
      </c>
      <c r="AU140" s="432" t="s">
        <v>154</v>
      </c>
      <c r="AV140" s="432" t="s">
        <v>154</v>
      </c>
      <c r="AW140" s="522" t="s">
        <v>154</v>
      </c>
      <c r="AX140" s="432" t="s">
        <v>154</v>
      </c>
      <c r="AY140" s="432" t="s">
        <v>154</v>
      </c>
      <c r="AZ140" s="432" t="s">
        <v>154</v>
      </c>
      <c r="BA140" s="522" t="s">
        <v>154</v>
      </c>
      <c r="BB140" s="432" t="s">
        <v>154</v>
      </c>
      <c r="BC140" s="432" t="s">
        <v>154</v>
      </c>
      <c r="BD140" s="432" t="s">
        <v>154</v>
      </c>
      <c r="BE140" s="522" t="s">
        <v>154</v>
      </c>
      <c r="BF140" s="432" t="s">
        <v>154</v>
      </c>
      <c r="BG140" s="432" t="s">
        <v>154</v>
      </c>
      <c r="BH140" s="432" t="s">
        <v>154</v>
      </c>
      <c r="BI140" s="522" t="s">
        <v>154</v>
      </c>
      <c r="BJ140" s="432" t="s">
        <v>154</v>
      </c>
      <c r="BK140" s="432" t="s">
        <v>154</v>
      </c>
      <c r="BL140" s="432" t="s">
        <v>154</v>
      </c>
      <c r="BM140" s="522" t="s">
        <v>154</v>
      </c>
      <c r="BN140" s="432" t="s">
        <v>154</v>
      </c>
      <c r="BO140" s="432" t="s">
        <v>154</v>
      </c>
      <c r="BP140" s="432" t="s">
        <v>154</v>
      </c>
      <c r="BQ140" s="522" t="s">
        <v>154</v>
      </c>
      <c r="BR140" s="432" t="s">
        <v>154</v>
      </c>
      <c r="BS140" s="432" t="s">
        <v>154</v>
      </c>
      <c r="BT140" s="432" t="s">
        <v>154</v>
      </c>
      <c r="BU140" s="522" t="s">
        <v>154</v>
      </c>
      <c r="BV140" s="432" t="s">
        <v>154</v>
      </c>
      <c r="BW140" s="432" t="s">
        <v>154</v>
      </c>
      <c r="BX140" s="432" t="s">
        <v>154</v>
      </c>
      <c r="BY140" s="522" t="s">
        <v>154</v>
      </c>
      <c r="BZ140" s="432" t="s">
        <v>154</v>
      </c>
      <c r="CA140" s="432" t="s">
        <v>154</v>
      </c>
      <c r="CB140" s="432" t="s">
        <v>154</v>
      </c>
      <c r="CC140" s="522" t="s">
        <v>154</v>
      </c>
      <c r="CD140" s="432" t="s">
        <v>154</v>
      </c>
      <c r="CE140" s="432" t="s">
        <v>154</v>
      </c>
      <c r="CF140" s="432" t="s">
        <v>154</v>
      </c>
      <c r="CG140" s="522" t="s">
        <v>154</v>
      </c>
      <c r="CH140" s="432" t="s">
        <v>154</v>
      </c>
      <c r="CI140" s="432" t="s">
        <v>154</v>
      </c>
      <c r="CJ140" s="432" t="s">
        <v>154</v>
      </c>
      <c r="CK140" s="522" t="s">
        <v>154</v>
      </c>
      <c r="CL140" s="432" t="s">
        <v>154</v>
      </c>
      <c r="CM140" s="432" t="s">
        <v>154</v>
      </c>
      <c r="CN140" s="432" t="s">
        <v>154</v>
      </c>
      <c r="CO140" s="522" t="s">
        <v>154</v>
      </c>
      <c r="CP140" s="976" t="s">
        <v>154</v>
      </c>
      <c r="CQ140" s="531" t="s">
        <v>154</v>
      </c>
      <c r="CR140" s="531" t="s">
        <v>154</v>
      </c>
      <c r="CS140" s="522" t="s">
        <v>154</v>
      </c>
      <c r="CT140" s="976" t="s">
        <v>154</v>
      </c>
      <c r="CU140" s="531" t="s">
        <v>154</v>
      </c>
      <c r="CV140" s="531" t="s">
        <v>154</v>
      </c>
      <c r="CW140" s="522" t="s">
        <v>154</v>
      </c>
      <c r="CX140" s="531" t="s">
        <v>154</v>
      </c>
      <c r="CY140" s="531" t="s">
        <v>154</v>
      </c>
      <c r="CZ140" s="531" t="s">
        <v>154</v>
      </c>
      <c r="DA140" s="522" t="s">
        <v>154</v>
      </c>
      <c r="DB140" s="531" t="s">
        <v>154</v>
      </c>
      <c r="DC140" s="531" t="s">
        <v>154</v>
      </c>
      <c r="DD140" s="531" t="s">
        <v>154</v>
      </c>
      <c r="DE140" s="522" t="s">
        <v>154</v>
      </c>
      <c r="DF140" s="531" t="s">
        <v>154</v>
      </c>
      <c r="DG140" s="531" t="s">
        <v>154</v>
      </c>
      <c r="DH140" s="531" t="s">
        <v>154</v>
      </c>
      <c r="DI140" s="522" t="s">
        <v>154</v>
      </c>
      <c r="DJ140" s="2699" t="s">
        <v>154</v>
      </c>
      <c r="DK140" s="531" t="s">
        <v>154</v>
      </c>
      <c r="DL140" s="531" t="s">
        <v>154</v>
      </c>
      <c r="DM140" s="522" t="s">
        <v>154</v>
      </c>
      <c r="DN140" s="976"/>
      <c r="DO140" s="484"/>
      <c r="DP140" s="418"/>
      <c r="DQ140" s="418"/>
      <c r="DR140" s="420"/>
      <c r="DS140" s="420"/>
      <c r="DT140" s="421"/>
      <c r="DU140" s="421"/>
      <c r="DV140" s="421"/>
      <c r="DW140" s="421"/>
      <c r="DX140" s="420"/>
      <c r="DY140" s="420"/>
      <c r="DZ140" s="420"/>
      <c r="EA140" s="421"/>
      <c r="EB140" s="421"/>
      <c r="EC140" s="421"/>
      <c r="ED140" s="421"/>
      <c r="EE140" s="421"/>
      <c r="EF140" s="421"/>
      <c r="EG140" s="421"/>
      <c r="EH140" s="421"/>
      <c r="EI140" s="421"/>
      <c r="EJ140" s="421"/>
      <c r="EK140" s="421"/>
      <c r="EL140" s="421"/>
      <c r="EM140" s="421">
        <f t="shared" ref="EM140:FH140" si="523">1000*EM17/EM139</f>
        <v>12.993548387096775</v>
      </c>
      <c r="EN140" s="925">
        <f t="shared" si="523"/>
        <v>12.705555555555556</v>
      </c>
      <c r="EO140" s="421">
        <f t="shared" si="523"/>
        <v>17.832061068702291</v>
      </c>
      <c r="EP140" s="421">
        <f t="shared" si="523"/>
        <v>18.064</v>
      </c>
      <c r="EQ140" s="421">
        <f t="shared" si="523"/>
        <v>13.983333333333333</v>
      </c>
      <c r="ER140" s="1082">
        <f t="shared" si="523"/>
        <v>13.766467065868264</v>
      </c>
      <c r="ES140" s="1083">
        <f t="shared" si="523"/>
        <v>9</v>
      </c>
      <c r="ET140" s="1083">
        <f t="shared" si="523"/>
        <v>8.9393939393939394</v>
      </c>
      <c r="EU140" s="1084">
        <f t="shared" si="523"/>
        <v>7.4194577352472093</v>
      </c>
      <c r="EV140" s="1084">
        <f t="shared" si="523"/>
        <v>10.052883404683959</v>
      </c>
      <c r="EW140" s="1084">
        <f t="shared" si="523"/>
        <v>10.638532872094617</v>
      </c>
      <c r="EX140" s="1084">
        <f t="shared" si="523"/>
        <v>12.894965880286742</v>
      </c>
      <c r="EY140" s="1084">
        <f t="shared" si="523"/>
        <v>15.351616075173576</v>
      </c>
      <c r="EZ140" s="1801">
        <f t="shared" ref="EZ140" si="524">1000*EZ17/EZ139</f>
        <v>15.914006318778007</v>
      </c>
      <c r="FA140" s="421">
        <f t="shared" si="523"/>
        <v>17.099402287577465</v>
      </c>
      <c r="FB140" s="421">
        <f t="shared" si="523"/>
        <v>18.482990072301636</v>
      </c>
      <c r="FC140" s="421">
        <f t="shared" si="523"/>
        <v>19.457014707156777</v>
      </c>
      <c r="FD140" s="421">
        <f t="shared" si="523"/>
        <v>20.564713738247487</v>
      </c>
      <c r="FE140" s="421">
        <f t="shared" si="523"/>
        <v>21.740406579338504</v>
      </c>
      <c r="FF140" s="421">
        <f t="shared" si="523"/>
        <v>22.988663104734439</v>
      </c>
      <c r="FG140" s="421">
        <f t="shared" si="523"/>
        <v>24.314386018428209</v>
      </c>
      <c r="FH140" s="421">
        <f t="shared" si="523"/>
        <v>25.722836211260422</v>
      </c>
      <c r="FI140" s="413"/>
      <c r="FJ140"/>
      <c r="FK140"/>
      <c r="FL140"/>
      <c r="FM140"/>
      <c r="FN140"/>
      <c r="FO140"/>
      <c r="FP140" s="4"/>
      <c r="FQ140" s="4"/>
      <c r="FR140" s="4"/>
      <c r="FS140" s="431"/>
      <c r="FT140" s="431"/>
      <c r="FU140"/>
      <c r="FV140" s="421"/>
      <c r="FW140" s="421"/>
      <c r="FX140" s="421"/>
      <c r="FY140"/>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row>
    <row r="141" spans="1:260" s="7" customFormat="1" hidden="1" outlineLevel="1" x14ac:dyDescent="0.2">
      <c r="A141" s="1497" t="s">
        <v>153</v>
      </c>
      <c r="B141" s="1498"/>
      <c r="C141" s="1498"/>
      <c r="D141" s="1498"/>
      <c r="E141" s="1499"/>
      <c r="F141" s="1500"/>
      <c r="G141" s="1500">
        <f>1000*G17/'Revenue Model'!G383</f>
        <v>3.1632781012091291</v>
      </c>
      <c r="H141" s="1500">
        <f>1000*H17/'Revenue Model'!H383</f>
        <v>5.6863126402393513</v>
      </c>
      <c r="I141" s="1501">
        <f>1000*I17/'Revenue Model'!I383</f>
        <v>7.160816219408173</v>
      </c>
      <c r="J141" s="1500">
        <f>1000*J17/'Revenue Model'!J383</f>
        <v>2.0436604741352578</v>
      </c>
      <c r="K141" s="1500">
        <f>1000*K17/'Revenue Model'!K383</f>
        <v>2.2742938354947695</v>
      </c>
      <c r="L141" s="1500">
        <f>1000*L17/'Revenue Model'!L383</f>
        <v>4.5800935634779858</v>
      </c>
      <c r="M141" s="1501">
        <f>1000*M17/'Revenue Model'!M383</f>
        <v>4.3759479956663023</v>
      </c>
      <c r="N141" s="1500">
        <f>1000*N17/'Revenue Model'!N383</f>
        <v>1.2138706654170437</v>
      </c>
      <c r="O141" s="1500">
        <f>1000*O17/'Revenue Model'!O383</f>
        <v>1.7847492973071146</v>
      </c>
      <c r="P141" s="1500">
        <f>1000*P17/'Revenue Model'!P383</f>
        <v>-0.27279505284855549</v>
      </c>
      <c r="Q141" s="1501">
        <f>1000*Q17/'Revenue Model'!Q383</f>
        <v>2.0260962566844731</v>
      </c>
      <c r="R141" s="1500">
        <f>1000*R17/'Revenue Model'!R383</f>
        <v>0.44550734540485448</v>
      </c>
      <c r="S141" s="1500">
        <f>1000*S17/'Revenue Model'!S383</f>
        <v>1.6661231656841735</v>
      </c>
      <c r="T141" s="1500">
        <f>1000*T17/'Revenue Model'!T383</f>
        <v>4.3244635193132952</v>
      </c>
      <c r="U141" s="1501">
        <f>1000*U17/'Revenue Model'!U383</f>
        <v>8.8109005506964575</v>
      </c>
      <c r="V141" s="1500">
        <f>1000*V17/'Revenue Model'!V383</f>
        <v>1.8305547744345885</v>
      </c>
      <c r="W141" s="1500">
        <f>1000*W17/'Revenue Model'!W383</f>
        <v>5.4475045769322623</v>
      </c>
      <c r="X141" s="1500">
        <f>1000*X17/'Revenue Model'!X383</f>
        <v>6.8801708033093245</v>
      </c>
      <c r="Y141" s="1501">
        <f>1000*Y17/'Revenue Model'!Y383</f>
        <v>12.440723915592054</v>
      </c>
      <c r="Z141" s="1500">
        <f>1000*Z17/'Revenue Model'!Z383</f>
        <v>5.2368988058284316</v>
      </c>
      <c r="AA141" s="1500">
        <f>1000*AA17/'Revenue Model'!AA383</f>
        <v>6.3269902912621356</v>
      </c>
      <c r="AB141" s="1500">
        <f>1000*AB17/'Revenue Model'!AB383</f>
        <v>8.1025810502660498</v>
      </c>
      <c r="AC141" s="1501">
        <f>1000*AC17/'Revenue Model'!AC383</f>
        <v>16.236266531027461</v>
      </c>
      <c r="AD141" s="1500">
        <f>1000*AD17/'Revenue Model'!AD383</f>
        <v>6.8392260666792621</v>
      </c>
      <c r="AE141" s="1500">
        <f>1000*AE17/'Revenue Model'!AE383</f>
        <v>7.1265290992215444</v>
      </c>
      <c r="AF141" s="1500">
        <f>1000*AF17/'Revenue Model'!AF383</f>
        <v>4.9058226094985109</v>
      </c>
      <c r="AG141" s="1501">
        <f>1000*AG17/'Revenue Model'!AG383</f>
        <v>16.037705149204356</v>
      </c>
      <c r="AH141" s="1500">
        <f>1000*AH17/'Revenue Model'!AH383</f>
        <v>4.7138188217547974</v>
      </c>
      <c r="AI141" s="1500">
        <f>1000*AI17/'Revenue Model'!AI383</f>
        <v>7.4866580671269949</v>
      </c>
      <c r="AJ141" s="1500">
        <f>1000*AJ17/'Revenue Model'!AJ383</f>
        <v>5.859375</v>
      </c>
      <c r="AK141" s="1501">
        <f>1000*AK17/'Revenue Model'!AK383</f>
        <v>23.608838817901297</v>
      </c>
      <c r="AL141" s="1500">
        <f>1000*AL17/'Revenue Model'!AL383</f>
        <v>5.2641243802411699</v>
      </c>
      <c r="AM141" s="1500">
        <f>1000*AM17/'Revenue Model'!AM383</f>
        <v>5.0965983169372997</v>
      </c>
      <c r="AN141" s="1500">
        <f>1000*AN17/'Revenue Model'!AN383</f>
        <v>5.2515098090701073</v>
      </c>
      <c r="AO141" s="1501">
        <f>1000*AO17/'Revenue Model'!AO383</f>
        <v>22.246860175575708</v>
      </c>
      <c r="AP141" s="1500">
        <f>1000*AP17/'Revenue Model'!AP383</f>
        <v>4.1205812188245501</v>
      </c>
      <c r="AQ141" s="1500">
        <f>1000*AQ17/'Revenue Model'!AQ383</f>
        <v>8.1400515418110722</v>
      </c>
      <c r="AR141" s="1500">
        <f>1000*AR17/'Revenue Model'!AR383</f>
        <v>6.9089354424967935</v>
      </c>
      <c r="AS141" s="1501">
        <f>1000*AS17/'Revenue Model'!AS383</f>
        <v>25.182064000265424</v>
      </c>
      <c r="AT141" s="1500">
        <f>1000*AT17/'Revenue Model'!AT383</f>
        <v>6.037537734610841</v>
      </c>
      <c r="AU141" s="1500">
        <f>1000*AU17/'Revenue Model'!AU383</f>
        <v>7.8444084278768234</v>
      </c>
      <c r="AV141" s="1500">
        <f>1000*AV17/'Revenue Model'!AV383</f>
        <v>7.3668900973820666</v>
      </c>
      <c r="AW141" s="1501">
        <f>1000*AW17/'Revenue Model'!AW383</f>
        <v>24.169650574144956</v>
      </c>
      <c r="AX141" s="1500">
        <f>1000*AX17/'Revenue Model'!AX383</f>
        <v>7.2903639081231129</v>
      </c>
      <c r="AY141" s="1500">
        <f>1000*AY17/'Revenue Model'!AY383</f>
        <v>7.8414877795971094</v>
      </c>
      <c r="AZ141" s="1500">
        <f>1000*AZ17/'Revenue Model'!AZ383</f>
        <v>5.4931480970165518</v>
      </c>
      <c r="BA141" s="1501">
        <f>1000*BA17/'Revenue Model'!BA383</f>
        <v>26.990457954589615</v>
      </c>
      <c r="BB141" s="1500">
        <f>1000*BB17/'Revenue Model'!BB383</f>
        <v>9.3650483335146593</v>
      </c>
      <c r="BC141" s="1500">
        <f>1000*BC17/'Revenue Model'!BC383</f>
        <v>8.486019539960024</v>
      </c>
      <c r="BD141" s="1500">
        <f>1000*BD17/'Revenue Model'!BD383</f>
        <v>4.6482397163625153</v>
      </c>
      <c r="BE141" s="1501">
        <f>1000*BE17/'Revenue Model'!BE383</f>
        <v>26.261949071237847</v>
      </c>
      <c r="BF141" s="1500">
        <f>1000*BF17/'Revenue Model'!BF383</f>
        <v>6.0435316035806785</v>
      </c>
      <c r="BG141" s="1500">
        <f>1000*BG17/'Revenue Model'!BG383</f>
        <v>8.9074491597898646</v>
      </c>
      <c r="BH141" s="1500">
        <f>1000*BH17/'Revenue Model'!BH383</f>
        <v>7.5237125555972346</v>
      </c>
      <c r="BI141" s="1501">
        <f>1000*BI17/'Revenue Model'!BI383</f>
        <v>23.722305816427127</v>
      </c>
      <c r="BJ141" s="1500">
        <f>1000*BJ17/'Revenue Model'!BJ383</f>
        <v>5.6305390682169278</v>
      </c>
      <c r="BK141" s="1500">
        <f>1000*BK17/'Revenue Model'!BK383</f>
        <v>6.7455303399627899</v>
      </c>
      <c r="BL141" s="1500">
        <f>1000*BL17/'Revenue Model'!BL383</f>
        <v>5.2672555484001196</v>
      </c>
      <c r="BM141" s="1501">
        <f>1000*BM17/'Revenue Model'!BM383</f>
        <v>20.893164180491659</v>
      </c>
      <c r="BN141" s="1500">
        <f>1000*BN17/'Revenue Model'!BN383</f>
        <v>6.3993527091512581</v>
      </c>
      <c r="BO141" s="1500">
        <f>1000*BO17/'Revenue Model'!BO383</f>
        <v>5.107904482186183</v>
      </c>
      <c r="BP141" s="1500">
        <f>1000*BP17/'Revenue Model'!BP383</f>
        <v>6.7646582588201429</v>
      </c>
      <c r="BQ141" s="1501">
        <f>1000*BQ17/'Revenue Model'!BQ383</f>
        <v>22.881898449852532</v>
      </c>
      <c r="BR141" s="1500">
        <f>1000*BR17/'Revenue Model'!BR383</f>
        <v>5.5552575379720421</v>
      </c>
      <c r="BS141" s="1500">
        <f>1000*BS17/'Revenue Model'!BS383</f>
        <v>7.2155265490998151</v>
      </c>
      <c r="BT141" s="1500">
        <f>1000*BT17/'Revenue Model'!BT383</f>
        <v>6.6829255591525705</v>
      </c>
      <c r="BU141" s="1501">
        <f>1000*BU17/'Revenue Model'!BU383</f>
        <v>21.157725932440123</v>
      </c>
      <c r="BV141" s="1500">
        <f>1000*BV17/'Revenue Model'!BV383</f>
        <v>4.8845088832705574</v>
      </c>
      <c r="BW141" s="1500">
        <f>1000*BW17/'Revenue Model'!BW383</f>
        <v>4.9386513551385898</v>
      </c>
      <c r="BX141" s="1500">
        <f>1000*BX17/'Revenue Model'!BX383</f>
        <v>5.5493520116401038</v>
      </c>
      <c r="BY141" s="1501">
        <f>1000*BY17/'Revenue Model'!BY383</f>
        <v>22.807872665848699</v>
      </c>
      <c r="BZ141" s="1500">
        <f>1000*BZ17/'Revenue Model'!BZ383</f>
        <v>7.5963266014441979</v>
      </c>
      <c r="CA141" s="1500">
        <f>1000*CA17/'Revenue Model'!CA383</f>
        <v>6.8644060357616246</v>
      </c>
      <c r="CB141" s="1500">
        <f>1000*CB17/'Revenue Model'!CB383</f>
        <v>7.4814049766097606</v>
      </c>
      <c r="CC141" s="1501">
        <f>1000*CC17/'Revenue Model'!CC383</f>
        <v>21.847464349145586</v>
      </c>
      <c r="CD141" s="1500">
        <f>1000*CD17/'Revenue Model'!CD383</f>
        <v>7.9803243726673889</v>
      </c>
      <c r="CE141" s="1500">
        <f>1000*CE17/'Revenue Model'!CE383</f>
        <v>4.4430773437232984</v>
      </c>
      <c r="CF141" s="1500">
        <f>1000*CF17/'Revenue Model'!CF383</f>
        <v>6.4460460866917062</v>
      </c>
      <c r="CG141" s="1501">
        <f>1000*CG17/'Revenue Model'!CG383</f>
        <v>20.068238734726119</v>
      </c>
      <c r="CH141" s="1500">
        <f>1000*CH17/'Revenue Model'!CH383</f>
        <v>6.5196259176080176</v>
      </c>
      <c r="CI141" s="1500">
        <f>1000*CI17/'Revenue Model'!CI383</f>
        <v>2.0981742499873093</v>
      </c>
      <c r="CJ141" s="1500">
        <f>1000*CJ17/'Revenue Model'!CJ383</f>
        <v>0.81975612255354036</v>
      </c>
      <c r="CK141" s="1501">
        <f>1000*CK17/'Revenue Model'!CK383</f>
        <v>15.94670624579328</v>
      </c>
      <c r="CL141" s="1500">
        <f>1000*CL17/'Revenue Model'!CL383</f>
        <v>7.5727120593102288</v>
      </c>
      <c r="CM141" s="1500">
        <f>1000*CM17/'Revenue Model'!CM383</f>
        <v>3.7062822507985911</v>
      </c>
      <c r="CN141" s="1500">
        <f>1000*CN17/'Revenue Model'!CN383</f>
        <v>0.73740270380991402</v>
      </c>
      <c r="CO141" s="1501">
        <f>1000*CO17/'Revenue Model'!CO383</f>
        <v>17.50102585145671</v>
      </c>
      <c r="CP141" s="1502">
        <f>1000*CP17/'Revenue Model'!CP383</f>
        <v>3.8452113923812039</v>
      </c>
      <c r="CQ141" s="1503">
        <f>1000*CQ17/'Revenue Model'!CQ383</f>
        <v>3.9929560160537307</v>
      </c>
      <c r="CR141" s="1503">
        <f>1000*CR17/'Revenue Model'!CR383</f>
        <v>2.7652601392871774</v>
      </c>
      <c r="CS141" s="1501">
        <f>1000*CS17/'Revenue Model'!CS383</f>
        <v>12.905211325400082</v>
      </c>
      <c r="CT141" s="1502">
        <f>1000*CT17/'Revenue Model'!CT383</f>
        <v>4.5439124937032886</v>
      </c>
      <c r="CU141" s="1503">
        <f>1000*CU17/'Revenue Model'!CU383</f>
        <v>4.9899479354605907</v>
      </c>
      <c r="CV141" s="1503">
        <f>1000*CV17/'Revenue Model'!CV383</f>
        <v>4.4630404463040447</v>
      </c>
      <c r="CW141" s="1501">
        <f>1000*CW17/'Revenue Model'!CW383</f>
        <v>16.940728161371826</v>
      </c>
      <c r="CX141" s="1503">
        <f>1000*CX17/'Revenue Model'!CX383</f>
        <v>4.406452911330728</v>
      </c>
      <c r="CY141" s="1503">
        <f>1000*CY17/'Revenue Model'!CY383</f>
        <v>6.019270325863376</v>
      </c>
      <c r="CZ141" s="1503">
        <f>1000*CZ17/'Revenue Model'!CZ383</f>
        <v>5.157487566771044</v>
      </c>
      <c r="DA141" s="1501">
        <f>1000*DA17/'Revenue Model'!DA383</f>
        <v>16.996180755796871</v>
      </c>
      <c r="DB141" s="1503">
        <f>1000*DB17/'Revenue Model'!DB383</f>
        <v>5.2500902359259296</v>
      </c>
      <c r="DC141" s="1503">
        <f>1000*DC17/'Revenue Model'!DC383</f>
        <v>6.3532401524777633</v>
      </c>
      <c r="DD141" s="1503">
        <f>1000*DD17/'Revenue Model'!DD383</f>
        <v>6.8802549870857836</v>
      </c>
      <c r="DE141" s="1501">
        <f>1000*DE17/'Revenue Model'!DE383</f>
        <v>19.625354193541273</v>
      </c>
      <c r="DF141" s="1503">
        <f>1000*DF17/'Revenue Model'!DF383</f>
        <v>6.6221510954141607</v>
      </c>
      <c r="DG141" s="1503">
        <f>1000*DG17/'Revenue Model'!DG383</f>
        <v>7.2873421075876692</v>
      </c>
      <c r="DH141" s="1503">
        <f>1000*DH17/'Revenue Model'!DH383</f>
        <v>7.7264653641207817</v>
      </c>
      <c r="DI141" s="1501">
        <f>1000*DI17/'Revenue Model'!DI383</f>
        <v>21.938006143535326</v>
      </c>
      <c r="DJ141" s="1802">
        <f>1000*DJ17/'Revenue Model'!DJ383</f>
        <v>6.4785893947508306</v>
      </c>
      <c r="DK141" s="1503">
        <f>1000*DK17/'Revenue Model'!DK383</f>
        <v>7.3121478491846865</v>
      </c>
      <c r="DL141" s="1503">
        <f>1000*DL17/'Revenue Model'!DL383</f>
        <v>8.1546349187629215</v>
      </c>
      <c r="DM141" s="1501">
        <f>1000*DM17/'Revenue Model'!DM383</f>
        <v>22.072373720039636</v>
      </c>
      <c r="DN141" s="1502"/>
      <c r="DO141" s="657"/>
      <c r="DP141" s="1498"/>
      <c r="DQ141" s="1498"/>
      <c r="DR141" s="1498"/>
      <c r="DS141" s="1498"/>
      <c r="DT141" s="1504"/>
      <c r="DU141" s="1504"/>
      <c r="DV141" s="1504"/>
      <c r="DW141" s="1504"/>
      <c r="DX141" s="1498"/>
      <c r="DY141" s="1498"/>
      <c r="DZ141" s="1498"/>
      <c r="EA141" s="1504"/>
      <c r="EB141" s="1504"/>
      <c r="EC141" s="1504"/>
      <c r="ED141" s="1504"/>
      <c r="EE141" s="1504"/>
      <c r="EF141" s="1504"/>
      <c r="EG141" s="1504"/>
      <c r="EH141" s="1504"/>
      <c r="EI141" s="1504"/>
      <c r="EJ141" s="1504"/>
      <c r="EK141" s="1504"/>
      <c r="EL141" s="1504"/>
      <c r="EM141" s="1504">
        <f>1000*EM17/'Revenue Model'!EM383</f>
        <v>39.521193092621665</v>
      </c>
      <c r="EN141" s="1505">
        <f>1000*EN17/'Revenue Model'!EN383</f>
        <v>41.446910434061678</v>
      </c>
      <c r="EO141" s="1504">
        <f>1000*EO17/'Revenue Model'!EO383</f>
        <v>40.907801256074286</v>
      </c>
      <c r="EP141" s="1504">
        <f>1000*EP17/'Revenue Model'!EP383</f>
        <v>38.355047476686316</v>
      </c>
      <c r="EQ141" s="1504">
        <f>1000*EQ17/'Revenue Model'!EQ383</f>
        <v>44.077455377371138</v>
      </c>
      <c r="ER141" s="1098">
        <f>1000*ER17/'Revenue Model'!ER383</f>
        <v>39.05148545124085</v>
      </c>
      <c r="ES141" s="1099">
        <f>1000*ES17/'Revenue Model'!ES383</f>
        <v>25.376807136265764</v>
      </c>
      <c r="ET141" s="1099">
        <f>1000*ET17/'Revenue Model'!ET383</f>
        <v>27.807627773693042</v>
      </c>
      <c r="EU141" s="1503">
        <f>1000*EU17/'Revenue Model'!EU383</f>
        <v>21.925607525969497</v>
      </c>
      <c r="EV141" s="1503">
        <f>1000*EV17/'Revenue Model'!EV383</f>
        <v>30.866934028887492</v>
      </c>
      <c r="EW141" s="1503">
        <f>1000*EW17/'Revenue Model'!EW383</f>
        <v>31.811456351722679</v>
      </c>
      <c r="EX141" s="1503">
        <f>1000*EX17/'Revenue Model'!EX383</f>
        <v>37.81861033519553</v>
      </c>
      <c r="EY141" s="1503">
        <f>1000*EY17/'Revenue Model'!EY383</f>
        <v>43.514941610052837</v>
      </c>
      <c r="EZ141" s="1802">
        <f>1000*EZ17/'Revenue Model'!EZ383</f>
        <v>43.616733772430194</v>
      </c>
      <c r="FA141" s="1504">
        <f>1000*FA17/'Revenue Model'!FA383</f>
        <v>45.200485842699827</v>
      </c>
      <c r="FB141" s="1504">
        <f>1000*FB17/'Revenue Model'!FB383</f>
        <v>46.756318337155641</v>
      </c>
      <c r="FC141" s="1504">
        <f>1000*FC17/'Revenue Model'!FC383</f>
        <v>47.01605238628462</v>
      </c>
      <c r="FD141" s="1504">
        <f>1000*FD17/'Revenue Model'!FD383</f>
        <v>47.406138074668455</v>
      </c>
      <c r="FE141" s="1504">
        <f>1000*FE17/'Revenue Model'!FE383</f>
        <v>47.810946795972264</v>
      </c>
      <c r="FF141" s="1504">
        <f>1000*FF17/'Revenue Model'!FF383</f>
        <v>48.231066331749169</v>
      </c>
      <c r="FG141" s="1504">
        <f>1000*FG17/'Revenue Model'!FG383</f>
        <v>48.667102095021605</v>
      </c>
      <c r="FH141" s="1504">
        <f>1000*FH17/'Revenue Model'!FH383</f>
        <v>49.119677179086601</v>
      </c>
      <c r="FI141" s="682"/>
      <c r="FJ141"/>
      <c r="FK141"/>
      <c r="FL141"/>
      <c r="FM141"/>
      <c r="FN141"/>
      <c r="FO141"/>
      <c r="FP141" s="4"/>
      <c r="FQ141" s="4"/>
      <c r="FR141" s="4"/>
      <c r="FS141" s="431"/>
      <c r="FT141" s="431"/>
      <c r="FU141"/>
      <c r="FV141" s="1504"/>
      <c r="FW141" s="1504"/>
      <c r="FX141" s="1504"/>
      <c r="FY141"/>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row>
    <row r="142" spans="1:260" s="4" customFormat="1" ht="11.25" hidden="1" customHeight="1" outlineLevel="1" x14ac:dyDescent="0.2">
      <c r="A142" s="1497" t="s">
        <v>690</v>
      </c>
      <c r="B142" s="1498"/>
      <c r="C142" s="1498"/>
      <c r="D142" s="1498"/>
      <c r="E142" s="1499"/>
      <c r="F142" s="1500"/>
      <c r="G142" s="1500">
        <f>1000*G13/'Revenue Model'!G383</f>
        <v>2.584026613780309</v>
      </c>
      <c r="H142" s="1500">
        <f>1000*H13/'Revenue Model'!H383</f>
        <v>2.6327326918642897</v>
      </c>
      <c r="I142" s="1501">
        <f>1000*I13/'Revenue Model'!I383</f>
        <v>2.5801184280825411</v>
      </c>
      <c r="J142" s="1500">
        <f>1000*J13/'Revenue Model'!J383</f>
        <v>3.0816456337673119</v>
      </c>
      <c r="K142" s="1500">
        <f>1000*K13/'Revenue Model'!K383</f>
        <v>3.0191275364327241</v>
      </c>
      <c r="L142" s="1500">
        <f>1000*L13/'Revenue Model'!L383</f>
        <v>2.9783494133830137</v>
      </c>
      <c r="M142" s="1501">
        <f>1000*M13/'Revenue Model'!M383</f>
        <v>2.7643731165438123</v>
      </c>
      <c r="N142" s="1500">
        <f>1000*N13/'Revenue Model'!N383</f>
        <v>3.3379096187085193</v>
      </c>
      <c r="O142" s="1500">
        <f>1000*O13/'Revenue Model'!O383</f>
        <v>3.1890873196871983</v>
      </c>
      <c r="P142" s="1500">
        <f>1000*P13/'Revenue Model'!P383</f>
        <v>3.0926826501512124</v>
      </c>
      <c r="Q142" s="1501">
        <f>1000*Q13/'Revenue Model'!Q383</f>
        <v>2.8790529853690772</v>
      </c>
      <c r="R142" s="1500">
        <f>1000*R13/'Revenue Model'!R383</f>
        <v>3.3023057269813405</v>
      </c>
      <c r="S142" s="1500">
        <f>1000*S13/'Revenue Model'!S383</f>
        <v>3.4505278235367567</v>
      </c>
      <c r="T142" s="1500">
        <f>1000*T13/'Revenue Model'!T383</f>
        <v>3.1962099113245164</v>
      </c>
      <c r="U142" s="1501">
        <f>1000*U13/'Revenue Model'!U383</f>
        <v>3.4720099856363356</v>
      </c>
      <c r="V142" s="1500">
        <f>1000*V13/'Revenue Model'!V383</f>
        <v>3.3677708548487324</v>
      </c>
      <c r="W142" s="1500">
        <f>1000*W13/'Revenue Model'!W383</f>
        <v>3.5476805003132581</v>
      </c>
      <c r="X142" s="1500">
        <f>1000*X13/'Revenue Model'!X383</f>
        <v>3.6443269156978491</v>
      </c>
      <c r="Y142" s="1501">
        <f>1000*Y13/'Revenue Model'!Y383</f>
        <v>3.8335290587463615</v>
      </c>
      <c r="Z142" s="1500">
        <f>1000*Z13/'Revenue Model'!Z383</f>
        <v>3.7955795486676598</v>
      </c>
      <c r="AA142" s="1500">
        <f>1000*AA13/'Revenue Model'!AA383</f>
        <v>3.4883512107001611</v>
      </c>
      <c r="AB142" s="1500">
        <f>1000*AB13/'Revenue Model'!AB383</f>
        <v>3.6362233895801137</v>
      </c>
      <c r="AC142" s="1501">
        <f>1000*AC13/'Revenue Model'!AC383</f>
        <v>4.5533320711612015</v>
      </c>
      <c r="AD142" s="1500">
        <f>1000*AD13/'Revenue Model'!AD383</f>
        <v>3.6113877756494688</v>
      </c>
      <c r="AE142" s="1500">
        <f>1000*AE13/'Revenue Model'!AE383</f>
        <v>4.0933714397096921</v>
      </c>
      <c r="AF142" s="1500">
        <f>1000*AF13/'Revenue Model'!AF383</f>
        <v>4.4433847577721872</v>
      </c>
      <c r="AG142" s="1501">
        <f>1000*AG13/'Revenue Model'!AG383</f>
        <v>5.3774520589872203</v>
      </c>
      <c r="AH142" s="1500">
        <f>1000*AH13/'Revenue Model'!AH383</f>
        <v>6.31408872548778</v>
      </c>
      <c r="AI142" s="1500">
        <f>1000*AI13/'Revenue Model'!AI383</f>
        <v>6.0982691260334914</v>
      </c>
      <c r="AJ142" s="1500">
        <f>1000*AJ13/'Revenue Model'!AJ383</f>
        <v>6.2930011265792221</v>
      </c>
      <c r="AK142" s="1501">
        <f>1000*AK13/'Revenue Model'!AK383</f>
        <v>5.8129940050632962</v>
      </c>
      <c r="AL142" s="1500">
        <f>1000*AL13/'Revenue Model'!AL383</f>
        <v>4.9231870922985683</v>
      </c>
      <c r="AM142" s="1500">
        <f>1000*AM13/'Revenue Model'!AM383</f>
        <v>4.8225876547363695</v>
      </c>
      <c r="AN142" s="1500">
        <f>1000*AN13/'Revenue Model'!AN383</f>
        <v>5.0046646475377798</v>
      </c>
      <c r="AO142" s="1501">
        <f>1000*AO13/'Revenue Model'!AO383</f>
        <v>2.3217785761986036</v>
      </c>
      <c r="AP142" s="1500">
        <f>1000*AP13/'Revenue Model'!AP383</f>
        <v>4.3059087951735959</v>
      </c>
      <c r="AQ142" s="1500">
        <f>1000*AQ13/'Revenue Model'!AQ383</f>
        <v>3.9752516212126983</v>
      </c>
      <c r="AR142" s="1500">
        <f>1000*AR13/'Revenue Model'!AR383</f>
        <v>3.866587452735379</v>
      </c>
      <c r="AS142" s="1501">
        <f>1000*AS13/'Revenue Model'!AS383</f>
        <v>4.113721085901374</v>
      </c>
      <c r="AT142" s="1500">
        <f>1000*AT13/'Revenue Model'!AT383</f>
        <v>3.6815998073844165</v>
      </c>
      <c r="AU142" s="1500">
        <f>1000*AU13/'Revenue Model'!AU383</f>
        <v>3.6369671225234192</v>
      </c>
      <c r="AV142" s="1500">
        <f>1000*AV13/'Revenue Model'!AV383</f>
        <v>3.6508286830041934</v>
      </c>
      <c r="AW142" s="1501">
        <f>1000*AW13/'Revenue Model'!AW383</f>
        <v>4.9429163771529927</v>
      </c>
      <c r="AX142" s="1500">
        <f>1000*AX13/'Revenue Model'!AX383</f>
        <v>3.8786519279457692</v>
      </c>
      <c r="AY142" s="1500">
        <f>1000*AY13/'Revenue Model'!AY383</f>
        <v>3.8202119951883358</v>
      </c>
      <c r="AZ142" s="1500">
        <f>1000*AZ13/'Revenue Model'!AZ383</f>
        <v>3.6956344340123568</v>
      </c>
      <c r="BA142" s="1501">
        <f>1000*BA13/'Revenue Model'!BA383</f>
        <v>4.7915400186802675</v>
      </c>
      <c r="BB142" s="1500">
        <f>1000*BB13/'Revenue Model'!BB383</f>
        <v>4.2261357122479986</v>
      </c>
      <c r="BC142" s="1500">
        <f>1000*BC13/'Revenue Model'!BC383</f>
        <v>3.9106901236598985</v>
      </c>
      <c r="BD142" s="1500">
        <f>1000*BD13/'Revenue Model'!BD383</f>
        <v>3.6065816009610252</v>
      </c>
      <c r="BE142" s="1501">
        <f>1000*BE13/'Revenue Model'!BE383</f>
        <v>4.6876014187285344</v>
      </c>
      <c r="BF142" s="1500">
        <f>1000*BF13/'Revenue Model'!BF383</f>
        <v>3.8536689375058986</v>
      </c>
      <c r="BG142" s="1500">
        <f>1000*BG13/'Revenue Model'!BG383</f>
        <v>3.7676818333659412</v>
      </c>
      <c r="BH142" s="1500">
        <f>1000*BH13/'Revenue Model'!BH383</f>
        <v>3.6357190850519183</v>
      </c>
      <c r="BI142" s="1501">
        <f>1000*BI13/'Revenue Model'!BI383</f>
        <v>4.6936926509385399</v>
      </c>
      <c r="BJ142" s="1500">
        <f>1000*BJ13/'Revenue Model'!BJ383</f>
        <v>4.4140549262916933</v>
      </c>
      <c r="BK142" s="1500">
        <f>1000*BK13/'Revenue Model'!BK383</f>
        <v>4.3209966302961096</v>
      </c>
      <c r="BL142" s="1500">
        <f>1000*BL13/'Revenue Model'!BL383</f>
        <v>4.1744700766798246</v>
      </c>
      <c r="BM142" s="1501">
        <f>1000*BM13/'Revenue Model'!BM383</f>
        <v>5.3820058838879419</v>
      </c>
      <c r="BN142" s="1500">
        <f>1000*BN13/'Revenue Model'!BN383</f>
        <v>4.6382576333569796</v>
      </c>
      <c r="BO142" s="1500">
        <f>1000*BO13/'Revenue Model'!BO383</f>
        <v>4.6013238453539822</v>
      </c>
      <c r="BP142" s="1500">
        <f>1000*BP13/'Revenue Model'!BP383</f>
        <v>4.5379121175677675</v>
      </c>
      <c r="BQ142" s="1501">
        <f>1000*BQ13/'Revenue Model'!BQ383</f>
        <v>5.9979411249328676</v>
      </c>
      <c r="BR142" s="1500">
        <f>1000*BR13/'Revenue Model'!BR383</f>
        <v>4.6036688174101066</v>
      </c>
      <c r="BS142" s="1500">
        <f>1000*BS13/'Revenue Model'!BS383</f>
        <v>4.5537629652937621</v>
      </c>
      <c r="BT142" s="1500">
        <f>1000*BT13/'Revenue Model'!BT383</f>
        <v>4.5024625345579352</v>
      </c>
      <c r="BU142" s="1501">
        <f>1000*BU13/'Revenue Model'!BU383</f>
        <v>5.9635844644380169</v>
      </c>
      <c r="BV142" s="1500">
        <f>1000*BV13/'Revenue Model'!BV383</f>
        <v>4.5991914597188961</v>
      </c>
      <c r="BW142" s="1500">
        <f>1000*BW13/'Revenue Model'!BW383</f>
        <v>4.5697185317754494</v>
      </c>
      <c r="BX142" s="1500">
        <f>1000*BX13/'Revenue Model'!BX383</f>
        <v>4.524257927155209</v>
      </c>
      <c r="BY142" s="1501">
        <f>1000*BY13/'Revenue Model'!BY383</f>
        <v>5.9927007869850195</v>
      </c>
      <c r="BZ142" s="1500">
        <f>1000*BZ13/'Revenue Model'!BZ383</f>
        <v>4.6036688174101066</v>
      </c>
      <c r="CA142" s="1500">
        <f>1000*CA13/'Revenue Model'!CA383</f>
        <v>4.5537629652937621</v>
      </c>
      <c r="CB142" s="1500">
        <f>1000*CB13/'Revenue Model'!CB383</f>
        <v>4.5024625345579352</v>
      </c>
      <c r="CC142" s="1501">
        <f>1000*CC13/'Revenue Model'!CC383</f>
        <v>5.9635844644380169</v>
      </c>
      <c r="CD142" s="1500">
        <f>1000*CD13/'Revenue Model'!CD383</f>
        <v>5.0521988889462186</v>
      </c>
      <c r="CE142" s="1500">
        <f>1000*CE13/'Revenue Model'!CE383</f>
        <v>5.0198229604566116</v>
      </c>
      <c r="CF142" s="1500">
        <f>1000*CF13/'Revenue Model'!CF383</f>
        <v>4.9698846140831723</v>
      </c>
      <c r="CG142" s="1501">
        <f>1000*CG13/'Revenue Model'!CG383</f>
        <v>4.9372237255659952</v>
      </c>
      <c r="CH142" s="1500">
        <f>1000*CH13/'Revenue Model'!CH383</f>
        <v>5.143555270709637</v>
      </c>
      <c r="CI142" s="1500">
        <f>1000*CI13/'Revenue Model'!CI383</f>
        <v>4.821981268921756</v>
      </c>
      <c r="CJ142" s="1500">
        <f>1000*CJ13/'Revenue Model'!CJ383</f>
        <v>4.8668625715067604</v>
      </c>
      <c r="CK142" s="1501">
        <f>1000*CK13/'Revenue Model'!CK383</f>
        <v>4.9181828868371822</v>
      </c>
      <c r="CL142" s="1500">
        <f>1000*CL13/'Revenue Model'!CL383</f>
        <v>5.7383463212916839</v>
      </c>
      <c r="CM142" s="1500">
        <f>1000*CM13/'Revenue Model'!CM383</f>
        <v>5.8353319479893289</v>
      </c>
      <c r="CN142" s="1500">
        <f>1000*CN13/'Revenue Model'!CN383</f>
        <v>5.8372443877920288</v>
      </c>
      <c r="CO142" s="1501">
        <f>1000*CO13/'Revenue Model'!CO383</f>
        <v>5.846825420845442</v>
      </c>
      <c r="CP142" s="1502">
        <f>1000*CP13/'Revenue Model'!CP383</f>
        <v>3.9960039960039961</v>
      </c>
      <c r="CQ142" s="1503">
        <f>1000*CQ13/'Revenue Model'!CQ383</f>
        <v>4.3410598738635429</v>
      </c>
      <c r="CR142" s="1503">
        <f>1000*CR13/'Revenue Model'!CR383</f>
        <v>4.3424825891028265</v>
      </c>
      <c r="CS142" s="1501">
        <f>1000*CS13/'Revenue Model'!CS383</f>
        <v>4.3496101764464505</v>
      </c>
      <c r="CT142" s="1502">
        <f>1000*CT13/'Revenue Model'!CT383</f>
        <v>4.2766235234854486</v>
      </c>
      <c r="CU142" s="1503">
        <f>1000*CU13/'Revenue Model'!CU383</f>
        <v>4.2888808701479455</v>
      </c>
      <c r="CV142" s="1503">
        <f>1000*CV13/'Revenue Model'!CV383</f>
        <v>4.2977426519964874</v>
      </c>
      <c r="CW142" s="1501">
        <f>1000*CW13/'Revenue Model'!CW383</f>
        <v>4.307666818539535</v>
      </c>
      <c r="CX142" s="1503">
        <f>1000*CX13/'Revenue Model'!CX383</f>
        <v>4.1469382566970667</v>
      </c>
      <c r="CY142" s="1503">
        <f>1000*CY13/'Revenue Model'!CY383</f>
        <v>4.2383890873660279</v>
      </c>
      <c r="CZ142" s="1503">
        <f>1000*CZ13/'Revenue Model'!CZ383</f>
        <v>4.24192517309005</v>
      </c>
      <c r="DA142" s="1501">
        <f>1000*DA13/'Revenue Model'!DA383</f>
        <v>4.2599262265649651</v>
      </c>
      <c r="DB142" s="1503">
        <f>1000*DB13/'Revenue Model'!DB383</f>
        <v>4.2328852527152812</v>
      </c>
      <c r="DC142" s="1503">
        <f>1000*DC13/'Revenue Model'!DC383</f>
        <v>4.2391447224291285</v>
      </c>
      <c r="DD142" s="1503">
        <f>1000*DD13/'Revenue Model'!DD383</f>
        <v>4.2534483706105402</v>
      </c>
      <c r="DE142" s="1501">
        <f>1000*DE13/'Revenue Model'!DE383</f>
        <v>4.2668607151126254</v>
      </c>
      <c r="DF142" s="1503">
        <f>1000*DF13/'Revenue Model'!DF383</f>
        <v>4.4518919919152706</v>
      </c>
      <c r="DG142" s="1503">
        <f>1000*DG13/'Revenue Model'!DG383</f>
        <v>4.4537107358833481</v>
      </c>
      <c r="DH142" s="1503">
        <f>1000*DH13/'Revenue Model'!DH383</f>
        <v>4.4778382984844924</v>
      </c>
      <c r="DI142" s="1501">
        <f>1000*DI13/'Revenue Model'!DI383</f>
        <v>4.5055981449593192</v>
      </c>
      <c r="DJ142" s="1802">
        <f>1000*DJ13/'Revenue Model'!DJ383</f>
        <v>4.67616593301112</v>
      </c>
      <c r="DK142" s="1503">
        <f>1000*DK13/'Revenue Model'!DK383</f>
        <v>4.7255987191525604</v>
      </c>
      <c r="DL142" s="1503">
        <f>1000*DL13/'Revenue Model'!DL383</f>
        <v>4.7381799754128542</v>
      </c>
      <c r="DM142" s="1501">
        <f>1000*DM13/'Revenue Model'!DM383</f>
        <v>4.7412383731522407</v>
      </c>
      <c r="DN142" s="1502"/>
      <c r="DO142" s="657"/>
      <c r="DP142" s="1498"/>
      <c r="DQ142" s="1498"/>
      <c r="DR142" s="1498"/>
      <c r="DS142" s="1498"/>
      <c r="DT142" s="1504"/>
      <c r="DU142" s="1504"/>
      <c r="DV142" s="1504"/>
      <c r="DW142" s="1504"/>
      <c r="DX142" s="1498"/>
      <c r="DY142" s="1498"/>
      <c r="DZ142" s="1498"/>
      <c r="EA142" s="1504"/>
      <c r="EB142" s="1504"/>
      <c r="EC142" s="1504"/>
      <c r="ED142" s="1504">
        <f>1000*ED13/'Revenue Model'!ED383</f>
        <v>15.506512054952902</v>
      </c>
      <c r="EE142" s="1504">
        <f>1000*EE13/'Revenue Model'!EE383</f>
        <v>17.423898888423796</v>
      </c>
      <c r="EF142" s="1504">
        <f>1000*EF13/'Revenue Model'!EF383</f>
        <v>24.535477356585417</v>
      </c>
      <c r="EG142" s="1504">
        <f>1000*EG13/'Revenue Model'!EG383</f>
        <v>17.34981565820863</v>
      </c>
      <c r="EH142" s="1504">
        <f>1000*EH13/'Revenue Model'!EH383</f>
        <v>16.537102473498233</v>
      </c>
      <c r="EI142" s="1504">
        <f>1000*EI13/'Revenue Model'!EI383</f>
        <v>16.264129991514352</v>
      </c>
      <c r="EJ142" s="1504">
        <f>1000*EJ13/'Revenue Model'!EJ383</f>
        <v>16.546609155337947</v>
      </c>
      <c r="EK142" s="1504">
        <f>1000*EK13/'Revenue Model'!EK383</f>
        <v>17.028038771733197</v>
      </c>
      <c r="EL142" s="1504">
        <f>1000*EL13/'Revenue Model'!EL383</f>
        <v>16.276546271895832</v>
      </c>
      <c r="EM142" s="1504">
        <f>1000*EM13/'Revenue Model'!EM383</f>
        <v>18.46546310832025</v>
      </c>
      <c r="EN142" s="1505">
        <f>1000*EN13/'Revenue Model'!EN383</f>
        <v>19.808252341245918</v>
      </c>
      <c r="EO142" s="1504">
        <f>1000*EO13/'Revenue Model'!EO383</f>
        <v>19.683376974241224</v>
      </c>
      <c r="EP142" s="1504">
        <f>1000*EP13/'Revenue Model'!EP383</f>
        <v>19.683376974241224</v>
      </c>
      <c r="EQ142" s="1504">
        <f>1000*EQ13/'Revenue Model'!EQ383</f>
        <v>19.683376974241224</v>
      </c>
      <c r="ER142" s="1098">
        <f>1000*ER13/'Revenue Model'!ER383</f>
        <v>19.958893173209219</v>
      </c>
      <c r="ES142" s="1099">
        <f>1000*ES13/'Revenue Model'!ES383</f>
        <v>19.854030927546766</v>
      </c>
      <c r="ET142" s="1099">
        <f>1000*ET13/'Revenue Model'!ET383</f>
        <v>21.903327146243267</v>
      </c>
      <c r="EU142" s="1503">
        <f>1000*EU13/'Revenue Model'!EU383</f>
        <v>15.98702939124861</v>
      </c>
      <c r="EV142" s="1503">
        <f>1000*EV13/'Revenue Model'!EV383</f>
        <v>17.155169747517963</v>
      </c>
      <c r="EW142" s="1503">
        <f>1000*EW13/'Revenue Model'!EW383</f>
        <v>16.550412175015854</v>
      </c>
      <c r="EX142" s="1503">
        <f>1000*EX13/'Revenue Model'!EX383</f>
        <v>16.890712290502794</v>
      </c>
      <c r="EY142" s="1503">
        <f>1000*EY13/'Revenue Model'!EY383</f>
        <v>17.910557876092675</v>
      </c>
      <c r="EZ142" s="1802">
        <f>1000*EZ13/'Revenue Model'!EZ383</f>
        <v>18.741248936480744</v>
      </c>
      <c r="FA142" s="1504">
        <f>1000*FA13/'Revenue Model'!FA383</f>
        <v>19.218473137950493</v>
      </c>
      <c r="FB142" s="1504">
        <f>1000*FB13/'Revenue Model'!FB383</f>
        <v>19.552127160432143</v>
      </c>
      <c r="FC142" s="1504">
        <f>1000*FC13/'Revenue Model'!FC383</f>
        <v>19.830734262318021</v>
      </c>
      <c r="FD142" s="1504">
        <f>1000*FD13/'Revenue Model'!FD383</f>
        <v>20.166686025562324</v>
      </c>
      <c r="FE142" s="1504">
        <f>1000*FE13/'Revenue Model'!FE383</f>
        <v>20.515367310615655</v>
      </c>
      <c r="FF142" s="1504">
        <f>1000*FF13/'Revenue Model'!FF383</f>
        <v>20.877423754251858</v>
      </c>
      <c r="FG142" s="1504">
        <f>1000*FG13/'Revenue Model'!FG383</f>
        <v>21.253536103873802</v>
      </c>
      <c r="FH142" s="1504">
        <f>1000*FH13/'Revenue Model'!FH383</f>
        <v>21.644422142480135</v>
      </c>
      <c r="FI142" s="682"/>
      <c r="FJ142"/>
      <c r="FK142"/>
      <c r="FL142"/>
      <c r="FM142"/>
      <c r="FN142"/>
      <c r="FO142"/>
      <c r="FS142"/>
      <c r="FT142"/>
      <c r="FU142"/>
      <c r="FV142" s="1504"/>
      <c r="FW142" s="1504"/>
      <c r="FX142" s="1504"/>
      <c r="FY142"/>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row>
    <row r="143" spans="1:260" s="19" customFormat="1" ht="11.25" hidden="1" customHeight="1" outlineLevel="1" x14ac:dyDescent="0.2">
      <c r="A143" s="2579" t="s">
        <v>726</v>
      </c>
      <c r="B143" s="2203"/>
      <c r="C143" s="2203"/>
      <c r="D143" s="2203"/>
      <c r="E143" s="2203"/>
      <c r="F143" s="2204"/>
      <c r="G143" s="2204"/>
      <c r="H143" s="2204"/>
      <c r="I143" s="2205"/>
      <c r="J143" s="2204"/>
      <c r="K143" s="2204"/>
      <c r="L143" s="2204"/>
      <c r="M143" s="2205"/>
      <c r="N143" s="2204"/>
      <c r="O143" s="2204"/>
      <c r="P143" s="2204"/>
      <c r="Q143" s="2205"/>
      <c r="R143" s="2204"/>
      <c r="S143" s="2204"/>
      <c r="T143" s="2204"/>
      <c r="U143" s="2205"/>
      <c r="V143" s="2204"/>
      <c r="W143" s="2204"/>
      <c r="X143" s="2204"/>
      <c r="Y143" s="2205"/>
      <c r="Z143" s="2204"/>
      <c r="AA143" s="2204"/>
      <c r="AB143" s="2204"/>
      <c r="AC143" s="2205"/>
      <c r="AD143" s="2204"/>
      <c r="AE143" s="2204"/>
      <c r="AF143" s="2204"/>
      <c r="AG143" s="2205"/>
      <c r="AH143" s="2204"/>
      <c r="AI143" s="2204"/>
      <c r="AJ143" s="2204"/>
      <c r="AK143" s="2205"/>
      <c r="AL143" s="2204"/>
      <c r="AM143" s="2204"/>
      <c r="AN143" s="2204"/>
      <c r="AO143" s="2205"/>
      <c r="AP143" s="2204"/>
      <c r="AQ143" s="2204"/>
      <c r="AR143" s="2204"/>
      <c r="AS143" s="2205"/>
      <c r="AT143" s="2204"/>
      <c r="AU143" s="2204"/>
      <c r="AV143" s="2204"/>
      <c r="AW143" s="2205"/>
      <c r="AX143" s="2204"/>
      <c r="AY143" s="2204"/>
      <c r="AZ143" s="2204"/>
      <c r="BA143" s="2205"/>
      <c r="BB143" s="2204"/>
      <c r="BC143" s="2204"/>
      <c r="BD143" s="2204"/>
      <c r="BE143" s="2205"/>
      <c r="BF143" s="2204"/>
      <c r="BG143" s="2204"/>
      <c r="BH143" s="2204"/>
      <c r="BI143" s="2205"/>
      <c r="BJ143" s="2204"/>
      <c r="BK143" s="2204"/>
      <c r="BL143" s="2204"/>
      <c r="BM143" s="2205"/>
      <c r="BN143" s="2204"/>
      <c r="BO143" s="2204"/>
      <c r="BP143" s="2204"/>
      <c r="BQ143" s="2205"/>
      <c r="BR143" s="2204"/>
      <c r="BS143" s="2204"/>
      <c r="BT143" s="2204"/>
      <c r="BU143" s="2205"/>
      <c r="BV143" s="2204"/>
      <c r="BW143" s="2204"/>
      <c r="BX143" s="2204"/>
      <c r="BY143" s="2205"/>
      <c r="BZ143" s="2204"/>
      <c r="CA143" s="2204"/>
      <c r="CB143" s="2204"/>
      <c r="CC143" s="2205"/>
      <c r="CD143" s="2204"/>
      <c r="CE143" s="2204"/>
      <c r="CF143" s="2204"/>
      <c r="CG143" s="2205"/>
      <c r="CH143" s="2204"/>
      <c r="CI143" s="2204"/>
      <c r="CJ143" s="2204"/>
      <c r="CK143" s="2205"/>
      <c r="CL143" s="2204"/>
      <c r="CM143" s="2204"/>
      <c r="CN143" s="2204"/>
      <c r="CO143" s="2205"/>
      <c r="CP143" s="2205"/>
      <c r="CQ143" s="2205"/>
      <c r="CR143" s="2205"/>
      <c r="CS143" s="2205"/>
      <c r="CT143" s="2205"/>
      <c r="CU143" s="2205"/>
      <c r="CV143" s="2205"/>
      <c r="CW143" s="2206"/>
      <c r="CX143" s="2207"/>
      <c r="CY143" s="2207"/>
      <c r="CZ143" s="2207"/>
      <c r="DA143" s="2208"/>
      <c r="DB143" s="2207">
        <f>+IFERROR(DB142/CX142-1,"NA")</f>
        <v>2.0725410097296448E-2</v>
      </c>
      <c r="DC143" s="2207">
        <f t="shared" ref="DC143:DM143" si="525">+IFERROR(DC142/CY142-1,"NA")</f>
        <v>1.782835524357651E-4</v>
      </c>
      <c r="DD143" s="2207">
        <f t="shared" si="525"/>
        <v>2.7165018359096571E-3</v>
      </c>
      <c r="DE143" s="2208">
        <f t="shared" si="525"/>
        <v>1.6278424035647276E-3</v>
      </c>
      <c r="DF143" s="2207">
        <f t="shared" si="525"/>
        <v>5.1739351795445643E-2</v>
      </c>
      <c r="DG143" s="2207">
        <f t="shared" si="525"/>
        <v>5.0615401809464222E-2</v>
      </c>
      <c r="DH143" s="2207">
        <f t="shared" si="525"/>
        <v>5.275482580778168E-2</v>
      </c>
      <c r="DI143" s="2208">
        <f t="shared" si="525"/>
        <v>5.5951540438411662E-2</v>
      </c>
      <c r="DJ143" s="2209">
        <f t="shared" si="525"/>
        <v>5.0377219731102096E-2</v>
      </c>
      <c r="DK143" s="2207">
        <f t="shared" si="525"/>
        <v>6.1047517315981681E-2</v>
      </c>
      <c r="DL143" s="2207">
        <f t="shared" si="525"/>
        <v>5.8140035341712304E-2</v>
      </c>
      <c r="DM143" s="2208">
        <f t="shared" si="525"/>
        <v>5.2299432974630911E-2</v>
      </c>
      <c r="DN143" s="2210"/>
      <c r="DO143" s="570"/>
      <c r="DP143" s="1895"/>
      <c r="DQ143" s="1895"/>
      <c r="DR143" s="1895"/>
      <c r="DS143" s="1895"/>
      <c r="DT143" s="207"/>
      <c r="DU143" s="207"/>
      <c r="DV143" s="207"/>
      <c r="DW143" s="207"/>
      <c r="DX143" s="1895"/>
      <c r="DY143" s="1895"/>
      <c r="DZ143" s="1895"/>
      <c r="EA143" s="207"/>
      <c r="EB143" s="207"/>
      <c r="EC143" s="207"/>
      <c r="ED143" s="207"/>
      <c r="EE143" s="207"/>
      <c r="EF143" s="207"/>
      <c r="EG143" s="207"/>
      <c r="EH143" s="207"/>
      <c r="EI143" s="207"/>
      <c r="EJ143" s="207"/>
      <c r="EK143" s="207"/>
      <c r="EL143" s="207"/>
      <c r="EM143" s="207"/>
      <c r="EN143" s="2202"/>
      <c r="EO143" s="207"/>
      <c r="EP143" s="207"/>
      <c r="EQ143" s="207"/>
      <c r="ER143" s="433"/>
      <c r="ES143" s="433"/>
      <c r="ET143" s="433"/>
      <c r="EU143" s="2207"/>
      <c r="EV143" s="2207">
        <f t="shared" ref="EV143:EX143" si="526">+IFERROR(EV142/EU142-1,"NA")</f>
        <v>7.306800579905115E-2</v>
      </c>
      <c r="EW143" s="2207">
        <f t="shared" si="526"/>
        <v>-3.5252205685088356E-2</v>
      </c>
      <c r="EX143" s="2207">
        <f t="shared" si="526"/>
        <v>2.05614284338278E-2</v>
      </c>
      <c r="EY143" s="2207">
        <f>+IFERROR(EY142/EX142-1,"NA")</f>
        <v>6.0379075082778622E-2</v>
      </c>
      <c r="EZ143" s="2209">
        <f>+IFERROR(EZ142/EY142-1,"NA")</f>
        <v>4.6379965723842176E-2</v>
      </c>
      <c r="FA143" s="207">
        <f t="shared" ref="FA143:FH143" si="527">+IFERROR(FA142/EZ142-1,"NA")</f>
        <v>2.5463841982313662E-2</v>
      </c>
      <c r="FB143" s="207">
        <f t="shared" si="527"/>
        <v>1.7361109807562558E-2</v>
      </c>
      <c r="FC143" s="207">
        <f t="shared" si="527"/>
        <v>1.4249452225827408E-2</v>
      </c>
      <c r="FD143" s="207">
        <f t="shared" si="527"/>
        <v>1.6940964404060121E-2</v>
      </c>
      <c r="FE143" s="207">
        <f t="shared" si="527"/>
        <v>1.7289964479605624E-2</v>
      </c>
      <c r="FF143" s="207">
        <f t="shared" si="527"/>
        <v>1.7648060507737373E-2</v>
      </c>
      <c r="FG143" s="207">
        <f t="shared" si="527"/>
        <v>1.8015266349390657E-2</v>
      </c>
      <c r="FH143" s="207">
        <f t="shared" si="527"/>
        <v>1.8391576662628362E-2</v>
      </c>
      <c r="FI143" s="2211"/>
      <c r="FJ143"/>
      <c r="FK143"/>
      <c r="FL143"/>
      <c r="FM143"/>
      <c r="FN143"/>
      <c r="FO143"/>
      <c r="FP143" s="2212"/>
      <c r="FQ143" s="2212"/>
      <c r="FR143" s="2212"/>
      <c r="FS143" s="2212"/>
      <c r="FT143" s="2212"/>
      <c r="FV143" s="207"/>
      <c r="FW143" s="207"/>
      <c r="FX143" s="207"/>
    </row>
    <row r="144" spans="1:260" s="4" customFormat="1" ht="11.25" customHeight="1" collapsed="1" x14ac:dyDescent="0.2">
      <c r="A144" s="1886"/>
      <c r="B144" s="1228"/>
      <c r="C144" s="1228"/>
      <c r="D144" s="1228"/>
      <c r="E144" s="1228"/>
      <c r="F144" s="1228"/>
      <c r="G144" s="1228"/>
      <c r="H144" s="1228"/>
      <c r="I144" s="1228"/>
      <c r="J144" s="1228"/>
      <c r="K144" s="1228"/>
      <c r="L144" s="1228"/>
      <c r="M144" s="1228"/>
      <c r="N144" s="1228"/>
      <c r="O144" s="1228"/>
      <c r="P144" s="1228"/>
      <c r="Q144" s="1228"/>
      <c r="R144" s="1228"/>
      <c r="S144" s="1228"/>
      <c r="T144" s="1228"/>
      <c r="U144" s="1228"/>
      <c r="V144" s="1228"/>
      <c r="W144" s="1228"/>
      <c r="X144" s="1228"/>
      <c r="Y144" s="1228"/>
      <c r="Z144" s="1228"/>
      <c r="AA144" s="1228"/>
      <c r="AB144" s="1228"/>
      <c r="AC144" s="1228"/>
      <c r="AD144" s="1228"/>
      <c r="AE144" s="1228"/>
      <c r="AF144" s="1228"/>
      <c r="AG144" s="1228"/>
      <c r="AH144" s="1228"/>
      <c r="AI144" s="1228"/>
      <c r="AJ144" s="1228"/>
      <c r="AK144" s="1228"/>
      <c r="AL144" s="1228"/>
      <c r="AM144" s="1228"/>
      <c r="AN144" s="1228"/>
      <c r="AO144" s="1228"/>
      <c r="AP144" s="1228"/>
      <c r="AQ144" s="1228"/>
      <c r="AR144" s="1228"/>
      <c r="AS144" s="1228"/>
      <c r="AT144" s="1228"/>
      <c r="AU144" s="1228"/>
      <c r="AV144" s="1228"/>
      <c r="AW144" s="1228"/>
      <c r="AX144" s="1228"/>
      <c r="AY144" s="1228"/>
      <c r="AZ144" s="1228"/>
      <c r="BA144" s="1228"/>
      <c r="BB144" s="597"/>
      <c r="BC144" s="597"/>
      <c r="BD144" s="1228"/>
      <c r="BE144" s="597"/>
      <c r="BF144" s="597"/>
      <c r="BG144" s="597"/>
      <c r="BH144" s="597"/>
      <c r="BI144" s="597"/>
      <c r="BJ144" s="597"/>
      <c r="BK144" s="597"/>
      <c r="BL144" s="597"/>
      <c r="BM144" s="597"/>
      <c r="BN144" s="1882"/>
      <c r="BO144" s="1882"/>
      <c r="BP144" s="1882"/>
      <c r="BQ144" s="1882"/>
      <c r="BR144" s="1882"/>
      <c r="BS144" s="1882"/>
      <c r="BT144" s="1882"/>
      <c r="BU144" s="1882"/>
      <c r="BV144" s="1882"/>
      <c r="BW144" s="1882"/>
      <c r="BX144" s="1882"/>
      <c r="BY144" s="1882"/>
      <c r="BZ144" s="1882"/>
      <c r="CA144" s="1882"/>
      <c r="CB144" s="1882"/>
      <c r="CC144" s="1882"/>
      <c r="CD144" s="1882"/>
      <c r="CE144" s="1882"/>
      <c r="CF144" s="1882"/>
      <c r="CG144" s="1882"/>
      <c r="CH144" s="1882"/>
      <c r="CI144" s="1882"/>
      <c r="CJ144" s="1882"/>
      <c r="CK144" s="1882"/>
      <c r="CL144" s="1882"/>
      <c r="CM144" s="1882"/>
      <c r="CN144" s="1882"/>
      <c r="CO144" s="1882"/>
      <c r="CP144" s="1882"/>
      <c r="CQ144" s="1882"/>
      <c r="CR144" s="1882"/>
      <c r="CS144" s="1882"/>
      <c r="CT144" s="1882"/>
      <c r="CU144" s="1882"/>
      <c r="CV144" s="1882"/>
      <c r="CW144" s="1261"/>
      <c r="CX144" s="1882"/>
      <c r="CY144" s="1887"/>
      <c r="CZ144" s="1887"/>
      <c r="DA144" s="1888"/>
      <c r="DB144" s="1887"/>
      <c r="DC144" s="1887"/>
      <c r="DD144" s="1882"/>
      <c r="DE144" s="1945"/>
      <c r="DF144" s="1882"/>
      <c r="DG144" s="1887"/>
      <c r="DH144" s="1887"/>
      <c r="DI144" s="1945"/>
      <c r="DJ144" s="1883"/>
      <c r="DK144" s="597"/>
      <c r="DL144" s="597"/>
      <c r="DM144" s="1889"/>
      <c r="DN144" s="1241"/>
      <c r="DO144" s="484"/>
      <c r="DV144" s="427"/>
      <c r="DW144" s="427"/>
      <c r="EK144" s="6"/>
      <c r="EL144" s="6"/>
      <c r="EM144" s="248"/>
      <c r="EN144" s="769"/>
      <c r="EO144" s="769"/>
      <c r="EP144" s="769"/>
      <c r="EQ144" s="769"/>
      <c r="ER144" s="769"/>
      <c r="ES144" s="769"/>
      <c r="ET144" s="769"/>
      <c r="EU144" s="769"/>
      <c r="EV144" s="1882"/>
      <c r="EW144" s="1882"/>
      <c r="EX144" s="1882"/>
      <c r="EY144" s="1882"/>
      <c r="EZ144" s="1883"/>
      <c r="FA144" s="1884"/>
      <c r="FB144" s="1884"/>
      <c r="FC144" s="1884"/>
      <c r="FD144" s="1884"/>
      <c r="FE144" s="1884"/>
      <c r="FF144" s="1884"/>
      <c r="FG144" s="1884"/>
      <c r="FH144" s="1885"/>
      <c r="FI144" s="413"/>
      <c r="FJ144"/>
      <c r="FK144"/>
      <c r="FL144"/>
      <c r="FM144"/>
      <c r="FN144"/>
      <c r="FO144"/>
      <c r="FS144"/>
      <c r="FT144"/>
      <c r="FU144"/>
      <c r="FV144" s="2636"/>
      <c r="FW144" s="2636"/>
      <c r="FX144" s="2636"/>
      <c r="FY144"/>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row>
    <row r="145" spans="1:260" s="6" customFormat="1" ht="11.25" customHeight="1" x14ac:dyDescent="0.2">
      <c r="A145" s="105" t="s">
        <v>579</v>
      </c>
      <c r="B145" s="94"/>
      <c r="C145" s="94"/>
      <c r="D145" s="94"/>
      <c r="E145" s="473"/>
      <c r="F145" s="94"/>
      <c r="G145" s="94"/>
      <c r="H145" s="94"/>
      <c r="I145" s="473"/>
      <c r="J145" s="94"/>
      <c r="K145" s="94"/>
      <c r="L145" s="94"/>
      <c r="M145" s="473"/>
      <c r="N145" s="94"/>
      <c r="O145" s="94"/>
      <c r="P145" s="94"/>
      <c r="Q145" s="473"/>
      <c r="R145" s="94"/>
      <c r="S145" s="94"/>
      <c r="T145" s="94"/>
      <c r="U145" s="473"/>
      <c r="V145" s="94"/>
      <c r="W145" s="94"/>
      <c r="X145" s="94"/>
      <c r="Y145" s="473"/>
      <c r="Z145" s="94"/>
      <c r="AA145" s="94"/>
      <c r="AB145" s="94"/>
      <c r="AC145" s="473"/>
      <c r="AD145" s="94"/>
      <c r="AE145" s="94"/>
      <c r="AF145" s="94"/>
      <c r="AG145" s="473"/>
      <c r="AH145" s="94"/>
      <c r="AI145" s="94"/>
      <c r="AJ145" s="94"/>
      <c r="AK145" s="473"/>
      <c r="AL145" s="94"/>
      <c r="AM145" s="94"/>
      <c r="AN145" s="94"/>
      <c r="AO145" s="473"/>
      <c r="AP145" s="94"/>
      <c r="AQ145" s="94"/>
      <c r="AR145" s="94"/>
      <c r="AS145" s="473"/>
      <c r="AT145" s="94"/>
      <c r="AU145" s="94"/>
      <c r="AV145" s="94"/>
      <c r="AW145" s="473"/>
      <c r="AX145" s="94"/>
      <c r="AY145" s="94"/>
      <c r="AZ145" s="94"/>
      <c r="BA145" s="473"/>
      <c r="BB145" s="94"/>
      <c r="BC145" s="94"/>
      <c r="BD145" s="94"/>
      <c r="BE145" s="473"/>
      <c r="BF145" s="94"/>
      <c r="BG145" s="94"/>
      <c r="BH145" s="94"/>
      <c r="BI145" s="473"/>
      <c r="BJ145" s="94"/>
      <c r="BK145" s="94"/>
      <c r="BL145" s="186"/>
      <c r="BM145" s="500"/>
      <c r="BN145" s="186"/>
      <c r="BO145" s="186"/>
      <c r="BP145" s="186"/>
      <c r="BQ145" s="500"/>
      <c r="BR145" s="186"/>
      <c r="BS145" s="186"/>
      <c r="BT145" s="186"/>
      <c r="BU145" s="500"/>
      <c r="BV145" s="186"/>
      <c r="BW145" s="186"/>
      <c r="BX145" s="186"/>
      <c r="BY145" s="500"/>
      <c r="BZ145" s="186"/>
      <c r="CA145" s="186"/>
      <c r="CB145" s="186"/>
      <c r="CC145" s="500"/>
      <c r="CD145" s="186"/>
      <c r="CE145" s="186"/>
      <c r="CF145" s="186"/>
      <c r="CG145" s="500"/>
      <c r="CH145" s="186"/>
      <c r="CI145" s="186"/>
      <c r="CJ145" s="186"/>
      <c r="CK145" s="500"/>
      <c r="CL145" s="186"/>
      <c r="CM145" s="186"/>
      <c r="CN145" s="186"/>
      <c r="CO145" s="500"/>
      <c r="CP145" s="186"/>
      <c r="CQ145" s="186"/>
      <c r="CR145" s="186"/>
      <c r="CS145" s="500"/>
      <c r="CT145" s="186"/>
      <c r="CU145" s="186"/>
      <c r="CV145" s="186"/>
      <c r="CW145" s="500"/>
      <c r="CX145" s="186"/>
      <c r="CY145" s="186"/>
      <c r="CZ145" s="186"/>
      <c r="DA145" s="500"/>
      <c r="DB145" s="186"/>
      <c r="DC145" s="186"/>
      <c r="DD145" s="186"/>
      <c r="DE145" s="500"/>
      <c r="DF145" s="186"/>
      <c r="DG145" s="186"/>
      <c r="DH145" s="186"/>
      <c r="DI145" s="500"/>
      <c r="DJ145" s="186"/>
      <c r="DK145" s="186"/>
      <c r="DL145" s="186"/>
      <c r="DM145" s="500"/>
      <c r="DN145" s="977"/>
      <c r="DO145" s="484"/>
      <c r="DP145" s="105"/>
      <c r="DQ145" s="105"/>
      <c r="DR145" s="105"/>
      <c r="DS145" s="105"/>
      <c r="DT145" s="105"/>
      <c r="DU145" s="105"/>
      <c r="DV145" s="105"/>
      <c r="DW145" s="105"/>
      <c r="DX145" s="94"/>
      <c r="DY145" s="94"/>
      <c r="DZ145" s="94"/>
      <c r="EA145" s="94"/>
      <c r="EB145" s="94"/>
      <c r="EC145" s="94"/>
      <c r="ED145" s="94"/>
      <c r="EE145" s="94"/>
      <c r="EF145" s="94"/>
      <c r="EG145" s="94"/>
      <c r="EH145" s="94"/>
      <c r="EI145" s="94"/>
      <c r="EJ145" s="94"/>
      <c r="EK145" s="94"/>
      <c r="EL145" s="94"/>
      <c r="EM145" s="186"/>
      <c r="EN145" s="94"/>
      <c r="EO145" s="94"/>
      <c r="EP145" s="94"/>
      <c r="EQ145" s="94"/>
      <c r="ER145" s="186"/>
      <c r="ES145" s="94"/>
      <c r="ET145" s="94"/>
      <c r="EU145" s="94"/>
      <c r="EV145" s="94"/>
      <c r="EW145" s="94"/>
      <c r="EX145" s="94"/>
      <c r="EY145" s="94"/>
      <c r="EZ145" s="94"/>
      <c r="FA145" s="105"/>
      <c r="FB145" s="105"/>
      <c r="FC145" s="105"/>
      <c r="FD145" s="105"/>
      <c r="FE145" s="105"/>
      <c r="FF145" s="105"/>
      <c r="FG145" s="105"/>
      <c r="FH145" s="105"/>
      <c r="FI145" s="413"/>
      <c r="FJ145"/>
      <c r="FK145"/>
      <c r="FL145"/>
      <c r="FM145"/>
      <c r="FN145"/>
      <c r="FO145"/>
      <c r="FP145" s="4"/>
      <c r="FQ145" s="4"/>
      <c r="FR145" s="4"/>
      <c r="FS145" s="236"/>
      <c r="FT145" s="236"/>
      <c r="FU145"/>
      <c r="FV145" s="236"/>
      <c r="FW145" s="236"/>
      <c r="FX145" s="236"/>
      <c r="FY145"/>
      <c r="FZ145"/>
      <c r="GA145"/>
      <c r="GB145"/>
      <c r="GC145"/>
      <c r="GD145"/>
      <c r="GE145"/>
      <c r="GF145"/>
      <c r="GG145"/>
      <c r="GH145"/>
      <c r="GI145"/>
      <c r="GJ145"/>
      <c r="GK145"/>
      <c r="GL145"/>
      <c r="GM145"/>
      <c r="GN145"/>
      <c r="GO145"/>
      <c r="GP145"/>
      <c r="GQ145"/>
      <c r="GR145"/>
      <c r="GS145"/>
      <c r="GT145"/>
      <c r="GU145"/>
      <c r="GV145"/>
      <c r="GW145"/>
      <c r="GX145"/>
      <c r="GY145"/>
      <c r="GZ145"/>
      <c r="HA145"/>
      <c r="HB145"/>
      <c r="HC145"/>
      <c r="HD145"/>
      <c r="HE145"/>
      <c r="HF145"/>
      <c r="HG145"/>
      <c r="HH145"/>
      <c r="HI145"/>
      <c r="HJ145"/>
      <c r="HK145"/>
      <c r="HL145"/>
      <c r="HM145"/>
      <c r="HN145"/>
      <c r="HO145"/>
      <c r="HP145"/>
      <c r="HQ145"/>
      <c r="HR145"/>
      <c r="HS145"/>
      <c r="HT145"/>
      <c r="HU145"/>
      <c r="HV145"/>
      <c r="HW145"/>
      <c r="HX145"/>
      <c r="HY145"/>
      <c r="HZ145"/>
      <c r="IA145"/>
      <c r="IB145"/>
      <c r="IC145"/>
      <c r="ID145"/>
      <c r="IE145"/>
      <c r="IF145"/>
      <c r="IG145"/>
      <c r="IH145"/>
      <c r="II145"/>
      <c r="IJ145"/>
      <c r="IK145"/>
      <c r="IL145"/>
      <c r="IM145"/>
      <c r="IN145"/>
      <c r="IO145"/>
      <c r="IP145"/>
      <c r="IQ145"/>
      <c r="IR145"/>
      <c r="IS145"/>
      <c r="IT145"/>
      <c r="IU145"/>
      <c r="IV145"/>
      <c r="IW145"/>
      <c r="IX145"/>
      <c r="IY145"/>
      <c r="IZ145"/>
    </row>
    <row r="146" spans="1:260" s="4" customFormat="1" ht="11.25" customHeight="1" x14ac:dyDescent="0.2">
      <c r="A146" s="351"/>
      <c r="B146" s="3"/>
      <c r="C146" s="3"/>
      <c r="D146" s="3"/>
      <c r="E146" s="470"/>
      <c r="I146" s="470"/>
      <c r="M146" s="470"/>
      <c r="Q146" s="470"/>
      <c r="U146" s="470"/>
      <c r="Y146" s="470"/>
      <c r="AC146" s="470"/>
      <c r="AG146" s="470"/>
      <c r="AK146" s="470"/>
      <c r="AO146" s="470"/>
      <c r="AS146" s="470"/>
      <c r="AW146" s="470"/>
      <c r="BA146" s="470"/>
      <c r="BB146" s="6"/>
      <c r="BC146" s="6"/>
      <c r="BE146" s="484"/>
      <c r="BF146" s="6"/>
      <c r="BG146" s="6"/>
      <c r="BH146" s="6"/>
      <c r="BI146" s="484"/>
      <c r="BJ146" s="6"/>
      <c r="BK146" s="6"/>
      <c r="BL146" s="6"/>
      <c r="BM146" s="484"/>
      <c r="BN146" s="769"/>
      <c r="BO146" s="769"/>
      <c r="BP146" s="769"/>
      <c r="BQ146" s="770"/>
      <c r="BR146" s="769"/>
      <c r="BS146" s="769"/>
      <c r="BT146" s="769"/>
      <c r="BU146" s="770"/>
      <c r="BV146" s="769"/>
      <c r="BW146" s="769"/>
      <c r="BX146" s="769"/>
      <c r="BY146" s="770"/>
      <c r="BZ146" s="769"/>
      <c r="CA146" s="769"/>
      <c r="CB146" s="769"/>
      <c r="CC146" s="770"/>
      <c r="CD146" s="769"/>
      <c r="CE146" s="769"/>
      <c r="CF146" s="769"/>
      <c r="CG146" s="770"/>
      <c r="CH146" s="769"/>
      <c r="CI146" s="769"/>
      <c r="CJ146" s="769"/>
      <c r="CK146" s="770"/>
      <c r="CL146" s="769"/>
      <c r="CM146" s="769"/>
      <c r="CN146" s="769"/>
      <c r="CO146" s="770"/>
      <c r="CP146" s="769"/>
      <c r="CQ146" s="769"/>
      <c r="CR146" s="769"/>
      <c r="CS146" s="770"/>
      <c r="CT146" s="769"/>
      <c r="CU146" s="769"/>
      <c r="CV146" s="769"/>
      <c r="CW146" s="470"/>
      <c r="CX146" s="769"/>
      <c r="CY146" s="769"/>
      <c r="CZ146" s="769"/>
      <c r="DA146" s="770"/>
      <c r="DB146" s="769"/>
      <c r="DC146" s="769"/>
      <c r="DD146" s="769"/>
      <c r="DE146" s="1946"/>
      <c r="DF146" s="769"/>
      <c r="DG146" s="769"/>
      <c r="DH146" s="769"/>
      <c r="DI146" s="1946"/>
      <c r="DJ146" s="1763"/>
      <c r="DK146" s="769"/>
      <c r="DL146" s="769"/>
      <c r="DM146" s="770"/>
      <c r="DN146" s="1241"/>
      <c r="DO146" s="484"/>
      <c r="DV146" s="427"/>
      <c r="DW146" s="427"/>
      <c r="EK146" s="6"/>
      <c r="EL146" s="6"/>
      <c r="EM146" s="248"/>
      <c r="EN146" s="769"/>
      <c r="EO146" s="769"/>
      <c r="EP146" s="769"/>
      <c r="EQ146" s="769"/>
      <c r="ER146" s="769"/>
      <c r="ES146" s="769"/>
      <c r="ET146" s="769"/>
      <c r="EU146" s="769"/>
      <c r="EV146" s="769"/>
      <c r="EW146" s="769"/>
      <c r="EX146" s="769"/>
      <c r="EY146" s="769"/>
      <c r="EZ146" s="1763"/>
      <c r="FA146" s="248"/>
      <c r="FB146" s="248"/>
      <c r="FC146" s="248"/>
      <c r="FD146" s="248"/>
      <c r="FE146" s="248"/>
      <c r="FF146" s="248"/>
      <c r="FG146" s="248"/>
      <c r="FH146" s="248"/>
      <c r="FI146" s="413"/>
      <c r="FJ146"/>
      <c r="FK146"/>
      <c r="FL146"/>
      <c r="FM146"/>
      <c r="FN146"/>
      <c r="FO146"/>
      <c r="FS146"/>
      <c r="FT146"/>
      <c r="FU146"/>
      <c r="FV146" s="2636"/>
      <c r="FW146" s="2636"/>
      <c r="FX146" s="2636"/>
      <c r="FY146"/>
      <c r="FZ146"/>
      <c r="GA146"/>
      <c r="GB146"/>
      <c r="GC146"/>
      <c r="GD146"/>
      <c r="GE146"/>
      <c r="GF146"/>
      <c r="GG146"/>
      <c r="GH146"/>
      <c r="GI146"/>
      <c r="GJ146"/>
      <c r="GK146"/>
      <c r="GL146"/>
      <c r="GM146"/>
      <c r="GN146"/>
      <c r="GO146"/>
      <c r="GP146"/>
      <c r="GQ146"/>
      <c r="GR146"/>
      <c r="GS146"/>
      <c r="GT146"/>
      <c r="GU146"/>
      <c r="GV146"/>
      <c r="GW146"/>
      <c r="GX146"/>
      <c r="GY146"/>
      <c r="GZ146"/>
      <c r="HA146"/>
      <c r="HB146"/>
      <c r="HC146"/>
      <c r="HD146"/>
      <c r="HE146"/>
      <c r="HF146"/>
      <c r="HG146"/>
      <c r="HH146"/>
      <c r="HI146"/>
      <c r="HJ146"/>
      <c r="HK146"/>
      <c r="HL146"/>
      <c r="HM146"/>
      <c r="HN146"/>
      <c r="HO146"/>
      <c r="HP146"/>
      <c r="HQ146"/>
      <c r="HR146"/>
      <c r="HS146"/>
      <c r="HT146"/>
      <c r="HU146"/>
      <c r="HV146"/>
      <c r="HW146"/>
      <c r="HX146"/>
      <c r="HY146"/>
      <c r="HZ146"/>
      <c r="IA146"/>
      <c r="IB146"/>
      <c r="IC146"/>
      <c r="ID146"/>
      <c r="IE146"/>
      <c r="IF146"/>
      <c r="IG146"/>
      <c r="IH146"/>
      <c r="II146"/>
      <c r="IJ146"/>
      <c r="IK146"/>
      <c r="IL146"/>
      <c r="IM146"/>
      <c r="IN146"/>
      <c r="IO146"/>
      <c r="IP146"/>
      <c r="IQ146"/>
      <c r="IR146"/>
      <c r="IS146"/>
      <c r="IT146"/>
      <c r="IU146"/>
      <c r="IV146"/>
      <c r="IW146"/>
      <c r="IX146"/>
      <c r="IY146"/>
      <c r="IZ146"/>
    </row>
    <row r="147" spans="1:260" s="4" customFormat="1" ht="11.25" customHeight="1" x14ac:dyDescent="0.2">
      <c r="A147" s="60" t="s">
        <v>28</v>
      </c>
      <c r="B147" s="920">
        <f>'Revenue Model'!B393</f>
        <v>0</v>
      </c>
      <c r="C147" s="920">
        <f>'Revenue Model'!C393</f>
        <v>0</v>
      </c>
      <c r="D147" s="920">
        <f>'Revenue Model'!D393</f>
        <v>0</v>
      </c>
      <c r="E147" s="916">
        <f>'Revenue Model'!E393</f>
        <v>0</v>
      </c>
      <c r="F147" s="915">
        <f>'Revenue Model'!F393</f>
        <v>849.4</v>
      </c>
      <c r="G147" s="915">
        <f>'Revenue Model'!G393</f>
        <v>933.17200000000003</v>
      </c>
      <c r="H147" s="915">
        <f>'Revenue Model'!H393</f>
        <v>1349.8710000000001</v>
      </c>
      <c r="I147" s="916">
        <f>'Revenue Model'!I393</f>
        <v>1947.1110000000001</v>
      </c>
      <c r="J147" s="915">
        <f>'Revenue Model'!J393</f>
        <v>1274.6690000000001</v>
      </c>
      <c r="K147" s="915">
        <f>'Revenue Model'!K393</f>
        <v>1437.9110000000001</v>
      </c>
      <c r="L147" s="915">
        <f>'Revenue Model'!L393</f>
        <v>1929.277</v>
      </c>
      <c r="M147" s="916">
        <f>'Revenue Model'!M393</f>
        <v>2575.5639999999999</v>
      </c>
      <c r="N147" s="915">
        <f>'Revenue Model'!N393</f>
        <v>1637.184</v>
      </c>
      <c r="O147" s="915">
        <f>'Revenue Model'!O393</f>
        <v>1778.64</v>
      </c>
      <c r="P147" s="915">
        <f>'Revenue Model'!P393</f>
        <v>2007.3240000000001</v>
      </c>
      <c r="Q147" s="916">
        <f>'Revenue Model'!Q393</f>
        <v>2347.5349999999999</v>
      </c>
      <c r="R147" s="915">
        <f>'Revenue Model'!R393</f>
        <v>1606.5509999999999</v>
      </c>
      <c r="S147" s="915">
        <f>'Revenue Model'!S393</f>
        <v>1793.204</v>
      </c>
      <c r="T147" s="915">
        <f>'Revenue Model'!T393</f>
        <v>2106.3409999999999</v>
      </c>
      <c r="U147" s="916">
        <f>'Revenue Model'!U393</f>
        <v>2852.096</v>
      </c>
      <c r="V147" s="915">
        <f>'Revenue Model'!V393</f>
        <v>1938.383</v>
      </c>
      <c r="W147" s="915">
        <f>'Revenue Model'!W393</f>
        <v>2177.7660000000001</v>
      </c>
      <c r="X147" s="915">
        <f>'Revenue Model'!X393</f>
        <v>2492.4670000000001</v>
      </c>
      <c r="Y147" s="916">
        <f>'Revenue Model'!Y393</f>
        <v>3456.03</v>
      </c>
      <c r="Z147" s="915">
        <f>'Revenue Model'!Z393</f>
        <v>2385.431</v>
      </c>
      <c r="AA147" s="915">
        <f>'Revenue Model'!AA393</f>
        <v>2686.64</v>
      </c>
      <c r="AB147" s="915">
        <f>'Revenue Model'!AB393</f>
        <v>3107.337</v>
      </c>
      <c r="AC147" s="916">
        <f>'Revenue Model'!AC393</f>
        <v>4314.6149999999998</v>
      </c>
      <c r="AD147" s="915">
        <f>'Revenue Model'!AD393</f>
        <v>2963.7179999999998</v>
      </c>
      <c r="AE147" s="915">
        <f>'Revenue Model'!AE393</f>
        <v>3169.1709999999998</v>
      </c>
      <c r="AF147" s="915">
        <f>'Revenue Model'!AF393</f>
        <v>3732.08</v>
      </c>
      <c r="AG147" s="916">
        <f>'Revenue Model'!AG393</f>
        <v>5461.5829999999996</v>
      </c>
      <c r="AH147" s="915">
        <f>'Revenue Model'!AH393</f>
        <v>3334</v>
      </c>
      <c r="AI147" s="915">
        <f>'Revenue Model'!AI393</f>
        <v>3788</v>
      </c>
      <c r="AJ147" s="915">
        <f>'Revenue Model'!AJ393</f>
        <v>4228</v>
      </c>
      <c r="AK147" s="916">
        <f>'Revenue Model'!AK393</f>
        <v>5862</v>
      </c>
      <c r="AL147" s="915">
        <f>'Revenue Model'!AL393</f>
        <v>3899</v>
      </c>
      <c r="AM147" s="915">
        <f>'Revenue Model'!AM393</f>
        <v>4290</v>
      </c>
      <c r="AN147" s="915">
        <f>'Revenue Model'!AN393</f>
        <v>4710</v>
      </c>
      <c r="AO147" s="916">
        <f>'Revenue Model'!AO393</f>
        <v>6411</v>
      </c>
      <c r="AP147" s="915">
        <f>'Revenue Model'!AP393</f>
        <v>4280</v>
      </c>
      <c r="AQ147" s="915">
        <f>'Revenue Model'!AQ393</f>
        <v>4910</v>
      </c>
      <c r="AR147" s="915">
        <f>'Revenue Model'!AR393</f>
        <v>5430</v>
      </c>
      <c r="AS147" s="916">
        <f>'Revenue Model'!AS393</f>
        <v>7605</v>
      </c>
      <c r="AT147" s="915">
        <f>'Revenue Model'!AT393</f>
        <v>4980</v>
      </c>
      <c r="AU147" s="915">
        <f>'Revenue Model'!AU393</f>
        <v>5506</v>
      </c>
      <c r="AV147" s="915">
        <f>'Revenue Model'!AV393</f>
        <v>5918</v>
      </c>
      <c r="AW147" s="916">
        <f>'Revenue Model'!AW393</f>
        <v>8212</v>
      </c>
      <c r="AX147" s="915">
        <f>'Revenue Model'!AX393</f>
        <v>5492</v>
      </c>
      <c r="AY147" s="915">
        <f>'Revenue Model'!AY393</f>
        <v>5997</v>
      </c>
      <c r="AZ147" s="915">
        <f>'Revenue Model'!AZ393</f>
        <v>6466</v>
      </c>
      <c r="BA147" s="916">
        <f>'Revenue Model'!BA393</f>
        <v>9425</v>
      </c>
      <c r="BB147" s="915">
        <f>'Revenue Model'!BB393</f>
        <v>6162</v>
      </c>
      <c r="BC147" s="915">
        <f>'Revenue Model'!BC393</f>
        <v>6621</v>
      </c>
      <c r="BD147" s="915">
        <f>'Revenue Model'!BD393</f>
        <v>7164</v>
      </c>
      <c r="BE147" s="916">
        <f>'Revenue Model'!BE393</f>
        <v>11084</v>
      </c>
      <c r="BF147" s="915">
        <f>'Revenue Model'!BF393</f>
        <v>6704</v>
      </c>
      <c r="BG147" s="915">
        <f>'Revenue Model'!BG393</f>
        <v>7234</v>
      </c>
      <c r="BH147" s="915">
        <f>'Revenue Model'!BH393</f>
        <v>8206</v>
      </c>
      <c r="BI147" s="916">
        <f>'Revenue Model'!BI393</f>
        <v>11184</v>
      </c>
      <c r="BJ147" s="1110">
        <f>'Revenue Model'!BJ393</f>
        <v>7453</v>
      </c>
      <c r="BK147" s="920">
        <f>'Revenue Model'!BK393</f>
        <v>8133</v>
      </c>
      <c r="BL147" s="920">
        <f>'Revenue Model'!BL393</f>
        <v>8196</v>
      </c>
      <c r="BM147" s="916">
        <f>'Revenue Model'!BM393</f>
        <v>11288</v>
      </c>
      <c r="BN147" s="1110">
        <f>'Revenue Model'!BN393</f>
        <v>7525</v>
      </c>
      <c r="BO147" s="920">
        <f>'Revenue Model'!BO393</f>
        <v>8274</v>
      </c>
      <c r="BP147" s="920">
        <f>'Revenue Model'!BP393</f>
        <v>8931</v>
      </c>
      <c r="BQ147" s="916">
        <f>'Revenue Model'!BQ393</f>
        <v>12584</v>
      </c>
      <c r="BR147" s="1110">
        <f>'Revenue Model'!BR393</f>
        <v>7923</v>
      </c>
      <c r="BS147" s="920">
        <f>'Revenue Model'!BS393</f>
        <v>8436</v>
      </c>
      <c r="BT147" s="920">
        <f>'Revenue Model'!BT393</f>
        <v>8710</v>
      </c>
      <c r="BU147" s="916">
        <f>'Revenue Model'!BU393</f>
        <v>12117</v>
      </c>
      <c r="BV147" s="1110">
        <f>'Revenue Model'!BV393</f>
        <v>7859</v>
      </c>
      <c r="BW147" s="920">
        <f>'Revenue Model'!BW393</f>
        <v>8311</v>
      </c>
      <c r="BX147" s="920">
        <f>'Revenue Model'!BX393</f>
        <v>8885</v>
      </c>
      <c r="BY147" s="916">
        <f>'Revenue Model'!BY393</f>
        <v>12600</v>
      </c>
      <c r="BZ147" s="1110">
        <f>'Revenue Model'!BZ393</f>
        <v>8511</v>
      </c>
      <c r="CA147" s="920">
        <f>'Revenue Model'!CA393</f>
        <v>8185</v>
      </c>
      <c r="CB147" s="920">
        <f>'Revenue Model'!CB393</f>
        <v>7938</v>
      </c>
      <c r="CC147" s="916">
        <f>'Revenue Model'!CC393</f>
        <v>12611</v>
      </c>
      <c r="CD147" s="1110">
        <f>'Revenue Model'!CD393</f>
        <v>8392</v>
      </c>
      <c r="CE147" s="920">
        <f>'Revenue Model'!CE393</f>
        <v>7977</v>
      </c>
      <c r="CF147" s="920">
        <f>'Revenue Model'!CF393</f>
        <v>8055</v>
      </c>
      <c r="CG147" s="916">
        <f>'Revenue Model'!CG393</f>
        <v>12583</v>
      </c>
      <c r="CH147" s="1110">
        <f>'Revenue Model'!CH393</f>
        <v>8822</v>
      </c>
      <c r="CI147" s="920">
        <f>'Revenue Model'!CI393</f>
        <v>7803</v>
      </c>
      <c r="CJ147" s="920">
        <f>'Revenue Model'!CJ393</f>
        <v>7673</v>
      </c>
      <c r="CK147" s="916">
        <f>'Revenue Model'!CK393</f>
        <v>12550</v>
      </c>
      <c r="CL147" s="1110">
        <f>'Revenue Model'!CL393</f>
        <v>8822</v>
      </c>
      <c r="CM147" s="920">
        <f>'Revenue Model'!CM393</f>
        <v>7803</v>
      </c>
      <c r="CN147" s="920">
        <f>'Revenue Model'!CN393</f>
        <v>7673</v>
      </c>
      <c r="CO147" s="916">
        <f>'Revenue Model'!CO393</f>
        <v>12550</v>
      </c>
      <c r="CP147" s="1110">
        <f>'Revenue Model'!CP393</f>
        <v>7946</v>
      </c>
      <c r="CQ147" s="920">
        <f>'Revenue Model'!CQ393</f>
        <v>7775</v>
      </c>
      <c r="CR147" s="920">
        <f>'Revenue Model'!CR393</f>
        <v>7812</v>
      </c>
      <c r="CS147" s="916">
        <f>'Revenue Model'!CS393</f>
        <v>12298</v>
      </c>
      <c r="CT147" s="1110">
        <f>'Revenue Model'!CT393</f>
        <v>7781</v>
      </c>
      <c r="CU147" s="920">
        <f>'Revenue Model'!CU393</f>
        <v>7585</v>
      </c>
      <c r="CV147" s="920">
        <f>'Revenue Model'!CV393</f>
        <v>7992</v>
      </c>
      <c r="CW147" s="916">
        <f>'Revenue Model'!CW393</f>
        <v>12697</v>
      </c>
      <c r="CX147" s="1110">
        <f>'Revenue Model'!CX393</f>
        <v>7890</v>
      </c>
      <c r="CY147" s="920">
        <f>'Revenue Model'!CY393</f>
        <v>7878</v>
      </c>
      <c r="CZ147" s="920">
        <f>'Revenue Model'!CZ393</f>
        <v>8090</v>
      </c>
      <c r="DA147" s="916">
        <f>'Revenue Model'!DA393</f>
        <v>12507</v>
      </c>
      <c r="DB147" s="898">
        <f>'Revenue Model'!DB393</f>
        <v>7829</v>
      </c>
      <c r="DC147" s="898">
        <f>'Revenue Model'!DC393</f>
        <v>7889</v>
      </c>
      <c r="DD147" s="910">
        <f>'Revenue Model'!DD393</f>
        <v>8192</v>
      </c>
      <c r="DE147" s="909">
        <f>'Revenue Model'!DE393</f>
        <v>12338</v>
      </c>
      <c r="DF147" s="898">
        <f>'Revenue Model'!DF393</f>
        <v>7912</v>
      </c>
      <c r="DG147" s="898">
        <f>'Revenue Model'!DG393</f>
        <v>8272</v>
      </c>
      <c r="DH147" s="898">
        <f>'Revenue Model'!DH393</f>
        <v>8491</v>
      </c>
      <c r="DI147" s="909">
        <f>'Revenue Model'!DI393</f>
        <v>13987</v>
      </c>
      <c r="DJ147" s="1674">
        <f>'Revenue Model'!DJ393</f>
        <v>8084.0779507967127</v>
      </c>
      <c r="DK147" s="920">
        <f>'Revenue Model'!DK393</f>
        <v>8319.6747461925697</v>
      </c>
      <c r="DL147" s="920">
        <f>'Revenue Model'!DL393</f>
        <v>8560.6618577439167</v>
      </c>
      <c r="DM147" s="916">
        <f>'Revenue Model'!DM393</f>
        <v>13806.456532283801</v>
      </c>
      <c r="DN147" s="917"/>
      <c r="DO147" s="909"/>
      <c r="DP147" s="915">
        <f>'Revenue Model'!DP393</f>
        <v>0</v>
      </c>
      <c r="DQ147" s="915">
        <f>'Revenue Model'!DQ393</f>
        <v>0</v>
      </c>
      <c r="DR147" s="915">
        <f>'Revenue Model'!DR393</f>
        <v>0</v>
      </c>
      <c r="DS147" s="915">
        <f>'Revenue Model'!DS393</f>
        <v>0</v>
      </c>
      <c r="DT147" s="915">
        <f>'Revenue Model'!DT393</f>
        <v>0</v>
      </c>
      <c r="DU147" s="915">
        <f>'Revenue Model'!DU393</f>
        <v>664.82299999999998</v>
      </c>
      <c r="DV147" s="915">
        <f>'Revenue Model'!DV393</f>
        <v>929.69200000000001</v>
      </c>
      <c r="DW147" s="915">
        <f>'Revenue Model'!DW393</f>
        <v>1619.9780000000001</v>
      </c>
      <c r="DX147" s="915">
        <f>'Revenue Model'!DX393</f>
        <v>0</v>
      </c>
      <c r="DY147" s="915">
        <f>'Revenue Model'!DY393</f>
        <v>5079.5540000000001</v>
      </c>
      <c r="DZ147" s="915">
        <f>'Revenue Model'!DZ393</f>
        <v>7217.4210000000003</v>
      </c>
      <c r="EA147" s="915">
        <f>'Revenue Model'!EA393</f>
        <v>7770.683</v>
      </c>
      <c r="EB147" s="915">
        <f>'Revenue Model'!EB393</f>
        <v>8358.1919999999991</v>
      </c>
      <c r="EC147" s="915">
        <f>'Revenue Model'!EC393</f>
        <v>10064.646000000001</v>
      </c>
      <c r="ED147" s="915">
        <f>'Revenue Model'!ED393</f>
        <v>12494.022999999999</v>
      </c>
      <c r="EE147" s="915">
        <f>'Revenue Model'!EE393</f>
        <v>15326.552</v>
      </c>
      <c r="EF147" s="915">
        <f>'Revenue Model'!EF393</f>
        <v>17212</v>
      </c>
      <c r="EG147" s="915">
        <f>'Revenue Model'!EG393</f>
        <v>19310</v>
      </c>
      <c r="EH147" s="915">
        <f>'Revenue Model'!EH393</f>
        <v>22225</v>
      </c>
      <c r="EI147" s="915">
        <f>'Revenue Model'!EI393</f>
        <v>24616</v>
      </c>
      <c r="EJ147" s="915">
        <f>'Revenue Model'!EJ393</f>
        <v>27380</v>
      </c>
      <c r="EK147" s="915">
        <f>'Revenue Model'!EK393</f>
        <v>31031</v>
      </c>
      <c r="EL147" s="915">
        <f>'Revenue Model'!EL393</f>
        <v>33328</v>
      </c>
      <c r="EM147" s="915">
        <f>'Revenue Model'!EM393</f>
        <v>35070</v>
      </c>
      <c r="EN147" s="915">
        <f>'Revenue Model'!EN393</f>
        <v>37314</v>
      </c>
      <c r="EO147" s="915">
        <f>'Revenue Model'!EO393</f>
        <v>37186</v>
      </c>
      <c r="EP147" s="915">
        <f>'Revenue Model'!EP393</f>
        <v>37655</v>
      </c>
      <c r="EQ147" s="915">
        <f>'Revenue Model'!EQ393</f>
        <v>37245</v>
      </c>
      <c r="ER147" s="915">
        <f>'Revenue Model'!ER393</f>
        <v>37007</v>
      </c>
      <c r="ES147" s="915">
        <f>'Revenue Model'!ES393</f>
        <v>36848</v>
      </c>
      <c r="ET147" s="915">
        <f>'Revenue Model'!ET393</f>
        <v>36848</v>
      </c>
      <c r="EU147" s="915">
        <f>'Revenue Model'!EU393</f>
        <v>35831</v>
      </c>
      <c r="EV147" s="915">
        <f>'Revenue Model'!EV393</f>
        <v>36055</v>
      </c>
      <c r="EW147" s="915">
        <f>'Revenue Model'!EW393</f>
        <v>36365</v>
      </c>
      <c r="EX147" s="898">
        <f>'Revenue Model'!EX393</f>
        <v>36248</v>
      </c>
      <c r="EY147" s="898">
        <f>'Revenue Model'!EY393</f>
        <v>38662</v>
      </c>
      <c r="EZ147" s="1689">
        <f>'Revenue Model'!EZ393</f>
        <v>38770.871087017003</v>
      </c>
      <c r="FA147" s="915">
        <f>'Revenue Model'!FA393</f>
        <v>39162.611516171703</v>
      </c>
      <c r="FB147" s="915">
        <f>'Revenue Model'!FB393</f>
        <v>39548.571247331325</v>
      </c>
      <c r="FC147" s="915">
        <f>'Revenue Model'!FC393</f>
        <v>39917.56132006611</v>
      </c>
      <c r="FD147" s="915">
        <f>'Revenue Model'!FD393</f>
        <v>40463.212782604562</v>
      </c>
      <c r="FE147" s="915">
        <f>'Revenue Model'!FE393</f>
        <v>41030.623253519152</v>
      </c>
      <c r="FF147" s="915">
        <f>'Revenue Model'!FF393</f>
        <v>41620.869646848121</v>
      </c>
      <c r="FG147" s="915">
        <f>'Revenue Model'!FG393</f>
        <v>42235.082652090554</v>
      </c>
      <c r="FH147" s="915">
        <f>'Revenue Model'!FH393</f>
        <v>42874.449423367441</v>
      </c>
      <c r="FI147" s="1368"/>
      <c r="FJ147"/>
      <c r="FK147"/>
      <c r="FL147"/>
      <c r="FM147"/>
      <c r="FN147"/>
      <c r="FO147"/>
      <c r="FP147" s="1244"/>
      <c r="FS147" s="910"/>
      <c r="FT147" s="910"/>
      <c r="FU147"/>
      <c r="FV147" s="910"/>
      <c r="FW147" s="910"/>
      <c r="FX147" s="910"/>
      <c r="FY147"/>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row>
    <row r="148" spans="1:260" s="4" customFormat="1" ht="11.25" customHeight="1" x14ac:dyDescent="0.2">
      <c r="A148" s="60" t="s">
        <v>27</v>
      </c>
      <c r="B148" s="920">
        <f>'Revenue Model'!B398</f>
        <v>0</v>
      </c>
      <c r="C148" s="920">
        <f>'Revenue Model'!C398</f>
        <v>0</v>
      </c>
      <c r="D148" s="920">
        <f>'Revenue Model'!D398</f>
        <v>0</v>
      </c>
      <c r="E148" s="916">
        <f>'Revenue Model'!E398</f>
        <v>0</v>
      </c>
      <c r="F148" s="915">
        <f>'Revenue Model'!F398</f>
        <v>0</v>
      </c>
      <c r="G148" s="915">
        <f>'Revenue Model'!G398</f>
        <v>0</v>
      </c>
      <c r="H148" s="915">
        <f>'Revenue Model'!H398</f>
        <v>0</v>
      </c>
      <c r="I148" s="916">
        <f>'Revenue Model'!I398</f>
        <v>0</v>
      </c>
      <c r="J148" s="915">
        <f>'Revenue Model'!J398</f>
        <v>0</v>
      </c>
      <c r="K148" s="915">
        <f>'Revenue Model'!K398</f>
        <v>0</v>
      </c>
      <c r="L148" s="915">
        <f>'Revenue Model'!L398</f>
        <v>0</v>
      </c>
      <c r="M148" s="916">
        <f>'Revenue Model'!M398</f>
        <v>0</v>
      </c>
      <c r="N148" s="915">
        <f>'Revenue Model'!N398</f>
        <v>0</v>
      </c>
      <c r="O148" s="915">
        <f>'Revenue Model'!O398</f>
        <v>0</v>
      </c>
      <c r="P148" s="915">
        <f>'Revenue Model'!P398</f>
        <v>0</v>
      </c>
      <c r="Q148" s="916">
        <f>'Revenue Model'!Q398</f>
        <v>0</v>
      </c>
      <c r="R148" s="915">
        <f>'Revenue Model'!R398</f>
        <v>0</v>
      </c>
      <c r="S148" s="915">
        <f>'Revenue Model'!S398</f>
        <v>0</v>
      </c>
      <c r="T148" s="915">
        <f>'Revenue Model'!T398</f>
        <v>0</v>
      </c>
      <c r="U148" s="916">
        <f>'Revenue Model'!U398</f>
        <v>0</v>
      </c>
      <c r="V148" s="915">
        <f>'Revenue Model'!V398</f>
        <v>0</v>
      </c>
      <c r="W148" s="915">
        <f>'Revenue Model'!W398</f>
        <v>0</v>
      </c>
      <c r="X148" s="915">
        <f>'Revenue Model'!X398</f>
        <v>0</v>
      </c>
      <c r="Y148" s="916">
        <f>'Revenue Model'!Y398</f>
        <v>0</v>
      </c>
      <c r="Z148" s="915">
        <f>'Revenue Model'!Z398</f>
        <v>0</v>
      </c>
      <c r="AA148" s="915">
        <f>'Revenue Model'!AA398</f>
        <v>0</v>
      </c>
      <c r="AB148" s="915">
        <f>'Revenue Model'!AB398</f>
        <v>0</v>
      </c>
      <c r="AC148" s="916">
        <f>'Revenue Model'!AC398</f>
        <v>0</v>
      </c>
      <c r="AD148" s="915">
        <f>'Revenue Model'!AD398</f>
        <v>0</v>
      </c>
      <c r="AE148" s="915">
        <f>'Revenue Model'!AE398</f>
        <v>0</v>
      </c>
      <c r="AF148" s="915">
        <f>'Revenue Model'!AF398</f>
        <v>0</v>
      </c>
      <c r="AG148" s="916">
        <f>'Revenue Model'!AG398</f>
        <v>0</v>
      </c>
      <c r="AH148" s="915">
        <f>'Revenue Model'!AH398</f>
        <v>264.22500000000002</v>
      </c>
      <c r="AI148" s="915">
        <f>'Revenue Model'!AI398</f>
        <v>301.57600000000002</v>
      </c>
      <c r="AJ148" s="915">
        <f>'Revenue Model'!AJ398</f>
        <v>352.70499999999998</v>
      </c>
      <c r="AK148" s="916">
        <f>'Revenue Model'!AK398</f>
        <v>473</v>
      </c>
      <c r="AL148" s="915">
        <f>'Revenue Model'!AL398</f>
        <v>303</v>
      </c>
      <c r="AM148" s="915">
        <f>'Revenue Model'!AM398</f>
        <v>334</v>
      </c>
      <c r="AN148" s="915">
        <f>'Revenue Model'!AN398</f>
        <v>421</v>
      </c>
      <c r="AO148" s="916">
        <f>'Revenue Model'!AO398</f>
        <v>578</v>
      </c>
      <c r="AP148" s="915">
        <f>'Revenue Model'!AP398</f>
        <v>388</v>
      </c>
      <c r="AQ148" s="915">
        <f>'Revenue Model'!AQ398</f>
        <v>486</v>
      </c>
      <c r="AR148" s="915">
        <f>'Revenue Model'!AR398</f>
        <v>602</v>
      </c>
      <c r="AS148" s="916">
        <f>'Revenue Model'!AS398</f>
        <v>844</v>
      </c>
      <c r="AT148" s="915">
        <f>'Revenue Model'!AT398</f>
        <v>499</v>
      </c>
      <c r="AU148" s="915">
        <f>'Revenue Model'!AU398</f>
        <v>574</v>
      </c>
      <c r="AV148" s="915">
        <f>'Revenue Model'!AV398</f>
        <v>728</v>
      </c>
      <c r="AW148" s="916">
        <f>'Revenue Model'!AW398</f>
        <v>1015</v>
      </c>
      <c r="AX148" s="915">
        <f>'Revenue Model'!AX398</f>
        <v>626</v>
      </c>
      <c r="AY148" s="915">
        <f>'Revenue Model'!AY398</f>
        <v>705</v>
      </c>
      <c r="AZ148" s="915">
        <f>'Revenue Model'!AZ398</f>
        <v>869</v>
      </c>
      <c r="BA148" s="916">
        <f>'Revenue Model'!BA398</f>
        <v>1268</v>
      </c>
      <c r="BB148" s="915">
        <f>'Revenue Model'!BB398</f>
        <v>797</v>
      </c>
      <c r="BC148" s="915">
        <f>'Revenue Model'!BC398</f>
        <v>982</v>
      </c>
      <c r="BD148" s="915">
        <f>'Revenue Model'!BD398</f>
        <v>1309</v>
      </c>
      <c r="BE148" s="916">
        <f>'Revenue Model'!BE398</f>
        <v>1815</v>
      </c>
      <c r="BF148" s="915">
        <f>'Revenue Model'!BF398</f>
        <v>1223</v>
      </c>
      <c r="BG148" s="915">
        <f>'Revenue Model'!BG398</f>
        <v>1516</v>
      </c>
      <c r="BH148" s="915">
        <f>'Revenue Model'!BH398</f>
        <v>1722</v>
      </c>
      <c r="BI148" s="916">
        <f>'Revenue Model'!BI398</f>
        <v>2234</v>
      </c>
      <c r="BJ148" s="1110">
        <f>'Revenue Model'!BJ398</f>
        <v>1537</v>
      </c>
      <c r="BK148" s="920">
        <f>'Revenue Model'!BK398</f>
        <v>1668</v>
      </c>
      <c r="BL148" s="920">
        <f>'Revenue Model'!BL398</f>
        <v>3304</v>
      </c>
      <c r="BM148" s="916">
        <f>'Revenue Model'!BM398</f>
        <v>3436</v>
      </c>
      <c r="BN148" s="1110">
        <f>'Revenue Model'!BN398</f>
        <v>2570</v>
      </c>
      <c r="BO148" s="920">
        <f>'Revenue Model'!BO398</f>
        <v>2748</v>
      </c>
      <c r="BP148" s="920">
        <f>'Revenue Model'!BP398</f>
        <v>3093</v>
      </c>
      <c r="BQ148" s="916">
        <f>'Revenue Model'!BQ398</f>
        <v>3969</v>
      </c>
      <c r="BR148" s="1110">
        <f>'Revenue Model'!BR398</f>
        <v>2864</v>
      </c>
      <c r="BS148" s="920">
        <f>'Revenue Model'!BS398</f>
        <v>2903</v>
      </c>
      <c r="BT148" s="920">
        <f>'Revenue Model'!BT398</f>
        <v>3180</v>
      </c>
      <c r="BU148" s="916">
        <f>'Revenue Model'!BU398</f>
        <v>4139</v>
      </c>
      <c r="BV148" s="1110">
        <f>'Revenue Model'!BV398</f>
        <v>3081</v>
      </c>
      <c r="BW148" s="920">
        <f>'Revenue Model'!BW398</f>
        <v>3036</v>
      </c>
      <c r="BX148" s="920">
        <f>'Revenue Model'!BX398</f>
        <v>3214</v>
      </c>
      <c r="BY148" s="916">
        <f>'Revenue Model'!BY398</f>
        <v>4030</v>
      </c>
      <c r="BZ148" s="1110">
        <f>'Revenue Model'!BZ398</f>
        <v>2811</v>
      </c>
      <c r="CA148" s="920">
        <f>'Revenue Model'!CA398</f>
        <v>2717</v>
      </c>
      <c r="CB148" s="920">
        <f>'Revenue Model'!CB398</f>
        <v>3043</v>
      </c>
      <c r="CC148" s="916">
        <f>'Revenue Model'!CC398</f>
        <v>4086</v>
      </c>
      <c r="CD148" s="1110">
        <f>'Revenue Model'!CD398</f>
        <v>2977</v>
      </c>
      <c r="CE148" s="920">
        <f>'Revenue Model'!CE398</f>
        <v>2879</v>
      </c>
      <c r="CF148" s="920">
        <f>'Revenue Model'!CF398</f>
        <v>3090</v>
      </c>
      <c r="CG148" s="916">
        <f>'Revenue Model'!CG398</f>
        <v>4088</v>
      </c>
      <c r="CH148" s="1110">
        <f>'Revenue Model'!CH398</f>
        <v>2788</v>
      </c>
      <c r="CI148" s="920">
        <f>'Revenue Model'!CI398</f>
        <v>2744</v>
      </c>
      <c r="CJ148" s="920">
        <f>'Revenue Model'!CJ398</f>
        <v>3080</v>
      </c>
      <c r="CK148" s="916">
        <f>'Revenue Model'!CK398</f>
        <v>4161</v>
      </c>
      <c r="CL148" s="1110">
        <f>'Revenue Model'!CL398</f>
        <v>1551</v>
      </c>
      <c r="CM148" s="920">
        <f>'Revenue Model'!CM398</f>
        <v>1536</v>
      </c>
      <c r="CN148" s="920">
        <f>'Revenue Model'!CN398</f>
        <v>1708</v>
      </c>
      <c r="CO148" s="916">
        <f>'Revenue Model'!CO398</f>
        <v>2402</v>
      </c>
      <c r="CP148" s="1110">
        <f>'Revenue Model'!CP398</f>
        <v>982</v>
      </c>
      <c r="CQ148" s="920">
        <f>'Revenue Model'!CQ398</f>
        <v>959</v>
      </c>
      <c r="CR148" s="920">
        <f>'Revenue Model'!CR398</f>
        <v>1112</v>
      </c>
      <c r="CS148" s="916">
        <f>'Revenue Model'!CS398</f>
        <v>1727</v>
      </c>
      <c r="CT148" s="1110">
        <f>'Revenue Model'!CT398</f>
        <v>858</v>
      </c>
      <c r="CU148" s="920">
        <f>'Revenue Model'!CU398</f>
        <v>874</v>
      </c>
      <c r="CV148" s="920">
        <f>'Revenue Model'!CV398</f>
        <v>1040</v>
      </c>
      <c r="CW148" s="916">
        <f>'Revenue Model'!CW398</f>
        <v>1512</v>
      </c>
      <c r="CX148" s="1110">
        <f>'Revenue Model'!CX398</f>
        <v>668</v>
      </c>
      <c r="CY148" s="920">
        <f>'Revenue Model'!CY398</f>
        <v>650</v>
      </c>
      <c r="CZ148" s="920">
        <f>'Revenue Model'!CZ398</f>
        <v>729</v>
      </c>
      <c r="DA148" s="916">
        <f>'Revenue Model'!DA398</f>
        <v>1116</v>
      </c>
      <c r="DB148" s="898">
        <f>'Revenue Model'!DB398</f>
        <v>614</v>
      </c>
      <c r="DC148" s="898">
        <f>'Revenue Model'!DC398</f>
        <v>644</v>
      </c>
      <c r="DD148" s="910">
        <f>'Revenue Model'!DD398</f>
        <v>753</v>
      </c>
      <c r="DE148" s="909">
        <f>'Revenue Model'!DE398</f>
        <v>1144</v>
      </c>
      <c r="DF148" s="898">
        <f>'Revenue Model'!DF398</f>
        <v>616</v>
      </c>
      <c r="DG148" s="898">
        <f>'Revenue Model'!DG398</f>
        <v>668</v>
      </c>
      <c r="DH148" s="898">
        <f>'Revenue Model'!DH398</f>
        <v>829</v>
      </c>
      <c r="DI148" s="909">
        <f>'Revenue Model'!DI398</f>
        <v>1376</v>
      </c>
      <c r="DJ148" s="1674">
        <f>'Revenue Model'!DJ398</f>
        <v>627.15219512195131</v>
      </c>
      <c r="DK148" s="920">
        <f>'Revenue Model'!DK398</f>
        <v>669.29397350993372</v>
      </c>
      <c r="DL148" s="920">
        <f>'Revenue Model'!DL398</f>
        <v>837.29</v>
      </c>
      <c r="DM148" s="916">
        <f>'Revenue Model'!DM398</f>
        <v>1410.4</v>
      </c>
      <c r="DN148" s="1110"/>
      <c r="DO148" s="909"/>
      <c r="DP148" s="915">
        <f>'Revenue Model'!DP398</f>
        <v>0</v>
      </c>
      <c r="DQ148" s="915">
        <f>'Revenue Model'!DQ398</f>
        <v>0</v>
      </c>
      <c r="DR148" s="915">
        <f>'Revenue Model'!DR398</f>
        <v>0</v>
      </c>
      <c r="DS148" s="915">
        <f>'Revenue Model'!DS398</f>
        <v>0</v>
      </c>
      <c r="DT148" s="915">
        <f>'Revenue Model'!DT398</f>
        <v>0</v>
      </c>
      <c r="DU148" s="915">
        <f>'Revenue Model'!DU398</f>
        <v>0</v>
      </c>
      <c r="DV148" s="915">
        <f>'Revenue Model'!DV398</f>
        <v>0</v>
      </c>
      <c r="DW148" s="915">
        <f>'Revenue Model'!DW398</f>
        <v>0</v>
      </c>
      <c r="DX148" s="915">
        <f>'Revenue Model'!DX398</f>
        <v>0</v>
      </c>
      <c r="DY148" s="915">
        <f>'Revenue Model'!DY398</f>
        <v>0</v>
      </c>
      <c r="DZ148" s="915">
        <f>'Revenue Model'!DZ398</f>
        <v>0</v>
      </c>
      <c r="EA148" s="915">
        <f>'Revenue Model'!EA398</f>
        <v>0</v>
      </c>
      <c r="EB148" s="915">
        <f>'Revenue Model'!EB398</f>
        <v>0</v>
      </c>
      <c r="EC148" s="915">
        <f>'Revenue Model'!EC398</f>
        <v>0</v>
      </c>
      <c r="ED148" s="915">
        <f>'Revenue Model'!ED398</f>
        <v>0</v>
      </c>
      <c r="EE148" s="915">
        <f>'Revenue Model'!EE398</f>
        <v>0</v>
      </c>
      <c r="EF148" s="915">
        <f>'Revenue Model'!EF398</f>
        <v>1391.5060000000001</v>
      </c>
      <c r="EG148" s="915">
        <f>'Revenue Model'!EG398</f>
        <v>1636</v>
      </c>
      <c r="EH148" s="915">
        <f>'Revenue Model'!EH398</f>
        <v>2320</v>
      </c>
      <c r="EI148" s="915">
        <f>'Revenue Model'!EI398</f>
        <v>2816</v>
      </c>
      <c r="EJ148" s="915">
        <f>'Revenue Model'!EJ398</f>
        <v>3468</v>
      </c>
      <c r="EK148" s="915">
        <f>'Revenue Model'!EK398</f>
        <v>4903</v>
      </c>
      <c r="EL148" s="915">
        <f>'Revenue Model'!EL398</f>
        <v>6695</v>
      </c>
      <c r="EM148" s="915">
        <f>'Revenue Model'!EM398</f>
        <v>9945</v>
      </c>
      <c r="EN148" s="915">
        <f>'Revenue Model'!EN398</f>
        <v>12380</v>
      </c>
      <c r="EO148" s="915">
        <f>'Revenue Model'!EO398</f>
        <v>13086</v>
      </c>
      <c r="EP148" s="915">
        <f>'Revenue Model'!EP398</f>
        <v>13361</v>
      </c>
      <c r="EQ148" s="915">
        <f>'Revenue Model'!EQ398</f>
        <v>12657</v>
      </c>
      <c r="ER148" s="915">
        <f>'Revenue Model'!ER398</f>
        <v>13034</v>
      </c>
      <c r="ES148" s="915">
        <f>'Revenue Model'!ES398</f>
        <v>12773</v>
      </c>
      <c r="ET148" s="915">
        <f>'Revenue Model'!ET398</f>
        <v>7197</v>
      </c>
      <c r="EU148" s="915">
        <f>'Revenue Model'!EU398</f>
        <v>4780</v>
      </c>
      <c r="EV148" s="915">
        <f>'Revenue Model'!EV398</f>
        <v>4284</v>
      </c>
      <c r="EW148" s="915">
        <f>'Revenue Model'!EW398</f>
        <v>3163</v>
      </c>
      <c r="EX148" s="898">
        <f>'Revenue Model'!EX398</f>
        <v>3155</v>
      </c>
      <c r="EY148" s="898">
        <f>'Revenue Model'!EY398</f>
        <v>3489</v>
      </c>
      <c r="EZ148" s="1689">
        <f>'Revenue Model'!EZ398</f>
        <v>3544.1361686318851</v>
      </c>
      <c r="FA148" s="915">
        <f>'Revenue Model'!FA398</f>
        <v>3578.8942223962649</v>
      </c>
      <c r="FB148" s="915">
        <f>'Revenue Model'!FB398</f>
        <v>3617.5127656388509</v>
      </c>
      <c r="FC148" s="915">
        <f>'Revenue Model'!FC398</f>
        <v>3624.5176298222304</v>
      </c>
      <c r="FD148" s="915">
        <f>'Revenue Model'!FD398</f>
        <v>3631.5036403727427</v>
      </c>
      <c r="FE148" s="915">
        <f>'Revenue Model'!FE398</f>
        <v>3638.4709344851121</v>
      </c>
      <c r="FF148" s="915">
        <f>'Revenue Model'!FF398</f>
        <v>3645.4196477323953</v>
      </c>
      <c r="FG148" s="915">
        <f>'Revenue Model'!FG398</f>
        <v>3652.3499140924496</v>
      </c>
      <c r="FH148" s="915">
        <f>'Revenue Model'!FH398</f>
        <v>3659.2618659738537</v>
      </c>
      <c r="FI148" s="1245"/>
      <c r="FJ148"/>
      <c r="FK148"/>
      <c r="FL148"/>
      <c r="FM148"/>
      <c r="FN148"/>
      <c r="FO148"/>
      <c r="FP148" s="1246"/>
      <c r="FS148" s="910"/>
      <c r="FT148" s="910"/>
      <c r="FU148"/>
      <c r="FV148" s="910"/>
      <c r="FW148" s="910"/>
      <c r="FX148" s="910"/>
      <c r="FY148"/>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row>
    <row r="149" spans="1:260" s="4" customFormat="1" ht="11.25" customHeight="1" x14ac:dyDescent="0.2">
      <c r="A149" s="441" t="s">
        <v>301</v>
      </c>
      <c r="B149" s="253">
        <f>'Revenue Model'!B404</f>
        <v>0</v>
      </c>
      <c r="C149" s="253">
        <f>'Revenue Model'!C404</f>
        <v>0</v>
      </c>
      <c r="D149" s="253">
        <f>'Revenue Model'!D404</f>
        <v>0</v>
      </c>
      <c r="E149" s="1247">
        <f>'Revenue Model'!E404</f>
        <v>0</v>
      </c>
      <c r="F149" s="27">
        <f>'Revenue Model'!F404</f>
        <v>849.4</v>
      </c>
      <c r="G149" s="27">
        <f>'Revenue Model'!G404</f>
        <v>933.17200000000003</v>
      </c>
      <c r="H149" s="27">
        <f>'Revenue Model'!H404</f>
        <v>1349.8710000000001</v>
      </c>
      <c r="I149" s="479">
        <f>'Revenue Model'!I404</f>
        <v>1947.1110000000001</v>
      </c>
      <c r="J149" s="27">
        <f>'Revenue Model'!J404</f>
        <v>1274.6690000000001</v>
      </c>
      <c r="K149" s="27">
        <f>'Revenue Model'!K404</f>
        <v>1437.9110000000001</v>
      </c>
      <c r="L149" s="27">
        <f>'Revenue Model'!L404</f>
        <v>1929.277</v>
      </c>
      <c r="M149" s="479">
        <f>'Revenue Model'!M404</f>
        <v>2575.5639999999999</v>
      </c>
      <c r="N149" s="27">
        <f>'Revenue Model'!N404</f>
        <v>1637.184</v>
      </c>
      <c r="O149" s="27">
        <f>'Revenue Model'!O404</f>
        <v>1778.64</v>
      </c>
      <c r="P149" s="27">
        <f>'Revenue Model'!P404</f>
        <v>2007.3240000000001</v>
      </c>
      <c r="Q149" s="479">
        <f>'Revenue Model'!Q404</f>
        <v>2347.5349999999999</v>
      </c>
      <c r="R149" s="27">
        <f>'Revenue Model'!R404</f>
        <v>1606.5509999999999</v>
      </c>
      <c r="S149" s="27">
        <f>'Revenue Model'!S404</f>
        <v>1793.204</v>
      </c>
      <c r="T149" s="27">
        <f>'Revenue Model'!T404</f>
        <v>2106.3409999999999</v>
      </c>
      <c r="U149" s="479">
        <f>'Revenue Model'!U404</f>
        <v>2852.096</v>
      </c>
      <c r="V149" s="27">
        <f>'Revenue Model'!V404</f>
        <v>1938.383</v>
      </c>
      <c r="W149" s="27">
        <f>'Revenue Model'!W404</f>
        <v>2177.7660000000001</v>
      </c>
      <c r="X149" s="27">
        <f>'Revenue Model'!X404</f>
        <v>2492.4670000000001</v>
      </c>
      <c r="Y149" s="479">
        <f>'Revenue Model'!Y404</f>
        <v>3456.03</v>
      </c>
      <c r="Z149" s="27">
        <f>'Revenue Model'!Z404</f>
        <v>2385.431</v>
      </c>
      <c r="AA149" s="27">
        <f>'Revenue Model'!AA404</f>
        <v>2686.64</v>
      </c>
      <c r="AB149" s="27">
        <f>'Revenue Model'!AB404</f>
        <v>3107.337</v>
      </c>
      <c r="AC149" s="479">
        <f>'Revenue Model'!AC404</f>
        <v>4314.6149999999998</v>
      </c>
      <c r="AD149" s="27">
        <f>'Revenue Model'!AD404</f>
        <v>2963.7179999999998</v>
      </c>
      <c r="AE149" s="27">
        <f>'Revenue Model'!AE404</f>
        <v>3169.1709999999998</v>
      </c>
      <c r="AF149" s="27">
        <f>'Revenue Model'!AF404</f>
        <v>3732.08</v>
      </c>
      <c r="AG149" s="479">
        <f>'Revenue Model'!AG404</f>
        <v>5461.5829999999996</v>
      </c>
      <c r="AH149" s="27">
        <f>'Revenue Model'!AH404</f>
        <v>3598.2249999999999</v>
      </c>
      <c r="AI149" s="27">
        <f>'Revenue Model'!AI404</f>
        <v>4089.576</v>
      </c>
      <c r="AJ149" s="27">
        <f>'Revenue Model'!AJ404</f>
        <v>4580.7049999999999</v>
      </c>
      <c r="AK149" s="479">
        <f>'Revenue Model'!AK404</f>
        <v>6335</v>
      </c>
      <c r="AL149" s="27">
        <f>'Revenue Model'!AL404</f>
        <v>4202</v>
      </c>
      <c r="AM149" s="27">
        <f>'Revenue Model'!AM404</f>
        <v>4624</v>
      </c>
      <c r="AN149" s="27">
        <f>'Revenue Model'!AN404</f>
        <v>5131</v>
      </c>
      <c r="AO149" s="479">
        <f>'Revenue Model'!AO404</f>
        <v>6989</v>
      </c>
      <c r="AP149" s="27">
        <f>'Revenue Model'!AP404</f>
        <v>4668</v>
      </c>
      <c r="AQ149" s="27">
        <f>'Revenue Model'!AQ404</f>
        <v>5396</v>
      </c>
      <c r="AR149" s="27">
        <f>'Revenue Model'!AR404</f>
        <v>6032</v>
      </c>
      <c r="AS149" s="479">
        <f>'Revenue Model'!AS404</f>
        <v>8449</v>
      </c>
      <c r="AT149" s="27">
        <f>'Revenue Model'!AT404</f>
        <v>5479</v>
      </c>
      <c r="AU149" s="27">
        <f>'Revenue Model'!AU404</f>
        <v>6080</v>
      </c>
      <c r="AV149" s="27">
        <f>'Revenue Model'!AV404</f>
        <v>6646</v>
      </c>
      <c r="AW149" s="479">
        <f>'Revenue Model'!AW404</f>
        <v>9227</v>
      </c>
      <c r="AX149" s="27">
        <f>'Revenue Model'!AX404</f>
        <v>6118</v>
      </c>
      <c r="AY149" s="27">
        <f>'Revenue Model'!AY404</f>
        <v>6702</v>
      </c>
      <c r="AZ149" s="27">
        <f>'Revenue Model'!AZ404</f>
        <v>7335</v>
      </c>
      <c r="BA149" s="479">
        <f>'Revenue Model'!BA404</f>
        <v>10693</v>
      </c>
      <c r="BB149" s="27">
        <f>'Revenue Model'!BB404</f>
        <v>6959</v>
      </c>
      <c r="BC149" s="27">
        <f>'Revenue Model'!BC404</f>
        <v>7603</v>
      </c>
      <c r="BD149" s="27">
        <f>'Revenue Model'!BD404</f>
        <v>8473</v>
      </c>
      <c r="BE149" s="479">
        <f>'Revenue Model'!BE404</f>
        <v>12899</v>
      </c>
      <c r="BF149" s="27">
        <f>'Revenue Model'!BF404</f>
        <v>7927</v>
      </c>
      <c r="BG149" s="27">
        <f>'Revenue Model'!BG404</f>
        <v>8750</v>
      </c>
      <c r="BH149" s="27">
        <f>'Revenue Model'!BH404</f>
        <v>9928</v>
      </c>
      <c r="BI149" s="479">
        <f>'Revenue Model'!BI404</f>
        <v>13418</v>
      </c>
      <c r="BJ149" s="1872">
        <f>'Revenue Model'!BJ404</f>
        <v>8990</v>
      </c>
      <c r="BK149" s="1390">
        <f>'Revenue Model'!BK404</f>
        <v>9801</v>
      </c>
      <c r="BL149" s="1390">
        <f>'Revenue Model'!BL404</f>
        <v>11500</v>
      </c>
      <c r="BM149" s="1389">
        <f>'Revenue Model'!BM404</f>
        <v>14724</v>
      </c>
      <c r="BN149" s="1872">
        <f>'Revenue Model'!BN404</f>
        <v>10095</v>
      </c>
      <c r="BO149" s="1390">
        <f>'Revenue Model'!BO404</f>
        <v>11022</v>
      </c>
      <c r="BP149" s="1390">
        <f>'Revenue Model'!BP404</f>
        <v>12024</v>
      </c>
      <c r="BQ149" s="1389">
        <f>'Revenue Model'!BQ404</f>
        <v>16553</v>
      </c>
      <c r="BR149" s="1872">
        <f>'Revenue Model'!BR404</f>
        <v>10787</v>
      </c>
      <c r="BS149" s="1390">
        <f>'Revenue Model'!BS404</f>
        <v>11339</v>
      </c>
      <c r="BT149" s="1390">
        <f>'Revenue Model'!BT404</f>
        <v>11890</v>
      </c>
      <c r="BU149" s="1389">
        <f>'Revenue Model'!BU404</f>
        <v>16256</v>
      </c>
      <c r="BV149" s="1872">
        <f>'Revenue Model'!BV404</f>
        <v>10940</v>
      </c>
      <c r="BW149" s="1390">
        <f>'Revenue Model'!BW404</f>
        <v>11347</v>
      </c>
      <c r="BX149" s="1390">
        <f>'Revenue Model'!BX404</f>
        <v>12099</v>
      </c>
      <c r="BY149" s="1389">
        <f>'Revenue Model'!BY404</f>
        <v>16630</v>
      </c>
      <c r="BZ149" s="1872">
        <f>'Revenue Model'!BZ404</f>
        <v>11322</v>
      </c>
      <c r="CA149" s="1390">
        <f>'Revenue Model'!CA404</f>
        <v>10902</v>
      </c>
      <c r="CB149" s="1390">
        <f>'Revenue Model'!CB404</f>
        <v>10981</v>
      </c>
      <c r="CC149" s="1389">
        <f>'Revenue Model'!CC404</f>
        <v>16697</v>
      </c>
      <c r="CD149" s="1872">
        <f>'Revenue Model'!CD404</f>
        <v>11369</v>
      </c>
      <c r="CE149" s="1390">
        <f>'Revenue Model'!CE404</f>
        <v>10856</v>
      </c>
      <c r="CF149" s="1390">
        <f>'Revenue Model'!CF404</f>
        <v>11145</v>
      </c>
      <c r="CG149" s="1389">
        <f>'Revenue Model'!CG404</f>
        <v>16671</v>
      </c>
      <c r="CH149" s="1872">
        <f>'Revenue Model'!CH404</f>
        <v>11610</v>
      </c>
      <c r="CI149" s="1390">
        <f>'Revenue Model'!CI404</f>
        <v>10547</v>
      </c>
      <c r="CJ149" s="1390">
        <f>'Revenue Model'!CJ404</f>
        <v>10753</v>
      </c>
      <c r="CK149" s="1389">
        <f>'Revenue Model'!CK404</f>
        <v>16711</v>
      </c>
      <c r="CL149" s="1872">
        <f>'Revenue Model'!CL404</f>
        <v>10373</v>
      </c>
      <c r="CM149" s="1390">
        <f>'Revenue Model'!CM404</f>
        <v>9339</v>
      </c>
      <c r="CN149" s="1390">
        <f>'Revenue Model'!CN404</f>
        <v>9381</v>
      </c>
      <c r="CO149" s="1389">
        <f>'Revenue Model'!CO404</f>
        <v>14952</v>
      </c>
      <c r="CP149" s="1872">
        <f>'Revenue Model'!CP404</f>
        <v>8928</v>
      </c>
      <c r="CQ149" s="1390">
        <f>'Revenue Model'!CQ404</f>
        <v>8734</v>
      </c>
      <c r="CR149" s="1390">
        <f>'Revenue Model'!CR404</f>
        <v>8924</v>
      </c>
      <c r="CS149" s="1389">
        <f>'Revenue Model'!CS404</f>
        <v>14025</v>
      </c>
      <c r="CT149" s="1872">
        <f>'Revenue Model'!CT404</f>
        <v>8639</v>
      </c>
      <c r="CU149" s="1390">
        <f>'Revenue Model'!CU404</f>
        <v>8459</v>
      </c>
      <c r="CV149" s="1390">
        <f>'Revenue Model'!CV404</f>
        <v>9032</v>
      </c>
      <c r="CW149" s="1389">
        <f>'Revenue Model'!CW404</f>
        <v>14209</v>
      </c>
      <c r="CX149" s="1872">
        <f>'Revenue Model'!CX404</f>
        <v>8558</v>
      </c>
      <c r="CY149" s="1390">
        <f>'Revenue Model'!CY404</f>
        <v>8528</v>
      </c>
      <c r="CZ149" s="1390">
        <f>'Revenue Model'!CZ404</f>
        <v>8819</v>
      </c>
      <c r="DA149" s="1389">
        <f>'Revenue Model'!DA404</f>
        <v>13623</v>
      </c>
      <c r="DB149" s="85">
        <f>'Revenue Model'!DB404</f>
        <v>8443</v>
      </c>
      <c r="DC149" s="85">
        <f>'Revenue Model'!DC404</f>
        <v>8533</v>
      </c>
      <c r="DD149" s="1364">
        <f>'Revenue Model'!DD404</f>
        <v>8945</v>
      </c>
      <c r="DE149" s="534">
        <f>'Revenue Model'!DE404</f>
        <v>13482</v>
      </c>
      <c r="DF149" s="85">
        <f>'Revenue Model'!DF404</f>
        <v>8528</v>
      </c>
      <c r="DG149" s="85">
        <f>'Revenue Model'!DG404</f>
        <v>8940</v>
      </c>
      <c r="DH149" s="85">
        <f>'Revenue Model'!DH404</f>
        <v>9320</v>
      </c>
      <c r="DI149" s="534">
        <f>'Revenue Model'!DI404</f>
        <v>15363</v>
      </c>
      <c r="DJ149" s="2700">
        <f>'Revenue Model'!DJ404</f>
        <v>8711.2301459186638</v>
      </c>
      <c r="DK149" s="1390">
        <f>'Revenue Model'!DK404</f>
        <v>8988.9687197025032</v>
      </c>
      <c r="DL149" s="1390">
        <f>'Revenue Model'!DL404</f>
        <v>9397.9518577439158</v>
      </c>
      <c r="DM149" s="1389">
        <f>'Revenue Model'!DM404</f>
        <v>15216.8565322838</v>
      </c>
      <c r="DN149" s="978"/>
      <c r="DO149" s="512"/>
      <c r="DP149" s="27">
        <f>'Revenue Model'!DP404</f>
        <v>0</v>
      </c>
      <c r="DQ149" s="27">
        <f>'Revenue Model'!DQ404</f>
        <v>0</v>
      </c>
      <c r="DR149" s="27">
        <f>'Revenue Model'!DR404</f>
        <v>0</v>
      </c>
      <c r="DS149" s="27">
        <f>'Revenue Model'!DS404</f>
        <v>0</v>
      </c>
      <c r="DT149" s="27">
        <f>'Revenue Model'!DT404</f>
        <v>0</v>
      </c>
      <c r="DU149" s="27">
        <f>'Revenue Model'!DU404</f>
        <v>0</v>
      </c>
      <c r="DV149" s="27">
        <f>'Revenue Model'!DV404</f>
        <v>0</v>
      </c>
      <c r="DW149" s="27">
        <f>'Revenue Model'!DW404</f>
        <v>0</v>
      </c>
      <c r="DX149" s="27">
        <f>'Revenue Model'!DX404</f>
        <v>0</v>
      </c>
      <c r="DY149" s="27">
        <f>'Revenue Model'!DY404</f>
        <v>5079.5540000000001</v>
      </c>
      <c r="DZ149" s="27">
        <f>'Revenue Model'!DZ404</f>
        <v>7217.4210000000003</v>
      </c>
      <c r="EA149" s="27">
        <f>'Revenue Model'!EA404</f>
        <v>7770.683</v>
      </c>
      <c r="EB149" s="27">
        <f>'Revenue Model'!EB404</f>
        <v>8358.1919999999991</v>
      </c>
      <c r="EC149" s="27">
        <f>'Revenue Model'!EC404</f>
        <v>10064.646000000001</v>
      </c>
      <c r="ED149" s="27">
        <f>'Revenue Model'!ED404</f>
        <v>12494.022999999999</v>
      </c>
      <c r="EE149" s="27">
        <f>'Revenue Model'!EE404</f>
        <v>15326.552</v>
      </c>
      <c r="EF149" s="27">
        <f>'Revenue Model'!EF404</f>
        <v>18603.506000000001</v>
      </c>
      <c r="EG149" s="27">
        <f>'Revenue Model'!EG404</f>
        <v>20946</v>
      </c>
      <c r="EH149" s="27">
        <f>'Revenue Model'!EH404</f>
        <v>24545</v>
      </c>
      <c r="EI149" s="27">
        <f>'Revenue Model'!EI404</f>
        <v>27432</v>
      </c>
      <c r="EJ149" s="27">
        <f>'Revenue Model'!EJ404</f>
        <v>30848</v>
      </c>
      <c r="EK149" s="27">
        <f>'Revenue Model'!EK404</f>
        <v>35934</v>
      </c>
      <c r="EL149" s="27">
        <f>'Revenue Model'!EL404</f>
        <v>40023</v>
      </c>
      <c r="EM149" s="27">
        <f>'Revenue Model'!EM404</f>
        <v>45015</v>
      </c>
      <c r="EN149" s="27">
        <f>'Revenue Model'!EN404</f>
        <v>49694</v>
      </c>
      <c r="EO149" s="27">
        <f>'Revenue Model'!EO404</f>
        <v>50272</v>
      </c>
      <c r="EP149" s="27">
        <f>'Revenue Model'!EP404</f>
        <v>51016</v>
      </c>
      <c r="EQ149" s="27">
        <f>'Revenue Model'!EQ404</f>
        <v>49902</v>
      </c>
      <c r="ER149" s="27">
        <f>'Revenue Model'!ER404</f>
        <v>50041</v>
      </c>
      <c r="ES149" s="27">
        <f>'Revenue Model'!ES404</f>
        <v>49621</v>
      </c>
      <c r="ET149" s="28">
        <f>'Revenue Model'!ET404</f>
        <v>44045</v>
      </c>
      <c r="EU149" s="28">
        <f>'Revenue Model'!EU404</f>
        <v>40611</v>
      </c>
      <c r="EV149" s="28">
        <f>'Revenue Model'!EV404</f>
        <v>40339</v>
      </c>
      <c r="EW149" s="28">
        <f>'Revenue Model'!EW404</f>
        <v>39528</v>
      </c>
      <c r="EX149" s="85">
        <f>'Revenue Model'!EX404</f>
        <v>39403</v>
      </c>
      <c r="EY149" s="85">
        <f>'Revenue Model'!EY404</f>
        <v>42151</v>
      </c>
      <c r="EZ149" s="1764">
        <f>'Revenue Model'!EZ404</f>
        <v>42315.007255648889</v>
      </c>
      <c r="FA149" s="28">
        <f>'Revenue Model'!FA404</f>
        <v>42741.505738567968</v>
      </c>
      <c r="FB149" s="28">
        <f>'Revenue Model'!FB404</f>
        <v>43166.084012970176</v>
      </c>
      <c r="FC149" s="28">
        <f>'Revenue Model'!FC404</f>
        <v>43542.078949888339</v>
      </c>
      <c r="FD149" s="28">
        <f>'Revenue Model'!FD404</f>
        <v>44094.716422977304</v>
      </c>
      <c r="FE149" s="28">
        <f>'Revenue Model'!FE404</f>
        <v>44669.094188004266</v>
      </c>
      <c r="FF149" s="28">
        <f>'Revenue Model'!FF404</f>
        <v>45266.289294580514</v>
      </c>
      <c r="FG149" s="28">
        <f>'Revenue Model'!FG404</f>
        <v>45887.432566183001</v>
      </c>
      <c r="FH149" s="28">
        <f>'Revenue Model'!FH404</f>
        <v>46533.711289341292</v>
      </c>
      <c r="FI149" s="413"/>
      <c r="FJ149"/>
      <c r="FK149"/>
      <c r="FL149"/>
      <c r="FM149"/>
      <c r="FN149"/>
      <c r="FO149"/>
      <c r="FS149" s="1364"/>
      <c r="FT149" s="1364"/>
      <c r="FU149"/>
      <c r="FV149" s="1364"/>
      <c r="FW149" s="1364"/>
      <c r="FX149" s="1364"/>
      <c r="FY149"/>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row>
    <row r="150" spans="1:260" s="4" customFormat="1" ht="11.25" customHeight="1" x14ac:dyDescent="0.2">
      <c r="A150" s="351"/>
      <c r="B150" s="3"/>
      <c r="C150" s="3"/>
      <c r="D150" s="3"/>
      <c r="E150" s="470"/>
      <c r="I150" s="470"/>
      <c r="M150" s="470"/>
      <c r="Q150" s="470"/>
      <c r="U150" s="470"/>
      <c r="Y150" s="470"/>
      <c r="AC150" s="470"/>
      <c r="AG150" s="470"/>
      <c r="AK150" s="470"/>
      <c r="AO150" s="470"/>
      <c r="AS150" s="470"/>
      <c r="AW150" s="470"/>
      <c r="BA150" s="470"/>
      <c r="BB150" s="6"/>
      <c r="BC150" s="6"/>
      <c r="BE150" s="484"/>
      <c r="BF150" s="6"/>
      <c r="BG150" s="6"/>
      <c r="BH150" s="6"/>
      <c r="BI150" s="484"/>
      <c r="BJ150" s="1241"/>
      <c r="BK150" s="769"/>
      <c r="BL150" s="769"/>
      <c r="BM150" s="770"/>
      <c r="BN150" s="1241"/>
      <c r="BO150" s="769"/>
      <c r="BP150" s="769"/>
      <c r="BQ150" s="770"/>
      <c r="BR150" s="1241"/>
      <c r="BS150" s="769"/>
      <c r="BT150" s="769"/>
      <c r="BU150" s="770"/>
      <c r="BV150" s="1241"/>
      <c r="BW150" s="769"/>
      <c r="BX150" s="769"/>
      <c r="BY150" s="770"/>
      <c r="BZ150" s="1241"/>
      <c r="CA150" s="769"/>
      <c r="CB150" s="769"/>
      <c r="CC150" s="770"/>
      <c r="CD150" s="1241"/>
      <c r="CE150" s="769"/>
      <c r="CF150" s="769"/>
      <c r="CG150" s="770"/>
      <c r="CH150" s="1241"/>
      <c r="CI150" s="769"/>
      <c r="CJ150" s="769"/>
      <c r="CK150" s="770"/>
      <c r="CL150" s="1241"/>
      <c r="CM150" s="769"/>
      <c r="CN150" s="769"/>
      <c r="CO150" s="770"/>
      <c r="CP150" s="1241"/>
      <c r="CQ150" s="769"/>
      <c r="CR150" s="769"/>
      <c r="CS150" s="770"/>
      <c r="CT150" s="1241"/>
      <c r="CU150" s="769"/>
      <c r="CV150" s="769"/>
      <c r="CW150" s="770"/>
      <c r="CX150" s="1241"/>
      <c r="CY150" s="769"/>
      <c r="CZ150" s="769"/>
      <c r="DA150" s="770"/>
      <c r="DB150" s="769"/>
      <c r="DC150" s="769"/>
      <c r="DD150" s="769"/>
      <c r="DE150" s="770"/>
      <c r="DF150" s="769"/>
      <c r="DG150" s="769"/>
      <c r="DH150" s="769"/>
      <c r="DI150" s="770"/>
      <c r="DJ150" s="1763"/>
      <c r="DK150" s="769"/>
      <c r="DL150" s="769"/>
      <c r="DM150" s="770"/>
      <c r="DN150" s="1241"/>
      <c r="DO150" s="484"/>
      <c r="DV150" s="427"/>
      <c r="DW150" s="427"/>
      <c r="EK150" s="6"/>
      <c r="EL150" s="6"/>
      <c r="EM150" s="248"/>
      <c r="EN150" s="769"/>
      <c r="EO150" s="769"/>
      <c r="EP150" s="769"/>
      <c r="EQ150" s="769"/>
      <c r="ER150" s="769"/>
      <c r="ES150" s="769"/>
      <c r="ET150" s="769"/>
      <c r="EU150" s="769"/>
      <c r="EV150" s="769"/>
      <c r="EW150" s="769"/>
      <c r="EX150" s="769"/>
      <c r="EY150" s="769"/>
      <c r="EZ150" s="1763"/>
      <c r="FA150" s="248"/>
      <c r="FB150" s="248"/>
      <c r="FC150" s="248"/>
      <c r="FD150" s="248"/>
      <c r="FE150" s="248"/>
      <c r="FF150" s="248"/>
      <c r="FG150" s="248"/>
      <c r="FH150" s="248"/>
      <c r="FI150" s="413"/>
      <c r="FJ150"/>
      <c r="FK150"/>
      <c r="FL150"/>
      <c r="FM150"/>
      <c r="FN150"/>
      <c r="FO150"/>
      <c r="FS150"/>
      <c r="FT150"/>
      <c r="FU150"/>
      <c r="FV150" s="2636"/>
      <c r="FW150" s="2636"/>
      <c r="FX150" s="2636"/>
      <c r="FY150"/>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row>
    <row r="151" spans="1:260" s="6" customFormat="1" x14ac:dyDescent="0.2">
      <c r="A151" s="162" t="s">
        <v>18</v>
      </c>
      <c r="B151" s="213" t="s">
        <v>483</v>
      </c>
      <c r="C151" s="213" t="s">
        <v>483</v>
      </c>
      <c r="D151" s="213" t="s">
        <v>483</v>
      </c>
      <c r="E151" s="490" t="s">
        <v>483</v>
      </c>
      <c r="F151" s="213" t="s">
        <v>483</v>
      </c>
      <c r="G151" s="213" t="s">
        <v>483</v>
      </c>
      <c r="H151" s="213" t="s">
        <v>483</v>
      </c>
      <c r="I151" s="490" t="s">
        <v>483</v>
      </c>
      <c r="J151" s="213" t="s">
        <v>483</v>
      </c>
      <c r="K151" s="213" t="s">
        <v>483</v>
      </c>
      <c r="L151" s="213" t="s">
        <v>483</v>
      </c>
      <c r="M151" s="490" t="s">
        <v>483</v>
      </c>
      <c r="N151" s="213" t="s">
        <v>483</v>
      </c>
      <c r="O151" s="213" t="s">
        <v>483</v>
      </c>
      <c r="P151" s="213" t="s">
        <v>483</v>
      </c>
      <c r="Q151" s="490" t="s">
        <v>483</v>
      </c>
      <c r="R151" s="213" t="s">
        <v>483</v>
      </c>
      <c r="S151" s="213" t="s">
        <v>483</v>
      </c>
      <c r="T151" s="213" t="s">
        <v>483</v>
      </c>
      <c r="U151" s="490" t="s">
        <v>483</v>
      </c>
      <c r="V151" s="213" t="s">
        <v>483</v>
      </c>
      <c r="W151" s="213" t="s">
        <v>483</v>
      </c>
      <c r="X151" s="213" t="s">
        <v>483</v>
      </c>
      <c r="Y151" s="490" t="s">
        <v>483</v>
      </c>
      <c r="Z151" s="213" t="s">
        <v>483</v>
      </c>
      <c r="AA151" s="213" t="s">
        <v>483</v>
      </c>
      <c r="AB151" s="213" t="s">
        <v>483</v>
      </c>
      <c r="AC151" s="490" t="s">
        <v>483</v>
      </c>
      <c r="AD151" s="213" t="s">
        <v>483</v>
      </c>
      <c r="AE151" s="213" t="s">
        <v>483</v>
      </c>
      <c r="AF151" s="213" t="s">
        <v>483</v>
      </c>
      <c r="AG151" s="490" t="s">
        <v>483</v>
      </c>
      <c r="AH151" s="213" t="s">
        <v>483</v>
      </c>
      <c r="AI151" s="213" t="s">
        <v>483</v>
      </c>
      <c r="AJ151" s="213" t="s">
        <v>483</v>
      </c>
      <c r="AK151" s="490" t="s">
        <v>483</v>
      </c>
      <c r="AL151" s="213" t="s">
        <v>483</v>
      </c>
      <c r="AM151" s="213" t="s">
        <v>483</v>
      </c>
      <c r="AN151" s="213" t="s">
        <v>483</v>
      </c>
      <c r="AO151" s="490" t="s">
        <v>483</v>
      </c>
      <c r="AP151" s="213" t="s">
        <v>483</v>
      </c>
      <c r="AQ151" s="213" t="s">
        <v>483</v>
      </c>
      <c r="AR151" s="213" t="s">
        <v>483</v>
      </c>
      <c r="AS151" s="490" t="s">
        <v>483</v>
      </c>
      <c r="AT151" s="213" t="s">
        <v>483</v>
      </c>
      <c r="AU151" s="213" t="s">
        <v>483</v>
      </c>
      <c r="AV151" s="213" t="s">
        <v>483</v>
      </c>
      <c r="AW151" s="490" t="s">
        <v>483</v>
      </c>
      <c r="AX151" s="808">
        <f t="shared" ref="AX151:BY151" si="528">AX153-AX152</f>
        <v>4081.11</v>
      </c>
      <c r="AY151" s="808">
        <f t="shared" si="528"/>
        <v>4454.4949999999999</v>
      </c>
      <c r="AZ151" s="808">
        <f t="shared" si="528"/>
        <v>4865.7039999999997</v>
      </c>
      <c r="BA151" s="913">
        <f t="shared" si="528"/>
        <v>7047.64</v>
      </c>
      <c r="BB151" s="808">
        <f t="shared" si="528"/>
        <v>4583.4979999999996</v>
      </c>
      <c r="BC151" s="808">
        <f t="shared" si="528"/>
        <v>4936.0219999999999</v>
      </c>
      <c r="BD151" s="808">
        <f t="shared" si="528"/>
        <v>5443.8899999999994</v>
      </c>
      <c r="BE151" s="913">
        <f t="shared" si="528"/>
        <v>8358.15</v>
      </c>
      <c r="BF151" s="808">
        <f t="shared" si="528"/>
        <v>5055.3770000000004</v>
      </c>
      <c r="BG151" s="808">
        <f t="shared" si="528"/>
        <v>5416.3919999999998</v>
      </c>
      <c r="BH151" s="808">
        <f t="shared" si="528"/>
        <v>6223.732</v>
      </c>
      <c r="BI151" s="913">
        <f t="shared" si="528"/>
        <v>8472.905999999999</v>
      </c>
      <c r="BJ151" s="1379">
        <f t="shared" si="528"/>
        <v>5632.0110000000004</v>
      </c>
      <c r="BK151" s="806">
        <f t="shared" si="528"/>
        <v>6107.2839999999997</v>
      </c>
      <c r="BL151" s="806">
        <f t="shared" si="528"/>
        <v>6197.3440000000001</v>
      </c>
      <c r="BM151" s="913">
        <f t="shared" si="528"/>
        <v>8513.6919999999991</v>
      </c>
      <c r="BN151" s="1379">
        <f t="shared" si="528"/>
        <v>5636.2</v>
      </c>
      <c r="BO151" s="806">
        <f t="shared" si="528"/>
        <v>6263.26</v>
      </c>
      <c r="BP151" s="806">
        <f t="shared" si="528"/>
        <v>6774.6219999999994</v>
      </c>
      <c r="BQ151" s="913">
        <f t="shared" si="528"/>
        <v>9615.1260000000002</v>
      </c>
      <c r="BR151" s="1379">
        <f t="shared" si="528"/>
        <v>5883.232</v>
      </c>
      <c r="BS151" s="806">
        <f t="shared" si="528"/>
        <v>6261.1679999999997</v>
      </c>
      <c r="BT151" s="806">
        <f t="shared" si="528"/>
        <v>6528.3600000000006</v>
      </c>
      <c r="BU151" s="913">
        <f t="shared" si="528"/>
        <v>9139.2209999999995</v>
      </c>
      <c r="BV151" s="1379">
        <f t="shared" si="528"/>
        <v>5888.9790000000003</v>
      </c>
      <c r="BW151" s="806">
        <f t="shared" si="528"/>
        <v>6210.1440000000002</v>
      </c>
      <c r="BX151" s="806">
        <f t="shared" si="528"/>
        <v>6776.6399999999994</v>
      </c>
      <c r="BY151" s="913">
        <f t="shared" si="528"/>
        <v>9565.755000000001</v>
      </c>
      <c r="BZ151" s="1379">
        <f>'Revenue Model'!BZ393-'Income Statement'!BZ155</f>
        <v>6394</v>
      </c>
      <c r="CA151" s="806">
        <f>CA147-'Income Statement'!CA155</f>
        <v>6066</v>
      </c>
      <c r="CB151" s="806">
        <f>CB147-'Income Statement'!CB155</f>
        <v>5851</v>
      </c>
      <c r="CC151" s="913">
        <f>CC147-'Income Statement'!CC155</f>
        <v>9642</v>
      </c>
      <c r="CD151" s="1379">
        <f>CD147-'Income Statement'!CD155</f>
        <v>6245</v>
      </c>
      <c r="CE151" s="806">
        <f>CE147-'Income Statement'!CE155</f>
        <v>5951</v>
      </c>
      <c r="CF151" s="806">
        <f>CF147-'Income Statement'!CF155</f>
        <v>6022</v>
      </c>
      <c r="CG151" s="913">
        <f>CG147-'Income Statement'!CG155</f>
        <v>9754</v>
      </c>
      <c r="CH151" s="1379">
        <f>CH147-'Income Statement'!CH155</f>
        <v>6589</v>
      </c>
      <c r="CI151" s="806">
        <f>CI147-'Income Statement'!CI155</f>
        <v>5907</v>
      </c>
      <c r="CJ151" s="806">
        <f>CJ147-'Income Statement'!CJ155</f>
        <v>5818</v>
      </c>
      <c r="CK151" s="913">
        <f>CK147-'Income Statement'!CK155</f>
        <v>9740</v>
      </c>
      <c r="CL151" s="1379">
        <f>CL147-'Income Statement'!CL155</f>
        <v>6589</v>
      </c>
      <c r="CM151" s="806">
        <f>CM147-'Income Statement'!CM155</f>
        <v>5907</v>
      </c>
      <c r="CN151" s="806">
        <f>CN147-'Income Statement'!CN155</f>
        <v>5818</v>
      </c>
      <c r="CO151" s="913">
        <f>CO147-'Income Statement'!CO155</f>
        <v>9740</v>
      </c>
      <c r="CP151" s="1379">
        <f>CP147-'Income Statement'!CP155</f>
        <v>6087</v>
      </c>
      <c r="CQ151" s="806">
        <f>CQ147-'Income Statement'!CQ155</f>
        <v>5914</v>
      </c>
      <c r="CR151" s="806">
        <f>CR147-'Income Statement'!CR155</f>
        <v>5976</v>
      </c>
      <c r="CS151" s="913">
        <f>CS147-'Income Statement'!CS155</f>
        <v>9844</v>
      </c>
      <c r="CT151" s="1379">
        <f t="shared" ref="CT151:CW152" si="529">CT147-CT155</f>
        <v>6018</v>
      </c>
      <c r="CU151" s="806">
        <f t="shared" si="529"/>
        <v>5807</v>
      </c>
      <c r="CV151" s="806">
        <f t="shared" si="529"/>
        <v>6151</v>
      </c>
      <c r="CW151" s="913">
        <f t="shared" si="529"/>
        <v>9999</v>
      </c>
      <c r="CX151" s="1379">
        <f t="shared" ref="CX151:DA152" si="530">CX147-CX155</f>
        <v>6082</v>
      </c>
      <c r="CY151" s="806">
        <f t="shared" si="530"/>
        <v>5942</v>
      </c>
      <c r="CZ151" s="806">
        <f t="shared" si="530"/>
        <v>6142</v>
      </c>
      <c r="DA151" s="913">
        <f t="shared" si="530"/>
        <v>9803</v>
      </c>
      <c r="DB151" s="808">
        <f>DB147-DB155</f>
        <v>6026</v>
      </c>
      <c r="DC151" s="808">
        <f t="shared" ref="DC151:DE152" si="531">DC147-DC155</f>
        <v>5994</v>
      </c>
      <c r="DD151" s="806">
        <f t="shared" si="531"/>
        <v>6172</v>
      </c>
      <c r="DE151" s="913">
        <f t="shared" si="531"/>
        <v>9589</v>
      </c>
      <c r="DF151" s="808">
        <f t="shared" ref="DF151:DI152" si="532">DF147-DF155</f>
        <v>6041</v>
      </c>
      <c r="DG151" s="808">
        <f>DG147-DG155</f>
        <v>6287</v>
      </c>
      <c r="DH151" s="808">
        <f t="shared" si="532"/>
        <v>6395</v>
      </c>
      <c r="DI151" s="913">
        <f t="shared" si="532"/>
        <v>10874</v>
      </c>
      <c r="DJ151" s="1678">
        <f t="shared" ref="DJ151:DK151" si="533">DJ147-DJ155</f>
        <v>6184.3196323594857</v>
      </c>
      <c r="DK151" s="806">
        <f t="shared" si="533"/>
        <v>6331.2724818525458</v>
      </c>
      <c r="DL151" s="806">
        <f t="shared" ref="DL151:DM151" si="534">DL147-DL155</f>
        <v>6454.7390407389139</v>
      </c>
      <c r="DM151" s="913">
        <f t="shared" si="534"/>
        <v>10734.519953850655</v>
      </c>
      <c r="DN151" s="914"/>
      <c r="DO151" s="913"/>
      <c r="DP151" s="808"/>
      <c r="DQ151" s="213" t="s">
        <v>483</v>
      </c>
      <c r="DR151" s="213" t="s">
        <v>483</v>
      </c>
      <c r="DS151" s="213" t="s">
        <v>483</v>
      </c>
      <c r="DT151" s="213" t="s">
        <v>483</v>
      </c>
      <c r="DU151" s="213" t="s">
        <v>483</v>
      </c>
      <c r="DV151" s="213" t="s">
        <v>483</v>
      </c>
      <c r="DW151" s="213" t="s">
        <v>483</v>
      </c>
      <c r="DX151" s="213" t="s">
        <v>483</v>
      </c>
      <c r="DY151" s="213" t="s">
        <v>483</v>
      </c>
      <c r="DZ151" s="213" t="s">
        <v>483</v>
      </c>
      <c r="EA151" s="213" t="s">
        <v>483</v>
      </c>
      <c r="EB151" s="213" t="s">
        <v>483</v>
      </c>
      <c r="EC151" s="213" t="s">
        <v>483</v>
      </c>
      <c r="ED151" s="213" t="s">
        <v>483</v>
      </c>
      <c r="EE151" s="213" t="s">
        <v>483</v>
      </c>
      <c r="EF151" s="213" t="s">
        <v>483</v>
      </c>
      <c r="EG151" s="213" t="s">
        <v>483</v>
      </c>
      <c r="EH151" s="213" t="s">
        <v>483</v>
      </c>
      <c r="EI151" s="808">
        <f>EI153-EI152</f>
        <v>18755.599999999999</v>
      </c>
      <c r="EJ151" s="808">
        <f>SUM(AX151:BA151)</f>
        <v>20448.949000000001</v>
      </c>
      <c r="EK151" s="808">
        <f>SUM(BB151:BE151)</f>
        <v>23321.559999999998</v>
      </c>
      <c r="EL151" s="808">
        <f>SUM(BF151:BI151)</f>
        <v>25168.406999999999</v>
      </c>
      <c r="EM151" s="808">
        <f>SUM(BJ151:BM151)</f>
        <v>26450.330999999998</v>
      </c>
      <c r="EN151" s="808">
        <f>SUM(BN151:BQ151)</f>
        <v>28289.207999999999</v>
      </c>
      <c r="EO151" s="808">
        <f>SUM(BR151:BU151)</f>
        <v>27811.981</v>
      </c>
      <c r="EP151" s="808">
        <f>SUM(BV151:BY151)</f>
        <v>28441.518</v>
      </c>
      <c r="EQ151" s="808">
        <f>SUM(BZ151:CC151)</f>
        <v>27953</v>
      </c>
      <c r="ER151" s="808">
        <f>SUM(CD151:CG151)</f>
        <v>27972</v>
      </c>
      <c r="ES151" s="808">
        <f>SUM(CH151:CK151)</f>
        <v>28054</v>
      </c>
      <c r="ET151" s="808">
        <f>SUM(CL151:CO151)</f>
        <v>28054</v>
      </c>
      <c r="EU151" s="808">
        <f>SUM(CP151:CS151)</f>
        <v>27821</v>
      </c>
      <c r="EV151" s="808">
        <f>SUM(CT151:CW151)</f>
        <v>27975</v>
      </c>
      <c r="EW151" s="808">
        <f>SUM(CX151:DA151)</f>
        <v>27969</v>
      </c>
      <c r="EX151" s="808">
        <f>SUM(DB151:DE151)</f>
        <v>27781</v>
      </c>
      <c r="EY151" s="808">
        <f>SUM(DF151:DI151)</f>
        <v>29597</v>
      </c>
      <c r="EZ151" s="1765">
        <f>SUM(DJ151:DM151)</f>
        <v>29704.851108801602</v>
      </c>
      <c r="FA151" s="808">
        <f t="shared" ref="FA151:FC152" si="535">FA147-FA155</f>
        <v>30025.974249448846</v>
      </c>
      <c r="FB151" s="808">
        <f t="shared" si="535"/>
        <v>30310.025003954728</v>
      </c>
      <c r="FC151" s="808">
        <f t="shared" si="535"/>
        <v>30612.7777763587</v>
      </c>
      <c r="FD151" s="808">
        <f t="shared" ref="FD151:FF152" si="536">FD147-FD155</f>
        <v>31051.469489370742</v>
      </c>
      <c r="FE151" s="808">
        <f t="shared" si="536"/>
        <v>31507.415596377359</v>
      </c>
      <c r="FF151" s="808">
        <f t="shared" si="536"/>
        <v>31981.476236638096</v>
      </c>
      <c r="FG151" s="808">
        <f>FG147-FG155</f>
        <v>32474.555051192427</v>
      </c>
      <c r="FH151" s="808">
        <f>FH147-FH155</f>
        <v>32987.601386338909</v>
      </c>
      <c r="FI151" s="413"/>
      <c r="FJ151"/>
      <c r="FK151"/>
      <c r="FL151"/>
      <c r="FM151"/>
      <c r="FN151"/>
      <c r="FO151"/>
      <c r="FP151" s="4"/>
      <c r="FQ151" s="4"/>
      <c r="FR151" s="4"/>
      <c r="FS151" s="806"/>
      <c r="FT151" s="806"/>
      <c r="FU151"/>
      <c r="FV151" s="806"/>
      <c r="FW151" s="806"/>
      <c r="FX151" s="806"/>
      <c r="FY151"/>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row>
    <row r="152" spans="1:260" s="6" customFormat="1" x14ac:dyDescent="0.2">
      <c r="A152" s="162" t="s">
        <v>22</v>
      </c>
      <c r="B152" s="213" t="s">
        <v>483</v>
      </c>
      <c r="C152" s="213" t="s">
        <v>483</v>
      </c>
      <c r="D152" s="213" t="s">
        <v>483</v>
      </c>
      <c r="E152" s="490" t="s">
        <v>483</v>
      </c>
      <c r="F152" s="213" t="s">
        <v>483</v>
      </c>
      <c r="G152" s="213" t="s">
        <v>483</v>
      </c>
      <c r="H152" s="213" t="s">
        <v>483</v>
      </c>
      <c r="I152" s="490" t="s">
        <v>483</v>
      </c>
      <c r="J152" s="213" t="s">
        <v>483</v>
      </c>
      <c r="K152" s="213" t="s">
        <v>483</v>
      </c>
      <c r="L152" s="213" t="s">
        <v>483</v>
      </c>
      <c r="M152" s="490" t="s">
        <v>483</v>
      </c>
      <c r="N152" s="213" t="s">
        <v>483</v>
      </c>
      <c r="O152" s="213" t="s">
        <v>483</v>
      </c>
      <c r="P152" s="213" t="s">
        <v>483</v>
      </c>
      <c r="Q152" s="490" t="s">
        <v>483</v>
      </c>
      <c r="R152" s="213" t="s">
        <v>483</v>
      </c>
      <c r="S152" s="213" t="s">
        <v>483</v>
      </c>
      <c r="T152" s="213" t="s">
        <v>483</v>
      </c>
      <c r="U152" s="490" t="s">
        <v>483</v>
      </c>
      <c r="V152" s="213" t="s">
        <v>483</v>
      </c>
      <c r="W152" s="213" t="s">
        <v>483</v>
      </c>
      <c r="X152" s="213" t="s">
        <v>483</v>
      </c>
      <c r="Y152" s="490" t="s">
        <v>483</v>
      </c>
      <c r="Z152" s="213" t="s">
        <v>483</v>
      </c>
      <c r="AA152" s="213" t="s">
        <v>483</v>
      </c>
      <c r="AB152" s="213" t="s">
        <v>483</v>
      </c>
      <c r="AC152" s="490" t="s">
        <v>483</v>
      </c>
      <c r="AD152" s="213" t="s">
        <v>483</v>
      </c>
      <c r="AE152" s="213" t="s">
        <v>483</v>
      </c>
      <c r="AF152" s="213" t="s">
        <v>483</v>
      </c>
      <c r="AG152" s="490" t="s">
        <v>483</v>
      </c>
      <c r="AH152" s="213" t="s">
        <v>483</v>
      </c>
      <c r="AI152" s="213" t="s">
        <v>483</v>
      </c>
      <c r="AJ152" s="213" t="s">
        <v>483</v>
      </c>
      <c r="AK152" s="490" t="s">
        <v>483</v>
      </c>
      <c r="AL152" s="213" t="s">
        <v>483</v>
      </c>
      <c r="AM152" s="213" t="s">
        <v>483</v>
      </c>
      <c r="AN152" s="213" t="s">
        <v>483</v>
      </c>
      <c r="AO152" s="490" t="s">
        <v>483</v>
      </c>
      <c r="AP152" s="213" t="s">
        <v>483</v>
      </c>
      <c r="AQ152" s="213" t="s">
        <v>483</v>
      </c>
      <c r="AR152" s="213" t="s">
        <v>483</v>
      </c>
      <c r="AS152" s="490" t="s">
        <v>483</v>
      </c>
      <c r="AT152" s="213" t="s">
        <v>483</v>
      </c>
      <c r="AU152" s="213" t="s">
        <v>483</v>
      </c>
      <c r="AV152" s="213" t="s">
        <v>483</v>
      </c>
      <c r="AW152" s="490" t="s">
        <v>483</v>
      </c>
      <c r="AX152" s="806">
        <f>AX148-'Income Statement'!AX156</f>
        <v>478.89</v>
      </c>
      <c r="AY152" s="806">
        <f>AY148-'Income Statement'!AY156</f>
        <v>536.505</v>
      </c>
      <c r="AZ152" s="806">
        <f>AZ148-'Income Statement'!AZ156</f>
        <v>681.29600000000005</v>
      </c>
      <c r="BA152" s="913">
        <f>BA148-'Income Statement'!BA156</f>
        <v>976.36</v>
      </c>
      <c r="BB152" s="806">
        <f>BB148-'Income Statement'!BB156</f>
        <v>610.50199999999995</v>
      </c>
      <c r="BC152" s="806">
        <f>BC148-'Income Statement'!BC156</f>
        <v>764.97800000000007</v>
      </c>
      <c r="BD152" s="806">
        <f>BD148-'Income Statement'!BD156</f>
        <v>1034.1100000000001</v>
      </c>
      <c r="BE152" s="913">
        <f>BE148-'Income Statement'!BE156</f>
        <v>1433.85</v>
      </c>
      <c r="BF152" s="806">
        <f>BF148-'Income Statement'!BF156</f>
        <v>979.62300000000005</v>
      </c>
      <c r="BG152" s="806">
        <f>BG148-'Income Statement'!BG156</f>
        <v>1194.6079999999999</v>
      </c>
      <c r="BH152" s="806">
        <f>BH148-'Income Statement'!BH156</f>
        <v>1367.268</v>
      </c>
      <c r="BI152" s="913">
        <f>BI148-'Income Statement'!BI156</f>
        <v>1767.0940000000001</v>
      </c>
      <c r="BJ152" s="1379">
        <f>BJ148-'Income Statement'!BJ156</f>
        <v>1224.989</v>
      </c>
      <c r="BK152" s="806">
        <f>BK148-'Income Statement'!BK156</f>
        <v>1312.7159999999999</v>
      </c>
      <c r="BL152" s="806">
        <f>BL148-'Income Statement'!BL156</f>
        <v>2441.6559999999999</v>
      </c>
      <c r="BM152" s="913">
        <f>BM148-'Income Statement'!BM156</f>
        <v>2587.308</v>
      </c>
      <c r="BN152" s="1379">
        <f>BN148-'Income Statement'!BN156</f>
        <v>1901.8</v>
      </c>
      <c r="BO152" s="806">
        <f>BO148-'Income Statement'!BO156</f>
        <v>2074.7399999999998</v>
      </c>
      <c r="BP152" s="806">
        <f>BP148-'Income Statement'!BP156</f>
        <v>2307.3780000000002</v>
      </c>
      <c r="BQ152" s="913">
        <f>BQ148-'Income Statement'!BQ156</f>
        <v>2960.8739999999998</v>
      </c>
      <c r="BR152" s="1379">
        <f>BR148-'Income Statement'!BR156</f>
        <v>2110.768</v>
      </c>
      <c r="BS152" s="806">
        <f>BS148-'Income Statement'!BS156</f>
        <v>2159.8319999999999</v>
      </c>
      <c r="BT152" s="806">
        <f>BT148-'Income Statement'!BT156</f>
        <v>2378.64</v>
      </c>
      <c r="BU152" s="913">
        <f>BU148-'Income Statement'!BU156</f>
        <v>3149.779</v>
      </c>
      <c r="BV152" s="1379">
        <f>BV148-'Income Statement'!BV156</f>
        <v>2283.0209999999997</v>
      </c>
      <c r="BW152" s="806">
        <f>BW148-'Income Statement'!BW156</f>
        <v>2264.8559999999998</v>
      </c>
      <c r="BX152" s="806">
        <f>BX148-'Income Statement'!BX156</f>
        <v>2378.36</v>
      </c>
      <c r="BY152" s="913">
        <f>BY148-'Income Statement'!BY156</f>
        <v>2988.2449999999999</v>
      </c>
      <c r="BZ152" s="1379">
        <f>BZ148-'Income Statement'!BZ156</f>
        <v>2073</v>
      </c>
      <c r="CA152" s="806">
        <f>CA148-'Income Statement'!CA156</f>
        <v>2010</v>
      </c>
      <c r="CB152" s="806">
        <f>CB148-'Income Statement'!CB156</f>
        <v>2255</v>
      </c>
      <c r="CC152" s="913">
        <f>CC148-'Income Statement'!CC156</f>
        <v>3086</v>
      </c>
      <c r="CD152" s="1379">
        <f>CD148-'Income Statement'!CD156</f>
        <v>2203</v>
      </c>
      <c r="CE152" s="806">
        <f>CE148-'Income Statement'!CE156</f>
        <v>2143</v>
      </c>
      <c r="CF152" s="806">
        <f>CF148-'Income Statement'!CF156</f>
        <v>2270</v>
      </c>
      <c r="CG152" s="913">
        <f>CG148-'Income Statement'!CG156</f>
        <v>3044</v>
      </c>
      <c r="CH152" s="1379">
        <f>CH148-'Income Statement'!CH156</f>
        <v>2114</v>
      </c>
      <c r="CI152" s="806">
        <f>CI148-'Income Statement'!CI156</f>
        <v>2076</v>
      </c>
      <c r="CJ152" s="806">
        <f>CJ148-'Income Statement'!CJ156</f>
        <v>2349</v>
      </c>
      <c r="CK152" s="913">
        <f>CK148-'Income Statement'!CK156</f>
        <v>3189</v>
      </c>
      <c r="CL152" s="1379">
        <f>CL148-'Income Statement'!CL156</f>
        <v>1200</v>
      </c>
      <c r="CM152" s="806">
        <f>CM148-'Income Statement'!CM156</f>
        <v>1171</v>
      </c>
      <c r="CN152" s="806">
        <f>CN148-'Income Statement'!CN156</f>
        <v>1335</v>
      </c>
      <c r="CO152" s="913">
        <f>CO148-'Income Statement'!CO156</f>
        <v>1867</v>
      </c>
      <c r="CP152" s="1379">
        <f>CP148-'Income Statement'!CP156</f>
        <v>736</v>
      </c>
      <c r="CQ152" s="806">
        <f>CQ148-'Income Statement'!CQ156</f>
        <v>711</v>
      </c>
      <c r="CR152" s="806">
        <f>CR148-'Income Statement'!CR156</f>
        <v>855</v>
      </c>
      <c r="CS152" s="913">
        <f>CS148-'Income Statement'!CS156</f>
        <v>1353</v>
      </c>
      <c r="CT152" s="1379">
        <f t="shared" si="529"/>
        <v>654</v>
      </c>
      <c r="CU152" s="806">
        <f t="shared" si="529"/>
        <v>674</v>
      </c>
      <c r="CV152" s="806">
        <f t="shared" si="529"/>
        <v>805</v>
      </c>
      <c r="CW152" s="913">
        <f t="shared" si="529"/>
        <v>1184</v>
      </c>
      <c r="CX152" s="1379">
        <f t="shared" si="530"/>
        <v>516</v>
      </c>
      <c r="CY152" s="806">
        <f t="shared" si="530"/>
        <v>501</v>
      </c>
      <c r="CZ152" s="806">
        <f t="shared" si="530"/>
        <v>566</v>
      </c>
      <c r="DA152" s="913">
        <f t="shared" si="530"/>
        <v>872</v>
      </c>
      <c r="DB152" s="806">
        <f>DB148-DB156</f>
        <v>455</v>
      </c>
      <c r="DC152" s="806">
        <f t="shared" si="531"/>
        <v>477</v>
      </c>
      <c r="DD152" s="806">
        <f t="shared" si="531"/>
        <v>570</v>
      </c>
      <c r="DE152" s="913">
        <f t="shared" si="531"/>
        <v>863</v>
      </c>
      <c r="DF152" s="806">
        <f t="shared" si="532"/>
        <v>465</v>
      </c>
      <c r="DG152" s="806">
        <f t="shared" ref="DG152" si="537">DG148-DG156</f>
        <v>500</v>
      </c>
      <c r="DH152" s="806">
        <f t="shared" si="532"/>
        <v>645</v>
      </c>
      <c r="DI152" s="913">
        <f t="shared" si="532"/>
        <v>1068</v>
      </c>
      <c r="DJ152" s="1678">
        <f t="shared" ref="DJ152:DK152" si="538">DJ148-DJ156</f>
        <v>481.65288585365863</v>
      </c>
      <c r="DK152" s="806">
        <f t="shared" si="538"/>
        <v>505.31694999999996</v>
      </c>
      <c r="DL152" s="806">
        <f t="shared" ref="DL152:DM152" si="539">DL148-DL156</f>
        <v>652.24891000000002</v>
      </c>
      <c r="DM152" s="913">
        <f t="shared" si="539"/>
        <v>1087.4184</v>
      </c>
      <c r="DN152" s="914"/>
      <c r="DO152" s="913"/>
      <c r="DP152" s="806"/>
      <c r="DQ152" s="213" t="s">
        <v>483</v>
      </c>
      <c r="DR152" s="213" t="s">
        <v>483</v>
      </c>
      <c r="DS152" s="213" t="s">
        <v>483</v>
      </c>
      <c r="DT152" s="213" t="s">
        <v>483</v>
      </c>
      <c r="DU152" s="213" t="s">
        <v>483</v>
      </c>
      <c r="DV152" s="213" t="s">
        <v>483</v>
      </c>
      <c r="DW152" s="213" t="s">
        <v>483</v>
      </c>
      <c r="DX152" s="213" t="s">
        <v>483</v>
      </c>
      <c r="DY152" s="213" t="s">
        <v>483</v>
      </c>
      <c r="DZ152" s="213" t="s">
        <v>483</v>
      </c>
      <c r="EA152" s="213" t="s">
        <v>483</v>
      </c>
      <c r="EB152" s="213" t="s">
        <v>483</v>
      </c>
      <c r="EC152" s="213" t="s">
        <v>483</v>
      </c>
      <c r="ED152" s="213" t="s">
        <v>483</v>
      </c>
      <c r="EE152" s="213" t="s">
        <v>483</v>
      </c>
      <c r="EF152" s="213" t="s">
        <v>483</v>
      </c>
      <c r="EG152" s="213" t="s">
        <v>483</v>
      </c>
      <c r="EH152" s="213" t="s">
        <v>483</v>
      </c>
      <c r="EI152" s="806">
        <f>'Revenue Model'!EI398-'Income Statement'!EI156</f>
        <v>2182.4</v>
      </c>
      <c r="EJ152" s="806">
        <f>SUM(AX152:BA152)</f>
        <v>2673.0509999999999</v>
      </c>
      <c r="EK152" s="806">
        <f>SUM(BB152:BE152)</f>
        <v>3843.44</v>
      </c>
      <c r="EL152" s="806">
        <f>SUM(BF152:BI152)</f>
        <v>5308.5929999999998</v>
      </c>
      <c r="EM152" s="806">
        <f>SUM(BJ152:BM152)</f>
        <v>7566.6689999999999</v>
      </c>
      <c r="EN152" s="806">
        <f>SUM(BN152:BQ152)</f>
        <v>9244.7919999999995</v>
      </c>
      <c r="EO152" s="806">
        <f>SUM(BR152:BU152)</f>
        <v>9799.0190000000002</v>
      </c>
      <c r="EP152" s="806">
        <f>SUM(BV152:BY152)</f>
        <v>9914.482</v>
      </c>
      <c r="EQ152" s="806">
        <f>SUM(BZ152:CC152)</f>
        <v>9424</v>
      </c>
      <c r="ER152" s="806">
        <f>SUM(CD152:CG152)</f>
        <v>9660</v>
      </c>
      <c r="ES152" s="806">
        <f>SUM(CH152:CK152)</f>
        <v>9728</v>
      </c>
      <c r="ET152" s="806">
        <f>SUM(CL152:CO152)</f>
        <v>5573</v>
      </c>
      <c r="EU152" s="806">
        <f>SUM(CP152:CS152)</f>
        <v>3655</v>
      </c>
      <c r="EV152" s="806">
        <f>SUM(CT152:CW152)</f>
        <v>3317</v>
      </c>
      <c r="EW152" s="806">
        <f>SUM(CX152:DA152)</f>
        <v>2455</v>
      </c>
      <c r="EX152" s="806">
        <f>SUM(DB152:DE152)</f>
        <v>2365</v>
      </c>
      <c r="EY152" s="806">
        <f>SUM(DF152:DI152)</f>
        <v>2678</v>
      </c>
      <c r="EZ152" s="1678">
        <f>SUM(DJ152:DM152)</f>
        <v>2726.6371458536587</v>
      </c>
      <c r="FA152" s="806">
        <f>FA148-FA156</f>
        <v>2755.748551245124</v>
      </c>
      <c r="FB152" s="806">
        <f t="shared" si="535"/>
        <v>2785.4848295419151</v>
      </c>
      <c r="FC152" s="806">
        <f t="shared" si="535"/>
        <v>2790.8785749631174</v>
      </c>
      <c r="FD152" s="806">
        <f t="shared" si="536"/>
        <v>2796.2578030870118</v>
      </c>
      <c r="FE152" s="806">
        <f t="shared" si="536"/>
        <v>2801.6226195535364</v>
      </c>
      <c r="FF152" s="806">
        <f t="shared" si="536"/>
        <v>2806.9731287539444</v>
      </c>
      <c r="FG152" s="806">
        <f>FG148-FG156</f>
        <v>2812.309433851186</v>
      </c>
      <c r="FH152" s="806">
        <f>FH148-FH156</f>
        <v>2817.631636799867</v>
      </c>
      <c r="FI152" s="413"/>
      <c r="FJ152"/>
      <c r="FK152"/>
      <c r="FL152"/>
      <c r="FM152"/>
      <c r="FN152"/>
      <c r="FO152"/>
      <c r="FP152" s="4"/>
      <c r="FQ152" s="4"/>
      <c r="FR152" s="4"/>
      <c r="FS152" s="806"/>
      <c r="FT152" s="806"/>
      <c r="FU152"/>
      <c r="FV152" s="806"/>
      <c r="FW152" s="806"/>
      <c r="FX152" s="806"/>
      <c r="FY152"/>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row>
    <row r="153" spans="1:260" s="3" customFormat="1" x14ac:dyDescent="0.2">
      <c r="A153" s="441" t="s">
        <v>302</v>
      </c>
      <c r="B153" s="926"/>
      <c r="C153" s="927"/>
      <c r="D153" s="927"/>
      <c r="E153" s="928"/>
      <c r="F153" s="926"/>
      <c r="G153" s="927"/>
      <c r="H153" s="927"/>
      <c r="I153" s="928"/>
      <c r="J153" s="926"/>
      <c r="K153" s="927"/>
      <c r="L153" s="927"/>
      <c r="M153" s="928"/>
      <c r="N153" s="926"/>
      <c r="O153" s="927"/>
      <c r="P153" s="927"/>
      <c r="Q153" s="928"/>
      <c r="R153" s="926"/>
      <c r="S153" s="927"/>
      <c r="T153" s="927"/>
      <c r="U153" s="928"/>
      <c r="V153" s="926"/>
      <c r="W153" s="927"/>
      <c r="X153" s="927"/>
      <c r="Y153" s="928"/>
      <c r="Z153" s="926"/>
      <c r="AA153" s="927"/>
      <c r="AB153" s="927"/>
      <c r="AC153" s="928"/>
      <c r="AD153" s="926"/>
      <c r="AE153" s="927"/>
      <c r="AF153" s="927"/>
      <c r="AG153" s="928"/>
      <c r="AH153" s="926"/>
      <c r="AI153" s="927"/>
      <c r="AJ153" s="927"/>
      <c r="AK153" s="928"/>
      <c r="AL153" s="926"/>
      <c r="AM153" s="927"/>
      <c r="AN153" s="927"/>
      <c r="AO153" s="928"/>
      <c r="AP153" s="926"/>
      <c r="AQ153" s="927"/>
      <c r="AR153" s="927"/>
      <c r="AS153" s="928"/>
      <c r="AT153" s="926"/>
      <c r="AU153" s="927"/>
      <c r="AV153" s="927"/>
      <c r="AW153" s="928"/>
      <c r="AX153" s="198">
        <v>4560</v>
      </c>
      <c r="AY153" s="198">
        <v>4991</v>
      </c>
      <c r="AZ153" s="198">
        <v>5547</v>
      </c>
      <c r="BA153" s="766">
        <v>8024</v>
      </c>
      <c r="BB153" s="198">
        <v>5194</v>
      </c>
      <c r="BC153" s="198">
        <v>5701</v>
      </c>
      <c r="BD153" s="198">
        <v>6478</v>
      </c>
      <c r="BE153" s="766">
        <v>9792</v>
      </c>
      <c r="BF153" s="198">
        <v>6035</v>
      </c>
      <c r="BG153" s="198">
        <v>6611</v>
      </c>
      <c r="BH153" s="198">
        <v>7591</v>
      </c>
      <c r="BI153" s="766">
        <v>10240</v>
      </c>
      <c r="BJ153" s="761">
        <v>6857</v>
      </c>
      <c r="BK153" s="198">
        <v>7420</v>
      </c>
      <c r="BL153" s="198">
        <v>8639</v>
      </c>
      <c r="BM153" s="766">
        <v>11101</v>
      </c>
      <c r="BN153" s="761">
        <v>7538</v>
      </c>
      <c r="BO153" s="198">
        <v>8338</v>
      </c>
      <c r="BP153" s="198">
        <v>9082</v>
      </c>
      <c r="BQ153" s="766">
        <v>12576</v>
      </c>
      <c r="BR153" s="761">
        <v>7994</v>
      </c>
      <c r="BS153" s="198">
        <v>8421</v>
      </c>
      <c r="BT153" s="198">
        <v>8907</v>
      </c>
      <c r="BU153" s="766">
        <v>12289</v>
      </c>
      <c r="BV153" s="761">
        <v>8172</v>
      </c>
      <c r="BW153" s="198">
        <v>8475</v>
      </c>
      <c r="BX153" s="198">
        <f>9155</f>
        <v>9155</v>
      </c>
      <c r="BY153" s="766">
        <v>12554</v>
      </c>
      <c r="BZ153" s="761">
        <f t="shared" ref="BZ153:CW153" si="540">SUM(BZ151:BZ152)</f>
        <v>8467</v>
      </c>
      <c r="CA153" s="198">
        <f t="shared" si="540"/>
        <v>8076</v>
      </c>
      <c r="CB153" s="198">
        <f t="shared" si="540"/>
        <v>8106</v>
      </c>
      <c r="CC153" s="766">
        <f t="shared" si="540"/>
        <v>12728</v>
      </c>
      <c r="CD153" s="761">
        <f t="shared" si="540"/>
        <v>8448</v>
      </c>
      <c r="CE153" s="198">
        <f t="shared" si="540"/>
        <v>8094</v>
      </c>
      <c r="CF153" s="198">
        <f t="shared" si="540"/>
        <v>8292</v>
      </c>
      <c r="CG153" s="766">
        <f t="shared" si="540"/>
        <v>12798</v>
      </c>
      <c r="CH153" s="761">
        <f t="shared" si="540"/>
        <v>8703</v>
      </c>
      <c r="CI153" s="198">
        <f t="shared" si="540"/>
        <v>7983</v>
      </c>
      <c r="CJ153" s="198">
        <f t="shared" si="540"/>
        <v>8167</v>
      </c>
      <c r="CK153" s="766">
        <f t="shared" si="540"/>
        <v>12929</v>
      </c>
      <c r="CL153" s="761">
        <f t="shared" si="540"/>
        <v>7789</v>
      </c>
      <c r="CM153" s="198">
        <f t="shared" si="540"/>
        <v>7078</v>
      </c>
      <c r="CN153" s="198">
        <f t="shared" si="540"/>
        <v>7153</v>
      </c>
      <c r="CO153" s="766">
        <f t="shared" si="540"/>
        <v>11607</v>
      </c>
      <c r="CP153" s="761">
        <f t="shared" si="540"/>
        <v>6823</v>
      </c>
      <c r="CQ153" s="198">
        <f t="shared" si="540"/>
        <v>6625</v>
      </c>
      <c r="CR153" s="198">
        <f t="shared" si="540"/>
        <v>6831</v>
      </c>
      <c r="CS153" s="766">
        <f t="shared" si="540"/>
        <v>11197</v>
      </c>
      <c r="CT153" s="761">
        <f t="shared" si="540"/>
        <v>6672</v>
      </c>
      <c r="CU153" s="198">
        <f t="shared" si="540"/>
        <v>6481</v>
      </c>
      <c r="CV153" s="198">
        <f t="shared" si="540"/>
        <v>6956</v>
      </c>
      <c r="CW153" s="766">
        <f t="shared" si="540"/>
        <v>11183</v>
      </c>
      <c r="CX153" s="761">
        <f t="shared" ref="CX153:DE153" si="541">SUM(CX151:CX152)</f>
        <v>6598</v>
      </c>
      <c r="CY153" s="198">
        <f t="shared" si="541"/>
        <v>6443</v>
      </c>
      <c r="CZ153" s="198">
        <f>SUM(CZ151:CZ152)</f>
        <v>6708</v>
      </c>
      <c r="DA153" s="766">
        <f>SUM(DA151:DA152)</f>
        <v>10675</v>
      </c>
      <c r="DB153" s="198">
        <f>SUM(DB151:DB152)</f>
        <v>6481</v>
      </c>
      <c r="DC153" s="198">
        <f t="shared" si="541"/>
        <v>6471</v>
      </c>
      <c r="DD153" s="198">
        <f t="shared" si="541"/>
        <v>6742</v>
      </c>
      <c r="DE153" s="766">
        <f t="shared" si="541"/>
        <v>10452</v>
      </c>
      <c r="DF153" s="198">
        <f t="shared" ref="DF153:DM153" si="542">SUM(DF151:DF152)</f>
        <v>6506</v>
      </c>
      <c r="DG153" s="198">
        <f t="shared" si="542"/>
        <v>6787</v>
      </c>
      <c r="DH153" s="198">
        <f t="shared" si="542"/>
        <v>7040</v>
      </c>
      <c r="DI153" s="766">
        <f t="shared" si="542"/>
        <v>11942</v>
      </c>
      <c r="DJ153" s="1736">
        <f t="shared" si="542"/>
        <v>6665.9725182131442</v>
      </c>
      <c r="DK153" s="198">
        <f t="shared" si="542"/>
        <v>6836.5894318525461</v>
      </c>
      <c r="DL153" s="198">
        <f t="shared" si="542"/>
        <v>7106.9879507389142</v>
      </c>
      <c r="DM153" s="766">
        <f t="shared" si="542"/>
        <v>11821.938353850655</v>
      </c>
      <c r="DN153" s="761"/>
      <c r="DO153" s="766"/>
      <c r="DP153" s="226"/>
      <c r="DQ153" s="927"/>
      <c r="DR153" s="927"/>
      <c r="DS153" s="927"/>
      <c r="DT153" s="927"/>
      <c r="DU153" s="927"/>
      <c r="DV153" s="927"/>
      <c r="DW153" s="927"/>
      <c r="DX153" s="927"/>
      <c r="DY153" s="927"/>
      <c r="DZ153" s="927"/>
      <c r="EA153" s="927"/>
      <c r="EB153" s="927"/>
      <c r="EC153" s="927"/>
      <c r="ED153" s="927"/>
      <c r="EE153" s="927"/>
      <c r="EF153" s="927"/>
      <c r="EG153" s="927"/>
      <c r="EH153" s="927"/>
      <c r="EI153" s="198">
        <v>20938</v>
      </c>
      <c r="EJ153" s="198">
        <f>SUM(AX153:BA153)</f>
        <v>23122</v>
      </c>
      <c r="EK153" s="198">
        <f>SUM(BB153:BE153)</f>
        <v>27165</v>
      </c>
      <c r="EL153" s="198">
        <f>SUM(BF153:BI153)</f>
        <v>30477</v>
      </c>
      <c r="EM153" s="198">
        <f>SUM(BJ153:BM153)</f>
        <v>34017</v>
      </c>
      <c r="EN153" s="198">
        <f>SUM(BN153:BQ153)</f>
        <v>37534</v>
      </c>
      <c r="EO153" s="198">
        <f>SUM(BR153:BU153)</f>
        <v>37611</v>
      </c>
      <c r="EP153" s="198">
        <f>SUM(BV153:BY153)</f>
        <v>38356</v>
      </c>
      <c r="EQ153" s="198">
        <f>SUM(BZ153:CC153)</f>
        <v>37377</v>
      </c>
      <c r="ER153" s="198">
        <f>SUM(CD153:CG153)</f>
        <v>37632</v>
      </c>
      <c r="ES153" s="198">
        <f>SUM(CH153:CK153)</f>
        <v>37782</v>
      </c>
      <c r="ET153" s="198">
        <f>SUM(CL153:CO153)</f>
        <v>33627</v>
      </c>
      <c r="EU153" s="198">
        <f>SUM(CP153:CS153)</f>
        <v>31476</v>
      </c>
      <c r="EV153" s="198">
        <f>SUM(CT153:CW153)</f>
        <v>31292</v>
      </c>
      <c r="EW153" s="198">
        <f>SUM(CX153:DA153)</f>
        <v>30424</v>
      </c>
      <c r="EX153" s="198">
        <f>SUM(DB153:DE153)</f>
        <v>30146</v>
      </c>
      <c r="EY153" s="198">
        <f>SUM(DF153:DI153)</f>
        <v>32275</v>
      </c>
      <c r="EZ153" s="1736">
        <f>SUM(DJ153:DM153)</f>
        <v>32431.488254655258</v>
      </c>
      <c r="FA153" s="374">
        <f t="shared" ref="FA153:FE153" si="543">SUM(FA151:FA152)</f>
        <v>32781.722800693969</v>
      </c>
      <c r="FB153" s="374">
        <f t="shared" si="543"/>
        <v>33095.509833496646</v>
      </c>
      <c r="FC153" s="374">
        <f t="shared" si="543"/>
        <v>33403.656351321821</v>
      </c>
      <c r="FD153" s="374">
        <f t="shared" si="543"/>
        <v>33847.727292457756</v>
      </c>
      <c r="FE153" s="374">
        <f t="shared" si="543"/>
        <v>34309.038215930894</v>
      </c>
      <c r="FF153" s="374">
        <f>SUM(FF151:FF152)</f>
        <v>34788.449365392044</v>
      </c>
      <c r="FG153" s="374">
        <f>SUM(FG151:FG152)</f>
        <v>35286.86448504361</v>
      </c>
      <c r="FH153" s="374">
        <f>SUM(FH151:FH152)</f>
        <v>35805.233023138775</v>
      </c>
      <c r="FI153" s="413"/>
      <c r="FJ153"/>
      <c r="FK153"/>
      <c r="FL153"/>
      <c r="FM153"/>
      <c r="FN153"/>
      <c r="FO153"/>
      <c r="FP153" s="4"/>
      <c r="FQ153" s="4"/>
      <c r="FR153" s="4"/>
      <c r="FS153" s="290"/>
      <c r="FT153" s="290"/>
      <c r="FU153"/>
      <c r="FV153" s="290"/>
      <c r="FW153" s="290"/>
      <c r="FX153" s="290"/>
      <c r="FY153"/>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row>
    <row r="154" spans="1:260" s="4" customFormat="1" ht="11.25" customHeight="1" x14ac:dyDescent="0.2">
      <c r="A154" s="60"/>
      <c r="B154" s="3"/>
      <c r="C154" s="3"/>
      <c r="D154" s="3"/>
      <c r="E154" s="470"/>
      <c r="F154" s="3"/>
      <c r="G154" s="3"/>
      <c r="H154" s="3"/>
      <c r="I154" s="470"/>
      <c r="J154" s="3"/>
      <c r="K154" s="3"/>
      <c r="L154" s="3"/>
      <c r="M154" s="470"/>
      <c r="N154" s="3"/>
      <c r="O154" s="3"/>
      <c r="P154" s="3"/>
      <c r="Q154" s="470"/>
      <c r="R154" s="3"/>
      <c r="S154" s="3"/>
      <c r="T154" s="3"/>
      <c r="U154" s="470"/>
      <c r="V154" s="3"/>
      <c r="W154" s="3"/>
      <c r="X154" s="3"/>
      <c r="Y154" s="470"/>
      <c r="Z154" s="3"/>
      <c r="AA154" s="3"/>
      <c r="AB154" s="3"/>
      <c r="AC154" s="470"/>
      <c r="AD154" s="3"/>
      <c r="AE154" s="3"/>
      <c r="AF154" s="3"/>
      <c r="AG154" s="470"/>
      <c r="AH154" s="3"/>
      <c r="AI154" s="3"/>
      <c r="AJ154" s="3"/>
      <c r="AK154" s="470"/>
      <c r="AL154" s="3"/>
      <c r="AM154" s="3"/>
      <c r="AN154" s="3"/>
      <c r="AO154" s="470"/>
      <c r="AP154" s="3"/>
      <c r="AQ154" s="3"/>
      <c r="AR154" s="3"/>
      <c r="AS154" s="470"/>
      <c r="AT154" s="3"/>
      <c r="AU154" s="3"/>
      <c r="AV154" s="3"/>
      <c r="AW154" s="470"/>
      <c r="AX154" s="3"/>
      <c r="AY154" s="3"/>
      <c r="AZ154" s="3"/>
      <c r="BA154" s="470"/>
      <c r="BB154" s="7"/>
      <c r="BC154" s="7"/>
      <c r="BD154" s="3"/>
      <c r="BE154" s="484"/>
      <c r="BF154" s="7"/>
      <c r="BG154" s="7"/>
      <c r="BH154" s="7"/>
      <c r="BI154" s="484"/>
      <c r="BJ154" s="1241"/>
      <c r="BK154" s="769"/>
      <c r="BL154" s="769"/>
      <c r="BM154" s="770"/>
      <c r="BN154" s="1241"/>
      <c r="BO154" s="769"/>
      <c r="BP154" s="769"/>
      <c r="BQ154" s="770"/>
      <c r="BR154" s="1241"/>
      <c r="BS154" s="769"/>
      <c r="BT154" s="769"/>
      <c r="BU154" s="770"/>
      <c r="BV154" s="1241"/>
      <c r="BW154" s="769"/>
      <c r="BX154" s="769"/>
      <c r="BY154" s="770"/>
      <c r="BZ154" s="1241"/>
      <c r="CA154" s="769"/>
      <c r="CB154" s="769"/>
      <c r="CC154" s="770"/>
      <c r="CD154" s="1241"/>
      <c r="CE154" s="769"/>
      <c r="CF154" s="769"/>
      <c r="CG154" s="770"/>
      <c r="CH154" s="1241"/>
      <c r="CI154" s="769"/>
      <c r="CJ154" s="769"/>
      <c r="CK154" s="770"/>
      <c r="CL154" s="1241"/>
      <c r="CM154" s="769"/>
      <c r="CN154" s="769"/>
      <c r="CO154" s="770"/>
      <c r="CP154" s="1241"/>
      <c r="CQ154" s="769"/>
      <c r="CR154" s="769"/>
      <c r="CS154" s="770"/>
      <c r="CT154" s="1241"/>
      <c r="CU154" s="769"/>
      <c r="CV154" s="769"/>
      <c r="CW154" s="770"/>
      <c r="CX154" s="1241"/>
      <c r="CY154" s="769"/>
      <c r="CZ154" s="769"/>
      <c r="DA154" s="770"/>
      <c r="DB154" s="769"/>
      <c r="DC154" s="769"/>
      <c r="DD154" s="769"/>
      <c r="DE154" s="770"/>
      <c r="DF154" s="769"/>
      <c r="DG154" s="769"/>
      <c r="DH154" s="769"/>
      <c r="DI154" s="770"/>
      <c r="DJ154" s="1763"/>
      <c r="DK154" s="769"/>
      <c r="DL154" s="769"/>
      <c r="DM154" s="770"/>
      <c r="DN154" s="1241"/>
      <c r="DO154" s="484"/>
      <c r="DP154" s="3"/>
      <c r="DQ154" s="3"/>
      <c r="DR154" s="3"/>
      <c r="DS154" s="3"/>
      <c r="DT154" s="3"/>
      <c r="DU154" s="3"/>
      <c r="DV154" s="3"/>
      <c r="DW154" s="3"/>
      <c r="DX154" s="3"/>
      <c r="DY154" s="3"/>
      <c r="DZ154" s="3"/>
      <c r="EA154" s="3"/>
      <c r="EB154" s="3"/>
      <c r="EC154" s="3"/>
      <c r="ED154" s="3"/>
      <c r="EE154" s="3"/>
      <c r="EF154" s="3"/>
      <c r="EG154" s="3"/>
      <c r="EH154" s="3"/>
      <c r="EI154" s="3"/>
      <c r="EJ154" s="3"/>
      <c r="EK154" s="7"/>
      <c r="EL154" s="7"/>
      <c r="EM154" s="767"/>
      <c r="EN154" s="769"/>
      <c r="EO154" s="769"/>
      <c r="EP154" s="769"/>
      <c r="EQ154" s="769"/>
      <c r="ER154" s="769"/>
      <c r="ES154" s="769"/>
      <c r="ET154" s="769"/>
      <c r="EU154" s="769"/>
      <c r="EV154" s="769"/>
      <c r="EW154" s="769"/>
      <c r="EX154" s="769"/>
      <c r="EY154" s="769"/>
      <c r="EZ154" s="1763"/>
      <c r="FA154" s="818"/>
      <c r="FB154" s="818"/>
      <c r="FC154" s="818"/>
      <c r="FD154" s="818"/>
      <c r="FE154" s="818"/>
      <c r="FF154" s="818"/>
      <c r="FG154" s="818"/>
      <c r="FH154" s="818"/>
      <c r="FI154" s="413"/>
      <c r="FJ154"/>
      <c r="FK154"/>
      <c r="FL154"/>
      <c r="FM154"/>
      <c r="FN154"/>
      <c r="FO154"/>
      <c r="FS154"/>
      <c r="FT154"/>
      <c r="FU154"/>
      <c r="FV154" s="2625"/>
      <c r="FW154" s="2625"/>
      <c r="FX154" s="2625"/>
      <c r="FY154"/>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row>
    <row r="155" spans="1:260" s="6" customFormat="1" x14ac:dyDescent="0.2">
      <c r="A155" s="162" t="s">
        <v>353</v>
      </c>
      <c r="B155" s="213" t="s">
        <v>483</v>
      </c>
      <c r="C155" s="213" t="s">
        <v>483</v>
      </c>
      <c r="D155" s="213" t="s">
        <v>483</v>
      </c>
      <c r="E155" s="490" t="s">
        <v>483</v>
      </c>
      <c r="F155" s="213" t="s">
        <v>483</v>
      </c>
      <c r="G155" s="213" t="s">
        <v>483</v>
      </c>
      <c r="H155" s="213" t="s">
        <v>483</v>
      </c>
      <c r="I155" s="490" t="s">
        <v>483</v>
      </c>
      <c r="J155" s="213" t="s">
        <v>483</v>
      </c>
      <c r="K155" s="213" t="s">
        <v>483</v>
      </c>
      <c r="L155" s="213" t="s">
        <v>483</v>
      </c>
      <c r="M155" s="490" t="s">
        <v>483</v>
      </c>
      <c r="N155" s="213" t="s">
        <v>483</v>
      </c>
      <c r="O155" s="213" t="s">
        <v>483</v>
      </c>
      <c r="P155" s="213" t="s">
        <v>483</v>
      </c>
      <c r="Q155" s="490" t="s">
        <v>483</v>
      </c>
      <c r="R155" s="213" t="s">
        <v>483</v>
      </c>
      <c r="S155" s="213" t="s">
        <v>483</v>
      </c>
      <c r="T155" s="213" t="s">
        <v>483</v>
      </c>
      <c r="U155" s="490" t="s">
        <v>483</v>
      </c>
      <c r="V155" s="213" t="s">
        <v>483</v>
      </c>
      <c r="W155" s="213" t="s">
        <v>483</v>
      </c>
      <c r="X155" s="213" t="s">
        <v>483</v>
      </c>
      <c r="Y155" s="490" t="s">
        <v>483</v>
      </c>
      <c r="Z155" s="213" t="s">
        <v>483</v>
      </c>
      <c r="AA155" s="213" t="s">
        <v>483</v>
      </c>
      <c r="AB155" s="213" t="s">
        <v>483</v>
      </c>
      <c r="AC155" s="490" t="s">
        <v>483</v>
      </c>
      <c r="AD155" s="213" t="s">
        <v>483</v>
      </c>
      <c r="AE155" s="213" t="s">
        <v>483</v>
      </c>
      <c r="AF155" s="213" t="s">
        <v>483</v>
      </c>
      <c r="AG155" s="490" t="s">
        <v>483</v>
      </c>
      <c r="AH155" s="213" t="s">
        <v>483</v>
      </c>
      <c r="AI155" s="213" t="s">
        <v>483</v>
      </c>
      <c r="AJ155" s="213" t="s">
        <v>483</v>
      </c>
      <c r="AK155" s="490" t="s">
        <v>483</v>
      </c>
      <c r="AL155" s="213" t="s">
        <v>483</v>
      </c>
      <c r="AM155" s="213" t="s">
        <v>483</v>
      </c>
      <c r="AN155" s="213" t="s">
        <v>483</v>
      </c>
      <c r="AO155" s="490" t="s">
        <v>483</v>
      </c>
      <c r="AP155" s="213" t="s">
        <v>483</v>
      </c>
      <c r="AQ155" s="213" t="s">
        <v>483</v>
      </c>
      <c r="AR155" s="213" t="s">
        <v>483</v>
      </c>
      <c r="AS155" s="490" t="s">
        <v>483</v>
      </c>
      <c r="AT155" s="213" t="s">
        <v>483</v>
      </c>
      <c r="AU155" s="213" t="s">
        <v>483</v>
      </c>
      <c r="AV155" s="213" t="s">
        <v>483</v>
      </c>
      <c r="AW155" s="490" t="s">
        <v>483</v>
      </c>
      <c r="AX155" s="806">
        <f>'Income Statement'!AX157-'Income Statement'!AX156</f>
        <v>1410.89</v>
      </c>
      <c r="AY155" s="806">
        <f>'Income Statement'!AY157-'Income Statement'!AY156</f>
        <v>1542.5050000000001</v>
      </c>
      <c r="AZ155" s="806">
        <f>'Income Statement'!AZ157-'Income Statement'!AZ156</f>
        <v>1600.296</v>
      </c>
      <c r="BA155" s="913">
        <f>'Income Statement'!BA157-'Income Statement'!BA156</f>
        <v>2377.36</v>
      </c>
      <c r="BB155" s="806">
        <f>'Income Statement'!BB157-'Income Statement'!BB156</f>
        <v>1578.502</v>
      </c>
      <c r="BC155" s="806">
        <f>'Income Statement'!BC157-'Income Statement'!BC156</f>
        <v>1684.9780000000001</v>
      </c>
      <c r="BD155" s="806">
        <f>'Income Statement'!BD157-'Income Statement'!BD156</f>
        <v>1720.1100000000001</v>
      </c>
      <c r="BE155" s="913">
        <f>'Income Statement'!BE157-'Income Statement'!BE156</f>
        <v>2725.85</v>
      </c>
      <c r="BF155" s="806">
        <f>'Income Statement'!BF157-'Income Statement'!BF156</f>
        <v>1648.623</v>
      </c>
      <c r="BG155" s="806">
        <f>'Income Statement'!BG157-'Income Statement'!BG156</f>
        <v>1817.6079999999999</v>
      </c>
      <c r="BH155" s="806">
        <f>'Income Statement'!BH157-'Income Statement'!BH156</f>
        <v>1982.268</v>
      </c>
      <c r="BI155" s="913">
        <f>'Income Statement'!BI157-'Income Statement'!BI156</f>
        <v>2711.0940000000001</v>
      </c>
      <c r="BJ155" s="1379">
        <f>'Income Statement'!BJ157-'Income Statement'!BJ156</f>
        <v>1820.989</v>
      </c>
      <c r="BK155" s="806">
        <f>'Income Statement'!BK157-'Income Statement'!BK156</f>
        <v>2025.7159999999999</v>
      </c>
      <c r="BL155" s="806">
        <f>'Income Statement'!BL157-'Income Statement'!BL156</f>
        <v>1998.6559999999999</v>
      </c>
      <c r="BM155" s="913">
        <f>'Income Statement'!BM157-'Income Statement'!BM156</f>
        <v>2774.308</v>
      </c>
      <c r="BN155" s="1379">
        <f>'Income Statement'!BN157-'Income Statement'!BN156</f>
        <v>1888.8</v>
      </c>
      <c r="BO155" s="806">
        <f>'Income Statement'!BO157-'Income Statement'!BO156</f>
        <v>2010.74</v>
      </c>
      <c r="BP155" s="806">
        <f>'Income Statement'!BP157-'Income Statement'!BP156</f>
        <v>2156.3780000000002</v>
      </c>
      <c r="BQ155" s="913">
        <f>'Income Statement'!BQ157-'Income Statement'!BQ156</f>
        <v>2968.8739999999998</v>
      </c>
      <c r="BR155" s="1379">
        <f>'Income Statement'!BR157-'Income Statement'!BR156</f>
        <v>2039.768</v>
      </c>
      <c r="BS155" s="806">
        <f>'Income Statement'!BS157-'Income Statement'!BS156</f>
        <v>2174.8319999999999</v>
      </c>
      <c r="BT155" s="806">
        <f>'Income Statement'!BT157-'Income Statement'!BT156</f>
        <v>2181.64</v>
      </c>
      <c r="BU155" s="913">
        <f>'Income Statement'!BU157-'Income Statement'!BU156</f>
        <v>2977.779</v>
      </c>
      <c r="BV155" s="1379">
        <f>'Income Statement'!BV157-'Income Statement'!BV156</f>
        <v>1970.021</v>
      </c>
      <c r="BW155" s="806">
        <f>'Income Statement'!BW157-'Income Statement'!BW156</f>
        <v>2100.8559999999998</v>
      </c>
      <c r="BX155" s="806">
        <f>'Income Statement'!BX157-'Income Statement'!BX156</f>
        <v>2108.36</v>
      </c>
      <c r="BY155" s="913">
        <f>'Income Statement'!BY157-'Income Statement'!BY156</f>
        <v>3034.2449999999999</v>
      </c>
      <c r="BZ155" s="1379">
        <v>2117</v>
      </c>
      <c r="CA155" s="806">
        <v>2119</v>
      </c>
      <c r="CB155" s="806">
        <v>2087</v>
      </c>
      <c r="CC155" s="913">
        <v>2969</v>
      </c>
      <c r="CD155" s="1379">
        <v>2147</v>
      </c>
      <c r="CE155" s="806">
        <v>2026</v>
      </c>
      <c r="CF155" s="806">
        <v>2033</v>
      </c>
      <c r="CG155" s="913">
        <v>2829</v>
      </c>
      <c r="CH155" s="1379">
        <v>2233</v>
      </c>
      <c r="CI155" s="806">
        <v>1896</v>
      </c>
      <c r="CJ155" s="806">
        <v>1855</v>
      </c>
      <c r="CK155" s="913">
        <v>2810</v>
      </c>
      <c r="CL155" s="1379">
        <v>2233</v>
      </c>
      <c r="CM155" s="806">
        <v>1896</v>
      </c>
      <c r="CN155" s="806">
        <v>1855</v>
      </c>
      <c r="CO155" s="913">
        <v>2810</v>
      </c>
      <c r="CP155" s="1379">
        <v>1859</v>
      </c>
      <c r="CQ155" s="806">
        <f>2125-264</f>
        <v>1861</v>
      </c>
      <c r="CR155" s="806">
        <v>1836</v>
      </c>
      <c r="CS155" s="913">
        <v>2454</v>
      </c>
      <c r="CT155" s="1379">
        <v>1763</v>
      </c>
      <c r="CU155" s="806">
        <v>1778</v>
      </c>
      <c r="CV155" s="806">
        <v>1841</v>
      </c>
      <c r="CW155" s="913">
        <v>2698</v>
      </c>
      <c r="CX155" s="2026">
        <f>1886-78</f>
        <v>1808</v>
      </c>
      <c r="CY155" s="2027">
        <f>1946-10</f>
        <v>1936</v>
      </c>
      <c r="CZ155" s="2027">
        <v>1948</v>
      </c>
      <c r="DA155" s="2028">
        <v>2704</v>
      </c>
      <c r="DB155" s="2027">
        <v>1803</v>
      </c>
      <c r="DC155" s="2027">
        <v>1895</v>
      </c>
      <c r="DD155" s="2027">
        <v>2020</v>
      </c>
      <c r="DE155" s="2028">
        <v>2749</v>
      </c>
      <c r="DF155" s="2027">
        <v>1871</v>
      </c>
      <c r="DG155" s="2027">
        <v>1985</v>
      </c>
      <c r="DH155" s="2027">
        <v>2096</v>
      </c>
      <c r="DI155" s="2028">
        <v>3113</v>
      </c>
      <c r="DJ155" s="1678">
        <f>DJ179*'Revenue Model'!DJ147</f>
        <v>1899.7583184372274</v>
      </c>
      <c r="DK155" s="806">
        <f>DK179*'Revenue Model'!DK147</f>
        <v>1988.402264340024</v>
      </c>
      <c r="DL155" s="806">
        <f>DL179*'Revenue Model'!DL147</f>
        <v>2105.9228170050033</v>
      </c>
      <c r="DM155" s="913">
        <f>DM179*'Revenue Model'!DM147</f>
        <v>3071.9365784331458</v>
      </c>
      <c r="DN155" s="914"/>
      <c r="DO155" s="913"/>
      <c r="DP155" s="806"/>
      <c r="DQ155" s="213" t="s">
        <v>483</v>
      </c>
      <c r="DR155" s="213" t="s">
        <v>483</v>
      </c>
      <c r="DS155" s="213" t="s">
        <v>483</v>
      </c>
      <c r="DT155" s="213" t="s">
        <v>483</v>
      </c>
      <c r="DU155" s="213" t="s">
        <v>483</v>
      </c>
      <c r="DV155" s="213" t="s">
        <v>483</v>
      </c>
      <c r="DW155" s="213" t="s">
        <v>483</v>
      </c>
      <c r="DX155" s="213" t="s">
        <v>483</v>
      </c>
      <c r="DY155" s="213" t="s">
        <v>483</v>
      </c>
      <c r="DZ155" s="213" t="s">
        <v>483</v>
      </c>
      <c r="EA155" s="213" t="s">
        <v>483</v>
      </c>
      <c r="EB155" s="213" t="s">
        <v>483</v>
      </c>
      <c r="EC155" s="213" t="s">
        <v>483</v>
      </c>
      <c r="ED155" s="213" t="s">
        <v>483</v>
      </c>
      <c r="EE155" s="213" t="s">
        <v>483</v>
      </c>
      <c r="EF155" s="213" t="s">
        <v>483</v>
      </c>
      <c r="EG155" s="213" t="s">
        <v>483</v>
      </c>
      <c r="EH155" s="213" t="s">
        <v>483</v>
      </c>
      <c r="EI155" s="806">
        <f>'Income Statement'!EI157-'Income Statement'!EI156</f>
        <v>5860.4</v>
      </c>
      <c r="EJ155" s="806">
        <f>SUM(AX155:BA155)</f>
        <v>6931.0510000000013</v>
      </c>
      <c r="EK155" s="806">
        <f>SUM(BB155:BE155)</f>
        <v>7709.4400000000005</v>
      </c>
      <c r="EL155" s="806">
        <f>SUM(BF155:BI155)</f>
        <v>8159.5929999999998</v>
      </c>
      <c r="EM155" s="806">
        <f>SUM(BJ155:BM155)</f>
        <v>8619.6689999999999</v>
      </c>
      <c r="EN155" s="806">
        <f>SUM(BN155:BQ155)</f>
        <v>9024.7919999999995</v>
      </c>
      <c r="EO155" s="806">
        <f>SUM(BR155:BU155)</f>
        <v>9374.0190000000002</v>
      </c>
      <c r="EP155" s="806">
        <f>SUM(BV155:BY155)</f>
        <v>9213.482</v>
      </c>
      <c r="EQ155" s="806">
        <f>SUM(BZ155:CC155)</f>
        <v>9292</v>
      </c>
      <c r="ER155" s="806">
        <f>SUM(CD155:CG155)</f>
        <v>9035</v>
      </c>
      <c r="ES155" s="806">
        <f>SUM(CH155:CK155)</f>
        <v>8794</v>
      </c>
      <c r="ET155" s="806">
        <f>SUM(CL155:CO155)</f>
        <v>8794</v>
      </c>
      <c r="EU155" s="806">
        <f>SUM(CP155:CS155)</f>
        <v>8010</v>
      </c>
      <c r="EV155" s="806">
        <f>SUM(CT155:CW155)</f>
        <v>8080</v>
      </c>
      <c r="EW155" s="806">
        <f>SUM(CX155:DA155)</f>
        <v>8396</v>
      </c>
      <c r="EX155" s="806">
        <f>SUM(DB155:DE155)</f>
        <v>8467</v>
      </c>
      <c r="EY155" s="806">
        <f>SUM(DF155:DI155)</f>
        <v>9065</v>
      </c>
      <c r="EZ155" s="1678">
        <f>SUM(DJ155:DM155)</f>
        <v>9066.0199782154014</v>
      </c>
      <c r="FA155" s="806">
        <f>FA179*'Revenue Model'!FA147</f>
        <v>9136.6372667228588</v>
      </c>
      <c r="FB155" s="806">
        <f>FB179*'Revenue Model'!FB147</f>
        <v>9238.546243376597</v>
      </c>
      <c r="FC155" s="806">
        <f>FC179*'Revenue Model'!FC147</f>
        <v>9304.78354370741</v>
      </c>
      <c r="FD155" s="806">
        <f>FD179*'Revenue Model'!FD147</f>
        <v>9411.7432932338215</v>
      </c>
      <c r="FE155" s="806">
        <f>FE179*'Revenue Model'!FE147</f>
        <v>9523.2076571417947</v>
      </c>
      <c r="FF155" s="806">
        <f>FF179*'Revenue Model'!FF147</f>
        <v>9639.3934102100247</v>
      </c>
      <c r="FG155" s="806">
        <f>FG179*'Revenue Model'!FG147</f>
        <v>9760.5276008981273</v>
      </c>
      <c r="FH155" s="806">
        <f>FH179*'Revenue Model'!FH147</f>
        <v>9886.8480370285324</v>
      </c>
      <c r="FI155" s="413"/>
      <c r="FJ155"/>
      <c r="FK155"/>
      <c r="FL155"/>
      <c r="FM155"/>
      <c r="FN155"/>
      <c r="FO155"/>
      <c r="FP155" s="4"/>
      <c r="FQ155" s="4"/>
      <c r="FR155" s="4"/>
      <c r="FS155" s="806"/>
      <c r="FT155" s="806"/>
      <c r="FU155"/>
      <c r="FV155" s="806"/>
      <c r="FW155" s="806"/>
      <c r="FX155" s="806"/>
      <c r="FY155"/>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row>
    <row r="156" spans="1:260" s="6" customFormat="1" x14ac:dyDescent="0.2">
      <c r="A156" s="162" t="s">
        <v>23</v>
      </c>
      <c r="B156" s="213" t="s">
        <v>483</v>
      </c>
      <c r="C156" s="213" t="s">
        <v>483</v>
      </c>
      <c r="D156" s="213" t="s">
        <v>483</v>
      </c>
      <c r="E156" s="490" t="s">
        <v>483</v>
      </c>
      <c r="F156" s="213" t="s">
        <v>483</v>
      </c>
      <c r="G156" s="213" t="s">
        <v>483</v>
      </c>
      <c r="H156" s="213" t="s">
        <v>483</v>
      </c>
      <c r="I156" s="490" t="s">
        <v>483</v>
      </c>
      <c r="J156" s="213" t="s">
        <v>483</v>
      </c>
      <c r="K156" s="213" t="s">
        <v>483</v>
      </c>
      <c r="L156" s="213" t="s">
        <v>483</v>
      </c>
      <c r="M156" s="490" t="s">
        <v>483</v>
      </c>
      <c r="N156" s="213" t="s">
        <v>483</v>
      </c>
      <c r="O156" s="213" t="s">
        <v>483</v>
      </c>
      <c r="P156" s="213" t="s">
        <v>483</v>
      </c>
      <c r="Q156" s="490" t="s">
        <v>483</v>
      </c>
      <c r="R156" s="213" t="s">
        <v>483</v>
      </c>
      <c r="S156" s="213" t="s">
        <v>483</v>
      </c>
      <c r="T156" s="213" t="s">
        <v>483</v>
      </c>
      <c r="U156" s="490" t="s">
        <v>483</v>
      </c>
      <c r="V156" s="213" t="s">
        <v>483</v>
      </c>
      <c r="W156" s="213" t="s">
        <v>483</v>
      </c>
      <c r="X156" s="213" t="s">
        <v>483</v>
      </c>
      <c r="Y156" s="490" t="s">
        <v>483</v>
      </c>
      <c r="Z156" s="213" t="s">
        <v>483</v>
      </c>
      <c r="AA156" s="213" t="s">
        <v>483</v>
      </c>
      <c r="AB156" s="213" t="s">
        <v>483</v>
      </c>
      <c r="AC156" s="490" t="s">
        <v>483</v>
      </c>
      <c r="AD156" s="213" t="s">
        <v>483</v>
      </c>
      <c r="AE156" s="213" t="s">
        <v>483</v>
      </c>
      <c r="AF156" s="213" t="s">
        <v>483</v>
      </c>
      <c r="AG156" s="490" t="s">
        <v>483</v>
      </c>
      <c r="AH156" s="213" t="s">
        <v>483</v>
      </c>
      <c r="AI156" s="213" t="s">
        <v>483</v>
      </c>
      <c r="AJ156" s="213" t="s">
        <v>483</v>
      </c>
      <c r="AK156" s="490" t="s">
        <v>483</v>
      </c>
      <c r="AL156" s="213" t="s">
        <v>483</v>
      </c>
      <c r="AM156" s="213" t="s">
        <v>483</v>
      </c>
      <c r="AN156" s="213" t="s">
        <v>483</v>
      </c>
      <c r="AO156" s="490" t="s">
        <v>483</v>
      </c>
      <c r="AP156" s="213" t="s">
        <v>483</v>
      </c>
      <c r="AQ156" s="213" t="s">
        <v>483</v>
      </c>
      <c r="AR156" s="213" t="s">
        <v>483</v>
      </c>
      <c r="AS156" s="490" t="s">
        <v>483</v>
      </c>
      <c r="AT156" s="213" t="s">
        <v>483</v>
      </c>
      <c r="AU156" s="213" t="s">
        <v>483</v>
      </c>
      <c r="AV156" s="213" t="s">
        <v>483</v>
      </c>
      <c r="AW156" s="490" t="s">
        <v>483</v>
      </c>
      <c r="AX156" s="806">
        <f>'Revenue Model'!AX398*'Income Statement'!AX183</f>
        <v>147.10999999999999</v>
      </c>
      <c r="AY156" s="806">
        <f>'Revenue Model'!AY398*'Income Statement'!AY183</f>
        <v>168.495</v>
      </c>
      <c r="AZ156" s="806">
        <f>'Revenue Model'!AZ398*'Income Statement'!AZ183</f>
        <v>187.70400000000001</v>
      </c>
      <c r="BA156" s="913">
        <f>'Revenue Model'!BA398*'Income Statement'!BA183</f>
        <v>291.64</v>
      </c>
      <c r="BB156" s="806">
        <f>'Revenue Model'!BB398*'Income Statement'!BB183</f>
        <v>186.49800000000002</v>
      </c>
      <c r="BC156" s="806">
        <f>'Revenue Model'!BC398*'Income Statement'!BC183</f>
        <v>217.02199999999999</v>
      </c>
      <c r="BD156" s="806">
        <f>'Revenue Model'!BD398*'Income Statement'!BD183</f>
        <v>274.89</v>
      </c>
      <c r="BE156" s="913">
        <f>'Revenue Model'!BE398*'Income Statement'!BE183</f>
        <v>381.15</v>
      </c>
      <c r="BF156" s="806">
        <f>'Revenue Model'!BF398*'Income Statement'!BF183</f>
        <v>243.37700000000001</v>
      </c>
      <c r="BG156" s="806">
        <f>'Revenue Model'!BG398*'Income Statement'!BG183</f>
        <v>321.392</v>
      </c>
      <c r="BH156" s="806">
        <f>'Revenue Model'!BH398*'Income Statement'!BH183</f>
        <v>354.73199999999997</v>
      </c>
      <c r="BI156" s="913">
        <f>'Revenue Model'!BI398*'Income Statement'!BI183</f>
        <v>466.90600000000001</v>
      </c>
      <c r="BJ156" s="1379">
        <f>'Revenue Model'!BJ398*'Income Statement'!BJ183</f>
        <v>312.01100000000002</v>
      </c>
      <c r="BK156" s="806">
        <f>'Revenue Model'!BK398*'Income Statement'!BK183</f>
        <v>355.28399999999999</v>
      </c>
      <c r="BL156" s="806">
        <f>'Revenue Model'!BL398*'Income Statement'!BL183</f>
        <v>862.34400000000005</v>
      </c>
      <c r="BM156" s="913">
        <f>'Revenue Model'!BM398*'Income Statement'!BM183</f>
        <v>848.69200000000001</v>
      </c>
      <c r="BN156" s="1379">
        <f>'Revenue Model'!BN398*'Income Statement'!BN183</f>
        <v>668.2</v>
      </c>
      <c r="BO156" s="806">
        <f>'Revenue Model'!BO398*'Income Statement'!BO183</f>
        <v>673.26</v>
      </c>
      <c r="BP156" s="806">
        <f>'Revenue Model'!BP398*'Income Statement'!BP183</f>
        <v>785.62199999999996</v>
      </c>
      <c r="BQ156" s="913">
        <f>'Revenue Model'!BQ398*'Income Statement'!BQ183</f>
        <v>1008.126</v>
      </c>
      <c r="BR156" s="1379">
        <f>'Revenue Model'!BR398*'Income Statement'!BR183</f>
        <v>753.23200000000008</v>
      </c>
      <c r="BS156" s="806">
        <f>'Revenue Model'!BS398*'Income Statement'!BS183</f>
        <v>743.16800000000001</v>
      </c>
      <c r="BT156" s="806">
        <f>'Revenue Model'!BT398*'Income Statement'!BT183</f>
        <v>801.36</v>
      </c>
      <c r="BU156" s="913">
        <f>'Revenue Model'!BU398*'Income Statement'!BU183</f>
        <v>989.221</v>
      </c>
      <c r="BV156" s="1379">
        <f>'Revenue Model'!BV398*'Income Statement'!BV183</f>
        <v>797.97900000000004</v>
      </c>
      <c r="BW156" s="806">
        <f>'Revenue Model'!BW398*'Income Statement'!BW183</f>
        <v>771.14400000000001</v>
      </c>
      <c r="BX156" s="806">
        <f>'Revenue Model'!BX398*'Income Statement'!BX183</f>
        <v>835.64</v>
      </c>
      <c r="BY156" s="913">
        <f>'Revenue Model'!BY398*'Income Statement'!BY183</f>
        <v>1041.7550000000001</v>
      </c>
      <c r="BZ156" s="1379">
        <v>738</v>
      </c>
      <c r="CA156" s="806">
        <v>707</v>
      </c>
      <c r="CB156" s="806">
        <v>788</v>
      </c>
      <c r="CC156" s="913">
        <f>991+9</f>
        <v>1000</v>
      </c>
      <c r="CD156" s="1379">
        <v>774</v>
      </c>
      <c r="CE156" s="806">
        <v>736</v>
      </c>
      <c r="CF156" s="806">
        <v>820</v>
      </c>
      <c r="CG156" s="913">
        <f>3873-'Income Statement'!CG155</f>
        <v>1044</v>
      </c>
      <c r="CH156" s="1379">
        <v>674</v>
      </c>
      <c r="CI156" s="806">
        <v>668</v>
      </c>
      <c r="CJ156" s="806">
        <v>731</v>
      </c>
      <c r="CK156" s="913">
        <f>'Income Statement'!CK157-'Income Statement'!CK155</f>
        <v>972</v>
      </c>
      <c r="CL156" s="1379">
        <v>351</v>
      </c>
      <c r="CM156" s="806">
        <v>365</v>
      </c>
      <c r="CN156" s="806">
        <v>373</v>
      </c>
      <c r="CO156" s="913">
        <f>535</f>
        <v>535</v>
      </c>
      <c r="CP156" s="1379">
        <v>246</v>
      </c>
      <c r="CQ156" s="806">
        <v>248</v>
      </c>
      <c r="CR156" s="806">
        <v>257</v>
      </c>
      <c r="CS156" s="913">
        <v>374</v>
      </c>
      <c r="CT156" s="1379">
        <v>204</v>
      </c>
      <c r="CU156" s="806">
        <v>200</v>
      </c>
      <c r="CV156" s="806">
        <v>235</v>
      </c>
      <c r="CW156" s="913">
        <v>328</v>
      </c>
      <c r="CX156" s="2026">
        <f>144+8</f>
        <v>152</v>
      </c>
      <c r="CY156" s="2027">
        <f>152-3</f>
        <v>149</v>
      </c>
      <c r="CZ156" s="2027">
        <f>-8+CZ161</f>
        <v>163</v>
      </c>
      <c r="DA156" s="2028">
        <f>247-2-1</f>
        <v>244</v>
      </c>
      <c r="DB156" s="2027">
        <v>159</v>
      </c>
      <c r="DC156" s="2027">
        <v>167</v>
      </c>
      <c r="DD156" s="2027">
        <v>183</v>
      </c>
      <c r="DE156" s="2028">
        <v>281</v>
      </c>
      <c r="DF156" s="2027">
        <v>151</v>
      </c>
      <c r="DG156" s="2027">
        <v>168</v>
      </c>
      <c r="DH156" s="2027">
        <v>184</v>
      </c>
      <c r="DI156" s="2028">
        <v>308</v>
      </c>
      <c r="DJ156" s="1678">
        <f>DJ183*'Revenue Model'!DJ325</f>
        <v>145.49930926829271</v>
      </c>
      <c r="DK156" s="806">
        <f>DK183*'Revenue Model'!DK325</f>
        <v>163.97702350993376</v>
      </c>
      <c r="DL156" s="806">
        <f>DL183*'Revenue Model'!DL325</f>
        <v>185.04109</v>
      </c>
      <c r="DM156" s="913">
        <f>DM183*'Revenue Model'!DM325</f>
        <v>322.98160000000001</v>
      </c>
      <c r="DN156" s="914"/>
      <c r="DO156" s="913"/>
      <c r="DP156" s="806"/>
      <c r="DQ156" s="213" t="s">
        <v>483</v>
      </c>
      <c r="DR156" s="213" t="s">
        <v>483</v>
      </c>
      <c r="DS156" s="213" t="s">
        <v>483</v>
      </c>
      <c r="DT156" s="213" t="s">
        <v>483</v>
      </c>
      <c r="DU156" s="213" t="s">
        <v>483</v>
      </c>
      <c r="DV156" s="213" t="s">
        <v>483</v>
      </c>
      <c r="DW156" s="213" t="s">
        <v>483</v>
      </c>
      <c r="DX156" s="213" t="s">
        <v>483</v>
      </c>
      <c r="DY156" s="213" t="s">
        <v>483</v>
      </c>
      <c r="DZ156" s="213" t="s">
        <v>483</v>
      </c>
      <c r="EA156" s="213" t="s">
        <v>483</v>
      </c>
      <c r="EB156" s="213" t="s">
        <v>483</v>
      </c>
      <c r="EC156" s="213" t="s">
        <v>483</v>
      </c>
      <c r="ED156" s="213" t="s">
        <v>483</v>
      </c>
      <c r="EE156" s="213" t="s">
        <v>483</v>
      </c>
      <c r="EF156" s="213" t="s">
        <v>483</v>
      </c>
      <c r="EG156" s="213" t="s">
        <v>483</v>
      </c>
      <c r="EH156" s="213" t="s">
        <v>483</v>
      </c>
      <c r="EI156" s="806">
        <f>'Revenue Model'!EI398*'Income Statement'!EI183</f>
        <v>633.6</v>
      </c>
      <c r="EJ156" s="806">
        <f>SUM(AX156:BA156)</f>
        <v>794.94900000000007</v>
      </c>
      <c r="EK156" s="806">
        <f>SUM(BB156:BE156)</f>
        <v>1059.56</v>
      </c>
      <c r="EL156" s="806">
        <f>SUM(BF156:BI156)</f>
        <v>1386.4069999999999</v>
      </c>
      <c r="EM156" s="806">
        <f>SUM(BJ156:BM156)</f>
        <v>2378.3310000000001</v>
      </c>
      <c r="EN156" s="806">
        <f>SUM(BN156:BQ156)</f>
        <v>3135.2079999999996</v>
      </c>
      <c r="EO156" s="806">
        <f>SUM(BR156:BU156)</f>
        <v>3286.9810000000002</v>
      </c>
      <c r="EP156" s="806">
        <f>SUM(BV156:BY156)</f>
        <v>3446.518</v>
      </c>
      <c r="EQ156" s="806">
        <f>SUM(BZ156:CC156)</f>
        <v>3233</v>
      </c>
      <c r="ER156" s="806">
        <f>SUM(CD156:CG156)</f>
        <v>3374</v>
      </c>
      <c r="ES156" s="806">
        <f>SUM(CH156:CK156)</f>
        <v>3045</v>
      </c>
      <c r="ET156" s="806">
        <f>SUM(CL156:CO156)</f>
        <v>1624</v>
      </c>
      <c r="EU156" s="806">
        <f>SUM(CP156:CS156)</f>
        <v>1125</v>
      </c>
      <c r="EV156" s="806">
        <f>SUM(CT156:CW156)</f>
        <v>967</v>
      </c>
      <c r="EW156" s="806">
        <f>SUM(CX156:DA156)</f>
        <v>708</v>
      </c>
      <c r="EX156" s="806">
        <f>SUM(DB156:DE156)</f>
        <v>790</v>
      </c>
      <c r="EY156" s="806">
        <f>SUM(DF156:DI156)</f>
        <v>811</v>
      </c>
      <c r="EZ156" s="1678">
        <f>SUM(DJ156:DM156)</f>
        <v>817.4990227782265</v>
      </c>
      <c r="FA156" s="806">
        <f>FA183*'Revenue Model'!FA325</f>
        <v>823.14567115114096</v>
      </c>
      <c r="FB156" s="806">
        <f>FB183*'Revenue Model'!FB325</f>
        <v>832.02793609693572</v>
      </c>
      <c r="FC156" s="806">
        <f>FC183*'Revenue Model'!FC325</f>
        <v>833.639054859113</v>
      </c>
      <c r="FD156" s="806">
        <f>FD183*'Revenue Model'!FD325</f>
        <v>835.24583728573089</v>
      </c>
      <c r="FE156" s="806">
        <f>FE183*'Revenue Model'!FE325</f>
        <v>836.84831493157583</v>
      </c>
      <c r="FF156" s="806">
        <f>FF183*'Revenue Model'!FF325</f>
        <v>838.44651897845097</v>
      </c>
      <c r="FG156" s="806">
        <f>FG183*'Revenue Model'!FG325</f>
        <v>840.04048024126348</v>
      </c>
      <c r="FH156" s="806">
        <f>FH183*'Revenue Model'!FH325</f>
        <v>841.63022917398644</v>
      </c>
      <c r="FI156" s="413"/>
      <c r="FJ156"/>
      <c r="FK156"/>
      <c r="FL156"/>
      <c r="FM156"/>
      <c r="FN156"/>
      <c r="FO156"/>
      <c r="FP156" s="4"/>
      <c r="FQ156" s="4"/>
      <c r="FR156" s="4"/>
      <c r="FS156" s="806"/>
      <c r="FT156" s="806"/>
      <c r="FU156"/>
      <c r="FV156" s="806"/>
      <c r="FW156" s="806"/>
      <c r="FX156" s="806"/>
      <c r="FY156"/>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row>
    <row r="157" spans="1:260" s="3" customFormat="1" x14ac:dyDescent="0.2">
      <c r="A157" s="441" t="s">
        <v>581</v>
      </c>
      <c r="B157" s="926"/>
      <c r="C157" s="927"/>
      <c r="D157" s="927"/>
      <c r="E157" s="928"/>
      <c r="F157" s="926"/>
      <c r="G157" s="927"/>
      <c r="H157" s="927"/>
      <c r="I157" s="928"/>
      <c r="J157" s="926"/>
      <c r="K157" s="927"/>
      <c r="L157" s="927"/>
      <c r="M157" s="928"/>
      <c r="N157" s="926"/>
      <c r="O157" s="927"/>
      <c r="P157" s="927"/>
      <c r="Q157" s="928"/>
      <c r="R157" s="926"/>
      <c r="S157" s="927"/>
      <c r="T157" s="927"/>
      <c r="U157" s="928"/>
      <c r="V157" s="926"/>
      <c r="W157" s="927"/>
      <c r="X157" s="927"/>
      <c r="Y157" s="928"/>
      <c r="Z157" s="926"/>
      <c r="AA157" s="927"/>
      <c r="AB157" s="927"/>
      <c r="AC157" s="928"/>
      <c r="AD157" s="926"/>
      <c r="AE157" s="927"/>
      <c r="AF157" s="927"/>
      <c r="AG157" s="928"/>
      <c r="AH157" s="926"/>
      <c r="AI157" s="927"/>
      <c r="AJ157" s="927"/>
      <c r="AK157" s="928"/>
      <c r="AL157" s="926"/>
      <c r="AM157" s="927"/>
      <c r="AN157" s="927"/>
      <c r="AO157" s="928"/>
      <c r="AP157" s="926"/>
      <c r="AQ157" s="927"/>
      <c r="AR157" s="927"/>
      <c r="AS157" s="928"/>
      <c r="AT157" s="926"/>
      <c r="AU157" s="927"/>
      <c r="AV157" s="927"/>
      <c r="AW157" s="928"/>
      <c r="AX157" s="290">
        <f>'Revenue Model'!AX404-'Income Statement'!AX153</f>
        <v>1558</v>
      </c>
      <c r="AY157" s="290">
        <f>'Revenue Model'!AY404-'Income Statement'!AY153</f>
        <v>1711</v>
      </c>
      <c r="AZ157" s="290">
        <f>'Revenue Model'!AZ404-'Income Statement'!AZ153</f>
        <v>1788</v>
      </c>
      <c r="BA157" s="577">
        <f>'Revenue Model'!BA404-'Income Statement'!BA153</f>
        <v>2669</v>
      </c>
      <c r="BB157" s="290">
        <f>'Revenue Model'!BB404-'Income Statement'!BB153</f>
        <v>1765</v>
      </c>
      <c r="BC157" s="290">
        <f>'Revenue Model'!BC404-'Income Statement'!BC153</f>
        <v>1902</v>
      </c>
      <c r="BD157" s="290">
        <f>'Revenue Model'!BD404-'Income Statement'!BD153</f>
        <v>1995</v>
      </c>
      <c r="BE157" s="577">
        <f>'Revenue Model'!BE404-'Income Statement'!BE153</f>
        <v>3107</v>
      </c>
      <c r="BF157" s="290">
        <f>'Revenue Model'!BF404-'Income Statement'!BF153</f>
        <v>1892</v>
      </c>
      <c r="BG157" s="290">
        <f>'Revenue Model'!BG404-'Income Statement'!BG153</f>
        <v>2139</v>
      </c>
      <c r="BH157" s="290">
        <f>'Revenue Model'!BH404-'Income Statement'!BH153</f>
        <v>2337</v>
      </c>
      <c r="BI157" s="577">
        <f>'Revenue Model'!BI404-'Income Statement'!BI153</f>
        <v>3178</v>
      </c>
      <c r="BJ157" s="761">
        <f>'Revenue Model'!BJ404-'Income Statement'!BJ153</f>
        <v>2133</v>
      </c>
      <c r="BK157" s="198">
        <f>'Revenue Model'!BK404-'Income Statement'!BK153</f>
        <v>2381</v>
      </c>
      <c r="BL157" s="198">
        <f>'Revenue Model'!BL404-'Income Statement'!BL153</f>
        <v>2861</v>
      </c>
      <c r="BM157" s="766">
        <f>'Revenue Model'!BM404-'Income Statement'!BM153</f>
        <v>3623</v>
      </c>
      <c r="BN157" s="761">
        <f>'Revenue Model'!BN404-'Income Statement'!BN153</f>
        <v>2557</v>
      </c>
      <c r="BO157" s="198">
        <f>'Revenue Model'!BO404-'Income Statement'!BO153</f>
        <v>2684</v>
      </c>
      <c r="BP157" s="198">
        <f>'Revenue Model'!BP404-'Income Statement'!BP153</f>
        <v>2942</v>
      </c>
      <c r="BQ157" s="766">
        <f>'Revenue Model'!BQ404-'Income Statement'!BQ153</f>
        <v>3977</v>
      </c>
      <c r="BR157" s="761">
        <f>'Revenue Model'!BR404-'Income Statement'!BR153</f>
        <v>2793</v>
      </c>
      <c r="BS157" s="198">
        <f>'Revenue Model'!BS404-'Income Statement'!BS153</f>
        <v>2918</v>
      </c>
      <c r="BT157" s="198">
        <f>'Revenue Model'!BT404-'Income Statement'!BT153</f>
        <v>2983</v>
      </c>
      <c r="BU157" s="766">
        <f>'Revenue Model'!BU404-'Income Statement'!BU153</f>
        <v>3967</v>
      </c>
      <c r="BV157" s="761">
        <f>'Revenue Model'!BV404-'Income Statement'!BV153</f>
        <v>2768</v>
      </c>
      <c r="BW157" s="198">
        <f>'Revenue Model'!BW404-'Income Statement'!BW153</f>
        <v>2872</v>
      </c>
      <c r="BX157" s="198">
        <f>'Revenue Model'!BX404-'Income Statement'!BX153</f>
        <v>2944</v>
      </c>
      <c r="BY157" s="766">
        <f>'Revenue Model'!BY404-'Income Statement'!BY153</f>
        <v>4076</v>
      </c>
      <c r="BZ157" s="761">
        <f>'Revenue Model'!BZ404-'Income Statement'!BZ153</f>
        <v>2855</v>
      </c>
      <c r="CA157" s="198">
        <f>'Revenue Model'!CA404-'Income Statement'!CA153</f>
        <v>2826</v>
      </c>
      <c r="CB157" s="198">
        <f>'Revenue Model'!CB404-'Income Statement'!CB153</f>
        <v>2875</v>
      </c>
      <c r="CC157" s="766">
        <f>'Revenue Model'!CC404-'Income Statement'!CC153</f>
        <v>3969</v>
      </c>
      <c r="CD157" s="761">
        <f>'Revenue Model'!CD404-'Income Statement'!CD153</f>
        <v>2921</v>
      </c>
      <c r="CE157" s="198">
        <f>'Revenue Model'!CE404-'Income Statement'!CE153</f>
        <v>2762</v>
      </c>
      <c r="CF157" s="198">
        <f>'Revenue Model'!CF404-'Income Statement'!CF153</f>
        <v>2853</v>
      </c>
      <c r="CG157" s="766">
        <f>'Revenue Model'!CG404-'Income Statement'!CG153</f>
        <v>3873</v>
      </c>
      <c r="CH157" s="761">
        <f>'Revenue Model'!CH404-'Income Statement'!CH153</f>
        <v>2907</v>
      </c>
      <c r="CI157" s="198">
        <f>'Revenue Model'!CI404-'Income Statement'!CI153</f>
        <v>2564</v>
      </c>
      <c r="CJ157" s="198">
        <f>'Revenue Model'!CJ404-'Income Statement'!CJ153</f>
        <v>2586</v>
      </c>
      <c r="CK157" s="766">
        <v>3782</v>
      </c>
      <c r="CL157" s="761">
        <f>'Revenue Model'!CL404-'Income Statement'!CL153</f>
        <v>2584</v>
      </c>
      <c r="CM157" s="198">
        <f>'Revenue Model'!CM404-'Income Statement'!CM153</f>
        <v>2261</v>
      </c>
      <c r="CN157" s="198">
        <f>'Revenue Model'!CN404-'Income Statement'!CN153</f>
        <v>2228</v>
      </c>
      <c r="CO157" s="766">
        <f>'Revenue Model'!CO404-'Income Statement'!CO153</f>
        <v>3345</v>
      </c>
      <c r="CP157" s="761">
        <f>'Revenue Model'!CP404-'Income Statement'!CP153</f>
        <v>2105</v>
      </c>
      <c r="CQ157" s="198">
        <f>'Revenue Model'!CQ404-'Income Statement'!CQ153</f>
        <v>2109</v>
      </c>
      <c r="CR157" s="198">
        <f>'Revenue Model'!CR404-'Income Statement'!CR153</f>
        <v>2093</v>
      </c>
      <c r="CS157" s="766">
        <f>'Income Statement'!CS155+'Income Statement'!CS156</f>
        <v>2828</v>
      </c>
      <c r="CT157" s="761">
        <f>'Income Statement'!CT155+'Income Statement'!CT156</f>
        <v>1967</v>
      </c>
      <c r="CU157" s="198">
        <f>'Income Statement'!CU155+'Income Statement'!CU156</f>
        <v>1978</v>
      </c>
      <c r="CV157" s="198">
        <f>'Income Statement'!CV155+'Income Statement'!CV156</f>
        <v>2076</v>
      </c>
      <c r="CW157" s="766">
        <f>'Income Statement'!CW155+'Income Statement'!CW156</f>
        <v>3026</v>
      </c>
      <c r="CX157" s="761">
        <f>'Income Statement'!CX155+'Income Statement'!CX156</f>
        <v>1960</v>
      </c>
      <c r="CY157" s="198">
        <f>'Income Statement'!CY155+'Income Statement'!CY156</f>
        <v>2085</v>
      </c>
      <c r="CZ157" s="198">
        <f>'Income Statement'!CZ155+'Income Statement'!CZ156</f>
        <v>2111</v>
      </c>
      <c r="DA157" s="766">
        <f>'Income Statement'!DA155+'Income Statement'!DA156</f>
        <v>2948</v>
      </c>
      <c r="DB157" s="198">
        <f>'Income Statement'!DB155+'Income Statement'!DB156</f>
        <v>1962</v>
      </c>
      <c r="DC157" s="198">
        <f>'Income Statement'!DC155+'Income Statement'!DC156</f>
        <v>2062</v>
      </c>
      <c r="DD157" s="198">
        <f>'Income Statement'!DD155+'Income Statement'!DD156</f>
        <v>2203</v>
      </c>
      <c r="DE157" s="766">
        <f>'Income Statement'!DE155+'Income Statement'!DE156</f>
        <v>3030</v>
      </c>
      <c r="DF157" s="198">
        <f>'Income Statement'!DF155+'Income Statement'!DF156</f>
        <v>2022</v>
      </c>
      <c r="DG157" s="198">
        <f>'Income Statement'!DG155+'Income Statement'!DG156</f>
        <v>2153</v>
      </c>
      <c r="DH157" s="198">
        <f>'Income Statement'!DH155+'Income Statement'!DH156</f>
        <v>2280</v>
      </c>
      <c r="DI157" s="766">
        <f>'Income Statement'!DI155+'Income Statement'!DI156</f>
        <v>3421</v>
      </c>
      <c r="DJ157" s="1736">
        <f>'Income Statement'!DJ155+'Income Statement'!DJ156</f>
        <v>2045.2576277055202</v>
      </c>
      <c r="DK157" s="198">
        <f>'Income Statement'!DK155+'Income Statement'!DK156</f>
        <v>2152.3792878499576</v>
      </c>
      <c r="DL157" s="198">
        <f>'Income Statement'!DL155+'Income Statement'!DL156</f>
        <v>2290.9639070050034</v>
      </c>
      <c r="DM157" s="766">
        <f>'Income Statement'!DM155+'Income Statement'!DM156</f>
        <v>3394.9181784331458</v>
      </c>
      <c r="DN157" s="761"/>
      <c r="DO157" s="766"/>
      <c r="DP157" s="226"/>
      <c r="DQ157" s="927"/>
      <c r="DR157" s="927"/>
      <c r="DS157" s="927"/>
      <c r="DT157" s="927"/>
      <c r="DU157" s="927"/>
      <c r="DV157" s="927"/>
      <c r="DW157" s="927"/>
      <c r="DX157" s="927"/>
      <c r="DY157" s="927"/>
      <c r="DZ157" s="927"/>
      <c r="EA157" s="927"/>
      <c r="EB157" s="927"/>
      <c r="EC157" s="927"/>
      <c r="ED157" s="927"/>
      <c r="EE157" s="927"/>
      <c r="EF157" s="927"/>
      <c r="EG157" s="927"/>
      <c r="EH157" s="927"/>
      <c r="EI157" s="290">
        <f>'Revenue Model'!EI404-'Income Statement'!EI153</f>
        <v>6494</v>
      </c>
      <c r="EJ157" s="290">
        <f>'Revenue Model'!EJ404-'Income Statement'!EJ153</f>
        <v>7726</v>
      </c>
      <c r="EK157" s="290">
        <f>'Revenue Model'!EK404-'Income Statement'!EK153</f>
        <v>8769</v>
      </c>
      <c r="EL157" s="290">
        <f>'Revenue Model'!EL404-'Income Statement'!EL153</f>
        <v>9546</v>
      </c>
      <c r="EM157" s="290">
        <f>'Revenue Model'!EM404-'Income Statement'!EM153</f>
        <v>10998</v>
      </c>
      <c r="EN157" s="290">
        <f>'Revenue Model'!EN404-'Income Statement'!EN153</f>
        <v>12160</v>
      </c>
      <c r="EO157" s="290">
        <f>'Revenue Model'!EO404-'Income Statement'!EO153</f>
        <v>12661</v>
      </c>
      <c r="EP157" s="198">
        <f>SUM(BV157:BY157)</f>
        <v>12660</v>
      </c>
      <c r="EQ157" s="290">
        <f>'Revenue Model'!EQ404-'Income Statement'!EQ153</f>
        <v>12525</v>
      </c>
      <c r="ER157" s="198">
        <f>SUM(CD157:CG157)</f>
        <v>12409</v>
      </c>
      <c r="ES157" s="198">
        <f>SUM(CH157:CK157)</f>
        <v>11839</v>
      </c>
      <c r="ET157" s="198">
        <f>SUM(CL157:CO157)</f>
        <v>10418</v>
      </c>
      <c r="EU157" s="198">
        <f>SUM(CP157:CS157)</f>
        <v>9135</v>
      </c>
      <c r="EV157" s="198">
        <f>SUM(CT157:CW157)</f>
        <v>9047</v>
      </c>
      <c r="EW157" s="198">
        <f>SUM(CX157:DA157)</f>
        <v>9104</v>
      </c>
      <c r="EX157" s="198">
        <f>SUM(DB157:DE157)</f>
        <v>9257</v>
      </c>
      <c r="EY157" s="198">
        <f>SUM(DF157:DI157)</f>
        <v>9876</v>
      </c>
      <c r="EZ157" s="1736">
        <f>SUM(DJ157:DM157)</f>
        <v>9883.5190009936268</v>
      </c>
      <c r="FA157" s="374">
        <f>'Income Statement'!FA156+'Income Statement'!FA155</f>
        <v>9959.7829378739989</v>
      </c>
      <c r="FB157" s="374">
        <f>'Income Statement'!FB156+'Income Statement'!FB155</f>
        <v>10070.574179473533</v>
      </c>
      <c r="FC157" s="374">
        <f>'Income Statement'!FC156+'Income Statement'!FC155</f>
        <v>10138.422598566523</v>
      </c>
      <c r="FD157" s="374">
        <f>'Income Statement'!FD156+'Income Statement'!FD155</f>
        <v>10246.989130519552</v>
      </c>
      <c r="FE157" s="374">
        <f>'Income Statement'!FE156+'Income Statement'!FE155</f>
        <v>10360.055972073371</v>
      </c>
      <c r="FF157" s="374">
        <f>'Income Statement'!FF156+'Income Statement'!FF155</f>
        <v>10477.839929188476</v>
      </c>
      <c r="FG157" s="374">
        <f>'Income Statement'!FG156+'Income Statement'!FG155</f>
        <v>10600.56808113939</v>
      </c>
      <c r="FH157" s="374">
        <f>'Income Statement'!FH156+'Income Statement'!FH155</f>
        <v>10728.478266202519</v>
      </c>
      <c r="FI157" s="413"/>
      <c r="FJ157"/>
      <c r="FK157"/>
      <c r="FL157"/>
      <c r="FM157"/>
      <c r="FN157"/>
      <c r="FO157"/>
      <c r="FP157" s="4"/>
      <c r="FQ157" s="4"/>
      <c r="FR157" s="4"/>
      <c r="FS157" s="290"/>
      <c r="FT157" s="290"/>
      <c r="FU157"/>
      <c r="FV157" s="290"/>
      <c r="FW157" s="290"/>
      <c r="FX157" s="290"/>
      <c r="FY157"/>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row>
    <row r="158" spans="1:260" s="6" customFormat="1" hidden="1" outlineLevel="1" x14ac:dyDescent="0.2">
      <c r="A158" s="1248" t="s">
        <v>144</v>
      </c>
      <c r="B158" s="201"/>
      <c r="C158" s="201"/>
      <c r="D158" s="201"/>
      <c r="E158" s="480"/>
      <c r="F158" s="201"/>
      <c r="G158" s="201"/>
      <c r="H158" s="201"/>
      <c r="I158" s="480"/>
      <c r="J158" s="201"/>
      <c r="K158" s="201"/>
      <c r="L158" s="201"/>
      <c r="M158" s="480"/>
      <c r="N158" s="201"/>
      <c r="O158" s="201"/>
      <c r="P158" s="201"/>
      <c r="Q158" s="480"/>
      <c r="R158" s="201"/>
      <c r="S158" s="201"/>
      <c r="T158" s="201"/>
      <c r="U158" s="480"/>
      <c r="V158" s="201"/>
      <c r="W158" s="201"/>
      <c r="X158" s="201"/>
      <c r="Y158" s="480"/>
      <c r="Z158" s="201"/>
      <c r="AA158" s="201"/>
      <c r="AB158" s="201"/>
      <c r="AC158" s="480"/>
      <c r="AD158" s="201"/>
      <c r="AE158" s="201"/>
      <c r="AF158" s="201"/>
      <c r="AG158" s="480"/>
      <c r="AH158" s="201"/>
      <c r="AI158" s="201"/>
      <c r="AJ158" s="201"/>
      <c r="AK158" s="480"/>
      <c r="AL158" s="201"/>
      <c r="AM158" s="201"/>
      <c r="AN158" s="201"/>
      <c r="AO158" s="480"/>
      <c r="AP158" s="201"/>
      <c r="AQ158" s="201"/>
      <c r="AR158" s="201"/>
      <c r="AS158" s="480"/>
      <c r="AT158" s="201"/>
      <c r="AU158" s="201"/>
      <c r="AV158" s="201"/>
      <c r="AW158" s="480"/>
      <c r="AX158" s="200"/>
      <c r="AY158" s="200"/>
      <c r="AZ158" s="200"/>
      <c r="BA158" s="486"/>
      <c r="BB158" s="200"/>
      <c r="BC158" s="200"/>
      <c r="BD158" s="200"/>
      <c r="BE158" s="486"/>
      <c r="BF158" s="200"/>
      <c r="BG158" s="200"/>
      <c r="BH158" s="200"/>
      <c r="BI158" s="486"/>
      <c r="BJ158" s="1873"/>
      <c r="BK158" s="1249"/>
      <c r="BL158" s="1249"/>
      <c r="BM158" s="1250"/>
      <c r="BN158" s="1873"/>
      <c r="BO158" s="1249"/>
      <c r="BP158" s="1249"/>
      <c r="BQ158" s="1250"/>
      <c r="BR158" s="1873">
        <f>'Income Statement'!BR157-'Income Statement'!BR9</f>
        <v>0</v>
      </c>
      <c r="BS158" s="1249">
        <f>'Income Statement'!BS157-'Income Statement'!BS9</f>
        <v>0</v>
      </c>
      <c r="BT158" s="1249">
        <f>'Income Statement'!BT157-'Income Statement'!BT9</f>
        <v>0</v>
      </c>
      <c r="BU158" s="1250">
        <f>'Income Statement'!BU157-'Income Statement'!BU9</f>
        <v>0</v>
      </c>
      <c r="BV158" s="1873">
        <f>'Income Statement'!BV157-'Income Statement'!BV9</f>
        <v>0</v>
      </c>
      <c r="BW158" s="1249">
        <f>'Income Statement'!BW157-'Income Statement'!BW9</f>
        <v>0</v>
      </c>
      <c r="BX158" s="1249">
        <f>'Income Statement'!BX157-'Income Statement'!BX9</f>
        <v>0</v>
      </c>
      <c r="BY158" s="1250">
        <f>'Income Statement'!BY157-'Income Statement'!BY9</f>
        <v>0</v>
      </c>
      <c r="BZ158" s="1873">
        <f>'Income Statement'!BZ157-'Income Statement'!BZ9</f>
        <v>0</v>
      </c>
      <c r="CA158" s="1249">
        <f>'Income Statement'!CA157-'Income Statement'!CA9</f>
        <v>0</v>
      </c>
      <c r="CB158" s="1249">
        <f>'Income Statement'!CB157-'Income Statement'!CB9</f>
        <v>0</v>
      </c>
      <c r="CC158" s="1250">
        <f>'Income Statement'!CC157-'Income Statement'!CC9</f>
        <v>0</v>
      </c>
      <c r="CD158" s="1873">
        <f>'Income Statement'!CD157-'Income Statement'!CD9</f>
        <v>0</v>
      </c>
      <c r="CE158" s="1249">
        <f>'Income Statement'!CE157-'Income Statement'!CE9</f>
        <v>0</v>
      </c>
      <c r="CF158" s="1249">
        <f>'Income Statement'!CF157-'Income Statement'!CF9</f>
        <v>0</v>
      </c>
      <c r="CG158" s="1250">
        <f>'Income Statement'!CG157-'Income Statement'!CG9</f>
        <v>0</v>
      </c>
      <c r="CH158" s="1873">
        <f>'Income Statement'!CH157-'Income Statement'!CH9</f>
        <v>0</v>
      </c>
      <c r="CI158" s="1249">
        <f>'Income Statement'!CI157-'Income Statement'!CI9</f>
        <v>0</v>
      </c>
      <c r="CJ158" s="1249">
        <f>'Income Statement'!CJ157-'Income Statement'!CJ9</f>
        <v>0</v>
      </c>
      <c r="CK158" s="1250">
        <f>'Income Statement'!CK157-'Income Statement'!CK9</f>
        <v>0</v>
      </c>
      <c r="CL158" s="1873">
        <f>'Income Statement'!CL157-'Income Statement'!CL9</f>
        <v>0</v>
      </c>
      <c r="CM158" s="1249">
        <f>'Income Statement'!CM157-'Income Statement'!CM9</f>
        <v>0</v>
      </c>
      <c r="CN158" s="1249">
        <f>'Income Statement'!CN157-'Income Statement'!CN9</f>
        <v>0</v>
      </c>
      <c r="CO158" s="1250">
        <f>'Income Statement'!CO157-'Income Statement'!CO9</f>
        <v>0</v>
      </c>
      <c r="CP158" s="1873">
        <f>'Income Statement'!CP157-'Income Statement'!CP9</f>
        <v>0</v>
      </c>
      <c r="CQ158" s="1249">
        <f>'Income Statement'!CQ157-'Income Statement'!CQ9</f>
        <v>0</v>
      </c>
      <c r="CR158" s="1249">
        <f>'Income Statement'!CR157-'Income Statement'!CR9</f>
        <v>0</v>
      </c>
      <c r="CS158" s="1250">
        <f>'Income Statement'!CS157-'Income Statement'!CS9</f>
        <v>0</v>
      </c>
      <c r="CT158" s="1873">
        <f>'Income Statement'!CT157-'Income Statement'!CT9</f>
        <v>0</v>
      </c>
      <c r="CU158" s="1249">
        <f>'Income Statement'!CU157-'Income Statement'!CU9</f>
        <v>0</v>
      </c>
      <c r="CV158" s="1249">
        <f>'Income Statement'!CV157-'Income Statement'!CV9</f>
        <v>0</v>
      </c>
      <c r="CW158" s="1250">
        <f>'Income Statement'!CW157-'Income Statement'!CW9</f>
        <v>0</v>
      </c>
      <c r="CX158" s="1873">
        <f>'Income Statement'!CX157-'Income Statement'!CX9</f>
        <v>0</v>
      </c>
      <c r="CY158" s="1249">
        <f>'Income Statement'!CY157-'Income Statement'!CY9</f>
        <v>0</v>
      </c>
      <c r="CZ158" s="1249">
        <f>'Income Statement'!CZ157-'Income Statement'!CZ9</f>
        <v>0</v>
      </c>
      <c r="DA158" s="1250">
        <f>'Income Statement'!DA157-'Income Statement'!DA9</f>
        <v>0</v>
      </c>
      <c r="DB158" s="1249">
        <f>'Income Statement'!DB157-'Income Statement'!DB9</f>
        <v>0</v>
      </c>
      <c r="DC158" s="1249">
        <f>'Income Statement'!DC157-'Income Statement'!DC9</f>
        <v>0</v>
      </c>
      <c r="DD158" s="1253">
        <f>'Income Statement'!DD157-'Income Statement'!DD9</f>
        <v>0</v>
      </c>
      <c r="DE158" s="1252">
        <f>'Income Statement'!DE157-'Income Statement'!DE9</f>
        <v>0</v>
      </c>
      <c r="DF158" s="1249">
        <f>'Income Statement'!DF157-'Income Statement'!DF9</f>
        <v>0</v>
      </c>
      <c r="DG158" s="1249">
        <f>'Income Statement'!DG157-'Income Statement'!DG9</f>
        <v>0</v>
      </c>
      <c r="DH158" s="1249">
        <f>'Income Statement'!DH157-'Income Statement'!DH9</f>
        <v>0</v>
      </c>
      <c r="DI158" s="1252">
        <f>'Income Statement'!DI157-'Income Statement'!DI9</f>
        <v>0</v>
      </c>
      <c r="DJ158" s="2701">
        <f>'Income Statement'!DJ157-'Income Statement'!DJ9</f>
        <v>0</v>
      </c>
      <c r="DK158" s="1249">
        <f>'Income Statement'!DK157-'Income Statement'!DK9</f>
        <v>0</v>
      </c>
      <c r="DL158" s="1249">
        <f>'Income Statement'!DL157-'Income Statement'!DL9</f>
        <v>0</v>
      </c>
      <c r="DM158" s="1250">
        <f>'Income Statement'!DM157-'Income Statement'!DM9</f>
        <v>0</v>
      </c>
      <c r="DN158" s="1251"/>
      <c r="DO158" s="1252"/>
      <c r="DP158" s="199"/>
      <c r="DQ158" s="201"/>
      <c r="DR158" s="201"/>
      <c r="DS158" s="201"/>
      <c r="DT158" s="201"/>
      <c r="DU158" s="201"/>
      <c r="DV158" s="201"/>
      <c r="DW158" s="201"/>
      <c r="DX158" s="201"/>
      <c r="DY158" s="201"/>
      <c r="DZ158" s="201"/>
      <c r="EA158" s="201"/>
      <c r="EB158" s="201"/>
      <c r="EC158" s="201"/>
      <c r="ED158" s="201"/>
      <c r="EE158" s="201"/>
      <c r="EF158" s="201"/>
      <c r="EG158" s="201"/>
      <c r="EH158" s="201"/>
      <c r="EI158" s="200"/>
      <c r="EJ158" s="200"/>
      <c r="EK158" s="200"/>
      <c r="EL158" s="200"/>
      <c r="EM158" s="200"/>
      <c r="EN158" s="200"/>
      <c r="EO158" s="1253">
        <f>'Income Statement'!EO157-'Income Statement'!EO9</f>
        <v>0</v>
      </c>
      <c r="EP158" s="1249">
        <f>'Income Statement'!EP157-'Income Statement'!EP9</f>
        <v>0</v>
      </c>
      <c r="EQ158" s="1253">
        <f>'Income Statement'!EQ157-'Income Statement'!EQ9</f>
        <v>0</v>
      </c>
      <c r="ER158" s="1253">
        <f>'Income Statement'!ER157-'Income Statement'!ER9</f>
        <v>0</v>
      </c>
      <c r="ES158" s="1253">
        <f>'Income Statement'!ES157-'Income Statement'!ES9</f>
        <v>0</v>
      </c>
      <c r="ET158" s="1253">
        <f>'Income Statement'!ET157-'Income Statement'!ET9</f>
        <v>0</v>
      </c>
      <c r="EU158" s="1253">
        <f>'Income Statement'!EU157-'Income Statement'!EU9</f>
        <v>0</v>
      </c>
      <c r="EV158" s="1253">
        <f>'Income Statement'!EV157-'Income Statement'!EV9</f>
        <v>0</v>
      </c>
      <c r="EW158" s="1253">
        <f>'Income Statement'!EW157-'Income Statement'!EW9</f>
        <v>0</v>
      </c>
      <c r="EX158" s="1253">
        <f>'Income Statement'!EX157-'Income Statement'!EX9</f>
        <v>0</v>
      </c>
      <c r="EY158" s="1253">
        <f>'Income Statement'!EY157-'Income Statement'!EY9</f>
        <v>0</v>
      </c>
      <c r="EZ158" s="1766">
        <f>'Income Statement'!EZ157-'Income Statement'!EZ9</f>
        <v>0</v>
      </c>
      <c r="FA158" s="1254">
        <f>'Income Statement'!FA157-'Income Statement'!FA9</f>
        <v>0</v>
      </c>
      <c r="FB158" s="1254">
        <f>'Income Statement'!FB157-'Income Statement'!FB9</f>
        <v>0</v>
      </c>
      <c r="FC158" s="1254">
        <f>'Income Statement'!FC157-'Income Statement'!FC9</f>
        <v>0</v>
      </c>
      <c r="FD158" s="1254">
        <f>'Income Statement'!FD157-'Income Statement'!FD9</f>
        <v>0</v>
      </c>
      <c r="FE158" s="1254">
        <f>'Income Statement'!FE157-'Income Statement'!FE9</f>
        <v>0</v>
      </c>
      <c r="FF158" s="1254">
        <f>'Income Statement'!FF157-'Income Statement'!FF9</f>
        <v>0</v>
      </c>
      <c r="FG158" s="1254">
        <f>'Income Statement'!FG157-'Income Statement'!FG9</f>
        <v>0</v>
      </c>
      <c r="FH158" s="1254">
        <f>'Income Statement'!FH157-'Income Statement'!FH9</f>
        <v>0</v>
      </c>
      <c r="FI158" s="413"/>
      <c r="FJ158"/>
      <c r="FK158"/>
      <c r="FL158"/>
      <c r="FM158"/>
      <c r="FN158"/>
      <c r="FO158"/>
      <c r="FP158" s="4"/>
      <c r="FQ158" s="4"/>
      <c r="FR158" s="4"/>
      <c r="FS158" s="1254"/>
      <c r="FT158" s="1254"/>
      <c r="FU158"/>
      <c r="FV158" s="1254"/>
      <c r="FW158" s="1254"/>
      <c r="FX158" s="1254"/>
      <c r="FY158"/>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row>
    <row r="159" spans="1:260" s="4" customFormat="1" ht="11.25" customHeight="1" collapsed="1" x14ac:dyDescent="0.2">
      <c r="A159" s="351"/>
      <c r="B159" s="3"/>
      <c r="C159" s="3"/>
      <c r="D159" s="3"/>
      <c r="E159" s="470"/>
      <c r="F159" s="3"/>
      <c r="G159" s="3"/>
      <c r="H159" s="3"/>
      <c r="I159" s="470"/>
      <c r="J159" s="3"/>
      <c r="K159" s="3"/>
      <c r="L159" s="3"/>
      <c r="M159" s="470"/>
      <c r="N159" s="3"/>
      <c r="O159" s="3"/>
      <c r="P159" s="3"/>
      <c r="Q159" s="470"/>
      <c r="R159" s="3"/>
      <c r="S159" s="3"/>
      <c r="T159" s="3"/>
      <c r="U159" s="470"/>
      <c r="V159" s="3"/>
      <c r="W159" s="3"/>
      <c r="X159" s="3"/>
      <c r="Y159" s="470"/>
      <c r="Z159" s="3"/>
      <c r="AA159" s="3"/>
      <c r="AB159" s="3"/>
      <c r="AC159" s="470"/>
      <c r="AD159" s="3"/>
      <c r="AE159" s="3"/>
      <c r="AF159" s="3"/>
      <c r="AG159" s="470"/>
      <c r="AH159" s="3"/>
      <c r="AI159" s="3"/>
      <c r="AJ159" s="3"/>
      <c r="AK159" s="470"/>
      <c r="AL159" s="3"/>
      <c r="AM159" s="3"/>
      <c r="AN159" s="3"/>
      <c r="AO159" s="470"/>
      <c r="AP159" s="3"/>
      <c r="AQ159" s="3"/>
      <c r="AR159" s="3"/>
      <c r="AS159" s="470"/>
      <c r="AT159" s="3"/>
      <c r="AU159" s="3"/>
      <c r="AV159" s="3"/>
      <c r="AW159" s="470"/>
      <c r="AX159" s="3"/>
      <c r="AY159" s="3"/>
      <c r="AZ159" s="3"/>
      <c r="BA159" s="470"/>
      <c r="BB159" s="7"/>
      <c r="BC159" s="7"/>
      <c r="BD159" s="3"/>
      <c r="BE159" s="484"/>
      <c r="BF159" s="7"/>
      <c r="BG159" s="7"/>
      <c r="BH159" s="7"/>
      <c r="BI159" s="484"/>
      <c r="BJ159" s="1241"/>
      <c r="BK159" s="769"/>
      <c r="BL159" s="769"/>
      <c r="BM159" s="770"/>
      <c r="BN159" s="1241"/>
      <c r="BO159" s="769"/>
      <c r="BP159" s="769"/>
      <c r="BQ159" s="770"/>
      <c r="BR159" s="1241"/>
      <c r="BS159" s="769"/>
      <c r="BT159" s="769"/>
      <c r="BU159" s="770"/>
      <c r="BV159" s="1241"/>
      <c r="BW159" s="769"/>
      <c r="BX159" s="769"/>
      <c r="BY159" s="770"/>
      <c r="BZ159" s="1241"/>
      <c r="CA159" s="769"/>
      <c r="CB159" s="769"/>
      <c r="CC159" s="770"/>
      <c r="CD159" s="1241"/>
      <c r="CE159" s="769"/>
      <c r="CF159" s="769"/>
      <c r="CG159" s="770"/>
      <c r="CH159" s="1241"/>
      <c r="CI159" s="769"/>
      <c r="CJ159" s="769"/>
      <c r="CK159" s="770"/>
      <c r="CL159" s="1241"/>
      <c r="CM159" s="769"/>
      <c r="CN159" s="769"/>
      <c r="CO159" s="770"/>
      <c r="CP159" s="1241"/>
      <c r="CQ159" s="769"/>
      <c r="CR159" s="769"/>
      <c r="CS159" s="770"/>
      <c r="CT159" s="1241"/>
      <c r="CU159" s="769"/>
      <c r="CV159" s="769"/>
      <c r="CW159" s="770"/>
      <c r="CX159" s="1241"/>
      <c r="CY159" s="769"/>
      <c r="CZ159" s="769"/>
      <c r="DA159" s="770"/>
      <c r="DB159" s="769"/>
      <c r="DC159" s="769"/>
      <c r="DD159" s="769"/>
      <c r="DE159" s="770"/>
      <c r="DF159" s="769"/>
      <c r="DG159" s="769"/>
      <c r="DH159" s="769"/>
      <c r="DI159" s="770"/>
      <c r="DJ159" s="1763"/>
      <c r="DK159" s="769"/>
      <c r="DL159" s="769"/>
      <c r="DM159" s="770"/>
      <c r="DN159" s="1241"/>
      <c r="DO159" s="484"/>
      <c r="DP159" s="3"/>
      <c r="DQ159" s="3"/>
      <c r="DR159" s="3"/>
      <c r="DS159" s="3"/>
      <c r="DT159" s="3"/>
      <c r="DU159" s="3"/>
      <c r="DV159" s="3"/>
      <c r="DW159" s="3"/>
      <c r="DX159" s="3"/>
      <c r="DY159" s="3"/>
      <c r="DZ159" s="3"/>
      <c r="EA159" s="3"/>
      <c r="EB159" s="3"/>
      <c r="EC159" s="3"/>
      <c r="ED159" s="3"/>
      <c r="EE159" s="3"/>
      <c r="EF159" s="3"/>
      <c r="EG159" s="3"/>
      <c r="EH159" s="3"/>
      <c r="EI159" s="3"/>
      <c r="EJ159" s="3"/>
      <c r="EK159" s="7"/>
      <c r="EL159" s="7"/>
      <c r="EM159" s="767"/>
      <c r="EN159" s="769"/>
      <c r="EO159" s="769"/>
      <c r="EP159" s="769"/>
      <c r="EQ159" s="769"/>
      <c r="ER159" s="769"/>
      <c r="ES159" s="769"/>
      <c r="ET159" s="769"/>
      <c r="EU159" s="769"/>
      <c r="EV159" s="769"/>
      <c r="EW159" s="769"/>
      <c r="EX159" s="769"/>
      <c r="EY159" s="769"/>
      <c r="EZ159" s="1763"/>
      <c r="FA159" s="818"/>
      <c r="FB159" s="818"/>
      <c r="FC159" s="818"/>
      <c r="FD159" s="818"/>
      <c r="FE159" s="818"/>
      <c r="FF159" s="818"/>
      <c r="FG159" s="818"/>
      <c r="FH159" s="818"/>
      <c r="FI159" s="413"/>
      <c r="FJ159"/>
      <c r="FK159"/>
      <c r="FL159"/>
      <c r="FM159"/>
      <c r="FN159"/>
      <c r="FO159"/>
      <c r="FS159"/>
      <c r="FT159"/>
      <c r="FU159"/>
      <c r="FV159" s="2625"/>
      <c r="FW159" s="2625"/>
      <c r="FX159" s="2625"/>
      <c r="FY159"/>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row>
    <row r="160" spans="1:260" s="6" customFormat="1" x14ac:dyDescent="0.2">
      <c r="A160" s="162" t="s">
        <v>354</v>
      </c>
      <c r="B160" s="213" t="s">
        <v>483</v>
      </c>
      <c r="C160" s="213" t="s">
        <v>483</v>
      </c>
      <c r="D160" s="213" t="s">
        <v>483</v>
      </c>
      <c r="E160" s="490" t="s">
        <v>483</v>
      </c>
      <c r="F160" s="213" t="s">
        <v>483</v>
      </c>
      <c r="G160" s="213" t="s">
        <v>483</v>
      </c>
      <c r="H160" s="213" t="s">
        <v>483</v>
      </c>
      <c r="I160" s="490" t="s">
        <v>483</v>
      </c>
      <c r="J160" s="213" t="s">
        <v>483</v>
      </c>
      <c r="K160" s="213" t="s">
        <v>483</v>
      </c>
      <c r="L160" s="213" t="s">
        <v>483</v>
      </c>
      <c r="M160" s="490" t="s">
        <v>483</v>
      </c>
      <c r="N160" s="213" t="s">
        <v>483</v>
      </c>
      <c r="O160" s="213" t="s">
        <v>483</v>
      </c>
      <c r="P160" s="213" t="s">
        <v>483</v>
      </c>
      <c r="Q160" s="490" t="s">
        <v>483</v>
      </c>
      <c r="R160" s="213" t="s">
        <v>483</v>
      </c>
      <c r="S160" s="213" t="s">
        <v>483</v>
      </c>
      <c r="T160" s="213" t="s">
        <v>483</v>
      </c>
      <c r="U160" s="490" t="s">
        <v>483</v>
      </c>
      <c r="V160" s="213" t="s">
        <v>483</v>
      </c>
      <c r="W160" s="213" t="s">
        <v>483</v>
      </c>
      <c r="X160" s="213" t="s">
        <v>483</v>
      </c>
      <c r="Y160" s="490" t="s">
        <v>483</v>
      </c>
      <c r="Z160" s="213" t="s">
        <v>483</v>
      </c>
      <c r="AA160" s="213" t="s">
        <v>483</v>
      </c>
      <c r="AB160" s="213" t="s">
        <v>483</v>
      </c>
      <c r="AC160" s="490" t="s">
        <v>483</v>
      </c>
      <c r="AD160" s="213" t="s">
        <v>483</v>
      </c>
      <c r="AE160" s="213" t="s">
        <v>483</v>
      </c>
      <c r="AF160" s="213" t="s">
        <v>483</v>
      </c>
      <c r="AG160" s="490" t="s">
        <v>483</v>
      </c>
      <c r="AH160" s="213" t="s">
        <v>483</v>
      </c>
      <c r="AI160" s="213" t="s">
        <v>483</v>
      </c>
      <c r="AJ160" s="213" t="s">
        <v>483</v>
      </c>
      <c r="AK160" s="490" t="s">
        <v>483</v>
      </c>
      <c r="AL160" s="213" t="s">
        <v>483</v>
      </c>
      <c r="AM160" s="213" t="s">
        <v>483</v>
      </c>
      <c r="AN160" s="213" t="s">
        <v>483</v>
      </c>
      <c r="AO160" s="490" t="s">
        <v>483</v>
      </c>
      <c r="AP160" s="213" t="s">
        <v>483</v>
      </c>
      <c r="AQ160" s="213" t="s">
        <v>483</v>
      </c>
      <c r="AR160" s="213" t="s">
        <v>483</v>
      </c>
      <c r="AS160" s="490" t="s">
        <v>483</v>
      </c>
      <c r="AT160" s="213" t="s">
        <v>483</v>
      </c>
      <c r="AU160" s="213" t="s">
        <v>483</v>
      </c>
      <c r="AV160" s="213" t="s">
        <v>483</v>
      </c>
      <c r="AW160" s="490" t="s">
        <v>483</v>
      </c>
      <c r="AX160" s="806">
        <f>'Income Statement'!AX162-'Income Statement'!AX161</f>
        <v>1168.76</v>
      </c>
      <c r="AY160" s="806">
        <f>'Income Statement'!AY162-'Income Statement'!AY161</f>
        <v>1287.145</v>
      </c>
      <c r="AZ160" s="806">
        <f>'Income Statement'!AZ162-'Income Statement'!AZ161</f>
        <v>1402.606</v>
      </c>
      <c r="BA160" s="913">
        <f>'Income Statement'!BA162-'Income Statement'!BA161</f>
        <v>1484.492</v>
      </c>
      <c r="BB160" s="806">
        <f>'Income Statement'!BB162-'Income Statement'!BB161</f>
        <v>1244.69</v>
      </c>
      <c r="BC160" s="806">
        <f>'Income Statement'!BC162-'Income Statement'!BC161</f>
        <v>1354.9780000000001</v>
      </c>
      <c r="BD160" s="806">
        <f>'Income Statement'!BD162-'Income Statement'!BD161</f>
        <v>1534.5819999999999</v>
      </c>
      <c r="BE160" s="913">
        <f>'Income Statement'!BE162-'Income Statement'!BE161</f>
        <v>1674.25</v>
      </c>
      <c r="BF160" s="806">
        <f>'Income Statement'!BF162-'Income Statement'!BF161</f>
        <v>1378.954</v>
      </c>
      <c r="BG160" s="806">
        <f>'Income Statement'!BG162-'Income Statement'!BG161</f>
        <v>1459.6079999999999</v>
      </c>
      <c r="BH160" s="806">
        <f>'Income Statement'!BH162-'Income Statement'!BH161</f>
        <v>1653.268</v>
      </c>
      <c r="BI160" s="913">
        <f>'Income Statement'!BI162-'Income Statement'!BI161</f>
        <v>1669.0940000000001</v>
      </c>
      <c r="BJ160" s="1379">
        <f>'Income Statement'!BJ162-'Income Statement'!BJ161</f>
        <v>1543.989</v>
      </c>
      <c r="BK160" s="806">
        <f>'Income Statement'!BK162-'Income Statement'!BK161</f>
        <v>1710.7159999999999</v>
      </c>
      <c r="BL160" s="806">
        <f>'Income Statement'!BL162-'Income Statement'!BL161</f>
        <v>1715.9592248782976</v>
      </c>
      <c r="BM160" s="913">
        <f>'Income Statement'!BM162-'Income Statement'!BM161</f>
        <v>1753.308</v>
      </c>
      <c r="BN160" s="1379">
        <f>'Income Statement'!BN162-'Income Statement'!BN161</f>
        <v>1560.8</v>
      </c>
      <c r="BO160" s="806">
        <f>'Income Statement'!BO162-'Income Statement'!BO161</f>
        <v>1695.74</v>
      </c>
      <c r="BP160" s="806">
        <f>'Income Statement'!BP162-'Income Statement'!BP161</f>
        <v>1803.3780000000002</v>
      </c>
      <c r="BQ160" s="913">
        <f>'Income Statement'!BQ162-'Income Statement'!BQ161</f>
        <v>1868.874</v>
      </c>
      <c r="BR160" s="1379">
        <f>'Income Statement'!BR162-'Income Statement'!BR161</f>
        <v>1741.768</v>
      </c>
      <c r="BS160" s="806">
        <f>'Income Statement'!BS162-'Income Statement'!BS161</f>
        <v>1767.8319999999999</v>
      </c>
      <c r="BT160" s="806">
        <f>'Income Statement'!BT162-'Income Statement'!BT161</f>
        <v>1841.6399999999999</v>
      </c>
      <c r="BU160" s="913">
        <f>'Income Statement'!BU162-'Income Statement'!BU161</f>
        <v>1940.779</v>
      </c>
      <c r="BV160" s="1379">
        <f>'Income Statement'!BV162-'Income Statement'!BV161</f>
        <v>1734.021</v>
      </c>
      <c r="BW160" s="806">
        <f>'Income Statement'!BW162-'Income Statement'!BW161</f>
        <v>1795.856</v>
      </c>
      <c r="BX160" s="806">
        <f>'Income Statement'!BX162-'Income Statement'!BX161</f>
        <v>1862.3600000000001</v>
      </c>
      <c r="BY160" s="913">
        <f>'Income Statement'!BY162-'Income Statement'!BY161</f>
        <v>1932.2449999999999</v>
      </c>
      <c r="BZ160" s="1379">
        <v>1734</v>
      </c>
      <c r="CA160" s="806">
        <v>1759</v>
      </c>
      <c r="CB160" s="806">
        <v>1758</v>
      </c>
      <c r="CC160" s="913">
        <v>1954</v>
      </c>
      <c r="CD160" s="1379">
        <v>1776</v>
      </c>
      <c r="CE160" s="806">
        <v>1787</v>
      </c>
      <c r="CF160" s="806">
        <v>1784</v>
      </c>
      <c r="CG160" s="913">
        <v>1897</v>
      </c>
      <c r="CH160" s="1379">
        <v>1811</v>
      </c>
      <c r="CI160" s="806">
        <v>1722</v>
      </c>
      <c r="CJ160" s="806">
        <v>1805</v>
      </c>
      <c r="CK160" s="913">
        <v>2067</v>
      </c>
      <c r="CL160" s="1379">
        <v>1798</v>
      </c>
      <c r="CM160" s="806">
        <v>1721</v>
      </c>
      <c r="CN160" s="806">
        <v>1805</v>
      </c>
      <c r="CO160" s="913">
        <v>2067</v>
      </c>
      <c r="CP160" s="1379">
        <f>1636-4</f>
        <v>1632</v>
      </c>
      <c r="CQ160" s="806">
        <f>1704-35-13</f>
        <v>1656</v>
      </c>
      <c r="CR160" s="806">
        <f>1702-8</f>
        <v>1694</v>
      </c>
      <c r="CS160" s="913">
        <f>1964-59</f>
        <v>1905</v>
      </c>
      <c r="CT160" s="1379">
        <f>1535-8</f>
        <v>1527</v>
      </c>
      <c r="CU160" s="806">
        <f>1521-12</f>
        <v>1509</v>
      </c>
      <c r="CV160" s="806">
        <f>1632-6</f>
        <v>1626</v>
      </c>
      <c r="CW160" s="913">
        <f>1951-5</f>
        <v>1946</v>
      </c>
      <c r="CX160" s="2026">
        <v>1573</v>
      </c>
      <c r="CY160" s="2027">
        <v>1634</v>
      </c>
      <c r="CZ160" s="2027">
        <v>1702</v>
      </c>
      <c r="DA160" s="2028">
        <v>1975</v>
      </c>
      <c r="DB160" s="2027">
        <v>1565</v>
      </c>
      <c r="DC160" s="2027">
        <v>1608</v>
      </c>
      <c r="DD160" s="2027">
        <v>1720</v>
      </c>
      <c r="DE160" s="2028">
        <v>1940</v>
      </c>
      <c r="DF160" s="2027">
        <v>1573</v>
      </c>
      <c r="DG160" s="2027">
        <v>1669</v>
      </c>
      <c r="DH160" s="2027">
        <v>1751</v>
      </c>
      <c r="DI160" s="2028">
        <f>2311-75-20</f>
        <v>2216</v>
      </c>
      <c r="DJ160" s="1678">
        <f>DJ189*'Revenue Model'!DJ147</f>
        <v>1608.7315122085458</v>
      </c>
      <c r="DK160" s="806">
        <f>DK189*'Revenue Model'!DK147</f>
        <v>1672.2546239847065</v>
      </c>
      <c r="DL160" s="806">
        <f>DL189*'Revenue Model'!DL147</f>
        <v>1754.9356808375028</v>
      </c>
      <c r="DM160" s="913">
        <f>DM189*'Revenue Model'!DM147</f>
        <v>2181.4201321008404</v>
      </c>
      <c r="DN160" s="914"/>
      <c r="DO160" s="913"/>
      <c r="DP160" s="806"/>
      <c r="DQ160" s="213" t="s">
        <v>483</v>
      </c>
      <c r="DR160" s="213" t="s">
        <v>483</v>
      </c>
      <c r="DS160" s="213" t="s">
        <v>483</v>
      </c>
      <c r="DT160" s="213" t="s">
        <v>483</v>
      </c>
      <c r="DU160" s="213" t="s">
        <v>483</v>
      </c>
      <c r="DV160" s="213" t="s">
        <v>483</v>
      </c>
      <c r="DW160" s="213" t="s">
        <v>483</v>
      </c>
      <c r="DX160" s="213" t="s">
        <v>483</v>
      </c>
      <c r="DY160" s="213" t="s">
        <v>483</v>
      </c>
      <c r="DZ160" s="213" t="s">
        <v>483</v>
      </c>
      <c r="EA160" s="213" t="s">
        <v>483</v>
      </c>
      <c r="EB160" s="213" t="s">
        <v>483</v>
      </c>
      <c r="EC160" s="213" t="s">
        <v>483</v>
      </c>
      <c r="ED160" s="213" t="s">
        <v>483</v>
      </c>
      <c r="EE160" s="213" t="s">
        <v>483</v>
      </c>
      <c r="EF160" s="213" t="s">
        <v>483</v>
      </c>
      <c r="EG160" s="213" t="s">
        <v>483</v>
      </c>
      <c r="EH160" s="213" t="s">
        <v>483</v>
      </c>
      <c r="EI160" s="806">
        <f>'Income Statement'!EI162-'Income Statement'!EI161</f>
        <v>4468.3999999999996</v>
      </c>
      <c r="EJ160" s="806">
        <f>SUM(AX160:BA160)</f>
        <v>5343.0029999999997</v>
      </c>
      <c r="EK160" s="806">
        <f>SUM(BB160:BE160)</f>
        <v>5808.5</v>
      </c>
      <c r="EL160" s="806">
        <f>SUM(BF160:BI160)</f>
        <v>6160.924</v>
      </c>
      <c r="EM160" s="806">
        <f>SUM(BJ160:BM160)</f>
        <v>6723.9722248782973</v>
      </c>
      <c r="EN160" s="806">
        <f>SUM(BN160:BQ160)</f>
        <v>6928.7919999999995</v>
      </c>
      <c r="EO160" s="806">
        <f>SUM(BR160:BU160)</f>
        <v>7292.0190000000002</v>
      </c>
      <c r="EP160" s="806">
        <f>SUM(BV160:BY160)</f>
        <v>7324.482</v>
      </c>
      <c r="EQ160" s="806">
        <f>SUM(BZ160:CC160)</f>
        <v>7205</v>
      </c>
      <c r="ER160" s="806">
        <f>SUM(CD160:CG160)</f>
        <v>7244</v>
      </c>
      <c r="ES160" s="806">
        <f>SUM(CH160:CK160)</f>
        <v>7405</v>
      </c>
      <c r="ET160" s="806">
        <f>SUM(CL160:CO160)</f>
        <v>7391</v>
      </c>
      <c r="EU160" s="806">
        <f>SUM(CP160:CS160)</f>
        <v>6887</v>
      </c>
      <c r="EV160" s="806">
        <f>SUM(CT160:CW160)</f>
        <v>6608</v>
      </c>
      <c r="EW160" s="806">
        <f>SUM(CX160:DA160)</f>
        <v>6884</v>
      </c>
      <c r="EX160" s="806">
        <f>SUM(DB160:DE160)</f>
        <v>6833</v>
      </c>
      <c r="EY160" s="806">
        <f>SUM(DF160:DI160)</f>
        <v>7209</v>
      </c>
      <c r="EZ160" s="1678">
        <f>SUM(DJ160:DM160)</f>
        <v>7217.3419491315963</v>
      </c>
      <c r="FA160" s="806">
        <f>FA189*'Revenue Model'!FA147</f>
        <v>7245.0831304917647</v>
      </c>
      <c r="FB160" s="806">
        <f>FB189*'Revenue Model'!FB147</f>
        <v>7296.7113951326291</v>
      </c>
      <c r="FC160" s="806">
        <f>FC189*'Revenue Model'!FC147</f>
        <v>7364.7900635521974</v>
      </c>
      <c r="FD160" s="806">
        <f>FD189*'Revenue Model'!FD147</f>
        <v>7465.4627583905412</v>
      </c>
      <c r="FE160" s="806">
        <f>FE189*'Revenue Model'!FE147</f>
        <v>7570.1499902742835</v>
      </c>
      <c r="FF160" s="806">
        <f>FF189*'Revenue Model'!FF147</f>
        <v>7679.0504498434784</v>
      </c>
      <c r="FG160" s="806">
        <f>FG189*'Revenue Model'!FG147</f>
        <v>7792.3727493107071</v>
      </c>
      <c r="FH160" s="806">
        <f>FH189*'Revenue Model'!FH147</f>
        <v>7910.335918611293</v>
      </c>
      <c r="FI160" s="413"/>
      <c r="FJ160"/>
      <c r="FK160"/>
      <c r="FL160"/>
      <c r="FM160"/>
      <c r="FN160"/>
      <c r="FO160"/>
      <c r="FP160" s="4"/>
      <c r="FQ160" s="4"/>
      <c r="FR160" s="4"/>
      <c r="FS160" s="806"/>
      <c r="FT160" s="806"/>
      <c r="FU160"/>
      <c r="FV160" s="806"/>
      <c r="FW160" s="806"/>
      <c r="FX160" s="806"/>
      <c r="FY16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row>
    <row r="161" spans="1:260" s="6" customFormat="1" x14ac:dyDescent="0.2">
      <c r="A161" s="162" t="s">
        <v>24</v>
      </c>
      <c r="B161" s="213" t="s">
        <v>483</v>
      </c>
      <c r="C161" s="213" t="s">
        <v>483</v>
      </c>
      <c r="D161" s="213" t="s">
        <v>483</v>
      </c>
      <c r="E161" s="490" t="s">
        <v>483</v>
      </c>
      <c r="F161" s="213" t="s">
        <v>483</v>
      </c>
      <c r="G161" s="213" t="s">
        <v>483</v>
      </c>
      <c r="H161" s="213" t="s">
        <v>483</v>
      </c>
      <c r="I161" s="490" t="s">
        <v>483</v>
      </c>
      <c r="J161" s="213" t="s">
        <v>483</v>
      </c>
      <c r="K161" s="213" t="s">
        <v>483</v>
      </c>
      <c r="L161" s="213" t="s">
        <v>483</v>
      </c>
      <c r="M161" s="490" t="s">
        <v>483</v>
      </c>
      <c r="N161" s="213" t="s">
        <v>483</v>
      </c>
      <c r="O161" s="213" t="s">
        <v>483</v>
      </c>
      <c r="P161" s="213" t="s">
        <v>483</v>
      </c>
      <c r="Q161" s="490" t="s">
        <v>483</v>
      </c>
      <c r="R161" s="213" t="s">
        <v>483</v>
      </c>
      <c r="S161" s="213" t="s">
        <v>483</v>
      </c>
      <c r="T161" s="213" t="s">
        <v>483</v>
      </c>
      <c r="U161" s="490" t="s">
        <v>483</v>
      </c>
      <c r="V161" s="213" t="s">
        <v>483</v>
      </c>
      <c r="W161" s="213" t="s">
        <v>483</v>
      </c>
      <c r="X161" s="213" t="s">
        <v>483</v>
      </c>
      <c r="Y161" s="490" t="s">
        <v>483</v>
      </c>
      <c r="Z161" s="213" t="s">
        <v>483</v>
      </c>
      <c r="AA161" s="213" t="s">
        <v>483</v>
      </c>
      <c r="AB161" s="213" t="s">
        <v>483</v>
      </c>
      <c r="AC161" s="490" t="s">
        <v>483</v>
      </c>
      <c r="AD161" s="213" t="s">
        <v>483</v>
      </c>
      <c r="AE161" s="213" t="s">
        <v>483</v>
      </c>
      <c r="AF161" s="213" t="s">
        <v>483</v>
      </c>
      <c r="AG161" s="490" t="s">
        <v>483</v>
      </c>
      <c r="AH161" s="213" t="s">
        <v>483</v>
      </c>
      <c r="AI161" s="213" t="s">
        <v>483</v>
      </c>
      <c r="AJ161" s="213" t="s">
        <v>483</v>
      </c>
      <c r="AK161" s="490" t="s">
        <v>483</v>
      </c>
      <c r="AL161" s="213" t="s">
        <v>483</v>
      </c>
      <c r="AM161" s="213" t="s">
        <v>483</v>
      </c>
      <c r="AN161" s="213" t="s">
        <v>483</v>
      </c>
      <c r="AO161" s="490" t="s">
        <v>483</v>
      </c>
      <c r="AP161" s="213" t="s">
        <v>483</v>
      </c>
      <c r="AQ161" s="213" t="s">
        <v>483</v>
      </c>
      <c r="AR161" s="213" t="s">
        <v>483</v>
      </c>
      <c r="AS161" s="490" t="s">
        <v>483</v>
      </c>
      <c r="AT161" s="213" t="s">
        <v>483</v>
      </c>
      <c r="AU161" s="213" t="s">
        <v>483</v>
      </c>
      <c r="AV161" s="213" t="s">
        <v>483</v>
      </c>
      <c r="AW161" s="490" t="s">
        <v>483</v>
      </c>
      <c r="AX161" s="806">
        <f>'Income Statement'!AX156-'Income Statement'!AX169</f>
        <v>150.23999999999998</v>
      </c>
      <c r="AY161" s="806">
        <f>'Income Statement'!AY156-'Income Statement'!AY169</f>
        <v>162.85500000000002</v>
      </c>
      <c r="AZ161" s="806">
        <f>'Income Statement'!AZ156-'Income Statement'!AZ169</f>
        <v>196.39400000000001</v>
      </c>
      <c r="BA161" s="913">
        <f>'Income Statement'!BA156-'Income Statement'!BA169</f>
        <v>229.50799999999998</v>
      </c>
      <c r="BB161" s="806">
        <f>'Income Statement'!BB156-'Income Statement'!BB169</f>
        <v>183.31000000000003</v>
      </c>
      <c r="BC161" s="806">
        <f>'Income Statement'!BC156-'Income Statement'!BC169</f>
        <v>217.02199999999999</v>
      </c>
      <c r="BD161" s="806">
        <f>'Income Statement'!BD156-'Income Statement'!BD169</f>
        <v>264.41800000000001</v>
      </c>
      <c r="BE161" s="913">
        <f>'Income Statement'!BE156-'Income Statement'!BE169</f>
        <v>296.75</v>
      </c>
      <c r="BF161" s="806">
        <f>'Income Statement'!BF156-'Income Statement'!BF169</f>
        <v>247.04600000000002</v>
      </c>
      <c r="BG161" s="806">
        <f>'Income Statement'!BG156-'Income Statement'!BG169</f>
        <v>278.392</v>
      </c>
      <c r="BH161" s="806">
        <f>'Income Statement'!BH156-'Income Statement'!BH169</f>
        <v>332.73199999999997</v>
      </c>
      <c r="BI161" s="913">
        <f>'Income Statement'!BI156-'Income Statement'!BI169</f>
        <v>365.90600000000001</v>
      </c>
      <c r="BJ161" s="1379">
        <f>'Income Statement'!BJ156-'Income Statement'!BJ169</f>
        <v>312.01100000000002</v>
      </c>
      <c r="BK161" s="806">
        <f>'Income Statement'!BK156-'Income Statement'!BK169</f>
        <v>331.28399999999999</v>
      </c>
      <c r="BL161" s="806">
        <f>'Income Statement'!BL156-'Income Statement'!BL169</f>
        <v>871.04077512170238</v>
      </c>
      <c r="BM161" s="913">
        <f>'Income Statement'!BM156-'Income Statement'!BM169</f>
        <v>745.69200000000001</v>
      </c>
      <c r="BN161" s="1379">
        <f>'Income Statement'!BN156-'Income Statement'!BN169</f>
        <v>648.20000000000005</v>
      </c>
      <c r="BO161" s="806">
        <f>'Income Statement'!BO156-'Income Statement'!BO169</f>
        <v>708.26</v>
      </c>
      <c r="BP161" s="806">
        <f>'Income Statement'!BP156-'Income Statement'!BP169</f>
        <v>762.62199999999996</v>
      </c>
      <c r="BQ161" s="913">
        <f>'Income Statement'!BQ156-'Income Statement'!BQ169</f>
        <v>825.12599999999998</v>
      </c>
      <c r="BR161" s="1379">
        <f>'Income Statement'!BR156-'Income Statement'!BR169</f>
        <v>738.23200000000008</v>
      </c>
      <c r="BS161" s="806">
        <f>'Income Statement'!BS156-'Income Statement'!BS169</f>
        <v>739.16800000000001</v>
      </c>
      <c r="BT161" s="806">
        <f>'Income Statement'!BT156-'Income Statement'!BT169</f>
        <v>756.36</v>
      </c>
      <c r="BU161" s="913">
        <f>'Income Statement'!BU156-'Income Statement'!BU169</f>
        <v>799.221</v>
      </c>
      <c r="BV161" s="1379">
        <f>'Income Statement'!BV156-'Income Statement'!BV169</f>
        <v>749.97900000000004</v>
      </c>
      <c r="BW161" s="806">
        <f>'Income Statement'!BW156-'Income Statement'!BW169</f>
        <v>787.14400000000001</v>
      </c>
      <c r="BX161" s="806">
        <f>'Income Statement'!BX156-'Income Statement'!BX169</f>
        <v>753.64</v>
      </c>
      <c r="BY161" s="913">
        <f>'Income Statement'!BY156-'Income Statement'!BY169</f>
        <v>786.75500000000011</v>
      </c>
      <c r="BZ161" s="1379">
        <v>693</v>
      </c>
      <c r="CA161" s="806">
        <v>676</v>
      </c>
      <c r="CB161" s="806">
        <v>686</v>
      </c>
      <c r="CC161" s="913">
        <v>748</v>
      </c>
      <c r="CD161" s="1379">
        <v>681</v>
      </c>
      <c r="CE161" s="806">
        <v>715</v>
      </c>
      <c r="CF161" s="806">
        <v>688</v>
      </c>
      <c r="CG161" s="913">
        <v>782</v>
      </c>
      <c r="CH161" s="1379">
        <v>707</v>
      </c>
      <c r="CI161" s="806">
        <v>718</v>
      </c>
      <c r="CJ161" s="806">
        <v>733</v>
      </c>
      <c r="CK161" s="913">
        <v>791</v>
      </c>
      <c r="CL161" s="1379">
        <v>381</v>
      </c>
      <c r="CM161" s="806">
        <v>359</v>
      </c>
      <c r="CN161" s="806">
        <v>387</v>
      </c>
      <c r="CO161" s="913">
        <v>425</v>
      </c>
      <c r="CP161" s="1379">
        <f>277-8</f>
        <v>269</v>
      </c>
      <c r="CQ161" s="806">
        <f>260-2</f>
        <v>258</v>
      </c>
      <c r="CR161" s="806">
        <v>264</v>
      </c>
      <c r="CS161" s="913">
        <f>299-5</f>
        <v>294</v>
      </c>
      <c r="CT161" s="1379">
        <f>220-1</f>
        <v>219</v>
      </c>
      <c r="CU161" s="806">
        <v>227</v>
      </c>
      <c r="CV161" s="806">
        <v>234</v>
      </c>
      <c r="CW161" s="913">
        <f>272-10</f>
        <v>262</v>
      </c>
      <c r="CX161" s="2026">
        <f>182-3</f>
        <v>179</v>
      </c>
      <c r="CY161" s="2027">
        <v>173</v>
      </c>
      <c r="CZ161" s="2027">
        <v>171</v>
      </c>
      <c r="DA161" s="2028">
        <v>192</v>
      </c>
      <c r="DB161" s="2027">
        <v>157</v>
      </c>
      <c r="DC161" s="2027">
        <f>165-1</f>
        <v>164</v>
      </c>
      <c r="DD161" s="2027">
        <v>170</v>
      </c>
      <c r="DE161" s="2028">
        <v>200</v>
      </c>
      <c r="DF161" s="2027">
        <v>149</v>
      </c>
      <c r="DG161" s="2027">
        <v>161</v>
      </c>
      <c r="DH161" s="2027">
        <v>181</v>
      </c>
      <c r="DI161" s="2028">
        <f>228-5</f>
        <v>223</v>
      </c>
      <c r="DJ161" s="1678">
        <f>DJ193*'Revenue Model'!DJ325</f>
        <v>149.26222243902441</v>
      </c>
      <c r="DK161" s="806">
        <f>DK193*'Revenue Model'!DK325</f>
        <v>159.29196569536421</v>
      </c>
      <c r="DL161" s="806">
        <f>DL193*'Revenue Model'!DL325</f>
        <v>179.18006</v>
      </c>
      <c r="DM161" s="913">
        <f>DM193*'Revenue Model'!DM325</f>
        <v>248.2304</v>
      </c>
      <c r="DN161" s="914"/>
      <c r="DO161" s="913"/>
      <c r="DP161" s="806"/>
      <c r="DQ161" s="213" t="s">
        <v>483</v>
      </c>
      <c r="DR161" s="213" t="s">
        <v>483</v>
      </c>
      <c r="DS161" s="213" t="s">
        <v>483</v>
      </c>
      <c r="DT161" s="213" t="s">
        <v>483</v>
      </c>
      <c r="DU161" s="213" t="s">
        <v>483</v>
      </c>
      <c r="DV161" s="213" t="s">
        <v>483</v>
      </c>
      <c r="DW161" s="213" t="s">
        <v>483</v>
      </c>
      <c r="DX161" s="213" t="s">
        <v>483</v>
      </c>
      <c r="DY161" s="213" t="s">
        <v>483</v>
      </c>
      <c r="DZ161" s="213" t="s">
        <v>483</v>
      </c>
      <c r="EA161" s="213" t="s">
        <v>483</v>
      </c>
      <c r="EB161" s="213" t="s">
        <v>483</v>
      </c>
      <c r="EC161" s="213" t="s">
        <v>483</v>
      </c>
      <c r="ED161" s="213" t="s">
        <v>483</v>
      </c>
      <c r="EE161" s="213" t="s">
        <v>483</v>
      </c>
      <c r="EF161" s="213" t="s">
        <v>483</v>
      </c>
      <c r="EG161" s="213" t="s">
        <v>483</v>
      </c>
      <c r="EH161" s="213" t="s">
        <v>483</v>
      </c>
      <c r="EI161" s="806">
        <f>'Income Statement'!EI156-'Income Statement'!EI169</f>
        <v>584.6</v>
      </c>
      <c r="EJ161" s="806">
        <f>SUM(AX161:BA161)</f>
        <v>738.99700000000007</v>
      </c>
      <c r="EK161" s="806">
        <f>SUM(BB161:BE161)</f>
        <v>961.5</v>
      </c>
      <c r="EL161" s="806">
        <f>SUM(BF161:BI161)</f>
        <v>1224.076</v>
      </c>
      <c r="EM161" s="806">
        <f>SUM(BJ161:BM161)</f>
        <v>2260.0277751217027</v>
      </c>
      <c r="EN161" s="806">
        <f>SUM(BN161:BQ161)</f>
        <v>2944.2079999999996</v>
      </c>
      <c r="EO161" s="806">
        <f>SUM(BR161:BU161)</f>
        <v>3032.9810000000002</v>
      </c>
      <c r="EP161" s="806">
        <f>SUM(BV161:BY161)</f>
        <v>3077.518</v>
      </c>
      <c r="EQ161" s="806">
        <f>SUM(BZ161:CC161)</f>
        <v>2803</v>
      </c>
      <c r="ER161" s="806">
        <f>SUM(CD161:CG161)</f>
        <v>2866</v>
      </c>
      <c r="ES161" s="806">
        <f>SUM(CH161:CK161)</f>
        <v>2949</v>
      </c>
      <c r="ET161" s="806">
        <f>SUM(CL161:CO161)</f>
        <v>1552</v>
      </c>
      <c r="EU161" s="806">
        <f>SUM(CP161:CS161)</f>
        <v>1085</v>
      </c>
      <c r="EV161" s="806">
        <f>SUM(CT161:CW161)</f>
        <v>942</v>
      </c>
      <c r="EW161" s="806">
        <f>SUM(CX161:DA161)</f>
        <v>715</v>
      </c>
      <c r="EX161" s="806">
        <f>SUM(DB161:DE161)</f>
        <v>691</v>
      </c>
      <c r="EY161" s="806">
        <f>SUM(DF161:DI161)</f>
        <v>714</v>
      </c>
      <c r="EZ161" s="1678">
        <f>SUM(DJ161:DM161)</f>
        <v>735.96464813438865</v>
      </c>
      <c r="FA161" s="806">
        <f>FA193*'Revenue Model'!FA325</f>
        <v>744.40999825842312</v>
      </c>
      <c r="FB161" s="806">
        <f>FB193*'Revenue Model'!FB325</f>
        <v>750.63389887006156</v>
      </c>
      <c r="FC161" s="806">
        <f>FC193*'Revenue Model'!FC325</f>
        <v>750.27514937320166</v>
      </c>
      <c r="FD161" s="806">
        <f>FD193*'Revenue Model'!FD325</f>
        <v>749.90550173697136</v>
      </c>
      <c r="FE161" s="806">
        <f>FE193*'Revenue Model'!FE325</f>
        <v>749.52501250393311</v>
      </c>
      <c r="FF161" s="806">
        <f>FF193*'Revenue Model'!FF325</f>
        <v>749.1337376090072</v>
      </c>
      <c r="FG161" s="806">
        <f>FG193*'Revenue Model'!FG325</f>
        <v>748.73173238895208</v>
      </c>
      <c r="FH161" s="806">
        <f>FH193*'Revenue Model'!FH325</f>
        <v>748.31905159165308</v>
      </c>
      <c r="FI161" s="413"/>
      <c r="FJ161"/>
      <c r="FK161"/>
      <c r="FL161"/>
      <c r="FM161"/>
      <c r="FN161"/>
      <c r="FO161"/>
      <c r="FP161" s="4"/>
      <c r="FQ161" s="4"/>
      <c r="FR161" s="4"/>
      <c r="FS161" s="806"/>
      <c r="FT161" s="806"/>
      <c r="FU161"/>
      <c r="FV161" s="806"/>
      <c r="FW161" s="806"/>
      <c r="FX161" s="806"/>
      <c r="FY161"/>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row>
    <row r="162" spans="1:260" s="3" customFormat="1" x14ac:dyDescent="0.2">
      <c r="A162" s="441" t="s">
        <v>94</v>
      </c>
      <c r="B162" s="926"/>
      <c r="C162" s="927"/>
      <c r="D162" s="927"/>
      <c r="E162" s="928"/>
      <c r="F162" s="926"/>
      <c r="G162" s="927"/>
      <c r="H162" s="927"/>
      <c r="I162" s="928"/>
      <c r="J162" s="926"/>
      <c r="K162" s="927"/>
      <c r="L162" s="927"/>
      <c r="M162" s="928"/>
      <c r="N162" s="926"/>
      <c r="O162" s="927"/>
      <c r="P162" s="927"/>
      <c r="Q162" s="928"/>
      <c r="R162" s="926"/>
      <c r="S162" s="927"/>
      <c r="T162" s="927"/>
      <c r="U162" s="928"/>
      <c r="V162" s="926"/>
      <c r="W162" s="927"/>
      <c r="X162" s="927"/>
      <c r="Y162" s="928"/>
      <c r="Z162" s="926"/>
      <c r="AA162" s="927"/>
      <c r="AB162" s="927"/>
      <c r="AC162" s="928"/>
      <c r="AD162" s="926"/>
      <c r="AE162" s="927"/>
      <c r="AF162" s="927"/>
      <c r="AG162" s="928"/>
      <c r="AH162" s="926"/>
      <c r="AI162" s="927"/>
      <c r="AJ162" s="927"/>
      <c r="AK162" s="928"/>
      <c r="AL162" s="926"/>
      <c r="AM162" s="927"/>
      <c r="AN162" s="927"/>
      <c r="AO162" s="928"/>
      <c r="AP162" s="926"/>
      <c r="AQ162" s="927"/>
      <c r="AR162" s="927"/>
      <c r="AS162" s="928"/>
      <c r="AT162" s="926"/>
      <c r="AU162" s="927"/>
      <c r="AV162" s="927"/>
      <c r="AW162" s="928"/>
      <c r="AX162" s="198">
        <v>1319</v>
      </c>
      <c r="AY162" s="198">
        <v>1450</v>
      </c>
      <c r="AZ162" s="198">
        <v>1599</v>
      </c>
      <c r="BA162" s="766">
        <v>1714</v>
      </c>
      <c r="BB162" s="198">
        <v>1428</v>
      </c>
      <c r="BC162" s="198">
        <v>1572</v>
      </c>
      <c r="BD162" s="198">
        <v>1799</v>
      </c>
      <c r="BE162" s="766">
        <v>1971</v>
      </c>
      <c r="BF162" s="198">
        <v>1626</v>
      </c>
      <c r="BG162" s="198">
        <v>1738</v>
      </c>
      <c r="BH162" s="198">
        <v>1986</v>
      </c>
      <c r="BI162" s="766">
        <v>2035</v>
      </c>
      <c r="BJ162" s="761">
        <v>1856</v>
      </c>
      <c r="BK162" s="198">
        <v>2042</v>
      </c>
      <c r="BL162" s="198">
        <v>2587</v>
      </c>
      <c r="BM162" s="766">
        <v>2499</v>
      </c>
      <c r="BN162" s="761">
        <v>2209</v>
      </c>
      <c r="BO162" s="198">
        <v>2404</v>
      </c>
      <c r="BP162" s="198">
        <v>2566</v>
      </c>
      <c r="BQ162" s="766">
        <v>2694</v>
      </c>
      <c r="BR162" s="761">
        <v>2480</v>
      </c>
      <c r="BS162" s="198">
        <v>2507</v>
      </c>
      <c r="BT162" s="198">
        <v>2598</v>
      </c>
      <c r="BU162" s="766">
        <v>2740</v>
      </c>
      <c r="BV162" s="761">
        <v>2484</v>
      </c>
      <c r="BW162" s="198">
        <v>2583</v>
      </c>
      <c r="BX162" s="198">
        <v>2616</v>
      </c>
      <c r="BY162" s="766">
        <v>2719</v>
      </c>
      <c r="BZ162" s="761">
        <f>SUM(BZ160:BZ161)</f>
        <v>2427</v>
      </c>
      <c r="CA162" s="198">
        <f t="shared" ref="CA162:CG162" si="544">SUM(CA160:CA161)</f>
        <v>2435</v>
      </c>
      <c r="CB162" s="198">
        <f t="shared" si="544"/>
        <v>2444</v>
      </c>
      <c r="CC162" s="766">
        <f t="shared" si="544"/>
        <v>2702</v>
      </c>
      <c r="CD162" s="761">
        <f t="shared" si="544"/>
        <v>2457</v>
      </c>
      <c r="CE162" s="198">
        <f t="shared" si="544"/>
        <v>2502</v>
      </c>
      <c r="CF162" s="198">
        <f t="shared" si="544"/>
        <v>2472</v>
      </c>
      <c r="CG162" s="766">
        <f t="shared" si="544"/>
        <v>2679</v>
      </c>
      <c r="CH162" s="761">
        <f t="shared" ref="CH162:CW162" si="545">SUM(CH160:CH161)</f>
        <v>2518</v>
      </c>
      <c r="CI162" s="198">
        <f t="shared" si="545"/>
        <v>2440</v>
      </c>
      <c r="CJ162" s="198">
        <f t="shared" si="545"/>
        <v>2538</v>
      </c>
      <c r="CK162" s="766">
        <f t="shared" si="545"/>
        <v>2858</v>
      </c>
      <c r="CL162" s="761">
        <f t="shared" si="545"/>
        <v>2179</v>
      </c>
      <c r="CM162" s="198">
        <f t="shared" si="545"/>
        <v>2080</v>
      </c>
      <c r="CN162" s="198">
        <f t="shared" si="545"/>
        <v>2192</v>
      </c>
      <c r="CO162" s="766">
        <f t="shared" si="545"/>
        <v>2492</v>
      </c>
      <c r="CP162" s="761">
        <f t="shared" si="545"/>
        <v>1901</v>
      </c>
      <c r="CQ162" s="198">
        <f t="shared" si="545"/>
        <v>1914</v>
      </c>
      <c r="CR162" s="198">
        <f t="shared" si="545"/>
        <v>1958</v>
      </c>
      <c r="CS162" s="766">
        <f t="shared" si="545"/>
        <v>2199</v>
      </c>
      <c r="CT162" s="761">
        <f t="shared" si="545"/>
        <v>1746</v>
      </c>
      <c r="CU162" s="198">
        <f t="shared" si="545"/>
        <v>1736</v>
      </c>
      <c r="CV162" s="198">
        <f t="shared" si="545"/>
        <v>1860</v>
      </c>
      <c r="CW162" s="766">
        <f t="shared" si="545"/>
        <v>2208</v>
      </c>
      <c r="CX162" s="761">
        <f t="shared" ref="CX162:DD162" si="546">SUM(CX160:CX161)</f>
        <v>1752</v>
      </c>
      <c r="CY162" s="198">
        <f t="shared" si="546"/>
        <v>1807</v>
      </c>
      <c r="CZ162" s="198">
        <f t="shared" si="546"/>
        <v>1873</v>
      </c>
      <c r="DA162" s="766">
        <f>SUM(DA160:DA161)</f>
        <v>2167</v>
      </c>
      <c r="DB162" s="198">
        <f>SUM(DB160:DB161)</f>
        <v>1722</v>
      </c>
      <c r="DC162" s="198">
        <f t="shared" si="546"/>
        <v>1772</v>
      </c>
      <c r="DD162" s="198">
        <f t="shared" si="546"/>
        <v>1890</v>
      </c>
      <c r="DE162" s="766">
        <f t="shared" ref="DE162:DM162" si="547">SUM(DE160:DE161)</f>
        <v>2140</v>
      </c>
      <c r="DF162" s="198">
        <f t="shared" si="547"/>
        <v>1722</v>
      </c>
      <c r="DG162" s="198">
        <f t="shared" si="547"/>
        <v>1830</v>
      </c>
      <c r="DH162" s="198">
        <f t="shared" si="547"/>
        <v>1932</v>
      </c>
      <c r="DI162" s="766">
        <f t="shared" si="547"/>
        <v>2439</v>
      </c>
      <c r="DJ162" s="1736">
        <f t="shared" si="547"/>
        <v>1757.9937346475704</v>
      </c>
      <c r="DK162" s="198">
        <f t="shared" si="547"/>
        <v>1831.5465896800708</v>
      </c>
      <c r="DL162" s="198">
        <f t="shared" si="547"/>
        <v>1934.1157408375027</v>
      </c>
      <c r="DM162" s="766">
        <f t="shared" si="547"/>
        <v>2429.6505321008403</v>
      </c>
      <c r="DN162" s="761"/>
      <c r="DO162" s="766"/>
      <c r="DP162" s="226"/>
      <c r="DQ162" s="927"/>
      <c r="DR162" s="927"/>
      <c r="DS162" s="927"/>
      <c r="DT162" s="927"/>
      <c r="DU162" s="927"/>
      <c r="DV162" s="927"/>
      <c r="DW162" s="927"/>
      <c r="DX162" s="927"/>
      <c r="DY162" s="927"/>
      <c r="DZ162" s="927"/>
      <c r="EA162" s="927"/>
      <c r="EB162" s="927"/>
      <c r="EC162" s="927"/>
      <c r="ED162" s="927"/>
      <c r="EE162" s="927"/>
      <c r="EF162" s="927"/>
      <c r="EG162" s="927"/>
      <c r="EH162" s="927"/>
      <c r="EI162" s="198">
        <v>5053</v>
      </c>
      <c r="EJ162" s="198">
        <f>SUM(AX162:BA162)</f>
        <v>6082</v>
      </c>
      <c r="EK162" s="198">
        <f>SUM(BB162:BE162)</f>
        <v>6770</v>
      </c>
      <c r="EL162" s="198">
        <f>SUM(BF162:BI162)</f>
        <v>7385</v>
      </c>
      <c r="EM162" s="198">
        <f>SUM(BJ162:BM162)</f>
        <v>8984</v>
      </c>
      <c r="EN162" s="198">
        <f>SUM(BN162:BQ162)</f>
        <v>9873</v>
      </c>
      <c r="EO162" s="198">
        <f>SUM(BR162:BU162)</f>
        <v>10325</v>
      </c>
      <c r="EP162" s="198">
        <f>SUM(BV162:BY162)</f>
        <v>10402</v>
      </c>
      <c r="EQ162" s="198">
        <f>SUM(BZ162:CC162)</f>
        <v>10008</v>
      </c>
      <c r="ER162" s="198">
        <f>SUM(CD162:CG162)</f>
        <v>10110</v>
      </c>
      <c r="ES162" s="198">
        <f>SUM(CH162:CK162)</f>
        <v>10354</v>
      </c>
      <c r="ET162" s="198">
        <f>SUM(CL162:CO162)</f>
        <v>8943</v>
      </c>
      <c r="EU162" s="198">
        <f>SUM(CP162:CS162)</f>
        <v>7972</v>
      </c>
      <c r="EV162" s="198">
        <f>SUM(CT162:CW162)</f>
        <v>7550</v>
      </c>
      <c r="EW162" s="198">
        <f>SUM(CX162:DA162)</f>
        <v>7599</v>
      </c>
      <c r="EX162" s="198">
        <f>SUM(DB162:DE162)</f>
        <v>7524</v>
      </c>
      <c r="EY162" s="198">
        <f>SUM(DF162:DI162)</f>
        <v>7923</v>
      </c>
      <c r="EZ162" s="1736">
        <f>SUM(DJ162:DM162)</f>
        <v>7953.3065972659842</v>
      </c>
      <c r="FA162" s="374">
        <f>'Income Statement'!FA161+'Income Statement'!FA160</f>
        <v>7989.4931287501877</v>
      </c>
      <c r="FB162" s="374">
        <f>'Income Statement'!FB161+'Income Statement'!FB160</f>
        <v>8047.3452940026909</v>
      </c>
      <c r="FC162" s="374">
        <f>'Income Statement'!FC161+'Income Statement'!FC160</f>
        <v>8115.0652129253995</v>
      </c>
      <c r="FD162" s="374">
        <f>'Income Statement'!FD161+'Income Statement'!FD160</f>
        <v>8215.3682601275123</v>
      </c>
      <c r="FE162" s="374">
        <f>'Income Statement'!FE161+'Income Statement'!FE160</f>
        <v>8319.6750027782164</v>
      </c>
      <c r="FF162" s="374">
        <f>'Income Statement'!FF161+'Income Statement'!FF160</f>
        <v>8428.1841874524853</v>
      </c>
      <c r="FG162" s="374">
        <f>'Income Statement'!FG161+'Income Statement'!FG160</f>
        <v>8541.10448169966</v>
      </c>
      <c r="FH162" s="374">
        <f>'Income Statement'!FH161+'Income Statement'!FH160</f>
        <v>8658.6549702029461</v>
      </c>
      <c r="FI162" s="413"/>
      <c r="FJ162"/>
      <c r="FK162"/>
      <c r="FL162"/>
      <c r="FM162"/>
      <c r="FN162"/>
      <c r="FO162"/>
      <c r="FP162" s="4"/>
      <c r="FQ162" s="4"/>
      <c r="FR162" s="4"/>
      <c r="FS162" s="290"/>
      <c r="FT162" s="290"/>
      <c r="FU162"/>
      <c r="FV162" s="290"/>
      <c r="FW162" s="290"/>
      <c r="FX162" s="290"/>
      <c r="FY162"/>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row>
    <row r="163" spans="1:260" s="4" customFormat="1" ht="11.25" customHeight="1" x14ac:dyDescent="0.2">
      <c r="A163" s="351"/>
      <c r="B163" s="3"/>
      <c r="C163" s="3"/>
      <c r="D163" s="3"/>
      <c r="E163" s="470"/>
      <c r="F163" s="3"/>
      <c r="G163" s="3"/>
      <c r="H163" s="3"/>
      <c r="I163" s="470"/>
      <c r="J163" s="3"/>
      <c r="K163" s="3"/>
      <c r="L163" s="3"/>
      <c r="M163" s="470"/>
      <c r="N163" s="3"/>
      <c r="O163" s="3"/>
      <c r="P163" s="3"/>
      <c r="Q163" s="470"/>
      <c r="R163" s="3"/>
      <c r="S163" s="3"/>
      <c r="T163" s="3"/>
      <c r="U163" s="470"/>
      <c r="V163" s="3"/>
      <c r="W163" s="3"/>
      <c r="X163" s="3"/>
      <c r="Y163" s="470"/>
      <c r="Z163" s="3"/>
      <c r="AA163" s="3"/>
      <c r="AB163" s="3"/>
      <c r="AC163" s="470"/>
      <c r="AD163" s="3"/>
      <c r="AE163" s="3"/>
      <c r="AF163" s="3"/>
      <c r="AG163" s="470"/>
      <c r="AH163" s="3"/>
      <c r="AI163" s="3"/>
      <c r="AJ163" s="3"/>
      <c r="AK163" s="470"/>
      <c r="AL163" s="3"/>
      <c r="AM163" s="3"/>
      <c r="AN163" s="3"/>
      <c r="AO163" s="470"/>
      <c r="AP163" s="3"/>
      <c r="AQ163" s="3"/>
      <c r="AR163" s="3"/>
      <c r="AS163" s="470"/>
      <c r="AT163" s="3"/>
      <c r="AU163" s="3"/>
      <c r="AV163" s="3"/>
      <c r="AW163" s="470"/>
      <c r="AX163" s="3"/>
      <c r="AY163" s="3"/>
      <c r="AZ163" s="3"/>
      <c r="BA163" s="470"/>
      <c r="BB163" s="7"/>
      <c r="BC163" s="7"/>
      <c r="BD163" s="3"/>
      <c r="BE163" s="484"/>
      <c r="BF163" s="7"/>
      <c r="BG163" s="7"/>
      <c r="BH163" s="7"/>
      <c r="BI163" s="484"/>
      <c r="BJ163" s="1241"/>
      <c r="BK163" s="769"/>
      <c r="BL163" s="769"/>
      <c r="BM163" s="770"/>
      <c r="BN163" s="1241"/>
      <c r="BO163" s="769"/>
      <c r="BP163" s="769"/>
      <c r="BQ163" s="770"/>
      <c r="BR163" s="1241"/>
      <c r="BS163" s="769"/>
      <c r="BT163" s="769"/>
      <c r="BU163" s="770"/>
      <c r="BV163" s="1241"/>
      <c r="BW163" s="769"/>
      <c r="BX163" s="769"/>
      <c r="BY163" s="770"/>
      <c r="BZ163" s="1241"/>
      <c r="CA163" s="769"/>
      <c r="CB163" s="769"/>
      <c r="CC163" s="770"/>
      <c r="CD163" s="1241"/>
      <c r="CE163" s="769"/>
      <c r="CF163" s="769"/>
      <c r="CG163" s="770"/>
      <c r="CH163" s="1241"/>
      <c r="CI163" s="769"/>
      <c r="CJ163" s="769"/>
      <c r="CK163" s="770"/>
      <c r="CL163" s="1241"/>
      <c r="CM163" s="769"/>
      <c r="CN163" s="769"/>
      <c r="CO163" s="770"/>
      <c r="CP163" s="1241"/>
      <c r="CQ163" s="769"/>
      <c r="CR163" s="769"/>
      <c r="CS163" s="770"/>
      <c r="CT163" s="1241"/>
      <c r="CU163" s="769"/>
      <c r="CV163" s="769"/>
      <c r="CW163" s="770"/>
      <c r="CX163" s="1241"/>
      <c r="CY163" s="769"/>
      <c r="CZ163" s="769"/>
      <c r="DA163" s="770"/>
      <c r="DB163" s="769"/>
      <c r="DC163" s="769"/>
      <c r="DD163" s="769"/>
      <c r="DE163" s="770"/>
      <c r="DF163" s="769"/>
      <c r="DG163" s="769"/>
      <c r="DH163" s="769"/>
      <c r="DI163" s="770"/>
      <c r="DJ163" s="1763"/>
      <c r="DK163" s="769"/>
      <c r="DL163" s="769"/>
      <c r="DM163" s="770"/>
      <c r="DN163" s="1241"/>
      <c r="DO163" s="484"/>
      <c r="DP163" s="3"/>
      <c r="DQ163" s="3"/>
      <c r="DR163" s="3"/>
      <c r="DS163" s="3"/>
      <c r="DT163" s="3"/>
      <c r="DU163" s="3"/>
      <c r="DV163" s="3"/>
      <c r="DW163" s="3"/>
      <c r="DX163" s="3"/>
      <c r="DY163" s="3"/>
      <c r="DZ163" s="3"/>
      <c r="EA163" s="3"/>
      <c r="EB163" s="3"/>
      <c r="EC163" s="3"/>
      <c r="ED163" s="3"/>
      <c r="EE163" s="3"/>
      <c r="EF163" s="3"/>
      <c r="EG163" s="3"/>
      <c r="EH163" s="3"/>
      <c r="EI163" s="3"/>
      <c r="EJ163" s="3"/>
      <c r="EK163" s="7"/>
      <c r="EL163" s="7"/>
      <c r="EM163" s="767"/>
      <c r="EN163" s="769"/>
      <c r="EO163" s="769"/>
      <c r="EP163" s="769"/>
      <c r="EQ163" s="769"/>
      <c r="ER163" s="769"/>
      <c r="ES163" s="769"/>
      <c r="ET163" s="769"/>
      <c r="EU163" s="769"/>
      <c r="EV163" s="769"/>
      <c r="EW163" s="769"/>
      <c r="EX163" s="769"/>
      <c r="EY163" s="769"/>
      <c r="EZ163" s="1763"/>
      <c r="FA163" s="818"/>
      <c r="FB163" s="818"/>
      <c r="FC163" s="818"/>
      <c r="FD163" s="818"/>
      <c r="FE163" s="818"/>
      <c r="FF163" s="818"/>
      <c r="FG163" s="818"/>
      <c r="FH163" s="818"/>
      <c r="FI163" s="413"/>
      <c r="FJ163"/>
      <c r="FK163"/>
      <c r="FL163"/>
      <c r="FM163"/>
      <c r="FN163"/>
      <c r="FO163"/>
      <c r="FS163"/>
      <c r="FT163"/>
      <c r="FU163"/>
      <c r="FV163" s="2625"/>
      <c r="FW163" s="2625"/>
      <c r="FX163" s="2625"/>
      <c r="FY16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row>
    <row r="164" spans="1:260" s="4" customFormat="1" ht="11.25" customHeight="1" x14ac:dyDescent="0.2">
      <c r="A164" s="351" t="s">
        <v>645</v>
      </c>
      <c r="B164" s="3"/>
      <c r="C164" s="3"/>
      <c r="D164" s="3"/>
      <c r="E164" s="470"/>
      <c r="F164" s="3"/>
      <c r="G164" s="3"/>
      <c r="H164" s="3"/>
      <c r="I164" s="470"/>
      <c r="J164" s="3"/>
      <c r="K164" s="3"/>
      <c r="L164" s="3"/>
      <c r="M164" s="470"/>
      <c r="N164" s="3"/>
      <c r="O164" s="3"/>
      <c r="P164" s="3"/>
      <c r="Q164" s="470"/>
      <c r="R164" s="3"/>
      <c r="S164" s="3"/>
      <c r="T164" s="3"/>
      <c r="U164" s="470"/>
      <c r="V164" s="3"/>
      <c r="W164" s="3"/>
      <c r="X164" s="3"/>
      <c r="Y164" s="470"/>
      <c r="Z164" s="3"/>
      <c r="AA164" s="3"/>
      <c r="AB164" s="3"/>
      <c r="AC164" s="470"/>
      <c r="AD164" s="3"/>
      <c r="AE164" s="3"/>
      <c r="AF164" s="3"/>
      <c r="AG164" s="470"/>
      <c r="AH164" s="3"/>
      <c r="AI164" s="3"/>
      <c r="AJ164" s="3"/>
      <c r="AK164" s="470"/>
      <c r="AL164" s="3"/>
      <c r="AM164" s="3"/>
      <c r="AN164" s="3"/>
      <c r="AO164" s="470"/>
      <c r="AP164" s="3"/>
      <c r="AQ164" s="3"/>
      <c r="AR164" s="3"/>
      <c r="AS164" s="470"/>
      <c r="AT164" s="3"/>
      <c r="AU164" s="3"/>
      <c r="AV164" s="3"/>
      <c r="AW164" s="470"/>
      <c r="AX164">
        <f>+IFERROR(AX160*1000/'Revenue Model'!AX94,"NA")</f>
        <v>40.740379252649191</v>
      </c>
      <c r="AY164">
        <f>+IFERROR(AY160*1000/'Revenue Model'!AY94,"NA")</f>
        <v>44.230267001133981</v>
      </c>
      <c r="AZ164">
        <f>+IFERROR(AZ160*1000/'Revenue Model'!AZ94,"NA")</f>
        <v>46.797991425187263</v>
      </c>
      <c r="BA164">
        <f>+IFERROR(BA160*1000/'Revenue Model'!BA94,"NA")</f>
        <v>48.293438303132831</v>
      </c>
      <c r="BB164">
        <f>+IFERROR(BB160*1000/'Revenue Model'!BB94,"NA")</f>
        <v>39.731545766499082</v>
      </c>
      <c r="BC164">
        <f>+IFERROR(BC160*1000/'Revenue Model'!BC94,"NA")</f>
        <v>42.273047764639813</v>
      </c>
      <c r="BD164">
        <f>+IFERROR(BD160*1000/'Revenue Model'!BD94,"NA")</f>
        <v>46.454622510141057</v>
      </c>
      <c r="BE164">
        <f>+IFERROR(BE160*1000/'Revenue Model'!BE94,"NA")</f>
        <v>49.361695854708415</v>
      </c>
      <c r="BF164">
        <f>+IFERROR(BF160*1000/'Revenue Model'!BF94,"NA")</f>
        <v>39.941895492990383</v>
      </c>
      <c r="BG164">
        <f>+IFERROR(BG160*1000/'Revenue Model'!BG94,"NA")</f>
        <v>41.335202412811689</v>
      </c>
      <c r="BH164">
        <f>+IFERROR(BH160*1000/'Revenue Model'!BH94,"NA")</f>
        <v>45.352169857903114</v>
      </c>
      <c r="BI164">
        <f>+IFERROR(BI160*1000/'Revenue Model'!BI94,"NA")</f>
        <v>44.657436020922795</v>
      </c>
      <c r="BJ164" s="1874">
        <f>+IFERROR(BJ160*1000/'Revenue Model'!BJ94,"NA")</f>
        <v>40.680534331032305</v>
      </c>
      <c r="BK164" s="1534">
        <f>+IFERROR(BK160*1000/'Revenue Model'!BK94,"NA")</f>
        <v>44.059958276457102</v>
      </c>
      <c r="BL164" s="1534">
        <f>+IFERROR(BL160*1000/'Revenue Model'!BL94,"NA")</f>
        <v>43.02968328493543</v>
      </c>
      <c r="BM164" s="1535">
        <f>+IFERROR(BM160*1000/'Revenue Model'!BM94,"NA")</f>
        <v>43.066123010414621</v>
      </c>
      <c r="BN164" s="1874">
        <f>+IFERROR(BN160*1000/'Revenue Model'!BN94,"NA")</f>
        <v>38.012664393570383</v>
      </c>
      <c r="BO164" s="1534">
        <f>+IFERROR(BO160*1000/'Revenue Model'!BO94,"NA")</f>
        <v>40.940125543215835</v>
      </c>
      <c r="BP164" s="1534">
        <f>+IFERROR(BP160*1000/'Revenue Model'!BP94,"NA")</f>
        <v>42.87326153626703</v>
      </c>
      <c r="BQ164" s="1535">
        <f>+IFERROR(BQ160*1000/'Revenue Model'!BQ94,"NA")</f>
        <v>43.981784806551822</v>
      </c>
      <c r="BR164" s="1874">
        <f>+IFERROR(BR160*1000/'Revenue Model'!BR94,"NA")</f>
        <v>40.820933475514721</v>
      </c>
      <c r="BS164" s="1534">
        <f>+IFERROR(BS160*1000/'Revenue Model'!BS94,"NA")</f>
        <v>41.067484377540822</v>
      </c>
      <c r="BT164" s="1534">
        <f>+IFERROR(BT160*1000/'Revenue Model'!BT94,"NA")</f>
        <v>42.414555504375855</v>
      </c>
      <c r="BU164" s="1535">
        <f>+IFERROR(BU160*1000/'Revenue Model'!BU94,"NA")</f>
        <v>44.492360243463509</v>
      </c>
      <c r="BV164" s="1874">
        <f>+IFERROR(BV160*1000/'Revenue Model'!BV94,"NA")</f>
        <v>39.674667093762871</v>
      </c>
      <c r="BW164" s="1534">
        <f>+IFERROR(BW160*1000/'Revenue Model'!BW94,"NA")</f>
        <v>40.97882438846294</v>
      </c>
      <c r="BX164" s="1534">
        <f>+IFERROR(BX160*1000/'Revenue Model'!BX94,"NA")</f>
        <v>42.406840253663205</v>
      </c>
      <c r="BY164" s="1535">
        <f>+IFERROR(BY160*1000/'Revenue Model'!BY94,"NA")</f>
        <v>44.026225548833978</v>
      </c>
      <c r="BZ164" s="1874">
        <f>+IFERROR(BZ160*1000/'Revenue Model'!BZ94,"NA")</f>
        <v>40.638878798176641</v>
      </c>
      <c r="CA164" s="1534">
        <f>+IFERROR(CA160*1000/'Revenue Model'!CA94,"NA")</f>
        <v>40.862313285478663</v>
      </c>
      <c r="CB164" s="1534">
        <f>+IFERROR(CB160*1000/'Revenue Model'!CB94,"NA")</f>
        <v>40.488254260709354</v>
      </c>
      <c r="CC164" s="1535">
        <f>+IFERROR(CC160*1000/'Revenue Model'!CC94,"NA")</f>
        <v>44.795451679829441</v>
      </c>
      <c r="CD164" s="1874">
        <f>+IFERROR(CD160*1000/'Revenue Model'!CD94,"NA")</f>
        <v>40.635153068228618</v>
      </c>
      <c r="CE164" s="1534">
        <f>+IFERROR(CE160*1000/'Revenue Model'!CE94,"NA")</f>
        <v>40.776743336984303</v>
      </c>
      <c r="CF164" s="1534">
        <f>+IFERROR(CF160*1000/'Revenue Model'!CF94,"NA")</f>
        <v>40.622545057096993</v>
      </c>
      <c r="CG164" s="1535">
        <f>+IFERROR(CG160*1000/'Revenue Model'!CG94,"NA")</f>
        <v>43.223167800221013</v>
      </c>
      <c r="CH164" s="1874">
        <f>+IFERROR(CH160*1000/'Revenue Model'!CH94,"NA")</f>
        <v>41.323445521962348</v>
      </c>
      <c r="CI164" s="1534">
        <f>+IFERROR(CI160*1000/'Revenue Model'!CI94,"NA")</f>
        <v>39.905912888312109</v>
      </c>
      <c r="CJ164" s="1534">
        <f>+IFERROR(CJ160*1000/'Revenue Model'!CJ94,"NA")</f>
        <v>42.562724014336915</v>
      </c>
      <c r="CK164" s="1535">
        <f>+IFERROR(CK160*1000/'Revenue Model'!CK94,"NA")</f>
        <v>48.823119530428826</v>
      </c>
      <c r="CL164" s="1874">
        <f>+IFERROR(CL160*1000/'Revenue Model'!CL94,"NA")</f>
        <v>41.026811180832858</v>
      </c>
      <c r="CM164" s="1534">
        <f>+IFERROR(CM160*1000/'Revenue Model'!CM94,"NA")</f>
        <v>39.882738722871743</v>
      </c>
      <c r="CN164" s="1534">
        <f>+IFERROR(CN160*1000/'Revenue Model'!CN94,"NA")</f>
        <v>42.562724014336915</v>
      </c>
      <c r="CO164" s="1535">
        <f>+IFERROR(CO160*1000/'Revenue Model'!CO94,"NA")</f>
        <v>48.823119530428826</v>
      </c>
      <c r="CP164" s="1874">
        <f>+IFERROR(CP160*1000/'Revenue Model'!CP94,"NA")</f>
        <v>38.549663399078774</v>
      </c>
      <c r="CQ164" s="1534">
        <f>+IFERROR(CQ160*1000/'Revenue Model'!CQ94,"NA")</f>
        <v>39.133671262982524</v>
      </c>
      <c r="CR164" s="1534">
        <f>+IFERROR(CR160*1000/'Revenue Model'!CR94,"NA")</f>
        <v>40.084712674956521</v>
      </c>
      <c r="CS164" s="1535">
        <f>+IFERROR(CS160*1000/'Revenue Model'!CS94,"NA")</f>
        <v>45.144319636001704</v>
      </c>
      <c r="CT164" s="1874">
        <f>+IFERROR(CT160*1000/'Revenue Model'!CT94,"NA")</f>
        <v>36.297511231548171</v>
      </c>
      <c r="CU164" s="1534">
        <f>+IFERROR(CU160*1000/'Revenue Model'!CU94,"NA")</f>
        <v>36.004437922765831</v>
      </c>
      <c r="CV164" s="1534">
        <f>+IFERROR(CV160*1000/'Revenue Model'!CV94,"NA")</f>
        <v>38.853510794633152</v>
      </c>
      <c r="CW164" s="1535">
        <f>+IFERROR(CW160*1000/'Revenue Model'!CW94,"NA")</f>
        <v>46.587345287400346</v>
      </c>
      <c r="CX164" s="1874">
        <f>+IFERROR(CX160*1000/'Revenue Model'!CX94,"NA")</f>
        <v>37.718204488778056</v>
      </c>
      <c r="CY164" s="1534">
        <f>+IFERROR(CY160*1000/'Revenue Model'!CY94,"NA")</f>
        <v>39.226041866717878</v>
      </c>
      <c r="CZ164" s="1534">
        <f>+IFERROR(CZ160*1000/'Revenue Model'!CZ94,"NA")</f>
        <v>40.895766254985823</v>
      </c>
      <c r="DA164" s="1535">
        <f>+IFERROR(DA160*1000/'Revenue Model'!DA94,"NA")</f>
        <v>47.68688429592428</v>
      </c>
      <c r="DB164" s="1534">
        <f>+IFERROR(DB160*1000/'Revenue Model'!DB94,"NA")</f>
        <v>37.997426372399055</v>
      </c>
      <c r="DC164" s="1534">
        <f>+IFERROR(DC160*1000/'Revenue Model'!DC94,"NA")</f>
        <v>39.088898072295017</v>
      </c>
      <c r="DD164" s="1534">
        <f>+IFERROR(DD160*1000/'Revenue Model'!DD94,"NA")</f>
        <v>41.96606116797404</v>
      </c>
      <c r="DE164" s="1535">
        <f>+IFERROR(DE160*1000/'Revenue Model'!DE94,"NA")</f>
        <v>47.500703940844481</v>
      </c>
      <c r="DF164" s="1534">
        <f>+IFERROR(DF160*1000/'Revenue Model'!DF94,"NA")</f>
        <v>38.561009989581422</v>
      </c>
      <c r="DG164" s="1534">
        <f>+IFERROR(DG160*1000/'Revenue Model'!DG94,"NA")</f>
        <v>40.953035284880009</v>
      </c>
      <c r="DH164" s="1534">
        <f>+IFERROR(DH160*1000/'Revenue Model'!DH94,"NA")</f>
        <v>43.254326050171066</v>
      </c>
      <c r="DI164" s="1535">
        <f>+IFERROR(DI160*1000/'Revenue Model'!DI94,"NA")</f>
        <v>55.130549439613887</v>
      </c>
      <c r="DJ164" s="1767">
        <f>+IFERROR(DJ160*1000/'Revenue Model'!DJ94,"NA")</f>
        <v>40.447320759011546</v>
      </c>
      <c r="DK164" s="1534">
        <f>+IFERROR(DK160*1000/'Revenue Model'!DK94,"NA")</f>
        <v>42.540540889422545</v>
      </c>
      <c r="DL164" s="1534">
        <f>+IFERROR(DL160*1000/'Revenue Model'!DL94,"NA")</f>
        <v>44.776575187652185</v>
      </c>
      <c r="DM164" s="1535">
        <f>+IFERROR(DM160*1000/'Revenue Model'!DM94,"NA")</f>
        <v>55.698293576531967</v>
      </c>
      <c r="DN164" s="1536"/>
      <c r="DO164" s="1535"/>
      <c r="DP164" s="1534"/>
      <c r="DQ164" s="1537"/>
      <c r="DR164" s="1537"/>
      <c r="DS164" s="1537"/>
      <c r="DT164" s="1537"/>
      <c r="DU164" s="1537"/>
      <c r="DV164" s="1537"/>
      <c r="DW164" s="1537"/>
      <c r="DX164" s="1537"/>
      <c r="DY164" s="1537"/>
      <c r="DZ164" s="1537"/>
      <c r="EA164" s="1537"/>
      <c r="EB164" s="1537"/>
      <c r="EC164" s="1537"/>
      <c r="ED164" s="1537"/>
      <c r="EE164" s="1537"/>
      <c r="EF164" s="1537"/>
      <c r="EG164" s="1537"/>
      <c r="EH164" s="1537"/>
      <c r="EI164" s="1534">
        <f>+IFERROR(EI160*1000/'Revenue Model'!EI94,"NA")</f>
        <v>162.18060394889662</v>
      </c>
      <c r="EJ164" s="1534">
        <f>+IFERROR(EJ160*1000/'Revenue Model'!EJ94,"NA")</f>
        <v>180.35529263836557</v>
      </c>
      <c r="EK164" s="1534">
        <f>+IFERROR(EK160*1000/'Revenue Model'!EK94,"NA")</f>
        <v>178.2671244701053</v>
      </c>
      <c r="EL164" s="1534">
        <f>+IFERROR(EL160*1000/'Revenue Model'!EL94,"NA")</f>
        <v>171.53583684265479</v>
      </c>
      <c r="EM164" s="1534">
        <f>+IFERROR(EM160*1000/'Revenue Model'!EM94,"NA")</f>
        <v>170.90698696722842</v>
      </c>
      <c r="EN164" s="1534">
        <f>+IFERROR(EN160*1000/'Revenue Model'!EN94,"NA")</f>
        <v>165.92431526326814</v>
      </c>
      <c r="EO164" s="1534">
        <f>+IFERROR(EO160*1000/'Revenue Model'!EO94,"NA")</f>
        <v>168.83972770844429</v>
      </c>
      <c r="EP164" s="1534">
        <f>+IFERROR(EP160*1000/'Revenue Model'!EP94,"NA")</f>
        <v>167.09686029600479</v>
      </c>
      <c r="EQ164" s="1534">
        <f>+IFERROR(EQ160*1000/'Revenue Model'!EQ94,"NA")</f>
        <v>166.82488596633402</v>
      </c>
      <c r="ER164" s="1534">
        <f>+IFERROR(ER160*1000/'Revenue Model'!ER94,"NA")</f>
        <v>165.26078649442496</v>
      </c>
      <c r="ES164" s="1534">
        <f>+IFERROR(ES160*1000/'Revenue Model'!ES94,"NA")</f>
        <v>172.48909568427857</v>
      </c>
      <c r="ET164" s="1534">
        <f>+IFERROR(ET160*1000/'Revenue Model'!ET94,"NA")</f>
        <v>172.16298530756285</v>
      </c>
      <c r="EU164" s="1534">
        <f>+IFERROR(EU160*1000/'Revenue Model'!EU94,"NA")</f>
        <v>162.89988764709361</v>
      </c>
      <c r="EV164" s="1534">
        <f>+IFERROR(EV160*1000/'Revenue Model'!EV94,"NA")</f>
        <v>157.70788957106461</v>
      </c>
      <c r="EW164" s="1534">
        <f>+IFERROR(EW160*1000/'Revenue Model'!EW94,"NA")</f>
        <v>164.65354349541965</v>
      </c>
      <c r="EX164" s="1534">
        <f>+IFERROR(EX160*1000/'Revenue Model'!EX94,"NA")</f>
        <v>166.50522994072531</v>
      </c>
      <c r="EY164" s="1534">
        <f>+IFERROR(EY160*1000/'Revenue Model'!EY94,"NA")</f>
        <v>177.75476426041848</v>
      </c>
      <c r="EZ164" s="1767">
        <f>+IFERROR(EZ160*1000/'Revenue Model'!EZ94,"NA")</f>
        <v>183.36594715227844</v>
      </c>
      <c r="FA164" s="1534">
        <f>+IFERROR(FA160*1000/'Revenue Model'!FA94,"NA")</f>
        <v>185.68713120225542</v>
      </c>
      <c r="FB164" s="1534">
        <f>+IFERROR(FB160*1000/'Revenue Model'!FB94,"NA")</f>
        <v>188.62601599544354</v>
      </c>
      <c r="FC164" s="1534">
        <f>+IFERROR(FC160*1000/'Revenue Model'!FC94,"NA")</f>
        <v>191.66225522439311</v>
      </c>
      <c r="FD164" s="1534">
        <f>+IFERROR(FD160*1000/'Revenue Model'!FD94,"NA")</f>
        <v>195.30429020751035</v>
      </c>
      <c r="FE164" s="1534">
        <f>+IFERROR(FE160*1000/'Revenue Model'!FE94,"NA")</f>
        <v>199.08948978984094</v>
      </c>
      <c r="FF164" s="1534">
        <f>+IFERROR(FF160*1000/'Revenue Model'!FF94,"NA")</f>
        <v>203.02524609441977</v>
      </c>
      <c r="FG164" s="1534">
        <f>+IFERROR(FG160*1000/'Revenue Model'!FG94,"NA")</f>
        <v>207.11936321408868</v>
      </c>
      <c r="FH164" s="1534">
        <f>+IFERROR(FH160*1000/'Revenue Model'!FH94,"NA")</f>
        <v>211.38008057780652</v>
      </c>
      <c r="FI164" s="1538"/>
      <c r="FJ164"/>
      <c r="FK164"/>
      <c r="FL164"/>
      <c r="FM164"/>
      <c r="FN164"/>
      <c r="FO164"/>
      <c r="FS164"/>
      <c r="FT164"/>
      <c r="FU164"/>
      <c r="FV164" s="1534"/>
      <c r="FW164" s="1534"/>
      <c r="FX164" s="1534"/>
      <c r="FY164"/>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row>
    <row r="165" spans="1:260" s="4" customFormat="1" ht="11.25" customHeight="1" x14ac:dyDescent="0.2">
      <c r="A165" s="351" t="s">
        <v>646</v>
      </c>
      <c r="B165" s="3"/>
      <c r="C165" s="3"/>
      <c r="D165" s="3"/>
      <c r="E165" s="470"/>
      <c r="F165" s="3"/>
      <c r="G165" s="3"/>
      <c r="H165" s="3"/>
      <c r="I165" s="470"/>
      <c r="J165" s="3"/>
      <c r="K165" s="3"/>
      <c r="L165" s="3"/>
      <c r="M165" s="470"/>
      <c r="N165" s="3"/>
      <c r="O165" s="3"/>
      <c r="P165" s="3"/>
      <c r="Q165" s="470"/>
      <c r="R165" s="3"/>
      <c r="S165" s="3"/>
      <c r="T165" s="3"/>
      <c r="U165" s="470"/>
      <c r="V165" s="3"/>
      <c r="W165" s="3"/>
      <c r="X165" s="3"/>
      <c r="Y165" s="470"/>
      <c r="Z165" s="3"/>
      <c r="AA165" s="3"/>
      <c r="AB165" s="3"/>
      <c r="AC165" s="470"/>
      <c r="AD165" s="3"/>
      <c r="AE165" s="3"/>
      <c r="AF165" s="3"/>
      <c r="AG165" s="470"/>
      <c r="AH165" s="3"/>
      <c r="AI165" s="3"/>
      <c r="AJ165" s="3"/>
      <c r="AK165" s="470"/>
      <c r="AL165" s="3"/>
      <c r="AM165" s="3"/>
      <c r="AN165" s="3"/>
      <c r="AO165" s="470"/>
      <c r="AP165" s="3"/>
      <c r="AQ165" s="3"/>
      <c r="AR165" s="3"/>
      <c r="AS165" s="470"/>
      <c r="AT165" s="3"/>
      <c r="AU165" s="3"/>
      <c r="AV165" s="3"/>
      <c r="AW165" s="470"/>
      <c r="AX165">
        <f>+IFERROR(AX161*1000/'Revenue Model'!AX297,"NA")</f>
        <v>36.688644688644679</v>
      </c>
      <c r="AY165">
        <f>+IFERROR(AY161*1000/'Revenue Model'!AY297,"NA")</f>
        <v>38.927931158121197</v>
      </c>
      <c r="AZ165">
        <f>+IFERROR(AZ161*1000/'Revenue Model'!AZ297,"NA")</f>
        <v>44.282750845546786</v>
      </c>
      <c r="BA165">
        <f>+IFERROR(BA161*1000/'Revenue Model'!BA297,"NA")</f>
        <v>49.421657559688832</v>
      </c>
      <c r="BB165">
        <f>+IFERROR(BB161*1000/'Revenue Model'!BB297,"NA")</f>
        <v>39.359165536735908</v>
      </c>
      <c r="BC165">
        <f>+IFERROR(BC161*1000/'Revenue Model'!BC297,"NA")</f>
        <v>31.75394213759915</v>
      </c>
      <c r="BD165">
        <f>+IFERROR(BD161*1000/'Revenue Model'!BD297,"NA")</f>
        <v>28.953517656720503</v>
      </c>
      <c r="BE165">
        <f>+IFERROR(BE161*1000/'Revenue Model'!BE297,"NA")</f>
        <v>31.777051989077474</v>
      </c>
      <c r="BF165">
        <f>+IFERROR(BF161*1000/'Revenue Model'!BF297,"NA")</f>
        <v>26.03224446786091</v>
      </c>
      <c r="BG165">
        <f>+IFERROR(BG161*1000/'Revenue Model'!BG297,"NA")</f>
        <v>28.679509632224168</v>
      </c>
      <c r="BH165">
        <f>+IFERROR(BH161*1000/'Revenue Model'!BH297,"NA")</f>
        <v>32.62558219345982</v>
      </c>
      <c r="BI165">
        <f>+IFERROR(BI161*1000/'Revenue Model'!BI297,"NA")</f>
        <v>33.858240029610435</v>
      </c>
      <c r="BJ165" s="1874">
        <f>+IFERROR(BJ161*1000/'Revenue Model'!BJ297,"NA")</f>
        <v>27.754047322540472</v>
      </c>
      <c r="BK165" s="1534">
        <f>+IFERROR(BK161*1000/'Revenue Model'!BK297,"NA")</f>
        <v>28.987531172069826</v>
      </c>
      <c r="BL165" s="1534">
        <f>+IFERROR(BL161*1000/'Revenue Model'!BL297,"NA")</f>
        <v>71.743742288254865</v>
      </c>
      <c r="BM165" s="1535">
        <f>+IFERROR(BM161*1000/'Revenue Model'!BM297,"NA")</f>
        <v>56.986129685529782</v>
      </c>
      <c r="BN165" s="1874">
        <f>+IFERROR(BN161*1000/'Revenue Model'!BN297,"NA")</f>
        <v>48.661837018129951</v>
      </c>
      <c r="BO165" s="1534">
        <f>+IFERROR(BO161*1000/'Revenue Model'!BO297,"NA")</f>
        <v>52.867059789505113</v>
      </c>
      <c r="BP165" s="1534">
        <f>+IFERROR(BP161*1000/'Revenue Model'!BP297,"NA")</f>
        <v>56.406952662721892</v>
      </c>
      <c r="BQ165" s="1535">
        <f>+IFERROR(BQ161*1000/'Revenue Model'!BQ297,"NA")</f>
        <v>60.717807044053551</v>
      </c>
      <c r="BR165" s="1874">
        <f>+IFERROR(BR161*1000/'Revenue Model'!BR297,"NA")</f>
        <v>54.047206118092902</v>
      </c>
      <c r="BS165" s="1534">
        <f>+IFERROR(BS161*1000/'Revenue Model'!BS297,"NA")</f>
        <v>53.229251431246176</v>
      </c>
      <c r="BT165" s="1534">
        <f>+IFERROR(BT161*1000/'Revenue Model'!BT297,"NA")</f>
        <v>53.403939843253546</v>
      </c>
      <c r="BU165" s="1535">
        <f>+IFERROR(BU161*1000/'Revenue Model'!BU297,"NA")</f>
        <v>55.708430627679228</v>
      </c>
      <c r="BV165" s="1874">
        <f>+IFERROR(BV161*1000/'Revenue Model'!BV297,"NA")</f>
        <v>51.959193570735764</v>
      </c>
      <c r="BW165" s="1534">
        <f>+IFERROR(BW161*1000/'Revenue Model'!BW297,"NA")</f>
        <v>53.492626571525655</v>
      </c>
      <c r="BX165" s="1534">
        <f>+IFERROR(BX161*1000/'Revenue Model'!BX297,"NA")</f>
        <v>49.453066045473932</v>
      </c>
      <c r="BY165" s="1535">
        <f>+IFERROR(BY161*1000/'Revenue Model'!BY297,"NA")</f>
        <v>50.23336738602989</v>
      </c>
      <c r="BZ165" s="1874">
        <f>+IFERROR(BZ161*1000/'Revenue Model'!BZ297,"NA")</f>
        <v>50.735695336748307</v>
      </c>
      <c r="CA165" s="1534">
        <f>+IFERROR(CA161*1000/'Revenue Model'!CA297,"NA")</f>
        <v>48.680373024160154</v>
      </c>
      <c r="CB165" s="1534">
        <f>+IFERROR(CB161*1000/'Revenue Model'!CB297,"NA")</f>
        <v>48.436065805267248</v>
      </c>
      <c r="CC165" s="1535">
        <f>+IFERROR(CC161*1000/'Revenue Model'!CC297,"NA")</f>
        <v>52.138152162548359</v>
      </c>
      <c r="CD165" s="1874">
        <f>+IFERROR(CD161*1000/'Revenue Model'!CD297,"NA")</f>
        <v>47.180268809754743</v>
      </c>
      <c r="CE165" s="1534">
        <f>+IFERROR(CE161*1000/'Revenue Model'!CE297,"NA")</f>
        <v>48.589874277947672</v>
      </c>
      <c r="CF165" s="1534">
        <f>+IFERROR(CF161*1000/'Revenue Model'!CF297,"NA")</f>
        <v>45.145838118048495</v>
      </c>
      <c r="CG165" s="1535">
        <f>+IFERROR(CG161*1000/'Revenue Model'!CG297,"NA")</f>
        <v>49.929766313369939</v>
      </c>
      <c r="CH165" s="1874">
        <f>+IFERROR(CH161*1000/'Revenue Model'!CH297,"NA")</f>
        <v>44.553675520685637</v>
      </c>
      <c r="CI165" s="1534">
        <f>+IFERROR(CI161*1000/'Revenue Model'!CI297,"NA")</f>
        <v>44.928352418496964</v>
      </c>
      <c r="CJ165" s="1534">
        <f>+IFERROR(CJ161*1000/'Revenue Model'!CJ297,"NA")</f>
        <v>45.164669275085494</v>
      </c>
      <c r="CK165" s="1535">
        <f>+IFERROR(CK161*1000/'Revenue Model'!CK297,"NA")</f>
        <v>50.332474308803413</v>
      </c>
      <c r="CL165" s="1874">
        <f>+IFERROR(CL161*1000/'Revenue Model'!CL297,"NA")</f>
        <v>36.335892422869676</v>
      </c>
      <c r="CM165" s="1534">
        <f>+IFERROR(CM161*1000/'Revenue Model'!CM297,"NA")</f>
        <v>54.107008289374527</v>
      </c>
      <c r="CN165" s="1534">
        <f>+IFERROR(CN161*1000/'Revenue Model'!CN297,"NA")</f>
        <v>57.873485868102286</v>
      </c>
      <c r="CO165" s="1535">
        <f>+IFERROR(CO161*1000/'Revenue Model'!CO297,"NA")</f>
        <v>63.632280281479261</v>
      </c>
      <c r="CP165" s="1874">
        <f>+IFERROR(CP161*1000/'Revenue Model'!CP297,"NA")</f>
        <v>24.830387224811926</v>
      </c>
      <c r="CQ165" s="1534">
        <f>+IFERROR(CQ161*1000/'Revenue Model'!CQ297,"NA")</f>
        <v>38.88470233609646</v>
      </c>
      <c r="CR165" s="1534">
        <f>+IFERROR(CR161*1000/'Revenue Model'!CR297,"NA")</f>
        <v>39.479587258860477</v>
      </c>
      <c r="CS165" s="1535">
        <f>+IFERROR(CS161*1000/'Revenue Model'!CS297,"NA")</f>
        <v>44.018565653540946</v>
      </c>
      <c r="CT165" s="1874">
        <f>+IFERROR(CT161*1000/'Revenue Model'!CT297,"NA")</f>
        <v>33.001808318264011</v>
      </c>
      <c r="CU165" s="1534">
        <f>+IFERROR(CU161*1000/'Revenue Model'!CU297,"NA")</f>
        <v>34.467051320983906</v>
      </c>
      <c r="CV165" s="1534">
        <f>+IFERROR(CV161*1000/'Revenue Model'!CV297,"NA")</f>
        <v>35.736102626756264</v>
      </c>
      <c r="CW165" s="1535">
        <f>+IFERROR(CW161*1000/'Revenue Model'!CW297,"NA")</f>
        <v>40.214888718342287</v>
      </c>
      <c r="CX165" s="1874">
        <f>+IFERROR(CX161*1000/'Revenue Model'!CX297,"NA")</f>
        <v>32.548413492135651</v>
      </c>
      <c r="CY165" s="1534">
        <f>+IFERROR(CY161*1000/'Revenue Model'!CY297,"NA")</f>
        <v>38.198277765511151</v>
      </c>
      <c r="CZ165" s="1534">
        <f>+IFERROR(CZ161*1000/'Revenue Model'!CZ297,"NA")</f>
        <v>37.760847962901622</v>
      </c>
      <c r="DA165" s="1535">
        <f>+IFERROR(DA161*1000/'Revenue Model'!DA297,"NA")</f>
        <v>42.33270863190387</v>
      </c>
      <c r="DB165" s="1534">
        <f>+IFERROR(DB161*1000/'Revenue Model'!DB297,"NA")</f>
        <v>34.684634927648297</v>
      </c>
      <c r="DC165" s="1534">
        <f>+IFERROR(DC161*1000/'Revenue Model'!DC297,"NA")</f>
        <v>36.371701042359724</v>
      </c>
      <c r="DD165" s="1534">
        <f>+IFERROR(DD161*1000/'Revenue Model'!DD297,"NA")</f>
        <v>37.719103616596406</v>
      </c>
      <c r="DE165" s="1535">
        <f>+IFERROR(DE161*1000/'Revenue Model'!DE297,"NA")</f>
        <v>44.365572315882872</v>
      </c>
      <c r="DF165" s="1534">
        <f>+IFERROR(DF161*1000/'Revenue Model'!DF297,"NA")</f>
        <v>33.037694013303771</v>
      </c>
      <c r="DG165" s="1534">
        <f>+IFERROR(DG161*1000/'Revenue Model'!DG297,"NA")</f>
        <v>35.540838852097131</v>
      </c>
      <c r="DH165" s="1534">
        <f>+IFERROR(DH161*1000/'Revenue Model'!DH297,"NA")</f>
        <v>39.706043654710982</v>
      </c>
      <c r="DI165" s="1535">
        <f>+IFERROR(DI161*1000/'Revenue Model'!DI297,"NA")</f>
        <v>48.828552660389754</v>
      </c>
      <c r="DJ165" s="1767">
        <f>+IFERROR(DJ161*1000/'Revenue Model'!DJ297,"NA")</f>
        <v>32.682772594487503</v>
      </c>
      <c r="DK165" s="1534">
        <f>+IFERROR(DK161*1000/'Revenue Model'!DK297,"NA")</f>
        <v>34.878906436471254</v>
      </c>
      <c r="DL165" s="1534">
        <f>+IFERROR(DL161*1000/'Revenue Model'!DL297,"NA")</f>
        <v>39.233645719290564</v>
      </c>
      <c r="DM165" s="1535">
        <f>+IFERROR(DM161*1000/'Revenue Model'!DM297,"NA")</f>
        <v>54.353054521567771</v>
      </c>
      <c r="DN165" s="1536"/>
      <c r="DO165" s="1535"/>
      <c r="DP165" s="1534"/>
      <c r="DQ165" s="1537"/>
      <c r="DR165" s="1537"/>
      <c r="DS165" s="1537"/>
      <c r="DT165" s="1537"/>
      <c r="DU165" s="1537"/>
      <c r="DV165" s="1537"/>
      <c r="DW165" s="1537"/>
      <c r="DX165" s="1537"/>
      <c r="DY165" s="1537"/>
      <c r="DZ165" s="1537"/>
      <c r="EA165" s="1537"/>
      <c r="EB165" s="1537"/>
      <c r="EC165" s="1537"/>
      <c r="ED165" s="1537"/>
      <c r="EE165" s="1537"/>
      <c r="EF165" s="1537"/>
      <c r="EG165" s="1537"/>
      <c r="EH165" s="1537"/>
      <c r="EI165" s="1534">
        <f>+IFERROR(EI161*1000/'Revenue Model'!EI297,"NA")</f>
        <v>152.95656724228152</v>
      </c>
      <c r="EJ165" s="1534">
        <f>+IFERROR(EJ161*1000/'Revenue Model'!EJ297,"NA")</f>
        <v>169.71367877135069</v>
      </c>
      <c r="EK165" s="1534">
        <f>+IFERROR(EK161*1000/'Revenue Model'!EK297,"NA")</f>
        <v>136.67620249116013</v>
      </c>
      <c r="EL165" s="1534">
        <f>+IFERROR(EL161*1000/'Revenue Model'!EL297,"NA")</f>
        <v>119.49782789085762</v>
      </c>
      <c r="EM165" s="1534">
        <f>+IFERROR(EM161*1000/'Revenue Model'!EM297,"NA")</f>
        <v>185.24817828866418</v>
      </c>
      <c r="EN165" s="1534">
        <f>+IFERROR(EN161*1000/'Revenue Model'!EN297,"NA")</f>
        <v>218.46131205189454</v>
      </c>
      <c r="EO165" s="1534">
        <f>+IFERROR(EO161*1000/'Revenue Model'!EO297,"NA")</f>
        <v>216.11630006370095</v>
      </c>
      <c r="EP165" s="1534">
        <f>+IFERROR(EP161*1000/'Revenue Model'!EP297,"NA")</f>
        <v>203.15661616661717</v>
      </c>
      <c r="EQ165" s="1534">
        <f>+IFERROR(EQ161*1000/'Revenue Model'!EQ297,"NA")</f>
        <v>199.72890996631821</v>
      </c>
      <c r="ER165" s="1534">
        <f>+IFERROR(ER161*1000/'Revenue Model'!ER297,"NA")</f>
        <v>189.19364953625771</v>
      </c>
      <c r="ES165" s="1534">
        <f>+IFERROR(ES161*1000/'Revenue Model'!ES297,"NA")</f>
        <v>190.86760946247693</v>
      </c>
      <c r="ET165" s="1534">
        <f>+IFERROR(ET161*1000/'Revenue Model'!ET297,"NA")</f>
        <v>146.24263839811542</v>
      </c>
      <c r="EU165" s="1534">
        <f>+IFERROR(EU161*1000/'Revenue Model'!EU297,"NA")</f>
        <v>163.50210970464136</v>
      </c>
      <c r="EV165" s="1534">
        <f>+IFERROR(EV161*1000/'Revenue Model'!EV297,"NA")</f>
        <v>143.75095376163588</v>
      </c>
      <c r="EW165" s="1534">
        <f>+IFERROR(EW161*1000/'Revenue Model'!EW297,"NA")</f>
        <v>129.84654499228185</v>
      </c>
      <c r="EX165" s="1534">
        <f>+IFERROR(EX161*1000/'Revenue Model'!EX297,"NA")</f>
        <v>152.65657792996797</v>
      </c>
      <c r="EY165" s="1534">
        <f>+IFERROR(EY161*1000/'Revenue Model'!EY297,"NA")</f>
        <v>157.32070067202821</v>
      </c>
      <c r="EZ165" s="1767">
        <f>+IFERROR(EZ161*1000/'Revenue Model'!EZ297,"NA")</f>
        <v>161.14837927181708</v>
      </c>
      <c r="FA165" s="1534">
        <f>+IFERROR(FA161*1000/'Revenue Model'!FA297,"NA")</f>
        <v>162.80783831004246</v>
      </c>
      <c r="FB165" s="1534">
        <f>+IFERROR(FB161*1000/'Revenue Model'!FB297,"NA")</f>
        <v>163.59769628239732</v>
      </c>
      <c r="FC165" s="1534">
        <f>+IFERROR(FC161*1000/'Revenue Model'!FC297,"NA")</f>
        <v>162.76422183295236</v>
      </c>
      <c r="FD165" s="1534">
        <f>+IFERROR(FD161*1000/'Revenue Model'!FD297,"NA")</f>
        <v>161.93605815088287</v>
      </c>
      <c r="FE165" s="1534">
        <f>+IFERROR(FE161*1000/'Revenue Model'!FE297,"NA")</f>
        <v>161.113144473505</v>
      </c>
      <c r="FF165" s="1534">
        <f>+IFERROR(FF161*1000/'Revenue Model'!FF297,"NA")</f>
        <v>160.29542101540767</v>
      </c>
      <c r="FG165" s="1534">
        <f>+IFERROR(FG161*1000/'Revenue Model'!FG297,"NA")</f>
        <v>159.48282894831175</v>
      </c>
      <c r="FH165" s="1534">
        <f>+IFERROR(FH161*1000/'Revenue Model'!FH297,"NA")</f>
        <v>158.67531038143358</v>
      </c>
      <c r="FI165" s="1538"/>
      <c r="FJ165"/>
      <c r="FK165"/>
      <c r="FL165"/>
      <c r="FM165"/>
      <c r="FN165"/>
      <c r="FO165"/>
      <c r="FS165"/>
      <c r="FT165"/>
      <c r="FU165"/>
      <c r="FV165" s="1534"/>
      <c r="FW165" s="1534"/>
      <c r="FX165" s="1534"/>
      <c r="FY165"/>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row>
    <row r="166" spans="1:260" s="19" customFormat="1" ht="11.25" customHeight="1" x14ac:dyDescent="0.2">
      <c r="A166" s="441" t="s">
        <v>647</v>
      </c>
      <c r="B166" s="401"/>
      <c r="C166" s="401"/>
      <c r="D166" s="401"/>
      <c r="E166" s="469"/>
      <c r="F166" s="401"/>
      <c r="G166" s="401"/>
      <c r="H166" s="401"/>
      <c r="I166" s="469"/>
      <c r="J166" s="401"/>
      <c r="K166" s="401"/>
      <c r="L166" s="401"/>
      <c r="M166" s="469"/>
      <c r="N166" s="401"/>
      <c r="O166" s="401"/>
      <c r="P166" s="401"/>
      <c r="Q166" s="469"/>
      <c r="R166" s="401"/>
      <c r="S166" s="401"/>
      <c r="T166" s="401"/>
      <c r="U166" s="469"/>
      <c r="V166" s="401"/>
      <c r="W166" s="401"/>
      <c r="X166" s="401"/>
      <c r="Y166" s="469"/>
      <c r="Z166" s="401"/>
      <c r="AA166" s="401"/>
      <c r="AB166" s="401"/>
      <c r="AC166" s="469"/>
      <c r="AD166" s="401"/>
      <c r="AE166" s="401"/>
      <c r="AF166" s="401"/>
      <c r="AG166" s="469"/>
      <c r="AH166" s="401"/>
      <c r="AI166" s="401"/>
      <c r="AJ166" s="401"/>
      <c r="AK166" s="469"/>
      <c r="AL166" s="401"/>
      <c r="AM166" s="401"/>
      <c r="AN166" s="401"/>
      <c r="AO166" s="469"/>
      <c r="AP166" s="401"/>
      <c r="AQ166" s="401"/>
      <c r="AR166" s="401"/>
      <c r="AS166" s="469"/>
      <c r="AT166" s="401"/>
      <c r="AU166" s="401"/>
      <c r="AV166" s="401"/>
      <c r="AW166" s="469"/>
      <c r="AX166">
        <f>+IFERROR(AX162*1000/'Revenue Model'!AX383,"NA")</f>
        <v>40.234267760729644</v>
      </c>
      <c r="AY166">
        <f>+IFERROR(AY162*1000/'Revenue Model'!AY383,"NA")</f>
        <v>43.563820997761724</v>
      </c>
      <c r="AZ166">
        <f>+IFERROR(AZ162*1000/'Revenue Model'!AZ383,"NA")</f>
        <v>46.473776757298765</v>
      </c>
      <c r="BA166">
        <f>+IFERROR(BA162*1000/'Revenue Model'!BA383,"NA")</f>
        <v>48.441513020069735</v>
      </c>
      <c r="BB166">
        <f>+IFERROR(BB162*1000/'Revenue Model'!BB383,"NA")</f>
        <v>39.683350208483489</v>
      </c>
      <c r="BC166">
        <f>+IFERROR(BC162*1000/'Revenue Model'!BC383,"NA")</f>
        <v>40.424311263082295</v>
      </c>
      <c r="BD166">
        <f>+IFERROR(BD162*1000/'Revenue Model'!BD383,"NA")</f>
        <v>42.664200253755943</v>
      </c>
      <c r="BE166">
        <f>+IFERROR(BE162*1000/'Revenue Model'!BE383,"NA")</f>
        <v>45.565406355114263</v>
      </c>
      <c r="BF166">
        <f>+IFERROR(BF162*1000/'Revenue Model'!BF383,"NA")</f>
        <v>36.942790930158587</v>
      </c>
      <c r="BG166">
        <f>+IFERROR(BG162*1000/'Revenue Model'!BG383,"NA")</f>
        <v>38.606350722480755</v>
      </c>
      <c r="BH166">
        <f>+IFERROR(BH162*1000/'Revenue Model'!BH383,"NA")</f>
        <v>42.570065912866404</v>
      </c>
      <c r="BI166">
        <f>+IFERROR(BI162*1000/'Revenue Model'!BI383,"NA")</f>
        <v>42.235251387952054</v>
      </c>
      <c r="BJ166" s="1541">
        <f>+IFERROR(BJ162*1000/'Revenue Model'!BJ383,"NA")</f>
        <v>37.726644442637614</v>
      </c>
      <c r="BK166" s="1539">
        <f>+IFERROR(BK162*1000/'Revenue Model'!BK383,"NA")</f>
        <v>40.632368596472027</v>
      </c>
      <c r="BL166" s="1539">
        <f>+IFERROR(BL162*1000/'Revenue Model'!BL383,"NA")</f>
        <v>49.731350743471197</v>
      </c>
      <c r="BM166" s="1540">
        <f>+IFERROR(BM162*1000/'Revenue Model'!BM383,"NA")</f>
        <v>46.451972675310188</v>
      </c>
      <c r="BN166" s="1541">
        <f>+IFERROR(BN162*1000/'Revenue Model'!BN383,"NA")</f>
        <v>40.621178547457269</v>
      </c>
      <c r="BO166" s="1539">
        <f>+IFERROR(BO162*1000/'Revenue Model'!BO383,"NA")</f>
        <v>43.855008482769946</v>
      </c>
      <c r="BP166" s="1539">
        <f>+IFERROR(BP162*1000/'Revenue Model'!BP383,"NA")</f>
        <v>46.165194393969379</v>
      </c>
      <c r="BQ166" s="1540">
        <f>+IFERROR(BQ162*1000/'Revenue Model'!BQ383,"NA")</f>
        <v>48.046636339752709</v>
      </c>
      <c r="BR166" s="1541">
        <f>+IFERROR(BR162*1000/'Revenue Model'!BR383,"NA")</f>
        <v>44.016098064443014</v>
      </c>
      <c r="BS166" s="1539">
        <f>+IFERROR(BS162*1000/'Revenue Model'!BS383,"NA")</f>
        <v>44.012956346942183</v>
      </c>
      <c r="BT166" s="1539">
        <f>+IFERROR(BT162*1000/'Revenue Model'!BT383,"NA")</f>
        <v>45.096728838125657</v>
      </c>
      <c r="BU166" s="1540">
        <f>+IFERROR(BU162*1000/'Revenue Model'!BU383,"NA")</f>
        <v>47.247081544324317</v>
      </c>
      <c r="BV166" s="1541">
        <f>+IFERROR(BV162*1000/'Revenue Model'!BV383,"NA")</f>
        <v>42.722253753676284</v>
      </c>
      <c r="BW166" s="1539">
        <f>+IFERROR(BW162*1000/'Revenue Model'!BW383,"NA")</f>
        <v>44.140264533989544</v>
      </c>
      <c r="BX166" s="1539">
        <f>+IFERROR(BX162*1000/'Revenue Model'!BX383,"NA")</f>
        <v>44.259466044056438</v>
      </c>
      <c r="BY166" s="1540">
        <f>+IFERROR(BY162*1000/'Revenue Model'!BY383,"NA")</f>
        <v>45.699783182345328</v>
      </c>
      <c r="BZ166" s="1541">
        <f>+IFERROR(BZ162*1000/'Revenue Model'!BZ383,"NA")</f>
        <v>43.075431452581931</v>
      </c>
      <c r="CA166" s="1539">
        <f>+IFERROR(CA162*1000/'Revenue Model'!CA383,"NA")</f>
        <v>42.748922498924692</v>
      </c>
      <c r="CB166" s="1539">
        <f>+IFERROR(CB162*1000/'Revenue Model'!CB383,"NA")</f>
        <v>42.423558614464625</v>
      </c>
      <c r="CC166" s="1540">
        <f>+IFERROR(CC162*1000/'Revenue Model'!CC383,"NA")</f>
        <v>46.591830048454121</v>
      </c>
      <c r="CD166" s="1541">
        <f>+IFERROR(CD162*1000/'Revenue Model'!CD383,"NA")</f>
        <v>42.257881430266757</v>
      </c>
      <c r="CE166" s="1539">
        <f>+IFERROR(CE162*1000/'Revenue Model'!CE383,"NA")</f>
        <v>42.756075053829591</v>
      </c>
      <c r="CF166" s="1539">
        <f>+IFERROR(CF162*1000/'Revenue Model'!CF383,"NA")</f>
        <v>41.823165160897368</v>
      </c>
      <c r="CG166" s="1540">
        <f>+IFERROR(CG162*1000/'Revenue Model'!CG383,"NA")</f>
        <v>45.027480377161872</v>
      </c>
      <c r="CH166" s="1541">
        <f>+IFERROR(CH162*1000/'Revenue Model'!CH383,"NA")</f>
        <v>42.201588844568093</v>
      </c>
      <c r="CI166" s="1539">
        <f>+IFERROR(CI162*1000/'Revenue Model'!CI383,"NA")</f>
        <v>41.286654596524478</v>
      </c>
      <c r="CJ166" s="1539">
        <f>+IFERROR(CJ162*1000/'Revenue Model'!CJ383,"NA")</f>
        <v>43.344604980018445</v>
      </c>
      <c r="CK166" s="1540">
        <f>+IFERROR(CK162*1000/'Revenue Model'!CK383,"NA")</f>
        <v>49.324335985364925</v>
      </c>
      <c r="CL166" s="1541">
        <f>+IFERROR(CL162*1000/'Revenue Model'!CL383,"NA")</f>
        <v>40.743060684535777</v>
      </c>
      <c r="CM166" s="1539">
        <f>+IFERROR(CM162*1000/'Revenue Model'!CM383,"NA")</f>
        <v>42.591530837906461</v>
      </c>
      <c r="CN166" s="1539">
        <f>+IFERROR(CN162*1000/'Revenue Model'!CN383,"NA")</f>
        <v>44.899631298648096</v>
      </c>
      <c r="CO166" s="1540">
        <f>+IFERROR(CO162*1000/'Revenue Model'!CO383,"NA")</f>
        <v>51.128436602379978</v>
      </c>
      <c r="CP166" s="1541">
        <f>+IFERROR(CP162*1000/'Revenue Model'!CP383,"NA")</f>
        <v>35.832092435866024</v>
      </c>
      <c r="CQ166" s="1539">
        <f>+IFERROR(CQ162*1000/'Revenue Model'!CQ383,"NA")</f>
        <v>39.192399049881239</v>
      </c>
      <c r="CR166" s="1539">
        <f>+IFERROR(CR162*1000/'Revenue Model'!CR383,"NA")</f>
        <v>40.106513723883651</v>
      </c>
      <c r="CS166" s="1540">
        <f>+IFERROR(CS162*1000/'Revenue Model'!CS383,"NA")</f>
        <v>45.116947066064832</v>
      </c>
      <c r="CT166" s="1541">
        <f>+IFERROR(CT162*1000/'Revenue Model'!CT383,"NA")</f>
        <v>35.89896476925766</v>
      </c>
      <c r="CU166" s="1539">
        <f>+IFERROR(CU162*1000/'Revenue Model'!CU383,"NA")</f>
        <v>35.795659570080929</v>
      </c>
      <c r="CV166" s="1539">
        <f>+IFERROR(CV162*1000/'Revenue Model'!CV383,"NA")</f>
        <v>38.431737176507049</v>
      </c>
      <c r="CW166" s="1540">
        <f>+IFERROR(CW162*1000/'Revenue Model'!CW383,"NA")</f>
        <v>45.727540073727376</v>
      </c>
      <c r="CX166" s="1541">
        <f>+IFERROR(CX162*1000/'Revenue Model'!CX383,"NA")</f>
        <v>37.115891830054977</v>
      </c>
      <c r="CY166" s="1539">
        <f>+IFERROR(CY162*1000/'Revenue Model'!CY383,"NA")</f>
        <v>39.125257118111939</v>
      </c>
      <c r="CZ166" s="1539">
        <f>+IFERROR(CZ162*1000/'Revenue Model'!CZ383,"NA")</f>
        <v>40.588126943538512</v>
      </c>
      <c r="DA166" s="1540">
        <f>+IFERROR(DA162*1000/'Revenue Model'!DA383,"NA")</f>
        <v>47.158417026647662</v>
      </c>
      <c r="DB166" s="1539">
        <f>+IFERROR(DB162*1000/'Revenue Model'!DB383,"NA")</f>
        <v>37.669397442768549</v>
      </c>
      <c r="DC166" s="1539">
        <f>+IFERROR(DC162*1000/'Revenue Model'!DC383,"NA")</f>
        <v>38.820488104105507</v>
      </c>
      <c r="DD166" s="1539">
        <f>+IFERROR(DD162*1000/'Revenue Model'!DD383,"NA")</f>
        <v>41.54530966642853</v>
      </c>
      <c r="DE166" s="1540">
        <f>+IFERROR(DE162*1000/'Revenue Model'!DE383,"NA")</f>
        <v>47.18905390357115</v>
      </c>
      <c r="DF166" s="1539">
        <f>+IFERROR(DF162*1000/'Revenue Model'!DF383,"NA")</f>
        <v>38.011147287677282</v>
      </c>
      <c r="DG166" s="1539">
        <f>+IFERROR(DG162*1000/'Revenue Model'!DG383,"NA")</f>
        <v>40.411624414804344</v>
      </c>
      <c r="DH166" s="1539">
        <f>+IFERROR(DH162*1000/'Revenue Model'!DH383,"NA")</f>
        <v>42.895204262877442</v>
      </c>
      <c r="DI166" s="1540">
        <f>+IFERROR(DI162*1000/'Revenue Model'!DI383,"NA")</f>
        <v>54.487573303546498</v>
      </c>
      <c r="DJ166" s="1768">
        <f>+IFERROR(DJ162*1000/'Revenue Model'!DJ383,"NA")</f>
        <v>39.647584818564752</v>
      </c>
      <c r="DK166" s="1539">
        <f>+IFERROR(DK162*1000/'Revenue Model'!DK383,"NA")</f>
        <v>41.743062763880459</v>
      </c>
      <c r="DL166" s="1539">
        <f>+IFERROR(DL162*1000/'Revenue Model'!DL383,"NA")</f>
        <v>44.198091100065753</v>
      </c>
      <c r="DM166" s="1540">
        <f>+IFERROR(DM162*1000/'Revenue Model'!DM383,"NA")</f>
        <v>55.557807989723919</v>
      </c>
      <c r="DN166" s="1541"/>
      <c r="DO166" s="1540"/>
      <c r="DP166" s="1542"/>
      <c r="DQ166" s="1543"/>
      <c r="DR166" s="1543"/>
      <c r="DS166" s="1543"/>
      <c r="DT166" s="1543"/>
      <c r="DU166" s="1543"/>
      <c r="DV166" s="1543"/>
      <c r="DW166" s="1543"/>
      <c r="DX166" s="1543"/>
      <c r="DY166" s="1543"/>
      <c r="DZ166" s="1543"/>
      <c r="EA166" s="1543"/>
      <c r="EB166" s="1543"/>
      <c r="EC166" s="1543"/>
      <c r="ED166" s="1543"/>
      <c r="EE166" s="1543"/>
      <c r="EF166" s="1543"/>
      <c r="EG166" s="1543"/>
      <c r="EH166" s="1543"/>
      <c r="EI166" s="1539">
        <f>+IFERROR(EI162*1000/'Revenue Model'!EI383,"NA")</f>
        <v>164.36529769424405</v>
      </c>
      <c r="EJ166" s="1539">
        <f>+IFERROR(EJ162*1000/'Revenue Model'!EJ383,"NA")</f>
        <v>182.64333372552704</v>
      </c>
      <c r="EK166" s="1539">
        <f>+IFERROR(EK162*1000/'Revenue Model'!EK383,"NA")</f>
        <v>174.93144534845788</v>
      </c>
      <c r="EL166" s="1539">
        <f>+IFERROR(EL162*1000/'Revenue Model'!EL383,"NA")</f>
        <v>163.54053635095335</v>
      </c>
      <c r="EM166" s="1539">
        <f>+IFERROR(EM162*1000/'Revenue Model'!EM383,"NA")</f>
        <v>176.29513343799059</v>
      </c>
      <c r="EN166" s="1539">
        <f>+IFERROR(EN162*1000/'Revenue Model'!EN383,"NA")</f>
        <v>178.92669292325797</v>
      </c>
      <c r="EO166" s="1539">
        <f>+IFERROR(EO162*1000/'Revenue Model'!EO383,"NA")</f>
        <v>180.81038012370163</v>
      </c>
      <c r="EP166" s="1539">
        <f>+IFERROR(EP162*1000/'Revenue Model'!EP383,"NA")</f>
        <v>176.6914100321041</v>
      </c>
      <c r="EQ166" s="1539">
        <f>+IFERROR(EQ162*1000/'Revenue Model'!EQ383,"NA")</f>
        <v>175.25910743612647</v>
      </c>
      <c r="ER166" s="1539">
        <f>+IFERROR(ER162*1000/'Revenue Model'!ER383,"NA")</f>
        <v>171.73141274991082</v>
      </c>
      <c r="ES166" s="1539">
        <f>+IFERROR(ES162*1000/'Revenue Model'!ES383,"NA")</f>
        <v>176.93701083427322</v>
      </c>
      <c r="ET166" s="1539">
        <f>+IFERROR(ET162*1000/'Revenue Model'!ET383,"NA")</f>
        <v>168.59906113907584</v>
      </c>
      <c r="EU166" s="1539">
        <f>+IFERROR(EU162*1000/'Revenue Model'!EU383,"NA")</f>
        <v>150.29315838093623</v>
      </c>
      <c r="EV166" s="1539">
        <f>+IFERROR(EV162*1000/'Revenue Model'!EV383,"NA")</f>
        <v>155.67491778096229</v>
      </c>
      <c r="EW166" s="1539">
        <f>+IFERROR(EW162*1000/'Revenue Model'!EW383,"NA")</f>
        <v>160.62143310082436</v>
      </c>
      <c r="EX166" s="1539">
        <f>+IFERROR(EX162*1000/'Revenue Model'!EX383,"NA")</f>
        <v>164.19343575418995</v>
      </c>
      <c r="EY166" s="1539">
        <f>+IFERROR(EY162*1000/'Revenue Model'!EY383,"NA")</f>
        <v>175.90249100839216</v>
      </c>
      <c r="EZ166" s="1768">
        <f>+IFERROR(EZ162*1000/'Revenue Model'!EZ383,"NA")</f>
        <v>179.71973229139593</v>
      </c>
      <c r="FA166" s="1542">
        <f>+IFERROR(FA162*1000/'Revenue Model'!FA383,"NA")</f>
        <v>183.28723489516224</v>
      </c>
      <c r="FB166" s="1542">
        <f>+IFERROR(FB162*1000/'Revenue Model'!FB383,"NA")</f>
        <v>185.97215620902838</v>
      </c>
      <c r="FC166" s="1542">
        <f>+IFERROR(FC162*1000/'Revenue Model'!FC383,"NA")</f>
        <v>188.56695009820166</v>
      </c>
      <c r="FD166" s="1542">
        <f>+IFERROR(FD162*1000/'Revenue Model'!FD383,"NA")</f>
        <v>191.6986027017436</v>
      </c>
      <c r="FE166" s="1542">
        <f>+IFERROR(FE162*1000/'Revenue Model'!FE383,"NA")</f>
        <v>194.94964171079224</v>
      </c>
      <c r="FF166" s="1542">
        <f>+IFERROR(FF162*1000/'Revenue Model'!FF383,"NA")</f>
        <v>198.32613951888771</v>
      </c>
      <c r="FG166" s="1542">
        <f>+IFERROR(FG162*1000/'Revenue Model'!FG383,"NA")</f>
        <v>201.8344990065402</v>
      </c>
      <c r="FH166" s="1542">
        <f>+IFERROR(FH162*1000/'Revenue Model'!FH383,"NA")</f>
        <v>205.48147166160339</v>
      </c>
      <c r="FI166" s="1544"/>
      <c r="FJ166"/>
      <c r="FK166"/>
      <c r="FL166"/>
      <c r="FM166"/>
      <c r="FN166"/>
      <c r="FO166"/>
      <c r="FV166" s="1539"/>
      <c r="FW166" s="1539"/>
      <c r="FX166" s="1539"/>
    </row>
    <row r="167" spans="1:260" s="4" customFormat="1" ht="11.25" customHeight="1" x14ac:dyDescent="0.2">
      <c r="A167" s="351"/>
      <c r="B167" s="3"/>
      <c r="C167" s="3"/>
      <c r="D167" s="3"/>
      <c r="E167" s="470"/>
      <c r="F167" s="3"/>
      <c r="G167" s="3"/>
      <c r="H167" s="3"/>
      <c r="I167" s="470"/>
      <c r="J167" s="3"/>
      <c r="K167" s="3"/>
      <c r="L167" s="3"/>
      <c r="M167" s="470"/>
      <c r="N167" s="3"/>
      <c r="O167" s="3"/>
      <c r="P167" s="3"/>
      <c r="Q167" s="470"/>
      <c r="R167" s="3"/>
      <c r="S167" s="3"/>
      <c r="T167" s="3"/>
      <c r="U167" s="470"/>
      <c r="V167" s="3"/>
      <c r="W167" s="3"/>
      <c r="X167" s="3"/>
      <c r="Y167" s="470"/>
      <c r="Z167" s="3"/>
      <c r="AA167" s="3"/>
      <c r="AB167" s="3"/>
      <c r="AC167" s="470"/>
      <c r="AD167" s="3"/>
      <c r="AE167" s="3"/>
      <c r="AF167" s="3"/>
      <c r="AG167" s="470"/>
      <c r="AH167" s="3"/>
      <c r="AI167" s="3"/>
      <c r="AJ167" s="3"/>
      <c r="AK167" s="470"/>
      <c r="AL167" s="3"/>
      <c r="AM167" s="3"/>
      <c r="AN167" s="3"/>
      <c r="AO167" s="470"/>
      <c r="AP167" s="3"/>
      <c r="AQ167" s="3"/>
      <c r="AR167" s="3"/>
      <c r="AS167" s="470"/>
      <c r="AT167" s="3"/>
      <c r="AU167" s="3"/>
      <c r="AV167" s="3"/>
      <c r="AW167" s="470"/>
      <c r="AX167" s="3"/>
      <c r="AY167" s="3"/>
      <c r="AZ167" s="3"/>
      <c r="BA167" s="470"/>
      <c r="BB167" s="7"/>
      <c r="BC167" s="7"/>
      <c r="BD167" s="3"/>
      <c r="BE167" s="484"/>
      <c r="BF167" s="7"/>
      <c r="BG167" s="7"/>
      <c r="BH167" s="7"/>
      <c r="BI167" s="484"/>
      <c r="BJ167" s="1241"/>
      <c r="BK167" s="769"/>
      <c r="BL167" s="769"/>
      <c r="BM167" s="770"/>
      <c r="BN167" s="1241"/>
      <c r="BO167" s="769"/>
      <c r="BP167" s="769"/>
      <c r="BQ167" s="770"/>
      <c r="BR167" s="1241"/>
      <c r="BS167" s="769"/>
      <c r="BT167" s="769"/>
      <c r="BU167" s="770"/>
      <c r="BV167" s="1241"/>
      <c r="BW167" s="769"/>
      <c r="BX167" s="769"/>
      <c r="BY167" s="770"/>
      <c r="BZ167" s="1241"/>
      <c r="CA167" s="769"/>
      <c r="CB167" s="769"/>
      <c r="CC167" s="770"/>
      <c r="CD167" s="1241"/>
      <c r="CE167" s="769"/>
      <c r="CF167" s="769"/>
      <c r="CG167" s="770"/>
      <c r="CH167" s="1241"/>
      <c r="CI167" s="769"/>
      <c r="CJ167" s="769"/>
      <c r="CK167" s="770"/>
      <c r="CL167" s="1241"/>
      <c r="CM167" s="769"/>
      <c r="CN167" s="769"/>
      <c r="CO167" s="770"/>
      <c r="CP167" s="1241"/>
      <c r="CQ167" s="769"/>
      <c r="CR167" s="769"/>
      <c r="CS167" s="770"/>
      <c r="CT167" s="1241"/>
      <c r="CU167" s="769"/>
      <c r="CV167" s="769"/>
      <c r="CW167" s="770"/>
      <c r="CX167" s="1241"/>
      <c r="CY167" s="769"/>
      <c r="CZ167" s="769"/>
      <c r="DA167" s="770"/>
      <c r="DB167" s="769"/>
      <c r="DC167" s="769"/>
      <c r="DD167" s="769"/>
      <c r="DE167" s="770"/>
      <c r="DF167" s="769"/>
      <c r="DG167" s="769"/>
      <c r="DH167" s="769"/>
      <c r="DI167" s="770"/>
      <c r="DJ167" s="1763"/>
      <c r="DK167" s="769"/>
      <c r="DL167" s="769"/>
      <c r="DM167" s="770"/>
      <c r="DN167" s="1241"/>
      <c r="DO167" s="484"/>
      <c r="DP167" s="3"/>
      <c r="DQ167" s="3"/>
      <c r="DR167" s="3"/>
      <c r="DS167" s="3"/>
      <c r="DT167" s="3"/>
      <c r="DU167" s="3"/>
      <c r="DV167" s="3"/>
      <c r="DW167" s="3"/>
      <c r="DX167" s="3"/>
      <c r="DY167" s="3"/>
      <c r="DZ167" s="3"/>
      <c r="EA167" s="3"/>
      <c r="EB167" s="3"/>
      <c r="EC167" s="3"/>
      <c r="ED167" s="3"/>
      <c r="EE167" s="3"/>
      <c r="EF167" s="3"/>
      <c r="EG167" s="3"/>
      <c r="EH167" s="3"/>
      <c r="EI167" s="3"/>
      <c r="EJ167" s="3"/>
      <c r="EK167" s="7"/>
      <c r="EL167" s="7"/>
      <c r="EM167" s="767"/>
      <c r="EN167" s="769"/>
      <c r="EO167" s="769"/>
      <c r="EP167" s="769"/>
      <c r="EQ167" s="769"/>
      <c r="ER167" s="769"/>
      <c r="ES167" s="769"/>
      <c r="ET167" s="769"/>
      <c r="EU167" s="769"/>
      <c r="EV167" s="769"/>
      <c r="EW167" s="769"/>
      <c r="EX167" s="769"/>
      <c r="EY167" s="769"/>
      <c r="EZ167" s="1763"/>
      <c r="FA167" s="818"/>
      <c r="FB167" s="818"/>
      <c r="FC167" s="818"/>
      <c r="FD167" s="818"/>
      <c r="FE167" s="818"/>
      <c r="FF167" s="818"/>
      <c r="FG167" s="818"/>
      <c r="FH167" s="818"/>
      <c r="FI167" s="413"/>
      <c r="FJ167"/>
      <c r="FK167"/>
      <c r="FL167"/>
      <c r="FM167"/>
      <c r="FN167"/>
      <c r="FO167"/>
      <c r="FS167"/>
      <c r="FT167"/>
      <c r="FU167"/>
      <c r="FV167" s="2625"/>
      <c r="FW167" s="2625"/>
      <c r="FX167" s="2625"/>
      <c r="FY167"/>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row>
    <row r="168" spans="1:260" s="6" customFormat="1" x14ac:dyDescent="0.2">
      <c r="A168" s="162" t="s">
        <v>355</v>
      </c>
      <c r="B168" s="213" t="s">
        <v>483</v>
      </c>
      <c r="C168" s="213" t="s">
        <v>483</v>
      </c>
      <c r="D168" s="213" t="s">
        <v>483</v>
      </c>
      <c r="E168" s="490" t="s">
        <v>483</v>
      </c>
      <c r="F168" s="213" t="s">
        <v>483</v>
      </c>
      <c r="G168" s="213" t="s">
        <v>483</v>
      </c>
      <c r="H168" s="213" t="s">
        <v>483</v>
      </c>
      <c r="I168" s="490" t="s">
        <v>483</v>
      </c>
      <c r="J168" s="213" t="s">
        <v>483</v>
      </c>
      <c r="K168" s="213" t="s">
        <v>483</v>
      </c>
      <c r="L168" s="213" t="s">
        <v>483</v>
      </c>
      <c r="M168" s="490" t="s">
        <v>483</v>
      </c>
      <c r="N168" s="213" t="s">
        <v>483</v>
      </c>
      <c r="O168" s="213" t="s">
        <v>483</v>
      </c>
      <c r="P168" s="213" t="s">
        <v>483</v>
      </c>
      <c r="Q168" s="490" t="s">
        <v>483</v>
      </c>
      <c r="R168" s="213" t="s">
        <v>483</v>
      </c>
      <c r="S168" s="213" t="s">
        <v>483</v>
      </c>
      <c r="T168" s="213" t="s">
        <v>483</v>
      </c>
      <c r="U168" s="490" t="s">
        <v>483</v>
      </c>
      <c r="V168" s="213" t="s">
        <v>483</v>
      </c>
      <c r="W168" s="213" t="s">
        <v>483</v>
      </c>
      <c r="X168" s="213" t="s">
        <v>483</v>
      </c>
      <c r="Y168" s="490" t="s">
        <v>483</v>
      </c>
      <c r="Z168" s="213" t="s">
        <v>483</v>
      </c>
      <c r="AA168" s="213" t="s">
        <v>483</v>
      </c>
      <c r="AB168" s="213" t="s">
        <v>483</v>
      </c>
      <c r="AC168" s="490" t="s">
        <v>483</v>
      </c>
      <c r="AD168" s="213" t="s">
        <v>483</v>
      </c>
      <c r="AE168" s="213" t="s">
        <v>483</v>
      </c>
      <c r="AF168" s="213" t="s">
        <v>483</v>
      </c>
      <c r="AG168" s="490" t="s">
        <v>483</v>
      </c>
      <c r="AH168" s="213" t="s">
        <v>483</v>
      </c>
      <c r="AI168" s="213" t="s">
        <v>483</v>
      </c>
      <c r="AJ168" s="213" t="s">
        <v>483</v>
      </c>
      <c r="AK168" s="490" t="s">
        <v>483</v>
      </c>
      <c r="AL168" s="213" t="s">
        <v>483</v>
      </c>
      <c r="AM168" s="213" t="s">
        <v>483</v>
      </c>
      <c r="AN168" s="213" t="s">
        <v>483</v>
      </c>
      <c r="AO168" s="490" t="s">
        <v>483</v>
      </c>
      <c r="AP168" s="213" t="s">
        <v>483</v>
      </c>
      <c r="AQ168" s="213" t="s">
        <v>483</v>
      </c>
      <c r="AR168" s="213" t="s">
        <v>483</v>
      </c>
      <c r="AS168" s="490" t="s">
        <v>483</v>
      </c>
      <c r="AT168" s="213" t="s">
        <v>483</v>
      </c>
      <c r="AU168" s="213" t="s">
        <v>483</v>
      </c>
      <c r="AV168" s="213" t="s">
        <v>483</v>
      </c>
      <c r="AW168" s="490" t="s">
        <v>483</v>
      </c>
      <c r="AX168" s="806">
        <f>'Income Statement'!AX155-'Income Statement'!AX160</f>
        <v>242.13000000000011</v>
      </c>
      <c r="AY168" s="806">
        <f>'Income Statement'!AY155-'Income Statement'!AY160</f>
        <v>255.36000000000013</v>
      </c>
      <c r="AZ168" s="806">
        <f>'Income Statement'!AZ155-'Income Statement'!AZ160</f>
        <v>197.69000000000005</v>
      </c>
      <c r="BA168" s="913">
        <f>'Income Statement'!BA155-'Income Statement'!BA160</f>
        <v>892.86800000000017</v>
      </c>
      <c r="BB168" s="806">
        <f>'Income Statement'!BB155-'Income Statement'!BB160</f>
        <v>333.8119999999999</v>
      </c>
      <c r="BC168" s="806">
        <f>'Income Statement'!BC155-'Income Statement'!BC160</f>
        <v>330</v>
      </c>
      <c r="BD168" s="806">
        <f>'Income Statement'!BD155-'Income Statement'!BD160</f>
        <v>185.52800000000025</v>
      </c>
      <c r="BE168" s="913">
        <f>'Income Statement'!BE155-'Income Statement'!BE160</f>
        <v>1051.5999999999999</v>
      </c>
      <c r="BF168" s="806">
        <f>'Income Statement'!BF155-'Income Statement'!BF160</f>
        <v>269.6690000000001</v>
      </c>
      <c r="BG168" s="806">
        <f>'Income Statement'!BG155-'Income Statement'!BG160</f>
        <v>358</v>
      </c>
      <c r="BH168" s="806">
        <f>'Income Statement'!BH155-'Income Statement'!BH160</f>
        <v>329</v>
      </c>
      <c r="BI168" s="913">
        <f>'Income Statement'!BI155-'Income Statement'!BI160</f>
        <v>1042</v>
      </c>
      <c r="BJ168" s="1379">
        <f>'Income Statement'!BJ155-'Income Statement'!BJ160</f>
        <v>277</v>
      </c>
      <c r="BK168" s="806">
        <f>'Income Statement'!BK155-'Income Statement'!BK160</f>
        <v>315</v>
      </c>
      <c r="BL168" s="806">
        <f>'Income Statement'!BL155-'Income Statement'!BL160</f>
        <v>282.69677512170233</v>
      </c>
      <c r="BM168" s="913">
        <f>'Income Statement'!BM155-'Income Statement'!BM160</f>
        <v>1021</v>
      </c>
      <c r="BN168" s="1379">
        <f>'Income Statement'!BN155-'Income Statement'!BN160</f>
        <v>328</v>
      </c>
      <c r="BO168" s="806">
        <f>'Income Statement'!BO155-'Income Statement'!BO160</f>
        <v>315</v>
      </c>
      <c r="BP168" s="806">
        <f>'Income Statement'!BP155-'Income Statement'!BP160</f>
        <v>353</v>
      </c>
      <c r="BQ168" s="913">
        <f>'Income Statement'!BQ155-'Income Statement'!BQ160</f>
        <v>1099.9999999999998</v>
      </c>
      <c r="BR168" s="1379">
        <f>'Income Statement'!BR155-'Income Statement'!BR160</f>
        <v>298</v>
      </c>
      <c r="BS168" s="806">
        <f>'Income Statement'!BS155-'Income Statement'!BS160</f>
        <v>407</v>
      </c>
      <c r="BT168" s="806">
        <f>'Income Statement'!BT155-'Income Statement'!BT160</f>
        <v>340</v>
      </c>
      <c r="BU168" s="913">
        <f>'Income Statement'!BU155-'Income Statement'!BU160</f>
        <v>1037</v>
      </c>
      <c r="BV168" s="1379">
        <f>'Income Statement'!BV155-'Income Statement'!BV160</f>
        <v>236</v>
      </c>
      <c r="BW168" s="806">
        <f>'Income Statement'!BW155-'Income Statement'!BW160</f>
        <v>304.99999999999977</v>
      </c>
      <c r="BX168" s="806">
        <f>'Income Statement'!BX155-'Income Statement'!BX160</f>
        <v>246</v>
      </c>
      <c r="BY168" s="913">
        <f>'Income Statement'!BY155-'Income Statement'!BY160</f>
        <v>1102</v>
      </c>
      <c r="BZ168" s="1379">
        <v>383</v>
      </c>
      <c r="CA168" s="806">
        <v>360</v>
      </c>
      <c r="CB168" s="806">
        <v>329</v>
      </c>
      <c r="CC168" s="913">
        <v>988</v>
      </c>
      <c r="CD168" s="1379">
        <v>366</v>
      </c>
      <c r="CE168" s="806">
        <v>239</v>
      </c>
      <c r="CF168" s="806">
        <v>249</v>
      </c>
      <c r="CG168" s="913">
        <v>932</v>
      </c>
      <c r="CH168" s="1379">
        <v>422</v>
      </c>
      <c r="CI168" s="806">
        <v>174</v>
      </c>
      <c r="CJ168" s="806">
        <f>16+34</f>
        <v>50</v>
      </c>
      <c r="CK168" s="913">
        <v>743</v>
      </c>
      <c r="CL168" s="1379">
        <v>435</v>
      </c>
      <c r="CM168" s="806">
        <v>175</v>
      </c>
      <c r="CN168" s="806">
        <f>16+34</f>
        <v>50</v>
      </c>
      <c r="CO168" s="913">
        <v>743</v>
      </c>
      <c r="CP168" s="1379">
        <f t="shared" ref="CP168:CX168" si="548">+CP147-CP151-CP160</f>
        <v>227</v>
      </c>
      <c r="CQ168" s="806">
        <f t="shared" si="548"/>
        <v>205</v>
      </c>
      <c r="CR168" s="806">
        <f t="shared" si="548"/>
        <v>142</v>
      </c>
      <c r="CS168" s="913">
        <f t="shared" si="548"/>
        <v>549</v>
      </c>
      <c r="CT168" s="1379">
        <f t="shared" si="548"/>
        <v>236</v>
      </c>
      <c r="CU168" s="806">
        <f t="shared" si="548"/>
        <v>269</v>
      </c>
      <c r="CV168" s="806">
        <f t="shared" si="548"/>
        <v>215</v>
      </c>
      <c r="CW168" s="913">
        <f t="shared" si="548"/>
        <v>752</v>
      </c>
      <c r="CX168" s="1379">
        <f t="shared" si="548"/>
        <v>235</v>
      </c>
      <c r="CY168" s="806">
        <f t="shared" ref="CY168:DI168" si="549">CY155-CY160</f>
        <v>302</v>
      </c>
      <c r="CZ168" s="806">
        <f t="shared" si="549"/>
        <v>246</v>
      </c>
      <c r="DA168" s="913">
        <f t="shared" si="549"/>
        <v>729</v>
      </c>
      <c r="DB168" s="806">
        <f t="shared" si="549"/>
        <v>238</v>
      </c>
      <c r="DC168" s="806">
        <f t="shared" si="549"/>
        <v>287</v>
      </c>
      <c r="DD168" s="806">
        <f t="shared" si="549"/>
        <v>300</v>
      </c>
      <c r="DE168" s="913">
        <f t="shared" si="549"/>
        <v>809</v>
      </c>
      <c r="DF168" s="806">
        <f t="shared" si="549"/>
        <v>298</v>
      </c>
      <c r="DG168" s="806">
        <f t="shared" ref="DG168" si="550">DG155-DG160</f>
        <v>316</v>
      </c>
      <c r="DH168" s="806">
        <f t="shared" si="549"/>
        <v>345</v>
      </c>
      <c r="DI168" s="913">
        <f t="shared" si="549"/>
        <v>897</v>
      </c>
      <c r="DJ168" s="1678">
        <f t="shared" ref="DJ168:DK168" si="551">DJ155-DJ160</f>
        <v>291.02680622868161</v>
      </c>
      <c r="DK168" s="806">
        <f t="shared" si="551"/>
        <v>316.14764035531744</v>
      </c>
      <c r="DL168" s="806">
        <f t="shared" ref="DL168:DM168" si="552">DL155-DL160</f>
        <v>350.98713616750047</v>
      </c>
      <c r="DM168" s="913">
        <f t="shared" si="552"/>
        <v>890.51644633230535</v>
      </c>
      <c r="DN168" s="914"/>
      <c r="DO168" s="913"/>
      <c r="DP168" s="806"/>
      <c r="DQ168" s="213" t="s">
        <v>483</v>
      </c>
      <c r="DR168" s="213" t="s">
        <v>483</v>
      </c>
      <c r="DS168" s="213" t="s">
        <v>483</v>
      </c>
      <c r="DT168" s="213" t="s">
        <v>483</v>
      </c>
      <c r="DU168" s="213" t="s">
        <v>483</v>
      </c>
      <c r="DV168" s="213" t="s">
        <v>483</v>
      </c>
      <c r="DW168" s="213" t="s">
        <v>483</v>
      </c>
      <c r="DX168" s="213" t="s">
        <v>483</v>
      </c>
      <c r="DY168" s="213" t="s">
        <v>483</v>
      </c>
      <c r="DZ168" s="213" t="s">
        <v>483</v>
      </c>
      <c r="EA168" s="213" t="s">
        <v>483</v>
      </c>
      <c r="EB168" s="213" t="s">
        <v>483</v>
      </c>
      <c r="EC168" s="213" t="s">
        <v>483</v>
      </c>
      <c r="ED168" s="213" t="s">
        <v>483</v>
      </c>
      <c r="EE168" s="213" t="s">
        <v>483</v>
      </c>
      <c r="EF168" s="213" t="s">
        <v>483</v>
      </c>
      <c r="EG168" s="213" t="s">
        <v>483</v>
      </c>
      <c r="EH168" s="213" t="s">
        <v>483</v>
      </c>
      <c r="EI168" s="806">
        <f>EI155-EI160</f>
        <v>1392</v>
      </c>
      <c r="EJ168" s="806">
        <f>SUM(AX168:BA168)</f>
        <v>1588.0480000000005</v>
      </c>
      <c r="EK168" s="806">
        <f>SUM(BB168:BE168)</f>
        <v>1900.94</v>
      </c>
      <c r="EL168" s="806">
        <f>SUM(BF168:BI168)</f>
        <v>1998.6690000000001</v>
      </c>
      <c r="EM168" s="806">
        <f>SUM(BJ168:BM168)</f>
        <v>1895.6967751217023</v>
      </c>
      <c r="EN168" s="806">
        <f>SUM(BN168:BQ168)</f>
        <v>2096</v>
      </c>
      <c r="EO168" s="806">
        <f>SUM(BR168:BU168)</f>
        <v>2082</v>
      </c>
      <c r="EP168" s="806">
        <f>SUM(BV168:BY168)</f>
        <v>1888.9999999999998</v>
      </c>
      <c r="EQ168" s="806">
        <f>SUM(BZ168:CC168)</f>
        <v>2060</v>
      </c>
      <c r="ER168" s="806">
        <f>SUM(CD168:CG168)</f>
        <v>1786</v>
      </c>
      <c r="ES168" s="806">
        <f>SUM(CH168:CK168)</f>
        <v>1389</v>
      </c>
      <c r="ET168" s="806">
        <f>SUM(CL168:CO168)</f>
        <v>1403</v>
      </c>
      <c r="EU168" s="806">
        <f>SUM(CP168:CS168)</f>
        <v>1123</v>
      </c>
      <c r="EV168" s="806">
        <f>SUM(CT168:CW168)</f>
        <v>1472</v>
      </c>
      <c r="EW168" s="806">
        <f>SUM(CX168:DA168)</f>
        <v>1512</v>
      </c>
      <c r="EX168" s="806">
        <f>SUM(DB168:DE168)</f>
        <v>1634</v>
      </c>
      <c r="EY168" s="806">
        <f>SUM(DF168:DI168)</f>
        <v>1856</v>
      </c>
      <c r="EZ168" s="1678">
        <f>SUM(DJ168:DM168)</f>
        <v>1848.6780290838049</v>
      </c>
      <c r="FA168" s="806">
        <f>'Income Statement'!FA155-'Income Statement'!FA160</f>
        <v>1891.5541362310942</v>
      </c>
      <c r="FB168" s="806">
        <f>'Income Statement'!FB155-'Income Statement'!FB160</f>
        <v>1941.8348482439678</v>
      </c>
      <c r="FC168" s="806">
        <f>'Income Statement'!FC155-'Income Statement'!FC160</f>
        <v>1939.9934801552126</v>
      </c>
      <c r="FD168" s="806">
        <f>'Income Statement'!FD155-'Income Statement'!FD160</f>
        <v>1946.2805348432803</v>
      </c>
      <c r="FE168" s="806">
        <f>'Income Statement'!FE155-'Income Statement'!FE160</f>
        <v>1953.0576668675112</v>
      </c>
      <c r="FF168" s="806">
        <f>'Income Statement'!FF155-'Income Statement'!FF160</f>
        <v>1960.3429603665463</v>
      </c>
      <c r="FG168" s="806">
        <f>'Income Statement'!FG155-'Income Statement'!FG160</f>
        <v>1968.1548515874201</v>
      </c>
      <c r="FH168" s="806">
        <f>'Income Statement'!FH155-'Income Statement'!FH160</f>
        <v>1976.5121184172394</v>
      </c>
      <c r="FI168" s="413"/>
      <c r="FJ168"/>
      <c r="FK168"/>
      <c r="FL168"/>
      <c r="FM168"/>
      <c r="FN168"/>
      <c r="FO168"/>
      <c r="FP168" s="4"/>
      <c r="FQ168" s="4"/>
      <c r="FR168" s="4"/>
      <c r="FS168" s="806"/>
      <c r="FT168" s="806"/>
      <c r="FU168"/>
      <c r="FV168" s="806"/>
      <c r="FW168" s="806"/>
      <c r="FX168" s="806"/>
      <c r="FY168"/>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row>
    <row r="169" spans="1:260" s="6" customFormat="1" x14ac:dyDescent="0.2">
      <c r="A169" s="1557" t="s">
        <v>25</v>
      </c>
      <c r="B169" s="1558" t="s">
        <v>483</v>
      </c>
      <c r="C169" s="1558" t="s">
        <v>483</v>
      </c>
      <c r="D169" s="1558" t="s">
        <v>483</v>
      </c>
      <c r="E169" s="1559" t="s">
        <v>483</v>
      </c>
      <c r="F169" s="1558" t="s">
        <v>483</v>
      </c>
      <c r="G169" s="1558" t="s">
        <v>483</v>
      </c>
      <c r="H169" s="1558" t="s">
        <v>483</v>
      </c>
      <c r="I169" s="1559" t="s">
        <v>483</v>
      </c>
      <c r="J169" s="1558" t="s">
        <v>483</v>
      </c>
      <c r="K169" s="1558" t="s">
        <v>483</v>
      </c>
      <c r="L169" s="1558" t="s">
        <v>483</v>
      </c>
      <c r="M169" s="1559" t="s">
        <v>483</v>
      </c>
      <c r="N169" s="1558" t="s">
        <v>483</v>
      </c>
      <c r="O169" s="1558" t="s">
        <v>483</v>
      </c>
      <c r="P169" s="1558" t="s">
        <v>483</v>
      </c>
      <c r="Q169" s="1559" t="s">
        <v>483</v>
      </c>
      <c r="R169" s="1558" t="s">
        <v>483</v>
      </c>
      <c r="S169" s="1558" t="s">
        <v>483</v>
      </c>
      <c r="T169" s="1558" t="s">
        <v>483</v>
      </c>
      <c r="U169" s="1559" t="s">
        <v>483</v>
      </c>
      <c r="V169" s="1558" t="s">
        <v>483</v>
      </c>
      <c r="W169" s="1558" t="s">
        <v>483</v>
      </c>
      <c r="X169" s="1558" t="s">
        <v>483</v>
      </c>
      <c r="Y169" s="1559" t="s">
        <v>483</v>
      </c>
      <c r="Z169" s="1558" t="s">
        <v>483</v>
      </c>
      <c r="AA169" s="1558" t="s">
        <v>483</v>
      </c>
      <c r="AB169" s="1558" t="s">
        <v>483</v>
      </c>
      <c r="AC169" s="1559" t="s">
        <v>483</v>
      </c>
      <c r="AD169" s="1558" t="s">
        <v>483</v>
      </c>
      <c r="AE169" s="1558" t="s">
        <v>483</v>
      </c>
      <c r="AF169" s="1558" t="s">
        <v>483</v>
      </c>
      <c r="AG169" s="1559" t="s">
        <v>483</v>
      </c>
      <c r="AH169" s="1558" t="s">
        <v>483</v>
      </c>
      <c r="AI169" s="1558" t="s">
        <v>483</v>
      </c>
      <c r="AJ169" s="1558" t="s">
        <v>483</v>
      </c>
      <c r="AK169" s="1559" t="s">
        <v>483</v>
      </c>
      <c r="AL169" s="1558" t="s">
        <v>483</v>
      </c>
      <c r="AM169" s="1558" t="s">
        <v>483</v>
      </c>
      <c r="AN169" s="1558" t="s">
        <v>483</v>
      </c>
      <c r="AO169" s="1559" t="s">
        <v>483</v>
      </c>
      <c r="AP169" s="1558" t="s">
        <v>483</v>
      </c>
      <c r="AQ169" s="1558" t="s">
        <v>483</v>
      </c>
      <c r="AR169" s="1558" t="s">
        <v>483</v>
      </c>
      <c r="AS169" s="1559" t="s">
        <v>483</v>
      </c>
      <c r="AT169" s="1558" t="s">
        <v>483</v>
      </c>
      <c r="AU169" s="1558" t="s">
        <v>483</v>
      </c>
      <c r="AV169" s="1558" t="s">
        <v>483</v>
      </c>
      <c r="AW169" s="1559" t="s">
        <v>483</v>
      </c>
      <c r="AX169" s="1342">
        <v>-3.13</v>
      </c>
      <c r="AY169" s="1342">
        <v>5.64</v>
      </c>
      <c r="AZ169" s="1342">
        <v>-8.69</v>
      </c>
      <c r="BA169" s="1560">
        <v>62.132000000000005</v>
      </c>
      <c r="BB169" s="1342">
        <v>3.1880000000000002</v>
      </c>
      <c r="BC169" s="1342">
        <v>0</v>
      </c>
      <c r="BD169" s="1342">
        <v>10.472</v>
      </c>
      <c r="BE169" s="1560">
        <v>84.4</v>
      </c>
      <c r="BF169" s="1342">
        <v>-3.669</v>
      </c>
      <c r="BG169" s="1342">
        <v>43</v>
      </c>
      <c r="BH169" s="1342">
        <v>22</v>
      </c>
      <c r="BI169" s="1560">
        <v>101</v>
      </c>
      <c r="BJ169" s="1380">
        <v>0</v>
      </c>
      <c r="BK169" s="1342">
        <v>24</v>
      </c>
      <c r="BL169" s="1342">
        <v>-8.6967751217023874</v>
      </c>
      <c r="BM169" s="1560">
        <v>103</v>
      </c>
      <c r="BN169" s="1380">
        <v>20</v>
      </c>
      <c r="BO169" s="1342">
        <v>-35</v>
      </c>
      <c r="BP169" s="1342">
        <v>23</v>
      </c>
      <c r="BQ169" s="1560">
        <v>183</v>
      </c>
      <c r="BR169" s="1380">
        <v>15</v>
      </c>
      <c r="BS169" s="1342">
        <v>4</v>
      </c>
      <c r="BT169" s="1342">
        <v>45</v>
      </c>
      <c r="BU169" s="1560">
        <v>190</v>
      </c>
      <c r="BV169" s="1380">
        <v>48</v>
      </c>
      <c r="BW169" s="1342">
        <v>-16</v>
      </c>
      <c r="BX169" s="1342">
        <v>82</v>
      </c>
      <c r="BY169" s="1560">
        <v>255</v>
      </c>
      <c r="BZ169" s="1380">
        <f>'Income Statement'!BZ170-'Income Statement'!BZ168</f>
        <v>45</v>
      </c>
      <c r="CA169" s="1342">
        <f>'Income Statement'!CA170-'Income Statement'!CA168</f>
        <v>31</v>
      </c>
      <c r="CB169" s="1342">
        <f>'Income Statement'!CB170-'Income Statement'!CB168</f>
        <v>102</v>
      </c>
      <c r="CC169" s="1560">
        <f>'Income Statement'!CC170-'Income Statement'!CC168</f>
        <v>279</v>
      </c>
      <c r="CD169" s="1380">
        <f>'Income Statement'!CD170-'Income Statement'!CD168</f>
        <v>98</v>
      </c>
      <c r="CE169" s="1342">
        <f>'Income Statement'!CE170-'Income Statement'!CE168</f>
        <v>21</v>
      </c>
      <c r="CF169" s="1342">
        <f>'Income Statement'!CF170-'Income Statement'!CF168</f>
        <v>132</v>
      </c>
      <c r="CG169" s="1560">
        <v>262</v>
      </c>
      <c r="CH169" s="1380">
        <f>'Income Statement'!CH170-'Income Statement'!CH168</f>
        <v>-33</v>
      </c>
      <c r="CI169" s="1342">
        <f>'Income Statement'!CI170-'Income Statement'!CI168</f>
        <v>-50</v>
      </c>
      <c r="CJ169" s="1342">
        <f>'Income Statement'!CJ170-'Income Statement'!CJ168</f>
        <v>-2</v>
      </c>
      <c r="CK169" s="1560">
        <f>'Income Statement'!CK170-'Income Statement'!CK168</f>
        <v>181</v>
      </c>
      <c r="CL169" s="1380">
        <f>'Income Statement'!CL170-'Income Statement'!CL168</f>
        <v>-30</v>
      </c>
      <c r="CM169" s="1342">
        <f>'Income Statement'!CM170-'Income Statement'!CM168</f>
        <v>6</v>
      </c>
      <c r="CN169" s="1342">
        <f>'Income Statement'!CN170-'Income Statement'!CN168</f>
        <v>-14</v>
      </c>
      <c r="CO169" s="1560">
        <f>'Income Statement'!CO170-'Income Statement'!CO168</f>
        <v>110</v>
      </c>
      <c r="CP169" s="1380">
        <f t="shared" ref="CP169:CX169" si="553">+CP148-CP152-CP161</f>
        <v>-23</v>
      </c>
      <c r="CQ169" s="1342">
        <f t="shared" si="553"/>
        <v>-10</v>
      </c>
      <c r="CR169" s="1342">
        <f t="shared" si="553"/>
        <v>-7</v>
      </c>
      <c r="CS169" s="1560">
        <f t="shared" si="553"/>
        <v>80</v>
      </c>
      <c r="CT169" s="1380">
        <f t="shared" si="553"/>
        <v>-15</v>
      </c>
      <c r="CU169" s="1342">
        <f t="shared" si="553"/>
        <v>-27</v>
      </c>
      <c r="CV169" s="1342">
        <f t="shared" si="553"/>
        <v>1</v>
      </c>
      <c r="CW169" s="1560">
        <f t="shared" si="553"/>
        <v>66</v>
      </c>
      <c r="CX169" s="1380">
        <f t="shared" si="553"/>
        <v>-27</v>
      </c>
      <c r="CY169" s="1342">
        <f t="shared" ref="CY169:DI169" si="554">CY156-CY161</f>
        <v>-24</v>
      </c>
      <c r="CZ169" s="1342">
        <f t="shared" si="554"/>
        <v>-8</v>
      </c>
      <c r="DA169" s="1560">
        <f t="shared" si="554"/>
        <v>52</v>
      </c>
      <c r="DB169" s="1342">
        <f t="shared" si="554"/>
        <v>2</v>
      </c>
      <c r="DC169" s="1342">
        <f t="shared" si="554"/>
        <v>3</v>
      </c>
      <c r="DD169" s="1342">
        <f t="shared" si="554"/>
        <v>13</v>
      </c>
      <c r="DE169" s="1560">
        <f t="shared" si="554"/>
        <v>81</v>
      </c>
      <c r="DF169" s="1342">
        <f t="shared" si="554"/>
        <v>2</v>
      </c>
      <c r="DG169" s="1342">
        <f t="shared" ref="DG169" si="555">DG156-DG161</f>
        <v>7</v>
      </c>
      <c r="DH169" s="1342">
        <f t="shared" si="554"/>
        <v>3</v>
      </c>
      <c r="DI169" s="1560">
        <f t="shared" si="554"/>
        <v>85</v>
      </c>
      <c r="DJ169" s="1679">
        <f t="shared" ref="DJ169:DK169" si="556">DJ156-DJ161</f>
        <v>-3.7629131707317072</v>
      </c>
      <c r="DK169" s="1342">
        <f t="shared" si="556"/>
        <v>4.6850578145695465</v>
      </c>
      <c r="DL169" s="1342">
        <f t="shared" ref="DL169:DM169" si="557">DL156-DL161</f>
        <v>5.8610299999999995</v>
      </c>
      <c r="DM169" s="1560">
        <f t="shared" si="557"/>
        <v>74.751200000000011</v>
      </c>
      <c r="DN169" s="1380"/>
      <c r="DO169" s="1560"/>
      <c r="DP169" s="1342"/>
      <c r="DQ169" s="1558" t="s">
        <v>483</v>
      </c>
      <c r="DR169" s="1558" t="s">
        <v>483</v>
      </c>
      <c r="DS169" s="1558" t="s">
        <v>483</v>
      </c>
      <c r="DT169" s="1558" t="s">
        <v>483</v>
      </c>
      <c r="DU169" s="1558" t="s">
        <v>483</v>
      </c>
      <c r="DV169" s="1558" t="s">
        <v>483</v>
      </c>
      <c r="DW169" s="1558" t="s">
        <v>483</v>
      </c>
      <c r="DX169" s="1558" t="s">
        <v>483</v>
      </c>
      <c r="DY169" s="1558" t="s">
        <v>483</v>
      </c>
      <c r="DZ169" s="1558" t="s">
        <v>483</v>
      </c>
      <c r="EA169" s="1558" t="s">
        <v>483</v>
      </c>
      <c r="EB169" s="1558" t="s">
        <v>483</v>
      </c>
      <c r="EC169" s="1558" t="s">
        <v>483</v>
      </c>
      <c r="ED169" s="1558" t="s">
        <v>483</v>
      </c>
      <c r="EE169" s="1558" t="s">
        <v>483</v>
      </c>
      <c r="EF169" s="1558" t="s">
        <v>483</v>
      </c>
      <c r="EG169" s="1558" t="s">
        <v>483</v>
      </c>
      <c r="EH169" s="1558" t="s">
        <v>483</v>
      </c>
      <c r="EI169" s="1342">
        <v>49</v>
      </c>
      <c r="EJ169" s="1342">
        <f>SUM(AX169:BA169)</f>
        <v>55.952000000000005</v>
      </c>
      <c r="EK169" s="1342">
        <f>SUM(BB169:BE169)</f>
        <v>98.06</v>
      </c>
      <c r="EL169" s="1342">
        <f>SUM(BF169:BI169)</f>
        <v>162.33100000000002</v>
      </c>
      <c r="EM169" s="1342">
        <f>SUM(BJ169:BM169)</f>
        <v>118.30322487829761</v>
      </c>
      <c r="EN169" s="1342">
        <f>SUM(BN169:BQ169)</f>
        <v>191</v>
      </c>
      <c r="EO169" s="1342">
        <f>SUM(BR169:BU169)</f>
        <v>254</v>
      </c>
      <c r="EP169" s="1342">
        <f>SUM(BV169:BY169)</f>
        <v>369</v>
      </c>
      <c r="EQ169" s="1342">
        <f>SUM(BZ169:CC169)</f>
        <v>457</v>
      </c>
      <c r="ER169" s="1342">
        <f>SUM(CD169:CG169)</f>
        <v>513</v>
      </c>
      <c r="ES169" s="1342">
        <f>SUM(CH169:CK169)</f>
        <v>96</v>
      </c>
      <c r="ET169" s="1342">
        <f>SUM(CL169:CO169)</f>
        <v>72</v>
      </c>
      <c r="EU169" s="1342">
        <f>SUM(CP169:CS169)</f>
        <v>40</v>
      </c>
      <c r="EV169" s="1342">
        <f>SUM(CT169:CW169)</f>
        <v>25</v>
      </c>
      <c r="EW169" s="1342">
        <f>SUM(CX169:DA169)</f>
        <v>-7</v>
      </c>
      <c r="EX169" s="1342">
        <f>SUM(DB169:DE169)</f>
        <v>99</v>
      </c>
      <c r="EY169" s="1342">
        <f>SUM(DF169:DI169)</f>
        <v>97</v>
      </c>
      <c r="EZ169" s="1679">
        <f>SUM(DJ169:DM169)</f>
        <v>81.53437464383785</v>
      </c>
      <c r="FA169" s="1342">
        <f>'Income Statement'!FA156-'Income Statement'!FA161</f>
        <v>78.735672892717844</v>
      </c>
      <c r="FB169" s="1342">
        <f>'Income Statement'!FB156-'Income Statement'!FB161</f>
        <v>81.394037226874161</v>
      </c>
      <c r="FC169" s="1342">
        <f>'Income Statement'!FC156-'Income Statement'!FC161</f>
        <v>83.363905485911346</v>
      </c>
      <c r="FD169" s="1342">
        <f>'Income Statement'!FD156-'Income Statement'!FD161</f>
        <v>85.340335548759526</v>
      </c>
      <c r="FE169" s="1342">
        <f>'Income Statement'!FE156-'Income Statement'!FE161</f>
        <v>87.323302427642716</v>
      </c>
      <c r="FF169" s="1342">
        <f>'Income Statement'!FF156-'Income Statement'!FF161</f>
        <v>89.312781369443769</v>
      </c>
      <c r="FG169" s="1342">
        <f>'Income Statement'!FG156-'Income Statement'!FG161</f>
        <v>91.308747852311399</v>
      </c>
      <c r="FH169" s="1342">
        <f>'Income Statement'!FH156-'Income Statement'!FH161</f>
        <v>93.311177582333357</v>
      </c>
      <c r="FI169" s="1522"/>
      <c r="FJ169"/>
      <c r="FK169"/>
      <c r="FL169"/>
      <c r="FM169"/>
      <c r="FN169"/>
      <c r="FO169"/>
      <c r="FP169" s="4"/>
      <c r="FQ169" s="4"/>
      <c r="FR169" s="4"/>
      <c r="FS169" s="806"/>
      <c r="FT169" s="806"/>
      <c r="FU169"/>
      <c r="FV169" s="1342"/>
      <c r="FW169" s="1342"/>
      <c r="FX169" s="1342"/>
      <c r="FY169"/>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row>
    <row r="170" spans="1:260" s="3" customFormat="1" x14ac:dyDescent="0.2">
      <c r="A170" s="288" t="s">
        <v>582</v>
      </c>
      <c r="B170" s="288"/>
      <c r="C170" s="288"/>
      <c r="D170" s="288"/>
      <c r="E170" s="474"/>
      <c r="F170" s="765"/>
      <c r="G170" s="228"/>
      <c r="H170" s="228"/>
      <c r="I170" s="481"/>
      <c r="J170" s="228"/>
      <c r="K170" s="228"/>
      <c r="L170" s="228"/>
      <c r="M170" s="481"/>
      <c r="N170" s="228"/>
      <c r="O170" s="228"/>
      <c r="P170" s="228"/>
      <c r="Q170" s="481"/>
      <c r="R170" s="228"/>
      <c r="S170" s="228"/>
      <c r="T170" s="228"/>
      <c r="U170" s="481"/>
      <c r="V170" s="228"/>
      <c r="W170" s="228"/>
      <c r="X170" s="228"/>
      <c r="Y170" s="481"/>
      <c r="Z170" s="228"/>
      <c r="AA170" s="228"/>
      <c r="AB170" s="228"/>
      <c r="AC170" s="481"/>
      <c r="AD170" s="228"/>
      <c r="AE170" s="228"/>
      <c r="AF170" s="228"/>
      <c r="AG170" s="481"/>
      <c r="AH170" s="228"/>
      <c r="AI170" s="228"/>
      <c r="AJ170" s="228"/>
      <c r="AK170" s="481"/>
      <c r="AL170" s="228"/>
      <c r="AM170" s="228"/>
      <c r="AN170" s="228"/>
      <c r="AO170" s="481"/>
      <c r="AP170" s="228"/>
      <c r="AQ170" s="228"/>
      <c r="AR170" s="228"/>
      <c r="AS170" s="481"/>
      <c r="AT170" s="926"/>
      <c r="AU170" s="927"/>
      <c r="AV170" s="927"/>
      <c r="AW170" s="928"/>
      <c r="AX170" s="198">
        <f>'Income Statement'!AX168+'Income Statement'!AX169</f>
        <v>239.00000000000011</v>
      </c>
      <c r="AY170" s="198">
        <f>'Income Statement'!AY168+'Income Statement'!AY169</f>
        <v>261.00000000000011</v>
      </c>
      <c r="AZ170" s="198">
        <f>'Income Statement'!AZ168+'Income Statement'!AZ169</f>
        <v>189.00000000000006</v>
      </c>
      <c r="BA170" s="766">
        <f>'Income Statement'!BA168+'Income Statement'!BA169</f>
        <v>955.00000000000023</v>
      </c>
      <c r="BB170" s="198">
        <f>'Income Statement'!BB168+'Income Statement'!BB169</f>
        <v>336.99999999999989</v>
      </c>
      <c r="BC170" s="198">
        <f>'Income Statement'!BC168+'Income Statement'!BC169</f>
        <v>330</v>
      </c>
      <c r="BD170" s="198">
        <f>'Income Statement'!BD168+'Income Statement'!BD169</f>
        <v>196.00000000000026</v>
      </c>
      <c r="BE170" s="766">
        <f>'Income Statement'!BE168+'Income Statement'!BE169</f>
        <v>1136</v>
      </c>
      <c r="BF170" s="198">
        <f>'Income Statement'!BF168+'Income Statement'!BF169</f>
        <v>266.00000000000011</v>
      </c>
      <c r="BG170" s="198">
        <f>'Income Statement'!BG168+'Income Statement'!BG169</f>
        <v>401</v>
      </c>
      <c r="BH170" s="198">
        <f>'Income Statement'!BH168+'Income Statement'!BH169</f>
        <v>351</v>
      </c>
      <c r="BI170" s="766">
        <f>'Income Statement'!BI168+'Income Statement'!BI169</f>
        <v>1143</v>
      </c>
      <c r="BJ170" s="761">
        <f>'Income Statement'!BJ168+'Income Statement'!BJ169</f>
        <v>277</v>
      </c>
      <c r="BK170" s="198">
        <f>'Income Statement'!BK168+'Income Statement'!BK169</f>
        <v>339</v>
      </c>
      <c r="BL170" s="198">
        <f>'Income Statement'!BL168+'Income Statement'!BL169</f>
        <v>273.99999999999994</v>
      </c>
      <c r="BM170" s="766">
        <f>'Income Statement'!BM168+'Income Statement'!BM169</f>
        <v>1124</v>
      </c>
      <c r="BN170" s="761">
        <f>'Income Statement'!BN168+'Income Statement'!BN169</f>
        <v>348</v>
      </c>
      <c r="BO170" s="198">
        <f>'Income Statement'!BO168+'Income Statement'!BO169</f>
        <v>280</v>
      </c>
      <c r="BP170" s="198">
        <f>'Income Statement'!BP168+'Income Statement'!BP169</f>
        <v>376</v>
      </c>
      <c r="BQ170" s="766">
        <f>'Income Statement'!BQ168+'Income Statement'!BQ169</f>
        <v>1282.9999999999998</v>
      </c>
      <c r="BR170" s="761">
        <f>'Income Statement'!BR168+'Income Statement'!BR169</f>
        <v>313</v>
      </c>
      <c r="BS170" s="198">
        <f>'Income Statement'!BS168+'Income Statement'!BS169</f>
        <v>411</v>
      </c>
      <c r="BT170" s="198">
        <f>'Income Statement'!BT168+'Income Statement'!BT169</f>
        <v>385</v>
      </c>
      <c r="BU170" s="766">
        <f>'Income Statement'!BU168+'Income Statement'!BU169</f>
        <v>1227</v>
      </c>
      <c r="BV170" s="761">
        <f>'Income Statement'!BV168+'Income Statement'!BV169</f>
        <v>284</v>
      </c>
      <c r="BW170" s="198">
        <f>'Income Statement'!BW168+'Income Statement'!BW169</f>
        <v>288.99999999999977</v>
      </c>
      <c r="BX170" s="198">
        <f>'Income Statement'!BX168+'Income Statement'!BX169</f>
        <v>328</v>
      </c>
      <c r="BY170" s="766">
        <f>'Income Statement'!BY168+'Income Statement'!BY169</f>
        <v>1357</v>
      </c>
      <c r="BZ170" s="761">
        <f>'Income Statement'!BZ157-'Income Statement'!BZ162</f>
        <v>428</v>
      </c>
      <c r="CA170" s="198">
        <f>'Income Statement'!CA157-'Income Statement'!CA162</f>
        <v>391</v>
      </c>
      <c r="CB170" s="198">
        <f>'Income Statement'!CB157-'Income Statement'!CB162</f>
        <v>431</v>
      </c>
      <c r="CC170" s="766">
        <f>'Income Statement'!CC157-'Income Statement'!CC162</f>
        <v>1267</v>
      </c>
      <c r="CD170" s="761">
        <f>'Income Statement'!CD157-'Income Statement'!CD162</f>
        <v>464</v>
      </c>
      <c r="CE170" s="198">
        <f>'Income Statement'!CE157-'Income Statement'!CE162</f>
        <v>260</v>
      </c>
      <c r="CF170" s="198">
        <f>'Income Statement'!CF157-'Income Statement'!CF162</f>
        <v>381</v>
      </c>
      <c r="CG170" s="766">
        <f>'Income Statement'!CG168+'Income Statement'!CG169</f>
        <v>1194</v>
      </c>
      <c r="CH170" s="761">
        <f>'Income Statement'!CH157-'Income Statement'!CH162</f>
        <v>389</v>
      </c>
      <c r="CI170" s="198">
        <f>'Income Statement'!CI157-'Income Statement'!CI162</f>
        <v>124</v>
      </c>
      <c r="CJ170" s="198">
        <f>'Income Statement'!CJ157-'Income Statement'!CJ162</f>
        <v>48</v>
      </c>
      <c r="CK170" s="766">
        <f>'Income Statement'!CK157-'Income Statement'!CK162</f>
        <v>924</v>
      </c>
      <c r="CL170" s="761">
        <f>'Income Statement'!CL157-'Income Statement'!CL162</f>
        <v>405</v>
      </c>
      <c r="CM170" s="198">
        <f>'Income Statement'!CM157-'Income Statement'!CM162</f>
        <v>181</v>
      </c>
      <c r="CN170" s="198">
        <f>'Income Statement'!CN157-'Income Statement'!CN162</f>
        <v>36</v>
      </c>
      <c r="CO170" s="766">
        <f>'Income Statement'!CO157-'Income Statement'!CO162</f>
        <v>853</v>
      </c>
      <c r="CP170" s="761">
        <f>'Income Statement'!CP157-'Income Statement'!CP162</f>
        <v>204</v>
      </c>
      <c r="CQ170" s="198">
        <f>'Income Statement'!CQ157-'Income Statement'!CQ162</f>
        <v>195</v>
      </c>
      <c r="CR170" s="198">
        <f>'Income Statement'!CR157-'Income Statement'!CR162</f>
        <v>135</v>
      </c>
      <c r="CS170" s="766">
        <f>'Income Statement'!CS157-'Income Statement'!CS162</f>
        <v>629</v>
      </c>
      <c r="CT170" s="761">
        <f>'Income Statement'!CT168+'Income Statement'!CT169</f>
        <v>221</v>
      </c>
      <c r="CU170" s="198">
        <f>'Income Statement'!CU168+'Income Statement'!CU169</f>
        <v>242</v>
      </c>
      <c r="CV170" s="198">
        <f>'Income Statement'!CV168+'Income Statement'!CV169</f>
        <v>216</v>
      </c>
      <c r="CW170" s="766">
        <f>'Income Statement'!CW168+'Income Statement'!CW169</f>
        <v>818</v>
      </c>
      <c r="CX170" s="761">
        <f>'Income Statement'!CX168+'Income Statement'!CX169</f>
        <v>208</v>
      </c>
      <c r="CY170" s="198">
        <f>'Income Statement'!CY168+'Income Statement'!CY169</f>
        <v>278</v>
      </c>
      <c r="CZ170" s="198">
        <f>'Income Statement'!CZ168+'Income Statement'!CZ169</f>
        <v>238</v>
      </c>
      <c r="DA170" s="766">
        <f>'Income Statement'!DA168+'Income Statement'!DA169</f>
        <v>781</v>
      </c>
      <c r="DB170" s="198">
        <f>'Income Statement'!DB168+'Income Statement'!DB169</f>
        <v>240</v>
      </c>
      <c r="DC170" s="198">
        <f>'Income Statement'!DC168+'Income Statement'!DC169</f>
        <v>290</v>
      </c>
      <c r="DD170" s="198">
        <f>'Income Statement'!DD168+'Income Statement'!DD169</f>
        <v>313</v>
      </c>
      <c r="DE170" s="766">
        <f>'Income Statement'!DE168+'Income Statement'!DE169</f>
        <v>890</v>
      </c>
      <c r="DF170" s="198">
        <f>'Income Statement'!DF168+'Income Statement'!DF169</f>
        <v>300</v>
      </c>
      <c r="DG170" s="198">
        <f>'Income Statement'!DG168+'Income Statement'!DG169</f>
        <v>323</v>
      </c>
      <c r="DH170" s="198">
        <f>'Income Statement'!DH168+'Income Statement'!DH169</f>
        <v>348</v>
      </c>
      <c r="DI170" s="766">
        <f>'Income Statement'!DI168+'Income Statement'!DI169</f>
        <v>982</v>
      </c>
      <c r="DJ170" s="1736">
        <f>'Income Statement'!DJ168+'Income Statement'!DJ169</f>
        <v>287.26389305794987</v>
      </c>
      <c r="DK170" s="198">
        <f>'Income Statement'!DK168+'Income Statement'!DK169</f>
        <v>320.83269816988695</v>
      </c>
      <c r="DL170" s="198">
        <f>'Income Statement'!DL168+'Income Statement'!DL169</f>
        <v>356.84816616750049</v>
      </c>
      <c r="DM170" s="766">
        <f>'Income Statement'!DM168+'Income Statement'!DM169</f>
        <v>965.26764633230539</v>
      </c>
      <c r="DN170" s="761"/>
      <c r="DO170" s="766"/>
      <c r="DP170" s="226"/>
      <c r="DQ170" s="226"/>
      <c r="DR170" s="226"/>
      <c r="DS170" s="226"/>
      <c r="DT170" s="226"/>
      <c r="DU170" s="227"/>
      <c r="DV170" s="227"/>
      <c r="DW170" s="227"/>
      <c r="DX170" s="227"/>
      <c r="DY170" s="228"/>
      <c r="DZ170" s="228"/>
      <c r="EA170" s="228"/>
      <c r="EB170" s="228"/>
      <c r="EC170" s="228"/>
      <c r="ED170" s="228"/>
      <c r="EE170" s="228"/>
      <c r="EF170" s="228"/>
      <c r="EG170" s="228"/>
      <c r="EH170" s="228"/>
      <c r="EI170" s="198">
        <f>'Income Statement'!EI168+'Income Statement'!EI169</f>
        <v>1441</v>
      </c>
      <c r="EJ170" s="198">
        <f>'Income Statement'!EJ168+'Income Statement'!EJ169</f>
        <v>1644.0000000000005</v>
      </c>
      <c r="EK170" s="198">
        <f>'Income Statement'!EK168+'Income Statement'!EK169</f>
        <v>1999</v>
      </c>
      <c r="EL170" s="198">
        <f>'Income Statement'!EL168+'Income Statement'!EL169</f>
        <v>2161</v>
      </c>
      <c r="EM170" s="198">
        <f>'Income Statement'!EM168+'Income Statement'!EM169</f>
        <v>2014</v>
      </c>
      <c r="EN170" s="198">
        <f>'Income Statement'!EN168+'Income Statement'!EN169</f>
        <v>2287</v>
      </c>
      <c r="EO170" s="198">
        <f>'Income Statement'!EO168+'Income Statement'!EO169</f>
        <v>2336</v>
      </c>
      <c r="EP170" s="198">
        <f>'Income Statement'!EP168+'Income Statement'!EP169</f>
        <v>2258</v>
      </c>
      <c r="EQ170" s="198">
        <f>'Income Statement'!EQ168+'Income Statement'!EQ169</f>
        <v>2517</v>
      </c>
      <c r="ER170" s="198">
        <f>'Income Statement'!ER157-'Income Statement'!ER162</f>
        <v>2299</v>
      </c>
      <c r="ES170" s="198">
        <f>'Income Statement'!ES168+'Income Statement'!ES169</f>
        <v>1485</v>
      </c>
      <c r="ET170" s="198">
        <f>'Income Statement'!ET168+'Income Statement'!ET169</f>
        <v>1475</v>
      </c>
      <c r="EU170" s="198">
        <f>'Income Statement'!EU168+'Income Statement'!EU169</f>
        <v>1163</v>
      </c>
      <c r="EV170" s="198">
        <f>'Income Statement'!EV168+'Income Statement'!EV169</f>
        <v>1497</v>
      </c>
      <c r="EW170" s="198">
        <f>'Income Statement'!EW168+'Income Statement'!EW169</f>
        <v>1505</v>
      </c>
      <c r="EX170" s="198">
        <f>'Income Statement'!EX168+'Income Statement'!EX169</f>
        <v>1733</v>
      </c>
      <c r="EY170" s="198">
        <f>SUM(DF170:DI170)</f>
        <v>1953</v>
      </c>
      <c r="EZ170" s="1736">
        <f>SUM(DJ170:DM170)</f>
        <v>1930.2124037276426</v>
      </c>
      <c r="FA170" s="374">
        <f>'Income Statement'!FA169+'Income Statement'!FA168</f>
        <v>1970.2898091238121</v>
      </c>
      <c r="FB170" s="374">
        <f>'Income Statement'!FB169+'Income Statement'!FB168</f>
        <v>2023.228885470842</v>
      </c>
      <c r="FC170" s="374">
        <f>'Income Statement'!FC169+'Income Statement'!FC168</f>
        <v>2023.357385641124</v>
      </c>
      <c r="FD170" s="374">
        <f>'Income Statement'!FD169+'Income Statement'!FD168</f>
        <v>2031.6208703920397</v>
      </c>
      <c r="FE170" s="374">
        <f>'Income Statement'!FE169+'Income Statement'!FE168</f>
        <v>2040.380969295154</v>
      </c>
      <c r="FF170" s="374">
        <f>'Income Statement'!FF169+'Income Statement'!FF168</f>
        <v>2049.65574173599</v>
      </c>
      <c r="FG170" s="374">
        <f>'Income Statement'!FG169+'Income Statement'!FG168</f>
        <v>2059.4635994397313</v>
      </c>
      <c r="FH170" s="374">
        <f>'Income Statement'!FH169+'Income Statement'!FH168</f>
        <v>2069.823295999573</v>
      </c>
      <c r="FI170" s="413"/>
      <c r="FJ170"/>
      <c r="FK170"/>
      <c r="FL170"/>
      <c r="FM170"/>
      <c r="FN170"/>
      <c r="FO170"/>
      <c r="FP170" s="4"/>
      <c r="FQ170" s="4"/>
      <c r="FR170" s="4"/>
      <c r="FS170" s="290"/>
      <c r="FT170" s="290"/>
      <c r="FU170"/>
      <c r="FV170" s="290"/>
      <c r="FW170" s="290"/>
      <c r="FX170" s="290"/>
      <c r="FY1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row>
    <row r="171" spans="1:260" s="6" customFormat="1" hidden="1" outlineLevel="1" x14ac:dyDescent="0.2">
      <c r="A171" s="1248" t="s">
        <v>144</v>
      </c>
      <c r="B171" s="1248"/>
      <c r="C171" s="1248"/>
      <c r="D171" s="1248"/>
      <c r="E171" s="1255"/>
      <c r="F171" s="102"/>
      <c r="G171" s="102"/>
      <c r="H171" s="102"/>
      <c r="I171" s="480"/>
      <c r="J171" s="102"/>
      <c r="K171" s="102"/>
      <c r="L171" s="102"/>
      <c r="M171" s="480"/>
      <c r="N171" s="102"/>
      <c r="O171" s="102"/>
      <c r="P171" s="102"/>
      <c r="Q171" s="480"/>
      <c r="R171" s="102"/>
      <c r="S171" s="102"/>
      <c r="T171" s="102"/>
      <c r="U171" s="480"/>
      <c r="V171" s="102"/>
      <c r="W171" s="102"/>
      <c r="X171" s="102"/>
      <c r="Y171" s="480"/>
      <c r="Z171" s="102"/>
      <c r="AA171" s="102"/>
      <c r="AB171" s="102"/>
      <c r="AC171" s="480"/>
      <c r="AD171" s="102"/>
      <c r="AE171" s="102"/>
      <c r="AF171" s="102"/>
      <c r="AG171" s="480"/>
      <c r="AH171" s="102"/>
      <c r="AI171" s="102"/>
      <c r="AJ171" s="102"/>
      <c r="AK171" s="480"/>
      <c r="AL171" s="102"/>
      <c r="AM171" s="102"/>
      <c r="AN171" s="102"/>
      <c r="AO171" s="480"/>
      <c r="AP171" s="102"/>
      <c r="AQ171" s="102"/>
      <c r="AR171" s="102"/>
      <c r="AS171" s="480"/>
      <c r="AT171" s="102"/>
      <c r="AU171" s="102"/>
      <c r="AV171" s="102"/>
      <c r="AW171" s="480"/>
      <c r="AX171" s="168"/>
      <c r="AY171" s="168"/>
      <c r="AZ171" s="168"/>
      <c r="BA171" s="486"/>
      <c r="BB171" s="168"/>
      <c r="BC171" s="168"/>
      <c r="BD171" s="168"/>
      <c r="BE171" s="486"/>
      <c r="BF171" s="168"/>
      <c r="BG171" s="168"/>
      <c r="BH171" s="168"/>
      <c r="BI171" s="486"/>
      <c r="BJ171" s="1260"/>
      <c r="BK171" s="1259"/>
      <c r="BL171" s="1259"/>
      <c r="BM171" s="1258"/>
      <c r="BN171" s="1260"/>
      <c r="BO171" s="1259"/>
      <c r="BP171" s="1259"/>
      <c r="BQ171" s="1258"/>
      <c r="BR171" s="1260">
        <f>'Income Statement'!BR170-'Income Statement'!BR17</f>
        <v>0</v>
      </c>
      <c r="BS171" s="1259">
        <f>'Income Statement'!BS170-'Income Statement'!BS17</f>
        <v>0</v>
      </c>
      <c r="BT171" s="1259">
        <f>'Income Statement'!BT170-'Income Statement'!BT17</f>
        <v>0</v>
      </c>
      <c r="BU171" s="1258">
        <f>'Income Statement'!BU170-'Income Statement'!BU17</f>
        <v>0</v>
      </c>
      <c r="BV171" s="1260">
        <f>'Income Statement'!BV170-'Income Statement'!BV17</f>
        <v>0</v>
      </c>
      <c r="BW171" s="1259">
        <f>'Income Statement'!BW170-'Income Statement'!BW17</f>
        <v>0</v>
      </c>
      <c r="BX171" s="1259">
        <f>'Income Statement'!BX170-'Income Statement'!BX17</f>
        <v>0</v>
      </c>
      <c r="BY171" s="1258">
        <f>'Income Statement'!BY170-'Income Statement'!BY17</f>
        <v>0</v>
      </c>
      <c r="BZ171" s="1260">
        <f>'Income Statement'!BZ170-'Income Statement'!BZ17</f>
        <v>0</v>
      </c>
      <c r="CA171" s="1259">
        <f>'Income Statement'!CA170-'Income Statement'!CA17</f>
        <v>0</v>
      </c>
      <c r="CB171" s="1259">
        <f>'Income Statement'!CB170-'Income Statement'!CB17</f>
        <v>0</v>
      </c>
      <c r="CC171" s="1258">
        <f>'Income Statement'!CC170-'Income Statement'!CC17</f>
        <v>0</v>
      </c>
      <c r="CD171" s="1260">
        <f>'Income Statement'!CD170-'Income Statement'!CD17</f>
        <v>0</v>
      </c>
      <c r="CE171" s="1259">
        <f>'Income Statement'!CE170-'Income Statement'!CE17</f>
        <v>0</v>
      </c>
      <c r="CF171" s="1259">
        <f>'Income Statement'!CF170-'Income Statement'!CF17</f>
        <v>0</v>
      </c>
      <c r="CG171" s="1258">
        <f>'Income Statement'!CG170-'Income Statement'!CG17</f>
        <v>0</v>
      </c>
      <c r="CH171" s="1260">
        <f>'Income Statement'!CH170-'Income Statement'!CH17</f>
        <v>0</v>
      </c>
      <c r="CI171" s="1259">
        <f>'Income Statement'!CI170-'Income Statement'!CI17</f>
        <v>0</v>
      </c>
      <c r="CJ171" s="1259">
        <f>'Income Statement'!CJ170-'Income Statement'!CJ17</f>
        <v>0</v>
      </c>
      <c r="CK171" s="1258">
        <f>'Income Statement'!CK170-'Income Statement'!CK17</f>
        <v>0</v>
      </c>
      <c r="CL171" s="1260">
        <f>'Income Statement'!CL170-'Income Statement'!CL17</f>
        <v>0</v>
      </c>
      <c r="CM171" s="1259">
        <f>'Income Statement'!CM170-'Income Statement'!CM17</f>
        <v>0</v>
      </c>
      <c r="CN171" s="1259">
        <f>'Income Statement'!CN170-'Income Statement'!CN17</f>
        <v>0</v>
      </c>
      <c r="CO171" s="1258">
        <f>'Income Statement'!CO170-'Income Statement'!CO17</f>
        <v>0</v>
      </c>
      <c r="CP171" s="1260">
        <f>MROUND('Income Statement'!CP170-'Income Statement'!CP17,0)</f>
        <v>0</v>
      </c>
      <c r="CQ171" s="1259">
        <f>MROUND('Income Statement'!CQ170-'Income Statement'!CQ17,0)</f>
        <v>0</v>
      </c>
      <c r="CR171" s="1259">
        <f>MROUND('Income Statement'!CR170-'Income Statement'!CR17,0)</f>
        <v>0</v>
      </c>
      <c r="CS171" s="1258">
        <f>MROUND('Income Statement'!CS170-'Income Statement'!CS17,0)</f>
        <v>0</v>
      </c>
      <c r="CT171" s="1260">
        <f>MROUND('Income Statement'!CT170-'Income Statement'!CT17,0)</f>
        <v>0</v>
      </c>
      <c r="CU171" s="1259">
        <f>MROUND('Income Statement'!CU170-'Income Statement'!CU17,0)</f>
        <v>0</v>
      </c>
      <c r="CV171" s="1259">
        <f>MROUND('Income Statement'!CV170-'Income Statement'!CV17,0)</f>
        <v>0</v>
      </c>
      <c r="CW171" s="1258">
        <f>MROUND('Income Statement'!CW170-'Income Statement'!CW17,0)</f>
        <v>0</v>
      </c>
      <c r="CX171" s="1260">
        <f>MROUND('Income Statement'!CX170-'Income Statement'!CX17,0)</f>
        <v>0</v>
      </c>
      <c r="CY171" s="1259">
        <f>MROUND('Income Statement'!CY170-'Income Statement'!CY17,0)</f>
        <v>0</v>
      </c>
      <c r="CZ171" s="1259">
        <f>MROUND('Income Statement'!CZ170-'Income Statement'!CZ17,0)</f>
        <v>0</v>
      </c>
      <c r="DA171" s="1258">
        <f>MROUND('Income Statement'!DA170-'Income Statement'!DA17,0)</f>
        <v>0</v>
      </c>
      <c r="DB171" s="1259">
        <f>MROUND('Income Statement'!DB170-'Income Statement'!DB17,0)</f>
        <v>0</v>
      </c>
      <c r="DC171" s="1259">
        <f>MROUND('Income Statement'!DC170-'Income Statement'!DC17,0)</f>
        <v>0</v>
      </c>
      <c r="DD171" s="1259">
        <f>MROUND('Income Statement'!DD170-'Income Statement'!DD17,0)</f>
        <v>0</v>
      </c>
      <c r="DE171" s="1258">
        <f>MROUND('Income Statement'!DE170-'Income Statement'!DE17,0)</f>
        <v>0</v>
      </c>
      <c r="DF171" s="1259">
        <f>MROUND('Income Statement'!DF170-'Income Statement'!DF17,0)</f>
        <v>0</v>
      </c>
      <c r="DG171" s="1259">
        <f>MROUND('Income Statement'!DG170-'Income Statement'!DG17,0)</f>
        <v>0</v>
      </c>
      <c r="DH171" s="1259">
        <f>MROUND('Income Statement'!DH170-'Income Statement'!DH17,0)</f>
        <v>0</v>
      </c>
      <c r="DI171" s="1258">
        <f>MROUND('Income Statement'!DI170-'Income Statement'!DI17,0)</f>
        <v>0</v>
      </c>
      <c r="DJ171" s="2702">
        <f>MROUND('Income Statement'!DJ170-'Income Statement'!DJ17,0)</f>
        <v>0</v>
      </c>
      <c r="DK171" s="1352">
        <f>MROUND('Income Statement'!DK170-'Income Statement'!DK17,0)</f>
        <v>0</v>
      </c>
      <c r="DL171" s="1352">
        <f>MROUND('Income Statement'!DL170-'Income Statement'!DL17,0)</f>
        <v>0</v>
      </c>
      <c r="DM171" s="2618">
        <f>MROUND('Income Statement'!DM170-'Income Statement'!DM17,0)</f>
        <v>0</v>
      </c>
      <c r="DN171" s="1260"/>
      <c r="DO171" s="1258"/>
      <c r="DP171" s="84"/>
      <c r="DQ171" s="84"/>
      <c r="DR171" s="84"/>
      <c r="DS171" s="84"/>
      <c r="DT171" s="84"/>
      <c r="DU171" s="102"/>
      <c r="DV171" s="77"/>
      <c r="DW171" s="77"/>
      <c r="DX171" s="77"/>
      <c r="DY171" s="102"/>
      <c r="DZ171" s="102"/>
      <c r="EA171" s="102"/>
      <c r="EB171" s="102"/>
      <c r="EC171" s="102"/>
      <c r="ED171" s="102"/>
      <c r="EE171" s="102"/>
      <c r="EF171" s="102"/>
      <c r="EG171" s="102"/>
      <c r="EH171" s="102"/>
      <c r="EI171" s="168"/>
      <c r="EJ171" s="168"/>
      <c r="EK171" s="168"/>
      <c r="EL171" s="168"/>
      <c r="EM171" s="168"/>
      <c r="EN171" s="168"/>
      <c r="EO171" s="1256">
        <f>'Income Statement'!EO170-'Income Statement'!EO17</f>
        <v>0</v>
      </c>
      <c r="EP171" s="1256">
        <f>'Income Statement'!EP170-'Income Statement'!EP17</f>
        <v>0</v>
      </c>
      <c r="EQ171" s="1256">
        <f>'Income Statement'!EQ170-'Income Statement'!EQ17</f>
        <v>0</v>
      </c>
      <c r="ER171" s="1256">
        <f>'Income Statement'!ER170-'Income Statement'!ER17</f>
        <v>0</v>
      </c>
      <c r="ES171" s="1256">
        <f>'Income Statement'!ES170-'Income Statement'!ES17</f>
        <v>0</v>
      </c>
      <c r="ET171" s="1257">
        <f>MROUND('Income Statement'!ET170-'Income Statement'!ET17,0)</f>
        <v>0</v>
      </c>
      <c r="EU171" s="1257">
        <f>MROUND('Income Statement'!EU170-'Income Statement'!EU17,0)</f>
        <v>0</v>
      </c>
      <c r="EV171" s="1257">
        <f>MROUND('Income Statement'!EV170-'Income Statement'!EV17,0)</f>
        <v>0</v>
      </c>
      <c r="EW171" s="1257">
        <f>MROUND('Income Statement'!EW170-'Income Statement'!EW17,0)</f>
        <v>0</v>
      </c>
      <c r="EX171" s="1257">
        <f>MROUND('Income Statement'!EX170-'Income Statement'!EX17,0)</f>
        <v>0</v>
      </c>
      <c r="EY171" s="1257">
        <f>MROUND('Income Statement'!EY170-'Income Statement'!EY17,0)</f>
        <v>0</v>
      </c>
      <c r="EZ171" s="1769">
        <f>MROUND('Income Statement'!EZ170-'Income Statement'!EZ17,0)</f>
        <v>0</v>
      </c>
      <c r="FA171" s="1256">
        <f>'Income Statement'!FA170-'Income Statement'!FA17</f>
        <v>0</v>
      </c>
      <c r="FB171" s="1256">
        <f>'Income Statement'!FB170-'Income Statement'!FB17</f>
        <v>3.4106051316484809E-12</v>
      </c>
      <c r="FC171" s="1256">
        <f>'Income Statement'!FC170-'Income Statement'!FC17</f>
        <v>5.4569682106375694E-12</v>
      </c>
      <c r="FD171" s="1256">
        <f>'Income Statement'!FD170-'Income Statement'!FD17</f>
        <v>3.1832314562052488E-12</v>
      </c>
      <c r="FE171" s="1256">
        <f>'Income Statement'!FE170-'Income Statement'!FE17</f>
        <v>-2.2737367544323206E-12</v>
      </c>
      <c r="FF171" s="1256">
        <f>'Income Statement'!FF170-'Income Statement'!FF17</f>
        <v>4.5474735088646412E-12</v>
      </c>
      <c r="FG171" s="1256">
        <f>'Income Statement'!FG170-'Income Statement'!FG17</f>
        <v>0</v>
      </c>
      <c r="FH171" s="1256">
        <f>'Income Statement'!FH170-'Income Statement'!FH17</f>
        <v>0</v>
      </c>
      <c r="FI171" s="413"/>
      <c r="FJ171"/>
      <c r="FK171"/>
      <c r="FL171"/>
      <c r="FM171"/>
      <c r="FN171"/>
      <c r="FO171"/>
      <c r="FP171" s="4"/>
      <c r="FQ171" s="4"/>
      <c r="FR171" s="4"/>
      <c r="FS171" s="1253"/>
      <c r="FT171" s="1253"/>
      <c r="FU171"/>
      <c r="FV171" s="1253"/>
      <c r="FW171" s="1253"/>
      <c r="FX171" s="1253"/>
      <c r="FY171"/>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row>
    <row r="172" spans="1:260" s="4" customFormat="1" ht="11.25" customHeight="1" collapsed="1" x14ac:dyDescent="0.2">
      <c r="A172" s="351"/>
      <c r="B172" s="3"/>
      <c r="C172" s="3"/>
      <c r="D172" s="3"/>
      <c r="E172" s="470"/>
      <c r="I172" s="470"/>
      <c r="M172" s="470"/>
      <c r="Q172" s="470"/>
      <c r="U172" s="470"/>
      <c r="Y172" s="470"/>
      <c r="AC172" s="470"/>
      <c r="AG172" s="470"/>
      <c r="AK172" s="470"/>
      <c r="AO172" s="470"/>
      <c r="AS172" s="470"/>
      <c r="AW172" s="470"/>
      <c r="BA172" s="470"/>
      <c r="BB172" s="6"/>
      <c r="BC172" s="6"/>
      <c r="BE172" s="484"/>
      <c r="BF172" s="6"/>
      <c r="BG172" s="6"/>
      <c r="BH172" s="6"/>
      <c r="BI172" s="484"/>
      <c r="BJ172" s="1875"/>
      <c r="BK172" s="1243"/>
      <c r="BL172" s="1243"/>
      <c r="BM172" s="1876"/>
      <c r="BN172" s="1875"/>
      <c r="BO172" s="1243"/>
      <c r="BP172" s="1243"/>
      <c r="BQ172" s="1876"/>
      <c r="BR172" s="1875"/>
      <c r="BS172" s="1243"/>
      <c r="BT172" s="1243"/>
      <c r="BU172" s="1876"/>
      <c r="BV172" s="1875"/>
      <c r="BW172" s="1243"/>
      <c r="BX172" s="1243"/>
      <c r="BY172" s="1876"/>
      <c r="BZ172" s="1875"/>
      <c r="CA172" s="1243"/>
      <c r="CB172" s="1243"/>
      <c r="CC172" s="1876"/>
      <c r="CD172" s="1875"/>
      <c r="CE172" s="1243"/>
      <c r="CF172" s="1243"/>
      <c r="CG172" s="1876"/>
      <c r="CH172" s="1875"/>
      <c r="CI172" s="1243"/>
      <c r="CJ172" s="1243"/>
      <c r="CK172" s="1876"/>
      <c r="CL172" s="1875"/>
      <c r="CM172" s="1243"/>
      <c r="CN172" s="1243"/>
      <c r="CO172" s="1876"/>
      <c r="CP172" s="1875"/>
      <c r="CQ172" s="1243"/>
      <c r="CR172" s="1243"/>
      <c r="CS172" s="1876"/>
      <c r="CT172" s="1875"/>
      <c r="CU172" s="1243"/>
      <c r="CV172" s="1243"/>
      <c r="CW172" s="1876"/>
      <c r="CX172" s="1875"/>
      <c r="CY172" s="1243"/>
      <c r="CZ172" s="1243"/>
      <c r="DA172" s="1876"/>
      <c r="DB172" s="769"/>
      <c r="DC172" s="769"/>
      <c r="DD172" s="769"/>
      <c r="DE172" s="770"/>
      <c r="DF172" s="769"/>
      <c r="DG172" s="769"/>
      <c r="DH172" s="769"/>
      <c r="DI172" s="770"/>
      <c r="DJ172" s="1763"/>
      <c r="DK172" s="769"/>
      <c r="DL172" s="769"/>
      <c r="DM172" s="770"/>
      <c r="DN172" s="1241"/>
      <c r="DO172" s="484"/>
      <c r="DV172" s="427"/>
      <c r="DW172" s="427"/>
      <c r="EK172" s="6"/>
      <c r="EL172" s="6"/>
      <c r="EM172" s="248"/>
      <c r="EN172" s="769"/>
      <c r="EO172" s="769"/>
      <c r="EP172" s="769"/>
      <c r="EQ172" s="769"/>
      <c r="ER172" s="769"/>
      <c r="ES172" s="769"/>
      <c r="ET172" s="769"/>
      <c r="EU172" s="769"/>
      <c r="EV172" s="769"/>
      <c r="EW172" s="769"/>
      <c r="EX172" s="769"/>
      <c r="EY172" s="769"/>
      <c r="EZ172" s="1763"/>
      <c r="FA172" s="248"/>
      <c r="FB172" s="248"/>
      <c r="FC172" s="248"/>
      <c r="FD172" s="248"/>
      <c r="FE172" s="248"/>
      <c r="FF172" s="248"/>
      <c r="FG172" s="248"/>
      <c r="FH172" s="248"/>
      <c r="FI172" s="413"/>
      <c r="FJ172"/>
      <c r="FK172"/>
      <c r="FL172"/>
      <c r="FM172"/>
      <c r="FN172"/>
      <c r="FO172"/>
      <c r="FS172"/>
      <c r="FT172"/>
      <c r="FU172"/>
      <c r="FV172" s="2636"/>
      <c r="FW172" s="2636"/>
      <c r="FX172" s="2636"/>
      <c r="FY172"/>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row>
    <row r="173" spans="1:260" s="6" customFormat="1" ht="11.25" customHeight="1" x14ac:dyDescent="0.2">
      <c r="A173" s="442" t="s">
        <v>583</v>
      </c>
      <c r="B173" s="443"/>
      <c r="C173" s="443"/>
      <c r="D173" s="443"/>
      <c r="E173" s="475"/>
      <c r="F173" s="443"/>
      <c r="G173" s="443"/>
      <c r="H173" s="443"/>
      <c r="I173" s="475"/>
      <c r="J173" s="443"/>
      <c r="K173" s="443"/>
      <c r="L173" s="443"/>
      <c r="M173" s="475"/>
      <c r="N173" s="443"/>
      <c r="O173" s="443"/>
      <c r="P173" s="443"/>
      <c r="Q173" s="475"/>
      <c r="R173" s="443"/>
      <c r="S173" s="443"/>
      <c r="T173" s="443"/>
      <c r="U173" s="475"/>
      <c r="V173" s="443"/>
      <c r="W173" s="443"/>
      <c r="X173" s="443"/>
      <c r="Y173" s="475"/>
      <c r="Z173" s="443"/>
      <c r="AA173" s="443"/>
      <c r="AB173" s="443"/>
      <c r="AC173" s="475"/>
      <c r="AD173" s="443"/>
      <c r="AE173" s="443"/>
      <c r="AF173" s="443"/>
      <c r="AG173" s="475"/>
      <c r="AH173" s="443"/>
      <c r="AI173" s="443"/>
      <c r="AJ173" s="443"/>
      <c r="AK173" s="475"/>
      <c r="AL173" s="443"/>
      <c r="AM173" s="443"/>
      <c r="AN173" s="443"/>
      <c r="AO173" s="475"/>
      <c r="AP173" s="443"/>
      <c r="AQ173" s="443"/>
      <c r="AR173" s="443"/>
      <c r="AS173" s="475"/>
      <c r="AT173" s="443"/>
      <c r="AU173" s="443"/>
      <c r="AV173" s="443"/>
      <c r="AW173" s="475"/>
      <c r="AX173" s="443"/>
      <c r="AY173" s="443"/>
      <c r="AZ173" s="443"/>
      <c r="BA173" s="475"/>
      <c r="BB173" s="443"/>
      <c r="BC173" s="443"/>
      <c r="BD173" s="443"/>
      <c r="BE173" s="475"/>
      <c r="BF173" s="443"/>
      <c r="BG173" s="443"/>
      <c r="BH173" s="443"/>
      <c r="BI173" s="475"/>
      <c r="BJ173" s="443"/>
      <c r="BK173" s="443"/>
      <c r="BL173" s="444"/>
      <c r="BM173" s="501"/>
      <c r="BN173" s="444"/>
      <c r="BO173" s="444"/>
      <c r="BP173" s="444"/>
      <c r="BQ173" s="501"/>
      <c r="BR173" s="444"/>
      <c r="BS173" s="444"/>
      <c r="BT173" s="444"/>
      <c r="BU173" s="501"/>
      <c r="BV173" s="444"/>
      <c r="BW173" s="444"/>
      <c r="BX173" s="444"/>
      <c r="BY173" s="501"/>
      <c r="BZ173" s="444"/>
      <c r="CA173" s="444"/>
      <c r="CB173" s="444"/>
      <c r="CC173" s="501"/>
      <c r="CD173" s="444"/>
      <c r="CE173" s="444"/>
      <c r="CF173" s="444"/>
      <c r="CG173" s="501"/>
      <c r="CH173" s="444"/>
      <c r="CI173" s="444"/>
      <c r="CJ173" s="444"/>
      <c r="CK173" s="501"/>
      <c r="CL173" s="444"/>
      <c r="CM173" s="444"/>
      <c r="CN173" s="444"/>
      <c r="CO173" s="501"/>
      <c r="CP173" s="444"/>
      <c r="CQ173" s="444"/>
      <c r="CR173" s="444"/>
      <c r="CS173" s="501"/>
      <c r="CT173" s="444"/>
      <c r="CU173" s="444"/>
      <c r="CV173" s="444"/>
      <c r="CW173" s="501"/>
      <c r="CX173" s="444"/>
      <c r="CY173" s="1228"/>
      <c r="CZ173" s="444"/>
      <c r="DA173" s="501"/>
      <c r="DB173" s="444"/>
      <c r="DC173" s="444"/>
      <c r="DD173" s="443"/>
      <c r="DE173" s="475"/>
      <c r="DF173" s="444"/>
      <c r="DG173" s="444"/>
      <c r="DH173" s="444"/>
      <c r="DI173" s="475"/>
      <c r="DJ173" s="1793"/>
      <c r="DK173" s="597"/>
      <c r="DL173" s="597"/>
      <c r="DM173" s="1261"/>
      <c r="DN173" s="977"/>
      <c r="DO173" s="484"/>
      <c r="DP173" s="442"/>
      <c r="DQ173" s="442"/>
      <c r="DR173" s="442"/>
      <c r="DS173" s="442"/>
      <c r="DT173" s="442"/>
      <c r="DU173" s="442"/>
      <c r="DV173" s="442"/>
      <c r="DW173" s="442"/>
      <c r="DX173" s="443"/>
      <c r="DY173" s="443"/>
      <c r="DZ173" s="443"/>
      <c r="EA173" s="443"/>
      <c r="EB173" s="443"/>
      <c r="EC173" s="443"/>
      <c r="ED173" s="443"/>
      <c r="EE173" s="443"/>
      <c r="EF173" s="443"/>
      <c r="EG173" s="443"/>
      <c r="EH173" s="443"/>
      <c r="EI173" s="443"/>
      <c r="EJ173" s="443"/>
      <c r="EK173" s="443"/>
      <c r="EL173" s="443"/>
      <c r="EM173" s="444"/>
      <c r="EN173" s="443"/>
      <c r="EO173" s="443"/>
      <c r="EP173" s="443"/>
      <c r="EQ173" s="443"/>
      <c r="ER173" s="444"/>
      <c r="ES173" s="443"/>
      <c r="ET173" s="443"/>
      <c r="EU173" s="443"/>
      <c r="EV173" s="443"/>
      <c r="EW173" s="443"/>
      <c r="EX173" s="443"/>
      <c r="EY173" s="443"/>
      <c r="EZ173" s="1770"/>
      <c r="FA173" s="442"/>
      <c r="FB173" s="442"/>
      <c r="FC173" s="442"/>
      <c r="FD173" s="442"/>
      <c r="FE173" s="442"/>
      <c r="FF173" s="442"/>
      <c r="FG173" s="442"/>
      <c r="FH173" s="442"/>
      <c r="FI173" s="1098"/>
      <c r="FJ173"/>
      <c r="FK173"/>
      <c r="FL173"/>
      <c r="FM173"/>
      <c r="FN173"/>
      <c r="FO173"/>
      <c r="FP173" s="1099"/>
      <c r="FQ173" s="4"/>
      <c r="FR173" s="4"/>
      <c r="FS173" s="236"/>
      <c r="FT173" s="236"/>
      <c r="FU173"/>
      <c r="FV173" s="236"/>
      <c r="FW173" s="236"/>
      <c r="FX173" s="236"/>
      <c r="FY173"/>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row>
    <row r="174" spans="1:260" s="6" customFormat="1" ht="11.25" customHeight="1" x14ac:dyDescent="0.2">
      <c r="A174" s="236"/>
      <c r="B174" s="181"/>
      <c r="C174" s="181"/>
      <c r="D174" s="181"/>
      <c r="E174" s="476"/>
      <c r="F174" s="181"/>
      <c r="G174" s="181"/>
      <c r="H174" s="181"/>
      <c r="I174" s="476"/>
      <c r="J174" s="181"/>
      <c r="K174" s="181"/>
      <c r="L174" s="181"/>
      <c r="M174" s="476"/>
      <c r="N174" s="181"/>
      <c r="O174" s="181"/>
      <c r="P174" s="181"/>
      <c r="Q174" s="476"/>
      <c r="R174" s="181"/>
      <c r="S174" s="181"/>
      <c r="T174" s="181"/>
      <c r="U174" s="476"/>
      <c r="V174" s="181"/>
      <c r="W174" s="181"/>
      <c r="X174" s="181"/>
      <c r="Y174" s="476"/>
      <c r="Z174" s="181"/>
      <c r="AA174" s="181"/>
      <c r="AB174" s="181"/>
      <c r="AC174" s="476"/>
      <c r="AD174" s="181"/>
      <c r="AE174" s="181"/>
      <c r="AF174" s="181"/>
      <c r="AG174" s="476"/>
      <c r="AH174" s="181"/>
      <c r="AI174" s="181"/>
      <c r="AJ174" s="181"/>
      <c r="AK174" s="476"/>
      <c r="AL174" s="181"/>
      <c r="AM174" s="181"/>
      <c r="AN174" s="181"/>
      <c r="AO174" s="476"/>
      <c r="AP174" s="181"/>
      <c r="AQ174" s="181"/>
      <c r="AR174" s="181"/>
      <c r="AS174" s="476"/>
      <c r="AT174" s="181"/>
      <c r="AU174" s="181"/>
      <c r="AV174" s="181"/>
      <c r="AW174" s="476"/>
      <c r="AX174" s="181"/>
      <c r="AY174" s="181"/>
      <c r="AZ174" s="181"/>
      <c r="BA174" s="476"/>
      <c r="BB174" s="181"/>
      <c r="BC174" s="181"/>
      <c r="BD174" s="181"/>
      <c r="BE174" s="476"/>
      <c r="BF174" s="181"/>
      <c r="BG174" s="181"/>
      <c r="BH174" s="181"/>
      <c r="BI174" s="476"/>
      <c r="BJ174" s="181"/>
      <c r="BK174" s="181"/>
      <c r="BL174" s="207"/>
      <c r="BM174" s="502"/>
      <c r="BN174" s="207"/>
      <c r="BO174" s="207"/>
      <c r="BP174" s="207"/>
      <c r="BQ174" s="502"/>
      <c r="BR174" s="207"/>
      <c r="BS174" s="207"/>
      <c r="BT174" s="207"/>
      <c r="BU174" s="502"/>
      <c r="BV174" s="207"/>
      <c r="BW174" s="207"/>
      <c r="BX174" s="207"/>
      <c r="BY174" s="502"/>
      <c r="BZ174" s="207"/>
      <c r="CA174" s="207"/>
      <c r="CB174" s="207"/>
      <c r="CC174" s="502"/>
      <c r="CD174" s="207"/>
      <c r="CE174" s="207"/>
      <c r="CF174" s="207"/>
      <c r="CG174" s="502"/>
      <c r="CH174" s="207"/>
      <c r="CI174" s="207"/>
      <c r="CJ174" s="207"/>
      <c r="CK174" s="502"/>
      <c r="CL174" s="207"/>
      <c r="CM174" s="207"/>
      <c r="CN174" s="207"/>
      <c r="CO174" s="502"/>
      <c r="CP174" s="207"/>
      <c r="CQ174" s="207"/>
      <c r="CR174" s="207"/>
      <c r="CS174" s="502"/>
      <c r="CT174" s="207"/>
      <c r="CU174" s="207"/>
      <c r="CV174" s="207"/>
      <c r="CW174" s="502"/>
      <c r="CX174" s="207"/>
      <c r="CY174" s="207"/>
      <c r="CZ174" s="207"/>
      <c r="DA174" s="502"/>
      <c r="DB174" s="207"/>
      <c r="DC174" s="207"/>
      <c r="DD174" s="181"/>
      <c r="DE174" s="476"/>
      <c r="DF174" s="2474"/>
      <c r="DG174" s="2474"/>
      <c r="DH174" s="2474"/>
      <c r="DI174" s="476"/>
      <c r="DJ174" s="2703"/>
      <c r="DK174" s="2042"/>
      <c r="DL174" s="2042"/>
      <c r="DM174" s="2619"/>
      <c r="DN174" s="977"/>
      <c r="DO174" s="484"/>
      <c r="DP174" s="236"/>
      <c r="DQ174" s="236"/>
      <c r="DR174" s="236"/>
      <c r="DS174" s="236"/>
      <c r="DT174" s="236"/>
      <c r="DU174" s="236"/>
      <c r="DV174" s="236"/>
      <c r="DW174" s="236"/>
      <c r="DX174" s="181"/>
      <c r="DY174" s="181"/>
      <c r="DZ174" s="181"/>
      <c r="EA174" s="181"/>
      <c r="EB174" s="181"/>
      <c r="EC174" s="181"/>
      <c r="ED174" s="181"/>
      <c r="EE174" s="181"/>
      <c r="EF174" s="181"/>
      <c r="EG174" s="181"/>
      <c r="EH174" s="181"/>
      <c r="EI174" s="181"/>
      <c r="EJ174" s="181"/>
      <c r="EK174" s="181"/>
      <c r="EL174" s="181"/>
      <c r="EM174" s="207"/>
      <c r="EN174" s="181"/>
      <c r="EO174" s="181"/>
      <c r="EP174" s="181"/>
      <c r="EQ174" s="181"/>
      <c r="ER174" s="207"/>
      <c r="ES174" s="181"/>
      <c r="ET174" s="181"/>
      <c r="EU174" s="181"/>
      <c r="EV174" s="181"/>
      <c r="EW174" s="181"/>
      <c r="EX174" s="181"/>
      <c r="EY174" s="181"/>
      <c r="EZ174" s="1771"/>
      <c r="FA174" s="236"/>
      <c r="FB174" s="236"/>
      <c r="FC174" s="236"/>
      <c r="FD174" s="236"/>
      <c r="FE174" s="236"/>
      <c r="FF174" s="236"/>
      <c r="FG174" s="236"/>
      <c r="FH174" s="236"/>
      <c r="FI174" s="671"/>
      <c r="FJ174"/>
      <c r="FK174"/>
      <c r="FL174"/>
      <c r="FM174"/>
      <c r="FN174"/>
      <c r="FO174"/>
      <c r="FQ174" s="4"/>
      <c r="FR174" s="4"/>
      <c r="FS174" s="236"/>
      <c r="FT174" s="236"/>
      <c r="FU174"/>
      <c r="FV174" s="236"/>
      <c r="FW174" s="236"/>
      <c r="FX174" s="236"/>
      <c r="FY174"/>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row>
    <row r="175" spans="1:260" s="6" customFormat="1" ht="11.25" customHeight="1" x14ac:dyDescent="0.2">
      <c r="A175" s="287" t="s">
        <v>18</v>
      </c>
      <c r="B175" s="181"/>
      <c r="C175" s="181"/>
      <c r="D175" s="181"/>
      <c r="E175" s="476"/>
      <c r="F175" s="213" t="s">
        <v>483</v>
      </c>
      <c r="G175" s="213" t="s">
        <v>483</v>
      </c>
      <c r="H175" s="213" t="s">
        <v>483</v>
      </c>
      <c r="I175" s="490" t="s">
        <v>483</v>
      </c>
      <c r="J175" s="213" t="s">
        <v>483</v>
      </c>
      <c r="K175" s="213" t="s">
        <v>483</v>
      </c>
      <c r="L175" s="213" t="s">
        <v>483</v>
      </c>
      <c r="M175" s="490" t="s">
        <v>483</v>
      </c>
      <c r="N175" s="213" t="s">
        <v>483</v>
      </c>
      <c r="O175" s="213" t="s">
        <v>483</v>
      </c>
      <c r="P175" s="213" t="s">
        <v>483</v>
      </c>
      <c r="Q175" s="490" t="s">
        <v>483</v>
      </c>
      <c r="R175" s="213" t="s">
        <v>483</v>
      </c>
      <c r="S175" s="213" t="s">
        <v>483</v>
      </c>
      <c r="T175" s="213" t="s">
        <v>483</v>
      </c>
      <c r="U175" s="490" t="s">
        <v>483</v>
      </c>
      <c r="V175" s="213" t="s">
        <v>483</v>
      </c>
      <c r="W175" s="213" t="s">
        <v>483</v>
      </c>
      <c r="X175" s="213" t="s">
        <v>483</v>
      </c>
      <c r="Y175" s="490" t="s">
        <v>483</v>
      </c>
      <c r="Z175" s="213" t="s">
        <v>483</v>
      </c>
      <c r="AA175" s="213" t="s">
        <v>483</v>
      </c>
      <c r="AB175" s="213" t="s">
        <v>483</v>
      </c>
      <c r="AC175" s="490" t="s">
        <v>483</v>
      </c>
      <c r="AD175" s="213" t="s">
        <v>483</v>
      </c>
      <c r="AE175" s="213" t="s">
        <v>483</v>
      </c>
      <c r="AF175" s="213" t="s">
        <v>483</v>
      </c>
      <c r="AG175" s="490" t="s">
        <v>483</v>
      </c>
      <c r="AH175" s="213" t="s">
        <v>483</v>
      </c>
      <c r="AI175" s="213" t="s">
        <v>483</v>
      </c>
      <c r="AJ175" s="213" t="s">
        <v>483</v>
      </c>
      <c r="AK175" s="490" t="s">
        <v>483</v>
      </c>
      <c r="AL175" s="213" t="s">
        <v>483</v>
      </c>
      <c r="AM175" s="213" t="s">
        <v>483</v>
      </c>
      <c r="AN175" s="213" t="s">
        <v>483</v>
      </c>
      <c r="AO175" s="490" t="s">
        <v>483</v>
      </c>
      <c r="AP175" s="213" t="s">
        <v>483</v>
      </c>
      <c r="AQ175" s="213" t="s">
        <v>483</v>
      </c>
      <c r="AR175" s="213" t="s">
        <v>483</v>
      </c>
      <c r="AS175" s="490" t="s">
        <v>483</v>
      </c>
      <c r="AT175" s="213" t="s">
        <v>483</v>
      </c>
      <c r="AU175" s="213" t="s">
        <v>483</v>
      </c>
      <c r="AV175" s="213" t="s">
        <v>483</v>
      </c>
      <c r="AW175" s="490" t="s">
        <v>483</v>
      </c>
      <c r="AX175" s="77">
        <f>AX151/AX147</f>
        <v>0.74310087399854341</v>
      </c>
      <c r="AY175" s="77">
        <f t="shared" ref="AY175:CC175" si="558">AY151/AY147</f>
        <v>0.74278722694680677</v>
      </c>
      <c r="AZ175" s="77">
        <f t="shared" si="558"/>
        <v>0.75250603154964424</v>
      </c>
      <c r="BA175" s="487">
        <f t="shared" si="558"/>
        <v>0.7477602122015915</v>
      </c>
      <c r="BB175" s="77">
        <f t="shared" si="558"/>
        <v>0.74383284647841608</v>
      </c>
      <c r="BC175" s="77">
        <f t="shared" si="558"/>
        <v>0.74551004380003016</v>
      </c>
      <c r="BD175" s="77">
        <f t="shared" si="558"/>
        <v>0.75989530988274701</v>
      </c>
      <c r="BE175" s="487">
        <f t="shared" si="558"/>
        <v>0.7540734391916275</v>
      </c>
      <c r="BF175" s="77">
        <f t="shared" si="558"/>
        <v>0.75408368138424831</v>
      </c>
      <c r="BG175" s="77">
        <f t="shared" si="558"/>
        <v>0.74874094553497372</v>
      </c>
      <c r="BH175" s="77">
        <f t="shared" si="558"/>
        <v>0.75843675359493057</v>
      </c>
      <c r="BI175" s="487">
        <f t="shared" si="558"/>
        <v>0.75759173819742476</v>
      </c>
      <c r="BJ175" s="77">
        <f t="shared" si="558"/>
        <v>0.75567033409365358</v>
      </c>
      <c r="BK175" s="77">
        <f t="shared" si="558"/>
        <v>0.75092634944055081</v>
      </c>
      <c r="BL175" s="77">
        <f t="shared" si="558"/>
        <v>0.7561425085407516</v>
      </c>
      <c r="BM175" s="487">
        <f t="shared" si="558"/>
        <v>0.75422501771793049</v>
      </c>
      <c r="BN175" s="77">
        <f t="shared" si="558"/>
        <v>0.74899667774086376</v>
      </c>
      <c r="BO175" s="77">
        <f t="shared" si="558"/>
        <v>0.75698090403674168</v>
      </c>
      <c r="BP175" s="77">
        <f t="shared" si="558"/>
        <v>0.75855133803605412</v>
      </c>
      <c r="BQ175" s="487">
        <f t="shared" si="558"/>
        <v>0.76407549268912911</v>
      </c>
      <c r="BR175" s="77">
        <f t="shared" si="558"/>
        <v>0.74255105389372711</v>
      </c>
      <c r="BS175" s="77">
        <f t="shared" si="558"/>
        <v>0.7421963015647226</v>
      </c>
      <c r="BT175" s="77">
        <f t="shared" si="558"/>
        <v>0.74952468427095298</v>
      </c>
      <c r="BU175" s="487">
        <f t="shared" si="558"/>
        <v>0.75424783362218362</v>
      </c>
      <c r="BV175" s="77">
        <f t="shared" si="558"/>
        <v>0.74932930398269504</v>
      </c>
      <c r="BW175" s="77">
        <f t="shared" si="558"/>
        <v>0.74721982914210083</v>
      </c>
      <c r="BX175" s="77">
        <f t="shared" si="558"/>
        <v>0.76270568373663472</v>
      </c>
      <c r="BY175" s="487">
        <f t="shared" si="558"/>
        <v>0.75918690476190487</v>
      </c>
      <c r="BZ175" s="77">
        <f t="shared" si="558"/>
        <v>0.7512630713194689</v>
      </c>
      <c r="CA175" s="77">
        <f t="shared" si="558"/>
        <v>0.7411117898594991</v>
      </c>
      <c r="CB175" s="77">
        <f t="shared" si="558"/>
        <v>0.737087427563618</v>
      </c>
      <c r="CC175" s="487">
        <f t="shared" si="558"/>
        <v>0.7645706129569424</v>
      </c>
      <c r="CD175" s="77">
        <f t="shared" ref="CD175:CV175" si="559">CD151/CD147</f>
        <v>0.74416110581506201</v>
      </c>
      <c r="CE175" s="77">
        <f t="shared" si="559"/>
        <v>0.74601980694496683</v>
      </c>
      <c r="CF175" s="77">
        <f t="shared" si="559"/>
        <v>0.74761018001241464</v>
      </c>
      <c r="CG175" s="487">
        <f t="shared" si="559"/>
        <v>0.77517285226098709</v>
      </c>
      <c r="CH175" s="77">
        <f t="shared" si="559"/>
        <v>0.74688279301745641</v>
      </c>
      <c r="CI175" s="77">
        <f t="shared" si="559"/>
        <v>0.75701653210303732</v>
      </c>
      <c r="CJ175" s="77">
        <f t="shared" si="559"/>
        <v>0.75824319040792387</v>
      </c>
      <c r="CK175" s="487">
        <f t="shared" si="559"/>
        <v>0.77609561752988043</v>
      </c>
      <c r="CL175" s="77">
        <f t="shared" si="559"/>
        <v>0.74688279301745641</v>
      </c>
      <c r="CM175" s="77">
        <f t="shared" si="559"/>
        <v>0.75701653210303732</v>
      </c>
      <c r="CN175" s="77">
        <f t="shared" si="559"/>
        <v>0.75824319040792387</v>
      </c>
      <c r="CO175" s="487">
        <f t="shared" si="559"/>
        <v>0.77609561752988043</v>
      </c>
      <c r="CP175" s="77">
        <f t="shared" si="559"/>
        <v>0.76604580921218224</v>
      </c>
      <c r="CQ175" s="77">
        <f t="shared" si="559"/>
        <v>0.76064308681672022</v>
      </c>
      <c r="CR175" s="77">
        <f t="shared" si="559"/>
        <v>0.76497695852534564</v>
      </c>
      <c r="CS175" s="487">
        <f t="shared" si="559"/>
        <v>0.80045535859489347</v>
      </c>
      <c r="CT175" s="77">
        <f t="shared" si="559"/>
        <v>0.77342243927515741</v>
      </c>
      <c r="CU175" s="77">
        <f t="shared" si="559"/>
        <v>0.76558998022412661</v>
      </c>
      <c r="CV175" s="77">
        <f t="shared" si="559"/>
        <v>0.76964464464464466</v>
      </c>
      <c r="CW175" s="487">
        <f t="shared" ref="CW175:DI175" si="560">CW151/CW147</f>
        <v>0.7875088603607151</v>
      </c>
      <c r="CX175" s="77">
        <f t="shared" si="560"/>
        <v>0.77084917617237014</v>
      </c>
      <c r="CY175" s="70">
        <f t="shared" si="560"/>
        <v>0.75425234831175425</v>
      </c>
      <c r="CZ175" s="77">
        <f t="shared" si="560"/>
        <v>0.75920889987639062</v>
      </c>
      <c r="DA175" s="487">
        <f t="shared" si="560"/>
        <v>0.78380107140001598</v>
      </c>
      <c r="DB175" s="77">
        <f t="shared" si="560"/>
        <v>0.7697023885553711</v>
      </c>
      <c r="DC175" s="77">
        <f t="shared" si="560"/>
        <v>0.75979211560400561</v>
      </c>
      <c r="DD175" s="70">
        <f t="shared" si="560"/>
        <v>0.75341796875</v>
      </c>
      <c r="DE175" s="487">
        <f t="shared" si="560"/>
        <v>0.77719241368130976</v>
      </c>
      <c r="DF175" s="70">
        <f t="shared" si="560"/>
        <v>0.76352376137512634</v>
      </c>
      <c r="DG175" s="70">
        <f t="shared" ref="DG175" si="561">DG151/DG147</f>
        <v>0.76003384912959382</v>
      </c>
      <c r="DH175" s="70">
        <f t="shared" si="560"/>
        <v>0.75315039453539045</v>
      </c>
      <c r="DI175" s="487">
        <f t="shared" si="560"/>
        <v>0.77743619074855219</v>
      </c>
      <c r="DJ175" s="1673">
        <f t="shared" ref="DJ175:DK175" si="562">DJ151/DJ147</f>
        <v>0.76500000000000001</v>
      </c>
      <c r="DK175" s="70">
        <f t="shared" si="562"/>
        <v>0.76100000000000001</v>
      </c>
      <c r="DL175" s="70">
        <f t="shared" ref="DL175:DM175" si="563">DL151/DL147</f>
        <v>0.75400000000000011</v>
      </c>
      <c r="DM175" s="487">
        <f t="shared" si="563"/>
        <v>0.77749999999999997</v>
      </c>
      <c r="DN175" s="580"/>
      <c r="DO175" s="484"/>
      <c r="DP175" s="236"/>
      <c r="DQ175" s="236"/>
      <c r="DR175" s="236"/>
      <c r="DS175" s="236"/>
      <c r="DT175" s="236"/>
      <c r="DU175" s="236"/>
      <c r="DV175" s="236"/>
      <c r="DW175" s="236"/>
      <c r="DX175" s="181"/>
      <c r="DY175" s="181"/>
      <c r="DZ175" s="181"/>
      <c r="EA175" s="181"/>
      <c r="EB175" s="181"/>
      <c r="EC175" s="181"/>
      <c r="ED175" s="181"/>
      <c r="EE175" s="181"/>
      <c r="EF175" s="181"/>
      <c r="EG175" s="181"/>
      <c r="EH175" s="181"/>
      <c r="EI175" s="77">
        <f>EI151/EI147</f>
        <v>0.76192720181995444</v>
      </c>
      <c r="EJ175" s="77">
        <f t="shared" ref="EJ175:FC175" si="564">EJ151/EJ147</f>
        <v>0.74685715850986123</v>
      </c>
      <c r="EK175" s="77">
        <f t="shared" si="564"/>
        <v>0.75155683026650766</v>
      </c>
      <c r="EL175" s="77">
        <f t="shared" si="564"/>
        <v>0.75517303768602972</v>
      </c>
      <c r="EM175" s="77">
        <f t="shared" si="564"/>
        <v>0.75421531223267746</v>
      </c>
      <c r="EN175" s="77">
        <f t="shared" si="564"/>
        <v>0.75813925068338961</v>
      </c>
      <c r="EO175" s="77">
        <f t="shared" si="564"/>
        <v>0.74791537137632447</v>
      </c>
      <c r="EP175" s="77">
        <f t="shared" si="564"/>
        <v>0.75531849687956443</v>
      </c>
      <c r="EQ175" s="77">
        <f t="shared" si="564"/>
        <v>0.75051684789904682</v>
      </c>
      <c r="ER175" s="77">
        <f t="shared" si="564"/>
        <v>0.75585700002702194</v>
      </c>
      <c r="ES175" s="77">
        <f t="shared" si="564"/>
        <v>0.76134389926183244</v>
      </c>
      <c r="ET175" s="77">
        <f t="shared" si="564"/>
        <v>0.76134389926183244</v>
      </c>
      <c r="EU175" s="77">
        <f t="shared" si="564"/>
        <v>0.77645055957132092</v>
      </c>
      <c r="EV175" s="77">
        <f t="shared" si="564"/>
        <v>0.7758979337123838</v>
      </c>
      <c r="EW175" s="77">
        <f t="shared" ref="EW175:EY176" si="565">EW151/EW147</f>
        <v>0.76911865805032309</v>
      </c>
      <c r="EX175" s="77">
        <f t="shared" si="565"/>
        <v>0.76641469874199952</v>
      </c>
      <c r="EY175" s="77">
        <f t="shared" si="565"/>
        <v>0.76553204697118615</v>
      </c>
      <c r="EZ175" s="1680">
        <f t="shared" ref="EZ175" si="566">EZ151/EZ147</f>
        <v>0.76616414013841205</v>
      </c>
      <c r="FA175" s="77">
        <f t="shared" si="564"/>
        <v>0.76670000000000005</v>
      </c>
      <c r="FB175" s="77">
        <f t="shared" si="564"/>
        <v>0.76639999999999997</v>
      </c>
      <c r="FC175" s="77">
        <f t="shared" si="564"/>
        <v>0.76690000000000003</v>
      </c>
      <c r="FD175" s="77">
        <f t="shared" ref="FD175:FH176" si="567">FD151/FD147</f>
        <v>0.76740000000000008</v>
      </c>
      <c r="FE175" s="77">
        <f t="shared" si="567"/>
        <v>0.76790000000000003</v>
      </c>
      <c r="FF175" s="77">
        <f t="shared" si="567"/>
        <v>0.76839999999999997</v>
      </c>
      <c r="FG175" s="77">
        <f t="shared" si="567"/>
        <v>0.76890000000000003</v>
      </c>
      <c r="FH175" s="77">
        <f t="shared" si="567"/>
        <v>0.76939999999999997</v>
      </c>
      <c r="FI175" s="671"/>
      <c r="FJ175"/>
      <c r="FK175"/>
      <c r="FL175"/>
      <c r="FM175"/>
      <c r="FN175"/>
      <c r="FO175"/>
      <c r="FQ175" s="4"/>
      <c r="FR175" s="4"/>
      <c r="FS175" s="70"/>
      <c r="FT175" s="70"/>
      <c r="FU175"/>
      <c r="FV175" s="70"/>
      <c r="FW175" s="70"/>
      <c r="FX175" s="70"/>
      <c r="FY175"/>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row>
    <row r="176" spans="1:260" s="6" customFormat="1" ht="11.25" customHeight="1" x14ac:dyDescent="0.2">
      <c r="A176" s="287" t="s">
        <v>22</v>
      </c>
      <c r="B176" s="181"/>
      <c r="C176" s="181"/>
      <c r="D176" s="181"/>
      <c r="E176" s="476"/>
      <c r="F176" s="213" t="s">
        <v>483</v>
      </c>
      <c r="G176" s="213" t="s">
        <v>483</v>
      </c>
      <c r="H176" s="213" t="s">
        <v>483</v>
      </c>
      <c r="I176" s="490" t="s">
        <v>483</v>
      </c>
      <c r="J176" s="213" t="s">
        <v>483</v>
      </c>
      <c r="K176" s="213" t="s">
        <v>483</v>
      </c>
      <c r="L176" s="213" t="s">
        <v>483</v>
      </c>
      <c r="M176" s="490" t="s">
        <v>483</v>
      </c>
      <c r="N176" s="213" t="s">
        <v>483</v>
      </c>
      <c r="O176" s="213" t="s">
        <v>483</v>
      </c>
      <c r="P176" s="213" t="s">
        <v>483</v>
      </c>
      <c r="Q176" s="490" t="s">
        <v>483</v>
      </c>
      <c r="R176" s="213" t="s">
        <v>483</v>
      </c>
      <c r="S176" s="213" t="s">
        <v>483</v>
      </c>
      <c r="T176" s="213" t="s">
        <v>483</v>
      </c>
      <c r="U176" s="490" t="s">
        <v>483</v>
      </c>
      <c r="V176" s="213" t="s">
        <v>483</v>
      </c>
      <c r="W176" s="213" t="s">
        <v>483</v>
      </c>
      <c r="X176" s="213" t="s">
        <v>483</v>
      </c>
      <c r="Y176" s="490" t="s">
        <v>483</v>
      </c>
      <c r="Z176" s="213" t="s">
        <v>483</v>
      </c>
      <c r="AA176" s="213" t="s">
        <v>483</v>
      </c>
      <c r="AB176" s="213" t="s">
        <v>483</v>
      </c>
      <c r="AC176" s="490" t="s">
        <v>483</v>
      </c>
      <c r="AD176" s="213" t="s">
        <v>483</v>
      </c>
      <c r="AE176" s="213" t="s">
        <v>483</v>
      </c>
      <c r="AF176" s="213" t="s">
        <v>483</v>
      </c>
      <c r="AG176" s="490" t="s">
        <v>483</v>
      </c>
      <c r="AH176" s="213" t="s">
        <v>483</v>
      </c>
      <c r="AI176" s="213" t="s">
        <v>483</v>
      </c>
      <c r="AJ176" s="213" t="s">
        <v>483</v>
      </c>
      <c r="AK176" s="490" t="s">
        <v>483</v>
      </c>
      <c r="AL176" s="213" t="s">
        <v>483</v>
      </c>
      <c r="AM176" s="213" t="s">
        <v>483</v>
      </c>
      <c r="AN176" s="213" t="s">
        <v>483</v>
      </c>
      <c r="AO176" s="490" t="s">
        <v>483</v>
      </c>
      <c r="AP176" s="213" t="s">
        <v>483</v>
      </c>
      <c r="AQ176" s="213" t="s">
        <v>483</v>
      </c>
      <c r="AR176" s="213" t="s">
        <v>483</v>
      </c>
      <c r="AS176" s="490" t="s">
        <v>483</v>
      </c>
      <c r="AT176" s="213" t="s">
        <v>483</v>
      </c>
      <c r="AU176" s="213" t="s">
        <v>483</v>
      </c>
      <c r="AV176" s="213" t="s">
        <v>483</v>
      </c>
      <c r="AW176" s="490" t="s">
        <v>483</v>
      </c>
      <c r="AX176" s="77">
        <f t="shared" ref="AX176:CC176" si="568">AX152/AX148</f>
        <v>0.76500000000000001</v>
      </c>
      <c r="AY176" s="77">
        <f t="shared" si="568"/>
        <v>0.76100000000000001</v>
      </c>
      <c r="AZ176" s="77">
        <f t="shared" si="568"/>
        <v>0.78400000000000003</v>
      </c>
      <c r="BA176" s="487">
        <f t="shared" si="568"/>
        <v>0.77</v>
      </c>
      <c r="BB176" s="77">
        <f t="shared" si="568"/>
        <v>0.7659999999999999</v>
      </c>
      <c r="BC176" s="77">
        <f t="shared" si="568"/>
        <v>0.77900000000000003</v>
      </c>
      <c r="BD176" s="77">
        <f t="shared" si="568"/>
        <v>0.79000000000000015</v>
      </c>
      <c r="BE176" s="487">
        <f t="shared" si="568"/>
        <v>0.78999999999999992</v>
      </c>
      <c r="BF176" s="77">
        <f t="shared" si="568"/>
        <v>0.80100000000000005</v>
      </c>
      <c r="BG176" s="77">
        <f t="shared" si="568"/>
        <v>0.78799999999999992</v>
      </c>
      <c r="BH176" s="77">
        <f t="shared" si="568"/>
        <v>0.79400000000000004</v>
      </c>
      <c r="BI176" s="487">
        <f t="shared" si="568"/>
        <v>0.79100000000000004</v>
      </c>
      <c r="BJ176" s="77">
        <f t="shared" si="568"/>
        <v>0.79700000000000004</v>
      </c>
      <c r="BK176" s="77">
        <f t="shared" si="568"/>
        <v>0.78699999999999992</v>
      </c>
      <c r="BL176" s="77">
        <f t="shared" si="568"/>
        <v>0.73899999999999999</v>
      </c>
      <c r="BM176" s="487">
        <f t="shared" si="568"/>
        <v>0.753</v>
      </c>
      <c r="BN176" s="77">
        <f t="shared" si="568"/>
        <v>0.74</v>
      </c>
      <c r="BO176" s="77">
        <f t="shared" si="568"/>
        <v>0.75499999999999989</v>
      </c>
      <c r="BP176" s="77">
        <f t="shared" si="568"/>
        <v>0.746</v>
      </c>
      <c r="BQ176" s="487">
        <f t="shared" si="568"/>
        <v>0.746</v>
      </c>
      <c r="BR176" s="77">
        <f t="shared" si="568"/>
        <v>0.73699999999999999</v>
      </c>
      <c r="BS176" s="77">
        <f t="shared" si="568"/>
        <v>0.74399999999999999</v>
      </c>
      <c r="BT176" s="77">
        <f t="shared" si="568"/>
        <v>0.748</v>
      </c>
      <c r="BU176" s="487">
        <f t="shared" si="568"/>
        <v>0.76100000000000001</v>
      </c>
      <c r="BV176" s="77">
        <f t="shared" si="568"/>
        <v>0.74099999999999988</v>
      </c>
      <c r="BW176" s="77">
        <f t="shared" si="568"/>
        <v>0.74599999999999989</v>
      </c>
      <c r="BX176" s="77">
        <f t="shared" si="568"/>
        <v>0.74</v>
      </c>
      <c r="BY176" s="487">
        <f t="shared" si="568"/>
        <v>0.74149999999999994</v>
      </c>
      <c r="BZ176" s="77">
        <f t="shared" si="568"/>
        <v>0.73745997865528279</v>
      </c>
      <c r="CA176" s="77">
        <f t="shared" si="568"/>
        <v>0.73978652926021349</v>
      </c>
      <c r="CB176" s="77">
        <f t="shared" si="568"/>
        <v>0.74104502136049955</v>
      </c>
      <c r="CC176" s="487">
        <f t="shared" si="568"/>
        <v>0.75526186979931476</v>
      </c>
      <c r="CD176" s="77">
        <f t="shared" ref="CD176:CV176" si="569">CD152/CD148</f>
        <v>0.74000671817265706</v>
      </c>
      <c r="CE176" s="77">
        <f t="shared" si="569"/>
        <v>0.74435567905522748</v>
      </c>
      <c r="CF176" s="77">
        <f t="shared" si="569"/>
        <v>0.7346278317152104</v>
      </c>
      <c r="CG176" s="487">
        <f t="shared" si="569"/>
        <v>0.74461839530332685</v>
      </c>
      <c r="CH176" s="77">
        <f t="shared" si="569"/>
        <v>0.75824964131994266</v>
      </c>
      <c r="CI176" s="77">
        <f t="shared" si="569"/>
        <v>0.7565597667638484</v>
      </c>
      <c r="CJ176" s="77">
        <f t="shared" si="569"/>
        <v>0.76266233766233771</v>
      </c>
      <c r="CK176" s="487">
        <f t="shared" si="569"/>
        <v>0.76640230713770729</v>
      </c>
      <c r="CL176" s="77">
        <f t="shared" si="569"/>
        <v>0.77369439071566726</v>
      </c>
      <c r="CM176" s="77">
        <f t="shared" si="569"/>
        <v>0.76236979166666663</v>
      </c>
      <c r="CN176" s="77">
        <f t="shared" si="569"/>
        <v>0.78161592505854804</v>
      </c>
      <c r="CO176" s="487">
        <f t="shared" si="569"/>
        <v>0.77726894254787682</v>
      </c>
      <c r="CP176" s="77">
        <f t="shared" si="569"/>
        <v>0.74949083503054992</v>
      </c>
      <c r="CQ176" s="77">
        <f t="shared" si="569"/>
        <v>0.7413972888425443</v>
      </c>
      <c r="CR176" s="77">
        <f t="shared" si="569"/>
        <v>0.76888489208633093</v>
      </c>
      <c r="CS176" s="487">
        <f t="shared" si="569"/>
        <v>0.78343949044585992</v>
      </c>
      <c r="CT176" s="77">
        <f t="shared" si="569"/>
        <v>0.76223776223776218</v>
      </c>
      <c r="CU176" s="77">
        <f t="shared" si="569"/>
        <v>0.77116704805491987</v>
      </c>
      <c r="CV176" s="77">
        <f t="shared" si="569"/>
        <v>0.77403846153846156</v>
      </c>
      <c r="CW176" s="487">
        <f t="shared" ref="CW176:DI176" si="570">CW152/CW148</f>
        <v>0.78306878306878303</v>
      </c>
      <c r="CX176" s="77">
        <f t="shared" si="570"/>
        <v>0.77245508982035926</v>
      </c>
      <c r="CY176" s="70">
        <f t="shared" si="570"/>
        <v>0.77076923076923076</v>
      </c>
      <c r="CZ176" s="77">
        <f t="shared" si="570"/>
        <v>0.77640603566529487</v>
      </c>
      <c r="DA176" s="487">
        <f t="shared" si="570"/>
        <v>0.78136200716845883</v>
      </c>
      <c r="DB176" s="77">
        <f t="shared" si="570"/>
        <v>0.74104234527687296</v>
      </c>
      <c r="DC176" s="77">
        <f t="shared" si="570"/>
        <v>0.74068322981366463</v>
      </c>
      <c r="DD176" s="70">
        <f t="shared" si="570"/>
        <v>0.75697211155378485</v>
      </c>
      <c r="DE176" s="487">
        <f t="shared" si="570"/>
        <v>0.75437062937062938</v>
      </c>
      <c r="DF176" s="70">
        <f t="shared" si="570"/>
        <v>0.75487012987012991</v>
      </c>
      <c r="DG176" s="70">
        <f t="shared" ref="DG176" si="571">DG152/DG148</f>
        <v>0.74850299401197606</v>
      </c>
      <c r="DH176" s="70">
        <f t="shared" si="570"/>
        <v>0.77804583835946928</v>
      </c>
      <c r="DI176" s="487">
        <f t="shared" si="570"/>
        <v>0.77616279069767447</v>
      </c>
      <c r="DJ176" s="1673">
        <f t="shared" ref="DJ176:DK176" si="572">DJ152/DJ148</f>
        <v>0.76800000000000002</v>
      </c>
      <c r="DK176" s="70">
        <f t="shared" si="572"/>
        <v>0.755</v>
      </c>
      <c r="DL176" s="70">
        <f t="shared" ref="DL176:DM176" si="573">DL152/DL148</f>
        <v>0.77900000000000003</v>
      </c>
      <c r="DM176" s="487">
        <f t="shared" si="573"/>
        <v>0.77100000000000002</v>
      </c>
      <c r="DN176" s="580"/>
      <c r="DO176" s="484"/>
      <c r="DP176" s="236"/>
      <c r="DQ176" s="236"/>
      <c r="DR176" s="236"/>
      <c r="DS176" s="236"/>
      <c r="DT176" s="236"/>
      <c r="DU176" s="236"/>
      <c r="DV176" s="236"/>
      <c r="DW176" s="236"/>
      <c r="DX176" s="181"/>
      <c r="DY176" s="181"/>
      <c r="DZ176" s="181"/>
      <c r="EA176" s="181"/>
      <c r="EB176" s="181"/>
      <c r="EC176" s="181"/>
      <c r="ED176" s="181"/>
      <c r="EE176" s="181"/>
      <c r="EF176" s="181"/>
      <c r="EG176" s="181"/>
      <c r="EH176" s="181"/>
      <c r="EI176" s="77">
        <f>EI152/EI148</f>
        <v>0.77500000000000002</v>
      </c>
      <c r="EJ176" s="77">
        <f t="shared" ref="EJ176:FC176" si="574">EJ152/EJ148</f>
        <v>0.77077595155709344</v>
      </c>
      <c r="EK176" s="77">
        <f t="shared" si="574"/>
        <v>0.7838955741382827</v>
      </c>
      <c r="EL176" s="77">
        <f t="shared" si="574"/>
        <v>0.79291904406273339</v>
      </c>
      <c r="EM176" s="77">
        <f t="shared" si="574"/>
        <v>0.76085158371040718</v>
      </c>
      <c r="EN176" s="77">
        <f t="shared" si="574"/>
        <v>0.74675218093699514</v>
      </c>
      <c r="EO176" s="77">
        <f t="shared" si="574"/>
        <v>0.74881697997860308</v>
      </c>
      <c r="EP176" s="77">
        <f t="shared" si="574"/>
        <v>0.74204640371229702</v>
      </c>
      <c r="EQ176" s="77">
        <f t="shared" si="574"/>
        <v>0.74456822311764237</v>
      </c>
      <c r="ER176" s="77">
        <f t="shared" si="574"/>
        <v>0.74113856068743289</v>
      </c>
      <c r="ES176" s="77">
        <f t="shared" si="574"/>
        <v>0.76160651373992017</v>
      </c>
      <c r="ET176" s="77">
        <f t="shared" si="574"/>
        <v>0.77435042378768937</v>
      </c>
      <c r="EU176" s="77">
        <f t="shared" si="574"/>
        <v>0.7646443514644351</v>
      </c>
      <c r="EV176" s="77">
        <f t="shared" si="574"/>
        <v>0.77427637721755371</v>
      </c>
      <c r="EW176" s="77">
        <f t="shared" si="565"/>
        <v>0.77616187164084727</v>
      </c>
      <c r="EX176" s="77">
        <f t="shared" si="565"/>
        <v>0.74960380348652933</v>
      </c>
      <c r="EY176" s="77">
        <f t="shared" si="565"/>
        <v>0.76755517340212098</v>
      </c>
      <c r="EZ176" s="1680">
        <f t="shared" ref="EZ176" si="575">EZ152/EZ148</f>
        <v>0.76933758075841674</v>
      </c>
      <c r="FA176" s="77">
        <f t="shared" si="574"/>
        <v>0.77</v>
      </c>
      <c r="FB176" s="77">
        <f t="shared" si="574"/>
        <v>0.77</v>
      </c>
      <c r="FC176" s="77">
        <f t="shared" si="574"/>
        <v>0.77</v>
      </c>
      <c r="FD176" s="77">
        <f t="shared" si="567"/>
        <v>0.77</v>
      </c>
      <c r="FE176" s="77">
        <f t="shared" si="567"/>
        <v>0.77</v>
      </c>
      <c r="FF176" s="77">
        <f t="shared" si="567"/>
        <v>0.77</v>
      </c>
      <c r="FG176" s="77">
        <f t="shared" si="567"/>
        <v>0.76999999999999991</v>
      </c>
      <c r="FH176" s="77">
        <f t="shared" si="567"/>
        <v>0.76999999999999991</v>
      </c>
      <c r="FI176" s="671"/>
      <c r="FJ176"/>
      <c r="FK176"/>
      <c r="FL176"/>
      <c r="FM176"/>
      <c r="FN176"/>
      <c r="FO176"/>
      <c r="FQ176" s="4"/>
      <c r="FR176" s="4"/>
      <c r="FS176" s="70"/>
      <c r="FT176" s="70"/>
      <c r="FU176"/>
      <c r="FV176" s="70"/>
      <c r="FW176" s="70"/>
      <c r="FX176" s="70"/>
      <c r="FY176"/>
      <c r="FZ176"/>
      <c r="GA176"/>
      <c r="GB176"/>
      <c r="GC176"/>
      <c r="GD176"/>
      <c r="GE176"/>
      <c r="GF176"/>
      <c r="GG176"/>
      <c r="GH176"/>
      <c r="GI176"/>
      <c r="GJ176"/>
      <c r="GK176"/>
      <c r="GL176"/>
      <c r="GM176"/>
      <c r="GN176"/>
      <c r="GO176"/>
      <c r="GP176"/>
      <c r="GQ176"/>
      <c r="GR176"/>
      <c r="GS176"/>
      <c r="GT176"/>
      <c r="GU176"/>
      <c r="GV176"/>
      <c r="GW176"/>
      <c r="GX176"/>
      <c r="GY176"/>
      <c r="GZ176"/>
      <c r="HA176"/>
      <c r="HB176"/>
      <c r="HC176"/>
      <c r="HD176"/>
      <c r="HE176"/>
      <c r="HF176"/>
      <c r="HG176"/>
      <c r="HH176"/>
      <c r="HI176"/>
      <c r="HJ176"/>
      <c r="HK176"/>
      <c r="HL176"/>
      <c r="HM176"/>
      <c r="HN176"/>
      <c r="HO176"/>
      <c r="HP176"/>
      <c r="HQ176"/>
      <c r="HR176"/>
      <c r="HS176"/>
      <c r="HT176"/>
      <c r="HU176"/>
      <c r="HV176"/>
      <c r="HW176"/>
      <c r="HX176"/>
      <c r="HY176"/>
      <c r="HZ176"/>
      <c r="IA176"/>
      <c r="IB176"/>
      <c r="IC176"/>
      <c r="ID176"/>
      <c r="IE176"/>
      <c r="IF176"/>
      <c r="IG176"/>
      <c r="IH176"/>
      <c r="II176"/>
      <c r="IJ176"/>
      <c r="IK176"/>
      <c r="IL176"/>
      <c r="IM176"/>
      <c r="IN176"/>
      <c r="IO176"/>
      <c r="IP176"/>
      <c r="IQ176"/>
      <c r="IR176"/>
      <c r="IS176"/>
      <c r="IT176"/>
      <c r="IU176"/>
      <c r="IV176"/>
      <c r="IW176"/>
      <c r="IX176"/>
      <c r="IY176"/>
      <c r="IZ176"/>
    </row>
    <row r="177" spans="1:260" s="6" customFormat="1" x14ac:dyDescent="0.2">
      <c r="A177" s="395" t="s">
        <v>15</v>
      </c>
      <c r="B177" s="287"/>
      <c r="C177" s="287"/>
      <c r="D177" s="287"/>
      <c r="E177" s="477"/>
      <c r="F177" s="102"/>
      <c r="G177" s="102"/>
      <c r="H177" s="102"/>
      <c r="I177" s="480"/>
      <c r="J177" s="102"/>
      <c r="K177" s="102"/>
      <c r="L177" s="102"/>
      <c r="M177" s="480"/>
      <c r="N177" s="102"/>
      <c r="O177" s="102"/>
      <c r="P177" s="102"/>
      <c r="Q177" s="480"/>
      <c r="R177" s="102"/>
      <c r="S177" s="102"/>
      <c r="T177" s="102"/>
      <c r="U177" s="480"/>
      <c r="V177" s="102"/>
      <c r="W177" s="102"/>
      <c r="X177" s="102"/>
      <c r="Y177" s="480"/>
      <c r="Z177" s="102"/>
      <c r="AA177" s="102"/>
      <c r="AB177" s="102"/>
      <c r="AC177" s="480"/>
      <c r="AD177" s="102"/>
      <c r="AE177" s="102"/>
      <c r="AF177" s="102"/>
      <c r="AG177" s="480"/>
      <c r="AH177" s="102"/>
      <c r="AI177" s="102"/>
      <c r="AJ177" s="102"/>
      <c r="AK177" s="480"/>
      <c r="AL177" s="102"/>
      <c r="AM177" s="102"/>
      <c r="AN177" s="102"/>
      <c r="AO177" s="480"/>
      <c r="AP177" s="102"/>
      <c r="AQ177" s="102"/>
      <c r="AR177" s="102"/>
      <c r="AS177" s="480"/>
      <c r="AT177" s="102"/>
      <c r="AU177" s="102"/>
      <c r="AV177" s="102"/>
      <c r="AW177" s="480"/>
      <c r="AX177" s="77">
        <f>'Income Statement'!AX153/'Revenue Model'!AX$404</f>
        <v>0.74534161490683226</v>
      </c>
      <c r="AY177" s="77">
        <f>'Income Statement'!AY153/'Revenue Model'!AY$404</f>
        <v>0.74470307370934052</v>
      </c>
      <c r="AZ177" s="77">
        <f>'Income Statement'!AZ153/'Revenue Model'!AZ$404</f>
        <v>0.75623721881390593</v>
      </c>
      <c r="BA177" s="487">
        <f>'Income Statement'!BA153/'Revenue Model'!BA$404</f>
        <v>0.75039745627980925</v>
      </c>
      <c r="BB177" s="77">
        <f>'Income Statement'!BB153/'Revenue Model'!BB$404</f>
        <v>0.74637160511567757</v>
      </c>
      <c r="BC177" s="77">
        <f>'Income Statement'!BC153/'Revenue Model'!BC$404</f>
        <v>0.74983559121399446</v>
      </c>
      <c r="BD177" s="77">
        <f>'Income Statement'!BD153/'Revenue Model'!BD$404</f>
        <v>0.76454620559424058</v>
      </c>
      <c r="BE177" s="487">
        <f>'Income Statement'!BE153/'Revenue Model'!BE$404</f>
        <v>0.75912861462128844</v>
      </c>
      <c r="BF177" s="77">
        <f>'Income Statement'!BF153/'Revenue Model'!BF$404</f>
        <v>0.76132206383247125</v>
      </c>
      <c r="BG177" s="77">
        <f>'Income Statement'!BG153/'Revenue Model'!BG$404</f>
        <v>0.75554285714285718</v>
      </c>
      <c r="BH177" s="77">
        <f>'Income Statement'!BH153/'Revenue Model'!BH$404</f>
        <v>0.76460515713134569</v>
      </c>
      <c r="BI177" s="487">
        <f>'Income Statement'!BI153/'Revenue Model'!BI$404</f>
        <v>0.76315397227604709</v>
      </c>
      <c r="BJ177" s="77">
        <f>'Income Statement'!BJ153/'Revenue Model'!BJ$404</f>
        <v>0.76273637374860959</v>
      </c>
      <c r="BK177" s="77">
        <f>'Income Statement'!BK153/'Revenue Model'!BK$404</f>
        <v>0.75706560555045399</v>
      </c>
      <c r="BL177" s="77">
        <f>'Income Statement'!BL153/'Revenue Model'!BL$404</f>
        <v>0.75121739130434784</v>
      </c>
      <c r="BM177" s="487">
        <f>'Income Statement'!BM153/'Revenue Model'!BM$404</f>
        <v>0.75393914697093178</v>
      </c>
      <c r="BN177" s="77">
        <f>'Income Statement'!BN153/'Revenue Model'!BN$404</f>
        <v>0.74670629024269441</v>
      </c>
      <c r="BO177" s="77">
        <f>'Income Statement'!BO153/'Revenue Model'!BO$404</f>
        <v>0.7564870259481038</v>
      </c>
      <c r="BP177" s="77">
        <f>'Income Statement'!BP153/'Revenue Model'!BP$404</f>
        <v>0.75532268795741853</v>
      </c>
      <c r="BQ177" s="487">
        <f>'Income Statement'!BQ153/'Revenue Model'!BQ$404</f>
        <v>0.75974143659759563</v>
      </c>
      <c r="BR177" s="77">
        <f>'Income Statement'!BR153/'Revenue Model'!BR$404</f>
        <v>0.74107722258273845</v>
      </c>
      <c r="BS177" s="77">
        <f>'Income Statement'!BS153/'Revenue Model'!BS$404</f>
        <v>0.74265808272334422</v>
      </c>
      <c r="BT177" s="77">
        <f>'Income Statement'!BT153/'Revenue Model'!BT$404</f>
        <v>0.74911690496215311</v>
      </c>
      <c r="BU177" s="487">
        <f>'Income Statement'!BU153/'Revenue Model'!BU$404</f>
        <v>0.75596702755905509</v>
      </c>
      <c r="BV177" s="77">
        <f>'Income Statement'!BV153/'Revenue Model'!BV$404</f>
        <v>0.74698354661791588</v>
      </c>
      <c r="BW177" s="77">
        <f>'Income Statement'!BW153/'Revenue Model'!BW$404</f>
        <v>0.74689345201374813</v>
      </c>
      <c r="BX177" s="77">
        <f>'Income Statement'!BX153/'Revenue Model'!BX$404</f>
        <v>0.75667410529795853</v>
      </c>
      <c r="BY177" s="487">
        <f>'Income Statement'!BY153/'Revenue Model'!BY$404</f>
        <v>0.75490078171978348</v>
      </c>
      <c r="BZ177" s="77">
        <f>'Income Statement'!BZ153/'Revenue Model'!BZ$404</f>
        <v>0.74783607136548313</v>
      </c>
      <c r="CA177" s="77">
        <f>'Income Statement'!CA153/'Revenue Model'!CA$404</f>
        <v>0.74078150798018716</v>
      </c>
      <c r="CB177" s="77">
        <f>'Income Statement'!CB153/'Revenue Model'!CB$404</f>
        <v>0.73818413623531554</v>
      </c>
      <c r="CC177" s="487">
        <f>'Income Statement'!CC153/'Revenue Model'!CC$404</f>
        <v>0.76229262741809911</v>
      </c>
      <c r="CD177" s="77">
        <f>'Income Statement'!CD153/'Revenue Model'!CD$404</f>
        <v>0.74307326941683527</v>
      </c>
      <c r="CE177" s="77">
        <f>'Income Statement'!CE153/'Revenue Model'!CE$404</f>
        <v>0.74557848194546794</v>
      </c>
      <c r="CF177" s="77">
        <f>'Income Statement'!CF153/'Revenue Model'!CF$404</f>
        <v>0.74401076716016146</v>
      </c>
      <c r="CG177" s="487">
        <f>'Income Statement'!CG153/'Revenue Model'!CG$404</f>
        <v>0.76768040309519525</v>
      </c>
      <c r="CH177" s="77">
        <f>'Income Statement'!CH153/'Revenue Model'!CH$404</f>
        <v>0.74961240310077515</v>
      </c>
      <c r="CI177" s="77">
        <f>'Income Statement'!CI153/'Revenue Model'!CI$404</f>
        <v>0.75689769602730639</v>
      </c>
      <c r="CJ177" s="77">
        <f>'Income Statement'!CJ153/'Revenue Model'!CJ$404</f>
        <v>0.75950897423974706</v>
      </c>
      <c r="CK177" s="487">
        <f>'Income Statement'!CK153/'Revenue Model'!CK$404</f>
        <v>0.77368200586440072</v>
      </c>
      <c r="CL177" s="77">
        <f>'Income Statement'!CL153/'Revenue Model'!CL$404</f>
        <v>0.75089173816639354</v>
      </c>
      <c r="CM177" s="77">
        <f>'Income Statement'!CM153/'Revenue Model'!CM$404</f>
        <v>0.75789699111253883</v>
      </c>
      <c r="CN177" s="77">
        <f>'Income Statement'!CN153/'Revenue Model'!CN$404</f>
        <v>0.76249866751945417</v>
      </c>
      <c r="CO177" s="487">
        <f>'Income Statement'!CO153/'Revenue Model'!CO$404</f>
        <v>0.7762841091492777</v>
      </c>
      <c r="CP177" s="77">
        <f>'Income Statement'!CP153/'Revenue Model'!CP$404</f>
        <v>0.76422491039426521</v>
      </c>
      <c r="CQ177" s="77">
        <f>'Income Statement'!CQ153/'Revenue Model'!CQ$404</f>
        <v>0.75852988321502179</v>
      </c>
      <c r="CR177" s="77">
        <f>'Income Statement'!CR153/'Revenue Model'!CR$404</f>
        <v>0.76546391752577314</v>
      </c>
      <c r="CS177" s="487">
        <f>'Income Statement'!CS153/'Revenue Model'!CS$404</f>
        <v>0.79836007130124775</v>
      </c>
      <c r="CT177" s="77">
        <f>'Income Statement'!CT153/'Revenue Model'!CT$404</f>
        <v>0.77231161014006255</v>
      </c>
      <c r="CU177" s="77">
        <f>'Income Statement'!CU153/'Revenue Model'!CU$404</f>
        <v>0.76616621350041381</v>
      </c>
      <c r="CV177" s="77">
        <f>'Income Statement'!CV153/'Revenue Model'!CV$404</f>
        <v>0.7701505757307352</v>
      </c>
      <c r="CW177" s="487">
        <f>'Income Statement'!CW153/'Revenue Model'!CW$404</f>
        <v>0.78703638538954179</v>
      </c>
      <c r="CX177" s="208">
        <f>'Income Statement'!CX153/'Revenue Model'!CX$404</f>
        <v>0.77097452675858846</v>
      </c>
      <c r="CY177" s="197">
        <f>'Income Statement'!CY153/'Revenue Model'!CY$404</f>
        <v>0.75551125703564725</v>
      </c>
      <c r="CZ177" s="208">
        <f>'Income Statement'!CZ153/'Revenue Model'!CZ$404</f>
        <v>0.76063045696791021</v>
      </c>
      <c r="DA177" s="572">
        <f>'Income Statement'!DA153/'Revenue Model'!DA$404</f>
        <v>0.78360126257065255</v>
      </c>
      <c r="DB177" s="208">
        <f>'Income Statement'!DB153/'Revenue Model'!DB$404</f>
        <v>0.76761814520904892</v>
      </c>
      <c r="DC177" s="208">
        <f>'Income Statement'!DC153/'Revenue Model'!DC$404</f>
        <v>0.75834993554435726</v>
      </c>
      <c r="DD177" s="197">
        <f>'Income Statement'!DD153/'Revenue Model'!DD$404</f>
        <v>0.75371716042481829</v>
      </c>
      <c r="DE177" s="572">
        <f>'Income Statement'!DE153/'Revenue Model'!DE$404</f>
        <v>0.77525589675122386</v>
      </c>
      <c r="DF177" s="197">
        <f>'Income Statement'!DF153/'Revenue Model'!DF$404</f>
        <v>0.76289868667917449</v>
      </c>
      <c r="DG177" s="197">
        <f>'Income Statement'!DG153/'Revenue Model'!DG$404</f>
        <v>0.75917225950782996</v>
      </c>
      <c r="DH177" s="197">
        <f>'Income Statement'!DH153/'Revenue Model'!DH$404</f>
        <v>0.75536480686695284</v>
      </c>
      <c r="DI177" s="572">
        <f>'Income Statement'!DI153/'Revenue Model'!DI$404</f>
        <v>0.77732213760333269</v>
      </c>
      <c r="DJ177" s="1713">
        <f>'Income Statement'!DJ153/'Revenue Model'!DJ$404</f>
        <v>0.7652159805852734</v>
      </c>
      <c r="DK177" s="197">
        <f>'Income Statement'!DK153/'Revenue Model'!DK$404</f>
        <v>0.76055325644506289</v>
      </c>
      <c r="DL177" s="197">
        <f>'Income Statement'!DL153/'Revenue Model'!DL$404</f>
        <v>0.75622732041160157</v>
      </c>
      <c r="DM177" s="572">
        <f>'Income Statement'!DM153/'Revenue Model'!DM$404</f>
        <v>0.776897536542416</v>
      </c>
      <c r="DN177" s="578"/>
      <c r="DO177" s="572"/>
      <c r="DP177" s="2029"/>
      <c r="DQ177" s="2029"/>
      <c r="DR177" s="2029"/>
      <c r="DS177" s="2029"/>
      <c r="DT177" s="2029"/>
      <c r="DU177" s="1038"/>
      <c r="DV177" s="1038"/>
      <c r="DW177" s="1038"/>
      <c r="DX177" s="1038"/>
      <c r="DY177" s="1038"/>
      <c r="DZ177" s="1038"/>
      <c r="EA177" s="1038"/>
      <c r="EB177" s="1038"/>
      <c r="EC177" s="1038"/>
      <c r="ED177" s="1038"/>
      <c r="EE177" s="1038"/>
      <c r="EF177" s="1038"/>
      <c r="EG177" s="1038"/>
      <c r="EH177" s="1038"/>
      <c r="EI177" s="208">
        <f>'Income Statement'!EI153/'Revenue Model'!EI$404</f>
        <v>0.76326917468649758</v>
      </c>
      <c r="EJ177" s="208">
        <f>'Income Statement'!EJ153/'Revenue Model'!EJ$404</f>
        <v>0.74954616182572609</v>
      </c>
      <c r="EK177" s="208">
        <f>'Income Statement'!EK153/'Revenue Model'!EK$404</f>
        <v>0.75596927700784777</v>
      </c>
      <c r="EL177" s="208">
        <f>'Income Statement'!EL153/'Revenue Model'!EL$404</f>
        <v>0.76148714489168723</v>
      </c>
      <c r="EM177" s="208">
        <f>'Income Statement'!EM153/'Revenue Model'!EM$404</f>
        <v>0.75568143952015998</v>
      </c>
      <c r="EN177" s="208">
        <f>'Income Statement'!EN153/'Revenue Model'!EN$404</f>
        <v>0.75530245100012072</v>
      </c>
      <c r="EO177" s="208">
        <f>'Income Statement'!EO153/'Revenue Model'!EO$404</f>
        <v>0.74815006365372372</v>
      </c>
      <c r="EP177" s="208">
        <f>'Income Statement'!EP153/'Revenue Model'!EP$404</f>
        <v>0.75184255919711462</v>
      </c>
      <c r="EQ177" s="208">
        <f>'Income Statement'!EQ153/'Revenue Model'!EQ$404</f>
        <v>0.74900805578934715</v>
      </c>
      <c r="ER177" s="208">
        <f>'Income Statement'!ER153/'Revenue Model'!ER$404</f>
        <v>0.75202334086049438</v>
      </c>
      <c r="ES177" s="208">
        <f>'Income Statement'!ES153/'Revenue Model'!ES$404</f>
        <v>0.76141149916366058</v>
      </c>
      <c r="ET177" s="208">
        <f>'Income Statement'!ET153/'Revenue Model'!ET$404</f>
        <v>0.76346917924849589</v>
      </c>
      <c r="EU177" s="208">
        <f>'Income Statement'!EU153/'Revenue Model'!EU$404</f>
        <v>0.77506094407919035</v>
      </c>
      <c r="EV177" s="208">
        <f>'Income Statement'!EV153/'Revenue Model'!EV$404</f>
        <v>0.77572572448498966</v>
      </c>
      <c r="EW177" s="208">
        <f>'Income Statement'!EW153/'Revenue Model'!EW$404</f>
        <v>0.76968225055656747</v>
      </c>
      <c r="EX177" s="208">
        <f>'Income Statement'!EX153/'Revenue Model'!EX$404</f>
        <v>0.76506864959520848</v>
      </c>
      <c r="EY177" s="208">
        <f>'Income Statement'!EY153/'Revenue Model'!EY$404</f>
        <v>0.76569950890844818</v>
      </c>
      <c r="EZ177" s="1739">
        <f>'Income Statement'!EZ153/'Revenue Model'!EZ$404</f>
        <v>0.76642993486254885</v>
      </c>
      <c r="FA177" s="208">
        <f>'Income Statement'!FA153/'Revenue Model'!FA$404</f>
        <v>0.76697632042273256</v>
      </c>
      <c r="FB177" s="208">
        <f>'Income Statement'!FB153/'Revenue Model'!FB$404</f>
        <v>0.76670169625654228</v>
      </c>
      <c r="FC177" s="208">
        <f>'Income Statement'!FC153/'Revenue Model'!FC$404</f>
        <v>0.7671580493380985</v>
      </c>
      <c r="FD177" s="208">
        <f>'Income Statement'!FD153/'Revenue Model'!FD$404</f>
        <v>0.76761412790989292</v>
      </c>
      <c r="FE177" s="208">
        <f>'Income Statement'!FE153/'Revenue Model'!FE$404</f>
        <v>0.76807105314314772</v>
      </c>
      <c r="FF177" s="208">
        <f>'Income Statement'!FF153/'Revenue Model'!FF$404</f>
        <v>0.76852885243140689</v>
      </c>
      <c r="FG177" s="208">
        <f>'Income Statement'!FG153/'Revenue Model'!FG$404</f>
        <v>0.76898755305496136</v>
      </c>
      <c r="FH177" s="208">
        <f>'Income Statement'!FH153/'Revenue Model'!FH$404</f>
        <v>0.76944718207636464</v>
      </c>
      <c r="FI177" s="416"/>
      <c r="FJ177"/>
      <c r="FK177"/>
      <c r="FL177"/>
      <c r="FM177"/>
      <c r="FN177"/>
      <c r="FO177"/>
      <c r="FP177" s="4"/>
      <c r="FQ177" s="4"/>
      <c r="FR177" s="4"/>
      <c r="FS177" s="70"/>
      <c r="FT177" s="70"/>
      <c r="FU177"/>
      <c r="FV177" s="197"/>
      <c r="FW177" s="197"/>
      <c r="FX177" s="197"/>
      <c r="FY177"/>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row>
    <row r="178" spans="1:260" s="6" customFormat="1" x14ac:dyDescent="0.2">
      <c r="A178" s="287"/>
      <c r="B178" s="287"/>
      <c r="C178" s="287"/>
      <c r="D178" s="287"/>
      <c r="E178" s="477"/>
      <c r="F178" s="102"/>
      <c r="G178" s="102"/>
      <c r="H178" s="102"/>
      <c r="I178" s="480"/>
      <c r="J178" s="102"/>
      <c r="K178" s="102"/>
      <c r="L178" s="102"/>
      <c r="M178" s="480"/>
      <c r="N178" s="102"/>
      <c r="O178" s="102"/>
      <c r="P178" s="102"/>
      <c r="Q178" s="480"/>
      <c r="R178" s="102"/>
      <c r="S178" s="102"/>
      <c r="T178" s="102"/>
      <c r="U178" s="480"/>
      <c r="V178" s="102"/>
      <c r="W178" s="102"/>
      <c r="X178" s="102"/>
      <c r="Y178" s="480"/>
      <c r="Z178" s="102"/>
      <c r="AA178" s="102"/>
      <c r="AB178" s="102"/>
      <c r="AC178" s="480"/>
      <c r="AD178" s="102"/>
      <c r="AE178" s="102"/>
      <c r="AF178" s="102"/>
      <c r="AG178" s="480"/>
      <c r="AH178" s="102"/>
      <c r="AI178" s="102"/>
      <c r="AJ178" s="102"/>
      <c r="AK178" s="480"/>
      <c r="AL178" s="102"/>
      <c r="AM178" s="102"/>
      <c r="AN178" s="102"/>
      <c r="AO178" s="480"/>
      <c r="AP178" s="102"/>
      <c r="AQ178" s="102"/>
      <c r="AR178" s="102"/>
      <c r="AS178" s="480"/>
      <c r="AT178" s="102"/>
      <c r="AU178" s="102"/>
      <c r="AV178" s="102"/>
      <c r="AW178" s="480"/>
      <c r="AX178" s="77"/>
      <c r="AY178" s="77"/>
      <c r="AZ178" s="77"/>
      <c r="BA178" s="487"/>
      <c r="BB178" s="77"/>
      <c r="BC178" s="77"/>
      <c r="BD178" s="77"/>
      <c r="BE178" s="487"/>
      <c r="BF178" s="77"/>
      <c r="BG178" s="77"/>
      <c r="BH178" s="77"/>
      <c r="BI178" s="487"/>
      <c r="BJ178" s="77"/>
      <c r="BK178" s="77"/>
      <c r="BL178" s="77"/>
      <c r="BM178" s="487"/>
      <c r="BN178" s="77"/>
      <c r="BO178" s="77"/>
      <c r="BP178" s="77"/>
      <c r="BQ178" s="487"/>
      <c r="BR178" s="77"/>
      <c r="BS178" s="77"/>
      <c r="BT178" s="77"/>
      <c r="BU178" s="487"/>
      <c r="BV178" s="77"/>
      <c r="BW178" s="77"/>
      <c r="BX178" s="77"/>
      <c r="BY178" s="487"/>
      <c r="BZ178" s="77"/>
      <c r="CA178" s="77"/>
      <c r="CB178" s="77"/>
      <c r="CC178" s="487"/>
      <c r="CD178" s="77"/>
      <c r="CE178" s="77"/>
      <c r="CF178" s="77"/>
      <c r="CG178" s="487"/>
      <c r="CH178" s="77"/>
      <c r="CI178" s="77"/>
      <c r="CJ178" s="77"/>
      <c r="CK178" s="487"/>
      <c r="CL178" s="77"/>
      <c r="CM178" s="77"/>
      <c r="CN178" s="77"/>
      <c r="CO178" s="487"/>
      <c r="CP178" s="77"/>
      <c r="CQ178" s="77"/>
      <c r="CR178" s="77"/>
      <c r="CS178" s="487"/>
      <c r="CT178" s="77"/>
      <c r="CU178" s="77"/>
      <c r="CV178" s="77"/>
      <c r="CW178" s="487"/>
      <c r="CX178" s="77"/>
      <c r="CY178" s="70"/>
      <c r="CZ178" s="77"/>
      <c r="DA178" s="487"/>
      <c r="DB178" s="77"/>
      <c r="DC178" s="77"/>
      <c r="DD178" s="70"/>
      <c r="DE178" s="487"/>
      <c r="DF178" s="70"/>
      <c r="DG178" s="70"/>
      <c r="DH178" s="70"/>
      <c r="DI178" s="487"/>
      <c r="DJ178" s="1673"/>
      <c r="DK178" s="70"/>
      <c r="DL178" s="70"/>
      <c r="DM178" s="487"/>
      <c r="DN178" s="580"/>
      <c r="DO178" s="487"/>
      <c r="DP178" s="84"/>
      <c r="DQ178" s="84"/>
      <c r="DR178" s="84"/>
      <c r="DS178" s="84"/>
      <c r="DT178" s="84"/>
      <c r="DU178" s="102"/>
      <c r="DV178" s="102"/>
      <c r="DW178" s="102"/>
      <c r="DX178" s="102"/>
      <c r="DY178" s="102"/>
      <c r="DZ178" s="102"/>
      <c r="EA178" s="102"/>
      <c r="EB178" s="102"/>
      <c r="EC178" s="102"/>
      <c r="ED178" s="102"/>
      <c r="EE178" s="102"/>
      <c r="EF178" s="102"/>
      <c r="EG178" s="102"/>
      <c r="EH178" s="102"/>
      <c r="EI178" s="77"/>
      <c r="EJ178" s="77"/>
      <c r="EK178" s="77"/>
      <c r="EL178" s="77"/>
      <c r="EM178" s="77"/>
      <c r="EN178" s="77"/>
      <c r="EO178" s="77"/>
      <c r="EP178" s="77"/>
      <c r="EQ178" s="77"/>
      <c r="ER178" s="77"/>
      <c r="ES178" s="77"/>
      <c r="ET178" s="77"/>
      <c r="EU178" s="77"/>
      <c r="EV178" s="77"/>
      <c r="EW178" s="77"/>
      <c r="EX178" s="77"/>
      <c r="EY178" s="77"/>
      <c r="EZ178" s="1680"/>
      <c r="FA178" s="77"/>
      <c r="FB178" s="77"/>
      <c r="FC178" s="77"/>
      <c r="FD178" s="77"/>
      <c r="FE178" s="77"/>
      <c r="FF178" s="77"/>
      <c r="FG178" s="77"/>
      <c r="FH178" s="77"/>
      <c r="FI178" s="413"/>
      <c r="FJ178"/>
      <c r="FK178"/>
      <c r="FL178"/>
      <c r="FM178"/>
      <c r="FN178"/>
      <c r="FO178"/>
      <c r="FP178" s="4"/>
      <c r="FQ178" s="4"/>
      <c r="FR178" s="4"/>
      <c r="FS178" s="70"/>
      <c r="FT178" s="70"/>
      <c r="FU178"/>
      <c r="FV178" s="70"/>
      <c r="FW178" s="70"/>
      <c r="FX178" s="70"/>
      <c r="FY178"/>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row>
    <row r="179" spans="1:260" s="6" customFormat="1" x14ac:dyDescent="0.2">
      <c r="A179" s="395" t="s">
        <v>580</v>
      </c>
      <c r="B179" s="287"/>
      <c r="C179" s="287"/>
      <c r="D179" s="287"/>
      <c r="E179" s="477"/>
      <c r="F179" s="213" t="s">
        <v>483</v>
      </c>
      <c r="G179" s="213" t="s">
        <v>483</v>
      </c>
      <c r="H179" s="213" t="s">
        <v>483</v>
      </c>
      <c r="I179" s="490" t="s">
        <v>483</v>
      </c>
      <c r="J179" s="213" t="s">
        <v>483</v>
      </c>
      <c r="K179" s="213" t="s">
        <v>483</v>
      </c>
      <c r="L179" s="213" t="s">
        <v>483</v>
      </c>
      <c r="M179" s="490" t="s">
        <v>483</v>
      </c>
      <c r="N179" s="213" t="s">
        <v>483</v>
      </c>
      <c r="O179" s="213" t="s">
        <v>483</v>
      </c>
      <c r="P179" s="213" t="s">
        <v>483</v>
      </c>
      <c r="Q179" s="490" t="s">
        <v>483</v>
      </c>
      <c r="R179" s="213" t="s">
        <v>483</v>
      </c>
      <c r="S179" s="213" t="s">
        <v>483</v>
      </c>
      <c r="T179" s="213" t="s">
        <v>483</v>
      </c>
      <c r="U179" s="490" t="s">
        <v>483</v>
      </c>
      <c r="V179" s="213" t="s">
        <v>483</v>
      </c>
      <c r="W179" s="213" t="s">
        <v>483</v>
      </c>
      <c r="X179" s="213" t="s">
        <v>483</v>
      </c>
      <c r="Y179" s="490" t="s">
        <v>483</v>
      </c>
      <c r="Z179" s="213" t="s">
        <v>483</v>
      </c>
      <c r="AA179" s="213" t="s">
        <v>483</v>
      </c>
      <c r="AB179" s="213" t="s">
        <v>483</v>
      </c>
      <c r="AC179" s="490" t="s">
        <v>483</v>
      </c>
      <c r="AD179" s="213" t="s">
        <v>483</v>
      </c>
      <c r="AE179" s="213" t="s">
        <v>483</v>
      </c>
      <c r="AF179" s="213" t="s">
        <v>483</v>
      </c>
      <c r="AG179" s="490" t="s">
        <v>483</v>
      </c>
      <c r="AH179" s="213" t="s">
        <v>483</v>
      </c>
      <c r="AI179" s="213" t="s">
        <v>483</v>
      </c>
      <c r="AJ179" s="213" t="s">
        <v>483</v>
      </c>
      <c r="AK179" s="490" t="s">
        <v>483</v>
      </c>
      <c r="AL179" s="213" t="s">
        <v>483</v>
      </c>
      <c r="AM179" s="213" t="s">
        <v>483</v>
      </c>
      <c r="AN179" s="213" t="s">
        <v>483</v>
      </c>
      <c r="AO179" s="490" t="s">
        <v>483</v>
      </c>
      <c r="AP179" s="213" t="s">
        <v>483</v>
      </c>
      <c r="AQ179" s="213" t="s">
        <v>483</v>
      </c>
      <c r="AR179" s="213" t="s">
        <v>483</v>
      </c>
      <c r="AS179" s="490" t="s">
        <v>483</v>
      </c>
      <c r="AT179" s="213" t="s">
        <v>483</v>
      </c>
      <c r="AU179" s="213" t="s">
        <v>483</v>
      </c>
      <c r="AV179" s="213" t="s">
        <v>483</v>
      </c>
      <c r="AW179" s="490" t="s">
        <v>483</v>
      </c>
      <c r="AX179" s="251">
        <f>'Income Statement'!AX155/'Revenue Model'!AX393</f>
        <v>0.2568991260014567</v>
      </c>
      <c r="AY179" s="251">
        <f>'Income Statement'!AY155/'Revenue Model'!AY393</f>
        <v>0.25721277305319329</v>
      </c>
      <c r="AZ179" s="251">
        <f>'Income Statement'!AZ155/'Revenue Model'!AZ393</f>
        <v>0.24749396845035571</v>
      </c>
      <c r="BA179" s="488">
        <f>'Income Statement'!BA155/'Revenue Model'!BA393</f>
        <v>0.2522397877984085</v>
      </c>
      <c r="BB179" s="251">
        <f>'Income Statement'!BB155/'Revenue Model'!BB393</f>
        <v>0.25616715352158387</v>
      </c>
      <c r="BC179" s="251">
        <f>'Income Statement'!BC155/'Revenue Model'!BC393</f>
        <v>0.25448995619996978</v>
      </c>
      <c r="BD179" s="251">
        <f>'Income Statement'!BD155/'Revenue Model'!BD393</f>
        <v>0.24010469011725294</v>
      </c>
      <c r="BE179" s="488">
        <f>'Income Statement'!BE155/'Revenue Model'!BE393</f>
        <v>0.24592656080837241</v>
      </c>
      <c r="BF179" s="251">
        <f>'Income Statement'!BF155/'Revenue Model'!BF393</f>
        <v>0.24591631861575181</v>
      </c>
      <c r="BG179" s="251">
        <f>'Income Statement'!BG155/'Revenue Model'!BG393</f>
        <v>0.25125905446502628</v>
      </c>
      <c r="BH179" s="251">
        <f>'Income Statement'!BH155/'Revenue Model'!BH393</f>
        <v>0.24156324640506946</v>
      </c>
      <c r="BI179" s="488">
        <f>'Income Statement'!BI155/'Revenue Model'!BI393</f>
        <v>0.2424082618025751</v>
      </c>
      <c r="BJ179" s="251">
        <f>'Income Statement'!BJ155/'Revenue Model'!BJ393</f>
        <v>0.24432966590634644</v>
      </c>
      <c r="BK179" s="251">
        <f>'Income Statement'!BK155/'Revenue Model'!BK393</f>
        <v>0.24907365055944913</v>
      </c>
      <c r="BL179" s="251">
        <f>'Income Statement'!BL155/'Revenue Model'!BL393</f>
        <v>0.2438574914592484</v>
      </c>
      <c r="BM179" s="488">
        <f>'Income Statement'!BM155/'Revenue Model'!BM393</f>
        <v>0.24577498228206945</v>
      </c>
      <c r="BN179" s="251">
        <f>'Income Statement'!BN155/'Revenue Model'!BN393</f>
        <v>0.25100332225913619</v>
      </c>
      <c r="BO179" s="251">
        <f>'Income Statement'!BO155/'Revenue Model'!BO393</f>
        <v>0.24301909596325841</v>
      </c>
      <c r="BP179" s="251">
        <f>'Income Statement'!BP155/'Revenue Model'!BP393</f>
        <v>0.24144866196394582</v>
      </c>
      <c r="BQ179" s="488">
        <f>'Income Statement'!BQ155/'Revenue Model'!BQ393</f>
        <v>0.23592450731087092</v>
      </c>
      <c r="BR179" s="251">
        <f>'Income Statement'!BR155/'Revenue Model'!BR393</f>
        <v>0.25744894610627289</v>
      </c>
      <c r="BS179" s="251">
        <f>'Income Statement'!BS155/'Revenue Model'!BS393</f>
        <v>0.2578036984352774</v>
      </c>
      <c r="BT179" s="251">
        <f>'Income Statement'!BT155/'Revenue Model'!BT393</f>
        <v>0.25047531572904708</v>
      </c>
      <c r="BU179" s="488">
        <f>'Income Statement'!BU155/'Revenue Model'!BU393</f>
        <v>0.2457521663778163</v>
      </c>
      <c r="BV179" s="251">
        <f>'Income Statement'!BV155/'Revenue Model'!BV393</f>
        <v>0.25067069601730502</v>
      </c>
      <c r="BW179" s="251">
        <f>'Income Statement'!BW155/'Revenue Model'!BW393</f>
        <v>0.25278017085789917</v>
      </c>
      <c r="BX179" s="251">
        <f>'Income Statement'!BX155/'Revenue Model'!BX393</f>
        <v>0.23729431626336522</v>
      </c>
      <c r="BY179" s="488">
        <f>'Income Statement'!BY155/'Revenue Model'!BY393</f>
        <v>0.24081309523809524</v>
      </c>
      <c r="BZ179" s="251">
        <f>'Income Statement'!BZ155/'Revenue Model'!BZ393</f>
        <v>0.24873692868053107</v>
      </c>
      <c r="CA179" s="251">
        <f>'Income Statement'!CA155/'Revenue Model'!CA393</f>
        <v>0.2588882101405009</v>
      </c>
      <c r="CB179" s="251">
        <f>'Income Statement'!CB155/'Revenue Model'!CB393</f>
        <v>0.26291257243638194</v>
      </c>
      <c r="CC179" s="488">
        <f>'Income Statement'!CC155/'Revenue Model'!CC393</f>
        <v>0.23542938704305766</v>
      </c>
      <c r="CD179" s="251">
        <f>'Income Statement'!CD155/'Revenue Model'!CD393</f>
        <v>0.25583889418493805</v>
      </c>
      <c r="CE179" s="251">
        <f>'Income Statement'!CE155/'Revenue Model'!CE393</f>
        <v>0.25398019305503322</v>
      </c>
      <c r="CF179" s="251">
        <f>'Income Statement'!CF155/'Revenue Model'!CF393</f>
        <v>0.25238981998758536</v>
      </c>
      <c r="CG179" s="488">
        <f>'Income Statement'!CG155/'Revenue Model'!CG393</f>
        <v>0.22482714773901297</v>
      </c>
      <c r="CH179" s="251">
        <f>'Income Statement'!CH155/'Revenue Model'!CH393</f>
        <v>0.25311720698254364</v>
      </c>
      <c r="CI179" s="251">
        <f>'Income Statement'!CI155/'Revenue Model'!CI393</f>
        <v>0.24298346789696271</v>
      </c>
      <c r="CJ179" s="251">
        <f>'Income Statement'!CJ155/'Revenue Model'!CJ393</f>
        <v>0.2417568095920761</v>
      </c>
      <c r="CK179" s="488">
        <f>'Income Statement'!CK155/'Revenue Model'!CK393</f>
        <v>0.22390438247011951</v>
      </c>
      <c r="CL179" s="251">
        <f>'Income Statement'!CL155/'Revenue Model'!CL393</f>
        <v>0.25311720698254364</v>
      </c>
      <c r="CM179" s="251">
        <f>'Income Statement'!CM155/'Revenue Model'!CM393</f>
        <v>0.24298346789696271</v>
      </c>
      <c r="CN179" s="251">
        <f>'Income Statement'!CN155/'Revenue Model'!CN393</f>
        <v>0.2417568095920761</v>
      </c>
      <c r="CO179" s="488">
        <f>'Income Statement'!CO155/'Revenue Model'!CO393</f>
        <v>0.22390438247011951</v>
      </c>
      <c r="CP179" s="251">
        <f>'Income Statement'!CP155/'Revenue Model'!CP393</f>
        <v>0.23395419078781776</v>
      </c>
      <c r="CQ179" s="251">
        <f>'Income Statement'!CQ155/'Revenue Model'!CQ393</f>
        <v>0.23935691318327973</v>
      </c>
      <c r="CR179" s="251">
        <f>'Income Statement'!CR155/'Revenue Model'!CR393</f>
        <v>0.23502304147465439</v>
      </c>
      <c r="CS179" s="488">
        <f>'Income Statement'!CS155/'Revenue Model'!CS393</f>
        <v>0.19954464140510653</v>
      </c>
      <c r="CT179" s="251">
        <f>'Income Statement'!CT155/'Revenue Model'!CT393</f>
        <v>0.22657756072484256</v>
      </c>
      <c r="CU179" s="251">
        <f>'Income Statement'!CU155/'Revenue Model'!CU393</f>
        <v>0.23441001977587345</v>
      </c>
      <c r="CV179" s="251">
        <f>'Income Statement'!CV155/'Revenue Model'!CV393</f>
        <v>0.23035535535535537</v>
      </c>
      <c r="CW179" s="488">
        <f>'Income Statement'!CW155/'Revenue Model'!CW393</f>
        <v>0.21249113963928487</v>
      </c>
      <c r="CX179" s="50">
        <f>'Income Statement'!CX155/'Revenue Model'!CX393</f>
        <v>0.22915082382762991</v>
      </c>
      <c r="CY179" s="50">
        <f>'Income Statement'!CY155/'Revenue Model'!CY393</f>
        <v>0.24574765168824575</v>
      </c>
      <c r="CZ179" s="50">
        <f>'Income Statement'!CZ155/'Revenue Model'!CZ393</f>
        <v>0.24079110012360938</v>
      </c>
      <c r="DA179" s="550">
        <f>'Income Statement'!DA155/'Revenue Model'!DA393</f>
        <v>0.21619892859998402</v>
      </c>
      <c r="DB179" s="208">
        <f>'Income Statement'!DB155/'Revenue Model'!DB393</f>
        <v>0.23029761144462893</v>
      </c>
      <c r="DC179" s="208">
        <f>'Income Statement'!DC155/'Revenue Model'!DC393</f>
        <v>0.24020788439599441</v>
      </c>
      <c r="DD179" s="208">
        <f>'Income Statement'!DD155/'Revenue Model'!DD393</f>
        <v>0.24658203125</v>
      </c>
      <c r="DE179" s="572">
        <f>'Income Statement'!DE155/'Revenue Model'!DE393</f>
        <v>0.22280758631869022</v>
      </c>
      <c r="DF179" s="208">
        <f>'Income Statement'!DF155/'Revenue Model'!DF393</f>
        <v>0.2364762386248736</v>
      </c>
      <c r="DG179" s="208">
        <f>'Income Statement'!DG155/'Revenue Model'!DG393</f>
        <v>0.23996615087040618</v>
      </c>
      <c r="DH179" s="208">
        <f>'Income Statement'!DH155/'Revenue Model'!DH393</f>
        <v>0.24684960546460957</v>
      </c>
      <c r="DI179" s="572">
        <f>'Income Statement'!DI155/'Revenue Model'!DI393</f>
        <v>0.22256380925144778</v>
      </c>
      <c r="DJ179" s="2704">
        <f t="shared" ref="DJ179:DM179" si="576">CHOOSE(scenario,DJ180,DJ181,DJ182)</f>
        <v>0.23499999999999999</v>
      </c>
      <c r="DK179" s="1552">
        <f t="shared" si="576"/>
        <v>0.23899999999999999</v>
      </c>
      <c r="DL179" s="1552">
        <f t="shared" si="576"/>
        <v>0.246</v>
      </c>
      <c r="DM179" s="1551">
        <f t="shared" si="576"/>
        <v>0.2225</v>
      </c>
      <c r="DN179" s="757"/>
      <c r="DO179" s="1518"/>
      <c r="DP179" s="208"/>
      <c r="DQ179" s="208"/>
      <c r="DR179" s="208"/>
      <c r="DS179" s="208"/>
      <c r="DT179" s="208"/>
      <c r="DU179" s="208"/>
      <c r="DV179" s="208"/>
      <c r="DW179" s="208"/>
      <c r="DX179" s="208"/>
      <c r="DY179" s="208"/>
      <c r="DZ179" s="208"/>
      <c r="EA179" s="208"/>
      <c r="EB179" s="208"/>
      <c r="EC179" s="208"/>
      <c r="ED179" s="208"/>
      <c r="EE179" s="208"/>
      <c r="EF179" s="208"/>
      <c r="EG179" s="208"/>
      <c r="EH179" s="208"/>
      <c r="EI179" s="1519">
        <f>'Income Statement'!EI155/'Revenue Model'!EI393</f>
        <v>0.23807279818004548</v>
      </c>
      <c r="EJ179" s="1519">
        <f>'Income Statement'!EJ155/'Revenue Model'!EJ393</f>
        <v>0.25314284149013883</v>
      </c>
      <c r="EK179" s="1519">
        <f>'Income Statement'!EK155/'Revenue Model'!EK393</f>
        <v>0.24844316973349234</v>
      </c>
      <c r="EL179" s="1519">
        <f>'Income Statement'!EL155/'Revenue Model'!EL393</f>
        <v>0.24482696231397022</v>
      </c>
      <c r="EM179" s="1519">
        <f>'Income Statement'!EM155/'Revenue Model'!EM393</f>
        <v>0.24578468776732249</v>
      </c>
      <c r="EN179" s="1519">
        <f>'Income Statement'!EN155/'Revenue Model'!EN393</f>
        <v>0.24186074931661036</v>
      </c>
      <c r="EO179" s="1519">
        <f>'Income Statement'!EO155/'Revenue Model'!EO393</f>
        <v>0.25208462862367559</v>
      </c>
      <c r="EP179" s="1519">
        <f>'Income Statement'!EP155/'Revenue Model'!EP393</f>
        <v>0.24468150312043555</v>
      </c>
      <c r="EQ179" s="1519">
        <f>'Income Statement'!EQ155/'Revenue Model'!EQ393</f>
        <v>0.24948315210095315</v>
      </c>
      <c r="ER179" s="1519">
        <f>'Income Statement'!ER155/'Revenue Model'!ER393</f>
        <v>0.24414299997297809</v>
      </c>
      <c r="ES179" s="1519">
        <f>'Income Statement'!ES155/'Revenue Model'!ES393</f>
        <v>0.23865610073816762</v>
      </c>
      <c r="ET179" s="1519">
        <f>'Income Statement'!ET155/'Revenue Model'!ET393</f>
        <v>0.23865610073816762</v>
      </c>
      <c r="EU179" s="50">
        <f>'Income Statement'!EU155/'Revenue Model'!EU393</f>
        <v>0.22354944042867908</v>
      </c>
      <c r="EV179" s="50">
        <f>'Income Statement'!EV155/'Revenue Model'!EV393</f>
        <v>0.22410206628761614</v>
      </c>
      <c r="EW179" s="50">
        <f>'Income Statement'!EW155/'Revenue Model'!EW393</f>
        <v>0.23088134194967688</v>
      </c>
      <c r="EX179" s="208">
        <f>'Income Statement'!EX155/'Revenue Model'!EX393</f>
        <v>0.23358530125800045</v>
      </c>
      <c r="EY179" s="208">
        <f>'Income Statement'!EY155/'Revenue Model'!EY393</f>
        <v>0.23446795302881382</v>
      </c>
      <c r="EZ179" s="1739">
        <f>'Income Statement'!EZ155/'Revenue Model'!EZ393</f>
        <v>0.23383585986158797</v>
      </c>
      <c r="FA179" s="1556">
        <f t="shared" ref="FA179:FF179" si="577">CHOOSE(scenario,FA180,FA181,FA182)</f>
        <v>0.23330000000000001</v>
      </c>
      <c r="FB179" s="1556">
        <f t="shared" si="577"/>
        <v>0.2336</v>
      </c>
      <c r="FC179" s="1556">
        <f t="shared" si="577"/>
        <v>0.2331</v>
      </c>
      <c r="FD179" s="1556">
        <f t="shared" si="577"/>
        <v>0.2326</v>
      </c>
      <c r="FE179" s="1556">
        <f t="shared" si="577"/>
        <v>0.2321</v>
      </c>
      <c r="FF179" s="1556">
        <f t="shared" si="577"/>
        <v>0.2316</v>
      </c>
      <c r="FG179" s="1556">
        <f>CHOOSE(scenario,FG180,FG181,FG182)</f>
        <v>0.2311</v>
      </c>
      <c r="FH179" s="1551">
        <f>CHOOSE(scenario,FH180,FH181,FH182)</f>
        <v>0.2306</v>
      </c>
      <c r="FI179" s="413"/>
      <c r="FJ179"/>
      <c r="FK179"/>
      <c r="FL179"/>
      <c r="FM179"/>
      <c r="FN179"/>
      <c r="FO179"/>
      <c r="FP179" s="4"/>
      <c r="FQ179" s="4"/>
      <c r="FR179" s="4"/>
      <c r="FS179" s="221"/>
      <c r="FT179" s="221"/>
      <c r="FU179"/>
      <c r="FV179" s="1605"/>
      <c r="FW179" s="1605"/>
      <c r="FX179" s="1605"/>
      <c r="FY179"/>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row>
    <row r="180" spans="1:260" s="6" customFormat="1" hidden="1" outlineLevel="1" x14ac:dyDescent="0.2">
      <c r="A180" s="763" t="s">
        <v>593</v>
      </c>
      <c r="B180" s="287"/>
      <c r="C180" s="287"/>
      <c r="D180" s="287"/>
      <c r="E180" s="477"/>
      <c r="F180" s="102"/>
      <c r="G180" s="102"/>
      <c r="H180" s="102"/>
      <c r="I180" s="480"/>
      <c r="J180" s="102"/>
      <c r="K180" s="102"/>
      <c r="L180" s="102"/>
      <c r="M180" s="480"/>
      <c r="N180" s="102"/>
      <c r="O180" s="102"/>
      <c r="P180" s="102"/>
      <c r="Q180" s="480"/>
      <c r="R180" s="102"/>
      <c r="S180" s="102"/>
      <c r="T180" s="102"/>
      <c r="U180" s="480"/>
      <c r="V180" s="102"/>
      <c r="W180" s="102"/>
      <c r="X180" s="102"/>
      <c r="Y180" s="480"/>
      <c r="Z180" s="102"/>
      <c r="AA180" s="102"/>
      <c r="AB180" s="102"/>
      <c r="AC180" s="480"/>
      <c r="AD180" s="102"/>
      <c r="AE180" s="102"/>
      <c r="AF180" s="102"/>
      <c r="AG180" s="480"/>
      <c r="AH180" s="102"/>
      <c r="AI180" s="102"/>
      <c r="AJ180" s="102"/>
      <c r="AK180" s="480"/>
      <c r="AL180" s="102"/>
      <c r="AM180" s="102"/>
      <c r="AN180" s="102"/>
      <c r="AO180" s="480"/>
      <c r="AP180" s="102"/>
      <c r="AQ180" s="102"/>
      <c r="AR180" s="102"/>
      <c r="AS180" s="480"/>
      <c r="AT180" s="102"/>
      <c r="AU180" s="102"/>
      <c r="AV180" s="102"/>
      <c r="AW180" s="480"/>
      <c r="AX180" s="251"/>
      <c r="AY180" s="251"/>
      <c r="AZ180" s="251"/>
      <c r="BA180" s="488"/>
      <c r="BB180" s="251"/>
      <c r="BC180" s="251"/>
      <c r="BD180" s="251"/>
      <c r="BE180" s="488"/>
      <c r="BF180" s="251"/>
      <c r="BG180" s="251"/>
      <c r="BH180" s="251"/>
      <c r="BI180" s="488"/>
      <c r="BJ180" s="251"/>
      <c r="BK180" s="251"/>
      <c r="BL180" s="251"/>
      <c r="BM180" s="488"/>
      <c r="BN180" s="251"/>
      <c r="BO180" s="251"/>
      <c r="BP180" s="251"/>
      <c r="BQ180" s="488"/>
      <c r="BR180" s="251"/>
      <c r="BS180" s="251"/>
      <c r="BT180" s="251"/>
      <c r="BU180" s="488"/>
      <c r="BV180" s="251"/>
      <c r="BW180" s="251"/>
      <c r="BX180" s="251"/>
      <c r="BY180" s="488"/>
      <c r="BZ180" s="251"/>
      <c r="CA180" s="251"/>
      <c r="CB180" s="251"/>
      <c r="CC180" s="488"/>
      <c r="CD180" s="251"/>
      <c r="CE180" s="251"/>
      <c r="CF180" s="251"/>
      <c r="CG180" s="488"/>
      <c r="CH180" s="251"/>
      <c r="CI180" s="251"/>
      <c r="CJ180" s="251"/>
      <c r="CK180" s="488"/>
      <c r="CL180" s="251"/>
      <c r="CM180" s="251"/>
      <c r="CN180" s="251"/>
      <c r="CO180" s="488"/>
      <c r="CP180" s="251"/>
      <c r="CQ180" s="251"/>
      <c r="CR180" s="251"/>
      <c r="CS180" s="488"/>
      <c r="CT180" s="77"/>
      <c r="CU180" s="251"/>
      <c r="CV180" s="251"/>
      <c r="CW180" s="488"/>
      <c r="CX180" s="1512"/>
      <c r="CY180" s="70"/>
      <c r="CZ180" s="1512"/>
      <c r="DA180" s="1511"/>
      <c r="DB180" s="1512"/>
      <c r="DC180" s="1512"/>
      <c r="DD180" s="1512"/>
      <c r="DE180" s="487"/>
      <c r="DF180" s="70"/>
      <c r="DG180" s="70"/>
      <c r="DH180" s="70"/>
      <c r="DI180" s="487"/>
      <c r="DJ180" s="1673">
        <f t="shared" ref="DJ180:DM180" si="578">DJ181+0.05%</f>
        <v>0.23549999999999999</v>
      </c>
      <c r="DK180" s="70">
        <f t="shared" si="578"/>
        <v>0.23949999999999999</v>
      </c>
      <c r="DL180" s="70">
        <f t="shared" si="578"/>
        <v>0.2465</v>
      </c>
      <c r="DM180" s="487">
        <f t="shared" si="578"/>
        <v>0.223</v>
      </c>
      <c r="DN180" s="589"/>
      <c r="DO180" s="1511"/>
      <c r="DP180" s="77"/>
      <c r="DQ180" s="77"/>
      <c r="DR180" s="77"/>
      <c r="DS180" s="77"/>
      <c r="DT180" s="77"/>
      <c r="DU180" s="77"/>
      <c r="DV180" s="77"/>
      <c r="DW180" s="77"/>
      <c r="DX180" s="77"/>
      <c r="DY180" s="77"/>
      <c r="DZ180" s="77"/>
      <c r="EA180" s="77"/>
      <c r="EB180" s="77"/>
      <c r="EC180" s="77"/>
      <c r="ED180" s="77"/>
      <c r="EE180" s="77"/>
      <c r="EF180" s="77"/>
      <c r="EG180" s="77"/>
      <c r="EH180" s="77"/>
      <c r="EI180" s="1512"/>
      <c r="EJ180" s="1512"/>
      <c r="EK180" s="1512"/>
      <c r="EL180" s="1512"/>
      <c r="EM180" s="1512"/>
      <c r="EN180" s="1512"/>
      <c r="EO180" s="1512"/>
      <c r="EP180" s="1512"/>
      <c r="EQ180" s="1512"/>
      <c r="ER180" s="1512"/>
      <c r="ES180" s="1512"/>
      <c r="ET180" s="1512"/>
      <c r="EU180" s="1512"/>
      <c r="EV180" s="1512"/>
      <c r="EW180" s="1512"/>
      <c r="EX180" s="1512"/>
      <c r="EY180" s="1512"/>
      <c r="EZ180" s="1772"/>
      <c r="FA180" s="70">
        <f>FA181+0.1%</f>
        <v>0.23430000000000001</v>
      </c>
      <c r="FB180" s="70">
        <f>FB181+0.1%</f>
        <v>0.2346</v>
      </c>
      <c r="FC180" s="70">
        <f t="shared" ref="FB180:FH180" si="579">FC181+0.25%</f>
        <v>0.2356</v>
      </c>
      <c r="FD180" s="70">
        <f t="shared" si="579"/>
        <v>0.2351</v>
      </c>
      <c r="FE180" s="70">
        <f t="shared" si="579"/>
        <v>0.2346</v>
      </c>
      <c r="FF180" s="70">
        <f t="shared" si="579"/>
        <v>0.2341</v>
      </c>
      <c r="FG180" s="70">
        <f t="shared" si="579"/>
        <v>0.2336</v>
      </c>
      <c r="FH180" s="487">
        <f t="shared" si="579"/>
        <v>0.2331</v>
      </c>
      <c r="FI180" s="413"/>
      <c r="FJ180"/>
      <c r="FK180"/>
      <c r="FL180"/>
      <c r="FM180"/>
      <c r="FN180"/>
      <c r="FO180"/>
      <c r="FP180" s="4"/>
      <c r="FQ180" s="4"/>
      <c r="FR180" s="4"/>
      <c r="FS180" s="70"/>
      <c r="FT180" s="70"/>
      <c r="FU180"/>
      <c r="FV180" s="70"/>
      <c r="FW180" s="70"/>
      <c r="FX180" s="70"/>
      <c r="FY180"/>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row>
    <row r="181" spans="1:260" s="6" customFormat="1" hidden="1" outlineLevel="1" x14ac:dyDescent="0.2">
      <c r="A181" s="763" t="s">
        <v>594</v>
      </c>
      <c r="B181" s="287"/>
      <c r="C181" s="287"/>
      <c r="D181" s="287"/>
      <c r="E181" s="477"/>
      <c r="F181" s="102"/>
      <c r="G181" s="102"/>
      <c r="H181" s="102"/>
      <c r="I181" s="480"/>
      <c r="J181" s="102"/>
      <c r="K181" s="102"/>
      <c r="L181" s="102"/>
      <c r="M181" s="480"/>
      <c r="N181" s="102"/>
      <c r="O181" s="102"/>
      <c r="P181" s="102"/>
      <c r="Q181" s="480"/>
      <c r="R181" s="102"/>
      <c r="S181" s="102"/>
      <c r="T181" s="102"/>
      <c r="U181" s="480"/>
      <c r="V181" s="102"/>
      <c r="W181" s="102"/>
      <c r="X181" s="102"/>
      <c r="Y181" s="480"/>
      <c r="Z181" s="102"/>
      <c r="AA181" s="102"/>
      <c r="AB181" s="102"/>
      <c r="AC181" s="480"/>
      <c r="AD181" s="102"/>
      <c r="AE181" s="102"/>
      <c r="AF181" s="102"/>
      <c r="AG181" s="480"/>
      <c r="AH181" s="102"/>
      <c r="AI181" s="102"/>
      <c r="AJ181" s="102"/>
      <c r="AK181" s="480"/>
      <c r="AL181" s="102"/>
      <c r="AM181" s="102"/>
      <c r="AN181" s="102"/>
      <c r="AO181" s="480"/>
      <c r="AP181" s="102"/>
      <c r="AQ181" s="102"/>
      <c r="AR181" s="102"/>
      <c r="AS181" s="480"/>
      <c r="AT181" s="102"/>
      <c r="AU181" s="102"/>
      <c r="AV181" s="102"/>
      <c r="AW181" s="480"/>
      <c r="AX181" s="251"/>
      <c r="AY181" s="251"/>
      <c r="AZ181" s="251"/>
      <c r="BA181" s="488"/>
      <c r="BB181" s="251"/>
      <c r="BC181" s="251"/>
      <c r="BD181" s="251"/>
      <c r="BE181" s="488"/>
      <c r="BF181" s="251"/>
      <c r="BG181" s="251"/>
      <c r="BH181" s="251"/>
      <c r="BI181" s="488"/>
      <c r="BJ181" s="251"/>
      <c r="BK181" s="251"/>
      <c r="BL181" s="251"/>
      <c r="BM181" s="488"/>
      <c r="BN181" s="251"/>
      <c r="BO181" s="251"/>
      <c r="BP181" s="251"/>
      <c r="BQ181" s="488"/>
      <c r="BR181" s="251"/>
      <c r="BS181" s="251"/>
      <c r="BT181" s="251"/>
      <c r="BU181" s="488"/>
      <c r="BV181" s="251"/>
      <c r="BW181" s="251"/>
      <c r="BX181" s="251"/>
      <c r="BY181" s="488"/>
      <c r="BZ181" s="251"/>
      <c r="CA181" s="251"/>
      <c r="CB181" s="251"/>
      <c r="CC181" s="488"/>
      <c r="CD181" s="251"/>
      <c r="CE181" s="251"/>
      <c r="CF181" s="251"/>
      <c r="CG181" s="488"/>
      <c r="CH181" s="251"/>
      <c r="CI181" s="251"/>
      <c r="CJ181" s="251"/>
      <c r="CK181" s="488"/>
      <c r="CL181" s="251"/>
      <c r="CM181" s="251"/>
      <c r="CN181" s="251"/>
      <c r="CO181" s="488"/>
      <c r="CP181" s="251"/>
      <c r="CQ181" s="251"/>
      <c r="CR181" s="251"/>
      <c r="CS181" s="488"/>
      <c r="CT181" s="89"/>
      <c r="CU181" s="251"/>
      <c r="CV181" s="251"/>
      <c r="CW181" s="488"/>
      <c r="CX181" s="1512"/>
      <c r="CY181" s="170"/>
      <c r="CZ181" s="1512"/>
      <c r="DA181" s="1511"/>
      <c r="DB181" s="1512"/>
      <c r="DC181" s="1512"/>
      <c r="DD181" s="2227"/>
      <c r="DE181" s="2190"/>
      <c r="DF181" s="1610"/>
      <c r="DG181" s="1610"/>
      <c r="DH181" s="1610"/>
      <c r="DI181" s="2190"/>
      <c r="DJ181" s="2383">
        <v>0.23499999999999999</v>
      </c>
      <c r="DK181" s="1554">
        <v>0.23899999999999999</v>
      </c>
      <c r="DL181" s="1554">
        <v>0.246</v>
      </c>
      <c r="DM181" s="1553">
        <v>0.2225</v>
      </c>
      <c r="DN181" s="589"/>
      <c r="DO181" s="1520"/>
      <c r="DP181" s="52"/>
      <c r="DQ181" s="52"/>
      <c r="DR181" s="52"/>
      <c r="DS181" s="52"/>
      <c r="DT181" s="52"/>
      <c r="DU181" s="52"/>
      <c r="DV181" s="52"/>
      <c r="DW181" s="52"/>
      <c r="DX181" s="52"/>
      <c r="DY181" s="52"/>
      <c r="DZ181" s="52"/>
      <c r="EA181" s="52"/>
      <c r="EB181" s="52"/>
      <c r="EC181" s="52"/>
      <c r="ED181" s="52"/>
      <c r="EE181" s="52"/>
      <c r="EF181" s="52"/>
      <c r="EG181" s="52"/>
      <c r="EH181" s="52"/>
      <c r="EI181" s="1521"/>
      <c r="EJ181" s="1521"/>
      <c r="EK181" s="1521"/>
      <c r="EL181" s="1521"/>
      <c r="EM181" s="1521"/>
      <c r="EN181" s="1521"/>
      <c r="EO181" s="1521"/>
      <c r="EP181" s="1521"/>
      <c r="EQ181" s="1521"/>
      <c r="ER181" s="1521"/>
      <c r="ES181" s="1521"/>
      <c r="ET181" s="1521"/>
      <c r="EU181" s="1521"/>
      <c r="EV181" s="1521"/>
      <c r="EW181" s="1521"/>
      <c r="EX181" s="1521"/>
      <c r="EY181" s="1521"/>
      <c r="EZ181" s="1773"/>
      <c r="FA181" s="1555">
        <v>0.23330000000000001</v>
      </c>
      <c r="FB181" s="1555">
        <v>0.2336</v>
      </c>
      <c r="FC181" s="1555">
        <f t="shared" ref="FB181:FH181" si="580">+FB181-0.05%</f>
        <v>0.2331</v>
      </c>
      <c r="FD181" s="1555">
        <f t="shared" si="580"/>
        <v>0.2326</v>
      </c>
      <c r="FE181" s="1555">
        <f t="shared" si="580"/>
        <v>0.2321</v>
      </c>
      <c r="FF181" s="1555">
        <f t="shared" si="580"/>
        <v>0.2316</v>
      </c>
      <c r="FG181" s="1555">
        <f t="shared" si="580"/>
        <v>0.2311</v>
      </c>
      <c r="FH181" s="1553">
        <f t="shared" si="580"/>
        <v>0.2306</v>
      </c>
      <c r="FI181" s="1522"/>
      <c r="FJ181"/>
      <c r="FK181"/>
      <c r="FL181"/>
      <c r="FM181"/>
      <c r="FN181"/>
      <c r="FO181"/>
      <c r="FP181" s="1388"/>
      <c r="FQ181" s="1388"/>
      <c r="FR181" s="1388"/>
      <c r="FS181" s="170"/>
      <c r="FT181" s="170"/>
      <c r="FU181"/>
      <c r="FV181" s="1606"/>
      <c r="FW181" s="1606"/>
      <c r="FX181" s="1606"/>
      <c r="FY181"/>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row>
    <row r="182" spans="1:260" s="6" customFormat="1" hidden="1" outlineLevel="1" x14ac:dyDescent="0.2">
      <c r="A182" s="763" t="s">
        <v>595</v>
      </c>
      <c r="B182" s="287"/>
      <c r="C182" s="287"/>
      <c r="D182" s="287"/>
      <c r="E182" s="477"/>
      <c r="F182" s="102"/>
      <c r="G182" s="102"/>
      <c r="H182" s="102"/>
      <c r="I182" s="480"/>
      <c r="J182" s="102"/>
      <c r="K182" s="102"/>
      <c r="L182" s="102"/>
      <c r="M182" s="480"/>
      <c r="N182" s="102"/>
      <c r="O182" s="102"/>
      <c r="P182" s="102"/>
      <c r="Q182" s="480"/>
      <c r="R182" s="102"/>
      <c r="S182" s="102"/>
      <c r="T182" s="102"/>
      <c r="U182" s="480"/>
      <c r="V182" s="102"/>
      <c r="W182" s="102"/>
      <c r="X182" s="102"/>
      <c r="Y182" s="480"/>
      <c r="Z182" s="102"/>
      <c r="AA182" s="102"/>
      <c r="AB182" s="102"/>
      <c r="AC182" s="480"/>
      <c r="AD182" s="102"/>
      <c r="AE182" s="102"/>
      <c r="AF182" s="102"/>
      <c r="AG182" s="480"/>
      <c r="AH182" s="102"/>
      <c r="AI182" s="102"/>
      <c r="AJ182" s="102"/>
      <c r="AK182" s="480"/>
      <c r="AL182" s="102"/>
      <c r="AM182" s="102"/>
      <c r="AN182" s="102"/>
      <c r="AO182" s="480"/>
      <c r="AP182" s="102"/>
      <c r="AQ182" s="102"/>
      <c r="AR182" s="102"/>
      <c r="AS182" s="480"/>
      <c r="AT182" s="102"/>
      <c r="AU182" s="102"/>
      <c r="AV182" s="102"/>
      <c r="AW182" s="480"/>
      <c r="AX182" s="251"/>
      <c r="AY182" s="251"/>
      <c r="AZ182" s="251"/>
      <c r="BA182" s="488"/>
      <c r="BB182" s="251"/>
      <c r="BC182" s="251"/>
      <c r="BD182" s="251"/>
      <c r="BE182" s="488"/>
      <c r="BF182" s="251"/>
      <c r="BG182" s="251"/>
      <c r="BH182" s="251"/>
      <c r="BI182" s="488"/>
      <c r="BJ182" s="251"/>
      <c r="BK182" s="251"/>
      <c r="BL182" s="251"/>
      <c r="BM182" s="488"/>
      <c r="BN182" s="251"/>
      <c r="BO182" s="251"/>
      <c r="BP182" s="251"/>
      <c r="BQ182" s="488"/>
      <c r="BR182" s="251"/>
      <c r="BS182" s="251"/>
      <c r="BT182" s="251"/>
      <c r="BU182" s="488"/>
      <c r="BV182" s="251"/>
      <c r="BW182" s="251"/>
      <c r="BX182" s="251"/>
      <c r="BY182" s="488"/>
      <c r="BZ182" s="251"/>
      <c r="CA182" s="251"/>
      <c r="CB182" s="251"/>
      <c r="CC182" s="488"/>
      <c r="CD182" s="251"/>
      <c r="CE182" s="251"/>
      <c r="CF182" s="251"/>
      <c r="CG182" s="488"/>
      <c r="CH182" s="251"/>
      <c r="CI182" s="251"/>
      <c r="CJ182" s="251"/>
      <c r="CK182" s="488"/>
      <c r="CL182" s="251"/>
      <c r="CM182" s="251"/>
      <c r="CN182" s="251"/>
      <c r="CO182" s="488"/>
      <c r="CP182" s="251"/>
      <c r="CQ182" s="251"/>
      <c r="CR182" s="251"/>
      <c r="CS182" s="488"/>
      <c r="CT182" s="77"/>
      <c r="CU182" s="251"/>
      <c r="CV182" s="251"/>
      <c r="CW182" s="488"/>
      <c r="CX182" s="1512"/>
      <c r="CY182" s="70"/>
      <c r="CZ182" s="1512"/>
      <c r="DA182" s="1511"/>
      <c r="DB182" s="1512"/>
      <c r="DC182" s="1512"/>
      <c r="DD182" s="1512"/>
      <c r="DE182" s="487"/>
      <c r="DF182" s="70"/>
      <c r="DG182" s="70"/>
      <c r="DH182" s="70"/>
      <c r="DI182" s="487"/>
      <c r="DJ182" s="1673">
        <f>DJ181-0.1%</f>
        <v>0.23399999999999999</v>
      </c>
      <c r="DK182" s="70">
        <f t="shared" ref="DK182:DM182" si="581">DK181-0.1%</f>
        <v>0.23799999999999999</v>
      </c>
      <c r="DL182" s="70">
        <f t="shared" si="581"/>
        <v>0.245</v>
      </c>
      <c r="DM182" s="487">
        <f t="shared" si="581"/>
        <v>0.2215</v>
      </c>
      <c r="DN182" s="589"/>
      <c r="DO182" s="1511"/>
      <c r="DP182" s="77"/>
      <c r="DQ182" s="77"/>
      <c r="DR182" s="77"/>
      <c r="DS182" s="77"/>
      <c r="DT182" s="77"/>
      <c r="DU182" s="77"/>
      <c r="DV182" s="77"/>
      <c r="DW182" s="77"/>
      <c r="DX182" s="77"/>
      <c r="DY182" s="77"/>
      <c r="DZ182" s="77"/>
      <c r="EA182" s="77"/>
      <c r="EB182" s="77"/>
      <c r="EC182" s="77"/>
      <c r="ED182" s="77"/>
      <c r="EE182" s="77"/>
      <c r="EF182" s="77"/>
      <c r="EG182" s="77"/>
      <c r="EH182" s="77"/>
      <c r="EI182" s="1512"/>
      <c r="EJ182" s="1512"/>
      <c r="EK182" s="1512"/>
      <c r="EL182" s="1512"/>
      <c r="EM182" s="1512"/>
      <c r="EN182" s="1512"/>
      <c r="EO182" s="1512"/>
      <c r="EP182" s="1512"/>
      <c r="EQ182" s="1512"/>
      <c r="ER182" s="1512"/>
      <c r="ES182" s="1512"/>
      <c r="ET182" s="1512"/>
      <c r="EU182" s="1512"/>
      <c r="EV182" s="1512"/>
      <c r="EW182" s="1512"/>
      <c r="EX182" s="1512"/>
      <c r="EY182" s="1512"/>
      <c r="EZ182" s="1772"/>
      <c r="FA182" s="70">
        <f>FA181-0.1%</f>
        <v>0.23230000000000001</v>
      </c>
      <c r="FB182" s="70">
        <f>FB181-0.1%</f>
        <v>0.2326</v>
      </c>
      <c r="FC182" s="70">
        <f t="shared" ref="FA182:FH182" si="582">FC181-0.2%</f>
        <v>0.2311</v>
      </c>
      <c r="FD182" s="70">
        <f t="shared" si="582"/>
        <v>0.2306</v>
      </c>
      <c r="FE182" s="70">
        <f t="shared" si="582"/>
        <v>0.2301</v>
      </c>
      <c r="FF182" s="70">
        <f t="shared" si="582"/>
        <v>0.2296</v>
      </c>
      <c r="FG182" s="70">
        <f t="shared" si="582"/>
        <v>0.2291</v>
      </c>
      <c r="FH182" s="487">
        <f t="shared" si="582"/>
        <v>0.2286</v>
      </c>
      <c r="FI182" s="413"/>
      <c r="FJ182"/>
      <c r="FK182"/>
      <c r="FL182"/>
      <c r="FM182"/>
      <c r="FN182"/>
      <c r="FO182"/>
      <c r="FP182" s="4"/>
      <c r="FQ182" s="4"/>
      <c r="FR182" s="4"/>
      <c r="FS182" s="70"/>
      <c r="FT182" s="70"/>
      <c r="FU182"/>
      <c r="FV182" s="70"/>
      <c r="FW182" s="70"/>
      <c r="FX182" s="70"/>
      <c r="FY182"/>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row>
    <row r="183" spans="1:260" s="6" customFormat="1" collapsed="1" x14ac:dyDescent="0.2">
      <c r="A183" s="395" t="s">
        <v>585</v>
      </c>
      <c r="B183" s="287"/>
      <c r="C183" s="287"/>
      <c r="D183" s="287"/>
      <c r="E183" s="477"/>
      <c r="F183" s="213" t="s">
        <v>483</v>
      </c>
      <c r="G183" s="213" t="s">
        <v>483</v>
      </c>
      <c r="H183" s="213" t="s">
        <v>483</v>
      </c>
      <c r="I183" s="490" t="s">
        <v>483</v>
      </c>
      <c r="J183" s="213" t="s">
        <v>483</v>
      </c>
      <c r="K183" s="213" t="s">
        <v>483</v>
      </c>
      <c r="L183" s="213" t="s">
        <v>483</v>
      </c>
      <c r="M183" s="490" t="s">
        <v>483</v>
      </c>
      <c r="N183" s="213" t="s">
        <v>483</v>
      </c>
      <c r="O183" s="213" t="s">
        <v>483</v>
      </c>
      <c r="P183" s="213" t="s">
        <v>483</v>
      </c>
      <c r="Q183" s="490" t="s">
        <v>483</v>
      </c>
      <c r="R183" s="213" t="s">
        <v>483</v>
      </c>
      <c r="S183" s="213" t="s">
        <v>483</v>
      </c>
      <c r="T183" s="213" t="s">
        <v>483</v>
      </c>
      <c r="U183" s="490" t="s">
        <v>483</v>
      </c>
      <c r="V183" s="213" t="s">
        <v>483</v>
      </c>
      <c r="W183" s="213" t="s">
        <v>483</v>
      </c>
      <c r="X183" s="213" t="s">
        <v>483</v>
      </c>
      <c r="Y183" s="490" t="s">
        <v>483</v>
      </c>
      <c r="Z183" s="213" t="s">
        <v>483</v>
      </c>
      <c r="AA183" s="213" t="s">
        <v>483</v>
      </c>
      <c r="AB183" s="213" t="s">
        <v>483</v>
      </c>
      <c r="AC183" s="490" t="s">
        <v>483</v>
      </c>
      <c r="AD183" s="213" t="s">
        <v>483</v>
      </c>
      <c r="AE183" s="213" t="s">
        <v>483</v>
      </c>
      <c r="AF183" s="213" t="s">
        <v>483</v>
      </c>
      <c r="AG183" s="490" t="s">
        <v>483</v>
      </c>
      <c r="AH183" s="213" t="s">
        <v>483</v>
      </c>
      <c r="AI183" s="213" t="s">
        <v>483</v>
      </c>
      <c r="AJ183" s="213" t="s">
        <v>483</v>
      </c>
      <c r="AK183" s="490" t="s">
        <v>483</v>
      </c>
      <c r="AL183" s="213" t="s">
        <v>483</v>
      </c>
      <c r="AM183" s="213" t="s">
        <v>483</v>
      </c>
      <c r="AN183" s="213" t="s">
        <v>483</v>
      </c>
      <c r="AO183" s="490" t="s">
        <v>483</v>
      </c>
      <c r="AP183" s="213" t="s">
        <v>483</v>
      </c>
      <c r="AQ183" s="213" t="s">
        <v>483</v>
      </c>
      <c r="AR183" s="213" t="s">
        <v>483</v>
      </c>
      <c r="AS183" s="490" t="s">
        <v>483</v>
      </c>
      <c r="AT183" s="213" t="s">
        <v>483</v>
      </c>
      <c r="AU183" s="213" t="s">
        <v>483</v>
      </c>
      <c r="AV183" s="213" t="s">
        <v>483</v>
      </c>
      <c r="AW183" s="490" t="s">
        <v>483</v>
      </c>
      <c r="AX183" s="101">
        <v>0.23499999999999999</v>
      </c>
      <c r="AY183" s="101">
        <v>0.23899999999999999</v>
      </c>
      <c r="AZ183" s="101">
        <v>0.216</v>
      </c>
      <c r="BA183" s="493">
        <v>0.23</v>
      </c>
      <c r="BB183" s="251">
        <v>0.23400000000000001</v>
      </c>
      <c r="BC183" s="251">
        <v>0.221</v>
      </c>
      <c r="BD183" s="251">
        <v>0.21</v>
      </c>
      <c r="BE183" s="488">
        <v>0.21</v>
      </c>
      <c r="BF183" s="251">
        <v>0.19900000000000001</v>
      </c>
      <c r="BG183" s="251">
        <v>0.21199999999999999</v>
      </c>
      <c r="BH183" s="101">
        <v>0.20599999999999999</v>
      </c>
      <c r="BI183" s="493">
        <v>0.20899999999999999</v>
      </c>
      <c r="BJ183" s="251">
        <v>0.20300000000000001</v>
      </c>
      <c r="BK183" s="251">
        <v>0.21299999999999999</v>
      </c>
      <c r="BL183" s="101">
        <v>0.26100000000000001</v>
      </c>
      <c r="BM183" s="488">
        <v>0.247</v>
      </c>
      <c r="BN183" s="251">
        <v>0.26</v>
      </c>
      <c r="BO183" s="251">
        <v>0.245</v>
      </c>
      <c r="BP183" s="251">
        <v>0.254</v>
      </c>
      <c r="BQ183" s="488">
        <v>0.254</v>
      </c>
      <c r="BR183" s="251">
        <v>0.26300000000000001</v>
      </c>
      <c r="BS183" s="251">
        <v>0.25600000000000001</v>
      </c>
      <c r="BT183" s="251">
        <v>0.252</v>
      </c>
      <c r="BU183" s="488">
        <v>0.23899999999999999</v>
      </c>
      <c r="BV183" s="251">
        <v>0.25900000000000001</v>
      </c>
      <c r="BW183" s="251">
        <v>0.254</v>
      </c>
      <c r="BX183" s="251">
        <v>0.26</v>
      </c>
      <c r="BY183" s="488">
        <v>0.25850000000000001</v>
      </c>
      <c r="BZ183" s="251">
        <f>'Income Statement'!BZ156/'Revenue Model'!BZ398</f>
        <v>0.26254002134471716</v>
      </c>
      <c r="CA183" s="251">
        <f>'Income Statement'!CA156/'Revenue Model'!CA398</f>
        <v>0.26021347073978651</v>
      </c>
      <c r="CB183" s="251">
        <f>'Income Statement'!CB156/'Revenue Model'!CB398</f>
        <v>0.25895497863950051</v>
      </c>
      <c r="CC183" s="488">
        <f>'Income Statement'!CC156/'Revenue Model'!CC398</f>
        <v>0.24473813020068527</v>
      </c>
      <c r="CD183" s="251">
        <f>'Income Statement'!CD156/'Revenue Model'!CD398</f>
        <v>0.25999328182734294</v>
      </c>
      <c r="CE183" s="251">
        <f>'Income Statement'!CE156/'Revenue Model'!CE398</f>
        <v>0.25564432094477246</v>
      </c>
      <c r="CF183" s="251">
        <f>'Income Statement'!CF156/'Revenue Model'!CF398</f>
        <v>0.26537216828478966</v>
      </c>
      <c r="CG183" s="488">
        <f>'Income Statement'!CG156/'Revenue Model'!CG398</f>
        <v>0.2553816046966732</v>
      </c>
      <c r="CH183" s="251">
        <f>'Income Statement'!CH156/'Revenue Model'!CH398</f>
        <v>0.2417503586800574</v>
      </c>
      <c r="CI183" s="251">
        <f>'Income Statement'!CI156/'Revenue Model'!CI398</f>
        <v>0.2434402332361516</v>
      </c>
      <c r="CJ183" s="251">
        <f>'Income Statement'!CJ156/'Revenue Model'!CJ398</f>
        <v>0.23733766233766235</v>
      </c>
      <c r="CK183" s="488">
        <f>'Income Statement'!CK156/'Revenue Model'!CK398</f>
        <v>0.23359769286229271</v>
      </c>
      <c r="CL183" s="251">
        <f>'Income Statement'!CL156/'Revenue Model'!CL398</f>
        <v>0.22630560928433269</v>
      </c>
      <c r="CM183" s="251">
        <f>'Income Statement'!CM156/'Revenue Model'!CM398</f>
        <v>0.23763020833333334</v>
      </c>
      <c r="CN183" s="251">
        <f>'Income Statement'!CN156/'Revenue Model'!CN398</f>
        <v>0.21838407494145198</v>
      </c>
      <c r="CO183" s="488">
        <f>'Income Statement'!CO156/'Revenue Model'!CO398</f>
        <v>0.22273105745212324</v>
      </c>
      <c r="CP183" s="251">
        <f>'Income Statement'!CP156/'Revenue Model'!CP398</f>
        <v>0.25050916496945008</v>
      </c>
      <c r="CQ183" s="251">
        <f>'Income Statement'!CQ156/'Revenue Model'!CQ398</f>
        <v>0.2586027111574557</v>
      </c>
      <c r="CR183" s="251">
        <f>'Income Statement'!CR156/'Revenue Model'!CR398</f>
        <v>0.23111510791366907</v>
      </c>
      <c r="CS183" s="488">
        <f>'Income Statement'!CS156/'Revenue Model'!CS398</f>
        <v>0.21656050955414013</v>
      </c>
      <c r="CT183" s="251">
        <f>'Income Statement'!CT156/'Revenue Model'!CT398</f>
        <v>0.23776223776223776</v>
      </c>
      <c r="CU183" s="251">
        <f>'Income Statement'!CU156/'Revenue Model'!CU398</f>
        <v>0.2288329519450801</v>
      </c>
      <c r="CV183" s="251">
        <f>'Income Statement'!CV156/'Revenue Model'!CV398</f>
        <v>0.22596153846153846</v>
      </c>
      <c r="CW183" s="488">
        <f>'Income Statement'!CW156/'Revenue Model'!CW398</f>
        <v>0.21693121693121692</v>
      </c>
      <c r="CX183" s="50">
        <f>'Income Statement'!CX156/'Revenue Model'!CX398</f>
        <v>0.22754491017964071</v>
      </c>
      <c r="CY183" s="50">
        <f>'Income Statement'!CY156/'Revenue Model'!CY398</f>
        <v>0.22923076923076924</v>
      </c>
      <c r="CZ183" s="50">
        <f>'Income Statement'!CZ156/'Revenue Model'!CZ398</f>
        <v>0.22359396433470508</v>
      </c>
      <c r="DA183" s="550">
        <f>'Income Statement'!DA156/'Revenue Model'!DA398</f>
        <v>0.21863799283154123</v>
      </c>
      <c r="DB183" s="208">
        <f>'Income Statement'!DB156/'Revenue Model'!DB398</f>
        <v>0.25895765472312704</v>
      </c>
      <c r="DC183" s="208">
        <f>'Income Statement'!DC156/'Revenue Model'!DC398</f>
        <v>0.25931677018633542</v>
      </c>
      <c r="DD183" s="208">
        <f>'Income Statement'!DD156/'Revenue Model'!DD398</f>
        <v>0.24302788844621515</v>
      </c>
      <c r="DE183" s="572">
        <f>'Income Statement'!DE156/'Revenue Model'!DE398</f>
        <v>0.24562937062937062</v>
      </c>
      <c r="DF183" s="208">
        <f>'Income Statement'!DF156/'Revenue Model'!DF398</f>
        <v>0.24512987012987014</v>
      </c>
      <c r="DG183" s="208">
        <f>'Income Statement'!DG156/'Revenue Model'!DG398</f>
        <v>0.25149700598802394</v>
      </c>
      <c r="DH183" s="208">
        <f>'Income Statement'!DH156/'Revenue Model'!DH398</f>
        <v>0.22195416164053075</v>
      </c>
      <c r="DI183" s="572">
        <f>'Income Statement'!DI156/'Revenue Model'!DI398</f>
        <v>0.22383720930232559</v>
      </c>
      <c r="DJ183" s="2704">
        <f t="shared" ref="DJ183:DM183" si="583">CHOOSE(scenario,DJ184,DJ185,DJ186)</f>
        <v>0.23200000000000001</v>
      </c>
      <c r="DK183" s="1552">
        <f t="shared" si="583"/>
        <v>0.245</v>
      </c>
      <c r="DL183" s="1552">
        <f t="shared" si="583"/>
        <v>0.221</v>
      </c>
      <c r="DM183" s="1551">
        <f t="shared" si="583"/>
        <v>0.22900000000000001</v>
      </c>
      <c r="DN183" s="757"/>
      <c r="DO183" s="1518"/>
      <c r="DP183" s="208"/>
      <c r="DQ183" s="208"/>
      <c r="DR183" s="208"/>
      <c r="DS183" s="208"/>
      <c r="DT183" s="208"/>
      <c r="DU183" s="208"/>
      <c r="DV183" s="208"/>
      <c r="DW183" s="208"/>
      <c r="DX183" s="208"/>
      <c r="DY183" s="208"/>
      <c r="DZ183" s="208"/>
      <c r="EA183" s="208"/>
      <c r="EB183" s="208"/>
      <c r="EC183" s="208"/>
      <c r="ED183" s="208"/>
      <c r="EE183" s="208"/>
      <c r="EF183" s="208"/>
      <c r="EG183" s="208"/>
      <c r="EH183" s="208"/>
      <c r="EI183" s="764">
        <v>0.22500000000000001</v>
      </c>
      <c r="EJ183" s="208">
        <f>'Income Statement'!EJ156/'Income Statement'!EJ152</f>
        <v>0.29739387688450392</v>
      </c>
      <c r="EK183" s="208">
        <f>'Income Statement'!EK156/'Income Statement'!EK152</f>
        <v>0.27568011989259622</v>
      </c>
      <c r="EL183" s="208">
        <f>'Income Statement'!EL156/'Income Statement'!EL152</f>
        <v>0.26116279775074108</v>
      </c>
      <c r="EM183" s="208">
        <f>'Income Statement'!EM156/'Income Statement'!EM152</f>
        <v>0.3143167753208182</v>
      </c>
      <c r="EN183" s="208">
        <f>'Income Statement'!EN156/'Income Statement'!EN152</f>
        <v>0.33913234608198861</v>
      </c>
      <c r="EO183" s="208">
        <f>'Income Statement'!EO156/'Income Statement'!EO152</f>
        <v>0.33543980269861712</v>
      </c>
      <c r="EP183" s="1519">
        <f>'Income Statement'!EP156/'Revenue Model'!EP398</f>
        <v>0.25795359628770304</v>
      </c>
      <c r="EQ183" s="208">
        <f>'Income Statement'!EQ156/'Income Statement'!EQ152</f>
        <v>0.34306027164685909</v>
      </c>
      <c r="ER183" s="208">
        <f>'Income Statement'!ER156/'Income Statement'!ER152</f>
        <v>0.3492753623188406</v>
      </c>
      <c r="ES183" s="1519">
        <f>'Income Statement'!ES156/'Revenue Model'!ES398</f>
        <v>0.23839348626007986</v>
      </c>
      <c r="ET183" s="1519">
        <f>'Income Statement'!ET156/'Revenue Model'!ET398</f>
        <v>0.22564957621231069</v>
      </c>
      <c r="EU183" s="50">
        <f>'Income Statement'!EU156/'Revenue Model'!EU398</f>
        <v>0.23535564853556484</v>
      </c>
      <c r="EV183" s="50">
        <f>'Income Statement'!EV156/'Revenue Model'!EV398</f>
        <v>0.22572362278244631</v>
      </c>
      <c r="EW183" s="50">
        <f>'Income Statement'!EW156/'Revenue Model'!EW398</f>
        <v>0.2238381283591527</v>
      </c>
      <c r="EX183" s="208">
        <f>'Income Statement'!EX156/'Revenue Model'!EX398</f>
        <v>0.25039619651347067</v>
      </c>
      <c r="EY183" s="208">
        <f>'Income Statement'!EY156/'Revenue Model'!EY398</f>
        <v>0.23244482659787905</v>
      </c>
      <c r="EZ183" s="1739">
        <f>'Income Statement'!EZ156/'Revenue Model'!EZ398</f>
        <v>0.23066241924158326</v>
      </c>
      <c r="FA183" s="1556">
        <f t="shared" ref="FA183:FF183" si="584">CHOOSE(scenario,FA184,FA185,FA186)</f>
        <v>0.23</v>
      </c>
      <c r="FB183" s="1556">
        <f t="shared" si="584"/>
        <v>0.23</v>
      </c>
      <c r="FC183" s="1556">
        <f t="shared" si="584"/>
        <v>0.23</v>
      </c>
      <c r="FD183" s="1556">
        <f t="shared" si="584"/>
        <v>0.23</v>
      </c>
      <c r="FE183" s="1556">
        <f t="shared" si="584"/>
        <v>0.23</v>
      </c>
      <c r="FF183" s="1556">
        <f t="shared" si="584"/>
        <v>0.23</v>
      </c>
      <c r="FG183" s="1556">
        <f>CHOOSE(scenario,FG184,FG185,FG186)</f>
        <v>0.23</v>
      </c>
      <c r="FH183" s="1551">
        <f>CHOOSE(scenario,FH184,FH185,FH186)</f>
        <v>0.23</v>
      </c>
      <c r="FI183" s="413"/>
      <c r="FJ183"/>
      <c r="FK183"/>
      <c r="FL183"/>
      <c r="FM183"/>
      <c r="FN183"/>
      <c r="FO183"/>
      <c r="FP183" s="4"/>
      <c r="FQ183" s="4"/>
      <c r="FR183" s="4"/>
      <c r="FS183" s="221"/>
      <c r="FT183" s="221"/>
      <c r="FU183"/>
      <c r="FV183" s="1605"/>
      <c r="FW183" s="1605"/>
      <c r="FX183" s="1605"/>
      <c r="FY183"/>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row>
    <row r="184" spans="1:260" s="6" customFormat="1" hidden="1" outlineLevel="1" x14ac:dyDescent="0.2">
      <c r="A184" s="763" t="s">
        <v>593</v>
      </c>
      <c r="B184" s="287"/>
      <c r="C184" s="287"/>
      <c r="D184" s="287"/>
      <c r="E184" s="477"/>
      <c r="F184" s="102"/>
      <c r="G184" s="102"/>
      <c r="H184" s="102"/>
      <c r="I184" s="480"/>
      <c r="J184" s="102"/>
      <c r="K184" s="102"/>
      <c r="L184" s="102"/>
      <c r="M184" s="480"/>
      <c r="N184" s="102"/>
      <c r="O184" s="102"/>
      <c r="P184" s="102"/>
      <c r="Q184" s="480"/>
      <c r="R184" s="102"/>
      <c r="S184" s="102"/>
      <c r="T184" s="102"/>
      <c r="U184" s="480"/>
      <c r="V184" s="102"/>
      <c r="W184" s="102"/>
      <c r="X184" s="102"/>
      <c r="Y184" s="480"/>
      <c r="Z184" s="102"/>
      <c r="AA184" s="102"/>
      <c r="AB184" s="102"/>
      <c r="AC184" s="480"/>
      <c r="AD184" s="102"/>
      <c r="AE184" s="102"/>
      <c r="AF184" s="102"/>
      <c r="AG184" s="480"/>
      <c r="AH184" s="102"/>
      <c r="AI184" s="102"/>
      <c r="AJ184" s="102"/>
      <c r="AK184" s="480"/>
      <c r="AL184" s="102"/>
      <c r="AM184" s="102"/>
      <c r="AN184" s="102"/>
      <c r="AO184" s="480"/>
      <c r="AP184" s="102"/>
      <c r="AQ184" s="102"/>
      <c r="AR184" s="102"/>
      <c r="AS184" s="480"/>
      <c r="AT184" s="102"/>
      <c r="AU184" s="102"/>
      <c r="AV184" s="102"/>
      <c r="AW184" s="480"/>
      <c r="AX184" s="146"/>
      <c r="AY184" s="146"/>
      <c r="AZ184" s="146"/>
      <c r="BA184" s="489"/>
      <c r="BB184" s="163"/>
      <c r="BC184" s="163"/>
      <c r="BD184" s="163"/>
      <c r="BE184" s="492"/>
      <c r="BF184" s="163"/>
      <c r="BG184" s="163"/>
      <c r="BH184" s="146"/>
      <c r="BI184" s="489"/>
      <c r="BJ184" s="163"/>
      <c r="BK184" s="163"/>
      <c r="BL184" s="146"/>
      <c r="BM184" s="492"/>
      <c r="BN184" s="163"/>
      <c r="BO184" s="163"/>
      <c r="BP184" s="163"/>
      <c r="BQ184" s="492"/>
      <c r="BR184" s="163"/>
      <c r="BS184" s="163"/>
      <c r="BT184" s="163"/>
      <c r="BU184" s="492"/>
      <c r="BV184" s="1262"/>
      <c r="BW184" s="1262"/>
      <c r="BX184" s="1262"/>
      <c r="BY184" s="1263"/>
      <c r="BZ184" s="251"/>
      <c r="CA184" s="251"/>
      <c r="CB184" s="251"/>
      <c r="CC184" s="488"/>
      <c r="CD184" s="251"/>
      <c r="CE184" s="251"/>
      <c r="CF184" s="251"/>
      <c r="CG184" s="488"/>
      <c r="CH184" s="251"/>
      <c r="CI184" s="251"/>
      <c r="CJ184" s="251"/>
      <c r="CK184" s="488"/>
      <c r="CL184" s="251"/>
      <c r="CM184" s="251"/>
      <c r="CN184" s="251"/>
      <c r="CO184" s="488"/>
      <c r="CP184" s="251"/>
      <c r="CQ184" s="251"/>
      <c r="CR184" s="251"/>
      <c r="CS184" s="488"/>
      <c r="CT184" s="77"/>
      <c r="CU184" s="251"/>
      <c r="CV184" s="251"/>
      <c r="CW184" s="488"/>
      <c r="CX184" s="1512"/>
      <c r="CY184" s="70"/>
      <c r="CZ184" s="1512"/>
      <c r="DA184" s="1511"/>
      <c r="DB184" s="1512"/>
      <c r="DC184" s="1512"/>
      <c r="DD184" s="1512"/>
      <c r="DE184" s="487"/>
      <c r="DF184" s="70"/>
      <c r="DG184" s="70"/>
      <c r="DH184" s="70"/>
      <c r="DI184" s="487"/>
      <c r="DJ184" s="1673">
        <f t="shared" ref="DJ184:DM184" si="585">DJ185+0.15%</f>
        <v>0.23350000000000001</v>
      </c>
      <c r="DK184" s="70">
        <f t="shared" si="585"/>
        <v>0.2465</v>
      </c>
      <c r="DL184" s="70">
        <f t="shared" si="585"/>
        <v>0.2225</v>
      </c>
      <c r="DM184" s="487">
        <f t="shared" si="585"/>
        <v>0.23050000000000001</v>
      </c>
      <c r="DN184" s="589"/>
      <c r="DO184" s="1511"/>
      <c r="DP184" s="77"/>
      <c r="DQ184" s="77"/>
      <c r="DR184" s="77"/>
      <c r="DS184" s="77"/>
      <c r="DT184" s="77"/>
      <c r="DU184" s="77"/>
      <c r="DV184" s="77"/>
      <c r="DW184" s="77"/>
      <c r="DX184" s="77"/>
      <c r="DY184" s="77"/>
      <c r="DZ184" s="77"/>
      <c r="EA184" s="77"/>
      <c r="EB184" s="77"/>
      <c r="EC184" s="77"/>
      <c r="ED184" s="77"/>
      <c r="EE184" s="77"/>
      <c r="EF184" s="77"/>
      <c r="EG184" s="77"/>
      <c r="EH184" s="77"/>
      <c r="EI184" s="89"/>
      <c r="EJ184" s="77"/>
      <c r="EK184" s="77"/>
      <c r="EL184" s="77"/>
      <c r="EM184" s="77"/>
      <c r="EN184" s="77"/>
      <c r="EO184" s="77"/>
      <c r="EP184" s="1512"/>
      <c r="EQ184" s="77"/>
      <c r="ER184" s="77"/>
      <c r="ES184" s="1512"/>
      <c r="ET184" s="1512"/>
      <c r="EU184" s="1512"/>
      <c r="EV184" s="1512"/>
      <c r="EW184" s="1512"/>
      <c r="EX184" s="1512"/>
      <c r="EY184" s="1512"/>
      <c r="EZ184" s="1772"/>
      <c r="FA184" s="70">
        <f>FA185+0.1%</f>
        <v>0.23100000000000001</v>
      </c>
      <c r="FB184" s="70">
        <f>FB185+0.1%</f>
        <v>0.23100000000000001</v>
      </c>
      <c r="FC184" s="70">
        <f t="shared" ref="FB184:FH184" si="586">FC185+0.5%</f>
        <v>0.23500000000000001</v>
      </c>
      <c r="FD184" s="70">
        <f t="shared" si="586"/>
        <v>0.23500000000000001</v>
      </c>
      <c r="FE184" s="70">
        <f t="shared" si="586"/>
        <v>0.23500000000000001</v>
      </c>
      <c r="FF184" s="70">
        <f t="shared" si="586"/>
        <v>0.23500000000000001</v>
      </c>
      <c r="FG184" s="70">
        <f t="shared" si="586"/>
        <v>0.23500000000000001</v>
      </c>
      <c r="FH184" s="487">
        <f t="shared" si="586"/>
        <v>0.23500000000000001</v>
      </c>
      <c r="FI184" s="413"/>
      <c r="FJ184"/>
      <c r="FK184"/>
      <c r="FL184"/>
      <c r="FM184"/>
      <c r="FN184"/>
      <c r="FO184"/>
      <c r="FP184" s="4"/>
      <c r="FQ184" s="4"/>
      <c r="FR184" s="4"/>
      <c r="FS184" s="70"/>
      <c r="FT184" s="70"/>
      <c r="FU184"/>
      <c r="FV184" s="70"/>
      <c r="FW184" s="70"/>
      <c r="FX184" s="70"/>
      <c r="FY184"/>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row>
    <row r="185" spans="1:260" s="6" customFormat="1" hidden="1" outlineLevel="1" x14ac:dyDescent="0.2">
      <c r="A185" s="763" t="s">
        <v>594</v>
      </c>
      <c r="B185" s="287"/>
      <c r="C185" s="287"/>
      <c r="D185" s="287"/>
      <c r="E185" s="477"/>
      <c r="F185" s="102"/>
      <c r="G185" s="102"/>
      <c r="H185" s="102"/>
      <c r="I185" s="480"/>
      <c r="J185" s="102"/>
      <c r="K185" s="102"/>
      <c r="L185" s="102"/>
      <c r="M185" s="480"/>
      <c r="N185" s="102"/>
      <c r="O185" s="102"/>
      <c r="P185" s="102"/>
      <c r="Q185" s="480"/>
      <c r="R185" s="102"/>
      <c r="S185" s="102"/>
      <c r="T185" s="102"/>
      <c r="U185" s="480"/>
      <c r="V185" s="102"/>
      <c r="W185" s="102"/>
      <c r="X185" s="102"/>
      <c r="Y185" s="480"/>
      <c r="Z185" s="102"/>
      <c r="AA185" s="102"/>
      <c r="AB185" s="102"/>
      <c r="AC185" s="480"/>
      <c r="AD185" s="102"/>
      <c r="AE185" s="102"/>
      <c r="AF185" s="102"/>
      <c r="AG185" s="480"/>
      <c r="AH185" s="102"/>
      <c r="AI185" s="102"/>
      <c r="AJ185" s="102"/>
      <c r="AK185" s="480"/>
      <c r="AL185" s="102"/>
      <c r="AM185" s="102"/>
      <c r="AN185" s="102"/>
      <c r="AO185" s="480"/>
      <c r="AP185" s="102"/>
      <c r="AQ185" s="102"/>
      <c r="AR185" s="102"/>
      <c r="AS185" s="480"/>
      <c r="AT185" s="102"/>
      <c r="AU185" s="102"/>
      <c r="AV185" s="102"/>
      <c r="AW185" s="480"/>
      <c r="AX185" s="146"/>
      <c r="AY185" s="146"/>
      <c r="AZ185" s="146"/>
      <c r="BA185" s="489"/>
      <c r="BB185" s="163"/>
      <c r="BC185" s="163"/>
      <c r="BD185" s="163"/>
      <c r="BE185" s="492"/>
      <c r="BF185" s="163"/>
      <c r="BG185" s="163"/>
      <c r="BH185" s="146"/>
      <c r="BI185" s="489"/>
      <c r="BJ185" s="163"/>
      <c r="BK185" s="163"/>
      <c r="BL185" s="146"/>
      <c r="BM185" s="492"/>
      <c r="BN185" s="163"/>
      <c r="BO185" s="163"/>
      <c r="BP185" s="163"/>
      <c r="BQ185" s="492"/>
      <c r="BR185" s="163"/>
      <c r="BS185" s="163"/>
      <c r="BT185" s="163"/>
      <c r="BU185" s="492"/>
      <c r="BV185" s="1262"/>
      <c r="BW185" s="1262"/>
      <c r="BX185" s="1262"/>
      <c r="BY185" s="1263"/>
      <c r="BZ185" s="251"/>
      <c r="CA185" s="251"/>
      <c r="CB185" s="251"/>
      <c r="CC185" s="488"/>
      <c r="CD185" s="251"/>
      <c r="CE185" s="251"/>
      <c r="CF185" s="251"/>
      <c r="CG185" s="488"/>
      <c r="CH185" s="251"/>
      <c r="CI185" s="251"/>
      <c r="CJ185" s="251"/>
      <c r="CK185" s="488"/>
      <c r="CL185" s="251"/>
      <c r="CM185" s="251"/>
      <c r="CN185" s="251"/>
      <c r="CO185" s="488"/>
      <c r="CP185" s="251"/>
      <c r="CQ185" s="251"/>
      <c r="CR185" s="251"/>
      <c r="CS185" s="488"/>
      <c r="CT185" s="89"/>
      <c r="CU185" s="251"/>
      <c r="CV185" s="251"/>
      <c r="CW185" s="488"/>
      <c r="CX185" s="1512"/>
      <c r="CY185" s="170"/>
      <c r="CZ185" s="1512"/>
      <c r="DA185" s="1511"/>
      <c r="DB185" s="1512"/>
      <c r="DC185" s="1512"/>
      <c r="DD185" s="2227"/>
      <c r="DE185" s="2190"/>
      <c r="DF185" s="1610"/>
      <c r="DG185" s="1610"/>
      <c r="DH185" s="1610"/>
      <c r="DI185" s="2190"/>
      <c r="DJ185" s="2383">
        <v>0.23200000000000001</v>
      </c>
      <c r="DK185" s="1554">
        <v>0.245</v>
      </c>
      <c r="DL185" s="1554">
        <v>0.221</v>
      </c>
      <c r="DM185" s="1553">
        <v>0.22900000000000001</v>
      </c>
      <c r="DN185" s="589"/>
      <c r="DO185" s="1511"/>
      <c r="DP185" s="77"/>
      <c r="DQ185" s="77"/>
      <c r="DR185" s="77"/>
      <c r="DS185" s="77"/>
      <c r="DT185" s="77"/>
      <c r="DU185" s="77"/>
      <c r="DV185" s="77"/>
      <c r="DW185" s="77"/>
      <c r="DX185" s="77"/>
      <c r="DY185" s="77"/>
      <c r="DZ185" s="77"/>
      <c r="EA185" s="77"/>
      <c r="EB185" s="77"/>
      <c r="EC185" s="77"/>
      <c r="ED185" s="77"/>
      <c r="EE185" s="77"/>
      <c r="EF185" s="77"/>
      <c r="EG185" s="77"/>
      <c r="EH185" s="77"/>
      <c r="EI185" s="89"/>
      <c r="EJ185" s="77"/>
      <c r="EK185" s="77"/>
      <c r="EL185" s="77"/>
      <c r="EM185" s="77"/>
      <c r="EN185" s="77"/>
      <c r="EO185" s="77"/>
      <c r="EP185" s="1512"/>
      <c r="EQ185" s="77"/>
      <c r="ER185" s="77"/>
      <c r="ES185" s="1512"/>
      <c r="ET185" s="1512"/>
      <c r="EU185" s="1512"/>
      <c r="EV185" s="1512"/>
      <c r="EW185" s="1512"/>
      <c r="EX185" s="1512"/>
      <c r="EY185" s="1512"/>
      <c r="EZ185" s="1772"/>
      <c r="FA185" s="1555">
        <v>0.23</v>
      </c>
      <c r="FB185" s="1555">
        <v>0.23</v>
      </c>
      <c r="FC185" s="1555">
        <f t="shared" ref="FB185:FH185" si="587">+FB185</f>
        <v>0.23</v>
      </c>
      <c r="FD185" s="1555">
        <f t="shared" si="587"/>
        <v>0.23</v>
      </c>
      <c r="FE185" s="1555">
        <f t="shared" si="587"/>
        <v>0.23</v>
      </c>
      <c r="FF185" s="1555">
        <f t="shared" si="587"/>
        <v>0.23</v>
      </c>
      <c r="FG185" s="1555">
        <f t="shared" si="587"/>
        <v>0.23</v>
      </c>
      <c r="FH185" s="1553">
        <f t="shared" si="587"/>
        <v>0.23</v>
      </c>
      <c r="FI185" s="413"/>
      <c r="FJ185"/>
      <c r="FK185"/>
      <c r="FL185"/>
      <c r="FM185"/>
      <c r="FN185"/>
      <c r="FO185"/>
      <c r="FP185" s="4"/>
      <c r="FQ185" s="4"/>
      <c r="FR185" s="4"/>
      <c r="FS185" s="170"/>
      <c r="FT185" s="170"/>
      <c r="FU185"/>
      <c r="FV185" s="1606"/>
      <c r="FW185" s="1606"/>
      <c r="FX185" s="1606"/>
      <c r="FY185"/>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row>
    <row r="186" spans="1:260" s="6" customFormat="1" hidden="1" outlineLevel="1" x14ac:dyDescent="0.2">
      <c r="A186" s="763" t="s">
        <v>595</v>
      </c>
      <c r="B186" s="287"/>
      <c r="C186" s="287"/>
      <c r="D186" s="287"/>
      <c r="E186" s="477"/>
      <c r="F186" s="102"/>
      <c r="G186" s="102"/>
      <c r="H186" s="102"/>
      <c r="I186" s="480"/>
      <c r="J186" s="102"/>
      <c r="K186" s="102"/>
      <c r="L186" s="102"/>
      <c r="M186" s="480"/>
      <c r="N186" s="102"/>
      <c r="O186" s="102"/>
      <c r="P186" s="102"/>
      <c r="Q186" s="480"/>
      <c r="R186" s="102"/>
      <c r="S186" s="102"/>
      <c r="T186" s="102"/>
      <c r="U186" s="480"/>
      <c r="V186" s="102"/>
      <c r="W186" s="102"/>
      <c r="X186" s="102"/>
      <c r="Y186" s="480"/>
      <c r="Z186" s="102"/>
      <c r="AA186" s="102"/>
      <c r="AB186" s="102"/>
      <c r="AC186" s="480"/>
      <c r="AD186" s="102"/>
      <c r="AE186" s="102"/>
      <c r="AF186" s="102"/>
      <c r="AG186" s="480"/>
      <c r="AH186" s="102"/>
      <c r="AI186" s="102"/>
      <c r="AJ186" s="102"/>
      <c r="AK186" s="480"/>
      <c r="AL186" s="102"/>
      <c r="AM186" s="102"/>
      <c r="AN186" s="102"/>
      <c r="AO186" s="480"/>
      <c r="AP186" s="102"/>
      <c r="AQ186" s="102"/>
      <c r="AR186" s="102"/>
      <c r="AS186" s="480"/>
      <c r="AT186" s="102"/>
      <c r="AU186" s="102"/>
      <c r="AV186" s="102"/>
      <c r="AW186" s="480"/>
      <c r="AX186" s="146"/>
      <c r="AY186" s="146"/>
      <c r="AZ186" s="146"/>
      <c r="BA186" s="489"/>
      <c r="BB186" s="163"/>
      <c r="BC186" s="163"/>
      <c r="BD186" s="163"/>
      <c r="BE186" s="492"/>
      <c r="BF186" s="163"/>
      <c r="BG186" s="163"/>
      <c r="BH186" s="146"/>
      <c r="BI186" s="489"/>
      <c r="BJ186" s="163"/>
      <c r="BK186" s="163"/>
      <c r="BL186" s="146"/>
      <c r="BM186" s="492"/>
      <c r="BN186" s="163"/>
      <c r="BO186" s="163"/>
      <c r="BP186" s="163"/>
      <c r="BQ186" s="492"/>
      <c r="BR186" s="163"/>
      <c r="BS186" s="163"/>
      <c r="BT186" s="163"/>
      <c r="BU186" s="492"/>
      <c r="BV186" s="1262"/>
      <c r="BW186" s="1262"/>
      <c r="BX186" s="1262"/>
      <c r="BY186" s="1263"/>
      <c r="BZ186" s="251"/>
      <c r="CA186" s="251"/>
      <c r="CB186" s="251"/>
      <c r="CC186" s="488"/>
      <c r="CD186" s="251"/>
      <c r="CE186" s="251"/>
      <c r="CF186" s="251"/>
      <c r="CG186" s="488"/>
      <c r="CH186" s="251"/>
      <c r="CI186" s="251"/>
      <c r="CJ186" s="251"/>
      <c r="CK186" s="488"/>
      <c r="CL186" s="251"/>
      <c r="CM186" s="251"/>
      <c r="CN186" s="251"/>
      <c r="CO186" s="488"/>
      <c r="CP186" s="251"/>
      <c r="CQ186" s="251"/>
      <c r="CR186" s="251"/>
      <c r="CS186" s="488"/>
      <c r="CT186" s="77"/>
      <c r="CU186" s="251"/>
      <c r="CV186" s="251"/>
      <c r="CW186" s="488"/>
      <c r="CX186" s="1512"/>
      <c r="CY186" s="70"/>
      <c r="CZ186" s="1512"/>
      <c r="DA186" s="1511"/>
      <c r="DB186" s="1512"/>
      <c r="DC186" s="1512"/>
      <c r="DD186" s="1512"/>
      <c r="DE186" s="487"/>
      <c r="DF186" s="70"/>
      <c r="DG186" s="70"/>
      <c r="DH186" s="70"/>
      <c r="DI186" s="487"/>
      <c r="DJ186" s="1673">
        <f>DJ185-0.1%</f>
        <v>0.23100000000000001</v>
      </c>
      <c r="DK186" s="70">
        <f t="shared" ref="DK186:DM186" si="588">DK185-0.1%</f>
        <v>0.24399999999999999</v>
      </c>
      <c r="DL186" s="70">
        <f t="shared" si="588"/>
        <v>0.22</v>
      </c>
      <c r="DM186" s="487">
        <f t="shared" si="588"/>
        <v>0.22800000000000001</v>
      </c>
      <c r="DN186" s="589"/>
      <c r="DO186" s="1511"/>
      <c r="DP186" s="77"/>
      <c r="DQ186" s="77"/>
      <c r="DR186" s="77"/>
      <c r="DS186" s="77"/>
      <c r="DT186" s="77"/>
      <c r="DU186" s="77"/>
      <c r="DV186" s="77"/>
      <c r="DW186" s="77"/>
      <c r="DX186" s="77"/>
      <c r="DY186" s="77"/>
      <c r="DZ186" s="77"/>
      <c r="EA186" s="77"/>
      <c r="EB186" s="77"/>
      <c r="EC186" s="77"/>
      <c r="ED186" s="77"/>
      <c r="EE186" s="77"/>
      <c r="EF186" s="77"/>
      <c r="EG186" s="77"/>
      <c r="EH186" s="77"/>
      <c r="EI186" s="89"/>
      <c r="EJ186" s="77"/>
      <c r="EK186" s="77"/>
      <c r="EL186" s="77"/>
      <c r="EM186" s="77"/>
      <c r="EN186" s="77"/>
      <c r="EO186" s="77"/>
      <c r="EP186" s="1512"/>
      <c r="EQ186" s="77"/>
      <c r="ER186" s="77"/>
      <c r="ES186" s="1512"/>
      <c r="ET186" s="1512"/>
      <c r="EU186" s="1512"/>
      <c r="EV186" s="1512"/>
      <c r="EW186" s="1512"/>
      <c r="EX186" s="1512"/>
      <c r="EY186" s="1512"/>
      <c r="EZ186" s="1772"/>
      <c r="FA186" s="70">
        <f>FA185-0.15%</f>
        <v>0.22850000000000001</v>
      </c>
      <c r="FB186" s="70">
        <f>FB185-0.15%</f>
        <v>0.22850000000000001</v>
      </c>
      <c r="FC186" s="70">
        <f t="shared" ref="FB186:FG186" si="589">FC185-1%</f>
        <v>0.22</v>
      </c>
      <c r="FD186" s="70">
        <f t="shared" si="589"/>
        <v>0.22</v>
      </c>
      <c r="FE186" s="70">
        <f t="shared" si="589"/>
        <v>0.22</v>
      </c>
      <c r="FF186" s="70">
        <f t="shared" si="589"/>
        <v>0.22</v>
      </c>
      <c r="FG186" s="70">
        <f t="shared" si="589"/>
        <v>0.22</v>
      </c>
      <c r="FH186" s="487">
        <f>FH185-1%</f>
        <v>0.22</v>
      </c>
      <c r="FI186" s="413"/>
      <c r="FJ186"/>
      <c r="FK186"/>
      <c r="FL186"/>
      <c r="FM186"/>
      <c r="FN186"/>
      <c r="FO186"/>
      <c r="FP186" s="4"/>
      <c r="FQ186" s="4"/>
      <c r="FR186" s="4"/>
      <c r="FS186" s="70"/>
      <c r="FT186" s="70"/>
      <c r="FU186"/>
      <c r="FV186" s="70"/>
      <c r="FW186" s="70"/>
      <c r="FX186" s="70"/>
      <c r="FY186"/>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row>
    <row r="187" spans="1:260" s="19" customFormat="1" collapsed="1" x14ac:dyDescent="0.2">
      <c r="A187" s="395" t="s">
        <v>581</v>
      </c>
      <c r="B187" s="395"/>
      <c r="C187" s="395"/>
      <c r="D187" s="395"/>
      <c r="E187" s="545"/>
      <c r="F187" s="864" t="s">
        <v>483</v>
      </c>
      <c r="G187" s="864" t="s">
        <v>483</v>
      </c>
      <c r="H187" s="864" t="s">
        <v>483</v>
      </c>
      <c r="I187" s="4" t="s">
        <v>483</v>
      </c>
      <c r="J187" s="864" t="s">
        <v>483</v>
      </c>
      <c r="K187" s="864" t="s">
        <v>483</v>
      </c>
      <c r="L187" s="864" t="s">
        <v>483</v>
      </c>
      <c r="M187" s="4" t="s">
        <v>483</v>
      </c>
      <c r="N187" s="864" t="s">
        <v>483</v>
      </c>
      <c r="O187" s="864" t="s">
        <v>483</v>
      </c>
      <c r="P187" s="864" t="s">
        <v>483</v>
      </c>
      <c r="Q187" s="4" t="s">
        <v>483</v>
      </c>
      <c r="R187" s="864" t="s">
        <v>483</v>
      </c>
      <c r="S187" s="864" t="s">
        <v>483</v>
      </c>
      <c r="T187" s="864" t="s">
        <v>483</v>
      </c>
      <c r="U187" s="4" t="s">
        <v>483</v>
      </c>
      <c r="V187" s="864" t="s">
        <v>483</v>
      </c>
      <c r="W187" s="864" t="s">
        <v>483</v>
      </c>
      <c r="X187" s="864" t="s">
        <v>483</v>
      </c>
      <c r="Y187" s="4" t="s">
        <v>483</v>
      </c>
      <c r="Z187" s="864" t="s">
        <v>483</v>
      </c>
      <c r="AA187" s="864" t="s">
        <v>483</v>
      </c>
      <c r="AB187" s="864" t="s">
        <v>483</v>
      </c>
      <c r="AC187" s="4" t="s">
        <v>483</v>
      </c>
      <c r="AD187" s="864" t="s">
        <v>483</v>
      </c>
      <c r="AE187" s="864" t="s">
        <v>483</v>
      </c>
      <c r="AF187" s="864" t="s">
        <v>483</v>
      </c>
      <c r="AG187" s="4" t="s">
        <v>483</v>
      </c>
      <c r="AH187" s="864" t="s">
        <v>483</v>
      </c>
      <c r="AI187" s="864" t="s">
        <v>483</v>
      </c>
      <c r="AJ187" s="864" t="s">
        <v>483</v>
      </c>
      <c r="AK187" s="4" t="s">
        <v>483</v>
      </c>
      <c r="AL187" s="864" t="s">
        <v>483</v>
      </c>
      <c r="AM187" s="864" t="s">
        <v>483</v>
      </c>
      <c r="AN187" s="864" t="s">
        <v>483</v>
      </c>
      <c r="AO187" s="4" t="s">
        <v>483</v>
      </c>
      <c r="AP187" s="864" t="s">
        <v>483</v>
      </c>
      <c r="AQ187" s="864" t="s">
        <v>483</v>
      </c>
      <c r="AR187" s="864" t="s">
        <v>483</v>
      </c>
      <c r="AS187" s="4" t="s">
        <v>483</v>
      </c>
      <c r="AT187" s="864" t="s">
        <v>483</v>
      </c>
      <c r="AU187" s="864" t="s">
        <v>483</v>
      </c>
      <c r="AV187" s="864" t="s">
        <v>483</v>
      </c>
      <c r="AW187" s="4" t="s">
        <v>483</v>
      </c>
      <c r="AX187" s="208">
        <f>'Income Statement'!AX157/'Revenue Model'!AX$404</f>
        <v>0.25465838509316768</v>
      </c>
      <c r="AY187" s="208">
        <f>'Income Statement'!AY157/'Revenue Model'!AY$404</f>
        <v>0.25529692629065953</v>
      </c>
      <c r="AZ187" s="208">
        <f>'Income Statement'!AZ157/'Revenue Model'!AZ$404</f>
        <v>0.24376278118609407</v>
      </c>
      <c r="BA187" s="572">
        <f>'Income Statement'!BA157/'Revenue Model'!BA$404</f>
        <v>0.24960254372019078</v>
      </c>
      <c r="BB187" s="208">
        <f>'Income Statement'!BB157/'Revenue Model'!BB404</f>
        <v>0.25362839488432248</v>
      </c>
      <c r="BC187" s="208">
        <f>'Income Statement'!BC157/'Revenue Model'!BC404</f>
        <v>0.25016440878600554</v>
      </c>
      <c r="BD187" s="208">
        <f>'Income Statement'!BD157/'Revenue Model'!BD404</f>
        <v>0.23545379440575948</v>
      </c>
      <c r="BE187" s="572">
        <f>'Income Statement'!BE157/'Revenue Model'!BE404</f>
        <v>0.24087138537871153</v>
      </c>
      <c r="BF187" s="208">
        <f>'Income Statement'!BF157/'Revenue Model'!BF404</f>
        <v>0.23867793616752869</v>
      </c>
      <c r="BG187" s="208">
        <f>'Income Statement'!BG157/'Revenue Model'!BG404</f>
        <v>0.24445714285714285</v>
      </c>
      <c r="BH187" s="208">
        <f>'Income Statement'!BH157/'Revenue Model'!BH404</f>
        <v>0.23539484286865431</v>
      </c>
      <c r="BI187" s="572">
        <f>'Income Statement'!BI157/'Revenue Model'!BI404</f>
        <v>0.23684602772395291</v>
      </c>
      <c r="BJ187" s="208">
        <f>'Income Statement'!BJ157/'Revenue Model'!BJ404</f>
        <v>0.23726362625139044</v>
      </c>
      <c r="BK187" s="208">
        <f>'Income Statement'!BK157/'Revenue Model'!BK404</f>
        <v>0.24293439444954595</v>
      </c>
      <c r="BL187" s="208">
        <f>'Income Statement'!BL157/'Revenue Model'!BL404</f>
        <v>0.24878260869565216</v>
      </c>
      <c r="BM187" s="572">
        <f>'Income Statement'!BM157/'Revenue Model'!BM404</f>
        <v>0.24606085302906819</v>
      </c>
      <c r="BN187" s="208">
        <f>'Income Statement'!BN157/'Revenue Model'!BN404</f>
        <v>0.25329370975730559</v>
      </c>
      <c r="BO187" s="208">
        <f>'Income Statement'!BO157/'Revenue Model'!BO404</f>
        <v>0.2435129740518962</v>
      </c>
      <c r="BP187" s="208">
        <f>'Income Statement'!BP157/'Revenue Model'!BP404</f>
        <v>0.2446773120425815</v>
      </c>
      <c r="BQ187" s="572">
        <f>'Income Statement'!BQ157/'Revenue Model'!BQ404</f>
        <v>0.2402585634024044</v>
      </c>
      <c r="BR187" s="208">
        <f>'Income Statement'!BR157/'Revenue Model'!BR404</f>
        <v>0.2589227774172615</v>
      </c>
      <c r="BS187" s="208">
        <f>'Income Statement'!BS157/'Revenue Model'!BS404</f>
        <v>0.25734191727665578</v>
      </c>
      <c r="BT187" s="208">
        <f>'Income Statement'!BT157/'Revenue Model'!BT404</f>
        <v>0.25088309503784695</v>
      </c>
      <c r="BU187" s="572">
        <f>'Income Statement'!BU157/'Revenue Model'!BU404</f>
        <v>0.24403297244094488</v>
      </c>
      <c r="BV187" s="208">
        <f>'Income Statement'!BV157/'Revenue Model'!BV404</f>
        <v>0.25301645338208412</v>
      </c>
      <c r="BW187" s="208">
        <f>'Income Statement'!BW157/'Revenue Model'!BW404</f>
        <v>0.25310654798625187</v>
      </c>
      <c r="BX187" s="208">
        <f>'Income Statement'!BX157/'Revenue Model'!BX404</f>
        <v>0.2433258947020415</v>
      </c>
      <c r="BY187" s="572">
        <f>'Income Statement'!BY157/'Revenue Model'!BY404</f>
        <v>0.24509921828021647</v>
      </c>
      <c r="BZ187" s="208">
        <f>'Income Statement'!BZ157/'Revenue Model'!BZ404</f>
        <v>0.25216392863451687</v>
      </c>
      <c r="CA187" s="208">
        <f>'Income Statement'!CA157/'Revenue Model'!CA404</f>
        <v>0.2592184920198129</v>
      </c>
      <c r="CB187" s="208">
        <f>'Income Statement'!CB157/'Revenue Model'!CB404</f>
        <v>0.26181586376468446</v>
      </c>
      <c r="CC187" s="572">
        <f>'Income Statement'!CC157/'Revenue Model'!CC404</f>
        <v>0.23770737258190094</v>
      </c>
      <c r="CD187" s="208">
        <f>'Income Statement'!CD157/'Revenue Model'!CD404</f>
        <v>0.25692673058316473</v>
      </c>
      <c r="CE187" s="208">
        <f>'Income Statement'!CE157/'Revenue Model'!CE404</f>
        <v>0.25442151805453206</v>
      </c>
      <c r="CF187" s="208">
        <f>'Income Statement'!CF157/'Revenue Model'!CF404</f>
        <v>0.25598923283983849</v>
      </c>
      <c r="CG187" s="572">
        <f>'Income Statement'!CG157/'Revenue Model'!CG404</f>
        <v>0.23231959690480475</v>
      </c>
      <c r="CH187" s="208">
        <f>'Income Statement'!CH157/'Revenue Model'!CH404</f>
        <v>0.2503875968992248</v>
      </c>
      <c r="CI187" s="208">
        <f>'Income Statement'!CI157/'Revenue Model'!CI404</f>
        <v>0.24310230397269367</v>
      </c>
      <c r="CJ187" s="208">
        <f>'Income Statement'!CJ157/'Revenue Model'!CJ404</f>
        <v>0.24049102576025294</v>
      </c>
      <c r="CK187" s="572">
        <f>'Income Statement'!CK157/'Revenue Model'!CK404</f>
        <v>0.2263179941355993</v>
      </c>
      <c r="CL187" s="208">
        <f>'Income Statement'!CL157/'Revenue Model'!CL404</f>
        <v>0.24910826183360649</v>
      </c>
      <c r="CM187" s="208">
        <f>'Income Statement'!CM157/'Revenue Model'!CM404</f>
        <v>0.2421030088874612</v>
      </c>
      <c r="CN187" s="208">
        <f>'Income Statement'!CN157/'Revenue Model'!CN404</f>
        <v>0.23750133248054578</v>
      </c>
      <c r="CO187" s="572">
        <f>'Income Statement'!CO157/'Revenue Model'!CO404</f>
        <v>0.2237158908507223</v>
      </c>
      <c r="CP187" s="208">
        <f>'Income Statement'!CP157/'Revenue Model'!CP404</f>
        <v>0.23577508960573476</v>
      </c>
      <c r="CQ187" s="208">
        <f>'Income Statement'!CQ157/'Revenue Model'!CQ404</f>
        <v>0.24147011678497823</v>
      </c>
      <c r="CR187" s="208">
        <f>'Income Statement'!CR157/'Revenue Model'!CR404</f>
        <v>0.2345360824742268</v>
      </c>
      <c r="CS187" s="572">
        <f>'Income Statement'!CS157/'Revenue Model'!CS404</f>
        <v>0.20163992869875222</v>
      </c>
      <c r="CT187" s="208">
        <f>'Income Statement'!CT157/'Revenue Model'!CT404</f>
        <v>0.2276883898599375</v>
      </c>
      <c r="CU187" s="208">
        <f>'Income Statement'!CU157/'Revenue Model'!CU404</f>
        <v>0.23383378649958625</v>
      </c>
      <c r="CV187" s="208">
        <f>'Income Statement'!CV157/'Revenue Model'!CV404</f>
        <v>0.22984942426926483</v>
      </c>
      <c r="CW187" s="572">
        <f>'Income Statement'!CW157/'Revenue Model'!CW404</f>
        <v>0.21296361461045815</v>
      </c>
      <c r="CX187" s="208">
        <f>'Income Statement'!CX157/CX149</f>
        <v>0.22902547324141154</v>
      </c>
      <c r="CY187" s="197">
        <f>'Income Statement'!CY157/CY149</f>
        <v>0.24448874296435272</v>
      </c>
      <c r="CZ187" s="208">
        <f>'Income Statement'!CZ157/CZ149</f>
        <v>0.23936954303208979</v>
      </c>
      <c r="DA187" s="572">
        <f>'Income Statement'!DA157/DA149</f>
        <v>0.21639873742934743</v>
      </c>
      <c r="DB187" s="208">
        <f>'Income Statement'!DB157/DB149</f>
        <v>0.23238185479095108</v>
      </c>
      <c r="DC187" s="208">
        <f>'Income Statement'!DC157/DC149</f>
        <v>0.2416500644556428</v>
      </c>
      <c r="DD187" s="208">
        <f>'Income Statement'!DD157/DD149</f>
        <v>0.24628283957518166</v>
      </c>
      <c r="DE187" s="572">
        <f>'Income Statement'!DE157/DE149</f>
        <v>0.22474410324877614</v>
      </c>
      <c r="DF187" s="197">
        <f>'Income Statement'!DF157/DF149</f>
        <v>0.23710131332082551</v>
      </c>
      <c r="DG187" s="197">
        <f>'Income Statement'!DG157/DG149</f>
        <v>0.24082774049217001</v>
      </c>
      <c r="DH187" s="197">
        <f>'Income Statement'!DH157/DH149</f>
        <v>0.24463519313304721</v>
      </c>
      <c r="DI187" s="572">
        <f>'Income Statement'!DI157/DI149</f>
        <v>0.22267786239666731</v>
      </c>
      <c r="DJ187" s="1713">
        <f>'Income Statement'!DJ157/DJ149</f>
        <v>0.23478401941472671</v>
      </c>
      <c r="DK187" s="197">
        <f>'Income Statement'!DK157/DK149</f>
        <v>0.23944674355493722</v>
      </c>
      <c r="DL187" s="197">
        <f>'Income Statement'!DL157/DL149</f>
        <v>0.24377267958839866</v>
      </c>
      <c r="DM187" s="572">
        <f>'Income Statement'!DM157/DM149</f>
        <v>0.22310246345758405</v>
      </c>
      <c r="DN187" s="578"/>
      <c r="DO187" s="572"/>
      <c r="DP187" s="219"/>
      <c r="DQ187" s="219"/>
      <c r="DR187" s="219"/>
      <c r="DS187" s="219"/>
      <c r="DT187" s="219"/>
      <c r="DU187" s="219"/>
      <c r="DV187" s="219"/>
      <c r="DW187" s="219"/>
      <c r="DX187" s="219"/>
      <c r="DY187" s="197"/>
      <c r="DZ187" s="197"/>
      <c r="EA187" s="197"/>
      <c r="EB187" s="197"/>
      <c r="EC187" s="197"/>
      <c r="ED187" s="197"/>
      <c r="EE187" s="197"/>
      <c r="EF187" s="197"/>
      <c r="EG187" s="197"/>
      <c r="EH187" s="197"/>
      <c r="EI187" s="208">
        <f>'Income Statement'!EI157/'Revenue Model'!EI$404</f>
        <v>0.23673082531350248</v>
      </c>
      <c r="EJ187" s="208">
        <f>'Income Statement'!EJ157/'Revenue Model'!EJ$404</f>
        <v>0.25045383817427386</v>
      </c>
      <c r="EK187" s="208">
        <f>'Income Statement'!EK157/'Revenue Model'!EK404</f>
        <v>0.24403072299215228</v>
      </c>
      <c r="EL187" s="208">
        <f>'Income Statement'!EL157/'Revenue Model'!EL404</f>
        <v>0.23851285510831272</v>
      </c>
      <c r="EM187" s="208">
        <f>'Income Statement'!EM157/'Revenue Model'!EM404</f>
        <v>0.24431856047984005</v>
      </c>
      <c r="EN187" s="208">
        <f>'Income Statement'!EN157/'Revenue Model'!EN404</f>
        <v>0.24469754899987925</v>
      </c>
      <c r="EO187" s="208">
        <f>'Income Statement'!EO157/'Revenue Model'!EO404</f>
        <v>0.25184993634627628</v>
      </c>
      <c r="EP187" s="208">
        <f>'Income Statement'!EP157/'Revenue Model'!EP404</f>
        <v>0.24815744080288538</v>
      </c>
      <c r="EQ187" s="208">
        <f>'Income Statement'!EQ157/'Revenue Model'!EQ404</f>
        <v>0.25099194421065291</v>
      </c>
      <c r="ER187" s="208">
        <f>'Income Statement'!ER157/'Revenue Model'!ER404</f>
        <v>0.24797665913950562</v>
      </c>
      <c r="ES187" s="208">
        <f>'Income Statement'!ES157/'Revenue Model'!ES404</f>
        <v>0.23858850083633945</v>
      </c>
      <c r="ET187" s="208">
        <f>'Income Statement'!ET157/'Revenue Model'!ET404</f>
        <v>0.23653082075150414</v>
      </c>
      <c r="EU187" s="208">
        <f>'Income Statement'!EU157/'Revenue Model'!EU404</f>
        <v>0.22493905592080962</v>
      </c>
      <c r="EV187" s="208">
        <f>'Income Statement'!EV157/'Revenue Model'!EV404</f>
        <v>0.22427427551501028</v>
      </c>
      <c r="EW187" s="208">
        <f>'Income Statement'!EW157/'Revenue Model'!EW404</f>
        <v>0.2303177494434325</v>
      </c>
      <c r="EX187" s="208">
        <f>'Income Statement'!EX157/'Revenue Model'!EX404</f>
        <v>0.23493135040479152</v>
      </c>
      <c r="EY187" s="208">
        <f>'Income Statement'!EY157/'Revenue Model'!EY404</f>
        <v>0.23430049109155179</v>
      </c>
      <c r="EZ187" s="1739">
        <f>'Income Statement'!EZ157/'Revenue Model'!EZ404</f>
        <v>0.2335700651374511</v>
      </c>
      <c r="FA187" s="197">
        <f>'Income Statement'!FA157/'Revenue Model'!FA404</f>
        <v>0.23302367957726741</v>
      </c>
      <c r="FB187" s="197">
        <f>'Income Statement'!FB157/'Revenue Model'!FB404</f>
        <v>0.23329830374345778</v>
      </c>
      <c r="FC187" s="197">
        <f>'Income Statement'!FC157/'Revenue Model'!FC404</f>
        <v>0.23284195066190158</v>
      </c>
      <c r="FD187" s="197">
        <f>'Income Statement'!FD157/'Revenue Model'!FD404</f>
        <v>0.23238587209010719</v>
      </c>
      <c r="FE187" s="197">
        <f>'Income Statement'!FE157/'Revenue Model'!FE404</f>
        <v>0.23192894685685228</v>
      </c>
      <c r="FF187" s="197">
        <f>'Income Statement'!FF157/'Revenue Model'!FF404</f>
        <v>0.23147114756859319</v>
      </c>
      <c r="FG187" s="197">
        <f>'Income Statement'!FG157/'Revenue Model'!FG404</f>
        <v>0.23101244694503867</v>
      </c>
      <c r="FH187" s="572">
        <f>'Income Statement'!FH157/'Revenue Model'!FH404</f>
        <v>0.23055281792363538</v>
      </c>
      <c r="FI187" s="416"/>
      <c r="FJ187"/>
      <c r="FK187"/>
      <c r="FL187"/>
      <c r="FM187"/>
      <c r="FN187"/>
      <c r="FO187"/>
      <c r="FQ187" s="4"/>
      <c r="FR187" s="4"/>
      <c r="FS187" s="197"/>
      <c r="FT187" s="197"/>
      <c r="FU187"/>
      <c r="FV187" s="197"/>
      <c r="FW187" s="197"/>
      <c r="FX187" s="197"/>
      <c r="FY18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row>
    <row r="188" spans="1:260" s="4" customFormat="1" x14ac:dyDescent="0.2">
      <c r="A188" s="395"/>
      <c r="B188" s="287"/>
      <c r="C188" s="287"/>
      <c r="D188" s="287"/>
      <c r="E188" s="477"/>
      <c r="F188" s="228"/>
      <c r="G188" s="228"/>
      <c r="H188" s="228"/>
      <c r="I188" s="481"/>
      <c r="J188" s="228"/>
      <c r="K188" s="228"/>
      <c r="L188" s="228"/>
      <c r="M188" s="481"/>
      <c r="N188" s="228"/>
      <c r="O188" s="228"/>
      <c r="P188" s="228"/>
      <c r="Q188" s="481"/>
      <c r="R188" s="228"/>
      <c r="S188" s="228"/>
      <c r="T188" s="228"/>
      <c r="U188" s="481"/>
      <c r="V188" s="228"/>
      <c r="W188" s="228"/>
      <c r="X188" s="228"/>
      <c r="Y188" s="481"/>
      <c r="Z188" s="228"/>
      <c r="AA188" s="228"/>
      <c r="AB188" s="228"/>
      <c r="AC188" s="481"/>
      <c r="AD188" s="228"/>
      <c r="AE188" s="228"/>
      <c r="AF188" s="228"/>
      <c r="AG188" s="481"/>
      <c r="AH188" s="228"/>
      <c r="AI188" s="228"/>
      <c r="AJ188" s="228"/>
      <c r="AK188" s="481"/>
      <c r="AL188" s="228"/>
      <c r="AM188" s="228"/>
      <c r="AN188" s="228"/>
      <c r="AO188" s="481"/>
      <c r="AP188" s="228"/>
      <c r="AQ188" s="228"/>
      <c r="AR188" s="228"/>
      <c r="AS188" s="481"/>
      <c r="AT188" s="228"/>
      <c r="AU188" s="228"/>
      <c r="AV188" s="228"/>
      <c r="AW188" s="481"/>
      <c r="AX188" s="77"/>
      <c r="AY188" s="77"/>
      <c r="AZ188" s="77"/>
      <c r="BA188" s="487"/>
      <c r="BB188" s="77"/>
      <c r="BC188" s="77"/>
      <c r="BD188" s="77"/>
      <c r="BE188" s="487"/>
      <c r="BF188" s="77"/>
      <c r="BG188" s="77"/>
      <c r="BH188" s="77"/>
      <c r="BI188" s="487"/>
      <c r="BJ188" s="77"/>
      <c r="BK188" s="77"/>
      <c r="BL188" s="77"/>
      <c r="BM188" s="487"/>
      <c r="BN188" s="77"/>
      <c r="BO188" s="77"/>
      <c r="BP188" s="77"/>
      <c r="BQ188" s="487"/>
      <c r="BR188" s="77"/>
      <c r="BS188" s="77"/>
      <c r="BT188" s="77"/>
      <c r="BU188" s="487"/>
      <c r="BV188" s="77"/>
      <c r="BW188" s="77"/>
      <c r="BX188" s="77"/>
      <c r="BY188" s="487"/>
      <c r="BZ188" s="77"/>
      <c r="CA188" s="77"/>
      <c r="CB188" s="77"/>
      <c r="CC188" s="487"/>
      <c r="CD188" s="77"/>
      <c r="CE188" s="77"/>
      <c r="CF188" s="77"/>
      <c r="CG188" s="487"/>
      <c r="CH188" s="77"/>
      <c r="CI188" s="77"/>
      <c r="CJ188" s="77"/>
      <c r="CK188" s="487"/>
      <c r="CL188" s="77"/>
      <c r="CM188" s="77"/>
      <c r="CN188" s="77"/>
      <c r="CO188" s="487"/>
      <c r="CP188" s="77"/>
      <c r="CQ188" s="77"/>
      <c r="CR188" s="77"/>
      <c r="CS188" s="487"/>
      <c r="CT188" s="77"/>
      <c r="CU188" s="77"/>
      <c r="CV188" s="77"/>
      <c r="CW188" s="487"/>
      <c r="CX188" s="77"/>
      <c r="CY188" s="70"/>
      <c r="CZ188" s="77"/>
      <c r="DA188" s="487"/>
      <c r="DB188" s="77"/>
      <c r="DC188" s="77"/>
      <c r="DD188" s="70"/>
      <c r="DE188" s="487"/>
      <c r="DF188" s="70"/>
      <c r="DG188" s="70"/>
      <c r="DH188" s="70"/>
      <c r="DI188" s="487"/>
      <c r="DJ188" s="1673"/>
      <c r="DK188" s="70"/>
      <c r="DL188" s="70"/>
      <c r="DM188" s="487"/>
      <c r="DN188" s="580"/>
      <c r="DO188" s="487"/>
      <c r="DP188" s="219"/>
      <c r="DQ188" s="219"/>
      <c r="DR188" s="219"/>
      <c r="DS188" s="219"/>
      <c r="DT188" s="219"/>
      <c r="DU188" s="219"/>
      <c r="DV188" s="219"/>
      <c r="DW188" s="219"/>
      <c r="DX188" s="219"/>
      <c r="DY188" s="197"/>
      <c r="DZ188" s="197"/>
      <c r="EA188" s="197"/>
      <c r="EB188" s="197"/>
      <c r="EC188" s="197"/>
      <c r="ED188" s="197"/>
      <c r="EE188" s="197"/>
      <c r="EF188" s="197"/>
      <c r="EG188" s="197"/>
      <c r="EH188" s="197"/>
      <c r="EI188" s="77"/>
      <c r="EJ188" s="77"/>
      <c r="EK188" s="77"/>
      <c r="EL188" s="77"/>
      <c r="EM188" s="77"/>
      <c r="EN188" s="77"/>
      <c r="EO188" s="77"/>
      <c r="EP188" s="77"/>
      <c r="EQ188" s="77"/>
      <c r="ER188" s="77"/>
      <c r="ES188" s="77"/>
      <c r="ET188" s="77"/>
      <c r="EU188" s="77"/>
      <c r="EV188" s="77"/>
      <c r="EW188" s="77"/>
      <c r="EX188" s="77"/>
      <c r="EY188" s="77"/>
      <c r="EZ188" s="1680"/>
      <c r="FA188" s="70"/>
      <c r="FB188" s="70"/>
      <c r="FC188" s="70"/>
      <c r="FD188" s="70"/>
      <c r="FE188" s="70"/>
      <c r="FF188" s="70"/>
      <c r="FG188" s="70"/>
      <c r="FH188" s="487"/>
      <c r="FI188" s="413"/>
      <c r="FJ188"/>
      <c r="FK188"/>
      <c r="FL188"/>
      <c r="FM188"/>
      <c r="FN188"/>
      <c r="FO188"/>
      <c r="FS188" s="70"/>
      <c r="FT188" s="70"/>
      <c r="FU188"/>
      <c r="FV188" s="70"/>
      <c r="FW188" s="70"/>
      <c r="FX188" s="70"/>
      <c r="FY188"/>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row>
    <row r="189" spans="1:260" s="4" customFormat="1" x14ac:dyDescent="0.2">
      <c r="A189" s="395" t="s">
        <v>354</v>
      </c>
      <c r="B189" s="287"/>
      <c r="C189" s="287"/>
      <c r="D189" s="287"/>
      <c r="E189" s="477"/>
      <c r="F189" s="213" t="s">
        <v>483</v>
      </c>
      <c r="G189" s="213" t="s">
        <v>483</v>
      </c>
      <c r="H189" s="213" t="s">
        <v>483</v>
      </c>
      <c r="I189" s="490" t="s">
        <v>483</v>
      </c>
      <c r="J189" s="213" t="s">
        <v>483</v>
      </c>
      <c r="K189" s="213" t="s">
        <v>483</v>
      </c>
      <c r="L189" s="213" t="s">
        <v>483</v>
      </c>
      <c r="M189" s="490" t="s">
        <v>483</v>
      </c>
      <c r="N189" s="213" t="s">
        <v>483</v>
      </c>
      <c r="O189" s="213" t="s">
        <v>483</v>
      </c>
      <c r="P189" s="213" t="s">
        <v>483</v>
      </c>
      <c r="Q189" s="490" t="s">
        <v>483</v>
      </c>
      <c r="R189" s="213" t="s">
        <v>483</v>
      </c>
      <c r="S189" s="213" t="s">
        <v>483</v>
      </c>
      <c r="T189" s="213" t="s">
        <v>483</v>
      </c>
      <c r="U189" s="490" t="s">
        <v>483</v>
      </c>
      <c r="V189" s="213" t="s">
        <v>483</v>
      </c>
      <c r="W189" s="213" t="s">
        <v>483</v>
      </c>
      <c r="X189" s="213" t="s">
        <v>483</v>
      </c>
      <c r="Y189" s="490" t="s">
        <v>483</v>
      </c>
      <c r="Z189" s="213" t="s">
        <v>483</v>
      </c>
      <c r="AA189" s="213" t="s">
        <v>483</v>
      </c>
      <c r="AB189" s="213" t="s">
        <v>483</v>
      </c>
      <c r="AC189" s="490" t="s">
        <v>483</v>
      </c>
      <c r="AD189" s="213" t="s">
        <v>483</v>
      </c>
      <c r="AE189" s="213" t="s">
        <v>483</v>
      </c>
      <c r="AF189" s="213" t="s">
        <v>483</v>
      </c>
      <c r="AG189" s="490" t="s">
        <v>483</v>
      </c>
      <c r="AH189" s="213" t="s">
        <v>483</v>
      </c>
      <c r="AI189" s="213" t="s">
        <v>483</v>
      </c>
      <c r="AJ189" s="213" t="s">
        <v>483</v>
      </c>
      <c r="AK189" s="490" t="s">
        <v>483</v>
      </c>
      <c r="AL189" s="213" t="s">
        <v>483</v>
      </c>
      <c r="AM189" s="213" t="s">
        <v>483</v>
      </c>
      <c r="AN189" s="213" t="s">
        <v>483</v>
      </c>
      <c r="AO189" s="490" t="s">
        <v>483</v>
      </c>
      <c r="AP189" s="213" t="s">
        <v>483</v>
      </c>
      <c r="AQ189" s="213" t="s">
        <v>483</v>
      </c>
      <c r="AR189" s="213" t="s">
        <v>483</v>
      </c>
      <c r="AS189" s="490" t="s">
        <v>483</v>
      </c>
      <c r="AT189" s="213" t="s">
        <v>483</v>
      </c>
      <c r="AU189" s="213" t="s">
        <v>483</v>
      </c>
      <c r="AV189" s="213" t="s">
        <v>483</v>
      </c>
      <c r="AW189" s="490" t="s">
        <v>483</v>
      </c>
      <c r="AX189" s="77">
        <f>'Income Statement'!AX160/'Revenue Model'!AX393</f>
        <v>0.21281136198106337</v>
      </c>
      <c r="AY189" s="77">
        <f>'Income Statement'!AY160/'Revenue Model'!AY393</f>
        <v>0.21463148240787061</v>
      </c>
      <c r="AZ189" s="77">
        <f>'Income Statement'!AZ160/'Revenue Model'!AZ393</f>
        <v>0.21692019795855244</v>
      </c>
      <c r="BA189" s="487">
        <f>'Income Statement'!BA160/'Revenue Model'!BA393</f>
        <v>0.15750578249336869</v>
      </c>
      <c r="BB189" s="77">
        <f>'Income Statement'!BB160/'Revenue Model'!BB393</f>
        <v>0.20199448231093803</v>
      </c>
      <c r="BC189" s="77">
        <f>'Income Statement'!BC160/'Revenue Model'!BC393</f>
        <v>0.20464854251623624</v>
      </c>
      <c r="BD189" s="77">
        <f>'Income Statement'!BD160/'Revenue Model'!BD393</f>
        <v>0.21420742601898379</v>
      </c>
      <c r="BE189" s="487">
        <f>'Income Statement'!BE160/'Revenue Model'!BE393</f>
        <v>0.15105106459761819</v>
      </c>
      <c r="BF189" s="77">
        <f>'Income Statement'!BF160/'Revenue Model'!BF393</f>
        <v>0.2056912291169451</v>
      </c>
      <c r="BG189" s="77">
        <f>'Income Statement'!BG160/'Revenue Model'!BG393</f>
        <v>0.20177052806192977</v>
      </c>
      <c r="BH189" s="77">
        <f>'Income Statement'!BH160/'Revenue Model'!BH393</f>
        <v>0.20147063124543019</v>
      </c>
      <c r="BI189" s="487">
        <f>'Income Statement'!BI160/'Revenue Model'!BI393</f>
        <v>0.14923944921316165</v>
      </c>
      <c r="BJ189" s="77">
        <f>'Income Statement'!BJ160/'Revenue Model'!BJ393</f>
        <v>0.20716342412451363</v>
      </c>
      <c r="BK189" s="77">
        <f>'Income Statement'!BK160/'Revenue Model'!BK393</f>
        <v>0.21034255502274682</v>
      </c>
      <c r="BL189" s="77">
        <f>'Income Statement'!BL160/'Revenue Model'!BL393</f>
        <v>0.20936544959471665</v>
      </c>
      <c r="BM189" s="487">
        <f>'Income Statement'!BM160/'Revenue Model'!BM393</f>
        <v>0.15532494684620837</v>
      </c>
      <c r="BN189" s="77">
        <f>'Income Statement'!BN160/'Revenue Model'!BN393</f>
        <v>0.20741528239202658</v>
      </c>
      <c r="BO189" s="77">
        <f>'Income Statement'!BO160/'Revenue Model'!BO393</f>
        <v>0.20494802997341069</v>
      </c>
      <c r="BP189" s="77">
        <f>'Income Statement'!BP160/'Revenue Model'!BP393</f>
        <v>0.20192341283170978</v>
      </c>
      <c r="BQ189" s="487">
        <f>'Income Statement'!BQ160/'Revenue Model'!BQ393</f>
        <v>0.14851191989828352</v>
      </c>
      <c r="BR189" s="77">
        <f>'Income Statement'!BR160/'Revenue Model'!BR393</f>
        <v>0.21983693045563549</v>
      </c>
      <c r="BS189" s="77">
        <f>'Income Statement'!BS160/'Revenue Model'!BS393</f>
        <v>0.20955808440018964</v>
      </c>
      <c r="BT189" s="77">
        <f>'Income Statement'!BT160/'Revenue Model'!BT393</f>
        <v>0.21143972445464981</v>
      </c>
      <c r="BU189" s="487">
        <f>'Income Statement'!BU160/'Revenue Model'!BU393</f>
        <v>0.16016992654947595</v>
      </c>
      <c r="BV189" s="77">
        <f>'Income Statement'!BV160/'Revenue Model'!BV393</f>
        <v>0.22064143020740551</v>
      </c>
      <c r="BW189" s="77">
        <f>'Income Statement'!BW160/'Revenue Model'!BW393</f>
        <v>0.21608181927565875</v>
      </c>
      <c r="BX189" s="77">
        <f>'Income Statement'!BX160/'Revenue Model'!BX393</f>
        <v>0.20960720315137873</v>
      </c>
      <c r="BY189" s="487">
        <f>'Income Statement'!BY160/'Revenue Model'!BY393</f>
        <v>0.15335277777777778</v>
      </c>
      <c r="BZ189" s="77">
        <f>'Income Statement'!BZ160/'Revenue Model'!BZ393</f>
        <v>0.20373634120549877</v>
      </c>
      <c r="CA189" s="77">
        <f>'Income Statement'!CA160/'Revenue Model'!CA393</f>
        <v>0.21490531459987783</v>
      </c>
      <c r="CB189" s="77">
        <f>'Income Statement'!CB160/'Revenue Model'!CB393</f>
        <v>0.22146636432350719</v>
      </c>
      <c r="CC189" s="487">
        <f>'Income Statement'!CC160/'Revenue Model'!CC393</f>
        <v>0.15494409642375703</v>
      </c>
      <c r="CD189" s="77">
        <f>'Income Statement'!CD160/'Revenue Model'!CD393</f>
        <v>0.21163012392755004</v>
      </c>
      <c r="CE189" s="77">
        <f>'Income Statement'!CE160/'Revenue Model'!CE393</f>
        <v>0.2240190547824997</v>
      </c>
      <c r="CF189" s="77">
        <f>'Income Statement'!CF160/'Revenue Model'!CF393</f>
        <v>0.22147734326505275</v>
      </c>
      <c r="CG189" s="487">
        <f>'Income Statement'!CG160/'Revenue Model'!CG393</f>
        <v>0.15075896050226495</v>
      </c>
      <c r="CH189" s="77">
        <f>'Income Statement'!CH160/'Revenue Model'!CH393</f>
        <v>0.20528224892314667</v>
      </c>
      <c r="CI189" s="77">
        <f>'Income Statement'!CI160/'Revenue Model'!CI393</f>
        <v>0.22068435217224144</v>
      </c>
      <c r="CJ189" s="77">
        <f>'Income Statement'!CJ160/'Revenue Model'!CJ393</f>
        <v>0.23524045353838133</v>
      </c>
      <c r="CK189" s="487">
        <f>'Income Statement'!CK160/'Revenue Model'!CK393</f>
        <v>0.16470119521912352</v>
      </c>
      <c r="CL189" s="77">
        <f>'Income Statement'!CL160/'Revenue Model'!CL393</f>
        <v>0.20380866016776242</v>
      </c>
      <c r="CM189" s="77">
        <f>'Income Statement'!CM160/'Revenue Model'!CM393</f>
        <v>0.22055619633474305</v>
      </c>
      <c r="CN189" s="77">
        <f>'Income Statement'!CN160/'Revenue Model'!CN393</f>
        <v>0.23524045353838133</v>
      </c>
      <c r="CO189" s="487">
        <f>'Income Statement'!CO160/'Revenue Model'!CO393</f>
        <v>0.16470119521912352</v>
      </c>
      <c r="CP189" s="77">
        <f>'Income Statement'!CP160/'Revenue Model'!CP393</f>
        <v>0.20538635791593254</v>
      </c>
      <c r="CQ189" s="77">
        <f>'Income Statement'!CQ160/'Revenue Model'!CQ393</f>
        <v>0.21299035369774919</v>
      </c>
      <c r="CR189" s="77">
        <f>'Income Statement'!CR160/'Revenue Model'!CR393</f>
        <v>0.21684587813620071</v>
      </c>
      <c r="CS189" s="487">
        <f>'Income Statement'!CS160/'Revenue Model'!CS393</f>
        <v>0.15490323629858513</v>
      </c>
      <c r="CT189" s="77">
        <f>'Income Statement'!CT160/'Revenue Model'!CT393</f>
        <v>0.19624726898856187</v>
      </c>
      <c r="CU189" s="77">
        <f>'Income Statement'!CU160/'Revenue Model'!CU393</f>
        <v>0.19894528675016479</v>
      </c>
      <c r="CV189" s="77">
        <f>'Income Statement'!CV160/'Revenue Model'!CV393</f>
        <v>0.20345345345345345</v>
      </c>
      <c r="CW189" s="487">
        <f>'Income Statement'!CW160/'Revenue Model'!CW393</f>
        <v>0.1532645506812633</v>
      </c>
      <c r="CX189" s="208">
        <f>'Income Statement'!CX160/'Revenue Model'!CX393</f>
        <v>0.19936628643852977</v>
      </c>
      <c r="CY189" s="208">
        <f>'Income Statement'!CY160/'Revenue Model'!CY393</f>
        <v>0.20741304899720742</v>
      </c>
      <c r="CZ189" s="208">
        <f>'Income Statement'!CZ160/'Revenue Model'!CZ393</f>
        <v>0.2103831891223733</v>
      </c>
      <c r="DA189" s="572">
        <f>'Income Statement'!DA160/'Revenue Model'!DA393</f>
        <v>0.15791156952106819</v>
      </c>
      <c r="DB189" s="208">
        <f>'Income Statement'!DB160/'Revenue Model'!DB393</f>
        <v>0.19989781581300295</v>
      </c>
      <c r="DC189" s="208">
        <f>'Income Statement'!DC160/'Revenue Model'!DC393</f>
        <v>0.20382811509697046</v>
      </c>
      <c r="DD189" s="208">
        <f>'Income Statement'!DD160/'Revenue Model'!DD393</f>
        <v>0.2099609375</v>
      </c>
      <c r="DE189" s="572">
        <f>'Income Statement'!DE160/'Revenue Model'!DE393</f>
        <v>0.15723780191278974</v>
      </c>
      <c r="DF189" s="208">
        <f>'Income Statement'!DF160/'Revenue Model'!DF393</f>
        <v>0.19881193124368049</v>
      </c>
      <c r="DG189" s="208">
        <f>'Income Statement'!DG160/'Revenue Model'!DG393</f>
        <v>0.20176499032882012</v>
      </c>
      <c r="DH189" s="208">
        <f>'Income Statement'!DH160/'Revenue Model'!DH393</f>
        <v>0.20621834883994819</v>
      </c>
      <c r="DI189" s="572">
        <f>'Income Statement'!DI160/'Revenue Model'!DI393</f>
        <v>0.15843283048545079</v>
      </c>
      <c r="DJ189" s="2704">
        <f t="shared" ref="DJ189:DM189" si="590">CHOOSE(scenario,DJ190,DJ191,DJ192)</f>
        <v>0.19900000000000001</v>
      </c>
      <c r="DK189" s="1552">
        <f t="shared" si="590"/>
        <v>0.20100000000000001</v>
      </c>
      <c r="DL189" s="1552">
        <f t="shared" si="590"/>
        <v>0.20499999999999999</v>
      </c>
      <c r="DM189" s="1551">
        <f t="shared" si="590"/>
        <v>0.158</v>
      </c>
      <c r="DN189" s="589"/>
      <c r="DO189" s="487"/>
      <c r="DP189" s="219"/>
      <c r="DQ189" s="219"/>
      <c r="DR189" s="219"/>
      <c r="DS189" s="219"/>
      <c r="DT189" s="219"/>
      <c r="DU189" s="219"/>
      <c r="DV189" s="219"/>
      <c r="DW189" s="219"/>
      <c r="DX189" s="219"/>
      <c r="DY189" s="197"/>
      <c r="DZ189" s="197"/>
      <c r="EA189" s="197"/>
      <c r="EB189" s="197"/>
      <c r="EC189" s="197"/>
      <c r="ED189" s="197"/>
      <c r="EE189" s="197"/>
      <c r="EF189" s="197"/>
      <c r="EG189" s="197"/>
      <c r="EH189" s="197"/>
      <c r="EI189" s="77">
        <f>'Income Statement'!EI160/'Revenue Model'!EI393</f>
        <v>0.18152421189470261</v>
      </c>
      <c r="EJ189" s="77">
        <f>'Income Statement'!EJ160/'Revenue Model'!EJ393</f>
        <v>0.19514254930606281</v>
      </c>
      <c r="EK189" s="77">
        <f>'Income Statement'!EK160/'Revenue Model'!EK393</f>
        <v>0.1871837839579775</v>
      </c>
      <c r="EL189" s="77">
        <f>'Income Statement'!EL160/'Revenue Model'!EL393</f>
        <v>0.18485729716754681</v>
      </c>
      <c r="EM189" s="77">
        <f>'Income Statement'!EM160/'Revenue Model'!EM393</f>
        <v>0.19173003207522946</v>
      </c>
      <c r="EN189" s="77">
        <f>'Income Statement'!EN160/'Revenue Model'!EN393</f>
        <v>0.1856888031301924</v>
      </c>
      <c r="EO189" s="77">
        <f>'Income Statement'!EO160/'Revenue Model'!EO393</f>
        <v>0.19609581562953801</v>
      </c>
      <c r="EP189" s="77">
        <f>'Income Statement'!EP160/'Revenue Model'!EP393</f>
        <v>0.19451552250697118</v>
      </c>
      <c r="EQ189" s="77">
        <f>'Income Statement'!EQ160/'Revenue Model'!EQ393</f>
        <v>0.19344878507182173</v>
      </c>
      <c r="ER189" s="77">
        <f>'Income Statement'!ER160/'Revenue Model'!ER393</f>
        <v>0.19574675061474855</v>
      </c>
      <c r="ES189" s="77">
        <f>'Income Statement'!ES160/'Revenue Model'!ES393</f>
        <v>0.20096070343030831</v>
      </c>
      <c r="ET189" s="77">
        <f>'Income Statement'!ET160/'Revenue Model'!ET393</f>
        <v>0.20058076422058185</v>
      </c>
      <c r="EU189" s="208">
        <f>'Income Statement'!EU160/'Revenue Model'!EU393</f>
        <v>0.19220786469816639</v>
      </c>
      <c r="EV189" s="208">
        <f>'Income Statement'!EV160/'Revenue Model'!EV393</f>
        <v>0.18327555124115935</v>
      </c>
      <c r="EW189" s="208">
        <f>'Income Statement'!EW160/'Revenue Model'!EW393</f>
        <v>0.18930290114120721</v>
      </c>
      <c r="EX189" s="208">
        <f>'Income Statement'!EX160/'Revenue Model'!EX393</f>
        <v>0.18850695210770249</v>
      </c>
      <c r="EY189" s="208">
        <f>'Income Statement'!EY160/'Revenue Model'!EY393</f>
        <v>0.18646215922611351</v>
      </c>
      <c r="EZ189" s="1739">
        <f>'Income Statement'!EZ160/'Revenue Model'!EZ393</f>
        <v>0.18615372177047704</v>
      </c>
      <c r="FA189" s="1556">
        <f t="shared" ref="FA189:FF189" si="591">CHOOSE(scenario,FA190,FA191,FA192)</f>
        <v>0.185</v>
      </c>
      <c r="FB189" s="1556">
        <f t="shared" si="591"/>
        <v>0.1845</v>
      </c>
      <c r="FC189" s="1556">
        <f t="shared" si="591"/>
        <v>0.1845</v>
      </c>
      <c r="FD189" s="1556">
        <f t="shared" si="591"/>
        <v>0.1845</v>
      </c>
      <c r="FE189" s="1556">
        <f t="shared" si="591"/>
        <v>0.1845</v>
      </c>
      <c r="FF189" s="1556">
        <f t="shared" si="591"/>
        <v>0.1845</v>
      </c>
      <c r="FG189" s="1556">
        <f>CHOOSE(scenario,FG190,FG191,FG192)</f>
        <v>0.1845</v>
      </c>
      <c r="FH189" s="1551">
        <f>CHOOSE(scenario,FH190,FH191,FH192)</f>
        <v>0.1845</v>
      </c>
      <c r="FI189" s="413"/>
      <c r="FJ189"/>
      <c r="FK189"/>
      <c r="FL189"/>
      <c r="FM189"/>
      <c r="FN189"/>
      <c r="FO189"/>
      <c r="FS189" s="221"/>
      <c r="FT189" s="221"/>
      <c r="FU189"/>
      <c r="FV189" s="1605"/>
      <c r="FW189" s="1605"/>
      <c r="FX189" s="1605"/>
      <c r="FY189"/>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row>
    <row r="190" spans="1:260" s="4" customFormat="1" hidden="1" outlineLevel="1" x14ac:dyDescent="0.2">
      <c r="A190" s="763" t="s">
        <v>593</v>
      </c>
      <c r="B190" s="287"/>
      <c r="C190" s="287"/>
      <c r="D190" s="287"/>
      <c r="E190" s="477"/>
      <c r="F190" s="228"/>
      <c r="G190" s="228"/>
      <c r="H190" s="228"/>
      <c r="I190" s="481"/>
      <c r="J190" s="228"/>
      <c r="K190" s="228"/>
      <c r="L190" s="228"/>
      <c r="M190" s="481"/>
      <c r="N190" s="228"/>
      <c r="O190" s="228"/>
      <c r="P190" s="228"/>
      <c r="Q190" s="481"/>
      <c r="R190" s="228"/>
      <c r="S190" s="228"/>
      <c r="T190" s="228"/>
      <c r="U190" s="481"/>
      <c r="V190" s="228"/>
      <c r="W190" s="228"/>
      <c r="X190" s="228"/>
      <c r="Y190" s="481"/>
      <c r="Z190" s="228"/>
      <c r="AA190" s="228"/>
      <c r="AB190" s="228"/>
      <c r="AC190" s="481"/>
      <c r="AD190" s="228"/>
      <c r="AE190" s="228"/>
      <c r="AF190" s="228"/>
      <c r="AG190" s="481"/>
      <c r="AH190" s="228"/>
      <c r="AI190" s="228"/>
      <c r="AJ190" s="228"/>
      <c r="AK190" s="481"/>
      <c r="AL190" s="228"/>
      <c r="AM190" s="228"/>
      <c r="AN190" s="228"/>
      <c r="AO190" s="481"/>
      <c r="AP190" s="228"/>
      <c r="AQ190" s="228"/>
      <c r="AR190" s="228"/>
      <c r="AS190" s="481"/>
      <c r="AT190" s="228"/>
      <c r="AU190" s="228"/>
      <c r="AV190" s="228"/>
      <c r="AW190" s="481"/>
      <c r="AX190" s="77"/>
      <c r="AY190" s="77"/>
      <c r="AZ190" s="77"/>
      <c r="BA190" s="487"/>
      <c r="BB190" s="77"/>
      <c r="BC190" s="77"/>
      <c r="BD190" s="77"/>
      <c r="BE190" s="487"/>
      <c r="BF190" s="77"/>
      <c r="BG190" s="77"/>
      <c r="BH190" s="77"/>
      <c r="BI190" s="487"/>
      <c r="BJ190" s="77"/>
      <c r="BK190" s="77"/>
      <c r="BL190" s="77"/>
      <c r="BM190" s="487"/>
      <c r="BN190" s="77"/>
      <c r="BO190" s="77"/>
      <c r="BP190" s="77"/>
      <c r="BQ190" s="487"/>
      <c r="BR190" s="77"/>
      <c r="BS190" s="77"/>
      <c r="BT190" s="77"/>
      <c r="BU190" s="487"/>
      <c r="BV190" s="77"/>
      <c r="BW190" s="77"/>
      <c r="BX190" s="77"/>
      <c r="BY190" s="487"/>
      <c r="BZ190" s="77"/>
      <c r="CA190" s="77"/>
      <c r="CB190" s="77"/>
      <c r="CC190" s="487"/>
      <c r="CD190" s="77"/>
      <c r="CE190" s="77"/>
      <c r="CF190" s="77"/>
      <c r="CG190" s="487"/>
      <c r="CH190" s="77"/>
      <c r="CI190" s="77"/>
      <c r="CJ190" s="77"/>
      <c r="CK190" s="487"/>
      <c r="CL190" s="77"/>
      <c r="CM190" s="77"/>
      <c r="CN190" s="77"/>
      <c r="CO190" s="487"/>
      <c r="CP190" s="77"/>
      <c r="CQ190" s="77"/>
      <c r="CR190" s="77"/>
      <c r="CS190" s="487"/>
      <c r="CT190" s="103"/>
      <c r="CU190" s="77"/>
      <c r="CV190" s="77"/>
      <c r="CW190" s="487"/>
      <c r="CX190" s="77"/>
      <c r="CY190" s="70"/>
      <c r="CZ190" s="77"/>
      <c r="DA190" s="487"/>
      <c r="DB190" s="77"/>
      <c r="DC190" s="77"/>
      <c r="DD190" s="70"/>
      <c r="DE190" s="1811"/>
      <c r="DF190" s="91"/>
      <c r="DG190" s="91"/>
      <c r="DH190" s="91"/>
      <c r="DI190" s="1811"/>
      <c r="DJ190" s="1673">
        <f t="shared" ref="DJ190:DM190" si="592">DJ191-0.15%</f>
        <v>0.19750000000000001</v>
      </c>
      <c r="DK190" s="70">
        <f t="shared" si="592"/>
        <v>0.19950000000000001</v>
      </c>
      <c r="DL190" s="70">
        <f t="shared" si="592"/>
        <v>0.20349999999999999</v>
      </c>
      <c r="DM190" s="487">
        <f t="shared" si="592"/>
        <v>0.1565</v>
      </c>
      <c r="DN190" s="589"/>
      <c r="DO190" s="487"/>
      <c r="DP190" s="219"/>
      <c r="DQ190" s="219"/>
      <c r="DR190" s="219"/>
      <c r="DS190" s="219"/>
      <c r="DT190" s="219"/>
      <c r="DU190" s="219"/>
      <c r="DV190" s="219"/>
      <c r="DW190" s="219"/>
      <c r="DX190" s="219"/>
      <c r="DY190" s="197"/>
      <c r="DZ190" s="197"/>
      <c r="EA190" s="197"/>
      <c r="EB190" s="197"/>
      <c r="EC190" s="197"/>
      <c r="ED190" s="197"/>
      <c r="EE190" s="197"/>
      <c r="EF190" s="197"/>
      <c r="EG190" s="197"/>
      <c r="EH190" s="197"/>
      <c r="EI190" s="77"/>
      <c r="EJ190" s="77"/>
      <c r="EK190" s="77"/>
      <c r="EL190" s="77"/>
      <c r="EM190" s="77"/>
      <c r="EN190" s="77"/>
      <c r="EO190" s="77"/>
      <c r="EP190" s="77"/>
      <c r="EQ190" s="77"/>
      <c r="ER190" s="77"/>
      <c r="ES190" s="77"/>
      <c r="ET190" s="77"/>
      <c r="EU190" s="77"/>
      <c r="EV190" s="77"/>
      <c r="EW190" s="77"/>
      <c r="EX190" s="77"/>
      <c r="EY190" s="77"/>
      <c r="EZ190" s="1680"/>
      <c r="FA190" s="70">
        <f>FA191-0.2%</f>
        <v>0.183</v>
      </c>
      <c r="FB190" s="70">
        <f t="shared" ref="FB190:FH190" si="593">FB191-0.2%</f>
        <v>0.1825</v>
      </c>
      <c r="FC190" s="70">
        <f t="shared" si="593"/>
        <v>0.1825</v>
      </c>
      <c r="FD190" s="70">
        <f t="shared" si="593"/>
        <v>0.1825</v>
      </c>
      <c r="FE190" s="70">
        <f t="shared" si="593"/>
        <v>0.1825</v>
      </c>
      <c r="FF190" s="70">
        <f t="shared" si="593"/>
        <v>0.1825</v>
      </c>
      <c r="FG190" s="70">
        <f t="shared" si="593"/>
        <v>0.1825</v>
      </c>
      <c r="FH190" s="487">
        <f t="shared" si="593"/>
        <v>0.1825</v>
      </c>
      <c r="FI190" s="413"/>
      <c r="FJ190"/>
      <c r="FK190"/>
      <c r="FL190"/>
      <c r="FM190"/>
      <c r="FN190"/>
      <c r="FO190"/>
      <c r="FS190" s="70"/>
      <c r="FT190" s="70"/>
      <c r="FU190"/>
      <c r="FV190" s="70"/>
      <c r="FW190" s="70"/>
      <c r="FX190" s="70"/>
      <c r="FY190"/>
      <c r="FZ190"/>
      <c r="GA190"/>
      <c r="GB190"/>
      <c r="GC190"/>
      <c r="GD190"/>
      <c r="GE190"/>
      <c r="GF190"/>
      <c r="GG190"/>
      <c r="GH190"/>
      <c r="GI190"/>
      <c r="GJ190"/>
      <c r="GK190"/>
      <c r="GL190"/>
      <c r="GM190"/>
      <c r="GN190"/>
      <c r="GO190"/>
      <c r="GP190"/>
      <c r="GQ190"/>
      <c r="GR190"/>
      <c r="GS190"/>
      <c r="GT190"/>
      <c r="GU190"/>
      <c r="GV190"/>
      <c r="GW190"/>
      <c r="GX190"/>
      <c r="GY190"/>
      <c r="GZ190"/>
      <c r="HA190"/>
      <c r="HB190"/>
      <c r="HC190"/>
      <c r="HD190"/>
      <c r="HE190"/>
      <c r="HF190"/>
      <c r="HG190"/>
      <c r="HH190"/>
      <c r="HI190"/>
      <c r="HJ190"/>
      <c r="HK190"/>
      <c r="HL190"/>
      <c r="HM190"/>
      <c r="HN190"/>
      <c r="HO190"/>
      <c r="HP190"/>
      <c r="HQ190"/>
      <c r="HR190"/>
      <c r="HS190"/>
      <c r="HT190"/>
      <c r="HU190"/>
      <c r="HV190"/>
      <c r="HW190"/>
      <c r="HX190"/>
      <c r="HY190"/>
      <c r="HZ190"/>
      <c r="IA190"/>
      <c r="IB190"/>
      <c r="IC190"/>
      <c r="ID190"/>
      <c r="IE190"/>
      <c r="IF190"/>
      <c r="IG190"/>
      <c r="IH190"/>
      <c r="II190"/>
      <c r="IJ190"/>
      <c r="IK190"/>
      <c r="IL190"/>
      <c r="IM190"/>
      <c r="IN190"/>
      <c r="IO190"/>
      <c r="IP190"/>
      <c r="IQ190"/>
      <c r="IR190"/>
      <c r="IS190"/>
      <c r="IT190"/>
      <c r="IU190"/>
      <c r="IV190"/>
      <c r="IW190"/>
      <c r="IX190"/>
      <c r="IY190"/>
      <c r="IZ190"/>
    </row>
    <row r="191" spans="1:260" s="4" customFormat="1" hidden="1" outlineLevel="1" x14ac:dyDescent="0.2">
      <c r="A191" s="763" t="s">
        <v>594</v>
      </c>
      <c r="B191" s="287"/>
      <c r="C191" s="287"/>
      <c r="D191" s="287"/>
      <c r="E191" s="477"/>
      <c r="F191" s="228"/>
      <c r="G191" s="228"/>
      <c r="H191" s="228"/>
      <c r="I191" s="481"/>
      <c r="J191" s="228"/>
      <c r="K191" s="228"/>
      <c r="L191" s="228"/>
      <c r="M191" s="481"/>
      <c r="N191" s="228"/>
      <c r="O191" s="228"/>
      <c r="P191" s="228"/>
      <c r="Q191" s="481"/>
      <c r="R191" s="228"/>
      <c r="S191" s="228"/>
      <c r="T191" s="228"/>
      <c r="U191" s="481"/>
      <c r="V191" s="228"/>
      <c r="W191" s="228"/>
      <c r="X191" s="228"/>
      <c r="Y191" s="481"/>
      <c r="Z191" s="228"/>
      <c r="AA191" s="228"/>
      <c r="AB191" s="228"/>
      <c r="AC191" s="481"/>
      <c r="AD191" s="228"/>
      <c r="AE191" s="228"/>
      <c r="AF191" s="228"/>
      <c r="AG191" s="481"/>
      <c r="AH191" s="228"/>
      <c r="AI191" s="228"/>
      <c r="AJ191" s="228"/>
      <c r="AK191" s="481"/>
      <c r="AL191" s="228"/>
      <c r="AM191" s="228"/>
      <c r="AN191" s="228"/>
      <c r="AO191" s="481"/>
      <c r="AP191" s="228"/>
      <c r="AQ191" s="228"/>
      <c r="AR191" s="228"/>
      <c r="AS191" s="481"/>
      <c r="AT191" s="228"/>
      <c r="AU191" s="228"/>
      <c r="AV191" s="228"/>
      <c r="AW191" s="481"/>
      <c r="AX191" s="77"/>
      <c r="AY191" s="77"/>
      <c r="AZ191" s="77"/>
      <c r="BA191" s="487"/>
      <c r="BB191" s="77"/>
      <c r="BC191" s="77"/>
      <c r="BD191" s="77"/>
      <c r="BE191" s="487"/>
      <c r="BF191" s="77"/>
      <c r="BG191" s="77"/>
      <c r="BH191" s="77"/>
      <c r="BI191" s="487"/>
      <c r="BJ191" s="77"/>
      <c r="BK191" s="77"/>
      <c r="BL191" s="77"/>
      <c r="BM191" s="487"/>
      <c r="BN191" s="77"/>
      <c r="BO191" s="77"/>
      <c r="BP191" s="77"/>
      <c r="BQ191" s="487"/>
      <c r="BR191" s="77"/>
      <c r="BS191" s="77"/>
      <c r="BT191" s="77"/>
      <c r="BU191" s="487"/>
      <c r="BV191" s="77"/>
      <c r="BW191" s="77"/>
      <c r="BX191" s="77"/>
      <c r="BY191" s="487"/>
      <c r="BZ191" s="77"/>
      <c r="CA191" s="77"/>
      <c r="CB191" s="77"/>
      <c r="CC191" s="487"/>
      <c r="CD191" s="77"/>
      <c r="CE191" s="77"/>
      <c r="CF191" s="77"/>
      <c r="CG191" s="487"/>
      <c r="CH191" s="77"/>
      <c r="CI191" s="77"/>
      <c r="CJ191" s="77"/>
      <c r="CK191" s="487"/>
      <c r="CL191" s="77"/>
      <c r="CM191" s="77"/>
      <c r="CN191" s="77"/>
      <c r="CO191" s="487"/>
      <c r="CP191" s="77"/>
      <c r="CQ191" s="77"/>
      <c r="CR191" s="77"/>
      <c r="CS191" s="487"/>
      <c r="CT191" s="263"/>
      <c r="CU191" s="77"/>
      <c r="CV191" s="77"/>
      <c r="CW191" s="487"/>
      <c r="CX191" s="77"/>
      <c r="CY191" s="170"/>
      <c r="CZ191" s="77"/>
      <c r="DA191" s="487"/>
      <c r="DB191" s="77"/>
      <c r="DC191" s="77"/>
      <c r="DD191" s="2227"/>
      <c r="DE191" s="2190"/>
      <c r="DF191" s="1610"/>
      <c r="DG191" s="1610"/>
      <c r="DH191" s="1610"/>
      <c r="DI191" s="2190"/>
      <c r="DJ191" s="2383">
        <v>0.19900000000000001</v>
      </c>
      <c r="DK191" s="1554">
        <v>0.20100000000000001</v>
      </c>
      <c r="DL191" s="1554">
        <v>0.20499999999999999</v>
      </c>
      <c r="DM191" s="1553">
        <v>0.158</v>
      </c>
      <c r="DN191" s="589"/>
      <c r="DO191" s="487"/>
      <c r="DP191" s="219"/>
      <c r="DQ191" s="219"/>
      <c r="DR191" s="219"/>
      <c r="DS191" s="219"/>
      <c r="DT191" s="219"/>
      <c r="DU191" s="219"/>
      <c r="DV191" s="219"/>
      <c r="DW191" s="219"/>
      <c r="DX191" s="219"/>
      <c r="DY191" s="197"/>
      <c r="DZ191" s="197"/>
      <c r="EA191" s="197"/>
      <c r="EB191" s="197"/>
      <c r="EC191" s="197"/>
      <c r="ED191" s="197"/>
      <c r="EE191" s="197"/>
      <c r="EF191" s="197"/>
      <c r="EG191" s="197"/>
      <c r="EH191" s="197"/>
      <c r="EI191" s="77"/>
      <c r="EJ191" s="77"/>
      <c r="EK191" s="77"/>
      <c r="EL191" s="77"/>
      <c r="EM191" s="77"/>
      <c r="EN191" s="77"/>
      <c r="EO191" s="77"/>
      <c r="EP191" s="77"/>
      <c r="EQ191" s="77"/>
      <c r="ER191" s="77"/>
      <c r="ES191" s="77"/>
      <c r="ET191" s="77"/>
      <c r="EU191" s="77"/>
      <c r="EV191" s="77"/>
      <c r="EW191" s="77"/>
      <c r="EX191" s="77"/>
      <c r="EY191" s="77"/>
      <c r="EZ191" s="1680"/>
      <c r="FA191" s="1555">
        <v>0.185</v>
      </c>
      <c r="FB191" s="1555">
        <v>0.1845</v>
      </c>
      <c r="FC191" s="1555">
        <f t="shared" ref="FB191:FH191" si="594">+FB191</f>
        <v>0.1845</v>
      </c>
      <c r="FD191" s="1555">
        <f t="shared" si="594"/>
        <v>0.1845</v>
      </c>
      <c r="FE191" s="1555">
        <f t="shared" si="594"/>
        <v>0.1845</v>
      </c>
      <c r="FF191" s="1555">
        <f t="shared" si="594"/>
        <v>0.1845</v>
      </c>
      <c r="FG191" s="1555">
        <f t="shared" si="594"/>
        <v>0.1845</v>
      </c>
      <c r="FH191" s="1553">
        <f t="shared" si="594"/>
        <v>0.1845</v>
      </c>
      <c r="FI191" s="413"/>
      <c r="FJ191"/>
      <c r="FK191"/>
      <c r="FL191"/>
      <c r="FM191"/>
      <c r="FN191"/>
      <c r="FO191"/>
      <c r="FS191" s="170"/>
      <c r="FT191" s="170"/>
      <c r="FU191"/>
      <c r="FV191" s="1606"/>
      <c r="FW191" s="1606"/>
      <c r="FX191" s="1606"/>
      <c r="FY191"/>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row>
    <row r="192" spans="1:260" s="4" customFormat="1" hidden="1" outlineLevel="1" x14ac:dyDescent="0.2">
      <c r="A192" s="763" t="s">
        <v>595</v>
      </c>
      <c r="B192" s="287"/>
      <c r="C192" s="287"/>
      <c r="D192" s="287"/>
      <c r="E192" s="477"/>
      <c r="F192" s="228"/>
      <c r="G192" s="228"/>
      <c r="H192" s="228"/>
      <c r="I192" s="481"/>
      <c r="J192" s="228"/>
      <c r="K192" s="228"/>
      <c r="L192" s="228"/>
      <c r="M192" s="481"/>
      <c r="N192" s="228"/>
      <c r="O192" s="228"/>
      <c r="P192" s="228"/>
      <c r="Q192" s="481"/>
      <c r="R192" s="228"/>
      <c r="S192" s="228"/>
      <c r="T192" s="228"/>
      <c r="U192" s="481"/>
      <c r="V192" s="228"/>
      <c r="W192" s="228"/>
      <c r="X192" s="228"/>
      <c r="Y192" s="481"/>
      <c r="Z192" s="228"/>
      <c r="AA192" s="228"/>
      <c r="AB192" s="228"/>
      <c r="AC192" s="481"/>
      <c r="AD192" s="228"/>
      <c r="AE192" s="228"/>
      <c r="AF192" s="228"/>
      <c r="AG192" s="481"/>
      <c r="AH192" s="228"/>
      <c r="AI192" s="228"/>
      <c r="AJ192" s="228"/>
      <c r="AK192" s="481"/>
      <c r="AL192" s="228"/>
      <c r="AM192" s="228"/>
      <c r="AN192" s="228"/>
      <c r="AO192" s="481"/>
      <c r="AP192" s="228"/>
      <c r="AQ192" s="228"/>
      <c r="AR192" s="228"/>
      <c r="AS192" s="481"/>
      <c r="AT192" s="228"/>
      <c r="AU192" s="228"/>
      <c r="AV192" s="228"/>
      <c r="AW192" s="481"/>
      <c r="AX192" s="77"/>
      <c r="AY192" s="77"/>
      <c r="AZ192" s="77"/>
      <c r="BA192" s="487"/>
      <c r="BB192" s="77"/>
      <c r="BC192" s="77"/>
      <c r="BD192" s="77"/>
      <c r="BE192" s="487"/>
      <c r="BF192" s="77"/>
      <c r="BG192" s="77"/>
      <c r="BH192" s="77"/>
      <c r="BI192" s="487"/>
      <c r="BJ192" s="77"/>
      <c r="BK192" s="77"/>
      <c r="BL192" s="77"/>
      <c r="BM192" s="487"/>
      <c r="BN192" s="77"/>
      <c r="BO192" s="77"/>
      <c r="BP192" s="77"/>
      <c r="BQ192" s="487"/>
      <c r="BR192" s="77"/>
      <c r="BS192" s="77"/>
      <c r="BT192" s="77"/>
      <c r="BU192" s="487"/>
      <c r="BV192" s="77"/>
      <c r="BW192" s="77"/>
      <c r="BX192" s="77"/>
      <c r="BY192" s="487"/>
      <c r="BZ192" s="77"/>
      <c r="CA192" s="77"/>
      <c r="CB192" s="77"/>
      <c r="CC192" s="487"/>
      <c r="CD192" s="77"/>
      <c r="CE192" s="77"/>
      <c r="CF192" s="77"/>
      <c r="CG192" s="487"/>
      <c r="CH192" s="77"/>
      <c r="CI192" s="77"/>
      <c r="CJ192" s="77"/>
      <c r="CK192" s="487"/>
      <c r="CL192" s="77"/>
      <c r="CM192" s="77"/>
      <c r="CN192" s="77"/>
      <c r="CO192" s="487"/>
      <c r="CP192" s="77"/>
      <c r="CQ192" s="77"/>
      <c r="CR192" s="77"/>
      <c r="CS192" s="487"/>
      <c r="CT192" s="103"/>
      <c r="CU192" s="77"/>
      <c r="CV192" s="77"/>
      <c r="CW192" s="487"/>
      <c r="CX192" s="77"/>
      <c r="CY192" s="70"/>
      <c r="CZ192" s="77"/>
      <c r="DA192" s="487"/>
      <c r="DB192" s="77"/>
      <c r="DC192" s="77"/>
      <c r="DD192" s="70"/>
      <c r="DE192" s="1811"/>
      <c r="DF192" s="91"/>
      <c r="DG192" s="91"/>
      <c r="DH192" s="91"/>
      <c r="DI192" s="1811"/>
      <c r="DJ192" s="1673">
        <f t="shared" ref="DJ192:DL192" si="595">+DJ191</f>
        <v>0.19900000000000001</v>
      </c>
      <c r="DK192" s="70">
        <f t="shared" si="595"/>
        <v>0.20100000000000001</v>
      </c>
      <c r="DL192" s="70">
        <f t="shared" si="595"/>
        <v>0.20499999999999999</v>
      </c>
      <c r="DM192" s="487">
        <f>+DM191</f>
        <v>0.158</v>
      </c>
      <c r="DN192" s="589"/>
      <c r="DO192" s="487"/>
      <c r="DP192" s="219"/>
      <c r="DQ192" s="219"/>
      <c r="DR192" s="219"/>
      <c r="DS192" s="219"/>
      <c r="DT192" s="219"/>
      <c r="DU192" s="219"/>
      <c r="DV192" s="219"/>
      <c r="DW192" s="219"/>
      <c r="DX192" s="219"/>
      <c r="DY192" s="197"/>
      <c r="DZ192" s="197"/>
      <c r="EA192" s="197"/>
      <c r="EB192" s="197"/>
      <c r="EC192" s="197"/>
      <c r="ED192" s="197"/>
      <c r="EE192" s="197"/>
      <c r="EF192" s="197"/>
      <c r="EG192" s="197"/>
      <c r="EH192" s="197"/>
      <c r="EI192" s="77"/>
      <c r="EJ192" s="77"/>
      <c r="EK192" s="77"/>
      <c r="EL192" s="77"/>
      <c r="EM192" s="77"/>
      <c r="EN192" s="77"/>
      <c r="EO192" s="77"/>
      <c r="EP192" s="77"/>
      <c r="EQ192" s="77"/>
      <c r="ER192" s="77"/>
      <c r="ES192" s="77"/>
      <c r="ET192" s="77"/>
      <c r="EU192" s="77"/>
      <c r="EV192" s="77"/>
      <c r="EW192" s="77"/>
      <c r="EX192" s="77"/>
      <c r="EY192" s="77"/>
      <c r="EZ192" s="1680"/>
      <c r="FA192" s="70">
        <f>+FA191+0.1%</f>
        <v>0.186</v>
      </c>
      <c r="FB192" s="70">
        <f>+FB191+0.1%</f>
        <v>0.1855</v>
      </c>
      <c r="FC192" s="70">
        <f t="shared" ref="FB192:FH192" si="596">+FC191+0.2%</f>
        <v>0.1865</v>
      </c>
      <c r="FD192" s="70">
        <f t="shared" si="596"/>
        <v>0.1865</v>
      </c>
      <c r="FE192" s="70">
        <f t="shared" si="596"/>
        <v>0.1865</v>
      </c>
      <c r="FF192" s="70">
        <f t="shared" si="596"/>
        <v>0.1865</v>
      </c>
      <c r="FG192" s="70">
        <f t="shared" si="596"/>
        <v>0.1865</v>
      </c>
      <c r="FH192" s="487">
        <f t="shared" si="596"/>
        <v>0.1865</v>
      </c>
      <c r="FI192" s="413"/>
      <c r="FJ192"/>
      <c r="FK192"/>
      <c r="FL192"/>
      <c r="FM192"/>
      <c r="FN192"/>
      <c r="FO192"/>
      <c r="FS192" s="70"/>
      <c r="FT192" s="70"/>
      <c r="FU192"/>
      <c r="FV192" s="70"/>
      <c r="FW192" s="70"/>
      <c r="FX192" s="70"/>
      <c r="FY192"/>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row>
    <row r="193" spans="1:260" s="4" customFormat="1" collapsed="1" x14ac:dyDescent="0.2">
      <c r="A193" s="395" t="s">
        <v>24</v>
      </c>
      <c r="B193" s="287"/>
      <c r="C193" s="287"/>
      <c r="D193" s="287"/>
      <c r="E193" s="477"/>
      <c r="F193" s="213" t="s">
        <v>483</v>
      </c>
      <c r="G193" s="213" t="s">
        <v>483</v>
      </c>
      <c r="H193" s="213" t="s">
        <v>483</v>
      </c>
      <c r="I193" s="490" t="s">
        <v>483</v>
      </c>
      <c r="J193" s="213" t="s">
        <v>483</v>
      </c>
      <c r="K193" s="213" t="s">
        <v>483</v>
      </c>
      <c r="L193" s="213" t="s">
        <v>483</v>
      </c>
      <c r="M193" s="490" t="s">
        <v>483</v>
      </c>
      <c r="N193" s="213" t="s">
        <v>483</v>
      </c>
      <c r="O193" s="213" t="s">
        <v>483</v>
      </c>
      <c r="P193" s="213" t="s">
        <v>483</v>
      </c>
      <c r="Q193" s="490" t="s">
        <v>483</v>
      </c>
      <c r="R193" s="213" t="s">
        <v>483</v>
      </c>
      <c r="S193" s="213" t="s">
        <v>483</v>
      </c>
      <c r="T193" s="213" t="s">
        <v>483</v>
      </c>
      <c r="U193" s="490" t="s">
        <v>483</v>
      </c>
      <c r="V193" s="213" t="s">
        <v>483</v>
      </c>
      <c r="W193" s="213" t="s">
        <v>483</v>
      </c>
      <c r="X193" s="213" t="s">
        <v>483</v>
      </c>
      <c r="Y193" s="490" t="s">
        <v>483</v>
      </c>
      <c r="Z193" s="213" t="s">
        <v>483</v>
      </c>
      <c r="AA193" s="213" t="s">
        <v>483</v>
      </c>
      <c r="AB193" s="213" t="s">
        <v>483</v>
      </c>
      <c r="AC193" s="490" t="s">
        <v>483</v>
      </c>
      <c r="AD193" s="213" t="s">
        <v>483</v>
      </c>
      <c r="AE193" s="213" t="s">
        <v>483</v>
      </c>
      <c r="AF193" s="213" t="s">
        <v>483</v>
      </c>
      <c r="AG193" s="490" t="s">
        <v>483</v>
      </c>
      <c r="AH193" s="213" t="s">
        <v>483</v>
      </c>
      <c r="AI193" s="213" t="s">
        <v>483</v>
      </c>
      <c r="AJ193" s="213" t="s">
        <v>483</v>
      </c>
      <c r="AK193" s="490" t="s">
        <v>483</v>
      </c>
      <c r="AL193" s="213" t="s">
        <v>483</v>
      </c>
      <c r="AM193" s="213" t="s">
        <v>483</v>
      </c>
      <c r="AN193" s="213" t="s">
        <v>483</v>
      </c>
      <c r="AO193" s="490" t="s">
        <v>483</v>
      </c>
      <c r="AP193" s="213" t="s">
        <v>483</v>
      </c>
      <c r="AQ193" s="213" t="s">
        <v>483</v>
      </c>
      <c r="AR193" s="213" t="s">
        <v>483</v>
      </c>
      <c r="AS193" s="490" t="s">
        <v>483</v>
      </c>
      <c r="AT193" s="213" t="s">
        <v>483</v>
      </c>
      <c r="AU193" s="213" t="s">
        <v>483</v>
      </c>
      <c r="AV193" s="213" t="s">
        <v>483</v>
      </c>
      <c r="AW193" s="490" t="s">
        <v>483</v>
      </c>
      <c r="AX193" s="77">
        <f>'Income Statement'!AX161/'Revenue Model'!AX398</f>
        <v>0.23999999999999996</v>
      </c>
      <c r="AY193" s="77">
        <f>'Income Statement'!AY161/'Revenue Model'!AY398</f>
        <v>0.23100000000000004</v>
      </c>
      <c r="AZ193" s="77">
        <f>'Income Statement'!AZ161/'Revenue Model'!AZ398</f>
        <v>0.22600000000000001</v>
      </c>
      <c r="BA193" s="487">
        <f>'Income Statement'!BA161/'Revenue Model'!BA398</f>
        <v>0.18099999999999999</v>
      </c>
      <c r="BB193" s="77">
        <f>'Income Statement'!BB161/'Revenue Model'!BB398</f>
        <v>0.23000000000000004</v>
      </c>
      <c r="BC193" s="77">
        <f>'Income Statement'!BC161/'Revenue Model'!BC398</f>
        <v>0.221</v>
      </c>
      <c r="BD193" s="77">
        <f>'Income Statement'!BD161/'Revenue Model'!BD398</f>
        <v>0.20200000000000001</v>
      </c>
      <c r="BE193" s="487">
        <f>'Income Statement'!BE161/'Revenue Model'!BE398</f>
        <v>0.16349862258953168</v>
      </c>
      <c r="BF193" s="77">
        <f>'Income Statement'!BF161/'Revenue Model'!BF398</f>
        <v>0.20200000000000001</v>
      </c>
      <c r="BG193" s="77">
        <f>'Income Statement'!BG161/'Revenue Model'!BG398</f>
        <v>0.1836358839050132</v>
      </c>
      <c r="BH193" s="77">
        <f>'Income Statement'!BH161/'Revenue Model'!BH398</f>
        <v>0.19322415795586526</v>
      </c>
      <c r="BI193" s="487">
        <f>'Income Statement'!BI161/'Revenue Model'!BI398</f>
        <v>0.1637896150402865</v>
      </c>
      <c r="BJ193" s="77">
        <f>'Income Statement'!BJ161/'Revenue Model'!BJ398</f>
        <v>0.20300000000000001</v>
      </c>
      <c r="BK193" s="77">
        <f>'Income Statement'!BK161/'Revenue Model'!BK398</f>
        <v>0.19861151079136691</v>
      </c>
      <c r="BL193" s="77">
        <f>'Income Statement'!BL161/'Revenue Model'!BL398</f>
        <v>0.26363219586007941</v>
      </c>
      <c r="BM193" s="487">
        <f>'Income Statement'!BM161/'Revenue Model'!BM398</f>
        <v>0.21702328288707801</v>
      </c>
      <c r="BN193" s="77">
        <f>'Income Statement'!BN161/'Revenue Model'!BN398</f>
        <v>0.25221789883268486</v>
      </c>
      <c r="BO193" s="77">
        <f>'Income Statement'!BO161/'Revenue Model'!BO398</f>
        <v>0.25773653566229987</v>
      </c>
      <c r="BP193" s="77">
        <f>'Income Statement'!BP161/'Revenue Model'!BP398</f>
        <v>0.24656385386356286</v>
      </c>
      <c r="BQ193" s="487">
        <f>'Income Statement'!BQ161/'Revenue Model'!BQ398</f>
        <v>0.20789266817838245</v>
      </c>
      <c r="BR193" s="77">
        <f>'Income Statement'!BR161/'Revenue Model'!BR398</f>
        <v>0.25776256983240226</v>
      </c>
      <c r="BS193" s="77">
        <f>'Income Statement'!BS161/'Revenue Model'!BS398</f>
        <v>0.25462211505339305</v>
      </c>
      <c r="BT193" s="77">
        <f>'Income Statement'!BT161/'Revenue Model'!BT398</f>
        <v>0.23784905660377359</v>
      </c>
      <c r="BU193" s="487">
        <f>'Income Statement'!BU161/'Revenue Model'!BU398</f>
        <v>0.19309519207538053</v>
      </c>
      <c r="BV193" s="77">
        <f>'Income Statement'!BV161/'Revenue Model'!BV398</f>
        <v>0.24342064264849075</v>
      </c>
      <c r="BW193" s="77">
        <f>'Income Statement'!BW161/'Revenue Model'!BW398</f>
        <v>0.25927009222661396</v>
      </c>
      <c r="BX193" s="77">
        <f>'Income Statement'!BX161/'Revenue Model'!BX398</f>
        <v>0.23448662103298071</v>
      </c>
      <c r="BY193" s="487">
        <f>'Income Statement'!BY161/'Revenue Model'!BY398</f>
        <v>0.19522456575682384</v>
      </c>
      <c r="BZ193" s="77">
        <f>'Income Statement'!BZ161/'Revenue Model'!BZ398</f>
        <v>0.24653148345784417</v>
      </c>
      <c r="CA193" s="77">
        <f>'Income Statement'!CA161/'Revenue Model'!CA398</f>
        <v>0.24880382775119617</v>
      </c>
      <c r="CB193" s="77">
        <f>'Income Statement'!CB161/'Revenue Model'!CB398</f>
        <v>0.22543542556687479</v>
      </c>
      <c r="CC193" s="487">
        <f>'Income Statement'!CC161/'Revenue Model'!CC398</f>
        <v>0.18306412139011258</v>
      </c>
      <c r="CD193" s="77">
        <f>'Income Statement'!CD161/'Revenue Model'!CD398</f>
        <v>0.22875377897211957</v>
      </c>
      <c r="CE193" s="77">
        <f>'Income Statement'!CE161/'Revenue Model'!CE398</f>
        <v>0.24835012156998959</v>
      </c>
      <c r="CF193" s="77">
        <f>'Income Statement'!CF161/'Revenue Model'!CF398</f>
        <v>0.22265372168284789</v>
      </c>
      <c r="CG193" s="487">
        <f>'Income Statement'!CG161/'Revenue Model'!CG398</f>
        <v>0.19129158512720157</v>
      </c>
      <c r="CH193" s="77">
        <f>'Income Statement'!CH161/'Revenue Model'!CH398</f>
        <v>0.2535868005738881</v>
      </c>
      <c r="CI193" s="77">
        <f>'Income Statement'!CI161/'Revenue Model'!CI398</f>
        <v>0.26166180758017493</v>
      </c>
      <c r="CJ193" s="77">
        <f>'Income Statement'!CJ161/'Revenue Model'!CJ398</f>
        <v>0.237987012987013</v>
      </c>
      <c r="CK193" s="487">
        <f>'Income Statement'!CK161/'Revenue Model'!CK398</f>
        <v>0.19009853400624849</v>
      </c>
      <c r="CL193" s="77">
        <f>'Income Statement'!CL161/'Revenue Model'!CL398</f>
        <v>0.24564796905222436</v>
      </c>
      <c r="CM193" s="77">
        <f>'Income Statement'!CM161/'Revenue Model'!CM398</f>
        <v>0.23372395833333334</v>
      </c>
      <c r="CN193" s="77">
        <f>'Income Statement'!CN161/'Revenue Model'!CN398</f>
        <v>0.2265807962529274</v>
      </c>
      <c r="CO193" s="487">
        <f>'Income Statement'!CO161/'Revenue Model'!CO398</f>
        <v>0.17693588676103247</v>
      </c>
      <c r="CP193" s="77">
        <f>'Income Statement'!CP161/'Revenue Model'!CP398</f>
        <v>0.27393075356415481</v>
      </c>
      <c r="CQ193" s="77">
        <f>'Income Statement'!CQ161/'Revenue Model'!CQ398</f>
        <v>0.26903023983315955</v>
      </c>
      <c r="CR193" s="77">
        <f>'Income Statement'!CR161/'Revenue Model'!CR398</f>
        <v>0.23741007194244604</v>
      </c>
      <c r="CS193" s="487">
        <f>'Income Statement'!CS161/'Revenue Model'!CS398</f>
        <v>0.17023740590619571</v>
      </c>
      <c r="CT193" s="77">
        <f>'Income Statement'!CT161/'Revenue Model'!CT398</f>
        <v>0.25524475524475526</v>
      </c>
      <c r="CU193" s="77">
        <f>'Income Statement'!CU161/'Revenue Model'!CU398</f>
        <v>0.2597254004576659</v>
      </c>
      <c r="CV193" s="77">
        <f>'Income Statement'!CV161/'Revenue Model'!CV398</f>
        <v>0.22500000000000001</v>
      </c>
      <c r="CW193" s="487">
        <f>'Income Statement'!CW161/'Revenue Model'!CW398</f>
        <v>0.17328042328042328</v>
      </c>
      <c r="CX193" s="208">
        <f>'Income Statement'!CX161/'Revenue Model'!CX398</f>
        <v>0.2679640718562874</v>
      </c>
      <c r="CY193" s="208">
        <f>'Income Statement'!CY161/'Revenue Model'!CY398</f>
        <v>0.26615384615384613</v>
      </c>
      <c r="CZ193" s="208">
        <f>'Income Statement'!CZ161/'Revenue Model'!CZ398</f>
        <v>0.23456790123456789</v>
      </c>
      <c r="DA193" s="572">
        <f>'Income Statement'!DA161/'Revenue Model'!DA398</f>
        <v>0.17204301075268819</v>
      </c>
      <c r="DB193" s="208">
        <f>'Income Statement'!DB161/'Revenue Model'!DB398</f>
        <v>0.25570032573289903</v>
      </c>
      <c r="DC193" s="208">
        <f>'Income Statement'!DC161/'Revenue Model'!DC398</f>
        <v>0.25465838509316768</v>
      </c>
      <c r="DD193" s="208">
        <f>'Income Statement'!DD161/'Revenue Model'!DD398</f>
        <v>0.22576361221779548</v>
      </c>
      <c r="DE193" s="572">
        <f>'Income Statement'!DE161/'Revenue Model'!DE398</f>
        <v>0.17482517482517482</v>
      </c>
      <c r="DF193" s="208">
        <f>'Income Statement'!DF161/'Revenue Model'!DF398</f>
        <v>0.24188311688311689</v>
      </c>
      <c r="DG193" s="208">
        <f>'Income Statement'!DG161/'Revenue Model'!DG398</f>
        <v>0.2410179640718563</v>
      </c>
      <c r="DH193" s="208">
        <f>'Income Statement'!DH161/'Revenue Model'!DH398</f>
        <v>0.21833534378769601</v>
      </c>
      <c r="DI193" s="572">
        <f>'Income Statement'!DI161/'Revenue Model'!DI398</f>
        <v>0.1620639534883721</v>
      </c>
      <c r="DJ193" s="2704">
        <f t="shared" ref="DJ193:DM193" si="597">CHOOSE(scenario,DJ194,DJ195,DJ196)</f>
        <v>0.23799999999999999</v>
      </c>
      <c r="DK193" s="1552">
        <f t="shared" si="597"/>
        <v>0.23799999999999999</v>
      </c>
      <c r="DL193" s="1552">
        <f t="shared" si="597"/>
        <v>0.214</v>
      </c>
      <c r="DM193" s="1551">
        <f t="shared" si="597"/>
        <v>0.17599999999999999</v>
      </c>
      <c r="DN193" s="589"/>
      <c r="DO193" s="487"/>
      <c r="DP193" s="219"/>
      <c r="DQ193" s="219"/>
      <c r="DR193" s="219"/>
      <c r="DS193" s="219"/>
      <c r="DT193" s="219"/>
      <c r="DU193" s="219"/>
      <c r="DV193" s="219"/>
      <c r="DW193" s="219"/>
      <c r="DX193" s="219"/>
      <c r="DY193" s="197"/>
      <c r="DZ193" s="197"/>
      <c r="EA193" s="197"/>
      <c r="EB193" s="197"/>
      <c r="EC193" s="197"/>
      <c r="ED193" s="197"/>
      <c r="EE193" s="197"/>
      <c r="EF193" s="197"/>
      <c r="EG193" s="197"/>
      <c r="EH193" s="197"/>
      <c r="EI193" s="77">
        <f>'Income Statement'!EI161/'Revenue Model'!EI398</f>
        <v>0.20759943181818183</v>
      </c>
      <c r="EJ193" s="77">
        <f>'Income Statement'!EJ161/'Revenue Model'!EJ398</f>
        <v>0.21309025374855828</v>
      </c>
      <c r="EK193" s="77">
        <f>'Income Statement'!EK161/'Revenue Model'!EK398</f>
        <v>0.19610442586171731</v>
      </c>
      <c r="EL193" s="77">
        <f>'Income Statement'!EL161/'Revenue Model'!EL398</f>
        <v>0.18283435399551906</v>
      </c>
      <c r="EM193" s="77">
        <f>'Income Statement'!EM161/'Revenue Model'!EM398</f>
        <v>0.22725266718166945</v>
      </c>
      <c r="EN193" s="77">
        <f>'Income Statement'!EN161/'Revenue Model'!EN398</f>
        <v>0.23781970920840062</v>
      </c>
      <c r="EO193" s="77">
        <f>'Income Statement'!EO161/'Revenue Model'!EO398</f>
        <v>0.23177296347241327</v>
      </c>
      <c r="EP193" s="77">
        <f>'Income Statement'!EP161/'Revenue Model'!EP398</f>
        <v>0.23033590300127235</v>
      </c>
      <c r="EQ193" s="77">
        <f>'Income Statement'!EQ161/'Revenue Model'!EQ398</f>
        <v>0.22145848147270286</v>
      </c>
      <c r="ER193" s="77">
        <f>'Income Statement'!ER161/'Revenue Model'!ER398</f>
        <v>0.21988645082092986</v>
      </c>
      <c r="ES193" s="77">
        <f>'Income Statement'!ES161/'Revenue Model'!ES398</f>
        <v>0.23087763250606749</v>
      </c>
      <c r="ET193" s="77">
        <f>'Income Statement'!ET161/'Revenue Model'!ET398</f>
        <v>0.21564540780880923</v>
      </c>
      <c r="EU193" s="208">
        <f>'Income Statement'!EU161/'Revenue Model'!EU398</f>
        <v>0.22698744769874477</v>
      </c>
      <c r="EV193" s="208">
        <f>'Income Statement'!EV161/'Revenue Model'!EV398</f>
        <v>0.21988795518207283</v>
      </c>
      <c r="EW193" s="208">
        <f>'Income Statement'!EW161/'Revenue Model'!EW398</f>
        <v>0.22605121719886184</v>
      </c>
      <c r="EX193" s="208">
        <f>'Income Statement'!EX161/'Revenue Model'!EX398</f>
        <v>0.21901743264659271</v>
      </c>
      <c r="EY193" s="208">
        <f>'Income Statement'!EY161/'Revenue Model'!EY398</f>
        <v>0.20464316423043852</v>
      </c>
      <c r="EZ193" s="1739">
        <f>'Income Statement'!EZ161/'Revenue Model'!EZ398</f>
        <v>0.20765698977601282</v>
      </c>
      <c r="FA193" s="1556">
        <f t="shared" ref="FA193:FF193" si="598">CHOOSE(scenario,FA194,FA195,FA196)</f>
        <v>0.20799999999999999</v>
      </c>
      <c r="FB193" s="1556">
        <f t="shared" si="598"/>
        <v>0.20749999999999999</v>
      </c>
      <c r="FC193" s="1556">
        <f t="shared" si="598"/>
        <v>0.20699999999999999</v>
      </c>
      <c r="FD193" s="1556">
        <f t="shared" si="598"/>
        <v>0.20649999999999999</v>
      </c>
      <c r="FE193" s="1556">
        <f t="shared" si="598"/>
        <v>0.20599999999999999</v>
      </c>
      <c r="FF193" s="1556">
        <f t="shared" si="598"/>
        <v>0.20549999999999999</v>
      </c>
      <c r="FG193" s="1556">
        <f>CHOOSE(scenario,FG194,FG195,FG196)</f>
        <v>0.20499999999999999</v>
      </c>
      <c r="FH193" s="1551">
        <f>CHOOSE(scenario,FH194,FH195,FH196)</f>
        <v>0.20449999999999999</v>
      </c>
      <c r="FI193" s="413"/>
      <c r="FJ193"/>
      <c r="FK193"/>
      <c r="FL193"/>
      <c r="FM193"/>
      <c r="FN193"/>
      <c r="FO193"/>
      <c r="FS193" s="221"/>
      <c r="FT193" s="221"/>
      <c r="FU193"/>
      <c r="FV193" s="1605"/>
      <c r="FW193" s="1605"/>
      <c r="FX193" s="1605"/>
      <c r="FY193"/>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row>
    <row r="194" spans="1:260" s="4" customFormat="1" hidden="1" outlineLevel="1" x14ac:dyDescent="0.2">
      <c r="A194" s="763" t="s">
        <v>593</v>
      </c>
      <c r="B194" s="287"/>
      <c r="C194" s="287"/>
      <c r="D194" s="287"/>
      <c r="E194" s="477"/>
      <c r="F194" s="228"/>
      <c r="G194" s="228"/>
      <c r="H194" s="228"/>
      <c r="I194" s="481"/>
      <c r="J194" s="228"/>
      <c r="K194" s="228"/>
      <c r="L194" s="228"/>
      <c r="M194" s="481"/>
      <c r="N194" s="228"/>
      <c r="O194" s="228"/>
      <c r="P194" s="228"/>
      <c r="Q194" s="481"/>
      <c r="R194" s="228"/>
      <c r="S194" s="228"/>
      <c r="T194" s="228"/>
      <c r="U194" s="481"/>
      <c r="V194" s="228"/>
      <c r="W194" s="228"/>
      <c r="X194" s="228"/>
      <c r="Y194" s="481"/>
      <c r="Z194" s="228"/>
      <c r="AA194" s="228"/>
      <c r="AB194" s="228"/>
      <c r="AC194" s="481"/>
      <c r="AD194" s="228"/>
      <c r="AE194" s="228"/>
      <c r="AF194" s="228"/>
      <c r="AG194" s="481"/>
      <c r="AH194" s="228"/>
      <c r="AI194" s="228"/>
      <c r="AJ194" s="228"/>
      <c r="AK194" s="481"/>
      <c r="AL194" s="228"/>
      <c r="AM194" s="228"/>
      <c r="AN194" s="228"/>
      <c r="AO194" s="481"/>
      <c r="AP194" s="228"/>
      <c r="AQ194" s="228"/>
      <c r="AR194" s="228"/>
      <c r="AS194" s="481"/>
      <c r="AT194" s="228"/>
      <c r="AU194" s="228"/>
      <c r="AV194" s="228"/>
      <c r="AW194" s="481"/>
      <c r="AX194" s="77"/>
      <c r="AY194" s="77"/>
      <c r="AZ194" s="77"/>
      <c r="BA194" s="487"/>
      <c r="BB194" s="77"/>
      <c r="BC194" s="77"/>
      <c r="BD194" s="77"/>
      <c r="BE194" s="487"/>
      <c r="BF194" s="77"/>
      <c r="BG194" s="77"/>
      <c r="BH194" s="77"/>
      <c r="BI194" s="487"/>
      <c r="BJ194" s="77"/>
      <c r="BK194" s="77"/>
      <c r="BL194" s="77"/>
      <c r="BM194" s="487"/>
      <c r="BN194" s="77"/>
      <c r="BO194" s="77"/>
      <c r="BP194" s="77"/>
      <c r="BQ194" s="487"/>
      <c r="BR194" s="77"/>
      <c r="BS194" s="77"/>
      <c r="BT194" s="77"/>
      <c r="BU194" s="487"/>
      <c r="BV194" s="77"/>
      <c r="BW194" s="77"/>
      <c r="BX194" s="77"/>
      <c r="BY194" s="487"/>
      <c r="BZ194" s="77"/>
      <c r="CA194" s="77"/>
      <c r="CB194" s="77"/>
      <c r="CC194" s="487"/>
      <c r="CD194" s="77"/>
      <c r="CE194" s="77"/>
      <c r="CF194" s="77"/>
      <c r="CG194" s="487"/>
      <c r="CH194" s="77"/>
      <c r="CI194" s="77"/>
      <c r="CJ194" s="77"/>
      <c r="CK194" s="487"/>
      <c r="CL194" s="77"/>
      <c r="CM194" s="77"/>
      <c r="CN194" s="77"/>
      <c r="CO194" s="487"/>
      <c r="CP194" s="77"/>
      <c r="CQ194" s="77"/>
      <c r="CR194" s="77"/>
      <c r="CS194" s="487"/>
      <c r="CT194" s="103"/>
      <c r="CU194" s="77"/>
      <c r="CV194" s="77"/>
      <c r="CW194" s="487"/>
      <c r="CX194" s="77"/>
      <c r="CY194" s="70"/>
      <c r="CZ194" s="77"/>
      <c r="DA194" s="487"/>
      <c r="DB194" s="77"/>
      <c r="DC194" s="77"/>
      <c r="DD194" s="70"/>
      <c r="DE194" s="1811"/>
      <c r="DF194" s="91"/>
      <c r="DG194" s="91"/>
      <c r="DH194" s="91"/>
      <c r="DI194" s="1811"/>
      <c r="DJ194" s="1673">
        <f t="shared" ref="DJ194:DM194" si="599">DJ195-0.1%</f>
        <v>0.23699999999999999</v>
      </c>
      <c r="DK194" s="70">
        <f t="shared" si="599"/>
        <v>0.23699999999999999</v>
      </c>
      <c r="DL194" s="70">
        <f t="shared" si="599"/>
        <v>0.21299999999999999</v>
      </c>
      <c r="DM194" s="487">
        <f t="shared" si="599"/>
        <v>0.17499999999999999</v>
      </c>
      <c r="DN194" s="589"/>
      <c r="DO194" s="487"/>
      <c r="DP194" s="219"/>
      <c r="DQ194" s="219"/>
      <c r="DR194" s="219"/>
      <c r="DS194" s="219"/>
      <c r="DT194" s="219"/>
      <c r="DU194" s="219"/>
      <c r="DV194" s="219"/>
      <c r="DW194" s="219"/>
      <c r="DX194" s="219"/>
      <c r="DY194" s="197"/>
      <c r="DZ194" s="197"/>
      <c r="EA194" s="197"/>
      <c r="EB194" s="197"/>
      <c r="EC194" s="197"/>
      <c r="ED194" s="197"/>
      <c r="EE194" s="197"/>
      <c r="EF194" s="197"/>
      <c r="EG194" s="197"/>
      <c r="EH194" s="197"/>
      <c r="EI194" s="77"/>
      <c r="EJ194" s="77"/>
      <c r="EK194" s="77"/>
      <c r="EL194" s="77"/>
      <c r="EM194" s="77"/>
      <c r="EN194" s="77"/>
      <c r="EO194" s="77"/>
      <c r="EP194" s="77"/>
      <c r="EQ194" s="77"/>
      <c r="ER194" s="77"/>
      <c r="ES194" s="77"/>
      <c r="ET194" s="77"/>
      <c r="EU194" s="77"/>
      <c r="EV194" s="77"/>
      <c r="EW194" s="77"/>
      <c r="EX194" s="77"/>
      <c r="EY194" s="77"/>
      <c r="EZ194" s="1680"/>
      <c r="FA194" s="70">
        <f>FA195-0.2%</f>
        <v>0.20599999999999999</v>
      </c>
      <c r="FB194" s="70">
        <f t="shared" ref="FB194:FH194" si="600">FB195-0.2%</f>
        <v>0.20549999999999999</v>
      </c>
      <c r="FC194" s="70">
        <f t="shared" si="600"/>
        <v>0.20499999999999999</v>
      </c>
      <c r="FD194" s="70">
        <f t="shared" si="600"/>
        <v>0.20449999999999999</v>
      </c>
      <c r="FE194" s="70">
        <f t="shared" si="600"/>
        <v>0.20399999999999999</v>
      </c>
      <c r="FF194" s="70">
        <f t="shared" si="600"/>
        <v>0.20349999999999999</v>
      </c>
      <c r="FG194" s="70">
        <f t="shared" si="600"/>
        <v>0.20299999999999999</v>
      </c>
      <c r="FH194" s="487">
        <f t="shared" si="600"/>
        <v>0.20249999999999999</v>
      </c>
      <c r="FI194" s="413"/>
      <c r="FJ194"/>
      <c r="FK194"/>
      <c r="FL194"/>
      <c r="FM194"/>
      <c r="FN194"/>
      <c r="FO194"/>
      <c r="FS194" s="70"/>
      <c r="FT194" s="70"/>
      <c r="FU194"/>
      <c r="FV194" s="70"/>
      <c r="FW194" s="70"/>
      <c r="FX194" s="70"/>
      <c r="FY194"/>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row>
    <row r="195" spans="1:260" s="4" customFormat="1" hidden="1" outlineLevel="1" x14ac:dyDescent="0.2">
      <c r="A195" s="763" t="s">
        <v>594</v>
      </c>
      <c r="B195" s="287"/>
      <c r="C195" s="287"/>
      <c r="D195" s="287"/>
      <c r="E195" s="477"/>
      <c r="F195" s="228"/>
      <c r="G195" s="228"/>
      <c r="H195" s="228"/>
      <c r="I195" s="481"/>
      <c r="J195" s="228"/>
      <c r="K195" s="228"/>
      <c r="L195" s="228"/>
      <c r="M195" s="481"/>
      <c r="N195" s="228"/>
      <c r="O195" s="228"/>
      <c r="P195" s="228"/>
      <c r="Q195" s="481"/>
      <c r="R195" s="228"/>
      <c r="S195" s="228"/>
      <c r="T195" s="228"/>
      <c r="U195" s="481"/>
      <c r="V195" s="228"/>
      <c r="W195" s="228"/>
      <c r="X195" s="228"/>
      <c r="Y195" s="481"/>
      <c r="Z195" s="228"/>
      <c r="AA195" s="228"/>
      <c r="AB195" s="228"/>
      <c r="AC195" s="481"/>
      <c r="AD195" s="228"/>
      <c r="AE195" s="228"/>
      <c r="AF195" s="228"/>
      <c r="AG195" s="481"/>
      <c r="AH195" s="228"/>
      <c r="AI195" s="228"/>
      <c r="AJ195" s="228"/>
      <c r="AK195" s="481"/>
      <c r="AL195" s="228"/>
      <c r="AM195" s="228"/>
      <c r="AN195" s="228"/>
      <c r="AO195" s="481"/>
      <c r="AP195" s="228"/>
      <c r="AQ195" s="228"/>
      <c r="AR195" s="228"/>
      <c r="AS195" s="481"/>
      <c r="AT195" s="228"/>
      <c r="AU195" s="228"/>
      <c r="AV195" s="228"/>
      <c r="AW195" s="481"/>
      <c r="AX195" s="77"/>
      <c r="AY195" s="77"/>
      <c r="AZ195" s="77"/>
      <c r="BA195" s="487"/>
      <c r="BB195" s="77"/>
      <c r="BC195" s="77"/>
      <c r="BD195" s="77"/>
      <c r="BE195" s="487"/>
      <c r="BF195" s="77"/>
      <c r="BG195" s="77"/>
      <c r="BH195" s="77"/>
      <c r="BI195" s="487"/>
      <c r="BJ195" s="77"/>
      <c r="BK195" s="77"/>
      <c r="BL195" s="77"/>
      <c r="BM195" s="487"/>
      <c r="BN195" s="77"/>
      <c r="BO195" s="77"/>
      <c r="BP195" s="77"/>
      <c r="BQ195" s="487"/>
      <c r="BR195" s="77"/>
      <c r="BS195" s="77"/>
      <c r="BT195" s="77"/>
      <c r="BU195" s="487"/>
      <c r="BV195" s="77"/>
      <c r="BW195" s="77"/>
      <c r="BX195" s="77"/>
      <c r="BY195" s="487"/>
      <c r="BZ195" s="77"/>
      <c r="CA195" s="77"/>
      <c r="CB195" s="77"/>
      <c r="CC195" s="487"/>
      <c r="CD195" s="77"/>
      <c r="CE195" s="77"/>
      <c r="CF195" s="77"/>
      <c r="CG195" s="487"/>
      <c r="CH195" s="77"/>
      <c r="CI195" s="77"/>
      <c r="CJ195" s="77"/>
      <c r="CK195" s="487"/>
      <c r="CL195" s="77"/>
      <c r="CM195" s="77"/>
      <c r="CN195" s="77"/>
      <c r="CO195" s="487"/>
      <c r="CP195" s="77"/>
      <c r="CQ195" s="77"/>
      <c r="CR195" s="77"/>
      <c r="CS195" s="487"/>
      <c r="CT195" s="263"/>
      <c r="CU195" s="77"/>
      <c r="CV195" s="77"/>
      <c r="CW195" s="487"/>
      <c r="CX195" s="77"/>
      <c r="CY195" s="170"/>
      <c r="CZ195" s="77"/>
      <c r="DA195" s="487"/>
      <c r="DB195" s="77"/>
      <c r="DC195" s="77"/>
      <c r="DD195" s="2227"/>
      <c r="DE195" s="2190"/>
      <c r="DF195" s="1610"/>
      <c r="DG195" s="1610"/>
      <c r="DH195" s="1610"/>
      <c r="DI195" s="2190"/>
      <c r="DJ195" s="2383">
        <v>0.23799999999999999</v>
      </c>
      <c r="DK195" s="1554">
        <v>0.23799999999999999</v>
      </c>
      <c r="DL195" s="1554">
        <v>0.214</v>
      </c>
      <c r="DM195" s="1553">
        <v>0.17599999999999999</v>
      </c>
      <c r="DN195" s="589"/>
      <c r="DO195" s="487"/>
      <c r="DP195" s="219"/>
      <c r="DQ195" s="219"/>
      <c r="DR195" s="219"/>
      <c r="DS195" s="219"/>
      <c r="DT195" s="219"/>
      <c r="DU195" s="219"/>
      <c r="DV195" s="219"/>
      <c r="DW195" s="219"/>
      <c r="DX195" s="219"/>
      <c r="DY195" s="197"/>
      <c r="DZ195" s="197"/>
      <c r="EA195" s="197"/>
      <c r="EB195" s="197"/>
      <c r="EC195" s="197"/>
      <c r="ED195" s="197"/>
      <c r="EE195" s="197"/>
      <c r="EF195" s="197"/>
      <c r="EG195" s="197"/>
      <c r="EH195" s="197"/>
      <c r="EI195" s="77"/>
      <c r="EJ195" s="77"/>
      <c r="EK195" s="77"/>
      <c r="EL195" s="77"/>
      <c r="EM195" s="77"/>
      <c r="EN195" s="77"/>
      <c r="EO195" s="77"/>
      <c r="EP195" s="77"/>
      <c r="EQ195" s="77"/>
      <c r="ER195" s="77"/>
      <c r="ES195" s="77"/>
      <c r="ET195" s="77"/>
      <c r="EU195" s="77"/>
      <c r="EV195" s="77"/>
      <c r="EW195" s="77"/>
      <c r="EX195" s="77"/>
      <c r="EY195" s="77"/>
      <c r="EZ195" s="1680"/>
      <c r="FA195" s="1555">
        <v>0.20799999999999999</v>
      </c>
      <c r="FB195" s="1555">
        <f t="shared" ref="FB195:FH195" si="601">+FA195-0.0005</f>
        <v>0.20749999999999999</v>
      </c>
      <c r="FC195" s="1555">
        <f t="shared" si="601"/>
        <v>0.20699999999999999</v>
      </c>
      <c r="FD195" s="1555">
        <f t="shared" si="601"/>
        <v>0.20649999999999999</v>
      </c>
      <c r="FE195" s="1555">
        <f t="shared" si="601"/>
        <v>0.20599999999999999</v>
      </c>
      <c r="FF195" s="1555">
        <f t="shared" si="601"/>
        <v>0.20549999999999999</v>
      </c>
      <c r="FG195" s="1555">
        <f t="shared" si="601"/>
        <v>0.20499999999999999</v>
      </c>
      <c r="FH195" s="1553">
        <f t="shared" si="601"/>
        <v>0.20449999999999999</v>
      </c>
      <c r="FI195" s="413"/>
      <c r="FJ195"/>
      <c r="FK195"/>
      <c r="FL195"/>
      <c r="FM195"/>
      <c r="FN195"/>
      <c r="FO195"/>
      <c r="FS195" s="170"/>
      <c r="FT195" s="170"/>
      <c r="FU195"/>
      <c r="FV195" s="1606"/>
      <c r="FW195" s="1606"/>
      <c r="FX195" s="1606"/>
      <c r="FY195"/>
      <c r="FZ195"/>
      <c r="GA195"/>
      <c r="GB195"/>
      <c r="GC195"/>
      <c r="GD195"/>
      <c r="GE195"/>
      <c r="GF195"/>
      <c r="GG195"/>
      <c r="GH195"/>
      <c r="GI195"/>
      <c r="GJ195"/>
      <c r="GK195"/>
      <c r="GL195"/>
      <c r="GM195"/>
      <c r="GN195"/>
      <c r="GO195"/>
      <c r="GP195"/>
      <c r="GQ195"/>
      <c r="GR195"/>
      <c r="GS195"/>
      <c r="GT195"/>
      <c r="GU195"/>
      <c r="GV195"/>
      <c r="GW195"/>
      <c r="GX195"/>
      <c r="GY195"/>
      <c r="GZ195"/>
      <c r="HA195"/>
      <c r="HB195"/>
      <c r="HC195"/>
      <c r="HD195"/>
      <c r="HE195"/>
      <c r="HF195"/>
      <c r="HG195"/>
      <c r="HH195"/>
      <c r="HI195"/>
      <c r="HJ195"/>
      <c r="HK195"/>
      <c r="HL195"/>
      <c r="HM195"/>
      <c r="HN195"/>
      <c r="HO195"/>
      <c r="HP195"/>
      <c r="HQ195"/>
      <c r="HR195"/>
      <c r="HS195"/>
      <c r="HT195"/>
      <c r="HU195"/>
      <c r="HV195"/>
      <c r="HW195"/>
      <c r="HX195"/>
      <c r="HY195"/>
      <c r="HZ195"/>
      <c r="IA195"/>
      <c r="IB195"/>
      <c r="IC195"/>
      <c r="ID195"/>
      <c r="IE195"/>
      <c r="IF195"/>
      <c r="IG195"/>
      <c r="IH195"/>
      <c r="II195"/>
      <c r="IJ195"/>
      <c r="IK195"/>
      <c r="IL195"/>
      <c r="IM195"/>
      <c r="IN195"/>
      <c r="IO195"/>
      <c r="IP195"/>
      <c r="IQ195"/>
      <c r="IR195"/>
      <c r="IS195"/>
      <c r="IT195"/>
      <c r="IU195"/>
      <c r="IV195"/>
      <c r="IW195"/>
      <c r="IX195"/>
      <c r="IY195"/>
      <c r="IZ195"/>
    </row>
    <row r="196" spans="1:260" s="4" customFormat="1" hidden="1" outlineLevel="1" x14ac:dyDescent="0.2">
      <c r="A196" s="763" t="s">
        <v>595</v>
      </c>
      <c r="B196" s="287"/>
      <c r="C196" s="287"/>
      <c r="D196" s="287"/>
      <c r="E196" s="477"/>
      <c r="F196" s="228"/>
      <c r="G196" s="228"/>
      <c r="H196" s="228"/>
      <c r="I196" s="481"/>
      <c r="J196" s="228"/>
      <c r="K196" s="228"/>
      <c r="L196" s="228"/>
      <c r="M196" s="481"/>
      <c r="N196" s="228"/>
      <c r="O196" s="228"/>
      <c r="P196" s="228"/>
      <c r="Q196" s="481"/>
      <c r="R196" s="228"/>
      <c r="S196" s="228"/>
      <c r="T196" s="228"/>
      <c r="U196" s="481"/>
      <c r="V196" s="228"/>
      <c r="W196" s="228"/>
      <c r="X196" s="228"/>
      <c r="Y196" s="481"/>
      <c r="Z196" s="228"/>
      <c r="AA196" s="228"/>
      <c r="AB196" s="228"/>
      <c r="AC196" s="481"/>
      <c r="AD196" s="228"/>
      <c r="AE196" s="228"/>
      <c r="AF196" s="228"/>
      <c r="AG196" s="481"/>
      <c r="AH196" s="228"/>
      <c r="AI196" s="228"/>
      <c r="AJ196" s="228"/>
      <c r="AK196" s="481"/>
      <c r="AL196" s="228"/>
      <c r="AM196" s="228"/>
      <c r="AN196" s="228"/>
      <c r="AO196" s="481"/>
      <c r="AP196" s="228"/>
      <c r="AQ196" s="228"/>
      <c r="AR196" s="228"/>
      <c r="AS196" s="481"/>
      <c r="AT196" s="228"/>
      <c r="AU196" s="228"/>
      <c r="AV196" s="228"/>
      <c r="AW196" s="481"/>
      <c r="AX196" s="77"/>
      <c r="AY196" s="77"/>
      <c r="AZ196" s="77"/>
      <c r="BA196" s="487"/>
      <c r="BB196" s="77"/>
      <c r="BC196" s="77"/>
      <c r="BD196" s="77"/>
      <c r="BE196" s="487"/>
      <c r="BF196" s="77"/>
      <c r="BG196" s="77"/>
      <c r="BH196" s="77"/>
      <c r="BI196" s="487"/>
      <c r="BJ196" s="77"/>
      <c r="BK196" s="77"/>
      <c r="BL196" s="77"/>
      <c r="BM196" s="487"/>
      <c r="BN196" s="77"/>
      <c r="BO196" s="77"/>
      <c r="BP196" s="77"/>
      <c r="BQ196" s="487"/>
      <c r="BR196" s="77"/>
      <c r="BS196" s="77"/>
      <c r="BT196" s="77"/>
      <c r="BU196" s="487"/>
      <c r="BV196" s="77"/>
      <c r="BW196" s="77"/>
      <c r="BX196" s="77"/>
      <c r="BY196" s="487"/>
      <c r="BZ196" s="77"/>
      <c r="CA196" s="77"/>
      <c r="CB196" s="77"/>
      <c r="CC196" s="487"/>
      <c r="CD196" s="77"/>
      <c r="CE196" s="77"/>
      <c r="CF196" s="77"/>
      <c r="CG196" s="487"/>
      <c r="CH196" s="77"/>
      <c r="CI196" s="77"/>
      <c r="CJ196" s="77"/>
      <c r="CK196" s="487"/>
      <c r="CL196" s="77"/>
      <c r="CM196" s="77"/>
      <c r="CN196" s="77"/>
      <c r="CO196" s="487"/>
      <c r="CP196" s="77"/>
      <c r="CQ196" s="77"/>
      <c r="CR196" s="77"/>
      <c r="CS196" s="487"/>
      <c r="CT196" s="103"/>
      <c r="CU196" s="77"/>
      <c r="CV196" s="77"/>
      <c r="CW196" s="487"/>
      <c r="CX196" s="77"/>
      <c r="CY196" s="70"/>
      <c r="CZ196" s="77"/>
      <c r="DA196" s="487"/>
      <c r="DB196" s="77"/>
      <c r="DC196" s="77"/>
      <c r="DD196" s="70"/>
      <c r="DE196" s="1811"/>
      <c r="DF196" s="91"/>
      <c r="DG196" s="91"/>
      <c r="DH196" s="91"/>
      <c r="DI196" s="1811"/>
      <c r="DJ196" s="1673">
        <f>+DJ195+0.1%</f>
        <v>0.23899999999999999</v>
      </c>
      <c r="DK196" s="70">
        <f t="shared" ref="DK196:DM196" si="602">+DK195+0.1%</f>
        <v>0.23899999999999999</v>
      </c>
      <c r="DL196" s="70">
        <f t="shared" si="602"/>
        <v>0.215</v>
      </c>
      <c r="DM196" s="487">
        <f t="shared" si="602"/>
        <v>0.17699999999999999</v>
      </c>
      <c r="DN196" s="589"/>
      <c r="DO196" s="487"/>
      <c r="DP196" s="219"/>
      <c r="DQ196" s="219"/>
      <c r="DR196" s="219"/>
      <c r="DS196" s="219"/>
      <c r="DT196" s="219"/>
      <c r="DU196" s="219"/>
      <c r="DV196" s="219"/>
      <c r="DW196" s="219"/>
      <c r="DX196" s="219"/>
      <c r="DY196" s="197"/>
      <c r="DZ196" s="197"/>
      <c r="EA196" s="197"/>
      <c r="EB196" s="197"/>
      <c r="EC196" s="197"/>
      <c r="ED196" s="197"/>
      <c r="EE196" s="197"/>
      <c r="EF196" s="197"/>
      <c r="EG196" s="197"/>
      <c r="EH196" s="197"/>
      <c r="EI196" s="77"/>
      <c r="EJ196" s="77"/>
      <c r="EK196" s="77"/>
      <c r="EL196" s="77"/>
      <c r="EM196" s="77"/>
      <c r="EN196" s="77"/>
      <c r="EO196" s="77"/>
      <c r="EP196" s="77"/>
      <c r="EQ196" s="77"/>
      <c r="ER196" s="77"/>
      <c r="ES196" s="77"/>
      <c r="ET196" s="77"/>
      <c r="EU196" s="77"/>
      <c r="EV196" s="77"/>
      <c r="EW196" s="77"/>
      <c r="EX196" s="77"/>
      <c r="EY196" s="77"/>
      <c r="EZ196" s="1680"/>
      <c r="FA196" s="70">
        <f>+FA195+0.1%</f>
        <v>0.20899999999999999</v>
      </c>
      <c r="FB196" s="70">
        <f>+FB195+0.1%</f>
        <v>0.20849999999999999</v>
      </c>
      <c r="FC196" s="70">
        <f t="shared" ref="FB196:FG196" si="603">+FC195+1%</f>
        <v>0.217</v>
      </c>
      <c r="FD196" s="70">
        <f t="shared" si="603"/>
        <v>0.2165</v>
      </c>
      <c r="FE196" s="70">
        <f t="shared" si="603"/>
        <v>0.216</v>
      </c>
      <c r="FF196" s="70">
        <f t="shared" si="603"/>
        <v>0.2155</v>
      </c>
      <c r="FG196" s="70">
        <f t="shared" si="603"/>
        <v>0.215</v>
      </c>
      <c r="FH196" s="487">
        <f>+FH195+1%</f>
        <v>0.2145</v>
      </c>
      <c r="FI196" s="413"/>
      <c r="FJ196"/>
      <c r="FK196"/>
      <c r="FL196"/>
      <c r="FM196"/>
      <c r="FN196"/>
      <c r="FO196"/>
      <c r="FS196" s="70"/>
      <c r="FT196" s="70"/>
      <c r="FU196"/>
      <c r="FV196" s="70"/>
      <c r="FW196" s="70"/>
      <c r="FX196" s="70"/>
      <c r="FY196"/>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row>
    <row r="197" spans="1:260" s="19" customFormat="1" collapsed="1" x14ac:dyDescent="0.2">
      <c r="A197" s="395" t="s">
        <v>94</v>
      </c>
      <c r="B197" s="395"/>
      <c r="C197" s="395"/>
      <c r="D197" s="395"/>
      <c r="E197" s="545"/>
      <c r="F197" s="864" t="s">
        <v>483</v>
      </c>
      <c r="G197" s="864" t="s">
        <v>483</v>
      </c>
      <c r="H197" s="864" t="s">
        <v>483</v>
      </c>
      <c r="I197" s="4" t="s">
        <v>483</v>
      </c>
      <c r="J197" s="864" t="s">
        <v>483</v>
      </c>
      <c r="K197" s="864" t="s">
        <v>483</v>
      </c>
      <c r="L197" s="864" t="s">
        <v>483</v>
      </c>
      <c r="M197" s="4" t="s">
        <v>483</v>
      </c>
      <c r="N197" s="864" t="s">
        <v>483</v>
      </c>
      <c r="O197" s="864" t="s">
        <v>483</v>
      </c>
      <c r="P197" s="864" t="s">
        <v>483</v>
      </c>
      <c r="Q197" s="4" t="s">
        <v>483</v>
      </c>
      <c r="R197" s="864" t="s">
        <v>483</v>
      </c>
      <c r="S197" s="864" t="s">
        <v>483</v>
      </c>
      <c r="T197" s="864" t="s">
        <v>483</v>
      </c>
      <c r="U197" s="4" t="s">
        <v>483</v>
      </c>
      <c r="V197" s="864" t="s">
        <v>483</v>
      </c>
      <c r="W197" s="864" t="s">
        <v>483</v>
      </c>
      <c r="X197" s="864" t="s">
        <v>483</v>
      </c>
      <c r="Y197" s="4" t="s">
        <v>483</v>
      </c>
      <c r="Z197" s="864" t="s">
        <v>483</v>
      </c>
      <c r="AA197" s="864" t="s">
        <v>483</v>
      </c>
      <c r="AB197" s="864" t="s">
        <v>483</v>
      </c>
      <c r="AC197" s="4" t="s">
        <v>483</v>
      </c>
      <c r="AD197" s="864" t="s">
        <v>483</v>
      </c>
      <c r="AE197" s="864" t="s">
        <v>483</v>
      </c>
      <c r="AF197" s="864" t="s">
        <v>483</v>
      </c>
      <c r="AG197" s="4" t="s">
        <v>483</v>
      </c>
      <c r="AH197" s="864" t="s">
        <v>483</v>
      </c>
      <c r="AI197" s="864" t="s">
        <v>483</v>
      </c>
      <c r="AJ197" s="864" t="s">
        <v>483</v>
      </c>
      <c r="AK197" s="4" t="s">
        <v>483</v>
      </c>
      <c r="AL197" s="864" t="s">
        <v>483</v>
      </c>
      <c r="AM197" s="864" t="s">
        <v>483</v>
      </c>
      <c r="AN197" s="864" t="s">
        <v>483</v>
      </c>
      <c r="AO197" s="4" t="s">
        <v>483</v>
      </c>
      <c r="AP197" s="864" t="s">
        <v>483</v>
      </c>
      <c r="AQ197" s="864" t="s">
        <v>483</v>
      </c>
      <c r="AR197" s="864" t="s">
        <v>483</v>
      </c>
      <c r="AS197" s="4" t="s">
        <v>483</v>
      </c>
      <c r="AT197" s="864" t="s">
        <v>483</v>
      </c>
      <c r="AU197" s="864" t="s">
        <v>483</v>
      </c>
      <c r="AV197" s="864" t="s">
        <v>483</v>
      </c>
      <c r="AW197" s="4" t="s">
        <v>483</v>
      </c>
      <c r="AX197" s="208">
        <f>'Income Statement'!AX162/'Revenue Model'!AX$404</f>
        <v>0.21559333115397189</v>
      </c>
      <c r="AY197" s="208">
        <f>'Income Statement'!AY162/'Revenue Model'!AY$404</f>
        <v>0.21635332736496568</v>
      </c>
      <c r="AZ197" s="208">
        <f>'Income Statement'!AZ162/'Revenue Model'!AZ$404</f>
        <v>0.21799591002044991</v>
      </c>
      <c r="BA197" s="572">
        <f>'Income Statement'!BA162/'Revenue Model'!BA$404</f>
        <v>0.16029177966894229</v>
      </c>
      <c r="BB197" s="208">
        <f>'Income Statement'!BB162/'Revenue Model'!BB404</f>
        <v>0.20520189682425635</v>
      </c>
      <c r="BC197" s="208">
        <f>'Income Statement'!BC162/'Revenue Model'!BC404</f>
        <v>0.20676048928054716</v>
      </c>
      <c r="BD197" s="208">
        <f>'Income Statement'!BD162/'Revenue Model'!BD404</f>
        <v>0.21232149179747434</v>
      </c>
      <c r="BE197" s="572">
        <f>'Income Statement'!BE162/'Revenue Model'!BE404</f>
        <v>0.15280254283277772</v>
      </c>
      <c r="BF197" s="208">
        <f>'Income Statement'!BF162/'Revenue Model'!BF404</f>
        <v>0.20512173583953577</v>
      </c>
      <c r="BG197" s="208">
        <f>'Income Statement'!BG162/'Revenue Model'!BG404</f>
        <v>0.19862857142857143</v>
      </c>
      <c r="BH197" s="208">
        <f>'Income Statement'!BH162/'Revenue Model'!BH404</f>
        <v>0.20004029008863819</v>
      </c>
      <c r="BI197" s="572">
        <f>'Income Statement'!BI162/'Revenue Model'!BI404</f>
        <v>0.15166194663884333</v>
      </c>
      <c r="BJ197" s="208">
        <f>'Income Statement'!BJ162/'Revenue Model'!BJ404</f>
        <v>0.20645161290322581</v>
      </c>
      <c r="BK197" s="208">
        <f>'Income Statement'!BK162/'Revenue Model'!BK404</f>
        <v>0.20834608713396593</v>
      </c>
      <c r="BL197" s="208">
        <f>'Income Statement'!BL162/'Revenue Model'!BL404</f>
        <v>0.22495652173913044</v>
      </c>
      <c r="BM197" s="572">
        <f>'Income Statement'!BM162/'Revenue Model'!BM404</f>
        <v>0.16972290138549306</v>
      </c>
      <c r="BN197" s="208">
        <f>'Income Statement'!BN162/'Revenue Model'!BN404</f>
        <v>0.21882119861317484</v>
      </c>
      <c r="BO197" s="208">
        <f>'Income Statement'!BO162/'Revenue Model'!BO404</f>
        <v>0.21810923607330793</v>
      </c>
      <c r="BP197" s="208">
        <f>'Income Statement'!BP162/'Revenue Model'!BP404</f>
        <v>0.21340652029274784</v>
      </c>
      <c r="BQ197" s="572">
        <f>'Income Statement'!BQ162/'Revenue Model'!BQ404</f>
        <v>0.16274995469099257</v>
      </c>
      <c r="BR197" s="208">
        <f>'Income Statement'!BR162/'Revenue Model'!BR404</f>
        <v>0.22990636877723186</v>
      </c>
      <c r="BS197" s="208">
        <f>'Income Statement'!BS162/'Revenue Model'!BS404</f>
        <v>0.22109533468559839</v>
      </c>
      <c r="BT197" s="208">
        <f>'Income Statement'!BT162/'Revenue Model'!BT404</f>
        <v>0.21850294365012615</v>
      </c>
      <c r="BU197" s="572">
        <f>'Income Statement'!BU162/'Revenue Model'!BU404</f>
        <v>0.16855314960629922</v>
      </c>
      <c r="BV197" s="208">
        <f>'Income Statement'!BV162/'Revenue Model'!BV404</f>
        <v>0.22705667276051189</v>
      </c>
      <c r="BW197" s="208">
        <f>'Income Statement'!BW162/'Revenue Model'!BW404</f>
        <v>0.22763726095003084</v>
      </c>
      <c r="BX197" s="208">
        <f>'Income Statement'!BX162/'Revenue Model'!BX404</f>
        <v>0.21621621621621623</v>
      </c>
      <c r="BY197" s="572">
        <f>'Income Statement'!BY162/'Revenue Model'!BY404</f>
        <v>0.1634996993385448</v>
      </c>
      <c r="BZ197" s="208">
        <f>'Income Statement'!BZ162/'Revenue Model'!BZ404</f>
        <v>0.21436142024377319</v>
      </c>
      <c r="CA197" s="208">
        <f>'Income Statement'!CA162/'Revenue Model'!CA404</f>
        <v>0.2233535131168593</v>
      </c>
      <c r="CB197" s="208">
        <f>'Income Statement'!CB162/'Revenue Model'!CB404</f>
        <v>0.2225662507968309</v>
      </c>
      <c r="CC197" s="572">
        <f>'Income Statement'!CC162/'Revenue Model'!CC404</f>
        <v>0.16182547763071212</v>
      </c>
      <c r="CD197" s="208">
        <f>'Income Statement'!CD162/'Revenue Model'!CD404</f>
        <v>0.21611399419474009</v>
      </c>
      <c r="CE197" s="208">
        <f>'Income Statement'!CE162/'Revenue Model'!CE404</f>
        <v>0.23047162859248341</v>
      </c>
      <c r="CF197" s="208">
        <f>'Income Statement'!CF162/'Revenue Model'!CF404</f>
        <v>0.22180349932705248</v>
      </c>
      <c r="CG197" s="572">
        <f>'Income Statement'!CG162/'Revenue Model'!CG404</f>
        <v>0.16069821846319957</v>
      </c>
      <c r="CH197" s="208">
        <f>'Income Statement'!CH162/'Revenue Model'!CH404</f>
        <v>0.21688199827734711</v>
      </c>
      <c r="CI197" s="208">
        <f>'Income Statement'!CI162/'Revenue Model'!CI404</f>
        <v>0.23134540627666636</v>
      </c>
      <c r="CJ197" s="208">
        <f>'Income Statement'!CJ162/'Revenue Model'!CJ404</f>
        <v>0.23602715521249884</v>
      </c>
      <c r="CK197" s="572">
        <f>'Income Statement'!CK162/'Revenue Model'!CK404</f>
        <v>0.17102507330500868</v>
      </c>
      <c r="CL197" s="208">
        <f>'Income Statement'!CL162/'Revenue Model'!CL404</f>
        <v>0.21006459076448472</v>
      </c>
      <c r="CM197" s="208">
        <f>'Income Statement'!CM162/'Revenue Model'!CM404</f>
        <v>0.22272191883499304</v>
      </c>
      <c r="CN197" s="208">
        <f>'Income Statement'!CN162/'Revenue Model'!CN404</f>
        <v>0.23366378850868777</v>
      </c>
      <c r="CO197" s="572">
        <f>'Income Statement'!CO162/'Revenue Model'!CO404</f>
        <v>0.16666666666666666</v>
      </c>
      <c r="CP197" s="208">
        <f>'Income Statement'!CP162/'Revenue Model'!CP404</f>
        <v>0.21292562724014336</v>
      </c>
      <c r="CQ197" s="208">
        <f>'Income Statement'!CQ162/'Revenue Model'!CQ404</f>
        <v>0.21914357682619648</v>
      </c>
      <c r="CR197" s="208">
        <f>'Income Statement'!CR162/'Revenue Model'!CR404</f>
        <v>0.21940833706857912</v>
      </c>
      <c r="CS197" s="572">
        <f>'Income Statement'!CS162/'Revenue Model'!CS404</f>
        <v>0.15679144385026739</v>
      </c>
      <c r="CT197" s="208">
        <f>'Income Statement'!CT162/'Revenue Model'!CT404</f>
        <v>0.20210672531543003</v>
      </c>
      <c r="CU197" s="208">
        <f>'Income Statement'!CU162/'Revenue Model'!CU404</f>
        <v>0.2052252039248138</v>
      </c>
      <c r="CV197" s="208">
        <f>'Income Statement'!CV162/'Revenue Model'!CV404</f>
        <v>0.20593445527015058</v>
      </c>
      <c r="CW197" s="572">
        <f>'Income Statement'!CW162/'Revenue Model'!CW404</f>
        <v>0.15539446829474277</v>
      </c>
      <c r="CX197" s="208">
        <f>'Income Statement'!CX162/'Revenue Model'!CX404</f>
        <v>0.20472072914232298</v>
      </c>
      <c r="CY197" s="197">
        <f>'Income Statement'!CY162/'Revenue Model'!CY404</f>
        <v>0.21189024390243902</v>
      </c>
      <c r="CZ197" s="208">
        <f>'Income Statement'!CZ162/'Revenue Model'!CZ404</f>
        <v>0.21238235627622179</v>
      </c>
      <c r="DA197" s="572">
        <f>'Income Statement'!DA162/'Revenue Model'!DA404</f>
        <v>0.15906922117008002</v>
      </c>
      <c r="DB197" s="208">
        <f>'Income Statement'!DB162/'Revenue Model'!DB404</f>
        <v>0.20395593983181334</v>
      </c>
      <c r="DC197" s="208">
        <f>'Income Statement'!DC162/'Revenue Model'!DC404</f>
        <v>0.20766436188913628</v>
      </c>
      <c r="DD197" s="197">
        <f>'Income Statement'!DD162/'Revenue Model'!DD404</f>
        <v>0.21129122414756848</v>
      </c>
      <c r="DE197" s="572">
        <f>'Income Statement'!DE162/'Revenue Model'!DE404</f>
        <v>0.15873015873015872</v>
      </c>
      <c r="DF197" s="197">
        <f>'Income Statement'!DF162/'Revenue Model'!DF404</f>
        <v>0.20192307692307693</v>
      </c>
      <c r="DG197" s="197">
        <f>'Income Statement'!DG162/'Revenue Model'!DG404</f>
        <v>0.20469798657718122</v>
      </c>
      <c r="DH197" s="197">
        <f>'Income Statement'!DH162/'Revenue Model'!DH404</f>
        <v>0.2072961373390558</v>
      </c>
      <c r="DI197" s="572">
        <f>'Income Statement'!DI162/'Revenue Model'!DI404</f>
        <v>0.15875805506736965</v>
      </c>
      <c r="DJ197" s="1713">
        <f>'Income Statement'!DJ162/'Revenue Model'!DJ404</f>
        <v>0.2018077476085528</v>
      </c>
      <c r="DK197" s="197">
        <f>'Income Statement'!DK162/'Revenue Model'!DK404</f>
        <v>0.2037549185887797</v>
      </c>
      <c r="DL197" s="197">
        <f>'Income Statement'!DL162/'Revenue Model'!DL404</f>
        <v>0.20580183534817648</v>
      </c>
      <c r="DM197" s="572">
        <f>'Income Statement'!DM162/'Revenue Model'!DM404</f>
        <v>0.15966836034407889</v>
      </c>
      <c r="DN197" s="578"/>
      <c r="DO197" s="572"/>
      <c r="DP197" s="219"/>
      <c r="DQ197" s="219"/>
      <c r="DR197" s="219"/>
      <c r="DS197" s="219"/>
      <c r="DT197" s="219"/>
      <c r="DU197" s="219"/>
      <c r="DV197" s="219"/>
      <c r="DW197" s="219"/>
      <c r="DX197" s="219"/>
      <c r="DY197" s="197"/>
      <c r="DZ197" s="197"/>
      <c r="EA197" s="197"/>
      <c r="EB197" s="197"/>
      <c r="EC197" s="197"/>
      <c r="ED197" s="197"/>
      <c r="EE197" s="197"/>
      <c r="EF197" s="197"/>
      <c r="EG197" s="197"/>
      <c r="EH197" s="197"/>
      <c r="EI197" s="208">
        <f>'Income Statement'!EI162/'Revenue Model'!EI$404</f>
        <v>0.18420093321668124</v>
      </c>
      <c r="EJ197" s="208">
        <f>'Income Statement'!EJ162/'Revenue Model'!EJ$404</f>
        <v>0.19716026970954356</v>
      </c>
      <c r="EK197" s="208">
        <f>'Income Statement'!EK162/'Revenue Model'!EK404</f>
        <v>0.18840095731062503</v>
      </c>
      <c r="EL197" s="208">
        <f>'Income Statement'!EL162/'Revenue Model'!EL404</f>
        <v>0.18451890163156184</v>
      </c>
      <c r="EM197" s="208">
        <f>'Income Statement'!EM162/'Revenue Model'!EM404</f>
        <v>0.19957791847162057</v>
      </c>
      <c r="EN197" s="208">
        <f>'Income Statement'!EN162/'Revenue Model'!EN404</f>
        <v>0.19867589648649736</v>
      </c>
      <c r="EO197" s="208">
        <f>'Income Statement'!EO162/'Revenue Model'!EO404</f>
        <v>0.20538271801400382</v>
      </c>
      <c r="EP197" s="208">
        <f>'Income Statement'!EP162/'Revenue Model'!EP404</f>
        <v>0.20389681668496157</v>
      </c>
      <c r="EQ197" s="208">
        <f>'Income Statement'!EQ162/'Revenue Model'!EQ404</f>
        <v>0.20055308404472766</v>
      </c>
      <c r="ER197" s="208">
        <f>'Income Statement'!ER162/'Revenue Model'!ER404</f>
        <v>0.20203433184788475</v>
      </c>
      <c r="ES197" s="208">
        <f>'Income Statement'!ES162/'Revenue Model'!ES404</f>
        <v>0.20866165534753431</v>
      </c>
      <c r="ET197" s="208">
        <f>'Income Statement'!ET162/'Revenue Model'!ET404</f>
        <v>0.2030423430582359</v>
      </c>
      <c r="EU197" s="208">
        <f>'Income Statement'!EU162/'Revenue Model'!EU404</f>
        <v>0.19630149466893207</v>
      </c>
      <c r="EV197" s="208">
        <f>'Income Statement'!EV162/'Revenue Model'!EV404</f>
        <v>0.18716378690597188</v>
      </c>
      <c r="EW197" s="208">
        <f>'Income Statement'!EW162/'Revenue Model'!EW404</f>
        <v>0.19224347298117789</v>
      </c>
      <c r="EX197" s="208">
        <f>'Income Statement'!EX162/'Revenue Model'!EX404</f>
        <v>0.19094992767048194</v>
      </c>
      <c r="EY197" s="208">
        <f>'Income Statement'!EY162/'Revenue Model'!EY404</f>
        <v>0.18796707076937677</v>
      </c>
      <c r="EZ197" s="1739">
        <f>'Income Statement'!EZ162/'Revenue Model'!EZ404</f>
        <v>0.18795474969945206</v>
      </c>
      <c r="FA197" s="197">
        <f>'Income Statement'!FA162/'Revenue Model'!FA404</f>
        <v>0.18692586961298457</v>
      </c>
      <c r="FB197" s="197">
        <f>'Income Statement'!FB162/'Revenue Model'!FB404</f>
        <v>0.18642750386124193</v>
      </c>
      <c r="FC197" s="197">
        <f>'Income Statement'!FC162/'Revenue Model'!FC404</f>
        <v>0.18637293874426292</v>
      </c>
      <c r="FD197" s="197">
        <f>'Income Statement'!FD162/'Revenue Model'!FD404</f>
        <v>0.18631185154524699</v>
      </c>
      <c r="FE197" s="197">
        <f>'Income Statement'!FE162/'Revenue Model'!FE404</f>
        <v>0.18625125837032167</v>
      </c>
      <c r="FF197" s="197">
        <f>'Income Statement'!FF162/'Revenue Model'!FF404</f>
        <v>0.18619118816221469</v>
      </c>
      <c r="FG197" s="197">
        <f>'Income Statement'!FG162/'Revenue Model'!FG404</f>
        <v>0.18613167056973404</v>
      </c>
      <c r="FH197" s="572">
        <f>'Income Statement'!FH162/'Revenue Model'!FH404</f>
        <v>0.1860727358788217</v>
      </c>
      <c r="FI197" s="416"/>
      <c r="FJ197"/>
      <c r="FK197"/>
      <c r="FL197"/>
      <c r="FM197"/>
      <c r="FN197"/>
      <c r="FO197"/>
      <c r="FQ197" s="4"/>
      <c r="FR197" s="4"/>
      <c r="FS197" s="197"/>
      <c r="FT197" s="197"/>
      <c r="FU197"/>
      <c r="FV197" s="197"/>
      <c r="FW197" s="197"/>
      <c r="FX197" s="197"/>
      <c r="FY197"/>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row>
    <row r="198" spans="1:260" s="6" customFormat="1" ht="11.25" customHeight="1" x14ac:dyDescent="0.2">
      <c r="A198" s="236"/>
      <c r="B198" s="181"/>
      <c r="C198" s="181"/>
      <c r="D198" s="181"/>
      <c r="E198" s="476"/>
      <c r="F198" s="181"/>
      <c r="G198" s="181"/>
      <c r="H198" s="181"/>
      <c r="I198" s="476"/>
      <c r="J198" s="181"/>
      <c r="K198" s="181"/>
      <c r="L198" s="181"/>
      <c r="M198" s="476"/>
      <c r="N198" s="181"/>
      <c r="O198" s="181"/>
      <c r="P198" s="181"/>
      <c r="Q198" s="476"/>
      <c r="R198" s="181"/>
      <c r="S198" s="181"/>
      <c r="T198" s="181"/>
      <c r="U198" s="476"/>
      <c r="V198" s="181"/>
      <c r="W198" s="181"/>
      <c r="X198" s="181"/>
      <c r="Y198" s="476"/>
      <c r="Z198" s="181"/>
      <c r="AA198" s="181"/>
      <c r="AB198" s="181"/>
      <c r="AC198" s="476"/>
      <c r="AD198" s="181"/>
      <c r="AE198" s="181"/>
      <c r="AF198" s="181"/>
      <c r="AG198" s="476"/>
      <c r="AH198" s="181"/>
      <c r="AI198" s="181"/>
      <c r="AJ198" s="181"/>
      <c r="AK198" s="476"/>
      <c r="AL198" s="181"/>
      <c r="AM198" s="181"/>
      <c r="AN198" s="181"/>
      <c r="AO198" s="476"/>
      <c r="AP198" s="181"/>
      <c r="AQ198" s="181"/>
      <c r="AR198" s="181"/>
      <c r="AS198" s="476"/>
      <c r="AT198" s="181"/>
      <c r="AU198" s="181"/>
      <c r="AV198" s="181"/>
      <c r="AW198" s="476"/>
      <c r="AX198" s="181"/>
      <c r="AY198" s="181"/>
      <c r="AZ198" s="181"/>
      <c r="BA198" s="476"/>
      <c r="BB198" s="181"/>
      <c r="BC198" s="181"/>
      <c r="BD198" s="181"/>
      <c r="BE198" s="476"/>
      <c r="BF198" s="181"/>
      <c r="BG198" s="181"/>
      <c r="BH198" s="181"/>
      <c r="BI198" s="476"/>
      <c r="BJ198" s="181"/>
      <c r="BK198" s="181"/>
      <c r="BL198" s="207"/>
      <c r="BM198" s="502"/>
      <c r="BN198" s="207"/>
      <c r="BO198" s="207"/>
      <c r="BP198" s="207"/>
      <c r="BQ198" s="502"/>
      <c r="BR198" s="207"/>
      <c r="BS198" s="207"/>
      <c r="BT198" s="207"/>
      <c r="BU198" s="502"/>
      <c r="BV198" s="207"/>
      <c r="BW198" s="207"/>
      <c r="BX198" s="207"/>
      <c r="BY198" s="502"/>
      <c r="BZ198" s="207"/>
      <c r="CA198" s="207"/>
      <c r="CB198" s="207"/>
      <c r="CC198" s="502"/>
      <c r="CD198" s="207"/>
      <c r="CE198" s="207"/>
      <c r="CF198" s="207"/>
      <c r="CG198" s="502"/>
      <c r="CH198" s="207"/>
      <c r="CI198" s="207"/>
      <c r="CJ198" s="207"/>
      <c r="CK198" s="502"/>
      <c r="CL198" s="207"/>
      <c r="CM198" s="207"/>
      <c r="CN198" s="207"/>
      <c r="CO198" s="502"/>
      <c r="CP198" s="207"/>
      <c r="CQ198" s="207"/>
      <c r="CR198" s="207"/>
      <c r="CS198" s="502"/>
      <c r="CT198" s="207"/>
      <c r="CU198" s="207"/>
      <c r="CV198" s="207"/>
      <c r="CW198" s="502"/>
      <c r="CX198" s="1513"/>
      <c r="CY198" s="1513"/>
      <c r="CZ198" s="1513"/>
      <c r="DA198" s="1514"/>
      <c r="DB198" s="1513"/>
      <c r="DC198" s="1513"/>
      <c r="DD198" s="1517"/>
      <c r="DE198" s="91"/>
      <c r="DF198" s="1515"/>
      <c r="DG198" s="1513"/>
      <c r="DH198" s="1513"/>
      <c r="DI198" s="1811"/>
      <c r="DJ198" s="2705"/>
      <c r="DK198" s="1513"/>
      <c r="DL198" s="1513"/>
      <c r="DM198" s="1514"/>
      <c r="DN198" s="1515"/>
      <c r="DO198" s="487"/>
      <c r="DP198" s="1516"/>
      <c r="DQ198" s="1516"/>
      <c r="DR198" s="1516"/>
      <c r="DS198" s="1516"/>
      <c r="DT198" s="1516"/>
      <c r="DU198" s="1516"/>
      <c r="DV198" s="1516"/>
      <c r="DW198" s="1516"/>
      <c r="DX198" s="1517"/>
      <c r="DY198" s="1517"/>
      <c r="DZ198" s="1517"/>
      <c r="EA198" s="1517"/>
      <c r="EB198" s="1517"/>
      <c r="EC198" s="1517"/>
      <c r="ED198" s="1517"/>
      <c r="EE198" s="1517"/>
      <c r="EF198" s="1517"/>
      <c r="EG198" s="1517"/>
      <c r="EH198" s="1517"/>
      <c r="EI198" s="1517"/>
      <c r="EJ198" s="1517"/>
      <c r="EK198" s="1517"/>
      <c r="EL198" s="1517"/>
      <c r="EM198" s="1513"/>
      <c r="EN198" s="1517"/>
      <c r="EO198" s="1517"/>
      <c r="EP198" s="1517"/>
      <c r="EQ198" s="1517"/>
      <c r="ER198" s="1513"/>
      <c r="ES198" s="1517"/>
      <c r="ET198" s="1517"/>
      <c r="EU198" s="1517"/>
      <c r="EV198" s="1517"/>
      <c r="EW198" s="1517"/>
      <c r="EX198" s="1517"/>
      <c r="EY198" s="1517"/>
      <c r="EZ198" s="1774"/>
      <c r="FA198" s="236"/>
      <c r="FB198" s="236"/>
      <c r="FC198" s="236"/>
      <c r="FD198" s="236"/>
      <c r="FE198" s="236"/>
      <c r="FF198" s="236"/>
      <c r="FG198" s="236"/>
      <c r="FH198" s="236"/>
      <c r="FI198" s="671"/>
      <c r="FJ198"/>
      <c r="FK198"/>
      <c r="FL198"/>
      <c r="FM198"/>
      <c r="FN198"/>
      <c r="FO198"/>
      <c r="FQ198" s="4"/>
      <c r="FR198" s="4"/>
      <c r="FS198" s="236"/>
      <c r="FT198" s="236"/>
      <c r="FU198"/>
      <c r="FV198" s="1516"/>
      <c r="FW198" s="236"/>
      <c r="FX198" s="236"/>
      <c r="FY198"/>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row>
    <row r="199" spans="1:260" s="6" customFormat="1" x14ac:dyDescent="0.2">
      <c r="A199" s="25" t="s">
        <v>355</v>
      </c>
      <c r="B199" s="287"/>
      <c r="C199" s="287"/>
      <c r="D199" s="287"/>
      <c r="E199" s="477"/>
      <c r="F199" s="102"/>
      <c r="G199" s="102"/>
      <c r="H199" s="102"/>
      <c r="I199" s="480"/>
      <c r="J199" s="102"/>
      <c r="K199" s="102"/>
      <c r="L199" s="102"/>
      <c r="M199" s="480"/>
      <c r="N199" s="102"/>
      <c r="O199" s="102"/>
      <c r="P199" s="102"/>
      <c r="Q199" s="480"/>
      <c r="R199" s="102"/>
      <c r="S199" s="102"/>
      <c r="T199" s="102"/>
      <c r="U199" s="480"/>
      <c r="V199" s="102"/>
      <c r="W199" s="102"/>
      <c r="X199" s="102"/>
      <c r="Y199" s="480"/>
      <c r="Z199" s="102"/>
      <c r="AA199" s="102"/>
      <c r="AB199" s="102"/>
      <c r="AC199" s="480"/>
      <c r="AD199" s="102"/>
      <c r="AE199" s="102"/>
      <c r="AF199" s="102"/>
      <c r="AG199" s="480"/>
      <c r="AH199" s="102"/>
      <c r="AI199" s="102"/>
      <c r="AJ199" s="102"/>
      <c r="AK199" s="480"/>
      <c r="AL199" s="102"/>
      <c r="AM199" s="102"/>
      <c r="AN199" s="102"/>
      <c r="AO199" s="480"/>
      <c r="AP199" s="102"/>
      <c r="AQ199" s="102"/>
      <c r="AR199" s="102"/>
      <c r="AS199" s="480"/>
      <c r="AT199" s="102"/>
      <c r="AU199" s="102"/>
      <c r="AV199" s="102"/>
      <c r="AW199" s="480"/>
      <c r="AX199" s="77">
        <f>'Income Statement'!AX168/'Revenue Model'!AX393</f>
        <v>4.408776402039332E-2</v>
      </c>
      <c r="AY199" s="77">
        <f>'Income Statement'!AY168/'Revenue Model'!AY393</f>
        <v>4.2581290645322685E-2</v>
      </c>
      <c r="AZ199" s="77">
        <f>'Income Statement'!AZ168/'Revenue Model'!AZ393</f>
        <v>3.0573770491803286E-2</v>
      </c>
      <c r="BA199" s="487">
        <f>'Income Statement'!BA168/'Revenue Model'!BA393</f>
        <v>9.4734005305039809E-2</v>
      </c>
      <c r="BB199" s="77">
        <f>'Income Statement'!BB168/'Revenue Model'!BB393</f>
        <v>5.4172671210645874E-2</v>
      </c>
      <c r="BC199" s="77">
        <f>'Income Statement'!BC168/'Revenue Model'!BC393</f>
        <v>4.9841413683733578E-2</v>
      </c>
      <c r="BD199" s="77">
        <f>'Income Statement'!BD168/'Revenue Model'!BD393</f>
        <v>2.5897264098269156E-2</v>
      </c>
      <c r="BE199" s="487">
        <f>'Income Statement'!BE168/'Revenue Model'!BE393</f>
        <v>9.4875496210754237E-2</v>
      </c>
      <c r="BF199" s="77">
        <f>'Income Statement'!BF168/'Revenue Model'!BF393</f>
        <v>4.0225089498806696E-2</v>
      </c>
      <c r="BG199" s="77">
        <f>'Income Statement'!BG168/'Revenue Model'!BG393</f>
        <v>4.9488526403096492E-2</v>
      </c>
      <c r="BH199" s="77">
        <f>'Income Statement'!BH168/'Revenue Model'!BH393</f>
        <v>4.0092615159639286E-2</v>
      </c>
      <c r="BI199" s="487">
        <f>'Income Statement'!BI168/'Revenue Model'!BI393</f>
        <v>9.3168812589413452E-2</v>
      </c>
      <c r="BJ199" s="77">
        <f>'Income Statement'!BJ168/'Revenue Model'!BJ393</f>
        <v>3.7166241781832816E-2</v>
      </c>
      <c r="BK199" s="77">
        <f>'Income Statement'!BK168/'Revenue Model'!BK393</f>
        <v>3.8731095536702322E-2</v>
      </c>
      <c r="BL199" s="77">
        <f>'Income Statement'!BL168/'Revenue Model'!BL393</f>
        <v>3.449204186453176E-2</v>
      </c>
      <c r="BM199" s="487">
        <f>'Income Statement'!BM168/'Revenue Model'!BM393</f>
        <v>9.0450035435861095E-2</v>
      </c>
      <c r="BN199" s="77">
        <f>'Income Statement'!BN168/'Revenue Model'!BN393</f>
        <v>4.3588039867109636E-2</v>
      </c>
      <c r="BO199" s="77">
        <f>'Income Statement'!BO168/'Revenue Model'!BO393</f>
        <v>3.8071065989847719E-2</v>
      </c>
      <c r="BP199" s="77">
        <f>'Income Statement'!BP168/'Revenue Model'!BP393</f>
        <v>3.9525249132236033E-2</v>
      </c>
      <c r="BQ199" s="487">
        <f>'Income Statement'!BQ168/'Revenue Model'!BQ393</f>
        <v>8.7412587412587395E-2</v>
      </c>
      <c r="BR199" s="77">
        <f>'Income Statement'!BR168/'Revenue Model'!BR393</f>
        <v>3.7612015650637383E-2</v>
      </c>
      <c r="BS199" s="77">
        <f>'Income Statement'!BS168/'Revenue Model'!BS393</f>
        <v>4.8245614035087717E-2</v>
      </c>
      <c r="BT199" s="77">
        <f>'Income Statement'!BT168/'Revenue Model'!BT393</f>
        <v>3.9035591274397242E-2</v>
      </c>
      <c r="BU199" s="487">
        <f>'Income Statement'!BU168/'Revenue Model'!BU393</f>
        <v>8.5582239828340345E-2</v>
      </c>
      <c r="BV199" s="77">
        <f>'Income Statement'!BV168/'Revenue Model'!BV393</f>
        <v>3.0029265809899477E-2</v>
      </c>
      <c r="BW199" s="77">
        <f>'Income Statement'!BW168/'Revenue Model'!BW393</f>
        <v>3.6698351582240378E-2</v>
      </c>
      <c r="BX199" s="77">
        <f>'Income Statement'!BX168/'Revenue Model'!BX393</f>
        <v>2.7687113111986496E-2</v>
      </c>
      <c r="BY199" s="487">
        <f>'Income Statement'!BY168/'Revenue Model'!BY393</f>
        <v>8.746031746031746E-2</v>
      </c>
      <c r="BZ199" s="77">
        <f>'Income Statement'!BZ168/'Revenue Model'!BZ393</f>
        <v>4.5000587475032314E-2</v>
      </c>
      <c r="CA199" s="77">
        <f>'Income Statement'!CA168/'Revenue Model'!CA393</f>
        <v>4.3982895540623089E-2</v>
      </c>
      <c r="CB199" s="77">
        <f>'Income Statement'!CB168/'Revenue Model'!CB393</f>
        <v>4.1446208112874777E-2</v>
      </c>
      <c r="CC199" s="487">
        <f>'Income Statement'!CC168/'Revenue Model'!CC393</f>
        <v>7.8344302592974382E-2</v>
      </c>
      <c r="CD199" s="77">
        <f>'Income Statement'!CD168/'Revenue Model'!CD393</f>
        <v>4.3612964728312678E-2</v>
      </c>
      <c r="CE199" s="77">
        <f>'Income Statement'!CE168/'Revenue Model'!CE393</f>
        <v>2.9961138272533532E-2</v>
      </c>
      <c r="CF199" s="77">
        <f>'Income Statement'!CF168/'Revenue Model'!CF393</f>
        <v>3.0912476722532587E-2</v>
      </c>
      <c r="CG199" s="487">
        <f>'Income Statement'!CG168/'Revenue Model'!CG393</f>
        <v>7.406818723674799E-2</v>
      </c>
      <c r="CH199" s="77">
        <f>'Income Statement'!CH168/'Revenue Model'!CH393</f>
        <v>4.7834958059396963E-2</v>
      </c>
      <c r="CI199" s="77">
        <f>'Income Statement'!CI168/'Revenue Model'!CI393</f>
        <v>2.229911572472126E-2</v>
      </c>
      <c r="CJ199" s="77">
        <f>'Income Statement'!CJ168/'Revenue Model'!CJ393</f>
        <v>6.5163560536947735E-3</v>
      </c>
      <c r="CK199" s="487">
        <f>'Income Statement'!CK168/'Revenue Model'!CK393</f>
        <v>5.9203187250996013E-2</v>
      </c>
      <c r="CL199" s="77">
        <f>'Income Statement'!CL168/'Revenue Model'!CL393</f>
        <v>4.930854681478123E-2</v>
      </c>
      <c r="CM199" s="77">
        <f>'Income Statement'!CM168/'Revenue Model'!CM393</f>
        <v>2.2427271562219658E-2</v>
      </c>
      <c r="CN199" s="77">
        <f>'Income Statement'!CN168/'Revenue Model'!CN393</f>
        <v>6.5163560536947735E-3</v>
      </c>
      <c r="CO199" s="487">
        <f>'Income Statement'!CO168/'Revenue Model'!CO393</f>
        <v>5.9203187250996013E-2</v>
      </c>
      <c r="CP199" s="77">
        <f>'Income Statement'!CP168/'Revenue Model'!CP393</f>
        <v>2.8567832871885225E-2</v>
      </c>
      <c r="CQ199" s="77">
        <f>'Income Statement'!CQ168/'Revenue Model'!CQ393</f>
        <v>2.6366559485530548E-2</v>
      </c>
      <c r="CR199" s="77">
        <f>'Income Statement'!CR168/'Revenue Model'!CR393</f>
        <v>1.8177163338453661E-2</v>
      </c>
      <c r="CS199" s="487">
        <f>'Income Statement'!CS168/'Revenue Model'!CS393</f>
        <v>4.4641405106521384E-2</v>
      </c>
      <c r="CT199" s="77">
        <f>'Income Statement'!CT168/'Revenue Model'!CT393</f>
        <v>3.0330291736280685E-2</v>
      </c>
      <c r="CU199" s="77">
        <f>'Income Statement'!CU168/'Revenue Model'!CU393</f>
        <v>3.5464733025708635E-2</v>
      </c>
      <c r="CV199" s="77">
        <f>'Income Statement'!CV168/'Revenue Model'!CV393</f>
        <v>2.6901901901901903E-2</v>
      </c>
      <c r="CW199" s="487">
        <f>'Income Statement'!CW168/'Revenue Model'!CW393</f>
        <v>5.9226588958021582E-2</v>
      </c>
      <c r="CX199" s="77">
        <f>'Income Statement'!CX168/'Revenue Model'!CX393</f>
        <v>2.9784537389100127E-2</v>
      </c>
      <c r="CY199" s="70">
        <f>'Income Statement'!CY168/'Revenue Model'!CY393</f>
        <v>3.8334602691038333E-2</v>
      </c>
      <c r="CZ199" s="77">
        <f>'Income Statement'!CZ168/'Revenue Model'!CZ393</f>
        <v>3.0407911001236094E-2</v>
      </c>
      <c r="DA199" s="487">
        <f>'Income Statement'!DA168/'Revenue Model'!DA393</f>
        <v>5.8287359078915808E-2</v>
      </c>
      <c r="DB199" s="77">
        <f>'Income Statement'!DB168/'Revenue Model'!DB393</f>
        <v>3.0399795631626005E-2</v>
      </c>
      <c r="DC199" s="77">
        <f>'Income Statement'!DC168/'Revenue Model'!DC393</f>
        <v>3.6379769299023958E-2</v>
      </c>
      <c r="DD199" s="70">
        <f>'Income Statement'!DD168/'Revenue Model'!DD393</f>
        <v>3.662109375E-2</v>
      </c>
      <c r="DE199" s="487">
        <f>'Income Statement'!DE168/'Revenue Model'!DE393</f>
        <v>6.5569784405900472E-2</v>
      </c>
      <c r="DF199" s="580">
        <f>'Income Statement'!DF168/'Revenue Model'!DF393</f>
        <v>3.7664307381193127E-2</v>
      </c>
      <c r="DG199" s="77">
        <f>'Income Statement'!DG168/'Revenue Model'!DG393</f>
        <v>3.8201160541586072E-2</v>
      </c>
      <c r="DH199" s="77">
        <f>'Income Statement'!DH168/'Revenue Model'!DH393</f>
        <v>4.0631256624661403E-2</v>
      </c>
      <c r="DI199" s="487">
        <f>'Income Statement'!DI168/'Revenue Model'!DI393</f>
        <v>6.4130978765996993E-2</v>
      </c>
      <c r="DJ199" s="1673">
        <f>'Income Statement'!DJ168/'Revenue Model'!DJ393</f>
        <v>3.5999999999999997E-2</v>
      </c>
      <c r="DK199" s="70">
        <f>'Income Statement'!DK168/'Revenue Model'!DK393</f>
        <v>3.7999999999999971E-2</v>
      </c>
      <c r="DL199" s="70">
        <f>'Income Statement'!DL168/'Revenue Model'!DL393</f>
        <v>4.0999999999999988E-2</v>
      </c>
      <c r="DM199" s="487">
        <f>'Income Statement'!DM168/'Revenue Model'!DM393</f>
        <v>6.4500000000000016E-2</v>
      </c>
      <c r="DN199" s="580"/>
      <c r="DO199" s="487"/>
      <c r="DP199" s="77"/>
      <c r="DQ199" s="77"/>
      <c r="DR199" s="77"/>
      <c r="DS199" s="77"/>
      <c r="DT199" s="77"/>
      <c r="DU199" s="77"/>
      <c r="DV199" s="77"/>
      <c r="DW199" s="77"/>
      <c r="DX199" s="77"/>
      <c r="DY199" s="77"/>
      <c r="DZ199" s="77"/>
      <c r="EA199" s="77"/>
      <c r="EB199" s="77"/>
      <c r="EC199" s="77"/>
      <c r="ED199" s="77"/>
      <c r="EE199" s="77"/>
      <c r="EF199" s="77"/>
      <c r="EG199" s="77"/>
      <c r="EH199" s="77"/>
      <c r="EI199" s="77">
        <f>'Income Statement'!EI168/'Revenue Model'!EI393</f>
        <v>5.6548586285342865E-2</v>
      </c>
      <c r="EJ199" s="77">
        <f>'Income Statement'!EJ168/'Revenue Model'!EJ393</f>
        <v>5.8000292184075986E-2</v>
      </c>
      <c r="EK199" s="77">
        <f>'Income Statement'!EK168/'Revenue Model'!EK393</f>
        <v>6.1259385775514812E-2</v>
      </c>
      <c r="EL199" s="77">
        <f>'Income Statement'!EL168/'Revenue Model'!EL393</f>
        <v>5.9969665146423427E-2</v>
      </c>
      <c r="EM199" s="77">
        <f>'Income Statement'!EM168/'Revenue Model'!EM393</f>
        <v>5.4054655692093022E-2</v>
      </c>
      <c r="EN199" s="77">
        <f>'Income Statement'!EN168/'Revenue Model'!EN393</f>
        <v>5.6171946186417965E-2</v>
      </c>
      <c r="EO199" s="77">
        <f>'Income Statement'!EO168/'Revenue Model'!EO393</f>
        <v>5.5988812994137577E-2</v>
      </c>
      <c r="EP199" s="77">
        <f>'Income Statement'!EP168/'Revenue Model'!EP393</f>
        <v>5.0165980613464341E-2</v>
      </c>
      <c r="EQ199" s="77">
        <f>'Income Statement'!EQ168/'Revenue Model'!EQ393</f>
        <v>5.5309437508390388E-2</v>
      </c>
      <c r="ER199" s="77">
        <f>'Income Statement'!ER168/'Revenue Model'!ER393</f>
        <v>4.8261139784365123E-2</v>
      </c>
      <c r="ES199" s="77">
        <f>'Income Statement'!ES168/'Revenue Model'!ES393</f>
        <v>3.7695397307859313E-2</v>
      </c>
      <c r="ET199" s="77">
        <f>'Income Statement'!ET168/'Revenue Model'!ET393</f>
        <v>3.807533651758576E-2</v>
      </c>
      <c r="EU199" s="77">
        <f>'Income Statement'!EU168/'Revenue Model'!EU393</f>
        <v>3.1341575730512682E-2</v>
      </c>
      <c r="EV199" s="77">
        <f>'Income Statement'!EV168/'Revenue Model'!EV393</f>
        <v>4.0826515046456804E-2</v>
      </c>
      <c r="EW199" s="77">
        <f>'Income Statement'!EW168/'Revenue Model'!EW393</f>
        <v>4.1578440808469681E-2</v>
      </c>
      <c r="EX199" s="77">
        <f>'Income Statement'!EX168/'Revenue Model'!EX393</f>
        <v>4.5078349150297944E-2</v>
      </c>
      <c r="EY199" s="77">
        <f>'Income Statement'!EY168/'Revenue Model'!EY393</f>
        <v>4.8005793802700328E-2</v>
      </c>
      <c r="EZ199" s="1680">
        <f>'Income Statement'!EZ168/'Revenue Model'!EZ393</f>
        <v>4.768213809111093E-2</v>
      </c>
      <c r="FA199" s="77">
        <f>'Income Statement'!FA168/'Revenue Model'!FA$393</f>
        <v>4.8300000000000023E-2</v>
      </c>
      <c r="FB199" s="77">
        <f>'Income Statement'!FB168/'Revenue Model'!FB$393</f>
        <v>4.9099999999999991E-2</v>
      </c>
      <c r="FC199" s="77">
        <f>'Income Statement'!FC168/'Revenue Model'!FC$393</f>
        <v>4.859999999999999E-2</v>
      </c>
      <c r="FD199" s="77">
        <f>'Income Statement'!FD168/'Revenue Model'!FD$393</f>
        <v>4.8100000000000025E-2</v>
      </c>
      <c r="FE199" s="77">
        <f>'Income Statement'!FE168/'Revenue Model'!FE$393</f>
        <v>4.759999999999999E-2</v>
      </c>
      <c r="FF199" s="77">
        <f>'Income Statement'!FF168/'Revenue Model'!FF$393</f>
        <v>4.7099999999999996E-2</v>
      </c>
      <c r="FG199" s="77">
        <f>'Income Statement'!FG168/'Revenue Model'!FG$393</f>
        <v>4.6600000000000009E-2</v>
      </c>
      <c r="FH199" s="77">
        <f>'Income Statement'!FH168/'Revenue Model'!FH$393</f>
        <v>4.6100000000000009E-2</v>
      </c>
      <c r="FI199" s="413"/>
      <c r="FJ199"/>
      <c r="FK199"/>
      <c r="FL199"/>
      <c r="FM199"/>
      <c r="FN199"/>
      <c r="FO199"/>
      <c r="FP199" s="4"/>
      <c r="FQ199" s="4"/>
      <c r="FR199" s="4"/>
      <c r="FS199" s="70"/>
      <c r="FT199" s="70"/>
      <c r="FU199"/>
      <c r="FV199" s="70"/>
      <c r="FW199" s="70"/>
      <c r="FX199" s="70"/>
      <c r="FY199"/>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row>
    <row r="200" spans="1:260" s="6" customFormat="1" x14ac:dyDescent="0.2">
      <c r="A200" s="287" t="s">
        <v>25</v>
      </c>
      <c r="B200" s="287"/>
      <c r="C200" s="287"/>
      <c r="D200" s="287"/>
      <c r="E200" s="477"/>
      <c r="F200" s="102"/>
      <c r="G200" s="102"/>
      <c r="H200" s="102"/>
      <c r="I200" s="480"/>
      <c r="J200" s="102"/>
      <c r="K200" s="102"/>
      <c r="L200" s="102"/>
      <c r="M200" s="480"/>
      <c r="N200" s="102"/>
      <c r="O200" s="102"/>
      <c r="P200" s="102"/>
      <c r="Q200" s="480"/>
      <c r="R200" s="102"/>
      <c r="S200" s="102"/>
      <c r="T200" s="102"/>
      <c r="U200" s="480"/>
      <c r="V200" s="102"/>
      <c r="W200" s="102"/>
      <c r="X200" s="102"/>
      <c r="Y200" s="480"/>
      <c r="Z200" s="102"/>
      <c r="AA200" s="102"/>
      <c r="AB200" s="102"/>
      <c r="AC200" s="480"/>
      <c r="AD200" s="102"/>
      <c r="AE200" s="102"/>
      <c r="AF200" s="102"/>
      <c r="AG200" s="480"/>
      <c r="AH200" s="102"/>
      <c r="AI200" s="102"/>
      <c r="AJ200" s="102"/>
      <c r="AK200" s="480"/>
      <c r="AL200" s="102"/>
      <c r="AM200" s="102"/>
      <c r="AN200" s="102"/>
      <c r="AO200" s="480"/>
      <c r="AP200" s="102"/>
      <c r="AQ200" s="102"/>
      <c r="AR200" s="102"/>
      <c r="AS200" s="480"/>
      <c r="AT200" s="102"/>
      <c r="AU200" s="102"/>
      <c r="AV200" s="102"/>
      <c r="AW200" s="480"/>
      <c r="AX200" s="77">
        <f>'Income Statement'!AX169/'Revenue Model'!AX398</f>
        <v>-5.0000000000000001E-3</v>
      </c>
      <c r="AY200" s="77">
        <f>'Income Statement'!AY169/'Revenue Model'!AY398</f>
        <v>8.0000000000000002E-3</v>
      </c>
      <c r="AZ200" s="77">
        <f>'Income Statement'!AZ169/'Revenue Model'!AZ398</f>
        <v>-0.01</v>
      </c>
      <c r="BA200" s="487">
        <f>'Income Statement'!BA169/'Revenue Model'!BA398</f>
        <v>4.9000000000000002E-2</v>
      </c>
      <c r="BB200" s="77">
        <f>'Income Statement'!BB169/'Revenue Model'!BB398</f>
        <v>4.0000000000000001E-3</v>
      </c>
      <c r="BC200" s="77">
        <f>'Income Statement'!BC169/'Revenue Model'!BC398</f>
        <v>0</v>
      </c>
      <c r="BD200" s="77">
        <f>'Income Statement'!BD169/'Revenue Model'!BD398</f>
        <v>8.0000000000000002E-3</v>
      </c>
      <c r="BE200" s="487">
        <f>'Income Statement'!BE169/'Revenue Model'!BE398</f>
        <v>4.6501377410468323E-2</v>
      </c>
      <c r="BF200" s="77">
        <f>'Income Statement'!BF169/'Revenue Model'!BF398</f>
        <v>-3.0000000000000001E-3</v>
      </c>
      <c r="BG200" s="77">
        <f>'Income Statement'!BG169/'Revenue Model'!BG398</f>
        <v>2.8364116094986808E-2</v>
      </c>
      <c r="BH200" s="77">
        <f>'Income Statement'!BH169/'Revenue Model'!BH398</f>
        <v>1.2775842044134728E-2</v>
      </c>
      <c r="BI200" s="487">
        <f>'Income Statement'!BI169/'Revenue Model'!BI398</f>
        <v>4.5210384959713516E-2</v>
      </c>
      <c r="BJ200" s="77">
        <f>'Income Statement'!BJ169/'Revenue Model'!BJ398</f>
        <v>0</v>
      </c>
      <c r="BK200" s="77">
        <f>'Income Statement'!BK169/'Revenue Model'!BK398</f>
        <v>1.4388489208633094E-2</v>
      </c>
      <c r="BL200" s="77">
        <f>'Income Statement'!BL169/'Revenue Model'!BL398</f>
        <v>-2.6321958600794152E-3</v>
      </c>
      <c r="BM200" s="487">
        <f>'Income Statement'!BM169/'Revenue Model'!BM398</f>
        <v>2.9976717112922002E-2</v>
      </c>
      <c r="BN200" s="77">
        <f>'Income Statement'!BN169/'Revenue Model'!BN398</f>
        <v>7.7821011673151752E-3</v>
      </c>
      <c r="BO200" s="77">
        <f>'Income Statement'!BO169/'Revenue Model'!BO398</f>
        <v>-1.2736535662299854E-2</v>
      </c>
      <c r="BP200" s="77">
        <f>'Income Statement'!BP169/'Revenue Model'!BP398</f>
        <v>7.4361461364371162E-3</v>
      </c>
      <c r="BQ200" s="487">
        <f>'Income Statement'!BQ169/'Revenue Model'!BQ398</f>
        <v>4.6107331821617539E-2</v>
      </c>
      <c r="BR200" s="77">
        <f>'Income Statement'!BR169/'Revenue Model'!BR398</f>
        <v>5.237430167597765E-3</v>
      </c>
      <c r="BS200" s="77">
        <f>'Income Statement'!BS169/'Revenue Model'!BS398</f>
        <v>1.3778849466069584E-3</v>
      </c>
      <c r="BT200" s="77">
        <f>'Income Statement'!BT169/'Revenue Model'!BT398</f>
        <v>1.4150943396226415E-2</v>
      </c>
      <c r="BU200" s="487">
        <f>'Income Statement'!BU169/'Revenue Model'!BU398</f>
        <v>4.590480792461947E-2</v>
      </c>
      <c r="BV200" s="77">
        <f>'Income Statement'!BV169/'Revenue Model'!BV398</f>
        <v>1.5579357351509251E-2</v>
      </c>
      <c r="BW200" s="77">
        <f>'Income Statement'!BW169/'Revenue Model'!BW398</f>
        <v>-5.270092226613966E-3</v>
      </c>
      <c r="BX200" s="77">
        <f>'Income Statement'!BX169/'Revenue Model'!BX398</f>
        <v>2.5513378967019291E-2</v>
      </c>
      <c r="BY200" s="487">
        <f>'Income Statement'!BY169/'Revenue Model'!BY398</f>
        <v>6.3275434243176179E-2</v>
      </c>
      <c r="BZ200" s="77">
        <f>'Income Statement'!BZ169/'Revenue Model'!BZ398</f>
        <v>1.6008537886872998E-2</v>
      </c>
      <c r="CA200" s="77">
        <f>'Income Statement'!CA169/'Revenue Model'!CA398</f>
        <v>1.1409642988590356E-2</v>
      </c>
      <c r="CB200" s="77">
        <f>'Income Statement'!CB169/'Revenue Model'!CB398</f>
        <v>3.3519553072625698E-2</v>
      </c>
      <c r="CC200" s="487">
        <f>'Income Statement'!CC169/'Revenue Model'!CC398</f>
        <v>6.8281938325991193E-2</v>
      </c>
      <c r="CD200" s="77">
        <f>'Income Statement'!CD169/'Revenue Model'!CD398</f>
        <v>3.2919046019482701E-2</v>
      </c>
      <c r="CE200" s="77">
        <f>'Income Statement'!CE169/'Revenue Model'!CE398</f>
        <v>7.2941993747829108E-3</v>
      </c>
      <c r="CF200" s="77">
        <f>'Income Statement'!CF169/'Revenue Model'!CF398</f>
        <v>4.2718446601941747E-2</v>
      </c>
      <c r="CG200" s="487">
        <f>'Income Statement'!CG169/'Revenue Model'!CG398</f>
        <v>6.4090019569471621E-2</v>
      </c>
      <c r="CH200" s="77">
        <f>'Income Statement'!CH169/'Revenue Model'!CH398</f>
        <v>-1.1836441893830704E-2</v>
      </c>
      <c r="CI200" s="77">
        <f>'Income Statement'!CI169/'Revenue Model'!CI398</f>
        <v>-1.8221574344023325E-2</v>
      </c>
      <c r="CJ200" s="77">
        <f>'Income Statement'!CJ169/'Revenue Model'!CJ398</f>
        <v>-6.4935064935064935E-4</v>
      </c>
      <c r="CK200" s="487">
        <f>'Income Statement'!CK169/'Revenue Model'!CK398</f>
        <v>4.3499158856044218E-2</v>
      </c>
      <c r="CL200" s="77">
        <f>'Income Statement'!CL169/'Revenue Model'!CL398</f>
        <v>-1.9342359767891684E-2</v>
      </c>
      <c r="CM200" s="77">
        <f>'Income Statement'!CM169/'Revenue Model'!CM398</f>
        <v>3.90625E-3</v>
      </c>
      <c r="CN200" s="77">
        <f>'Income Statement'!CN169/'Revenue Model'!CN398</f>
        <v>-8.1967213114754103E-3</v>
      </c>
      <c r="CO200" s="487">
        <f>'Income Statement'!CO169/'Revenue Model'!CO398</f>
        <v>4.5795170691090757E-2</v>
      </c>
      <c r="CP200" s="77">
        <f>'Income Statement'!CP169/'Revenue Model'!CP398</f>
        <v>-2.3421588594704685E-2</v>
      </c>
      <c r="CQ200" s="77">
        <f>'Income Statement'!CQ169/'Revenue Model'!CQ398</f>
        <v>-1.0427528675703858E-2</v>
      </c>
      <c r="CR200" s="77">
        <f>'Income Statement'!CR169/'Revenue Model'!CR398</f>
        <v>-6.2949640287769783E-3</v>
      </c>
      <c r="CS200" s="487">
        <f>'Income Statement'!CS169/'Revenue Model'!CS398</f>
        <v>4.6323103647944411E-2</v>
      </c>
      <c r="CT200" s="77">
        <f>'Income Statement'!CT169/'Revenue Model'!CT398</f>
        <v>-1.7482517482517484E-2</v>
      </c>
      <c r="CU200" s="77">
        <f>'Income Statement'!CU169/'Revenue Model'!CU398</f>
        <v>-3.0892448512585814E-2</v>
      </c>
      <c r="CV200" s="77">
        <f>'Income Statement'!CV169/'Revenue Model'!CV398</f>
        <v>9.6153846153846159E-4</v>
      </c>
      <c r="CW200" s="487">
        <f>'Income Statement'!CW169/'Revenue Model'!CW398</f>
        <v>4.3650793650793648E-2</v>
      </c>
      <c r="CX200" s="77">
        <f>'Income Statement'!CX169/'Revenue Model'!CX398</f>
        <v>-4.0419161676646706E-2</v>
      </c>
      <c r="CY200" s="70">
        <f>'Income Statement'!CY169/'Revenue Model'!CY398</f>
        <v>-3.6923076923076927E-2</v>
      </c>
      <c r="CZ200" s="77">
        <f>'Income Statement'!CZ169/'Revenue Model'!CZ398</f>
        <v>-1.0973936899862825E-2</v>
      </c>
      <c r="DA200" s="487">
        <f>'Income Statement'!DA169/'Revenue Model'!DA398</f>
        <v>4.6594982078853049E-2</v>
      </c>
      <c r="DB200" s="77">
        <f>'Income Statement'!DB169/'Revenue Model'!DB398</f>
        <v>3.2573289902280132E-3</v>
      </c>
      <c r="DC200" s="77">
        <f>'Income Statement'!DC169/'Revenue Model'!DC398</f>
        <v>4.658385093167702E-3</v>
      </c>
      <c r="DD200" s="70">
        <f>'Income Statement'!DD169/'Revenue Model'!DD398</f>
        <v>1.7264276228419653E-2</v>
      </c>
      <c r="DE200" s="487">
        <f>'Income Statement'!DE169/'Revenue Model'!DE398</f>
        <v>7.0804195804195807E-2</v>
      </c>
      <c r="DF200" s="580">
        <f>'Income Statement'!DF169/'Revenue Model'!DF398</f>
        <v>3.246753246753247E-3</v>
      </c>
      <c r="DG200" s="77">
        <f>'Income Statement'!DG169/'Revenue Model'!DG398</f>
        <v>1.0479041916167664E-2</v>
      </c>
      <c r="DH200" s="77">
        <f>'Income Statement'!DH169/'Revenue Model'!DH398</f>
        <v>3.6188178528347406E-3</v>
      </c>
      <c r="DI200" s="487">
        <f>'Income Statement'!DI169/'Revenue Model'!DI398</f>
        <v>6.1773255813953487E-2</v>
      </c>
      <c r="DJ200" s="1673">
        <f>'Income Statement'!DJ169/'Revenue Model'!DJ398</f>
        <v>-5.9999999999999993E-3</v>
      </c>
      <c r="DK200" s="70">
        <f>'Income Statement'!DK169/'Revenue Model'!DK398</f>
        <v>7.0000000000000158E-3</v>
      </c>
      <c r="DL200" s="70">
        <f>'Income Statement'!DL169/'Revenue Model'!DL398</f>
        <v>7.0000000000000001E-3</v>
      </c>
      <c r="DM200" s="487">
        <f>'Income Statement'!DM169/'Revenue Model'!DM398</f>
        <v>5.3000000000000005E-2</v>
      </c>
      <c r="DN200" s="580"/>
      <c r="DO200" s="487"/>
      <c r="DP200" s="77"/>
      <c r="DQ200" s="77"/>
      <c r="DR200" s="77"/>
      <c r="DS200" s="77"/>
      <c r="DT200" s="77"/>
      <c r="DU200" s="77"/>
      <c r="DV200" s="77"/>
      <c r="DW200" s="77"/>
      <c r="DX200" s="77"/>
      <c r="DY200" s="77"/>
      <c r="DZ200" s="77"/>
      <c r="EA200" s="77"/>
      <c r="EB200" s="77"/>
      <c r="EC200" s="77"/>
      <c r="ED200" s="77"/>
      <c r="EE200" s="77"/>
      <c r="EF200" s="77"/>
      <c r="EG200" s="77"/>
      <c r="EH200" s="77"/>
      <c r="EI200" s="77">
        <f>'Income Statement'!EI169/'Revenue Model'!EI398</f>
        <v>1.740056818181818E-2</v>
      </c>
      <c r="EJ200" s="77"/>
      <c r="EK200" s="77">
        <f>'Income Statement'!EK169/'Revenue Model'!EK398</f>
        <v>0.02</v>
      </c>
      <c r="EL200" s="77">
        <f>'Income Statement'!EL169/'Revenue Model'!EL398</f>
        <v>2.4246601941747575E-2</v>
      </c>
      <c r="EM200" s="77">
        <f>'Income Statement'!EM169/'Revenue Model'!EM398</f>
        <v>1.1895749107923339E-2</v>
      </c>
      <c r="EN200" s="77">
        <f>'Income Statement'!EN169/'Revenue Model'!EN398</f>
        <v>1.5428109854604201E-2</v>
      </c>
      <c r="EO200" s="77">
        <f>'Income Statement'!EO169/'Revenue Model'!EO398</f>
        <v>1.9410056548983645E-2</v>
      </c>
      <c r="EP200" s="77">
        <f>'Income Statement'!EP169/'Revenue Model'!EP398</f>
        <v>2.7617693286430656E-2</v>
      </c>
      <c r="EQ200" s="77">
        <f>'Income Statement'!EQ169/'Revenue Model'!EQ398</f>
        <v>3.6106502330726077E-2</v>
      </c>
      <c r="ER200" s="77">
        <f>'Income Statement'!ER169/'Revenue Model'!ER398</f>
        <v>3.9358600583090382E-2</v>
      </c>
      <c r="ES200" s="77">
        <f>'Income Statement'!ES169/'Revenue Model'!ES398</f>
        <v>7.5158537540123702E-3</v>
      </c>
      <c r="ET200" s="77">
        <f>'Income Statement'!ET169/'Revenue Model'!ET398</f>
        <v>1.0004168403501459E-2</v>
      </c>
      <c r="EU200" s="77">
        <f>'Income Statement'!EU169/'Revenue Model'!EU398</f>
        <v>8.368200836820083E-3</v>
      </c>
      <c r="EV200" s="77">
        <f>'Income Statement'!EV169/'Revenue Model'!EV398</f>
        <v>5.8356676003734828E-3</v>
      </c>
      <c r="EW200" s="77">
        <f>'Income Statement'!EW169/'Revenue Model'!EW398</f>
        <v>-2.2130888397091371E-3</v>
      </c>
      <c r="EX200" s="77">
        <f>'Income Statement'!EX169/'Revenue Model'!EX398</f>
        <v>3.1378763866877969E-2</v>
      </c>
      <c r="EY200" s="77">
        <f>'Income Statement'!EY169/'Revenue Model'!EY398</f>
        <v>2.7801662367440527E-2</v>
      </c>
      <c r="EZ200" s="1680">
        <f>'Income Statement'!EZ169/'Revenue Model'!EZ398</f>
        <v>2.3005429465570427E-2</v>
      </c>
      <c r="FA200" s="70">
        <f>'Income Statement'!FA169/'Revenue Model'!FA$398</f>
        <v>2.2000000000000006E-2</v>
      </c>
      <c r="FB200" s="70">
        <f>'Income Statement'!FB169/'Revenue Model'!FB$398</f>
        <v>2.2500000000000006E-2</v>
      </c>
      <c r="FC200" s="70">
        <f>'Income Statement'!FC169/'Revenue Model'!FC$398</f>
        <v>2.3000000000000013E-2</v>
      </c>
      <c r="FD200" s="70">
        <f>'Income Statement'!FD169/'Revenue Model'!FD$398</f>
        <v>2.3500000000000021E-2</v>
      </c>
      <c r="FE200" s="70">
        <f>'Income Statement'!FE169/'Revenue Model'!FE$398</f>
        <v>2.4000000000000007E-2</v>
      </c>
      <c r="FF200" s="70">
        <f>'Income Statement'!FF169/'Revenue Model'!FF$398</f>
        <v>2.4500000000000022E-2</v>
      </c>
      <c r="FG200" s="70">
        <f>'Income Statement'!FG169/'Revenue Model'!FG$398</f>
        <v>2.5000000000000043E-2</v>
      </c>
      <c r="FH200" s="70">
        <f>'Income Statement'!FH169/'Revenue Model'!FH$398</f>
        <v>2.5500000000000023E-2</v>
      </c>
      <c r="FI200" s="413"/>
      <c r="FJ200"/>
      <c r="FK200"/>
      <c r="FL200"/>
      <c r="FM200"/>
      <c r="FN200"/>
      <c r="FO200"/>
      <c r="FP200" s="4"/>
      <c r="FQ200" s="4"/>
      <c r="FR200" s="4"/>
      <c r="FS200" s="70"/>
      <c r="FT200" s="70"/>
      <c r="FU200"/>
      <c r="FV200" s="70"/>
      <c r="FW200" s="70"/>
      <c r="FX200" s="70"/>
      <c r="FY200"/>
      <c r="FZ200"/>
      <c r="GA200"/>
      <c r="GB200"/>
      <c r="GC200"/>
      <c r="GD200"/>
      <c r="GE200"/>
      <c r="GF200"/>
      <c r="GG200"/>
      <c r="GH200"/>
      <c r="GI200"/>
      <c r="GJ200"/>
      <c r="GK200"/>
      <c r="GL200"/>
      <c r="GM200"/>
      <c r="GN200"/>
      <c r="GO200"/>
      <c r="GP200"/>
      <c r="GQ200"/>
      <c r="GR200"/>
      <c r="GS200"/>
      <c r="GT200"/>
      <c r="GU200"/>
      <c r="GV200"/>
      <c r="GW200"/>
      <c r="GX200"/>
      <c r="GY200"/>
      <c r="GZ200"/>
      <c r="HA200"/>
      <c r="HB200"/>
      <c r="HC200"/>
      <c r="HD200"/>
      <c r="HE200"/>
      <c r="HF200"/>
      <c r="HG200"/>
      <c r="HH200"/>
      <c r="HI200"/>
      <c r="HJ200"/>
      <c r="HK200"/>
      <c r="HL200"/>
      <c r="HM200"/>
      <c r="HN200"/>
      <c r="HO200"/>
      <c r="HP200"/>
      <c r="HQ200"/>
      <c r="HR200"/>
      <c r="HS200"/>
      <c r="HT200"/>
      <c r="HU200"/>
      <c r="HV200"/>
      <c r="HW200"/>
      <c r="HX200"/>
      <c r="HY200"/>
      <c r="HZ200"/>
      <c r="IA200"/>
      <c r="IB200"/>
      <c r="IC200"/>
      <c r="ID200"/>
      <c r="IE200"/>
      <c r="IF200"/>
      <c r="IG200"/>
      <c r="IH200"/>
      <c r="II200"/>
      <c r="IJ200"/>
      <c r="IK200"/>
      <c r="IL200"/>
      <c r="IM200"/>
      <c r="IN200"/>
      <c r="IO200"/>
      <c r="IP200"/>
      <c r="IQ200"/>
      <c r="IR200"/>
      <c r="IS200"/>
      <c r="IT200"/>
      <c r="IU200"/>
      <c r="IV200"/>
      <c r="IW200"/>
      <c r="IX200"/>
      <c r="IY200"/>
      <c r="IZ200"/>
    </row>
    <row r="201" spans="1:260" s="19" customFormat="1" x14ac:dyDescent="0.2">
      <c r="A201" s="395" t="s">
        <v>582</v>
      </c>
      <c r="B201" s="395"/>
      <c r="C201" s="395"/>
      <c r="D201" s="395"/>
      <c r="E201" s="545"/>
      <c r="F201" s="864" t="s">
        <v>483</v>
      </c>
      <c r="G201" s="864" t="s">
        <v>483</v>
      </c>
      <c r="H201" s="864" t="s">
        <v>483</v>
      </c>
      <c r="I201" s="4" t="s">
        <v>483</v>
      </c>
      <c r="J201" s="864" t="s">
        <v>483</v>
      </c>
      <c r="K201" s="864" t="s">
        <v>483</v>
      </c>
      <c r="L201" s="864" t="s">
        <v>483</v>
      </c>
      <c r="M201" s="4" t="s">
        <v>483</v>
      </c>
      <c r="N201" s="864" t="s">
        <v>483</v>
      </c>
      <c r="O201" s="864" t="s">
        <v>483</v>
      </c>
      <c r="P201" s="864" t="s">
        <v>483</v>
      </c>
      <c r="Q201" s="4" t="s">
        <v>483</v>
      </c>
      <c r="R201" s="864" t="s">
        <v>483</v>
      </c>
      <c r="S201" s="864" t="s">
        <v>483</v>
      </c>
      <c r="T201" s="864" t="s">
        <v>483</v>
      </c>
      <c r="U201" s="4" t="s">
        <v>483</v>
      </c>
      <c r="V201" s="864" t="s">
        <v>483</v>
      </c>
      <c r="W201" s="864" t="s">
        <v>483</v>
      </c>
      <c r="X201" s="864" t="s">
        <v>483</v>
      </c>
      <c r="Y201" s="4" t="s">
        <v>483</v>
      </c>
      <c r="Z201" s="864" t="s">
        <v>483</v>
      </c>
      <c r="AA201" s="864" t="s">
        <v>483</v>
      </c>
      <c r="AB201" s="864" t="s">
        <v>483</v>
      </c>
      <c r="AC201" s="4" t="s">
        <v>483</v>
      </c>
      <c r="AD201" s="864" t="s">
        <v>483</v>
      </c>
      <c r="AE201" s="864" t="s">
        <v>483</v>
      </c>
      <c r="AF201" s="864" t="s">
        <v>483</v>
      </c>
      <c r="AG201" s="4" t="s">
        <v>483</v>
      </c>
      <c r="AH201" s="864" t="s">
        <v>483</v>
      </c>
      <c r="AI201" s="864" t="s">
        <v>483</v>
      </c>
      <c r="AJ201" s="864" t="s">
        <v>483</v>
      </c>
      <c r="AK201" s="4" t="s">
        <v>483</v>
      </c>
      <c r="AL201" s="864" t="s">
        <v>483</v>
      </c>
      <c r="AM201" s="864" t="s">
        <v>483</v>
      </c>
      <c r="AN201" s="864" t="s">
        <v>483</v>
      </c>
      <c r="AO201" s="4" t="s">
        <v>483</v>
      </c>
      <c r="AP201" s="864" t="s">
        <v>483</v>
      </c>
      <c r="AQ201" s="864" t="s">
        <v>483</v>
      </c>
      <c r="AR201" s="864" t="s">
        <v>483</v>
      </c>
      <c r="AS201" s="4" t="s">
        <v>483</v>
      </c>
      <c r="AT201" s="864" t="s">
        <v>483</v>
      </c>
      <c r="AU201" s="864" t="s">
        <v>483</v>
      </c>
      <c r="AV201" s="864" t="s">
        <v>483</v>
      </c>
      <c r="AW201" s="4" t="s">
        <v>483</v>
      </c>
      <c r="AX201" s="208">
        <f>'Income Statement'!AX170/'Revenue Model'!AX$404</f>
        <v>3.9065053939195835E-2</v>
      </c>
      <c r="AY201" s="208">
        <f>'Income Statement'!AY170/'Revenue Model'!AY$404</f>
        <v>3.8943598925693837E-2</v>
      </c>
      <c r="AZ201" s="208">
        <f>'Income Statement'!AZ170/'Revenue Model'!AZ$404</f>
        <v>2.5766871165644179E-2</v>
      </c>
      <c r="BA201" s="572">
        <f>'Income Statement'!BA170/'Revenue Model'!BA$404</f>
        <v>8.9310764051248506E-2</v>
      </c>
      <c r="BB201" s="208">
        <f>'Income Statement'!BB170/'Revenue Model'!BB404</f>
        <v>4.8426498060066082E-2</v>
      </c>
      <c r="BC201" s="208">
        <f>'Income Statement'!BC170/'Revenue Model'!BC404</f>
        <v>4.3403919505458369E-2</v>
      </c>
      <c r="BD201" s="208">
        <f>'Income Statement'!BD170/'Revenue Model'!BD404</f>
        <v>2.3132302608285173E-2</v>
      </c>
      <c r="BE201" s="572">
        <f>'Income Statement'!BE170/'Revenue Model'!BE404</f>
        <v>8.8068842545933793E-2</v>
      </c>
      <c r="BF201" s="208">
        <f>'Income Statement'!BF170/'Revenue Model'!BF404</f>
        <v>3.3556200327992947E-2</v>
      </c>
      <c r="BG201" s="208">
        <f>'Income Statement'!BG170/'Revenue Model'!BG404</f>
        <v>4.5828571428571427E-2</v>
      </c>
      <c r="BH201" s="208">
        <f>'Income Statement'!BH170/'Revenue Model'!BH404</f>
        <v>3.5354552780016119E-2</v>
      </c>
      <c r="BI201" s="572">
        <f>'Income Statement'!BI170/'Revenue Model'!BI404</f>
        <v>8.5184081085109553E-2</v>
      </c>
      <c r="BJ201" s="208">
        <f>'Income Statement'!BJ170/'Revenue Model'!BJ404</f>
        <v>3.0812013348164628E-2</v>
      </c>
      <c r="BK201" s="208">
        <f>'Income Statement'!BK170/'Revenue Model'!BK404</f>
        <v>3.458830731558004E-2</v>
      </c>
      <c r="BL201" s="208">
        <f>'Income Statement'!BL170/'Revenue Model'!BL404</f>
        <v>2.3826086956521733E-2</v>
      </c>
      <c r="BM201" s="572">
        <f>'Income Statement'!BM170/'Revenue Model'!BM404</f>
        <v>7.6337951643575111E-2</v>
      </c>
      <c r="BN201" s="208">
        <f>'Income Statement'!BN170/'Revenue Model'!BN404</f>
        <v>3.447251114413076E-2</v>
      </c>
      <c r="BO201" s="208">
        <f>'Income Statement'!BO170/'Revenue Model'!BO404</f>
        <v>2.5403737978588279E-2</v>
      </c>
      <c r="BP201" s="208">
        <f>'Income Statement'!BP170/'Revenue Model'!BP404</f>
        <v>3.1270791749833667E-2</v>
      </c>
      <c r="BQ201" s="572">
        <f>'Income Statement'!BQ170/'Revenue Model'!BQ404</f>
        <v>7.7508608711411811E-2</v>
      </c>
      <c r="BR201" s="208">
        <f>'Income Statement'!BR170/'Revenue Model'!BR404</f>
        <v>2.9016408640029665E-2</v>
      </c>
      <c r="BS201" s="208">
        <f>'Income Statement'!BS170/'Revenue Model'!BS404</f>
        <v>3.6246582591057411E-2</v>
      </c>
      <c r="BT201" s="208">
        <f>'Income Statement'!BT170/'Revenue Model'!BT404</f>
        <v>3.2380151387720775E-2</v>
      </c>
      <c r="BU201" s="572">
        <f>'Income Statement'!BU170/'Revenue Model'!BU404</f>
        <v>7.5479822834645674E-2</v>
      </c>
      <c r="BV201" s="208">
        <f>'Income Statement'!BV170/'Revenue Model'!BV404</f>
        <v>2.5959780621572212E-2</v>
      </c>
      <c r="BW201" s="208">
        <f>'Income Statement'!BW170/'Revenue Model'!BW404</f>
        <v>2.5469287036221009E-2</v>
      </c>
      <c r="BX201" s="208">
        <f>'Income Statement'!BX170/'Revenue Model'!BX404</f>
        <v>2.7109678485825274E-2</v>
      </c>
      <c r="BY201" s="572">
        <f>'Income Statement'!BY170/'Revenue Model'!BY404</f>
        <v>8.1599518941671681E-2</v>
      </c>
      <c r="BZ201" s="208">
        <f>'Income Statement'!BZ170/'Revenue Model'!BZ404</f>
        <v>3.7802508390743686E-2</v>
      </c>
      <c r="CA201" s="208">
        <f>'Income Statement'!CA170/'Revenue Model'!CA404</f>
        <v>3.5864978902953586E-2</v>
      </c>
      <c r="CB201" s="208">
        <f>'Income Statement'!CB170/'Revenue Model'!CB404</f>
        <v>3.9249612967853564E-2</v>
      </c>
      <c r="CC201" s="572">
        <f>'Income Statement'!CC170/'Revenue Model'!CC404</f>
        <v>7.5881894951188841E-2</v>
      </c>
      <c r="CD201" s="208">
        <f>'Income Statement'!CD170/'Revenue Model'!CD404</f>
        <v>4.0812736388424663E-2</v>
      </c>
      <c r="CE201" s="208">
        <f>'Income Statement'!CE170/'Revenue Model'!CE404</f>
        <v>2.3949889462048637E-2</v>
      </c>
      <c r="CF201" s="208">
        <f>'Income Statement'!CF170/'Revenue Model'!CF404</f>
        <v>3.4185733512786004E-2</v>
      </c>
      <c r="CG201" s="572">
        <f>'Income Statement'!CG170/'Revenue Model'!CG404</f>
        <v>7.1621378441605182E-2</v>
      </c>
      <c r="CH201" s="208">
        <f>'Income Statement'!CH170/'Revenue Model'!CH404</f>
        <v>3.3505598621877693E-2</v>
      </c>
      <c r="CI201" s="208">
        <f>'Income Statement'!CI170/'Revenue Model'!CI404</f>
        <v>1.1756897696027306E-2</v>
      </c>
      <c r="CJ201" s="208">
        <f>'Income Statement'!CJ170/'Revenue Model'!CJ404</f>
        <v>4.4638705477541155E-3</v>
      </c>
      <c r="CK201" s="572">
        <f>'Income Statement'!CK170/'Revenue Model'!CK404</f>
        <v>5.5292920830590626E-2</v>
      </c>
      <c r="CL201" s="208">
        <f>'Income Statement'!CL170/'Revenue Model'!CL404</f>
        <v>3.9043671069121759E-2</v>
      </c>
      <c r="CM201" s="208">
        <f>'Income Statement'!CM170/'Revenue Model'!CM404</f>
        <v>1.9381090052468145E-2</v>
      </c>
      <c r="CN201" s="208">
        <f>'Income Statement'!CN170/'Revenue Model'!CN404</f>
        <v>3.8375439718580109E-3</v>
      </c>
      <c r="CO201" s="572">
        <f>'Income Statement'!CO170/'Revenue Model'!CO404</f>
        <v>5.7049224184055641E-2</v>
      </c>
      <c r="CP201" s="208">
        <f>'Income Statement'!CP170/'Revenue Model'!CP404</f>
        <v>2.2849462365591398E-2</v>
      </c>
      <c r="CQ201" s="208">
        <f>'Income Statement'!CQ170/'Revenue Model'!CQ404</f>
        <v>2.2326539958781772E-2</v>
      </c>
      <c r="CR201" s="208">
        <f>'Income Statement'!CR170/'Revenue Model'!CR404</f>
        <v>1.5127745405647692E-2</v>
      </c>
      <c r="CS201" s="572">
        <f>'Income Statement'!CS170/'Revenue Model'!CS404</f>
        <v>4.4848484848484846E-2</v>
      </c>
      <c r="CT201" s="208">
        <f>'Income Statement'!CT170/'Revenue Model'!CT404</f>
        <v>2.5581664544507467E-2</v>
      </c>
      <c r="CU201" s="208">
        <f>'Income Statement'!CU170/'Revenue Model'!CU404</f>
        <v>2.8608582574772431E-2</v>
      </c>
      <c r="CV201" s="208">
        <f>'Income Statement'!CV170/'Revenue Model'!CV404</f>
        <v>2.3914968999114262E-2</v>
      </c>
      <c r="CW201" s="572">
        <f>'Income Statement'!CW170/'Revenue Model'!CW404</f>
        <v>5.7569146315715393E-2</v>
      </c>
      <c r="CX201" s="208">
        <f>'Income Statement'!CX170/'Revenue Model'!CX404</f>
        <v>2.4304744099088574E-2</v>
      </c>
      <c r="CY201" s="197">
        <f>'Income Statement'!CY170/'Revenue Model'!CY404</f>
        <v>3.2598499061913699E-2</v>
      </c>
      <c r="CZ201" s="208">
        <f>'Income Statement'!CZ170/'Revenue Model'!CZ404</f>
        <v>2.6987186755868014E-2</v>
      </c>
      <c r="DA201" s="572">
        <f>'Income Statement'!DA170/'Revenue Model'!DA404</f>
        <v>5.7329516259267417E-2</v>
      </c>
      <c r="DB201" s="208">
        <f>'Income Statement'!DB170/'Revenue Model'!DB404</f>
        <v>2.8425914959137748E-2</v>
      </c>
      <c r="DC201" s="208">
        <f>'Income Statement'!DC170/'Revenue Model'!DC404</f>
        <v>3.3985702566506501E-2</v>
      </c>
      <c r="DD201" s="197">
        <f>'Income Statement'!DD170/'Revenue Model'!DD404</f>
        <v>3.4991615427613192E-2</v>
      </c>
      <c r="DE201" s="572">
        <f>'Income Statement'!DE170/'Revenue Model'!DE404</f>
        <v>6.6013944518617418E-2</v>
      </c>
      <c r="DF201" s="197">
        <f>'Income Statement'!DF170/'Revenue Model'!DF404</f>
        <v>3.5178236397748593E-2</v>
      </c>
      <c r="DG201" s="208">
        <f>'Income Statement'!DG170/'Revenue Model'!DG404</f>
        <v>3.6129753914988814E-2</v>
      </c>
      <c r="DH201" s="208">
        <f>'Income Statement'!DH170/'Revenue Model'!DH404</f>
        <v>3.7339055793991417E-2</v>
      </c>
      <c r="DI201" s="572">
        <f>'Income Statement'!DI170/'Revenue Model'!DI404</f>
        <v>6.3919807329297668E-2</v>
      </c>
      <c r="DJ201" s="1713">
        <f>'Income Statement'!DJ170/'Revenue Model'!DJ404</f>
        <v>3.2976271806173914E-2</v>
      </c>
      <c r="DK201" s="197">
        <f>'Income Statement'!DK170/'Revenue Model'!DK404</f>
        <v>3.569182496615754E-2</v>
      </c>
      <c r="DL201" s="197">
        <f>'Income Statement'!DL170/'Revenue Model'!DL404</f>
        <v>3.7970844240222137E-2</v>
      </c>
      <c r="DM201" s="572">
        <f>'Income Statement'!DM170/'Revenue Model'!DM404</f>
        <v>6.3434103113505169E-2</v>
      </c>
      <c r="DN201" s="578"/>
      <c r="DO201" s="572"/>
      <c r="DP201" s="219"/>
      <c r="DQ201" s="219"/>
      <c r="DR201" s="219"/>
      <c r="DS201" s="219"/>
      <c r="DT201" s="219"/>
      <c r="DU201" s="219"/>
      <c r="DV201" s="219"/>
      <c r="DW201" s="219"/>
      <c r="DX201" s="219"/>
      <c r="DY201" s="197"/>
      <c r="DZ201" s="197"/>
      <c r="EA201" s="197"/>
      <c r="EB201" s="197"/>
      <c r="EC201" s="197"/>
      <c r="ED201" s="197"/>
      <c r="EE201" s="197"/>
      <c r="EF201" s="197"/>
      <c r="EG201" s="197"/>
      <c r="EH201" s="197"/>
      <c r="EI201" s="208">
        <f>'Income Statement'!EI170/'Revenue Model'!EI$404</f>
        <v>5.2529892096821233E-2</v>
      </c>
      <c r="EJ201" s="208">
        <f>'Income Statement'!EJ170/'Revenue Model'!EJ$404</f>
        <v>5.3293568464730302E-2</v>
      </c>
      <c r="EK201" s="208">
        <f>'Income Statement'!EK170/'Revenue Model'!EK404</f>
        <v>5.5629765681527242E-2</v>
      </c>
      <c r="EL201" s="208">
        <f>'Income Statement'!EL170/'Revenue Model'!EL404</f>
        <v>5.3993953476750865E-2</v>
      </c>
      <c r="EM201" s="208">
        <f>'Income Statement'!EM170/'Revenue Model'!EM404</f>
        <v>4.4740642008219485E-2</v>
      </c>
      <c r="EN201" s="208">
        <f>'Income Statement'!EN170/'Revenue Model'!EN404</f>
        <v>4.6021652513381896E-2</v>
      </c>
      <c r="EO201" s="208">
        <f>'Income Statement'!EO170/'Revenue Model'!EO404</f>
        <v>4.6467218332272436E-2</v>
      </c>
      <c r="EP201" s="208">
        <f>'Income Statement'!EP170/'Revenue Model'!EP404</f>
        <v>4.4260624117923787E-2</v>
      </c>
      <c r="EQ201" s="208">
        <f>'Income Statement'!EQ170/'Revenue Model'!EQ404</f>
        <v>5.0438860165925213E-2</v>
      </c>
      <c r="ER201" s="208">
        <f>'Income Statement'!ER170/'Revenue Model'!ER404</f>
        <v>4.5942327291620871E-2</v>
      </c>
      <c r="ES201" s="208">
        <f>'Income Statement'!ES170/'Revenue Model'!ES404</f>
        <v>2.9926845488805143E-2</v>
      </c>
      <c r="ET201" s="208">
        <f>'Income Statement'!ET170/'Revenue Model'!ET404</f>
        <v>3.3488477693268251E-2</v>
      </c>
      <c r="EU201" s="208">
        <f>'Income Statement'!EU170/'Revenue Model'!EU404</f>
        <v>2.863756125187757E-2</v>
      </c>
      <c r="EV201" s="208">
        <f>'Income Statement'!EV170/'Revenue Model'!EV404</f>
        <v>3.71104886090384E-2</v>
      </c>
      <c r="EW201" s="208">
        <f>'Income Statement'!EW170/'Revenue Model'!EW404</f>
        <v>3.8074276462254607E-2</v>
      </c>
      <c r="EX201" s="208">
        <f>'Income Statement'!EX170/'Revenue Model'!EX404</f>
        <v>4.3981422734309571E-2</v>
      </c>
      <c r="EY201" s="208">
        <f>'Income Statement'!EY170/'Revenue Model'!EY404</f>
        <v>4.6333420322175037E-2</v>
      </c>
      <c r="EZ201" s="1739">
        <f>'Income Statement'!EZ170/'Revenue Model'!EZ404</f>
        <v>4.561531543799905E-2</v>
      </c>
      <c r="FA201" s="208">
        <f>'Income Statement'!FA170/'Revenue Model'!FA404</f>
        <v>4.6097809964282872E-2</v>
      </c>
      <c r="FB201" s="208">
        <f>'Income Statement'!FB170/'Revenue Model'!FB404</f>
        <v>4.6870799882215847E-2</v>
      </c>
      <c r="FC201" s="208">
        <f>'Income Statement'!FC170/'Revenue Model'!FC404</f>
        <v>4.6469011917638643E-2</v>
      </c>
      <c r="FD201" s="208">
        <f>'Income Statement'!FD170/'Revenue Model'!FD404</f>
        <v>4.6074020544860178E-2</v>
      </c>
      <c r="FE201" s="208">
        <f>'Income Statement'!FE170/'Revenue Model'!FE404</f>
        <v>4.5677688486530615E-2</v>
      </c>
      <c r="FF201" s="208">
        <f>'Income Statement'!FF170/'Revenue Model'!FF404</f>
        <v>4.5279959406378467E-2</v>
      </c>
      <c r="FG201" s="208">
        <f>'Income Statement'!FG170/'Revenue Model'!FG404</f>
        <v>4.4880776375304653E-2</v>
      </c>
      <c r="FH201" s="208">
        <f>'Income Statement'!FH170/'Revenue Model'!FH404</f>
        <v>4.4480082044813678E-2</v>
      </c>
      <c r="FI201" s="416"/>
      <c r="FJ201"/>
      <c r="FK201"/>
      <c r="FL201"/>
      <c r="FM201"/>
      <c r="FN201"/>
      <c r="FO201"/>
      <c r="FQ201" s="4"/>
      <c r="FR201" s="4"/>
      <c r="FS201" s="197"/>
      <c r="FT201" s="197"/>
      <c r="FU201"/>
      <c r="FV201" s="197"/>
      <c r="FW201" s="197"/>
      <c r="FX201" s="197"/>
      <c r="FY201"/>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row>
    <row r="202" spans="1:260" s="19" customFormat="1" x14ac:dyDescent="0.2">
      <c r="A202" s="395"/>
      <c r="B202" s="395"/>
      <c r="C202" s="395"/>
      <c r="D202" s="395"/>
      <c r="E202" s="545"/>
      <c r="F202" s="864"/>
      <c r="G202" s="864"/>
      <c r="H202" s="864"/>
      <c r="I202" s="4"/>
      <c r="J202" s="864"/>
      <c r="K202" s="864"/>
      <c r="L202" s="864"/>
      <c r="M202" s="4"/>
      <c r="N202" s="864"/>
      <c r="O202" s="864"/>
      <c r="P202" s="864"/>
      <c r="Q202" s="4"/>
      <c r="R202" s="864"/>
      <c r="S202" s="864"/>
      <c r="T202" s="864"/>
      <c r="U202" s="4"/>
      <c r="V202" s="864"/>
      <c r="W202" s="864"/>
      <c r="X202" s="864"/>
      <c r="Y202" s="4"/>
      <c r="Z202" s="864"/>
      <c r="AA202" s="864"/>
      <c r="AB202" s="864"/>
      <c r="AC202" s="4"/>
      <c r="AD202" s="864"/>
      <c r="AE202" s="864"/>
      <c r="AF202" s="864"/>
      <c r="AG202" s="4"/>
      <c r="AH202" s="864"/>
      <c r="AI202" s="864"/>
      <c r="AJ202" s="864"/>
      <c r="AK202" s="4"/>
      <c r="AL202" s="864"/>
      <c r="AM202" s="864"/>
      <c r="AN202" s="864"/>
      <c r="AO202" s="4"/>
      <c r="AP202" s="864"/>
      <c r="AQ202" s="864"/>
      <c r="AR202" s="864"/>
      <c r="AS202" s="4"/>
      <c r="AT202" s="864"/>
      <c r="AU202" s="864"/>
      <c r="AV202" s="864"/>
      <c r="AW202" s="4"/>
      <c r="AX202" s="208"/>
      <c r="AY202" s="208"/>
      <c r="AZ202" s="208"/>
      <c r="BA202" s="572"/>
      <c r="BB202" s="208"/>
      <c r="BC202" s="208"/>
      <c r="BD202" s="208"/>
      <c r="BE202" s="572"/>
      <c r="BF202" s="208"/>
      <c r="BG202" s="208"/>
      <c r="BH202" s="208"/>
      <c r="BI202" s="572"/>
      <c r="BJ202" s="208"/>
      <c r="BK202" s="208"/>
      <c r="BL202" s="208"/>
      <c r="BM202" s="572"/>
      <c r="BN202" s="208"/>
      <c r="BO202" s="208"/>
      <c r="BP202" s="208"/>
      <c r="BQ202" s="572"/>
      <c r="BR202" s="208"/>
      <c r="BS202" s="208"/>
      <c r="BT202" s="208"/>
      <c r="BU202" s="572"/>
      <c r="BV202" s="208"/>
      <c r="BW202" s="208"/>
      <c r="BX202" s="208"/>
      <c r="BY202" s="572"/>
      <c r="BZ202" s="208"/>
      <c r="CA202" s="208"/>
      <c r="CB202" s="208"/>
      <c r="CC202" s="572"/>
      <c r="CD202" s="208"/>
      <c r="CE202" s="208"/>
      <c r="CF202" s="208"/>
      <c r="CG202" s="572"/>
      <c r="CH202" s="208"/>
      <c r="CI202" s="208"/>
      <c r="CJ202" s="208"/>
      <c r="CK202" s="572"/>
      <c r="CL202" s="208"/>
      <c r="CM202" s="208"/>
      <c r="CN202" s="208"/>
      <c r="CO202" s="572"/>
      <c r="CP202" s="208"/>
      <c r="CQ202" s="208"/>
      <c r="CR202" s="208"/>
      <c r="CS202" s="572"/>
      <c r="CT202" s="208"/>
      <c r="CU202" s="208"/>
      <c r="CV202" s="208"/>
      <c r="CW202" s="572"/>
      <c r="CX202" s="208"/>
      <c r="CY202" s="197"/>
      <c r="CZ202" s="208"/>
      <c r="DA202" s="572"/>
      <c r="DB202" s="208"/>
      <c r="DC202" s="208"/>
      <c r="DD202" s="197"/>
      <c r="DE202" s="572"/>
      <c r="DF202" s="197"/>
      <c r="DG202" s="208"/>
      <c r="DH202" s="208"/>
      <c r="DI202" s="572"/>
      <c r="DJ202" s="1713"/>
      <c r="DK202" s="197"/>
      <c r="DL202" s="197"/>
      <c r="DM202" s="572"/>
      <c r="DN202" s="578"/>
      <c r="DO202" s="572"/>
      <c r="DP202" s="219"/>
      <c r="DQ202" s="219"/>
      <c r="DR202" s="219"/>
      <c r="DS202" s="219"/>
      <c r="DT202" s="219"/>
      <c r="DU202" s="219"/>
      <c r="DV202" s="219"/>
      <c r="DW202" s="219"/>
      <c r="DX202" s="219"/>
      <c r="DY202" s="197"/>
      <c r="DZ202" s="197"/>
      <c r="EA202" s="197"/>
      <c r="EB202" s="197"/>
      <c r="EC202" s="197"/>
      <c r="ED202" s="197"/>
      <c r="EE202" s="197"/>
      <c r="EF202" s="197"/>
      <c r="EG202" s="197"/>
      <c r="EH202" s="197"/>
      <c r="EI202" s="208"/>
      <c r="EJ202" s="208"/>
      <c r="EK202" s="208"/>
      <c r="EL202" s="208"/>
      <c r="EM202" s="208"/>
      <c r="EN202" s="208"/>
      <c r="EO202" s="208"/>
      <c r="EP202" s="208"/>
      <c r="EQ202" s="208"/>
      <c r="ER202" s="208"/>
      <c r="ES202" s="208"/>
      <c r="ET202" s="208"/>
      <c r="EU202" s="208"/>
      <c r="EV202" s="208"/>
      <c r="EW202" s="208"/>
      <c r="EX202" s="208"/>
      <c r="EY202" s="208"/>
      <c r="EZ202" s="1739"/>
      <c r="FA202" s="208"/>
      <c r="FB202" s="208"/>
      <c r="FC202" s="208"/>
      <c r="FD202" s="208"/>
      <c r="FE202" s="208"/>
      <c r="FF202" s="208"/>
      <c r="FG202" s="208"/>
      <c r="FH202" s="208"/>
      <c r="FI202" s="416"/>
      <c r="FJ202"/>
      <c r="FK202"/>
      <c r="FL202"/>
      <c r="FM202"/>
      <c r="FN202"/>
      <c r="FO202"/>
      <c r="FQ202" s="4"/>
      <c r="FR202" s="4"/>
      <c r="FS202" s="197"/>
      <c r="FT202" s="197"/>
      <c r="FU202" s="2580"/>
      <c r="FV202" s="197"/>
      <c r="FW202" s="197"/>
      <c r="FX202" s="197"/>
      <c r="FY202" s="2580"/>
      <c r="FZ202" s="2580"/>
      <c r="GA202" s="2580"/>
      <c r="GB202" s="2580"/>
      <c r="GC202" s="2580"/>
      <c r="GD202" s="2580"/>
      <c r="GE202" s="2580"/>
      <c r="GF202" s="2580"/>
      <c r="GG202" s="2580"/>
      <c r="GH202" s="2580"/>
      <c r="GI202" s="2580"/>
      <c r="GJ202" s="2580"/>
      <c r="GK202" s="2580"/>
      <c r="GL202" s="2580"/>
      <c r="GM202" s="2580"/>
      <c r="GN202" s="2580"/>
      <c r="GO202" s="2580"/>
      <c r="GP202" s="2580"/>
      <c r="GQ202" s="2580"/>
      <c r="GR202" s="2580"/>
      <c r="GS202" s="2580"/>
      <c r="GT202" s="2580"/>
      <c r="GU202" s="2580"/>
      <c r="GV202" s="2580"/>
      <c r="GW202" s="2580"/>
      <c r="GX202" s="2580"/>
      <c r="GY202" s="2580"/>
      <c r="GZ202" s="2580"/>
      <c r="HA202" s="2580"/>
      <c r="HB202" s="2580"/>
      <c r="HC202" s="2580"/>
      <c r="HD202" s="2580"/>
      <c r="HE202" s="2580"/>
      <c r="HF202" s="2580"/>
      <c r="HG202" s="2580"/>
      <c r="HH202" s="2580"/>
      <c r="HI202" s="2580"/>
      <c r="HJ202" s="2580"/>
      <c r="HK202" s="2580"/>
      <c r="HL202" s="2580"/>
      <c r="HM202" s="2580"/>
      <c r="HN202" s="2580"/>
      <c r="HO202" s="2580"/>
      <c r="HP202" s="2580"/>
      <c r="HQ202" s="2580"/>
      <c r="HR202" s="2580"/>
      <c r="HS202" s="2580"/>
      <c r="HT202" s="2580"/>
      <c r="HU202" s="2580"/>
      <c r="HV202" s="2580"/>
      <c r="HW202" s="2580"/>
      <c r="HX202" s="2580"/>
      <c r="HY202" s="2580"/>
      <c r="HZ202" s="2580"/>
      <c r="IA202" s="2580"/>
      <c r="IB202" s="2580"/>
      <c r="IC202" s="2580"/>
      <c r="ID202" s="2580"/>
      <c r="IE202" s="2580"/>
      <c r="IF202" s="2580"/>
      <c r="IG202" s="2580"/>
      <c r="IH202" s="2580"/>
      <c r="II202" s="2580"/>
      <c r="IJ202" s="2580"/>
      <c r="IK202" s="2580"/>
      <c r="IL202" s="2580"/>
      <c r="IM202" s="2580"/>
      <c r="IN202" s="2580"/>
      <c r="IO202" s="2580"/>
      <c r="IP202" s="2580"/>
      <c r="IQ202" s="2580"/>
      <c r="IR202" s="2580"/>
      <c r="IS202" s="2580"/>
      <c r="IT202" s="2580"/>
      <c r="IU202" s="2580"/>
      <c r="IV202" s="2580"/>
      <c r="IW202" s="2580"/>
      <c r="IX202" s="2580"/>
      <c r="IY202" s="2580"/>
      <c r="IZ202" s="2580"/>
    </row>
    <row r="203" spans="1:260" s="19" customFormat="1" x14ac:dyDescent="0.2">
      <c r="A203" s="395" t="s">
        <v>744</v>
      </c>
      <c r="B203" s="395"/>
      <c r="C203" s="395"/>
      <c r="D203" s="395"/>
      <c r="E203" s="545"/>
      <c r="F203" s="864"/>
      <c r="G203" s="864"/>
      <c r="H203" s="864"/>
      <c r="I203" s="4"/>
      <c r="J203" s="864"/>
      <c r="K203" s="864"/>
      <c r="L203" s="864"/>
      <c r="M203" s="4"/>
      <c r="N203" s="864"/>
      <c r="O203" s="864"/>
      <c r="P203" s="864"/>
      <c r="Q203" s="4"/>
      <c r="R203" s="864"/>
      <c r="S203" s="864"/>
      <c r="T203" s="864"/>
      <c r="U203" s="4"/>
      <c r="V203" s="864"/>
      <c r="W203" s="864"/>
      <c r="X203" s="864"/>
      <c r="Y203" s="4"/>
      <c r="Z203" s="864"/>
      <c r="AA203" s="864"/>
      <c r="AB203" s="864"/>
      <c r="AC203" s="4"/>
      <c r="AD203" s="864"/>
      <c r="AE203" s="864"/>
      <c r="AF203" s="864"/>
      <c r="AG203" s="4"/>
      <c r="AH203" s="864"/>
      <c r="AI203" s="864"/>
      <c r="AJ203" s="864"/>
      <c r="AK203" s="4"/>
      <c r="AL203" s="864"/>
      <c r="AM203" s="864"/>
      <c r="AN203" s="864"/>
      <c r="AO203" s="4"/>
      <c r="AP203" s="864"/>
      <c r="AQ203" s="864"/>
      <c r="AR203" s="864"/>
      <c r="AS203" s="4"/>
      <c r="AT203" s="864"/>
      <c r="AU203" s="864"/>
      <c r="AV203" s="864"/>
      <c r="AW203" s="4"/>
      <c r="AX203" s="208"/>
      <c r="AY203" s="208"/>
      <c r="AZ203" s="208"/>
      <c r="BA203" s="572"/>
      <c r="BB203" s="208"/>
      <c r="BC203" s="208"/>
      <c r="BD203" s="208"/>
      <c r="BE203" s="572"/>
      <c r="BF203" s="208"/>
      <c r="BG203" s="208"/>
      <c r="BH203" s="208"/>
      <c r="BI203" s="572"/>
      <c r="BJ203" s="208"/>
      <c r="BK203" s="208"/>
      <c r="BL203" s="208"/>
      <c r="BM203" s="572"/>
      <c r="BN203" s="208"/>
      <c r="BO203" s="208"/>
      <c r="BP203" s="208"/>
      <c r="BQ203" s="572"/>
      <c r="BR203" s="208"/>
      <c r="BS203" s="208"/>
      <c r="BT203" s="208"/>
      <c r="BU203" s="572"/>
      <c r="BV203" s="208"/>
      <c r="BW203" s="208"/>
      <c r="BX203" s="208"/>
      <c r="BY203" s="572"/>
      <c r="BZ203" s="208"/>
      <c r="CA203" s="208"/>
      <c r="CB203" s="208"/>
      <c r="CC203" s="572"/>
      <c r="CD203" s="208"/>
      <c r="CE203" s="208"/>
      <c r="CF203" s="208"/>
      <c r="CG203" s="572"/>
      <c r="CH203" s="208"/>
      <c r="CI203" s="208"/>
      <c r="CJ203" s="208"/>
      <c r="CK203" s="572"/>
      <c r="CL203" s="208"/>
      <c r="CM203" s="208"/>
      <c r="CN203" s="208"/>
      <c r="CO203" s="572"/>
      <c r="CP203" s="208">
        <f t="shared" ref="CP203" si="604">+(CP168-CL168)/(CP147-CL147)</f>
        <v>0.23744292237442921</v>
      </c>
      <c r="CQ203" s="208">
        <f t="shared" ref="CQ203" si="605">+(CQ168-CM168)/(CQ147-CM147)</f>
        <v>-1.0714285714285714</v>
      </c>
      <c r="CR203" s="208">
        <f t="shared" ref="CR203" si="606">+(CR168-CN168)/(CR147-CN147)</f>
        <v>0.66187050359712229</v>
      </c>
      <c r="CS203" s="572">
        <f t="shared" ref="CS203" si="607">+(CS168-CO168)/(CS147-CO147)</f>
        <v>0.76984126984126988</v>
      </c>
      <c r="CT203" s="208">
        <f t="shared" ref="CT203" si="608">+(CT168-CP168)/(CT147-CP147)</f>
        <v>-5.4545454545454543E-2</v>
      </c>
      <c r="CU203" s="208">
        <f t="shared" ref="CU203" si="609">+(CU168-CQ168)/(CU147-CQ147)</f>
        <v>-0.33684210526315789</v>
      </c>
      <c r="CV203" s="208">
        <f t="shared" ref="CV203" si="610">+(CV168-CR168)/(CV147-CR147)</f>
        <v>0.40555555555555556</v>
      </c>
      <c r="CW203" s="572">
        <f t="shared" ref="CW203" si="611">+(CW168-CS168)/(CW147-CS147)</f>
        <v>0.50877192982456143</v>
      </c>
      <c r="CX203" s="208">
        <f t="shared" ref="CX203:DL203" si="612">+(CX168-CT168)/(CX147-CT147)</f>
        <v>-9.1743119266055051E-3</v>
      </c>
      <c r="CY203" s="197">
        <f t="shared" si="612"/>
        <v>0.11262798634812286</v>
      </c>
      <c r="CZ203" s="208">
        <f t="shared" si="612"/>
        <v>0.31632653061224492</v>
      </c>
      <c r="DA203" s="572">
        <f t="shared" si="612"/>
        <v>0.12105263157894737</v>
      </c>
      <c r="DB203" s="208">
        <f t="shared" si="612"/>
        <v>-4.9180327868852458E-2</v>
      </c>
      <c r="DC203" s="208">
        <f t="shared" si="612"/>
        <v>-1.3636363636363635</v>
      </c>
      <c r="DD203" s="197">
        <f t="shared" si="612"/>
        <v>0.52941176470588236</v>
      </c>
      <c r="DE203" s="572">
        <f t="shared" si="612"/>
        <v>-0.47337278106508873</v>
      </c>
      <c r="DF203" s="197">
        <f t="shared" si="612"/>
        <v>0.72289156626506024</v>
      </c>
      <c r="DG203" s="208">
        <f t="shared" si="612"/>
        <v>7.5718015665796348E-2</v>
      </c>
      <c r="DH203" s="208">
        <f t="shared" si="612"/>
        <v>0.15050167224080269</v>
      </c>
      <c r="DI203" s="572">
        <f>+(DI168-DE168)/(DI147-DE147)</f>
        <v>5.3365676167374164E-2</v>
      </c>
      <c r="DJ203" s="1713">
        <f t="shared" si="612"/>
        <v>-4.0523458926799386E-2</v>
      </c>
      <c r="DK203" s="197">
        <f t="shared" si="612"/>
        <v>3.0968251980006403E-3</v>
      </c>
      <c r="DL203" s="197">
        <f t="shared" si="612"/>
        <v>8.5945686224873891E-2</v>
      </c>
      <c r="DM203" s="572">
        <f>+(DM168-DI168)/(DM147-DI147)</f>
        <v>3.5911316813113985E-2</v>
      </c>
      <c r="DN203" s="578"/>
      <c r="DO203" s="572"/>
      <c r="DP203" s="219"/>
      <c r="DQ203" s="219"/>
      <c r="DR203" s="219"/>
      <c r="DS203" s="219"/>
      <c r="DT203" s="219"/>
      <c r="DU203" s="219"/>
      <c r="DV203" s="219"/>
      <c r="DW203" s="219"/>
      <c r="DX203" s="219"/>
      <c r="DY203" s="197"/>
      <c r="DZ203" s="197"/>
      <c r="EA203" s="197"/>
      <c r="EB203" s="197"/>
      <c r="EC203" s="197"/>
      <c r="ED203" s="197"/>
      <c r="EE203" s="197"/>
      <c r="EF203" s="197"/>
      <c r="EG203" s="197"/>
      <c r="EH203" s="197"/>
      <c r="EI203" s="208"/>
      <c r="EJ203" s="208"/>
      <c r="EK203" s="208"/>
      <c r="EL203" s="208"/>
      <c r="EM203" s="208"/>
      <c r="EN203" s="208"/>
      <c r="EO203" s="208"/>
      <c r="EP203" s="208"/>
      <c r="EQ203" s="208"/>
      <c r="ER203" s="208"/>
      <c r="ES203" s="208"/>
      <c r="ET203" s="208"/>
      <c r="EU203" s="208">
        <f t="shared" ref="EU203:FC203" si="613">+(EU168-ET168)/(EU147-ET147)</f>
        <v>0.2753195673549656</v>
      </c>
      <c r="EV203" s="208">
        <f t="shared" si="613"/>
        <v>1.5580357142857142</v>
      </c>
      <c r="EW203" s="208">
        <f t="shared" si="613"/>
        <v>0.12903225806451613</v>
      </c>
      <c r="EX203" s="208">
        <f t="shared" si="613"/>
        <v>-1.0427350427350428</v>
      </c>
      <c r="EY203" s="208">
        <f t="shared" si="613"/>
        <v>9.196354598177299E-2</v>
      </c>
      <c r="EZ203" s="1739">
        <f t="shared" si="613"/>
        <v>-6.7253585105213454E-2</v>
      </c>
      <c r="FA203" s="208">
        <f t="shared" si="613"/>
        <v>0.10945029911721836</v>
      </c>
      <c r="FB203" s="208">
        <f t="shared" si="613"/>
        <v>0.13027450263219018</v>
      </c>
      <c r="FC203" s="208">
        <f t="shared" si="613"/>
        <v>-4.9902916767050522E-3</v>
      </c>
      <c r="FD203" s="208"/>
      <c r="FE203" s="208"/>
      <c r="FF203" s="208"/>
      <c r="FG203" s="208"/>
      <c r="FH203" s="208"/>
      <c r="FI203" s="416"/>
      <c r="FJ203"/>
      <c r="FK203"/>
      <c r="FL203"/>
      <c r="FM203"/>
      <c r="FN203"/>
      <c r="FO203"/>
      <c r="FQ203" s="4"/>
      <c r="FR203" s="4"/>
      <c r="FS203" s="197"/>
      <c r="FT203" s="197"/>
      <c r="FU203" s="2580"/>
      <c r="FV203" s="197"/>
      <c r="FW203" s="197"/>
      <c r="FX203" s="197"/>
      <c r="FY203" s="2580"/>
      <c r="FZ203" s="2580"/>
      <c r="GA203" s="2580"/>
      <c r="GB203" s="2580"/>
      <c r="GC203" s="2580"/>
      <c r="GD203" s="2580"/>
      <c r="GE203" s="2580"/>
      <c r="GF203" s="2580"/>
      <c r="GG203" s="2580"/>
      <c r="GH203" s="2580"/>
      <c r="GI203" s="2580"/>
      <c r="GJ203" s="2580"/>
      <c r="GK203" s="2580"/>
      <c r="GL203" s="2580"/>
      <c r="GM203" s="2580"/>
      <c r="GN203" s="2580"/>
      <c r="GO203" s="2580"/>
      <c r="GP203" s="2580"/>
      <c r="GQ203" s="2580"/>
      <c r="GR203" s="2580"/>
      <c r="GS203" s="2580"/>
      <c r="GT203" s="2580"/>
      <c r="GU203" s="2580"/>
      <c r="GV203" s="2580"/>
      <c r="GW203" s="2580"/>
      <c r="GX203" s="2580"/>
      <c r="GY203" s="2580"/>
      <c r="GZ203" s="2580"/>
      <c r="HA203" s="2580"/>
      <c r="HB203" s="2580"/>
      <c r="HC203" s="2580"/>
      <c r="HD203" s="2580"/>
      <c r="HE203" s="2580"/>
      <c r="HF203" s="2580"/>
      <c r="HG203" s="2580"/>
      <c r="HH203" s="2580"/>
      <c r="HI203" s="2580"/>
      <c r="HJ203" s="2580"/>
      <c r="HK203" s="2580"/>
      <c r="HL203" s="2580"/>
      <c r="HM203" s="2580"/>
      <c r="HN203" s="2580"/>
      <c r="HO203" s="2580"/>
      <c r="HP203" s="2580"/>
      <c r="HQ203" s="2580"/>
      <c r="HR203" s="2580"/>
      <c r="HS203" s="2580"/>
      <c r="HT203" s="2580"/>
      <c r="HU203" s="2580"/>
      <c r="HV203" s="2580"/>
      <c r="HW203" s="2580"/>
      <c r="HX203" s="2580"/>
      <c r="HY203" s="2580"/>
      <c r="HZ203" s="2580"/>
      <c r="IA203" s="2580"/>
      <c r="IB203" s="2580"/>
      <c r="IC203" s="2580"/>
      <c r="ID203" s="2580"/>
      <c r="IE203" s="2580"/>
      <c r="IF203" s="2580"/>
      <c r="IG203" s="2580"/>
      <c r="IH203" s="2580"/>
      <c r="II203" s="2580"/>
      <c r="IJ203" s="2580"/>
      <c r="IK203" s="2580"/>
      <c r="IL203" s="2580"/>
      <c r="IM203" s="2580"/>
      <c r="IN203" s="2580"/>
      <c r="IO203" s="2580"/>
      <c r="IP203" s="2580"/>
      <c r="IQ203" s="2580"/>
      <c r="IR203" s="2580"/>
      <c r="IS203" s="2580"/>
      <c r="IT203" s="2580"/>
      <c r="IU203" s="2580"/>
      <c r="IV203" s="2580"/>
      <c r="IW203" s="2580"/>
      <c r="IX203" s="2580"/>
      <c r="IY203" s="2580"/>
      <c r="IZ203" s="2580"/>
    </row>
    <row r="204" spans="1:260" s="19" customFormat="1" x14ac:dyDescent="0.2">
      <c r="A204" s="395"/>
      <c r="B204" s="395"/>
      <c r="C204" s="395"/>
      <c r="D204" s="395"/>
      <c r="E204" s="545"/>
      <c r="F204" s="864"/>
      <c r="G204" s="864"/>
      <c r="H204" s="864"/>
      <c r="I204" s="4"/>
      <c r="J204" s="864"/>
      <c r="K204" s="864"/>
      <c r="L204" s="864"/>
      <c r="M204" s="4"/>
      <c r="N204" s="864"/>
      <c r="O204" s="864"/>
      <c r="P204" s="864"/>
      <c r="Q204" s="4"/>
      <c r="R204" s="864"/>
      <c r="S204" s="864"/>
      <c r="T204" s="864"/>
      <c r="U204" s="4"/>
      <c r="V204" s="864"/>
      <c r="W204" s="864"/>
      <c r="X204" s="864"/>
      <c r="Y204" s="4"/>
      <c r="Z204" s="864"/>
      <c r="AA204" s="864"/>
      <c r="AB204" s="864"/>
      <c r="AC204" s="4"/>
      <c r="AD204" s="864"/>
      <c r="AE204" s="864"/>
      <c r="AF204" s="864"/>
      <c r="AG204" s="4"/>
      <c r="AH204" s="864"/>
      <c r="AI204" s="864"/>
      <c r="AJ204" s="864"/>
      <c r="AK204" s="4"/>
      <c r="AL204" s="864"/>
      <c r="AM204" s="864"/>
      <c r="AN204" s="864"/>
      <c r="AO204" s="4"/>
      <c r="AP204" s="864"/>
      <c r="AQ204" s="864"/>
      <c r="AR204" s="864"/>
      <c r="AS204" s="4"/>
      <c r="AT204" s="864"/>
      <c r="AU204" s="864"/>
      <c r="AV204" s="864"/>
      <c r="AW204" s="4"/>
      <c r="AX204" s="208"/>
      <c r="AY204" s="208"/>
      <c r="AZ204" s="208"/>
      <c r="BA204" s="572"/>
      <c r="BB204" s="208"/>
      <c r="BC204" s="208"/>
      <c r="BD204" s="208"/>
      <c r="BE204" s="572"/>
      <c r="BF204" s="208"/>
      <c r="BG204" s="208"/>
      <c r="BH204" s="208"/>
      <c r="BI204" s="572"/>
      <c r="BJ204" s="208"/>
      <c r="BK204" s="208"/>
      <c r="BL204" s="208"/>
      <c r="BM204" s="572"/>
      <c r="BN204" s="208"/>
      <c r="BO204" s="208"/>
      <c r="BP204" s="208"/>
      <c r="BQ204" s="572"/>
      <c r="BR204" s="208"/>
      <c r="BS204" s="208"/>
      <c r="BT204" s="208"/>
      <c r="BU204" s="572"/>
      <c r="BV204" s="208"/>
      <c r="BW204" s="208"/>
      <c r="BX204" s="208"/>
      <c r="BY204" s="572"/>
      <c r="BZ204" s="208"/>
      <c r="CA204" s="208"/>
      <c r="CB204" s="208"/>
      <c r="CC204" s="572"/>
      <c r="CD204" s="208"/>
      <c r="CE204" s="208"/>
      <c r="CF204" s="208"/>
      <c r="CG204" s="572"/>
      <c r="CH204" s="208"/>
      <c r="CI204" s="208"/>
      <c r="CJ204" s="208"/>
      <c r="CK204" s="572"/>
      <c r="CL204" s="208"/>
      <c r="CM204" s="208"/>
      <c r="CN204" s="208"/>
      <c r="CO204" s="572"/>
      <c r="CP204" s="208"/>
      <c r="CQ204" s="208"/>
      <c r="CR204" s="208"/>
      <c r="CS204" s="572"/>
      <c r="CT204" s="208"/>
      <c r="CU204" s="208"/>
      <c r="CV204" s="208"/>
      <c r="CW204" s="572"/>
      <c r="CX204" s="208"/>
      <c r="CY204" s="197"/>
      <c r="CZ204" s="208"/>
      <c r="DA204" s="572"/>
      <c r="DB204" s="208"/>
      <c r="DC204" s="208"/>
      <c r="DD204" s="197"/>
      <c r="DE204" s="572"/>
      <c r="DF204" s="197"/>
      <c r="DG204" s="208"/>
      <c r="DH204" s="208"/>
      <c r="DI204" s="572"/>
      <c r="DJ204" s="1713"/>
      <c r="DK204" s="197"/>
      <c r="DL204" s="197"/>
      <c r="DM204" s="572"/>
      <c r="DN204" s="578"/>
      <c r="DO204" s="572"/>
      <c r="DP204" s="219"/>
      <c r="DQ204" s="219"/>
      <c r="DR204" s="219"/>
      <c r="DS204" s="219"/>
      <c r="DT204" s="219"/>
      <c r="DU204" s="219"/>
      <c r="DV204" s="219"/>
      <c r="DW204" s="219"/>
      <c r="DX204" s="219"/>
      <c r="DY204" s="197"/>
      <c r="DZ204" s="197"/>
      <c r="EA204" s="197"/>
      <c r="EB204" s="197"/>
      <c r="EC204" s="197"/>
      <c r="ED204" s="197"/>
      <c r="EE204" s="197"/>
      <c r="EF204" s="197"/>
      <c r="EG204" s="197"/>
      <c r="EH204" s="197"/>
      <c r="EI204" s="208"/>
      <c r="EJ204" s="208"/>
      <c r="EK204" s="208"/>
      <c r="EL204" s="208"/>
      <c r="EM204" s="208"/>
      <c r="EN204" s="208"/>
      <c r="EO204" s="208"/>
      <c r="EP204" s="208"/>
      <c r="EQ204" s="208"/>
      <c r="ER204" s="208"/>
      <c r="ES204" s="208"/>
      <c r="ET204" s="208"/>
      <c r="EU204" s="208"/>
      <c r="EV204" s="208"/>
      <c r="EW204" s="208"/>
      <c r="EX204" s="208"/>
      <c r="EY204" s="208"/>
      <c r="EZ204" s="1739"/>
      <c r="FA204" s="208"/>
      <c r="FB204" s="208"/>
      <c r="FC204" s="208"/>
      <c r="FD204" s="208"/>
      <c r="FE204" s="208"/>
      <c r="FF204" s="208"/>
      <c r="FG204" s="208"/>
      <c r="FH204" s="208"/>
      <c r="FI204" s="416"/>
      <c r="FJ204"/>
      <c r="FK204"/>
      <c r="FL204"/>
      <c r="FM204"/>
      <c r="FN204"/>
      <c r="FO204"/>
      <c r="FQ204" s="4"/>
      <c r="FR204" s="4"/>
      <c r="FS204" s="197"/>
      <c r="FT204" s="197"/>
      <c r="FU204" s="2580"/>
      <c r="FV204" s="197"/>
      <c r="FW204" s="197"/>
      <c r="FX204" s="197"/>
      <c r="FY204" s="2580"/>
      <c r="FZ204" s="2580"/>
      <c r="GA204" s="2580"/>
      <c r="GB204" s="2580"/>
      <c r="GC204" s="2580"/>
      <c r="GD204" s="2580"/>
      <c r="GE204" s="2580"/>
      <c r="GF204" s="2580"/>
      <c r="GG204" s="2580"/>
      <c r="GH204" s="2580"/>
      <c r="GI204" s="2580"/>
      <c r="GJ204" s="2580"/>
      <c r="GK204" s="2580"/>
      <c r="GL204" s="2580"/>
      <c r="GM204" s="2580"/>
      <c r="GN204" s="2580"/>
      <c r="GO204" s="2580"/>
      <c r="GP204" s="2580"/>
      <c r="GQ204" s="2580"/>
      <c r="GR204" s="2580"/>
      <c r="GS204" s="2580"/>
      <c r="GT204" s="2580"/>
      <c r="GU204" s="2580"/>
      <c r="GV204" s="2580"/>
      <c r="GW204" s="2580"/>
      <c r="GX204" s="2580"/>
      <c r="GY204" s="2580"/>
      <c r="GZ204" s="2580"/>
      <c r="HA204" s="2580"/>
      <c r="HB204" s="2580"/>
      <c r="HC204" s="2580"/>
      <c r="HD204" s="2580"/>
      <c r="HE204" s="2580"/>
      <c r="HF204" s="2580"/>
      <c r="HG204" s="2580"/>
      <c r="HH204" s="2580"/>
      <c r="HI204" s="2580"/>
      <c r="HJ204" s="2580"/>
      <c r="HK204" s="2580"/>
      <c r="HL204" s="2580"/>
      <c r="HM204" s="2580"/>
      <c r="HN204" s="2580"/>
      <c r="HO204" s="2580"/>
      <c r="HP204" s="2580"/>
      <c r="HQ204" s="2580"/>
      <c r="HR204" s="2580"/>
      <c r="HS204" s="2580"/>
      <c r="HT204" s="2580"/>
      <c r="HU204" s="2580"/>
      <c r="HV204" s="2580"/>
      <c r="HW204" s="2580"/>
      <c r="HX204" s="2580"/>
      <c r="HY204" s="2580"/>
      <c r="HZ204" s="2580"/>
      <c r="IA204" s="2580"/>
      <c r="IB204" s="2580"/>
      <c r="IC204" s="2580"/>
      <c r="ID204" s="2580"/>
      <c r="IE204" s="2580"/>
      <c r="IF204" s="2580"/>
      <c r="IG204" s="2580"/>
      <c r="IH204" s="2580"/>
      <c r="II204" s="2580"/>
      <c r="IJ204" s="2580"/>
      <c r="IK204" s="2580"/>
      <c r="IL204" s="2580"/>
      <c r="IM204" s="2580"/>
      <c r="IN204" s="2580"/>
      <c r="IO204" s="2580"/>
      <c r="IP204" s="2580"/>
      <c r="IQ204" s="2580"/>
      <c r="IR204" s="2580"/>
      <c r="IS204" s="2580"/>
      <c r="IT204" s="2580"/>
      <c r="IU204" s="2580"/>
      <c r="IV204" s="2580"/>
      <c r="IW204" s="2580"/>
      <c r="IX204" s="2580"/>
      <c r="IY204" s="2580"/>
      <c r="IZ204" s="2580"/>
    </row>
    <row r="205" spans="1:260" s="4" customFormat="1" ht="11.25" customHeight="1" x14ac:dyDescent="0.2">
      <c r="A205" s="351"/>
      <c r="B205" s="3"/>
      <c r="C205" s="3"/>
      <c r="D205" s="3"/>
      <c r="E205" s="470"/>
      <c r="I205" s="470"/>
      <c r="M205" s="470"/>
      <c r="Q205" s="470"/>
      <c r="U205" s="470"/>
      <c r="Y205" s="470"/>
      <c r="AC205" s="470"/>
      <c r="AG205" s="470"/>
      <c r="AK205" s="470"/>
      <c r="AO205" s="470"/>
      <c r="AS205" s="470"/>
      <c r="AW205" s="470"/>
      <c r="BA205" s="470"/>
      <c r="BB205" s="6"/>
      <c r="BC205" s="6"/>
      <c r="BE205" s="484"/>
      <c r="BF205" s="6"/>
      <c r="BG205" s="6"/>
      <c r="BH205" s="6"/>
      <c r="BI205" s="484"/>
      <c r="BJ205" s="6"/>
      <c r="BK205" s="6"/>
      <c r="BL205" s="6"/>
      <c r="BM205" s="484"/>
      <c r="BN205" s="769"/>
      <c r="BO205" s="769"/>
      <c r="BP205" s="769"/>
      <c r="BQ205" s="770"/>
      <c r="BR205" s="769"/>
      <c r="BS205" s="769"/>
      <c r="BT205" s="769"/>
      <c r="BU205" s="770"/>
      <c r="BV205" s="769"/>
      <c r="BW205" s="769"/>
      <c r="BX205" s="769"/>
      <c r="BY205" s="770"/>
      <c r="BZ205" s="769"/>
      <c r="CA205" s="769"/>
      <c r="CB205" s="769"/>
      <c r="CC205" s="770"/>
      <c r="CD205" s="769"/>
      <c r="CE205" s="769"/>
      <c r="CF205" s="769"/>
      <c r="CG205" s="770"/>
      <c r="CH205" s="769"/>
      <c r="CI205" s="769"/>
      <c r="CJ205" s="769"/>
      <c r="CK205" s="770"/>
      <c r="CL205" s="769"/>
      <c r="CM205" s="769"/>
      <c r="CN205" s="769"/>
      <c r="CO205" s="770"/>
      <c r="CP205" s="769"/>
      <c r="CQ205" s="769"/>
      <c r="CR205" s="769"/>
      <c r="CS205" s="770"/>
      <c r="CT205" s="769"/>
      <c r="CU205" s="769"/>
      <c r="CV205" s="769"/>
      <c r="CW205" s="1276"/>
      <c r="CX205" s="769"/>
      <c r="CY205" s="769"/>
      <c r="CZ205" s="769"/>
      <c r="DA205" s="770"/>
      <c r="DB205" s="769"/>
      <c r="DC205" s="769"/>
      <c r="DD205" s="769"/>
      <c r="DE205" s="770"/>
      <c r="DF205" s="769"/>
      <c r="DG205" s="769"/>
      <c r="DH205" s="769"/>
      <c r="DI205" s="770"/>
      <c r="DJ205" s="1763"/>
      <c r="DK205" s="769"/>
      <c r="DL205" s="769"/>
      <c r="DM205" s="770"/>
      <c r="DN205" s="1241"/>
      <c r="DO205" s="484"/>
      <c r="DV205" s="427"/>
      <c r="DW205" s="427"/>
      <c r="EK205" s="6"/>
      <c r="EL205" s="6"/>
      <c r="EM205" s="248"/>
      <c r="EN205" s="769"/>
      <c r="EO205" s="769"/>
      <c r="EP205" s="769"/>
      <c r="EQ205" s="769"/>
      <c r="ER205" s="769"/>
      <c r="ES205" s="769"/>
      <c r="ET205" s="769"/>
      <c r="EU205" s="769"/>
      <c r="EV205" s="769"/>
      <c r="EW205" s="769"/>
      <c r="EX205" s="769"/>
      <c r="EY205" s="769"/>
      <c r="EZ205" s="1763"/>
      <c r="FA205" s="248"/>
      <c r="FB205" s="248"/>
      <c r="FC205" s="248"/>
      <c r="FD205" s="248"/>
      <c r="FE205" s="248"/>
      <c r="FF205" s="248"/>
      <c r="FG205" s="248"/>
      <c r="FH205" s="248"/>
      <c r="FI205" s="413"/>
      <c r="FJ205"/>
      <c r="FK205"/>
      <c r="FL205"/>
      <c r="FM205"/>
      <c r="FN205"/>
      <c r="FO205"/>
      <c r="FS205"/>
      <c r="FT205"/>
      <c r="FU205"/>
      <c r="FV205" s="2636"/>
      <c r="FW205" s="2636"/>
      <c r="FX205" s="2636"/>
      <c r="FY205"/>
      <c r="FZ205"/>
      <c r="GA205"/>
      <c r="GB205"/>
      <c r="GC205"/>
      <c r="GD205"/>
      <c r="GE205"/>
      <c r="GF205"/>
      <c r="GG205"/>
      <c r="GH205"/>
      <c r="GI205"/>
      <c r="GJ205"/>
      <c r="GK205"/>
      <c r="GL205"/>
      <c r="GM205"/>
      <c r="GN205"/>
      <c r="GO205"/>
      <c r="GP205"/>
      <c r="GQ205"/>
      <c r="GR205"/>
      <c r="GS205"/>
      <c r="GT205"/>
      <c r="GU205"/>
      <c r="GV205"/>
      <c r="GW205"/>
      <c r="GX205"/>
      <c r="GY205"/>
      <c r="GZ205"/>
      <c r="HA205"/>
      <c r="HB205"/>
      <c r="HC205"/>
      <c r="HD205"/>
      <c r="HE205"/>
      <c r="HF205"/>
      <c r="HG205"/>
      <c r="HH205"/>
      <c r="HI205"/>
      <c r="HJ205"/>
      <c r="HK205"/>
      <c r="HL205"/>
      <c r="HM205"/>
      <c r="HN205"/>
      <c r="HO205"/>
      <c r="HP205"/>
      <c r="HQ205"/>
      <c r="HR205"/>
      <c r="HS205"/>
      <c r="HT205"/>
      <c r="HU205"/>
      <c r="HV205"/>
      <c r="HW205"/>
      <c r="HX205"/>
      <c r="HY205"/>
      <c r="HZ205"/>
      <c r="IA205"/>
      <c r="IB205"/>
      <c r="IC205"/>
      <c r="ID205"/>
      <c r="IE205"/>
      <c r="IF205"/>
      <c r="IG205"/>
      <c r="IH205"/>
      <c r="II205"/>
      <c r="IJ205"/>
      <c r="IK205"/>
      <c r="IL205"/>
      <c r="IM205"/>
      <c r="IN205"/>
      <c r="IO205"/>
      <c r="IP205"/>
      <c r="IQ205"/>
      <c r="IR205"/>
      <c r="IS205"/>
      <c r="IT205"/>
      <c r="IU205"/>
      <c r="IV205"/>
      <c r="IW205"/>
      <c r="IX205"/>
      <c r="IY205"/>
      <c r="IZ205"/>
    </row>
    <row r="206" spans="1:260" s="6" customFormat="1" ht="11.25" customHeight="1" x14ac:dyDescent="0.2">
      <c r="A206" s="442" t="s">
        <v>584</v>
      </c>
      <c r="B206" s="443"/>
      <c r="C206" s="443"/>
      <c r="D206" s="443"/>
      <c r="E206" s="475"/>
      <c r="F206" s="443"/>
      <c r="G206" s="443"/>
      <c r="H206" s="443"/>
      <c r="I206" s="475"/>
      <c r="J206" s="443"/>
      <c r="K206" s="443"/>
      <c r="L206" s="443"/>
      <c r="M206" s="475"/>
      <c r="N206" s="443"/>
      <c r="O206" s="443"/>
      <c r="P206" s="443"/>
      <c r="Q206" s="475"/>
      <c r="R206" s="443"/>
      <c r="S206" s="443"/>
      <c r="T206" s="443"/>
      <c r="U206" s="475"/>
      <c r="V206" s="443"/>
      <c r="W206" s="443"/>
      <c r="X206" s="443"/>
      <c r="Y206" s="475"/>
      <c r="Z206" s="443"/>
      <c r="AA206" s="443"/>
      <c r="AB206" s="443"/>
      <c r="AC206" s="475"/>
      <c r="AD206" s="443"/>
      <c r="AE206" s="443"/>
      <c r="AF206" s="443"/>
      <c r="AG206" s="475"/>
      <c r="AH206" s="443"/>
      <c r="AI206" s="443"/>
      <c r="AJ206" s="443"/>
      <c r="AK206" s="475"/>
      <c r="AL206" s="443"/>
      <c r="AM206" s="443"/>
      <c r="AN206" s="443"/>
      <c r="AO206" s="475"/>
      <c r="AP206" s="443"/>
      <c r="AQ206" s="443"/>
      <c r="AR206" s="443"/>
      <c r="AS206" s="475"/>
      <c r="AT206" s="443"/>
      <c r="AU206" s="443"/>
      <c r="AV206" s="443"/>
      <c r="AW206" s="475"/>
      <c r="AX206" s="443"/>
      <c r="AY206" s="443"/>
      <c r="AZ206" s="443"/>
      <c r="BA206" s="475"/>
      <c r="BB206" s="443"/>
      <c r="BC206" s="443"/>
      <c r="BD206" s="443"/>
      <c r="BE206" s="475"/>
      <c r="BF206" s="443"/>
      <c r="BG206" s="443"/>
      <c r="BH206" s="443"/>
      <c r="BI206" s="475"/>
      <c r="BJ206" s="443"/>
      <c r="BK206" s="443"/>
      <c r="BL206" s="444"/>
      <c r="BM206" s="501"/>
      <c r="BN206" s="444"/>
      <c r="BO206" s="444"/>
      <c r="BP206" s="444"/>
      <c r="BQ206" s="501"/>
      <c r="BR206" s="444"/>
      <c r="BS206" s="444"/>
      <c r="BT206" s="444"/>
      <c r="BU206" s="501"/>
      <c r="BV206" s="444"/>
      <c r="BW206" s="444"/>
      <c r="BX206" s="444"/>
      <c r="BY206" s="501"/>
      <c r="BZ206" s="444"/>
      <c r="CA206" s="444"/>
      <c r="CB206" s="444"/>
      <c r="CC206" s="501"/>
      <c r="CD206" s="444"/>
      <c r="CE206" s="444"/>
      <c r="CF206" s="444"/>
      <c r="CG206" s="501"/>
      <c r="CH206" s="444"/>
      <c r="CI206" s="444"/>
      <c r="CJ206" s="444"/>
      <c r="CK206" s="501"/>
      <c r="CL206" s="444"/>
      <c r="CM206" s="444"/>
      <c r="CN206" s="444"/>
      <c r="CO206" s="501"/>
      <c r="CP206" s="444"/>
      <c r="CQ206" s="444"/>
      <c r="CR206" s="444"/>
      <c r="CS206" s="501"/>
      <c r="CT206" s="444"/>
      <c r="CU206" s="444"/>
      <c r="CV206" s="444"/>
      <c r="CW206" s="1277"/>
      <c r="CX206" s="444"/>
      <c r="CY206" s="444"/>
      <c r="CZ206" s="444"/>
      <c r="DA206" s="501"/>
      <c r="DB206" s="444"/>
      <c r="DC206" s="444"/>
      <c r="DD206" s="443"/>
      <c r="DE206" s="475"/>
      <c r="DF206" s="444"/>
      <c r="DG206" s="444"/>
      <c r="DH206" s="444"/>
      <c r="DI206" s="475"/>
      <c r="DJ206" s="2706"/>
      <c r="DK206" s="597"/>
      <c r="DL206" s="597"/>
      <c r="DM206" s="501"/>
      <c r="DN206" s="977"/>
      <c r="DO206" s="484"/>
      <c r="DP206" s="442"/>
      <c r="DQ206" s="442"/>
      <c r="DR206" s="442"/>
      <c r="DS206" s="442"/>
      <c r="DT206" s="442"/>
      <c r="DU206" s="442"/>
      <c r="DV206" s="442"/>
      <c r="DW206" s="442"/>
      <c r="DX206" s="443"/>
      <c r="DY206" s="443"/>
      <c r="DZ206" s="443"/>
      <c r="EA206" s="443"/>
      <c r="EB206" s="443"/>
      <c r="EC206" s="443"/>
      <c r="ED206" s="443"/>
      <c r="EE206" s="443"/>
      <c r="EF206" s="443"/>
      <c r="EG206" s="443"/>
      <c r="EH206" s="443"/>
      <c r="EI206" s="443"/>
      <c r="EJ206" s="443"/>
      <c r="EK206" s="443"/>
      <c r="EL206" s="443"/>
      <c r="EM206" s="444"/>
      <c r="EN206" s="443"/>
      <c r="EO206" s="443"/>
      <c r="EP206" s="443"/>
      <c r="EQ206" s="443"/>
      <c r="ER206" s="444"/>
      <c r="ES206" s="443"/>
      <c r="ET206" s="443"/>
      <c r="EU206" s="443"/>
      <c r="EV206" s="443"/>
      <c r="EW206" s="443"/>
      <c r="EX206" s="443"/>
      <c r="EY206" s="443"/>
      <c r="EZ206" s="1770"/>
      <c r="FA206" s="442"/>
      <c r="FB206" s="442"/>
      <c r="FC206" s="442"/>
      <c r="FD206" s="442"/>
      <c r="FE206" s="442"/>
      <c r="FF206" s="442"/>
      <c r="FG206" s="442"/>
      <c r="FH206" s="442"/>
      <c r="FI206" s="671"/>
      <c r="FJ206"/>
      <c r="FK206"/>
      <c r="FL206"/>
      <c r="FM206"/>
      <c r="FN206"/>
      <c r="FO206"/>
      <c r="FQ206" s="4"/>
      <c r="FR206" s="4"/>
      <c r="FS206" s="236"/>
      <c r="FT206" s="236"/>
      <c r="FU206"/>
      <c r="FV206" s="236"/>
      <c r="FW206" s="236"/>
      <c r="FX206" s="236"/>
      <c r="FY206"/>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row>
    <row r="207" spans="1:260" s="6" customFormat="1" ht="11.25" customHeight="1" x14ac:dyDescent="0.2">
      <c r="A207" s="236"/>
      <c r="B207" s="181"/>
      <c r="C207" s="181"/>
      <c r="D207" s="181"/>
      <c r="E207" s="476"/>
      <c r="F207" s="181"/>
      <c r="G207" s="181"/>
      <c r="H207" s="181"/>
      <c r="I207" s="476"/>
      <c r="J207" s="181"/>
      <c r="K207" s="181"/>
      <c r="L207" s="181"/>
      <c r="M207" s="476"/>
      <c r="N207" s="181"/>
      <c r="O207" s="181"/>
      <c r="P207" s="181"/>
      <c r="Q207" s="476"/>
      <c r="R207" s="181"/>
      <c r="S207" s="181"/>
      <c r="T207" s="181"/>
      <c r="U207" s="476"/>
      <c r="V207" s="181"/>
      <c r="W207" s="181"/>
      <c r="X207" s="181"/>
      <c r="Y207" s="476"/>
      <c r="Z207" s="181"/>
      <c r="AA207" s="181"/>
      <c r="AB207" s="181"/>
      <c r="AC207" s="476"/>
      <c r="AD207" s="181"/>
      <c r="AE207" s="181"/>
      <c r="AF207" s="181"/>
      <c r="AG207" s="476"/>
      <c r="AH207" s="181"/>
      <c r="AI207" s="181"/>
      <c r="AJ207" s="181"/>
      <c r="AK207" s="476"/>
      <c r="AL207" s="181"/>
      <c r="AM207" s="181"/>
      <c r="AN207" s="181"/>
      <c r="AO207" s="476"/>
      <c r="AP207" s="181"/>
      <c r="AQ207" s="181"/>
      <c r="AR207" s="181"/>
      <c r="AS207" s="476"/>
      <c r="AT207" s="181"/>
      <c r="AU207" s="181"/>
      <c r="AV207" s="181"/>
      <c r="AW207" s="476"/>
      <c r="AX207" s="181"/>
      <c r="AY207" s="181"/>
      <c r="AZ207" s="181"/>
      <c r="BA207" s="476"/>
      <c r="BB207" s="181"/>
      <c r="BC207" s="181"/>
      <c r="BD207" s="181"/>
      <c r="BE207" s="476"/>
      <c r="BF207" s="181"/>
      <c r="BG207" s="181"/>
      <c r="BH207" s="181"/>
      <c r="BI207" s="476"/>
      <c r="BJ207" s="181"/>
      <c r="BK207" s="181"/>
      <c r="BL207" s="207"/>
      <c r="BM207" s="502"/>
      <c r="BN207" s="207"/>
      <c r="BO207" s="207"/>
      <c r="BP207" s="207"/>
      <c r="BQ207" s="502"/>
      <c r="BR207" s="207"/>
      <c r="BS207" s="207"/>
      <c r="BT207" s="207"/>
      <c r="BU207" s="502"/>
      <c r="BV207" s="207"/>
      <c r="BW207" s="207"/>
      <c r="BX207" s="207"/>
      <c r="BY207" s="502"/>
      <c r="BZ207" s="207"/>
      <c r="CA207" s="207"/>
      <c r="CB207" s="207"/>
      <c r="CC207" s="502"/>
      <c r="CD207" s="207"/>
      <c r="CE207" s="207"/>
      <c r="CF207" s="207"/>
      <c r="CG207" s="502"/>
      <c r="CH207" s="207"/>
      <c r="CI207" s="207"/>
      <c r="CJ207" s="207"/>
      <c r="CK207" s="502"/>
      <c r="CL207" s="207"/>
      <c r="CM207" s="207"/>
      <c r="CN207" s="207"/>
      <c r="CO207" s="502"/>
      <c r="CP207" s="1264"/>
      <c r="CQ207" s="1264"/>
      <c r="CR207" s="1264"/>
      <c r="CS207" s="1265"/>
      <c r="CT207" s="1264"/>
      <c r="CU207" s="1264"/>
      <c r="CV207" s="1264"/>
      <c r="CW207" s="1265"/>
      <c r="CX207" s="1264"/>
      <c r="CY207" s="1264"/>
      <c r="CZ207" s="1264"/>
      <c r="DA207" s="1947"/>
      <c r="DB207" s="2092"/>
      <c r="DC207" s="2092"/>
      <c r="DD207" s="2091"/>
      <c r="DE207" s="1947"/>
      <c r="DF207" s="2092"/>
      <c r="DG207" s="2092"/>
      <c r="DH207" s="2092"/>
      <c r="DI207" s="1947"/>
      <c r="DJ207" s="2225"/>
      <c r="DK207" s="2092"/>
      <c r="DL207" s="2092"/>
      <c r="DM207" s="1947"/>
      <c r="DN207" s="977"/>
      <c r="DO207" s="484"/>
      <c r="DP207" s="236"/>
      <c r="DQ207" s="236"/>
      <c r="DR207" s="236"/>
      <c r="DS207" s="236"/>
      <c r="DT207" s="236"/>
      <c r="DU207" s="236"/>
      <c r="DV207" s="236"/>
      <c r="DW207" s="236"/>
      <c r="DX207" s="181"/>
      <c r="DY207" s="181"/>
      <c r="DZ207" s="181"/>
      <c r="EA207" s="181"/>
      <c r="EB207" s="181"/>
      <c r="EC207" s="181"/>
      <c r="ED207" s="181"/>
      <c r="EE207" s="181"/>
      <c r="EF207" s="181"/>
      <c r="EG207" s="181"/>
      <c r="EH207" s="181"/>
      <c r="EI207" s="181"/>
      <c r="EJ207" s="181"/>
      <c r="EK207" s="181"/>
      <c r="EL207" s="181"/>
      <c r="EM207" s="207"/>
      <c r="EN207" s="181"/>
      <c r="EO207" s="181"/>
      <c r="EP207" s="181"/>
      <c r="EQ207" s="181"/>
      <c r="ER207" s="207"/>
      <c r="ES207" s="181"/>
      <c r="ET207" s="181"/>
      <c r="EU207" s="181"/>
      <c r="EV207" s="181"/>
      <c r="EW207" s="2091"/>
      <c r="EX207" s="2091"/>
      <c r="EY207" s="2091"/>
      <c r="EZ207" s="2225"/>
      <c r="FA207" s="236"/>
      <c r="FB207" s="236"/>
      <c r="FC207" s="236"/>
      <c r="FD207" s="236"/>
      <c r="FE207" s="236"/>
      <c r="FF207" s="236"/>
      <c r="FG207" s="236"/>
      <c r="FH207" s="236"/>
      <c r="FI207" s="671"/>
      <c r="FJ207"/>
      <c r="FK207"/>
      <c r="FL207"/>
      <c r="FM207"/>
      <c r="FN207"/>
      <c r="FO207"/>
      <c r="FQ207" s="4"/>
      <c r="FR207" s="4"/>
      <c r="FS207" s="236"/>
      <c r="FT207" s="236"/>
      <c r="FU207"/>
      <c r="FV207" s="2091"/>
      <c r="FW207" s="236"/>
      <c r="FX207" s="236"/>
      <c r="FY207"/>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row>
    <row r="208" spans="1:260" s="6" customFormat="1" ht="11.25" customHeight="1" x14ac:dyDescent="0.2">
      <c r="A208" s="282" t="s">
        <v>353</v>
      </c>
      <c r="B208" s="181"/>
      <c r="C208" s="181"/>
      <c r="D208" s="181"/>
      <c r="E208" s="476"/>
      <c r="F208" s="213" t="s">
        <v>483</v>
      </c>
      <c r="G208" s="213" t="s">
        <v>483</v>
      </c>
      <c r="H208" s="213" t="s">
        <v>483</v>
      </c>
      <c r="I208" s="490" t="s">
        <v>483</v>
      </c>
      <c r="J208" s="213" t="s">
        <v>483</v>
      </c>
      <c r="K208" s="213" t="s">
        <v>483</v>
      </c>
      <c r="L208" s="213" t="s">
        <v>483</v>
      </c>
      <c r="M208" s="490" t="s">
        <v>483</v>
      </c>
      <c r="N208" s="213" t="s">
        <v>483</v>
      </c>
      <c r="O208" s="213" t="s">
        <v>483</v>
      </c>
      <c r="P208" s="213" t="s">
        <v>483</v>
      </c>
      <c r="Q208" s="490" t="s">
        <v>483</v>
      </c>
      <c r="R208" s="213" t="s">
        <v>483</v>
      </c>
      <c r="S208" s="213" t="s">
        <v>483</v>
      </c>
      <c r="T208" s="213" t="s">
        <v>483</v>
      </c>
      <c r="U208" s="490" t="s">
        <v>483</v>
      </c>
      <c r="V208" s="213" t="s">
        <v>483</v>
      </c>
      <c r="W208" s="213" t="s">
        <v>483</v>
      </c>
      <c r="X208" s="213" t="s">
        <v>483</v>
      </c>
      <c r="Y208" s="490" t="s">
        <v>483</v>
      </c>
      <c r="Z208" s="213" t="s">
        <v>483</v>
      </c>
      <c r="AA208" s="213" t="s">
        <v>483</v>
      </c>
      <c r="AB208" s="213" t="s">
        <v>483</v>
      </c>
      <c r="AC208" s="490" t="s">
        <v>483</v>
      </c>
      <c r="AD208" s="213" t="s">
        <v>483</v>
      </c>
      <c r="AE208" s="213" t="s">
        <v>483</v>
      </c>
      <c r="AF208" s="213" t="s">
        <v>483</v>
      </c>
      <c r="AG208" s="490" t="s">
        <v>483</v>
      </c>
      <c r="AH208" s="213" t="s">
        <v>483</v>
      </c>
      <c r="AI208" s="213" t="s">
        <v>483</v>
      </c>
      <c r="AJ208" s="213" t="s">
        <v>483</v>
      </c>
      <c r="AK208" s="490" t="s">
        <v>483</v>
      </c>
      <c r="AL208" s="213" t="s">
        <v>483</v>
      </c>
      <c r="AM208" s="213" t="s">
        <v>483</v>
      </c>
      <c r="AN208" s="213" t="s">
        <v>483</v>
      </c>
      <c r="AO208" s="490" t="s">
        <v>483</v>
      </c>
      <c r="AP208" s="213" t="s">
        <v>483</v>
      </c>
      <c r="AQ208" s="213" t="s">
        <v>483</v>
      </c>
      <c r="AR208" s="213" t="s">
        <v>483</v>
      </c>
      <c r="AS208" s="490" t="s">
        <v>483</v>
      </c>
      <c r="AT208" s="213" t="s">
        <v>483</v>
      </c>
      <c r="AU208" s="213" t="s">
        <v>483</v>
      </c>
      <c r="AV208" s="213" t="s">
        <v>483</v>
      </c>
      <c r="AW208" s="490" t="s">
        <v>483</v>
      </c>
      <c r="AX208" s="213" t="s">
        <v>483</v>
      </c>
      <c r="AY208" s="213" t="s">
        <v>483</v>
      </c>
      <c r="AZ208" s="213" t="s">
        <v>483</v>
      </c>
      <c r="BA208" s="490" t="s">
        <v>483</v>
      </c>
      <c r="BB208" s="417">
        <f>('Income Statement'!BB179-'Income Statement'!AX179)*10000</f>
        <v>-7.3197247987283331</v>
      </c>
      <c r="BC208" s="417">
        <f>('Income Statement'!BC179-'Income Statement'!AY179)*10000</f>
        <v>-27.228168532235088</v>
      </c>
      <c r="BD208" s="417">
        <f>('Income Statement'!BD179-'Income Statement'!AZ179)*10000</f>
        <v>-73.892783331027672</v>
      </c>
      <c r="BE208" s="520">
        <f>('Income Statement'!BE179-'Income Statement'!BA179)*10000</f>
        <v>-63.132269900360861</v>
      </c>
      <c r="BF208" s="417">
        <f>('Income Statement'!BF179-'Income Statement'!BB179)*10000</f>
        <v>-102.50834905832062</v>
      </c>
      <c r="BG208" s="417">
        <f>('Income Statement'!BG179-'Income Statement'!BC179)*10000</f>
        <v>-32.309017349435031</v>
      </c>
      <c r="BH208" s="417">
        <f>('Income Statement'!BH179-'Income Statement'!BD179)*10000</f>
        <v>14.585562878165204</v>
      </c>
      <c r="BI208" s="520">
        <f>('Income Statement'!BI179-'Income Statement'!BE179)*10000</f>
        <v>-35.182990057973093</v>
      </c>
      <c r="BJ208" s="417">
        <f>('Income Statement'!BJ179-'Income Statement'!BF179)*10000</f>
        <v>-15.866527094053618</v>
      </c>
      <c r="BK208" s="417">
        <f>('Income Statement'!BK179-'Income Statement'!BG179)*10000</f>
        <v>-21.854039055771434</v>
      </c>
      <c r="BL208" s="417">
        <f>('Income Statement'!BL179-'Income Statement'!BH179)*10000</f>
        <v>22.942450541789395</v>
      </c>
      <c r="BM208" s="520">
        <f>('Income Statement'!BM179-'Income Statement'!BI179)*10000</f>
        <v>33.667204794943508</v>
      </c>
      <c r="BN208" s="417">
        <f>('Income Statement'!BN179-'Income Statement'!BJ179)*10000</f>
        <v>66.736563527897417</v>
      </c>
      <c r="BO208" s="417">
        <f>('Income Statement'!BO179-'Income Statement'!BK179)*10000</f>
        <v>-60.545545961907251</v>
      </c>
      <c r="BP208" s="417">
        <f>('Income Statement'!BP179-'Income Statement'!BL179)*10000</f>
        <v>-24.08829495302578</v>
      </c>
      <c r="BQ208" s="520">
        <f>('Income Statement'!BQ179-'Income Statement'!BM179)*10000</f>
        <v>-98.504749711985369</v>
      </c>
      <c r="BR208" s="207"/>
      <c r="BS208" s="207"/>
      <c r="BT208" s="207"/>
      <c r="BU208" s="502"/>
      <c r="BV208" s="207"/>
      <c r="BW208" s="207"/>
      <c r="BX208" s="207"/>
      <c r="BY208" s="502"/>
      <c r="BZ208" s="417">
        <f>('Income Statement'!BZ179-'Income Statement'!BN179)*10000</f>
        <v>-22.663935786051137</v>
      </c>
      <c r="CA208" s="417">
        <f>('Income Statement'!CA179-'Income Statement'!BO179)*10000</f>
        <v>158.69114177242488</v>
      </c>
      <c r="CB208" s="417">
        <f>('Income Statement'!CB179-'Income Statement'!BP179)*10000</f>
        <v>214.6391047243612</v>
      </c>
      <c r="CC208" s="520">
        <f>('Income Statement'!CC179-'Income Statement'!BQ179)*10000</f>
        <v>-4.951202678132594</v>
      </c>
      <c r="CD208" s="417">
        <f>('Income Statement'!CD179-'Income Statement'!BZ179)*10000</f>
        <v>71.019655044069765</v>
      </c>
      <c r="CE208" s="417">
        <f>('Income Statement'!CE179-'Income Statement'!CA179)*10000</f>
        <v>-49.080170854676751</v>
      </c>
      <c r="CF208" s="417">
        <f>('Income Statement'!CF179-'Income Statement'!CB179)*10000</f>
        <v>-105.22752448796579</v>
      </c>
      <c r="CG208" s="520">
        <f>('Income Statement'!CG179-'Income Statement'!CC179)*10000</f>
        <v>-106.02239304044691</v>
      </c>
      <c r="CH208" s="417">
        <f>('Income Statement'!CH179-'Income Statement'!CD179)*10000</f>
        <v>-27.21687202394407</v>
      </c>
      <c r="CI208" s="417">
        <f>('Income Statement'!CI179-'Income Statement'!CE179)*10000</f>
        <v>-109.96725158070514</v>
      </c>
      <c r="CJ208" s="417">
        <f>('Income Statement'!CJ179-'Income Statement'!CF179)*10000</f>
        <v>-106.33010395509262</v>
      </c>
      <c r="CK208" s="520">
        <f>('Income Statement'!CK179-'Income Statement'!CG179)*10000</f>
        <v>-9.2276526889345512</v>
      </c>
      <c r="CL208" s="1264">
        <f>('Income Statement'!CL179-'Income Statement'!CH179)*10000</f>
        <v>0</v>
      </c>
      <c r="CM208" s="1264">
        <f>('Income Statement'!CM179-'Income Statement'!CI179)*10000</f>
        <v>0</v>
      </c>
      <c r="CN208" s="1264">
        <f>('Income Statement'!CN179-'Income Statement'!CJ179)*10000</f>
        <v>0</v>
      </c>
      <c r="CO208" s="1168">
        <f>('Income Statement'!CO179-'Income Statement'!CK179)*10000</f>
        <v>0</v>
      </c>
      <c r="CP208" s="1264">
        <f>('Income Statement'!CP179-'Income Statement'!CL179)*10000</f>
        <v>-191.63016194725878</v>
      </c>
      <c r="CQ208" s="1264">
        <f>('Income Statement'!CQ179-'Income Statement'!CM179)*10000</f>
        <v>-36.265547136829781</v>
      </c>
      <c r="CR208" s="1264">
        <f>('Income Statement'!CR179-'Income Statement'!CN179)*10000</f>
        <v>-67.337681174217124</v>
      </c>
      <c r="CS208" s="1168">
        <f>('Income Statement'!CS179-'Income Statement'!CO179)*10000</f>
        <v>-243.59741065012986</v>
      </c>
      <c r="CT208" s="1264">
        <f>('Income Statement'!CT179-'Income Statement'!CP179)*10000</f>
        <v>-73.766300629752038</v>
      </c>
      <c r="CU208" s="1264">
        <f>('Income Statement'!CU179-'Income Statement'!CQ179)*10000</f>
        <v>-49.46893407406283</v>
      </c>
      <c r="CV208" s="1264">
        <f>('Income Statement'!CV179-'Income Statement'!CR179)*10000</f>
        <v>-46.676861192990195</v>
      </c>
      <c r="CW208" s="1168">
        <f>('Income Statement'!CW179-'Income Statement'!CS179)*10000</f>
        <v>129.46498234178344</v>
      </c>
      <c r="CX208" s="1155">
        <f>('Income Statement'!CX179-'Income Statement'!CT179)*10000</f>
        <v>25.732631027873541</v>
      </c>
      <c r="CY208" s="1155">
        <f>('Income Statement'!CY179-'Income Statement'!CU179)*10000</f>
        <v>113.37631912372304</v>
      </c>
      <c r="CZ208" s="1264">
        <f>('Income Statement'!CZ179-'Income Statement'!CV179)*10000</f>
        <v>104.35744768254013</v>
      </c>
      <c r="DA208" s="1168">
        <f>('Income Statement'!DA179-'Income Statement'!CW179)*10000</f>
        <v>37.077889606991491</v>
      </c>
      <c r="DB208" s="1264">
        <f>('Income Statement'!DB179-'Income Statement'!CX179)*10000</f>
        <v>11.467876169990177</v>
      </c>
      <c r="DC208" s="1264">
        <f>('Income Statement'!DC179-'Income Statement'!CY179)*10000</f>
        <v>-55.397672922513351</v>
      </c>
      <c r="DD208" s="1155">
        <f>('Income Statement'!DD179-'Income Statement'!CZ179)*10000</f>
        <v>57.90931126390619</v>
      </c>
      <c r="DE208" s="1168">
        <f>('Income Statement'!DE179-'Income Statement'!DA179)*10000</f>
        <v>66.086577187061962</v>
      </c>
      <c r="DF208" s="1264">
        <f>('Income Statement'!DF179-'Income Statement'!DB179)*10000</f>
        <v>61.786271802446727</v>
      </c>
      <c r="DG208" s="1264">
        <f>('Income Statement'!DG179-'Income Statement'!DC179)*10000</f>
        <v>-2.4173352558823358</v>
      </c>
      <c r="DH208" s="1264">
        <f>('Income Statement'!DH179-'Income Statement'!DD179)*10000</f>
        <v>2.6757421460957276</v>
      </c>
      <c r="DI208" s="1168">
        <f>('Income Statement'!DI179-'Income Statement'!DE179)*10000</f>
        <v>-2.4377706724243442</v>
      </c>
      <c r="DJ208" s="2707">
        <f>('Income Statement'!DJ179-'Income Statement'!DF179)*10000</f>
        <v>-14.76238624873616</v>
      </c>
      <c r="DK208" s="1155">
        <f>('Income Statement'!DK179-'Income Statement'!DG179)*10000</f>
        <v>-9.6615087040619052</v>
      </c>
      <c r="DL208" s="1155">
        <f>('Income Statement'!DL179-'Income Statement'!DH179)*10000</f>
        <v>-8.4960546460957627</v>
      </c>
      <c r="DM208" s="1168">
        <f>('Income Statement'!DM179-'Income Statement'!DI179)*10000</f>
        <v>-0.63809251447777271</v>
      </c>
      <c r="DN208" s="1266"/>
      <c r="DO208" s="484"/>
      <c r="DP208" s="236"/>
      <c r="DQ208" s="236"/>
      <c r="DR208" s="236"/>
      <c r="DS208" s="236"/>
      <c r="DT208" s="236"/>
      <c r="DU208" s="236"/>
      <c r="DV208" s="236"/>
      <c r="DW208" s="236"/>
      <c r="DX208" s="181"/>
      <c r="DY208" s="181"/>
      <c r="DZ208" s="181"/>
      <c r="EA208" s="181"/>
      <c r="EB208" s="181"/>
      <c r="EC208" s="181"/>
      <c r="ED208" s="181"/>
      <c r="EE208" s="181"/>
      <c r="EF208" s="181"/>
      <c r="EG208" s="181"/>
      <c r="EH208" s="181"/>
      <c r="EI208" s="181"/>
      <c r="EJ208" s="417">
        <f>('Income Statement'!EJ179-'Income Statement'!EI179)*10000</f>
        <v>150.70043310093345</v>
      </c>
      <c r="EK208" s="417">
        <f>('Income Statement'!EK179-'Income Statement'!EJ179)*10000</f>
        <v>-46.996717566464838</v>
      </c>
      <c r="EL208" s="417">
        <f>('Income Statement'!EL179-'Income Statement'!EK179)*10000</f>
        <v>-36.162074195221216</v>
      </c>
      <c r="EM208" s="417">
        <f>('Income Statement'!EM179-'Income Statement'!EL179)*10000</f>
        <v>9.57725453352265</v>
      </c>
      <c r="EN208" s="417">
        <f>('Income Statement'!EN179-'Income Statement'!EM179)*10000</f>
        <v>-39.239384507121223</v>
      </c>
      <c r="EO208" s="417">
        <f>('Income Statement'!EO179-'Income Statement'!EN179)*10000</f>
        <v>102.23879307065225</v>
      </c>
      <c r="EP208" s="417">
        <f>('Income Statement'!EP179-'Income Statement'!EO179)*10000</f>
        <v>-74.031255032400438</v>
      </c>
      <c r="EQ208" s="417">
        <f>('Income Statement'!EQ179-'Income Statement'!EN179)*10000</f>
        <v>76.224027843427848</v>
      </c>
      <c r="ER208" s="417">
        <f>('Income Statement'!ER179-'Income Statement'!EQ179)*10000</f>
        <v>-53.401521279750618</v>
      </c>
      <c r="ES208" s="417">
        <f>('Income Statement'!ES179-'Income Statement'!ER179)*10000</f>
        <v>-54.868992348104662</v>
      </c>
      <c r="ET208" s="1264">
        <f>('Income Statement'!ET179-'Income Statement'!ES179)*10000</f>
        <v>0</v>
      </c>
      <c r="EU208" s="417">
        <f>('Income Statement'!EU179-'Income Statement'!ES179)*10000</f>
        <v>-151.06660309488541</v>
      </c>
      <c r="EV208" s="417">
        <f>('Income Statement'!EV179-'Income Statement'!EU179)*10000</f>
        <v>5.526258589370614</v>
      </c>
      <c r="EW208" s="417">
        <f>('Income Statement'!EW179-'Income Statement'!EV179)*10000</f>
        <v>67.792756620607406</v>
      </c>
      <c r="EX208" s="1264">
        <f>('Income Statement'!EX179-'Income Statement'!EW179)*10000</f>
        <v>27.039593083235669</v>
      </c>
      <c r="EY208" s="1264">
        <f>('Income Statement'!EY179-'Income Statement'!EX179)*10000</f>
        <v>8.8265177081336965</v>
      </c>
      <c r="EZ208" s="1775">
        <f>('Income Statement'!EZ179-'Income Statement'!EY179)*10000</f>
        <v>-6.3209316722584452</v>
      </c>
      <c r="FA208" s="417">
        <f>('Income Statement'!FA179-'Income Statement'!EZ179)*10000</f>
        <v>-5.3585986158796732</v>
      </c>
      <c r="FB208" s="417">
        <f>('Income Statement'!FB179-'Income Statement'!FA179)*10000</f>
        <v>2.9999999999999472</v>
      </c>
      <c r="FC208" s="417">
        <f>('Income Statement'!FC179-'Income Statement'!FB179)*10000</f>
        <v>-5.0000000000000044</v>
      </c>
      <c r="FD208" s="417">
        <f>('Income Statement'!FD179-'Income Statement'!FC179)*10000</f>
        <v>-5.0000000000000044</v>
      </c>
      <c r="FE208" s="417">
        <f>('Income Statement'!FE179-'Income Statement'!FD179)*10000</f>
        <v>-5.0000000000000044</v>
      </c>
      <c r="FF208" s="417">
        <f>('Income Statement'!FF179-'Income Statement'!FE179)*10000</f>
        <v>-5.0000000000000044</v>
      </c>
      <c r="FG208" s="417">
        <f>('Income Statement'!FG179-'Income Statement'!FF179)*10000</f>
        <v>-5.0000000000000044</v>
      </c>
      <c r="FH208" s="417">
        <f>('Income Statement'!FH179-'Income Statement'!FG179)*10000</f>
        <v>-5.0000000000000044</v>
      </c>
      <c r="FI208" s="671"/>
      <c r="FJ208"/>
      <c r="FK208"/>
      <c r="FL208"/>
      <c r="FM208"/>
      <c r="FN208"/>
      <c r="FO208"/>
      <c r="FQ208" s="4"/>
      <c r="FR208" s="4"/>
      <c r="FS208" s="1155"/>
      <c r="FT208" s="1155"/>
      <c r="FU208"/>
      <c r="FV208" s="1155"/>
      <c r="FW208" s="1155"/>
      <c r="FX208" s="1155"/>
      <c r="FY208"/>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row>
    <row r="209" spans="1:260" s="6" customFormat="1" ht="11.25" customHeight="1" x14ac:dyDescent="0.2">
      <c r="A209" s="282" t="s">
        <v>23</v>
      </c>
      <c r="B209" s="181"/>
      <c r="C209" s="181"/>
      <c r="D209" s="181"/>
      <c r="E209" s="476"/>
      <c r="F209" s="213" t="s">
        <v>483</v>
      </c>
      <c r="G209" s="213" t="s">
        <v>483</v>
      </c>
      <c r="H209" s="213" t="s">
        <v>483</v>
      </c>
      <c r="I209" s="490" t="s">
        <v>483</v>
      </c>
      <c r="J209" s="213" t="s">
        <v>483</v>
      </c>
      <c r="K209" s="213" t="s">
        <v>483</v>
      </c>
      <c r="L209" s="213" t="s">
        <v>483</v>
      </c>
      <c r="M209" s="490" t="s">
        <v>483</v>
      </c>
      <c r="N209" s="213" t="s">
        <v>483</v>
      </c>
      <c r="O209" s="213" t="s">
        <v>483</v>
      </c>
      <c r="P209" s="213" t="s">
        <v>483</v>
      </c>
      <c r="Q209" s="490" t="s">
        <v>483</v>
      </c>
      <c r="R209" s="213" t="s">
        <v>483</v>
      </c>
      <c r="S209" s="213" t="s">
        <v>483</v>
      </c>
      <c r="T209" s="213" t="s">
        <v>483</v>
      </c>
      <c r="U209" s="490" t="s">
        <v>483</v>
      </c>
      <c r="V209" s="213" t="s">
        <v>483</v>
      </c>
      <c r="W209" s="213" t="s">
        <v>483</v>
      </c>
      <c r="X209" s="213" t="s">
        <v>483</v>
      </c>
      <c r="Y209" s="490" t="s">
        <v>483</v>
      </c>
      <c r="Z209" s="213" t="s">
        <v>483</v>
      </c>
      <c r="AA209" s="213" t="s">
        <v>483</v>
      </c>
      <c r="AB209" s="213" t="s">
        <v>483</v>
      </c>
      <c r="AC209" s="490" t="s">
        <v>483</v>
      </c>
      <c r="AD209" s="213" t="s">
        <v>483</v>
      </c>
      <c r="AE209" s="213" t="s">
        <v>483</v>
      </c>
      <c r="AF209" s="213" t="s">
        <v>483</v>
      </c>
      <c r="AG209" s="490" t="s">
        <v>483</v>
      </c>
      <c r="AH209" s="213" t="s">
        <v>483</v>
      </c>
      <c r="AI209" s="213" t="s">
        <v>483</v>
      </c>
      <c r="AJ209" s="213" t="s">
        <v>483</v>
      </c>
      <c r="AK209" s="490" t="s">
        <v>483</v>
      </c>
      <c r="AL209" s="213" t="s">
        <v>483</v>
      </c>
      <c r="AM209" s="213" t="s">
        <v>483</v>
      </c>
      <c r="AN209" s="213" t="s">
        <v>483</v>
      </c>
      <c r="AO209" s="490" t="s">
        <v>483</v>
      </c>
      <c r="AP209" s="213" t="s">
        <v>483</v>
      </c>
      <c r="AQ209" s="213" t="s">
        <v>483</v>
      </c>
      <c r="AR209" s="213" t="s">
        <v>483</v>
      </c>
      <c r="AS209" s="490" t="s">
        <v>483</v>
      </c>
      <c r="AT209" s="213" t="s">
        <v>483</v>
      </c>
      <c r="AU209" s="213" t="s">
        <v>483</v>
      </c>
      <c r="AV209" s="213" t="s">
        <v>483</v>
      </c>
      <c r="AW209" s="490" t="s">
        <v>483</v>
      </c>
      <c r="AX209" s="213" t="s">
        <v>483</v>
      </c>
      <c r="AY209" s="213" t="s">
        <v>483</v>
      </c>
      <c r="AZ209" s="213" t="s">
        <v>483</v>
      </c>
      <c r="BA209" s="490" t="s">
        <v>483</v>
      </c>
      <c r="BB209" s="417">
        <f>('Income Statement'!BB183-'Income Statement'!AX183)*10000</f>
        <v>-9.9999999999997318</v>
      </c>
      <c r="BC209" s="417">
        <f>('Income Statement'!BC183-'Income Statement'!AY183)*10000</f>
        <v>-179.99999999999989</v>
      </c>
      <c r="BD209" s="417">
        <f>('Income Statement'!BD183-'Income Statement'!AZ183)*10000</f>
        <v>-60.000000000000057</v>
      </c>
      <c r="BE209" s="520">
        <f>('Income Statement'!BE183-'Income Statement'!BA183)*10000</f>
        <v>-200.00000000000017</v>
      </c>
      <c r="BF209" s="417">
        <f>('Income Statement'!BF183-'Income Statement'!BB183)*10000</f>
        <v>-350.00000000000006</v>
      </c>
      <c r="BG209" s="417">
        <f>('Income Statement'!BG183-'Income Statement'!BC183)*10000</f>
        <v>-90.000000000000085</v>
      </c>
      <c r="BH209" s="417">
        <f>('Income Statement'!BH183-'Income Statement'!BD183)*10000</f>
        <v>-40.000000000000036</v>
      </c>
      <c r="BI209" s="520">
        <f>('Income Statement'!BI183-'Income Statement'!BE183)*10000</f>
        <v>-10.000000000000009</v>
      </c>
      <c r="BJ209" s="417">
        <f>('Income Statement'!BJ183-'Income Statement'!BF183)*10000</f>
        <v>40.000000000000036</v>
      </c>
      <c r="BK209" s="417">
        <f>('Income Statement'!BK183-'Income Statement'!BG183)*10000</f>
        <v>10.000000000000009</v>
      </c>
      <c r="BL209" s="417">
        <f>('Income Statement'!BL183-'Income Statement'!BH183)*10000</f>
        <v>550.00000000000023</v>
      </c>
      <c r="BM209" s="520">
        <f>('Income Statement'!BM183-'Income Statement'!BI183)*10000</f>
        <v>380.00000000000006</v>
      </c>
      <c r="BN209" s="417">
        <f>('Income Statement'!BN183-'Income Statement'!BJ183)*10000</f>
        <v>570</v>
      </c>
      <c r="BO209" s="417">
        <f>('Income Statement'!BO183-'Income Statement'!BK183)*10000</f>
        <v>320</v>
      </c>
      <c r="BP209" s="417">
        <f>('Income Statement'!BP183-'Income Statement'!BL183)*10000</f>
        <v>-70.000000000000057</v>
      </c>
      <c r="BQ209" s="520">
        <f>('Income Statement'!BQ183-'Income Statement'!BM183)*10000</f>
        <v>70.000000000000057</v>
      </c>
      <c r="BR209" s="207"/>
      <c r="BS209" s="207"/>
      <c r="BT209" s="207"/>
      <c r="BU209" s="502"/>
      <c r="BV209" s="207"/>
      <c r="BW209" s="207"/>
      <c r="BX209" s="207"/>
      <c r="BY209" s="502"/>
      <c r="BZ209" s="417">
        <f>('Income Statement'!BZ183-'Income Statement'!BN183)*10000</f>
        <v>25.40021344717147</v>
      </c>
      <c r="CA209" s="417">
        <f>('Income Statement'!CA183-'Income Statement'!BO183)*10000</f>
        <v>152.13470739786516</v>
      </c>
      <c r="CB209" s="417">
        <f>('Income Statement'!CB183-'Income Statement'!BP183)*10000</f>
        <v>49.549786395005071</v>
      </c>
      <c r="CC209" s="520">
        <f>('Income Statement'!CC183-'Income Statement'!BQ183)*10000</f>
        <v>-92.618697993147308</v>
      </c>
      <c r="CD209" s="417">
        <f>('Income Statement'!CD183-'Income Statement'!BZ183)*10000</f>
        <v>-25.46739517374219</v>
      </c>
      <c r="CE209" s="417">
        <f>('Income Statement'!CE183-'Income Statement'!CA183)*10000</f>
        <v>-45.691497950140494</v>
      </c>
      <c r="CF209" s="417">
        <f>('Income Statement'!CF183-'Income Statement'!CB183)*10000</f>
        <v>64.171896452891446</v>
      </c>
      <c r="CG209" s="520">
        <f>('Income Statement'!CG183-'Income Statement'!CC183)*10000</f>
        <v>106.43474495987931</v>
      </c>
      <c r="CH209" s="417">
        <f>('Income Statement'!CH183-'Income Statement'!CD183)*10000</f>
        <v>-182.42923147285538</v>
      </c>
      <c r="CI209" s="417">
        <f>('Income Statement'!CI183-'Income Statement'!CE183)*10000</f>
        <v>-122.04087708620858</v>
      </c>
      <c r="CJ209" s="417">
        <f>('Income Statement'!CJ183-'Income Statement'!CF183)*10000</f>
        <v>-280.34505947127309</v>
      </c>
      <c r="CK209" s="520">
        <f>('Income Statement'!CK183-'Income Statement'!CG183)*10000</f>
        <v>-217.83911834380498</v>
      </c>
      <c r="CL209" s="1264">
        <f>('Income Statement'!CL183-'Income Statement'!CH183)*10000</f>
        <v>-154.4474939572471</v>
      </c>
      <c r="CM209" s="1264">
        <f>('Income Statement'!CM183-'Income Statement'!CI183)*10000</f>
        <v>-58.100249028182617</v>
      </c>
      <c r="CN209" s="1264">
        <f>('Income Statement'!CN183-'Income Statement'!CJ183)*10000</f>
        <v>-189.53587396210364</v>
      </c>
      <c r="CO209" s="1168">
        <f>('Income Statement'!CO183-'Income Statement'!CK183)*10000</f>
        <v>-108.66635410169468</v>
      </c>
      <c r="CP209" s="1264">
        <f>('Income Statement'!CP183-'Income Statement'!CL183)*10000</f>
        <v>242.03555685117394</v>
      </c>
      <c r="CQ209" s="1264">
        <f>('Income Statement'!CQ183-'Income Statement'!CM183)*10000</f>
        <v>209.72502824122358</v>
      </c>
      <c r="CR209" s="1264">
        <f>('Income Statement'!CR183-'Income Statement'!CN183)*10000</f>
        <v>127.31032972217088</v>
      </c>
      <c r="CS209" s="1168">
        <f>('Income Statement'!CS183-'Income Statement'!CO183)*10000</f>
        <v>-61.705478979831028</v>
      </c>
      <c r="CT209" s="1264">
        <f>('Income Statement'!CT183-'Income Statement'!CP183)*10000</f>
        <v>-127.46927207212322</v>
      </c>
      <c r="CU209" s="1264">
        <f>('Income Statement'!CU183-'Income Statement'!CQ183)*10000</f>
        <v>-297.69759212375595</v>
      </c>
      <c r="CV209" s="1264">
        <f>('Income Statement'!CV183-'Income Statement'!CR183)*10000</f>
        <v>-51.535694521306077</v>
      </c>
      <c r="CW209" s="1168">
        <f>('Income Statement'!CW183-'Income Statement'!CS183)*10000</f>
        <v>3.7070737707678436</v>
      </c>
      <c r="CX209" s="1155">
        <f>('Income Statement'!CX183-'Income Statement'!CT183)*10000</f>
        <v>-102.17327582597052</v>
      </c>
      <c r="CY209" s="1155">
        <f>('Income Statement'!CY183-'Income Statement'!CU183)*10000</f>
        <v>3.9781728568913377</v>
      </c>
      <c r="CZ209" s="1264">
        <f>('Income Statement'!CZ183-'Income Statement'!CV183)*10000</f>
        <v>-23.675741268333883</v>
      </c>
      <c r="DA209" s="1168">
        <f>('Income Statement'!DA183-'Income Statement'!CW183)*10000</f>
        <v>17.06775900324309</v>
      </c>
      <c r="DB209" s="1264">
        <f>('Income Statement'!DB183-'Income Statement'!CX183)*10000</f>
        <v>314.12744543486332</v>
      </c>
      <c r="DC209" s="1264">
        <f>('Income Statement'!DC183-'Income Statement'!CY183)*10000</f>
        <v>300.86000955566186</v>
      </c>
      <c r="DD209" s="1155">
        <f>('Income Statement'!DD183-'Income Statement'!CZ183)*10000</f>
        <v>194.33924111510069</v>
      </c>
      <c r="DE209" s="1168">
        <f>('Income Statement'!DE183-'Income Statement'!DA183)*10000</f>
        <v>269.91377797829398</v>
      </c>
      <c r="DF209" s="1264">
        <f>('Income Statement'!DF183-'Income Statement'!DB183)*10000</f>
        <v>-138.27784593256897</v>
      </c>
      <c r="DG209" s="1264">
        <f>('Income Statement'!DG183-'Income Statement'!DC183)*10000</f>
        <v>-78.197641983114849</v>
      </c>
      <c r="DH209" s="1264">
        <f>('Income Statement'!DH183-'Income Statement'!DD183)*10000</f>
        <v>-210.73726805684396</v>
      </c>
      <c r="DI209" s="1168">
        <f>('Income Statement'!DI183-'Income Statement'!DE183)*10000</f>
        <v>-217.92161327045034</v>
      </c>
      <c r="DJ209" s="2707">
        <f>('Income Statement'!DJ183-'Income Statement'!DF183)*10000</f>
        <v>-131.2987012987013</v>
      </c>
      <c r="DK209" s="1155">
        <f>('Income Statement'!DK183-'Income Statement'!DG183)*10000</f>
        <v>-64.970059880239404</v>
      </c>
      <c r="DL209" s="1155">
        <f>('Income Statement'!DL183-'Income Statement'!DH183)*10000</f>
        <v>-9.5416164053074848</v>
      </c>
      <c r="DM209" s="1168">
        <f>('Income Statement'!DM183-'Income Statement'!DI183)*10000</f>
        <v>51.627906976744185</v>
      </c>
      <c r="DN209" s="1266"/>
      <c r="DO209" s="484"/>
      <c r="DP209" s="236"/>
      <c r="DQ209" s="236"/>
      <c r="DR209" s="236"/>
      <c r="DS209" s="236"/>
      <c r="DT209" s="236"/>
      <c r="DU209" s="236"/>
      <c r="DV209" s="236"/>
      <c r="DW209" s="236"/>
      <c r="DX209" s="181"/>
      <c r="DY209" s="181"/>
      <c r="DZ209" s="181"/>
      <c r="EA209" s="181"/>
      <c r="EB209" s="181"/>
      <c r="EC209" s="181"/>
      <c r="ED209" s="181"/>
      <c r="EE209" s="181"/>
      <c r="EF209" s="181"/>
      <c r="EG209" s="181"/>
      <c r="EH209" s="181"/>
      <c r="EI209" s="181"/>
      <c r="EJ209" s="417">
        <f>('Income Statement'!EJ183-'Income Statement'!EI183)*10000</f>
        <v>723.93876884503914</v>
      </c>
      <c r="EK209" s="417">
        <f>('Income Statement'!EK183-'Income Statement'!EJ183)*10000</f>
        <v>-217.13756991907695</v>
      </c>
      <c r="EL209" s="417">
        <f>('Income Statement'!EL183-'Income Statement'!EK183)*10000</f>
        <v>-145.17322141855138</v>
      </c>
      <c r="EM209" s="417">
        <f>('Income Statement'!EM183-'Income Statement'!EL183)*10000</f>
        <v>531.5397757007712</v>
      </c>
      <c r="EN209" s="417">
        <f>('Income Statement'!EN183-'Income Statement'!EM183)*10000</f>
        <v>248.15570761170414</v>
      </c>
      <c r="EO209" s="417">
        <f>('Income Statement'!EO183-'Income Statement'!EN183)*10000</f>
        <v>-36.925433833714941</v>
      </c>
      <c r="EP209" s="417">
        <f>('Income Statement'!EP183-'Income Statement'!EO183)*10000</f>
        <v>-774.86206410914087</v>
      </c>
      <c r="EQ209" s="417">
        <f>('Income Statement'!EQ183-'Income Statement'!EN183)*10000</f>
        <v>39.279255648704826</v>
      </c>
      <c r="ER209" s="417">
        <f>('Income Statement'!ER183-'Income Statement'!EQ183)*10000</f>
        <v>62.150906719815048</v>
      </c>
      <c r="ES209" s="417">
        <f>('Income Statement'!ES183-'Income Statement'!ER183)*10000</f>
        <v>-1108.8187605876074</v>
      </c>
      <c r="ET209" s="1264">
        <f>('Income Statement'!ET183-'Income Statement'!ES183)*10000</f>
        <v>-127.43910047769175</v>
      </c>
      <c r="EU209" s="417">
        <f>('Income Statement'!EU183-'Income Statement'!ES183)*10000</f>
        <v>-30.37837724515019</v>
      </c>
      <c r="EV209" s="417">
        <f>('Income Statement'!EV183-'Income Statement'!EU183)*10000</f>
        <v>-96.320257531185277</v>
      </c>
      <c r="EW209" s="417">
        <f>('Income Statement'!EW183-'Income Statement'!EV183)*10000</f>
        <v>-18.854944232936099</v>
      </c>
      <c r="EX209" s="1264">
        <f>('Income Statement'!EX183-'Income Statement'!EW183)*10000</f>
        <v>265.58068154317965</v>
      </c>
      <c r="EY209" s="1264">
        <f>('Income Statement'!EY183-'Income Statement'!EX183)*10000</f>
        <v>-179.51369915591624</v>
      </c>
      <c r="EZ209" s="1775">
        <f>('Income Statement'!EZ183-'Income Statement'!EY183)*10000</f>
        <v>-17.824073562957842</v>
      </c>
      <c r="FA209" s="417">
        <f>('Income Statement'!FA183-'Income Statement'!EZ183)*10000</f>
        <v>-6.6241924158325087</v>
      </c>
      <c r="FB209" s="417">
        <f>('Income Statement'!FB183-'Income Statement'!FA183)*10000</f>
        <v>0</v>
      </c>
      <c r="FC209" s="417">
        <f>('Income Statement'!FC183-'Income Statement'!FB183)*10000</f>
        <v>0</v>
      </c>
      <c r="FD209" s="417">
        <f>('Income Statement'!FD183-'Income Statement'!FC183)*10000</f>
        <v>0</v>
      </c>
      <c r="FE209" s="417">
        <f>('Income Statement'!FE183-'Income Statement'!FD183)*10000</f>
        <v>0</v>
      </c>
      <c r="FF209" s="417">
        <f>('Income Statement'!FF183-'Income Statement'!FE183)*10000</f>
        <v>0</v>
      </c>
      <c r="FG209" s="417">
        <f>('Income Statement'!FG183-'Income Statement'!FF183)*10000</f>
        <v>0</v>
      </c>
      <c r="FH209" s="417">
        <f>('Income Statement'!FH183-'Income Statement'!FG183)*10000</f>
        <v>0</v>
      </c>
      <c r="FI209" s="671"/>
      <c r="FJ209"/>
      <c r="FK209"/>
      <c r="FL209"/>
      <c r="FM209"/>
      <c r="FN209"/>
      <c r="FO209"/>
      <c r="FQ209" s="4"/>
      <c r="FR209" s="4"/>
      <c r="FS209" s="1155"/>
      <c r="FT209" s="1155"/>
      <c r="FU209"/>
      <c r="FV209" s="1155"/>
      <c r="FW209" s="1155"/>
      <c r="FX209" s="1155"/>
      <c r="FY209"/>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row>
    <row r="210" spans="1:260" s="4" customFormat="1" x14ac:dyDescent="0.2">
      <c r="A210" s="282" t="s">
        <v>581</v>
      </c>
      <c r="B210" s="1267"/>
      <c r="C210" s="1267"/>
      <c r="D210" s="1267"/>
      <c r="E210" s="1268"/>
      <c r="F210" s="213" t="s">
        <v>483</v>
      </c>
      <c r="G210" s="213" t="s">
        <v>483</v>
      </c>
      <c r="H210" s="213" t="s">
        <v>483</v>
      </c>
      <c r="I210" s="490" t="s">
        <v>483</v>
      </c>
      <c r="J210" s="213" t="s">
        <v>483</v>
      </c>
      <c r="K210" s="213" t="s">
        <v>483</v>
      </c>
      <c r="L210" s="213" t="s">
        <v>483</v>
      </c>
      <c r="M210" s="490" t="s">
        <v>483</v>
      </c>
      <c r="N210" s="213" t="s">
        <v>483</v>
      </c>
      <c r="O210" s="213" t="s">
        <v>483</v>
      </c>
      <c r="P210" s="213" t="s">
        <v>483</v>
      </c>
      <c r="Q210" s="490" t="s">
        <v>483</v>
      </c>
      <c r="R210" s="213" t="s">
        <v>483</v>
      </c>
      <c r="S210" s="213" t="s">
        <v>483</v>
      </c>
      <c r="T210" s="213" t="s">
        <v>483</v>
      </c>
      <c r="U210" s="490" t="s">
        <v>483</v>
      </c>
      <c r="V210" s="213" t="s">
        <v>483</v>
      </c>
      <c r="W210" s="213" t="s">
        <v>483</v>
      </c>
      <c r="X210" s="213" t="s">
        <v>483</v>
      </c>
      <c r="Y210" s="490" t="s">
        <v>483</v>
      </c>
      <c r="Z210" s="213" t="s">
        <v>483</v>
      </c>
      <c r="AA210" s="213" t="s">
        <v>483</v>
      </c>
      <c r="AB210" s="213" t="s">
        <v>483</v>
      </c>
      <c r="AC210" s="490" t="s">
        <v>483</v>
      </c>
      <c r="AD210" s="213" t="s">
        <v>483</v>
      </c>
      <c r="AE210" s="213" t="s">
        <v>483</v>
      </c>
      <c r="AF210" s="213" t="s">
        <v>483</v>
      </c>
      <c r="AG210" s="490" t="s">
        <v>483</v>
      </c>
      <c r="AH210" s="213" t="s">
        <v>483</v>
      </c>
      <c r="AI210" s="213" t="s">
        <v>483</v>
      </c>
      <c r="AJ210" s="213" t="s">
        <v>483</v>
      </c>
      <c r="AK210" s="490" t="s">
        <v>483</v>
      </c>
      <c r="AL210" s="213" t="s">
        <v>483</v>
      </c>
      <c r="AM210" s="213" t="s">
        <v>483</v>
      </c>
      <c r="AN210" s="213" t="s">
        <v>483</v>
      </c>
      <c r="AO210" s="490" t="s">
        <v>483</v>
      </c>
      <c r="AP210" s="213" t="s">
        <v>483</v>
      </c>
      <c r="AQ210" s="213" t="s">
        <v>483</v>
      </c>
      <c r="AR210" s="213" t="s">
        <v>483</v>
      </c>
      <c r="AS210" s="490" t="s">
        <v>483</v>
      </c>
      <c r="AT210" s="213" t="s">
        <v>483</v>
      </c>
      <c r="AU210" s="213" t="s">
        <v>483</v>
      </c>
      <c r="AV210" s="213" t="s">
        <v>483</v>
      </c>
      <c r="AW210" s="490" t="s">
        <v>483</v>
      </c>
      <c r="AX210" s="213" t="s">
        <v>483</v>
      </c>
      <c r="AY210" s="213" t="s">
        <v>483</v>
      </c>
      <c r="AZ210" s="213" t="s">
        <v>483</v>
      </c>
      <c r="BA210" s="490" t="s">
        <v>483</v>
      </c>
      <c r="BB210" s="417">
        <f>('Income Statement'!BB187-'Income Statement'!AX187)*10000</f>
        <v>-10.299902088451995</v>
      </c>
      <c r="BC210" s="417">
        <f>('Income Statement'!BC187-'Income Statement'!AY187)*10000</f>
        <v>-51.325175046539883</v>
      </c>
      <c r="BD210" s="417">
        <f>('Income Statement'!BD187-'Income Statement'!AZ187)*10000</f>
        <v>-83.089867803345925</v>
      </c>
      <c r="BE210" s="520">
        <f>('Income Statement'!BE187-'Income Statement'!BA187)*10000</f>
        <v>-87.311583414792509</v>
      </c>
      <c r="BF210" s="417">
        <f>('Income Statement'!BF187-'Income Statement'!BB187)*10000</f>
        <v>-149.5045871679379</v>
      </c>
      <c r="BG210" s="417">
        <f>('Income Statement'!BG187-'Income Statement'!BC187)*10000</f>
        <v>-57.07265928862698</v>
      </c>
      <c r="BH210" s="417">
        <f>('Income Statement'!BH187-'Income Statement'!BD187)*10000</f>
        <v>-0.58951537105167429</v>
      </c>
      <c r="BI210" s="520">
        <f>('Income Statement'!BI187-'Income Statement'!BE187)*10000</f>
        <v>-40.253576547586157</v>
      </c>
      <c r="BJ210" s="417">
        <f>('Income Statement'!BJ187-'Income Statement'!BF187)*10000</f>
        <v>-14.14309916138251</v>
      </c>
      <c r="BK210" s="417">
        <f>('Income Statement'!BK187-'Income Statement'!BG187)*10000</f>
        <v>-15.227484075968912</v>
      </c>
      <c r="BL210" s="417">
        <f>('Income Statement'!BL187-'Income Statement'!BH187)*10000</f>
        <v>133.87765826997855</v>
      </c>
      <c r="BM210" s="520">
        <f>('Income Statement'!BM187-'Income Statement'!BI187)*10000</f>
        <v>92.148253051152764</v>
      </c>
      <c r="BN210" s="417">
        <f>('Income Statement'!BN187-'Income Statement'!BJ187)*10000</f>
        <v>160.30083505915144</v>
      </c>
      <c r="BO210" s="417">
        <f>('Income Statement'!BO187-'Income Statement'!BK187)*10000</f>
        <v>5.7857960235024875</v>
      </c>
      <c r="BP210" s="417">
        <f>('Income Statement'!BP187-'Income Statement'!BL187)*10000</f>
        <v>-41.052966530706613</v>
      </c>
      <c r="BQ210" s="520">
        <f>('Income Statement'!BQ187-'Income Statement'!BM187)*10000</f>
        <v>-58.022896266637922</v>
      </c>
      <c r="BR210" s="77"/>
      <c r="BS210" s="77"/>
      <c r="BT210" s="77"/>
      <c r="BU210" s="487"/>
      <c r="BV210" s="77"/>
      <c r="BW210" s="77"/>
      <c r="BX210" s="77"/>
      <c r="BY210" s="487"/>
      <c r="BZ210" s="417">
        <f>('Income Statement'!BZ187-'Income Statement'!BN187)*10000</f>
        <v>-11.2978112278872</v>
      </c>
      <c r="CA210" s="417">
        <f>('Income Statement'!CA187-'Income Statement'!BO187)*10000</f>
        <v>157.05517967916694</v>
      </c>
      <c r="CB210" s="417">
        <f>('Income Statement'!CB187-'Income Statement'!BP187)*10000</f>
        <v>171.38551722102963</v>
      </c>
      <c r="CC210" s="520">
        <f>('Income Statement'!CC187-'Income Statement'!BQ187)*10000</f>
        <v>-25.511908205034516</v>
      </c>
      <c r="CD210" s="417">
        <f>('Income Statement'!CD187-'Income Statement'!BZ187)*10000</f>
        <v>47.628019486478657</v>
      </c>
      <c r="CE210" s="417">
        <f>('Income Statement'!CE187-'Income Statement'!CA187)*10000</f>
        <v>-47.969739652808371</v>
      </c>
      <c r="CF210" s="417">
        <f>('Income Statement'!CF187-'Income Statement'!CB187)*10000</f>
        <v>-58.26630924845977</v>
      </c>
      <c r="CG210" s="520">
        <f>('Income Statement'!CG187-'Income Statement'!CC187)*10000</f>
        <v>-53.877756770961959</v>
      </c>
      <c r="CH210" s="417">
        <f>('Income Statement'!CH187-'Income Statement'!CD187)*10000</f>
        <v>-65.391336839399344</v>
      </c>
      <c r="CI210" s="417">
        <f>('Income Statement'!CI187-'Income Statement'!CE187)*10000</f>
        <v>-113.19214081838392</v>
      </c>
      <c r="CJ210" s="417">
        <f>('Income Statement'!CJ187-'Income Statement'!CF187)*10000</f>
        <v>-154.98207079585546</v>
      </c>
      <c r="CK210" s="520">
        <f>('Income Statement'!CK187-'Income Statement'!CG187)*10000</f>
        <v>-60.016027692054443</v>
      </c>
      <c r="CL210" s="1264">
        <f>('Income Statement'!CL187-'Income Statement'!CH187)*10000</f>
        <v>-12.793350656183089</v>
      </c>
      <c r="CM210" s="1264">
        <f>('Income Statement'!CM187-'Income Statement'!CI187)*10000</f>
        <v>-9.9929508523247108</v>
      </c>
      <c r="CN210" s="1264">
        <f>('Income Statement'!CN187-'Income Statement'!CJ187)*10000</f>
        <v>-29.896932797071617</v>
      </c>
      <c r="CO210" s="1168">
        <f>('Income Statement'!CO187-'Income Statement'!CK187)*10000</f>
        <v>-26.021032848770055</v>
      </c>
      <c r="CP210" s="1264">
        <f>('Income Statement'!CP187-'Income Statement'!CL187)*10000</f>
        <v>-133.33172227871725</v>
      </c>
      <c r="CQ210" s="1264">
        <f>('Income Statement'!CQ187-'Income Statement'!CM187)*10000</f>
        <v>-6.3289210248296257</v>
      </c>
      <c r="CR210" s="1264">
        <f>('Income Statement'!CR187-'Income Statement'!CN187)*10000</f>
        <v>-29.652500063189756</v>
      </c>
      <c r="CS210" s="1168">
        <f>('Income Statement'!CS187-'Income Statement'!CO187)*10000</f>
        <v>-220.7596215197008</v>
      </c>
      <c r="CT210" s="1264">
        <f>('Income Statement'!CT187-'Income Statement'!CP187)*10000</f>
        <v>-80.866997457972602</v>
      </c>
      <c r="CU210" s="1264">
        <f>('Income Statement'!CU187-'Income Statement'!CQ187)*10000</f>
        <v>-76.363302853919848</v>
      </c>
      <c r="CV210" s="1264">
        <f>('Income Statement'!CV187-'Income Statement'!CR187)*10000</f>
        <v>-46.866582049619744</v>
      </c>
      <c r="CW210" s="1168">
        <f>('Income Statement'!CW187-'Income Statement'!CS187)*10000</f>
        <v>113.23685911705932</v>
      </c>
      <c r="CX210" s="1155">
        <f>('Income Statement'!CX187-'Income Statement'!CT187)*10000</f>
        <v>13.370833814740358</v>
      </c>
      <c r="CY210" s="1155">
        <f>('Income Statement'!CY187-'Income Statement'!CU187)*10000</f>
        <v>106.54956464766468</v>
      </c>
      <c r="CZ210" s="1264">
        <f>('Income Statement'!CZ187-'Income Statement'!CV187)*10000</f>
        <v>95.201187628249642</v>
      </c>
      <c r="DA210" s="1168">
        <f>('Income Statement'!DA187-'Income Statement'!CW187)*10000</f>
        <v>34.351228188892748</v>
      </c>
      <c r="DB210" s="1264">
        <f>('Income Statement'!DB187-'Income Statement'!CX187)*10000</f>
        <v>33.563815495395446</v>
      </c>
      <c r="DC210" s="1264">
        <f>('Income Statement'!DC187-'Income Statement'!CY187)*10000</f>
        <v>-28.386785087099188</v>
      </c>
      <c r="DD210" s="1155">
        <f>('Income Statement'!DD187-'Income Statement'!CZ187)*10000</f>
        <v>69.132965430918631</v>
      </c>
      <c r="DE210" s="1168">
        <f>('Income Statement'!DE187-'Income Statement'!DA187)*10000</f>
        <v>83.453658194287129</v>
      </c>
      <c r="DF210" s="1264">
        <f>('Income Statement'!DF187-'Income Statement'!DB187)*10000</f>
        <v>47.194585298744315</v>
      </c>
      <c r="DG210" s="1264">
        <f>('Income Statement'!DG187-'Income Statement'!DC187)*10000</f>
        <v>-8.2232396347278751</v>
      </c>
      <c r="DH210" s="1264">
        <f>('Income Statement'!DH187-'Income Statement'!DD187)*10000</f>
        <v>-16.476464421344428</v>
      </c>
      <c r="DI210" s="1168">
        <f>('Income Statement'!DI187-'Income Statement'!DE187)*10000</f>
        <v>-20.662408521088249</v>
      </c>
      <c r="DJ210" s="2707">
        <f>('Income Statement'!DJ187-'Income Statement'!DF187)*10000</f>
        <v>-23.17293906098805</v>
      </c>
      <c r="DK210" s="1155">
        <f>('Income Statement'!DK187-'Income Statement'!DG187)*10000</f>
        <v>-13.809969372327869</v>
      </c>
      <c r="DL210" s="1155">
        <f>('Income Statement'!DL187-'Income Statement'!DH187)*10000</f>
        <v>-8.6251354464855758</v>
      </c>
      <c r="DM210" s="1168">
        <f>('Income Statement'!DM187-'Income Statement'!DI187)*10000</f>
        <v>4.2460106091674055</v>
      </c>
      <c r="DN210" s="1266"/>
      <c r="DO210" s="1168"/>
      <c r="DP210" s="226"/>
      <c r="DQ210" s="226"/>
      <c r="DR210" s="226"/>
      <c r="DS210" s="226"/>
      <c r="DT210" s="226"/>
      <c r="DU210" s="227"/>
      <c r="DV210" s="227"/>
      <c r="DW210" s="227"/>
      <c r="DX210" s="227"/>
      <c r="DY210" s="228"/>
      <c r="DZ210" s="228"/>
      <c r="EA210" s="228"/>
      <c r="EB210" s="228"/>
      <c r="EC210" s="228"/>
      <c r="ED210" s="228"/>
      <c r="EE210" s="228"/>
      <c r="EF210" s="228"/>
      <c r="EG210" s="228"/>
      <c r="EH210" s="228"/>
      <c r="EI210" s="77"/>
      <c r="EJ210" s="417">
        <f>('Income Statement'!EJ187-'Income Statement'!EI187)*10000</f>
        <v>137.23012860771377</v>
      </c>
      <c r="EK210" s="417">
        <f>('Income Statement'!EK187-'Income Statement'!EJ187)*10000</f>
        <v>-64.231151821215747</v>
      </c>
      <c r="EL210" s="417">
        <f>('Income Statement'!EL187-'Income Statement'!EK187)*10000</f>
        <v>-55.178678838395669</v>
      </c>
      <c r="EM210" s="417">
        <f>('Income Statement'!EM187-'Income Statement'!EL187)*10000</f>
        <v>58.057053715273312</v>
      </c>
      <c r="EN210" s="417">
        <f>('Income Statement'!EN187-'Income Statement'!EM187)*10000</f>
        <v>3.7898852003920291</v>
      </c>
      <c r="EO210" s="417">
        <f>('Income Statement'!EO187-'Income Statement'!EN187)*10000</f>
        <v>71.523873463970318</v>
      </c>
      <c r="EP210" s="417">
        <f>('Income Statement'!EP187-'Income Statement'!EO187)*10000</f>
        <v>-36.924955433909055</v>
      </c>
      <c r="EQ210" s="417">
        <f>('Income Statement'!EQ187-'Income Statement'!EN187)*10000</f>
        <v>62.943952107736564</v>
      </c>
      <c r="ER210" s="417">
        <f>('Income Statement'!ER187-'Income Statement'!EQ187)*10000</f>
        <v>-30.15285071147289</v>
      </c>
      <c r="ES210" s="417">
        <f>('Income Statement'!ES187-'Income Statement'!ER187)*10000</f>
        <v>-93.881583031661663</v>
      </c>
      <c r="ET210" s="1264">
        <f>('Income Statement'!ET187-'Income Statement'!ES187)*10000</f>
        <v>-20.576800848353116</v>
      </c>
      <c r="EU210" s="417">
        <f>('Income Statement'!EU187-'Income Statement'!ES187)*10000</f>
        <v>-136.4944491552983</v>
      </c>
      <c r="EV210" s="417">
        <f>('Income Statement'!EV187-'Income Statement'!EU187)*10000</f>
        <v>-6.6478040579934223</v>
      </c>
      <c r="EW210" s="417">
        <f>('Income Statement'!EW187-'Income Statement'!EV187)*10000</f>
        <v>60.434739284222218</v>
      </c>
      <c r="EX210" s="1264">
        <f>('Income Statement'!EX187-'Income Statement'!EW187)*10000</f>
        <v>46.136009613590154</v>
      </c>
      <c r="EY210" s="1264">
        <f>('Income Statement'!EY187-'Income Statement'!EX187)*10000</f>
        <v>-6.3085931323972328</v>
      </c>
      <c r="EZ210" s="1775">
        <f>('Income Statement'!EZ187-'Income Statement'!EY187)*10000</f>
        <v>-7.3042595410069406</v>
      </c>
      <c r="FA210" s="417">
        <f>('Income Statement'!FA187-'Income Statement'!EZ187)*10000</f>
        <v>-5.463855601836876</v>
      </c>
      <c r="FB210" s="417">
        <f>('Income Statement'!FB187-'Income Statement'!FA187)*10000</f>
        <v>2.7462416619036811</v>
      </c>
      <c r="FC210" s="417">
        <f>('Income Statement'!FC187-'Income Statement'!FB187)*10000</f>
        <v>-4.5635308155619896</v>
      </c>
      <c r="FD210" s="417">
        <f>('Income Statement'!FD187-'Income Statement'!FC187)*10000</f>
        <v>-4.5607857179438831</v>
      </c>
      <c r="FE210" s="417">
        <f>('Income Statement'!FE187-'Income Statement'!FD187)*10000</f>
        <v>-4.569252332549123</v>
      </c>
      <c r="FF210" s="417">
        <f>('Income Statement'!FF187-'Income Statement'!FE187)*10000</f>
        <v>-4.5779928825909195</v>
      </c>
      <c r="FG210" s="417">
        <f>('Income Statement'!FG187-'Income Statement'!FF187)*10000</f>
        <v>-4.587006235545199</v>
      </c>
      <c r="FH210" s="417">
        <f>('Income Statement'!FH187-'Income Statement'!FG187)*10000</f>
        <v>-4.5962902140328499</v>
      </c>
      <c r="FI210" s="413"/>
      <c r="FJ210"/>
      <c r="FK210"/>
      <c r="FL210"/>
      <c r="FM210"/>
      <c r="FN210"/>
      <c r="FO210"/>
      <c r="FS210" s="1155"/>
      <c r="FT210" s="1155"/>
      <c r="FU210"/>
      <c r="FV210" s="1155"/>
      <c r="FW210" s="1155"/>
      <c r="FX210" s="1155"/>
      <c r="FY210"/>
      <c r="FZ210"/>
      <c r="GA210"/>
      <c r="GB210"/>
      <c r="GC210"/>
      <c r="GD210"/>
      <c r="GE210"/>
      <c r="GF210"/>
      <c r="GG210"/>
      <c r="GH210"/>
      <c r="GI210"/>
      <c r="GJ210"/>
      <c r="GK210"/>
      <c r="GL210"/>
      <c r="GM210"/>
      <c r="GN210"/>
      <c r="GO210"/>
      <c r="GP210"/>
      <c r="GQ210"/>
      <c r="GR210"/>
      <c r="GS210"/>
      <c r="GT210"/>
      <c r="GU210"/>
      <c r="GV210"/>
      <c r="GW210"/>
      <c r="GX210"/>
      <c r="GY210"/>
      <c r="GZ210"/>
      <c r="HA210"/>
      <c r="HB210"/>
      <c r="HC210"/>
      <c r="HD210"/>
      <c r="HE210"/>
      <c r="HF210"/>
      <c r="HG210"/>
      <c r="HH210"/>
      <c r="HI210"/>
      <c r="HJ210"/>
      <c r="HK210"/>
      <c r="HL210"/>
      <c r="HM210"/>
      <c r="HN210"/>
      <c r="HO210"/>
      <c r="HP210"/>
      <c r="HQ210"/>
      <c r="HR210"/>
      <c r="HS210"/>
      <c r="HT210"/>
      <c r="HU210"/>
      <c r="HV210"/>
      <c r="HW210"/>
      <c r="HX210"/>
      <c r="HY210"/>
      <c r="HZ210"/>
      <c r="IA210"/>
      <c r="IB210"/>
      <c r="IC210"/>
      <c r="ID210"/>
      <c r="IE210"/>
      <c r="IF210"/>
      <c r="IG210"/>
      <c r="IH210"/>
      <c r="II210"/>
      <c r="IJ210"/>
      <c r="IK210"/>
      <c r="IL210"/>
      <c r="IM210"/>
      <c r="IN210"/>
      <c r="IO210"/>
      <c r="IP210"/>
      <c r="IQ210"/>
      <c r="IR210"/>
      <c r="IS210"/>
      <c r="IT210"/>
      <c r="IU210"/>
      <c r="IV210"/>
      <c r="IW210"/>
      <c r="IX210"/>
      <c r="IY210"/>
      <c r="IZ210"/>
    </row>
    <row r="211" spans="1:260" s="4" customFormat="1" x14ac:dyDescent="0.2">
      <c r="A211" s="282"/>
      <c r="B211" s="1267"/>
      <c r="C211" s="1267"/>
      <c r="D211" s="1267"/>
      <c r="E211" s="1268"/>
      <c r="F211" s="228"/>
      <c r="G211" s="228"/>
      <c r="H211" s="228"/>
      <c r="I211" s="481"/>
      <c r="J211" s="228"/>
      <c r="K211" s="228"/>
      <c r="L211" s="228"/>
      <c r="M211" s="481"/>
      <c r="N211" s="228"/>
      <c r="O211" s="228"/>
      <c r="P211" s="228"/>
      <c r="Q211" s="481"/>
      <c r="R211" s="228"/>
      <c r="S211" s="228"/>
      <c r="T211" s="228"/>
      <c r="U211" s="481"/>
      <c r="V211" s="228"/>
      <c r="W211" s="228"/>
      <c r="X211" s="228"/>
      <c r="Y211" s="481"/>
      <c r="Z211" s="228"/>
      <c r="AA211" s="228"/>
      <c r="AB211" s="228"/>
      <c r="AC211" s="481"/>
      <c r="AD211" s="228"/>
      <c r="AE211" s="228"/>
      <c r="AF211" s="228"/>
      <c r="AG211" s="481"/>
      <c r="AH211" s="228"/>
      <c r="AI211" s="228"/>
      <c r="AJ211" s="228"/>
      <c r="AK211" s="481"/>
      <c r="AL211" s="228"/>
      <c r="AM211" s="228"/>
      <c r="AN211" s="228"/>
      <c r="AO211" s="481"/>
      <c r="AP211" s="228"/>
      <c r="AQ211" s="228"/>
      <c r="AR211" s="228"/>
      <c r="AS211" s="481"/>
      <c r="AT211" s="228"/>
      <c r="AU211" s="228"/>
      <c r="AV211" s="228"/>
      <c r="AW211" s="481"/>
      <c r="AX211" s="228"/>
      <c r="AY211" s="228"/>
      <c r="AZ211" s="228"/>
      <c r="BA211" s="481"/>
      <c r="BB211" s="417"/>
      <c r="BC211" s="417"/>
      <c r="BD211" s="417"/>
      <c r="BE211" s="520"/>
      <c r="BF211" s="417"/>
      <c r="BG211" s="417"/>
      <c r="BH211" s="417"/>
      <c r="BI211" s="520"/>
      <c r="BJ211" s="417"/>
      <c r="BK211" s="417"/>
      <c r="BL211" s="417"/>
      <c r="BM211" s="520"/>
      <c r="BN211" s="417"/>
      <c r="BO211" s="417"/>
      <c r="BP211" s="417"/>
      <c r="BQ211" s="520"/>
      <c r="BR211" s="77"/>
      <c r="BS211" s="77"/>
      <c r="BT211" s="77"/>
      <c r="BU211" s="487"/>
      <c r="BV211" s="77"/>
      <c r="BW211" s="77"/>
      <c r="BX211" s="77"/>
      <c r="BY211" s="487"/>
      <c r="BZ211" s="417"/>
      <c r="CA211" s="417"/>
      <c r="CB211" s="417"/>
      <c r="CC211" s="520"/>
      <c r="CD211" s="417"/>
      <c r="CE211" s="417"/>
      <c r="CF211" s="417"/>
      <c r="CG211" s="520"/>
      <c r="CH211" s="417"/>
      <c r="CI211" s="417"/>
      <c r="CJ211" s="417"/>
      <c r="CK211" s="520"/>
      <c r="CL211" s="1264"/>
      <c r="CM211" s="1264"/>
      <c r="CN211" s="1264"/>
      <c r="CO211" s="1168"/>
      <c r="CP211" s="1264"/>
      <c r="CQ211" s="1264"/>
      <c r="CR211" s="1264"/>
      <c r="CS211" s="1168"/>
      <c r="CT211" s="1264"/>
      <c r="CU211" s="1264"/>
      <c r="CV211" s="1264"/>
      <c r="CW211" s="1168"/>
      <c r="CX211" s="1155"/>
      <c r="CY211" s="1155"/>
      <c r="CZ211" s="1264"/>
      <c r="DA211" s="1168"/>
      <c r="DB211" s="2092"/>
      <c r="DC211" s="2092"/>
      <c r="DD211" s="2091"/>
      <c r="DE211" s="1947"/>
      <c r="DF211" s="2092"/>
      <c r="DG211" s="2092"/>
      <c r="DH211" s="2092"/>
      <c r="DI211" s="1947"/>
      <c r="DJ211" s="2225"/>
      <c r="DK211" s="2091"/>
      <c r="DL211" s="2091"/>
      <c r="DM211" s="1947"/>
      <c r="DN211" s="1266"/>
      <c r="DO211" s="1168"/>
      <c r="DP211" s="226"/>
      <c r="DQ211" s="226"/>
      <c r="DR211" s="226"/>
      <c r="DS211" s="226"/>
      <c r="DT211" s="226"/>
      <c r="DU211" s="227"/>
      <c r="DV211" s="227"/>
      <c r="DW211" s="227"/>
      <c r="DX211" s="227"/>
      <c r="DY211" s="228"/>
      <c r="DZ211" s="228"/>
      <c r="EA211" s="228"/>
      <c r="EB211" s="228"/>
      <c r="EC211" s="228"/>
      <c r="ED211" s="228"/>
      <c r="EE211" s="228"/>
      <c r="EF211" s="228"/>
      <c r="EG211" s="228"/>
      <c r="EH211" s="228"/>
      <c r="EI211" s="77"/>
      <c r="EJ211" s="417"/>
      <c r="EK211" s="417"/>
      <c r="EL211" s="417"/>
      <c r="EM211" s="417"/>
      <c r="EN211" s="417"/>
      <c r="EO211" s="417"/>
      <c r="EP211" s="417"/>
      <c r="EQ211" s="417"/>
      <c r="ER211" s="417"/>
      <c r="ES211" s="417"/>
      <c r="ET211" s="1264"/>
      <c r="EU211" s="417"/>
      <c r="EV211" s="417"/>
      <c r="EW211" s="417"/>
      <c r="EX211" s="1264"/>
      <c r="EY211" s="1264"/>
      <c r="EZ211" s="1775"/>
      <c r="FA211" s="417"/>
      <c r="FB211" s="417"/>
      <c r="FC211" s="417"/>
      <c r="FD211" s="417"/>
      <c r="FE211" s="417"/>
      <c r="FF211" s="417"/>
      <c r="FG211" s="417"/>
      <c r="FH211" s="417"/>
      <c r="FI211" s="413"/>
      <c r="FJ211"/>
      <c r="FK211"/>
      <c r="FL211"/>
      <c r="FM211"/>
      <c r="FN211"/>
      <c r="FO211"/>
      <c r="FS211" s="1155"/>
      <c r="FT211" s="1155"/>
      <c r="FU211"/>
      <c r="FV211" s="1155"/>
      <c r="FW211" s="1155"/>
      <c r="FX211" s="1155"/>
      <c r="FY211"/>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row>
    <row r="212" spans="1:260" s="4" customFormat="1" x14ac:dyDescent="0.2">
      <c r="A212" s="282" t="s">
        <v>354</v>
      </c>
      <c r="B212" s="1267"/>
      <c r="C212" s="1267"/>
      <c r="D212" s="1267"/>
      <c r="E212" s="1268"/>
      <c r="F212" s="213" t="s">
        <v>483</v>
      </c>
      <c r="G212" s="213" t="s">
        <v>483</v>
      </c>
      <c r="H212" s="213" t="s">
        <v>483</v>
      </c>
      <c r="I212" s="490" t="s">
        <v>483</v>
      </c>
      <c r="J212" s="213" t="s">
        <v>483</v>
      </c>
      <c r="K212" s="213" t="s">
        <v>483</v>
      </c>
      <c r="L212" s="213" t="s">
        <v>483</v>
      </c>
      <c r="M212" s="490" t="s">
        <v>483</v>
      </c>
      <c r="N212" s="213" t="s">
        <v>483</v>
      </c>
      <c r="O212" s="213" t="s">
        <v>483</v>
      </c>
      <c r="P212" s="213" t="s">
        <v>483</v>
      </c>
      <c r="Q212" s="490" t="s">
        <v>483</v>
      </c>
      <c r="R212" s="213" t="s">
        <v>483</v>
      </c>
      <c r="S212" s="213" t="s">
        <v>483</v>
      </c>
      <c r="T212" s="213" t="s">
        <v>483</v>
      </c>
      <c r="U212" s="490" t="s">
        <v>483</v>
      </c>
      <c r="V212" s="213" t="s">
        <v>483</v>
      </c>
      <c r="W212" s="213" t="s">
        <v>483</v>
      </c>
      <c r="X212" s="213" t="s">
        <v>483</v>
      </c>
      <c r="Y212" s="490" t="s">
        <v>483</v>
      </c>
      <c r="Z212" s="213" t="s">
        <v>483</v>
      </c>
      <c r="AA212" s="213" t="s">
        <v>483</v>
      </c>
      <c r="AB212" s="213" t="s">
        <v>483</v>
      </c>
      <c r="AC212" s="490" t="s">
        <v>483</v>
      </c>
      <c r="AD212" s="213" t="s">
        <v>483</v>
      </c>
      <c r="AE212" s="213" t="s">
        <v>483</v>
      </c>
      <c r="AF212" s="213" t="s">
        <v>483</v>
      </c>
      <c r="AG212" s="490" t="s">
        <v>483</v>
      </c>
      <c r="AH212" s="213" t="s">
        <v>483</v>
      </c>
      <c r="AI212" s="213" t="s">
        <v>483</v>
      </c>
      <c r="AJ212" s="213" t="s">
        <v>483</v>
      </c>
      <c r="AK212" s="490" t="s">
        <v>483</v>
      </c>
      <c r="AL212" s="213" t="s">
        <v>483</v>
      </c>
      <c r="AM212" s="213" t="s">
        <v>483</v>
      </c>
      <c r="AN212" s="213" t="s">
        <v>483</v>
      </c>
      <c r="AO212" s="490" t="s">
        <v>483</v>
      </c>
      <c r="AP212" s="213" t="s">
        <v>483</v>
      </c>
      <c r="AQ212" s="213" t="s">
        <v>483</v>
      </c>
      <c r="AR212" s="213" t="s">
        <v>483</v>
      </c>
      <c r="AS212" s="490" t="s">
        <v>483</v>
      </c>
      <c r="AT212" s="213" t="s">
        <v>483</v>
      </c>
      <c r="AU212" s="213" t="s">
        <v>483</v>
      </c>
      <c r="AV212" s="213" t="s">
        <v>483</v>
      </c>
      <c r="AW212" s="490" t="s">
        <v>483</v>
      </c>
      <c r="AX212" s="213" t="s">
        <v>483</v>
      </c>
      <c r="AY212" s="213" t="s">
        <v>483</v>
      </c>
      <c r="AZ212" s="213" t="s">
        <v>483</v>
      </c>
      <c r="BA212" s="490" t="s">
        <v>483</v>
      </c>
      <c r="BB212" s="417">
        <f>('Income Statement'!BB189-'Income Statement'!AX189)*10000</f>
        <v>-108.16879670125346</v>
      </c>
      <c r="BC212" s="417">
        <f>('Income Statement'!BC189-'Income Statement'!AY189)*10000</f>
        <v>-99.829398916343735</v>
      </c>
      <c r="BD212" s="417">
        <f>('Income Statement'!BD189-'Income Statement'!AZ189)*10000</f>
        <v>-27.127719395686476</v>
      </c>
      <c r="BE212" s="520">
        <f>('Income Statement'!BE189-'Income Statement'!BA189)*10000</f>
        <v>-64.547178957504997</v>
      </c>
      <c r="BF212" s="417">
        <f>('Income Statement'!BF189-'Income Statement'!BB189)*10000</f>
        <v>36.967468060070672</v>
      </c>
      <c r="BG212" s="417">
        <f>('Income Statement'!BG189-'Income Statement'!BC189)*10000</f>
        <v>-28.780144543064658</v>
      </c>
      <c r="BH212" s="417">
        <f>('Income Statement'!BH189-'Income Statement'!BD189)*10000</f>
        <v>-127.36794773553606</v>
      </c>
      <c r="BI212" s="520">
        <f>('Income Statement'!BI189-'Income Statement'!BE189)*10000</f>
        <v>-18.116153844565385</v>
      </c>
      <c r="BJ212" s="417">
        <f>('Income Statement'!BJ189-'Income Statement'!BF189)*10000</f>
        <v>14.721950075685386</v>
      </c>
      <c r="BK212" s="417">
        <f>('Income Statement'!BK189-'Income Statement'!BG189)*10000</f>
        <v>85.720269608170469</v>
      </c>
      <c r="BL212" s="417">
        <f>('Income Statement'!BL189-'Income Statement'!BH189)*10000</f>
        <v>78.948183492864587</v>
      </c>
      <c r="BM212" s="520">
        <f>('Income Statement'!BM189-'Income Statement'!BI189)*10000</f>
        <v>60.854976330467217</v>
      </c>
      <c r="BN212" s="417">
        <f>('Income Statement'!BN189-'Income Statement'!BJ189)*10000</f>
        <v>2.5185826751294993</v>
      </c>
      <c r="BO212" s="417">
        <f>('Income Statement'!BO189-'Income Statement'!BK189)*10000</f>
        <v>-53.9452504933613</v>
      </c>
      <c r="BP212" s="417">
        <f>('Income Statement'!BP189-'Income Statement'!BL189)*10000</f>
        <v>-74.420367630068654</v>
      </c>
      <c r="BQ212" s="520">
        <f>('Income Statement'!BQ189-'Income Statement'!BM189)*10000</f>
        <v>-68.130269479248497</v>
      </c>
      <c r="BR212" s="77"/>
      <c r="BS212" s="77"/>
      <c r="BT212" s="77"/>
      <c r="BU212" s="487"/>
      <c r="BV212" s="77"/>
      <c r="BW212" s="77"/>
      <c r="BX212" s="77"/>
      <c r="BY212" s="487"/>
      <c r="BZ212" s="417">
        <f>('Income Statement'!BZ189-'Income Statement'!BN189)*10000</f>
        <v>-36.789411865278119</v>
      </c>
      <c r="CA212" s="417">
        <f>('Income Statement'!CA189-'Income Statement'!BO189)*10000</f>
        <v>99.572846264671384</v>
      </c>
      <c r="CB212" s="417">
        <f>('Income Statement'!CB189-'Income Statement'!BP189)*10000</f>
        <v>195.4295149179741</v>
      </c>
      <c r="CC212" s="520">
        <f>('Income Statement'!CC189-'Income Statement'!BQ189)*10000</f>
        <v>64.321765254735098</v>
      </c>
      <c r="CD212" s="417">
        <f>('Income Statement'!CD189-'Income Statement'!BZ189)*10000</f>
        <v>78.937827220512673</v>
      </c>
      <c r="CE212" s="417">
        <f>('Income Statement'!CE189-'Income Statement'!CA189)*10000</f>
        <v>91.137401826218706</v>
      </c>
      <c r="CF212" s="417">
        <f>('Income Statement'!CF189-'Income Statement'!CB189)*10000</f>
        <v>0.10978941545558563</v>
      </c>
      <c r="CG212" s="520">
        <f>('Income Statement'!CG189-'Income Statement'!CC189)*10000</f>
        <v>-41.851359214920834</v>
      </c>
      <c r="CH212" s="417">
        <f>('Income Statement'!CH189-'Income Statement'!CD189)*10000</f>
        <v>-63.478750044033696</v>
      </c>
      <c r="CI212" s="417">
        <f>('Income Statement'!CI189-'Income Statement'!CE189)*10000</f>
        <v>-33.347026102582554</v>
      </c>
      <c r="CJ212" s="417">
        <f>('Income Statement'!CJ189-'Income Statement'!CF189)*10000</f>
        <v>137.63110273328576</v>
      </c>
      <c r="CK212" s="520">
        <f>('Income Statement'!CK189-'Income Statement'!CG189)*10000</f>
        <v>139.4223471685857</v>
      </c>
      <c r="CL212" s="1264">
        <f>('Income Statement'!CL189-'Income Statement'!CH189)*10000</f>
        <v>-14.735887553842531</v>
      </c>
      <c r="CM212" s="1264">
        <f>('Income Statement'!CM189-'Income Statement'!CI189)*10000</f>
        <v>-1.2815583749839488</v>
      </c>
      <c r="CN212" s="1264">
        <f>('Income Statement'!CN189-'Income Statement'!CJ189)*10000</f>
        <v>0</v>
      </c>
      <c r="CO212" s="1168">
        <f>('Income Statement'!CO189-'Income Statement'!CK189)*10000</f>
        <v>0</v>
      </c>
      <c r="CP212" s="1264">
        <f>('Income Statement'!CP189-'Income Statement'!CL189)*10000</f>
        <v>15.776977481701259</v>
      </c>
      <c r="CQ212" s="1264">
        <f>('Income Statement'!CQ189-'Income Statement'!CM189)*10000</f>
        <v>-75.658426369938638</v>
      </c>
      <c r="CR212" s="1264">
        <f>('Income Statement'!CR189-'Income Statement'!CN189)*10000</f>
        <v>-183.94575402180618</v>
      </c>
      <c r="CS212" s="1168">
        <f>('Income Statement'!CS189-'Income Statement'!CO189)*10000</f>
        <v>-97.979589205383917</v>
      </c>
      <c r="CT212" s="1264">
        <f>('Income Statement'!CT189-'Income Statement'!CP189)*10000</f>
        <v>-91.390889273706705</v>
      </c>
      <c r="CU212" s="1264">
        <f>('Income Statement'!CU189-'Income Statement'!CQ189)*10000</f>
        <v>-140.45066947584394</v>
      </c>
      <c r="CV212" s="1264">
        <f>('Income Statement'!CV189-'Income Statement'!CR189)*10000</f>
        <v>-133.92424682747261</v>
      </c>
      <c r="CW212" s="1168">
        <f>('Income Statement'!CW189-'Income Statement'!CS189)*10000</f>
        <v>-16.386856173218334</v>
      </c>
      <c r="CX212" s="1155">
        <f>('Income Statement'!CX189-'Income Statement'!CT189)*10000</f>
        <v>31.190174499678982</v>
      </c>
      <c r="CY212" s="1155">
        <f>('Income Statement'!CY189-'Income Statement'!CU189)*10000</f>
        <v>84.677622470426257</v>
      </c>
      <c r="CZ212" s="1264">
        <f>('Income Statement'!CZ189-'Income Statement'!CV189)*10000</f>
        <v>69.297356689198566</v>
      </c>
      <c r="DA212" s="1168">
        <f>('Income Statement'!DA189-'Income Statement'!CW189)*10000</f>
        <v>46.470188398048947</v>
      </c>
      <c r="DB212" s="1264">
        <f>('Income Statement'!DB189-'Income Statement'!CX189)*10000</f>
        <v>5.3152937447317754</v>
      </c>
      <c r="DC212" s="1264">
        <f>('Income Statement'!DC189-'Income Statement'!CY189)*10000</f>
        <v>-35.849339002369533</v>
      </c>
      <c r="DD212" s="1155">
        <f>('Income Statement'!DD189-'Income Statement'!CZ189)*10000</f>
        <v>-4.2225162237330416</v>
      </c>
      <c r="DE212" s="1168">
        <f>('Income Statement'!DE189-'Income Statement'!DA189)*10000</f>
        <v>-6.7376760827844713</v>
      </c>
      <c r="DF212" s="1264">
        <f>('Income Statement'!DF189-'Income Statement'!DB189)*10000</f>
        <v>-10.858845693224595</v>
      </c>
      <c r="DG212" s="1264">
        <f>('Income Statement'!DG189-'Income Statement'!DC189)*10000</f>
        <v>-20.631247681503485</v>
      </c>
      <c r="DH212" s="1264">
        <f>('Income Statement'!DH189-'Income Statement'!DD189)*10000</f>
        <v>-37.425886600518098</v>
      </c>
      <c r="DI212" s="1168">
        <f>('Income Statement'!DI189-'Income Statement'!DE189)*10000</f>
        <v>11.950285726610444</v>
      </c>
      <c r="DJ212" s="2707">
        <f>('Income Statement'!DJ189-'Income Statement'!DF189)*10000</f>
        <v>1.8806875631952047</v>
      </c>
      <c r="DK212" s="1155">
        <f>('Income Statement'!DK189-'Income Statement'!DG189)*10000</f>
        <v>-7.649903288201032</v>
      </c>
      <c r="DL212" s="1155">
        <f>('Income Statement'!DL189-'Income Statement'!DH189)*10000</f>
        <v>-12.183488399482023</v>
      </c>
      <c r="DM212" s="1168">
        <f>('Income Statement'!DM189-'Income Statement'!DI189)*10000</f>
        <v>-4.3283048545078584</v>
      </c>
      <c r="DN212" s="1266"/>
      <c r="DO212" s="1168"/>
      <c r="DP212" s="226"/>
      <c r="DQ212" s="226"/>
      <c r="DR212" s="226"/>
      <c r="DS212" s="226"/>
      <c r="DT212" s="226"/>
      <c r="DU212" s="227"/>
      <c r="DV212" s="227"/>
      <c r="DW212" s="227"/>
      <c r="DX212" s="227"/>
      <c r="DY212" s="228"/>
      <c r="DZ212" s="228"/>
      <c r="EA212" s="228"/>
      <c r="EB212" s="228"/>
      <c r="EC212" s="228"/>
      <c r="ED212" s="228"/>
      <c r="EE212" s="228"/>
      <c r="EF212" s="228"/>
      <c r="EG212" s="228"/>
      <c r="EH212" s="228"/>
      <c r="EI212" s="77"/>
      <c r="EJ212" s="417">
        <f>('Income Statement'!EJ189-'Income Statement'!EI189)*10000</f>
        <v>136.18337411360204</v>
      </c>
      <c r="EK212" s="417">
        <f>('Income Statement'!EK189-'Income Statement'!EJ189)*10000</f>
        <v>-79.587653480853177</v>
      </c>
      <c r="EL212" s="417">
        <f>('Income Statement'!EL189-'Income Statement'!EK189)*10000</f>
        <v>-23.264867904306819</v>
      </c>
      <c r="EM212" s="417">
        <f>('Income Statement'!EM189-'Income Statement'!EL189)*10000</f>
        <v>68.727349076826428</v>
      </c>
      <c r="EN212" s="417">
        <f>('Income Statement'!EN189-'Income Statement'!EM189)*10000</f>
        <v>-60.412289450370579</v>
      </c>
      <c r="EO212" s="417"/>
      <c r="EP212" s="417"/>
      <c r="EQ212" s="417"/>
      <c r="ER212" s="417"/>
      <c r="ES212" s="417"/>
      <c r="ET212" s="1264"/>
      <c r="EU212" s="417">
        <f>('Income Statement'!EU189-'Income Statement'!ET189)*10000</f>
        <v>-83.728995224154616</v>
      </c>
      <c r="EV212" s="417">
        <f>('Income Statement'!EV189-'Income Statement'!EU189)*10000</f>
        <v>-89.323134570070408</v>
      </c>
      <c r="EW212" s="417">
        <f>('Income Statement'!EW189-'Income Statement'!EV189)*10000</f>
        <v>60.273499000478573</v>
      </c>
      <c r="EX212" s="1264">
        <f>('Income Statement'!EX189-'Income Statement'!EW189)*10000</f>
        <v>-7.9594903350471702</v>
      </c>
      <c r="EY212" s="1264">
        <f>('Income Statement'!EY189-'Income Statement'!EX189)*10000</f>
        <v>-20.44792881588986</v>
      </c>
      <c r="EZ212" s="1775">
        <f>('Income Statement'!EZ189-'Income Statement'!EY189)*10000</f>
        <v>-3.0843745563646774</v>
      </c>
      <c r="FA212" s="417">
        <f>('Income Statement'!FA189-'Income Statement'!EZ189)*10000</f>
        <v>-11.537217704770397</v>
      </c>
      <c r="FB212" s="417">
        <f>('Income Statement'!FB189-'Income Statement'!FA189)*10000</f>
        <v>-5.0000000000000044</v>
      </c>
      <c r="FC212" s="417">
        <f>('Income Statement'!FC189-'Income Statement'!FB189)*10000</f>
        <v>0</v>
      </c>
      <c r="FD212" s="417">
        <f>('Income Statement'!FD189-'Income Statement'!FC189)*10000</f>
        <v>0</v>
      </c>
      <c r="FE212" s="417">
        <f>('Income Statement'!FE189-'Income Statement'!FD189)*10000</f>
        <v>0</v>
      </c>
      <c r="FF212" s="417">
        <f>('Income Statement'!FF189-'Income Statement'!FE189)*10000</f>
        <v>0</v>
      </c>
      <c r="FG212" s="417">
        <f>('Income Statement'!FG189-'Income Statement'!FF189)*10000</f>
        <v>0</v>
      </c>
      <c r="FH212" s="417">
        <f>('Income Statement'!FH189-'Income Statement'!FG189)*10000</f>
        <v>0</v>
      </c>
      <c r="FI212" s="413"/>
      <c r="FJ212"/>
      <c r="FK212"/>
      <c r="FL212"/>
      <c r="FM212"/>
      <c r="FN212"/>
      <c r="FO212"/>
      <c r="FS212" s="1155"/>
      <c r="FT212" s="1155"/>
      <c r="FU212"/>
      <c r="FV212" s="1155"/>
      <c r="FW212" s="1155"/>
      <c r="FX212" s="1155"/>
      <c r="FY212"/>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row>
    <row r="213" spans="1:260" s="4" customFormat="1" x14ac:dyDescent="0.2">
      <c r="A213" s="282" t="s">
        <v>24</v>
      </c>
      <c r="B213" s="1267"/>
      <c r="C213" s="1267"/>
      <c r="D213" s="1267"/>
      <c r="E213" s="1268"/>
      <c r="F213" s="213" t="s">
        <v>483</v>
      </c>
      <c r="G213" s="213" t="s">
        <v>483</v>
      </c>
      <c r="H213" s="213" t="s">
        <v>483</v>
      </c>
      <c r="I213" s="490" t="s">
        <v>483</v>
      </c>
      <c r="J213" s="213" t="s">
        <v>483</v>
      </c>
      <c r="K213" s="213" t="s">
        <v>483</v>
      </c>
      <c r="L213" s="213" t="s">
        <v>483</v>
      </c>
      <c r="M213" s="490" t="s">
        <v>483</v>
      </c>
      <c r="N213" s="213" t="s">
        <v>483</v>
      </c>
      <c r="O213" s="213" t="s">
        <v>483</v>
      </c>
      <c r="P213" s="213" t="s">
        <v>483</v>
      </c>
      <c r="Q213" s="490" t="s">
        <v>483</v>
      </c>
      <c r="R213" s="213" t="s">
        <v>483</v>
      </c>
      <c r="S213" s="213" t="s">
        <v>483</v>
      </c>
      <c r="T213" s="213" t="s">
        <v>483</v>
      </c>
      <c r="U213" s="490" t="s">
        <v>483</v>
      </c>
      <c r="V213" s="213" t="s">
        <v>483</v>
      </c>
      <c r="W213" s="213" t="s">
        <v>483</v>
      </c>
      <c r="X213" s="213" t="s">
        <v>483</v>
      </c>
      <c r="Y213" s="490" t="s">
        <v>483</v>
      </c>
      <c r="Z213" s="213" t="s">
        <v>483</v>
      </c>
      <c r="AA213" s="213" t="s">
        <v>483</v>
      </c>
      <c r="AB213" s="213" t="s">
        <v>483</v>
      </c>
      <c r="AC213" s="490" t="s">
        <v>483</v>
      </c>
      <c r="AD213" s="213" t="s">
        <v>483</v>
      </c>
      <c r="AE213" s="213" t="s">
        <v>483</v>
      </c>
      <c r="AF213" s="213" t="s">
        <v>483</v>
      </c>
      <c r="AG213" s="490" t="s">
        <v>483</v>
      </c>
      <c r="AH213" s="213" t="s">
        <v>483</v>
      </c>
      <c r="AI213" s="213" t="s">
        <v>483</v>
      </c>
      <c r="AJ213" s="213" t="s">
        <v>483</v>
      </c>
      <c r="AK213" s="490" t="s">
        <v>483</v>
      </c>
      <c r="AL213" s="213" t="s">
        <v>483</v>
      </c>
      <c r="AM213" s="213" t="s">
        <v>483</v>
      </c>
      <c r="AN213" s="213" t="s">
        <v>483</v>
      </c>
      <c r="AO213" s="490" t="s">
        <v>483</v>
      </c>
      <c r="AP213" s="213" t="s">
        <v>483</v>
      </c>
      <c r="AQ213" s="213" t="s">
        <v>483</v>
      </c>
      <c r="AR213" s="213" t="s">
        <v>483</v>
      </c>
      <c r="AS213" s="490" t="s">
        <v>483</v>
      </c>
      <c r="AT213" s="213" t="s">
        <v>483</v>
      </c>
      <c r="AU213" s="213" t="s">
        <v>483</v>
      </c>
      <c r="AV213" s="213" t="s">
        <v>483</v>
      </c>
      <c r="AW213" s="490" t="s">
        <v>483</v>
      </c>
      <c r="AX213" s="213" t="s">
        <v>483</v>
      </c>
      <c r="AY213" s="213" t="s">
        <v>483</v>
      </c>
      <c r="AZ213" s="213" t="s">
        <v>483</v>
      </c>
      <c r="BA213" s="490" t="s">
        <v>483</v>
      </c>
      <c r="BB213" s="417">
        <f>('Income Statement'!BB193-'Income Statement'!AX193)*10000</f>
        <v>-99.999999999999261</v>
      </c>
      <c r="BC213" s="417">
        <f>('Income Statement'!BC193-'Income Statement'!AY193)*10000</f>
        <v>-100.00000000000037</v>
      </c>
      <c r="BD213" s="417">
        <f>('Income Statement'!BD193-'Income Statement'!AZ193)*10000</f>
        <v>-239.99999999999994</v>
      </c>
      <c r="BE213" s="520">
        <f>('Income Statement'!BE193-'Income Statement'!BA193)*10000</f>
        <v>-175.01377410468311</v>
      </c>
      <c r="BF213" s="417">
        <f>('Income Statement'!BF193-'Income Statement'!BB193)*10000</f>
        <v>-280.00000000000023</v>
      </c>
      <c r="BG213" s="417">
        <f>('Income Statement'!BG193-'Income Statement'!BC193)*10000</f>
        <v>-373.64116094986798</v>
      </c>
      <c r="BH213" s="417">
        <f>('Income Statement'!BH193-'Income Statement'!BD193)*10000</f>
        <v>-87.758420441347567</v>
      </c>
      <c r="BI213" s="520">
        <f>('Income Statement'!BI193-'Income Statement'!BE193)*10000</f>
        <v>2.9099245075481228</v>
      </c>
      <c r="BJ213" s="417">
        <f>('Income Statement'!BJ193-'Income Statement'!BF193)*10000</f>
        <v>10.000000000000009</v>
      </c>
      <c r="BK213" s="417">
        <f>('Income Statement'!BK193-'Income Statement'!BG193)*10000</f>
        <v>149.75626886353706</v>
      </c>
      <c r="BL213" s="417">
        <f>('Income Statement'!BL193-'Income Statement'!BH193)*10000</f>
        <v>704.08037904214154</v>
      </c>
      <c r="BM213" s="520">
        <f>('Income Statement'!BM193-'Income Statement'!BI193)*10000</f>
        <v>532.33667846791514</v>
      </c>
      <c r="BN213" s="417">
        <f>('Income Statement'!BN193-'Income Statement'!BJ193)*10000</f>
        <v>492.17898832684847</v>
      </c>
      <c r="BO213" s="417">
        <f>('Income Statement'!BO193-'Income Statement'!BK193)*10000</f>
        <v>591.25024870932964</v>
      </c>
      <c r="BP213" s="417">
        <f>('Income Statement'!BP193-'Income Statement'!BL193)*10000</f>
        <v>-170.68341996516551</v>
      </c>
      <c r="BQ213" s="520">
        <f>('Income Statement'!BQ193-'Income Statement'!BM193)*10000</f>
        <v>-91.306147086955562</v>
      </c>
      <c r="BR213" s="77"/>
      <c r="BS213" s="77"/>
      <c r="BT213" s="77"/>
      <c r="BU213" s="487"/>
      <c r="BV213" s="77"/>
      <c r="BW213" s="77"/>
      <c r="BX213" s="77"/>
      <c r="BY213" s="487"/>
      <c r="BZ213" s="417">
        <f>('Income Statement'!BZ193-'Income Statement'!BN193)*10000</f>
        <v>-56.864153748406864</v>
      </c>
      <c r="CA213" s="417">
        <f>('Income Statement'!CA193-'Income Statement'!BO193)*10000</f>
        <v>-89.327079111037051</v>
      </c>
      <c r="CB213" s="417">
        <f>('Income Statement'!CB193-'Income Statement'!BP193)*10000</f>
        <v>-211.28428296688068</v>
      </c>
      <c r="CC213" s="520">
        <f>('Income Statement'!CC193-'Income Statement'!BQ193)*10000</f>
        <v>-248.28546788269873</v>
      </c>
      <c r="CD213" s="417">
        <f>('Income Statement'!CD193-'Income Statement'!BZ193)*10000</f>
        <v>-177.77704485724604</v>
      </c>
      <c r="CE213" s="417">
        <f>('Income Statement'!CE193-'Income Statement'!CA193)*10000</f>
        <v>-4.5370618120657564</v>
      </c>
      <c r="CF213" s="417">
        <f>('Income Statement'!CF193-'Income Statement'!CB193)*10000</f>
        <v>-27.817038840269039</v>
      </c>
      <c r="CG213" s="520">
        <f>('Income Statement'!CG193-'Income Statement'!CC193)*10000</f>
        <v>82.27463737088992</v>
      </c>
      <c r="CH213" s="417">
        <f>('Income Statement'!CH193-'Income Statement'!CD193)*10000</f>
        <v>248.33021601768536</v>
      </c>
      <c r="CI213" s="417">
        <f>('Income Statement'!CI193-'Income Statement'!CE193)*10000</f>
        <v>133.1168601018534</v>
      </c>
      <c r="CJ213" s="417">
        <f>('Income Statement'!CJ193-'Income Statement'!CF193)*10000</f>
        <v>153.3329130416511</v>
      </c>
      <c r="CK213" s="520">
        <f>('Income Statement'!CK193-'Income Statement'!CG193)*10000</f>
        <v>-11.930511209530813</v>
      </c>
      <c r="CL213" s="1264">
        <f>('Income Statement'!CL193-'Income Statement'!CH193)*10000</f>
        <v>-79.388315216637466</v>
      </c>
      <c r="CM213" s="1264">
        <f>('Income Statement'!CM193-'Income Statement'!CI193)*10000</f>
        <v>-279.37849246841591</v>
      </c>
      <c r="CN213" s="1264">
        <f>('Income Statement'!CN193-'Income Statement'!CJ193)*10000</f>
        <v>-114.06216734085595</v>
      </c>
      <c r="CO213" s="1168">
        <f>('Income Statement'!CO193-'Income Statement'!CK193)*10000</f>
        <v>-131.62647245216013</v>
      </c>
      <c r="CP213" s="1264">
        <f>('Income Statement'!CP193-'Income Statement'!CL193)*10000</f>
        <v>282.82784511930447</v>
      </c>
      <c r="CQ213" s="1264">
        <f>('Income Statement'!CQ193-'Income Statement'!CM193)*10000</f>
        <v>353.06281499826201</v>
      </c>
      <c r="CR213" s="1264">
        <f>('Income Statement'!CR193-'Income Statement'!CN193)*10000</f>
        <v>108.29275689518636</v>
      </c>
      <c r="CS213" s="1168">
        <f>('Income Statement'!CS193-'Income Statement'!CO193)*10000</f>
        <v>-66.984808548367639</v>
      </c>
      <c r="CT213" s="1264">
        <f>('Income Statement'!CT193-'Income Statement'!CP193)*10000</f>
        <v>-186.85998319399545</v>
      </c>
      <c r="CU213" s="1264">
        <f>('Income Statement'!CU193-'Income Statement'!CQ193)*10000</f>
        <v>-93.048393754936455</v>
      </c>
      <c r="CV213" s="1264">
        <f>('Income Statement'!CV193-'Income Statement'!CR193)*10000</f>
        <v>-124.10071942446032</v>
      </c>
      <c r="CW213" s="1168">
        <f>('Income Statement'!CW193-'Income Statement'!CS193)*10000</f>
        <v>30.430173742275745</v>
      </c>
      <c r="CX213" s="1155">
        <f>('Income Statement'!CX193-'Income Statement'!CT193)*10000</f>
        <v>127.19316611532139</v>
      </c>
      <c r="CY213" s="1155">
        <f>('Income Statement'!CY193-'Income Statement'!CU193)*10000</f>
        <v>64.284456961802292</v>
      </c>
      <c r="CZ213" s="1264">
        <f>('Income Statement'!CZ193-'Income Statement'!CV193)*10000</f>
        <v>95.679012345678828</v>
      </c>
      <c r="DA213" s="1168">
        <f>('Income Statement'!DA193-'Income Statement'!CW193)*10000</f>
        <v>-12.37412527735099</v>
      </c>
      <c r="DB213" s="1264">
        <f>('Income Statement'!DB193-'Income Statement'!CX193)*10000</f>
        <v>-122.63746123388376</v>
      </c>
      <c r="DC213" s="1264">
        <f>('Income Statement'!DC193-'Income Statement'!CY193)*10000</f>
        <v>-114.95461060678447</v>
      </c>
      <c r="DD213" s="1155">
        <f>('Income Statement'!DD193-'Income Statement'!CZ193)*10000</f>
        <v>-88.042890167724096</v>
      </c>
      <c r="DE213" s="1168">
        <f>('Income Statement'!DE193-'Income Statement'!DA193)*10000</f>
        <v>27.821640724866313</v>
      </c>
      <c r="DF213" s="1264">
        <f>('Income Statement'!DF193-'Income Statement'!DB193)*10000</f>
        <v>-138.17208849782131</v>
      </c>
      <c r="DG213" s="1264">
        <f>('Income Statement'!DG193-'Income Statement'!DC193)*10000</f>
        <v>-136.40421021311383</v>
      </c>
      <c r="DH213" s="1264">
        <f>('Income Statement'!DH193-'Income Statement'!DD193)*10000</f>
        <v>-74.282684300994717</v>
      </c>
      <c r="DI213" s="1168">
        <f>('Income Statement'!DI193-'Income Statement'!DE193)*10000</f>
        <v>-127.61221336802714</v>
      </c>
      <c r="DJ213" s="2707">
        <f>('Income Statement'!DJ193-'Income Statement'!DF193)*10000</f>
        <v>-38.831168831169052</v>
      </c>
      <c r="DK213" s="1155">
        <f>('Income Statement'!DK193-'Income Statement'!DG193)*10000</f>
        <v>-30.179640718563107</v>
      </c>
      <c r="DL213" s="1155">
        <f>('Income Statement'!DL193-'Income Statement'!DH193)*10000</f>
        <v>-43.353437876960108</v>
      </c>
      <c r="DM213" s="1168">
        <f>('Income Statement'!DM193-'Income Statement'!DI193)*10000</f>
        <v>139.36046511627887</v>
      </c>
      <c r="DN213" s="1266"/>
      <c r="DO213" s="1168"/>
      <c r="DP213" s="226"/>
      <c r="DQ213" s="226"/>
      <c r="DR213" s="226"/>
      <c r="DS213" s="226"/>
      <c r="DT213" s="226"/>
      <c r="DU213" s="227"/>
      <c r="DV213" s="227"/>
      <c r="DW213" s="227"/>
      <c r="DX213" s="227"/>
      <c r="DY213" s="228"/>
      <c r="DZ213" s="228"/>
      <c r="EA213" s="228"/>
      <c r="EB213" s="228"/>
      <c r="EC213" s="228"/>
      <c r="ED213" s="228"/>
      <c r="EE213" s="228"/>
      <c r="EF213" s="228"/>
      <c r="EG213" s="228"/>
      <c r="EH213" s="228"/>
      <c r="EI213" s="77"/>
      <c r="EJ213" s="417">
        <f>('Income Statement'!EJ193-'Income Statement'!EI193)*10000</f>
        <v>54.908219303764497</v>
      </c>
      <c r="EK213" s="417">
        <f>('Income Statement'!EK193-'Income Statement'!EJ193)*10000</f>
        <v>-169.85827886840971</v>
      </c>
      <c r="EL213" s="417">
        <f>('Income Statement'!EL193-'Income Statement'!EK193)*10000</f>
        <v>-132.70071866198248</v>
      </c>
      <c r="EM213" s="417">
        <f>('Income Statement'!EM193-'Income Statement'!EL193)*10000</f>
        <v>444.18313186150385</v>
      </c>
      <c r="EN213" s="417">
        <f>('Income Statement'!EN193-'Income Statement'!EM193)*10000</f>
        <v>105.67042026731171</v>
      </c>
      <c r="EO213" s="417">
        <f>('Income Statement'!EO193-'Income Statement'!EN193)*10000</f>
        <v>-60.467457359873464</v>
      </c>
      <c r="EP213" s="417">
        <f>('Income Statement'!EP193-'Income Statement'!EO193)*10000</f>
        <v>-14.370604711409218</v>
      </c>
      <c r="EQ213" s="417">
        <f>('Income Statement'!EQ193-'Income Statement'!EN193)*10000</f>
        <v>-163.61227735697759</v>
      </c>
      <c r="ER213" s="417">
        <f>('Income Statement'!ER193-'Income Statement'!EQ193)*10000</f>
        <v>-15.720306517729988</v>
      </c>
      <c r="ES213" s="417">
        <f>('Income Statement'!ES193-'Income Statement'!ER193)*10000</f>
        <v>109.9118168513763</v>
      </c>
      <c r="ET213" s="1264">
        <f>('Income Statement'!ET193-'Income Statement'!ES193)*10000</f>
        <v>-152.32224697258266</v>
      </c>
      <c r="EU213" s="417">
        <f>('Income Statement'!EU193-'Income Statement'!ES193)*10000</f>
        <v>-38.901848073227271</v>
      </c>
      <c r="EV213" s="417">
        <f>('Income Statement'!EV193-'Income Statement'!EU193)*10000</f>
        <v>-70.994925166719398</v>
      </c>
      <c r="EW213" s="417">
        <f>('Income Statement'!EW193-'Income Statement'!EV193)*10000</f>
        <v>61.632620167890174</v>
      </c>
      <c r="EX213" s="1264">
        <f>('Income Statement'!EX193-'Income Statement'!EW193)*10000</f>
        <v>-70.337845522691339</v>
      </c>
      <c r="EY213" s="1264">
        <f>('Income Statement'!EY193-'Income Statement'!EX193)*10000</f>
        <v>-143.74268416154189</v>
      </c>
      <c r="EZ213" s="1775">
        <f>('Income Statement'!EZ193-'Income Statement'!EY193)*10000</f>
        <v>30.138255455743057</v>
      </c>
      <c r="FA213" s="417">
        <f>('Income Statement'!FA193-'Income Statement'!EZ193)*10000</f>
        <v>3.4301022398716685</v>
      </c>
      <c r="FB213" s="417">
        <f>('Income Statement'!FB193-'Income Statement'!FA193)*10000</f>
        <v>-5.0000000000000044</v>
      </c>
      <c r="FC213" s="417">
        <f>('Income Statement'!FC193-'Income Statement'!FB193)*10000</f>
        <v>-5.0000000000000044</v>
      </c>
      <c r="FD213" s="417">
        <f>('Income Statement'!FD193-'Income Statement'!FC193)*10000</f>
        <v>-5.0000000000000044</v>
      </c>
      <c r="FE213" s="417">
        <f>('Income Statement'!FE193-'Income Statement'!FD193)*10000</f>
        <v>-5.0000000000000044</v>
      </c>
      <c r="FF213" s="417">
        <f>('Income Statement'!FF193-'Income Statement'!FE193)*10000</f>
        <v>-5.0000000000000044</v>
      </c>
      <c r="FG213" s="417">
        <f>('Income Statement'!FG193-'Income Statement'!FF193)*10000</f>
        <v>-5.0000000000000044</v>
      </c>
      <c r="FH213" s="417">
        <f>('Income Statement'!FH193-'Income Statement'!FG193)*10000</f>
        <v>-5.0000000000000044</v>
      </c>
      <c r="FI213" s="413"/>
      <c r="FJ213"/>
      <c r="FK213"/>
      <c r="FL213"/>
      <c r="FM213"/>
      <c r="FN213"/>
      <c r="FO213"/>
      <c r="FS213" s="1155"/>
      <c r="FT213" s="1155"/>
      <c r="FU213"/>
      <c r="FV213" s="1155"/>
      <c r="FW213" s="1155"/>
      <c r="FX213" s="1155"/>
      <c r="FY213"/>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row>
    <row r="214" spans="1:260" s="4" customFormat="1" x14ac:dyDescent="0.2">
      <c r="A214" s="282" t="s">
        <v>94</v>
      </c>
      <c r="B214" s="1267"/>
      <c r="C214" s="1267"/>
      <c r="D214" s="1267"/>
      <c r="E214" s="1268"/>
      <c r="F214" s="213" t="s">
        <v>483</v>
      </c>
      <c r="G214" s="213" t="s">
        <v>483</v>
      </c>
      <c r="H214" s="213" t="s">
        <v>483</v>
      </c>
      <c r="I214" s="490" t="s">
        <v>483</v>
      </c>
      <c r="J214" s="213" t="s">
        <v>483</v>
      </c>
      <c r="K214" s="213" t="s">
        <v>483</v>
      </c>
      <c r="L214" s="213" t="s">
        <v>483</v>
      </c>
      <c r="M214" s="490" t="s">
        <v>483</v>
      </c>
      <c r="N214" s="213" t="s">
        <v>483</v>
      </c>
      <c r="O214" s="213" t="s">
        <v>483</v>
      </c>
      <c r="P214" s="213" t="s">
        <v>483</v>
      </c>
      <c r="Q214" s="490" t="s">
        <v>483</v>
      </c>
      <c r="R214" s="213" t="s">
        <v>483</v>
      </c>
      <c r="S214" s="213" t="s">
        <v>483</v>
      </c>
      <c r="T214" s="213" t="s">
        <v>483</v>
      </c>
      <c r="U214" s="490" t="s">
        <v>483</v>
      </c>
      <c r="V214" s="213" t="s">
        <v>483</v>
      </c>
      <c r="W214" s="213" t="s">
        <v>483</v>
      </c>
      <c r="X214" s="213" t="s">
        <v>483</v>
      </c>
      <c r="Y214" s="490" t="s">
        <v>483</v>
      </c>
      <c r="Z214" s="213" t="s">
        <v>483</v>
      </c>
      <c r="AA214" s="213" t="s">
        <v>483</v>
      </c>
      <c r="AB214" s="213" t="s">
        <v>483</v>
      </c>
      <c r="AC214" s="490" t="s">
        <v>483</v>
      </c>
      <c r="AD214" s="213" t="s">
        <v>483</v>
      </c>
      <c r="AE214" s="213" t="s">
        <v>483</v>
      </c>
      <c r="AF214" s="213" t="s">
        <v>483</v>
      </c>
      <c r="AG214" s="490" t="s">
        <v>483</v>
      </c>
      <c r="AH214" s="213" t="s">
        <v>483</v>
      </c>
      <c r="AI214" s="213" t="s">
        <v>483</v>
      </c>
      <c r="AJ214" s="213" t="s">
        <v>483</v>
      </c>
      <c r="AK214" s="490" t="s">
        <v>483</v>
      </c>
      <c r="AL214" s="213" t="s">
        <v>483</v>
      </c>
      <c r="AM214" s="213" t="s">
        <v>483</v>
      </c>
      <c r="AN214" s="213" t="s">
        <v>483</v>
      </c>
      <c r="AO214" s="490" t="s">
        <v>483</v>
      </c>
      <c r="AP214" s="213" t="s">
        <v>483</v>
      </c>
      <c r="AQ214" s="213" t="s">
        <v>483</v>
      </c>
      <c r="AR214" s="213" t="s">
        <v>483</v>
      </c>
      <c r="AS214" s="490" t="s">
        <v>483</v>
      </c>
      <c r="AT214" s="213" t="s">
        <v>483</v>
      </c>
      <c r="AU214" s="213" t="s">
        <v>483</v>
      </c>
      <c r="AV214" s="213" t="s">
        <v>483</v>
      </c>
      <c r="AW214" s="490" t="s">
        <v>483</v>
      </c>
      <c r="AX214" s="213" t="s">
        <v>483</v>
      </c>
      <c r="AY214" s="213" t="s">
        <v>483</v>
      </c>
      <c r="AZ214" s="213" t="s">
        <v>483</v>
      </c>
      <c r="BA214" s="490" t="s">
        <v>483</v>
      </c>
      <c r="BB214" s="417">
        <f>('Income Statement'!BB197-'Income Statement'!AX197)*10000</f>
        <v>-103.91434329715537</v>
      </c>
      <c r="BC214" s="417">
        <f>('Income Statement'!BC197-'Income Statement'!AY197)*10000</f>
        <v>-95.928380844185199</v>
      </c>
      <c r="BD214" s="417">
        <f>('Income Statement'!BD197-'Income Statement'!AZ197)*10000</f>
        <v>-56.744182229755694</v>
      </c>
      <c r="BE214" s="520">
        <f>('Income Statement'!BE197-'Income Statement'!BA197)*10000</f>
        <v>-74.892368361645651</v>
      </c>
      <c r="BF214" s="417">
        <f>('Income Statement'!BF197-'Income Statement'!BB197)*10000</f>
        <v>-0.80160984720578643</v>
      </c>
      <c r="BG214" s="417">
        <f>('Income Statement'!BG197-'Income Statement'!BC197)*10000</f>
        <v>-81.319178519757287</v>
      </c>
      <c r="BH214" s="417">
        <f>('Income Statement'!BH197-'Income Statement'!BD197)*10000</f>
        <v>-122.81201708836149</v>
      </c>
      <c r="BI214" s="520">
        <f>('Income Statement'!BI197-'Income Statement'!BE197)*10000</f>
        <v>-11.4059619393439</v>
      </c>
      <c r="BJ214" s="417">
        <f>('Income Statement'!BJ197-'Income Statement'!BF197)*10000</f>
        <v>13.298770636900326</v>
      </c>
      <c r="BK214" s="417">
        <f>('Income Statement'!BK197-'Income Statement'!BG197)*10000</f>
        <v>97.175157053945028</v>
      </c>
      <c r="BL214" s="417">
        <f>('Income Statement'!BL197-'Income Statement'!BH197)*10000</f>
        <v>249.16231650492253</v>
      </c>
      <c r="BM214" s="520">
        <f>('Income Statement'!BM197-'Income Statement'!BI197)*10000</f>
        <v>180.60954746649733</v>
      </c>
      <c r="BN214" s="417">
        <f>('Income Statement'!BN197-'Income Statement'!BJ197)*10000</f>
        <v>123.69585709949033</v>
      </c>
      <c r="BO214" s="417">
        <f>('Income Statement'!BO197-'Income Statement'!BK197)*10000</f>
        <v>97.631489393419926</v>
      </c>
      <c r="BP214" s="417">
        <f>('Income Statement'!BP197-'Income Statement'!BL197)*10000</f>
        <v>-115.50001446382602</v>
      </c>
      <c r="BQ214" s="520">
        <f>('Income Statement'!BQ197-'Income Statement'!BM197)*10000</f>
        <v>-69.72946694500493</v>
      </c>
      <c r="BR214" s="77"/>
      <c r="BS214" s="77"/>
      <c r="BT214" s="77"/>
      <c r="BU214" s="487"/>
      <c r="BV214" s="77"/>
      <c r="BW214" s="77"/>
      <c r="BX214" s="77"/>
      <c r="BY214" s="487"/>
      <c r="BZ214" s="417">
        <f>('Income Statement'!BZ197-'Income Statement'!BN197)*10000</f>
        <v>-44.597783694016456</v>
      </c>
      <c r="CA214" s="417">
        <f>('Income Statement'!CA197-'Income Statement'!BO197)*10000</f>
        <v>52.442770435513765</v>
      </c>
      <c r="CB214" s="417">
        <f>('Income Statement'!CB197-'Income Statement'!BP197)*10000</f>
        <v>91.597305040830577</v>
      </c>
      <c r="CC214" s="520">
        <f>('Income Statement'!CC197-'Income Statement'!BQ197)*10000</f>
        <v>-9.2447706028045413</v>
      </c>
      <c r="CD214" s="417">
        <f>('Income Statement'!CD197-'Income Statement'!BZ197)*10000</f>
        <v>17.525739509668959</v>
      </c>
      <c r="CE214" s="417">
        <f>('Income Statement'!CE197-'Income Statement'!CA197)*10000</f>
        <v>71.181154756241042</v>
      </c>
      <c r="CF214" s="417">
        <f>('Income Statement'!CF197-'Income Statement'!CB197)*10000</f>
        <v>-7.6275146977841661</v>
      </c>
      <c r="CG214" s="520">
        <f>('Income Statement'!CG197-'Income Statement'!CC197)*10000</f>
        <v>-11.27259167512551</v>
      </c>
      <c r="CH214" s="417">
        <f>('Income Statement'!CH197-'Income Statement'!CD197)*10000</f>
        <v>7.6800408260702113</v>
      </c>
      <c r="CI214" s="417">
        <f>('Income Statement'!CI197-'Income Statement'!CE197)*10000</f>
        <v>8.7377768418295254</v>
      </c>
      <c r="CJ214" s="417">
        <f>('Income Statement'!CJ197-'Income Statement'!CF197)*10000</f>
        <v>142.23655885446357</v>
      </c>
      <c r="CK214" s="520">
        <f>('Income Statement'!CK197-'Income Statement'!CG197)*10000</f>
        <v>103.26854841809119</v>
      </c>
      <c r="CL214" s="1264">
        <f>('Income Statement'!CL197-'Income Statement'!CH197)*10000</f>
        <v>-68.174075128623883</v>
      </c>
      <c r="CM214" s="1264">
        <f>('Income Statement'!CM197-'Income Statement'!CI197)*10000</f>
        <v>-86.23487441673322</v>
      </c>
      <c r="CN214" s="1264">
        <f>('Income Statement'!CN197-'Income Statement'!CJ197)*10000</f>
        <v>-23.633667038110705</v>
      </c>
      <c r="CO214" s="1168">
        <f>('Income Statement'!CO197-'Income Statement'!CK197)*10000</f>
        <v>-43.584066383420272</v>
      </c>
      <c r="CP214" s="1264">
        <f>('Income Statement'!CP197-'Income Statement'!CL197)*10000</f>
        <v>28.61036475658635</v>
      </c>
      <c r="CQ214" s="1264">
        <f>('Income Statement'!CQ197-'Income Statement'!CM197)*10000</f>
        <v>-35.783420087965588</v>
      </c>
      <c r="CR214" s="1264">
        <f>('Income Statement'!CR197-'Income Statement'!CN197)*10000</f>
        <v>-142.55451440108646</v>
      </c>
      <c r="CS214" s="1168">
        <f>('Income Statement'!CS197-'Income Statement'!CO197)*10000</f>
        <v>-98.752228163992712</v>
      </c>
      <c r="CT214" s="1264">
        <f>('Income Statement'!CT197-'Income Statement'!CP197)*10000</f>
        <v>-108.18901924713326</v>
      </c>
      <c r="CU214" s="1264">
        <f>('Income Statement'!CU197-'Income Statement'!CQ197)*10000</f>
        <v>-139.18372901382676</v>
      </c>
      <c r="CV214" s="1264">
        <f>('Income Statement'!CV197-'Income Statement'!CR197)*10000</f>
        <v>-134.73881798428539</v>
      </c>
      <c r="CW214" s="1168">
        <f>('Income Statement'!CW197-'Income Statement'!CS197)*10000</f>
        <v>-13.969755555246211</v>
      </c>
      <c r="CX214" s="1155">
        <f>('Income Statement'!CX197-'Income Statement'!CT197)*10000</f>
        <v>26.140038268929466</v>
      </c>
      <c r="CY214" s="1155">
        <f>('Income Statement'!CY197-'Income Statement'!CU197)*10000</f>
        <v>66.650399776252144</v>
      </c>
      <c r="CZ214" s="1264">
        <f>('Income Statement'!CZ197-'Income Statement'!CV197)*10000</f>
        <v>64.479010060712056</v>
      </c>
      <c r="DA214" s="1168">
        <f>('Income Statement'!DA197-'Income Statement'!CW197)*10000</f>
        <v>36.747528753372507</v>
      </c>
      <c r="DB214" s="1264">
        <f>('Income Statement'!DB197-'Income Statement'!CX197)*10000</f>
        <v>-7.6478931050963368</v>
      </c>
      <c r="DC214" s="1264">
        <f>('Income Statement'!DC197-'Income Statement'!CY197)*10000</f>
        <v>-42.258820133027342</v>
      </c>
      <c r="DD214" s="1155">
        <f>('Income Statement'!DD197-'Income Statement'!CZ197)*10000</f>
        <v>-10.911321286533049</v>
      </c>
      <c r="DE214" s="1168">
        <f>('Income Statement'!DE197-'Income Statement'!DA197)*10000</f>
        <v>-3.3906243992129492</v>
      </c>
      <c r="DF214" s="1264">
        <f>('Income Statement'!DF197-'Income Statement'!DB197)*10000</f>
        <v>-20.32862908736416</v>
      </c>
      <c r="DG214" s="1264">
        <f>('Income Statement'!DG197-'Income Statement'!DC197)*10000</f>
        <v>-29.663753119550663</v>
      </c>
      <c r="DH214" s="1264">
        <f>('Income Statement'!DH197-'Income Statement'!DD197)*10000</f>
        <v>-39.950868085126821</v>
      </c>
      <c r="DI214" s="1168">
        <f>('Income Statement'!DI197-'Income Statement'!DE197)*10000</f>
        <v>0.27896337210925326</v>
      </c>
      <c r="DJ214" s="2707">
        <f>('Income Statement'!DJ197-'Income Statement'!DF197)*10000</f>
        <v>-1.1532931452412631</v>
      </c>
      <c r="DK214" s="1155">
        <f>('Income Statement'!DK197-'Income Statement'!DG197)*10000</f>
        <v>-9.4306798840151913</v>
      </c>
      <c r="DL214" s="1155">
        <f>('Income Statement'!DL197-'Income Statement'!DH197)*10000</f>
        <v>-14.943019908793264</v>
      </c>
      <c r="DM214" s="1168">
        <f>('Income Statement'!DM197-'Income Statement'!DI197)*10000</f>
        <v>9.1030527670923895</v>
      </c>
      <c r="DN214" s="1266"/>
      <c r="DO214" s="1168"/>
      <c r="DP214" s="226"/>
      <c r="DQ214" s="226"/>
      <c r="DR214" s="226"/>
      <c r="DS214" s="226"/>
      <c r="DT214" s="226"/>
      <c r="DU214" s="227"/>
      <c r="DV214" s="227"/>
      <c r="DW214" s="227"/>
      <c r="DX214" s="227"/>
      <c r="DY214" s="228"/>
      <c r="DZ214" s="228"/>
      <c r="EA214" s="228"/>
      <c r="EB214" s="228"/>
      <c r="EC214" s="228"/>
      <c r="ED214" s="228"/>
      <c r="EE214" s="228"/>
      <c r="EF214" s="228"/>
      <c r="EG214" s="228"/>
      <c r="EH214" s="228"/>
      <c r="EI214" s="77"/>
      <c r="EJ214" s="417">
        <f>('Income Statement'!EJ197-'Income Statement'!EI197)*10000</f>
        <v>129.59336492862323</v>
      </c>
      <c r="EK214" s="417">
        <f>('Income Statement'!EK197-'Income Statement'!EJ197)*10000</f>
        <v>-87.593123989185287</v>
      </c>
      <c r="EL214" s="417">
        <f>('Income Statement'!EL197-'Income Statement'!EK197)*10000</f>
        <v>-38.820556790631898</v>
      </c>
      <c r="EM214" s="417">
        <f>('Income Statement'!EM197-'Income Statement'!EL197)*10000</f>
        <v>150.59016840058726</v>
      </c>
      <c r="EN214" s="417">
        <f>('Income Statement'!EN197-'Income Statement'!EM197)*10000</f>
        <v>-9.0202198512320813</v>
      </c>
      <c r="EO214" s="417">
        <f>('Income Statement'!EO197-'Income Statement'!EN197)*10000</f>
        <v>67.068215275064574</v>
      </c>
      <c r="EP214" s="417">
        <f>('Income Statement'!EP197-'Income Statement'!EO197)*10000</f>
        <v>-14.859013290422496</v>
      </c>
      <c r="EQ214" s="417">
        <f>('Income Statement'!EQ197-'Income Statement'!EN197)*10000</f>
        <v>18.771875582302975</v>
      </c>
      <c r="ER214" s="417">
        <f>('Income Statement'!ER197-'Income Statement'!EQ197)*10000</f>
        <v>14.812478031570874</v>
      </c>
      <c r="ES214" s="417">
        <f>('Income Statement'!ES197-'Income Statement'!ER197)*10000</f>
        <v>66.273234996495617</v>
      </c>
      <c r="ET214" s="1264">
        <f>('Income Statement'!ET197-'Income Statement'!ES197)*10000</f>
        <v>-56.193122892984057</v>
      </c>
      <c r="EU214" s="417">
        <f>('Income Statement'!EU197-'Income Statement'!ES197)*10000</f>
        <v>-123.60160678602239</v>
      </c>
      <c r="EV214" s="417">
        <f>('Income Statement'!EV197-'Income Statement'!EU197)*10000</f>
        <v>-91.377077629601899</v>
      </c>
      <c r="EW214" s="417">
        <f>('Income Statement'!EW197-'Income Statement'!EV197)*10000</f>
        <v>50.796860752060077</v>
      </c>
      <c r="EX214" s="1264">
        <f>('Income Statement'!EX197-'Income Statement'!EW197)*10000</f>
        <v>-12.935453106959482</v>
      </c>
      <c r="EY214" s="1264">
        <f>('Income Statement'!EY197-'Income Statement'!EX197)*10000</f>
        <v>-29.828569011051687</v>
      </c>
      <c r="EZ214" s="1775">
        <f>('Income Statement'!EZ197-'Income Statement'!EY197)*10000</f>
        <v>-0.12321069924714489</v>
      </c>
      <c r="FA214" s="417">
        <f>('Income Statement'!FA197-'Income Statement'!EZ197)*10000</f>
        <v>-10.288800864674819</v>
      </c>
      <c r="FB214" s="417">
        <f>('Income Statement'!FB197-'Income Statement'!FA197)*10000</f>
        <v>-4.9836575174264102</v>
      </c>
      <c r="FC214" s="417">
        <f>('Income Statement'!FC197-'Income Statement'!FB197)*10000</f>
        <v>-0.54565116979016226</v>
      </c>
      <c r="FD214" s="417">
        <f>('Income Statement'!FD197-'Income Statement'!FC197)*10000</f>
        <v>-0.61087199015930072</v>
      </c>
      <c r="FE214" s="417">
        <f>('Income Statement'!FE197-'Income Statement'!FD197)*10000</f>
        <v>-0.60593174925321902</v>
      </c>
      <c r="FF214" s="417">
        <f>('Income Statement'!FF197-'Income Statement'!FE197)*10000</f>
        <v>-0.60070208106971501</v>
      </c>
      <c r="FG214" s="417">
        <f>('Income Statement'!FG197-'Income Statement'!FF197)*10000</f>
        <v>-0.595175924806568</v>
      </c>
      <c r="FH214" s="417">
        <f>('Income Statement'!FH197-'Income Statement'!FG197)*10000</f>
        <v>-0.58934690912337828</v>
      </c>
      <c r="FI214" s="413"/>
      <c r="FJ214"/>
      <c r="FK214"/>
      <c r="FL214"/>
      <c r="FM214"/>
      <c r="FN214"/>
      <c r="FO214"/>
      <c r="FS214" s="1155"/>
      <c r="FT214" s="1155"/>
      <c r="FU214"/>
      <c r="FV214" s="1155"/>
      <c r="FW214" s="1155"/>
      <c r="FX214" s="1155"/>
      <c r="FY214"/>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row>
    <row r="215" spans="1:260" s="4" customFormat="1" x14ac:dyDescent="0.2">
      <c r="A215" s="282"/>
      <c r="B215" s="1267"/>
      <c r="C215" s="1267"/>
      <c r="D215" s="1267"/>
      <c r="E215" s="1268"/>
      <c r="F215" s="228"/>
      <c r="G215" s="228"/>
      <c r="H215" s="228"/>
      <c r="I215" s="481"/>
      <c r="J215" s="228"/>
      <c r="K215" s="228"/>
      <c r="L215" s="228"/>
      <c r="M215" s="481"/>
      <c r="N215" s="228"/>
      <c r="O215" s="228"/>
      <c r="P215" s="228"/>
      <c r="Q215" s="481"/>
      <c r="R215" s="228"/>
      <c r="S215" s="228"/>
      <c r="T215" s="228"/>
      <c r="U215" s="481"/>
      <c r="V215" s="228"/>
      <c r="W215" s="228"/>
      <c r="X215" s="228"/>
      <c r="Y215" s="481"/>
      <c r="Z215" s="228"/>
      <c r="AA215" s="228"/>
      <c r="AB215" s="228"/>
      <c r="AC215" s="481"/>
      <c r="AD215" s="228"/>
      <c r="AE215" s="228"/>
      <c r="AF215" s="228"/>
      <c r="AG215" s="481"/>
      <c r="AH215" s="228"/>
      <c r="AI215" s="228"/>
      <c r="AJ215" s="228"/>
      <c r="AK215" s="481"/>
      <c r="AL215" s="228"/>
      <c r="AM215" s="228"/>
      <c r="AN215" s="228"/>
      <c r="AO215" s="481"/>
      <c r="AP215" s="228"/>
      <c r="AQ215" s="228"/>
      <c r="AR215" s="228"/>
      <c r="AS215" s="481"/>
      <c r="AT215" s="228"/>
      <c r="AU215" s="228"/>
      <c r="AV215" s="228"/>
      <c r="AW215" s="481"/>
      <c r="AX215" s="228"/>
      <c r="AY215" s="228"/>
      <c r="AZ215" s="228"/>
      <c r="BA215" s="481"/>
      <c r="BB215" s="417"/>
      <c r="BC215" s="417"/>
      <c r="BD215" s="417"/>
      <c r="BE215" s="520"/>
      <c r="BF215" s="417"/>
      <c r="BG215" s="417"/>
      <c r="BH215" s="417"/>
      <c r="BI215" s="520"/>
      <c r="BJ215" s="417"/>
      <c r="BK215" s="417"/>
      <c r="BL215" s="417"/>
      <c r="BM215" s="520"/>
      <c r="BN215" s="417"/>
      <c r="BO215" s="417"/>
      <c r="BP215" s="417"/>
      <c r="BQ215" s="520"/>
      <c r="BR215" s="77"/>
      <c r="BS215" s="77"/>
      <c r="BT215" s="77"/>
      <c r="BU215" s="487"/>
      <c r="BV215" s="77"/>
      <c r="BW215" s="77"/>
      <c r="BX215" s="77"/>
      <c r="BY215" s="487"/>
      <c r="BZ215" s="417"/>
      <c r="CA215" s="417"/>
      <c r="CB215" s="417"/>
      <c r="CC215" s="520"/>
      <c r="CD215" s="417"/>
      <c r="CE215" s="417"/>
      <c r="CF215" s="417"/>
      <c r="CG215" s="520"/>
      <c r="CH215" s="417"/>
      <c r="CI215" s="417"/>
      <c r="CJ215" s="417"/>
      <c r="CK215" s="520"/>
      <c r="CL215" s="1264"/>
      <c r="CM215" s="1264"/>
      <c r="CN215" s="1264"/>
      <c r="CO215" s="1168"/>
      <c r="CP215" s="1264"/>
      <c r="CQ215" s="1264"/>
      <c r="CR215" s="1264"/>
      <c r="CS215" s="1168"/>
      <c r="CT215" s="1264"/>
      <c r="CU215" s="1264"/>
      <c r="CV215" s="1264"/>
      <c r="CW215" s="1168"/>
      <c r="CX215" s="1155"/>
      <c r="CY215" s="1155"/>
      <c r="CZ215" s="1264"/>
      <c r="DA215" s="1168"/>
      <c r="DB215" s="2092"/>
      <c r="DC215" s="2092"/>
      <c r="DD215" s="2091"/>
      <c r="DE215" s="1947"/>
      <c r="DF215" s="2092"/>
      <c r="DG215" s="2092"/>
      <c r="DH215" s="2092"/>
      <c r="DI215" s="1947"/>
      <c r="DJ215" s="2225"/>
      <c r="DK215" s="2091"/>
      <c r="DL215" s="2091"/>
      <c r="DM215" s="1947"/>
      <c r="DN215" s="1266"/>
      <c r="DO215" s="1168"/>
      <c r="DP215" s="226"/>
      <c r="DQ215" s="226"/>
      <c r="DR215" s="226"/>
      <c r="DS215" s="226"/>
      <c r="DT215" s="226"/>
      <c r="DU215" s="227"/>
      <c r="DV215" s="227"/>
      <c r="DW215" s="227"/>
      <c r="DX215" s="227"/>
      <c r="DY215" s="228"/>
      <c r="DZ215" s="228"/>
      <c r="EA215" s="228"/>
      <c r="EB215" s="228"/>
      <c r="EC215" s="228"/>
      <c r="ED215" s="228"/>
      <c r="EE215" s="228"/>
      <c r="EF215" s="228"/>
      <c r="EG215" s="228"/>
      <c r="EH215" s="228"/>
      <c r="EI215" s="77"/>
      <c r="EJ215" s="417"/>
      <c r="EK215" s="417"/>
      <c r="EL215" s="417"/>
      <c r="EM215" s="417"/>
      <c r="EN215" s="417"/>
      <c r="EO215" s="417"/>
      <c r="EP215" s="417"/>
      <c r="EQ215" s="417"/>
      <c r="ER215" s="417"/>
      <c r="ES215" s="417"/>
      <c r="ET215" s="1264"/>
      <c r="EU215" s="417"/>
      <c r="EV215" s="417"/>
      <c r="EW215" s="417"/>
      <c r="EX215" s="1264"/>
      <c r="EY215" s="1264"/>
      <c r="EZ215" s="1775"/>
      <c r="FA215" s="417"/>
      <c r="FB215" s="417"/>
      <c r="FC215" s="417"/>
      <c r="FD215" s="417"/>
      <c r="FE215" s="417"/>
      <c r="FF215" s="417"/>
      <c r="FG215" s="417"/>
      <c r="FH215" s="417"/>
      <c r="FI215" s="413"/>
      <c r="FJ215"/>
      <c r="FK215"/>
      <c r="FL215"/>
      <c r="FM215"/>
      <c r="FN215"/>
      <c r="FO215"/>
      <c r="FS215" s="1155"/>
      <c r="FT215" s="1155"/>
      <c r="FU215"/>
      <c r="FV215" s="1155"/>
      <c r="FW215" s="1155"/>
      <c r="FX215" s="1155"/>
      <c r="FY215"/>
      <c r="FZ215"/>
      <c r="GA215"/>
      <c r="GB215"/>
      <c r="GC215"/>
      <c r="GD215"/>
      <c r="GE215"/>
      <c r="GF215"/>
      <c r="GG215"/>
      <c r="GH215"/>
      <c r="GI215"/>
      <c r="GJ215"/>
      <c r="GK215"/>
      <c r="GL215"/>
      <c r="GM215"/>
      <c r="GN215"/>
      <c r="GO215"/>
      <c r="GP215"/>
      <c r="GQ215"/>
      <c r="GR215"/>
      <c r="GS215"/>
      <c r="GT215"/>
      <c r="GU215"/>
      <c r="GV215"/>
      <c r="GW215"/>
      <c r="GX215"/>
      <c r="GY215"/>
      <c r="GZ215"/>
      <c r="HA215"/>
      <c r="HB215"/>
      <c r="HC215"/>
      <c r="HD215"/>
      <c r="HE215"/>
      <c r="HF215"/>
      <c r="HG215"/>
      <c r="HH215"/>
      <c r="HI215"/>
      <c r="HJ215"/>
      <c r="HK215"/>
      <c r="HL215"/>
      <c r="HM215"/>
      <c r="HN215"/>
      <c r="HO215"/>
      <c r="HP215"/>
      <c r="HQ215"/>
      <c r="HR215"/>
      <c r="HS215"/>
      <c r="HT215"/>
      <c r="HU215"/>
      <c r="HV215"/>
      <c r="HW215"/>
      <c r="HX215"/>
      <c r="HY215"/>
      <c r="HZ215"/>
      <c r="IA215"/>
      <c r="IB215"/>
      <c r="IC215"/>
      <c r="ID215"/>
      <c r="IE215"/>
      <c r="IF215"/>
      <c r="IG215"/>
      <c r="IH215"/>
      <c r="II215"/>
      <c r="IJ215"/>
      <c r="IK215"/>
      <c r="IL215"/>
      <c r="IM215"/>
      <c r="IN215"/>
      <c r="IO215"/>
      <c r="IP215"/>
      <c r="IQ215"/>
      <c r="IR215"/>
      <c r="IS215"/>
      <c r="IT215"/>
      <c r="IU215"/>
      <c r="IV215"/>
      <c r="IW215"/>
      <c r="IX215"/>
      <c r="IY215"/>
      <c r="IZ215"/>
    </row>
    <row r="216" spans="1:260" s="4" customFormat="1" x14ac:dyDescent="0.2">
      <c r="A216" s="282" t="s">
        <v>355</v>
      </c>
      <c r="B216" s="1267"/>
      <c r="C216" s="1267"/>
      <c r="D216" s="1267"/>
      <c r="E216" s="1268"/>
      <c r="F216" s="213" t="s">
        <v>483</v>
      </c>
      <c r="G216" s="213" t="s">
        <v>483</v>
      </c>
      <c r="H216" s="213" t="s">
        <v>483</v>
      </c>
      <c r="I216" s="490" t="s">
        <v>483</v>
      </c>
      <c r="J216" s="213" t="s">
        <v>483</v>
      </c>
      <c r="K216" s="213" t="s">
        <v>483</v>
      </c>
      <c r="L216" s="213" t="s">
        <v>483</v>
      </c>
      <c r="M216" s="490" t="s">
        <v>483</v>
      </c>
      <c r="N216" s="213" t="s">
        <v>483</v>
      </c>
      <c r="O216" s="213" t="s">
        <v>483</v>
      </c>
      <c r="P216" s="213" t="s">
        <v>483</v>
      </c>
      <c r="Q216" s="490" t="s">
        <v>483</v>
      </c>
      <c r="R216" s="213" t="s">
        <v>483</v>
      </c>
      <c r="S216" s="213" t="s">
        <v>483</v>
      </c>
      <c r="T216" s="213" t="s">
        <v>483</v>
      </c>
      <c r="U216" s="490" t="s">
        <v>483</v>
      </c>
      <c r="V216" s="213" t="s">
        <v>483</v>
      </c>
      <c r="W216" s="213" t="s">
        <v>483</v>
      </c>
      <c r="X216" s="213" t="s">
        <v>483</v>
      </c>
      <c r="Y216" s="490" t="s">
        <v>483</v>
      </c>
      <c r="Z216" s="213" t="s">
        <v>483</v>
      </c>
      <c r="AA216" s="213" t="s">
        <v>483</v>
      </c>
      <c r="AB216" s="213" t="s">
        <v>483</v>
      </c>
      <c r="AC216" s="490" t="s">
        <v>483</v>
      </c>
      <c r="AD216" s="213" t="s">
        <v>483</v>
      </c>
      <c r="AE216" s="213" t="s">
        <v>483</v>
      </c>
      <c r="AF216" s="213" t="s">
        <v>483</v>
      </c>
      <c r="AG216" s="490" t="s">
        <v>483</v>
      </c>
      <c r="AH216" s="213" t="s">
        <v>483</v>
      </c>
      <c r="AI216" s="213" t="s">
        <v>483</v>
      </c>
      <c r="AJ216" s="213" t="s">
        <v>483</v>
      </c>
      <c r="AK216" s="490" t="s">
        <v>483</v>
      </c>
      <c r="AL216" s="213" t="s">
        <v>483</v>
      </c>
      <c r="AM216" s="213" t="s">
        <v>483</v>
      </c>
      <c r="AN216" s="213" t="s">
        <v>483</v>
      </c>
      <c r="AO216" s="490" t="s">
        <v>483</v>
      </c>
      <c r="AP216" s="213" t="s">
        <v>483</v>
      </c>
      <c r="AQ216" s="213" t="s">
        <v>483</v>
      </c>
      <c r="AR216" s="213" t="s">
        <v>483</v>
      </c>
      <c r="AS216" s="490" t="s">
        <v>483</v>
      </c>
      <c r="AT216" s="213" t="s">
        <v>483</v>
      </c>
      <c r="AU216" s="213" t="s">
        <v>483</v>
      </c>
      <c r="AV216" s="213" t="s">
        <v>483</v>
      </c>
      <c r="AW216" s="490" t="s">
        <v>483</v>
      </c>
      <c r="AX216" s="213" t="s">
        <v>483</v>
      </c>
      <c r="AY216" s="213" t="s">
        <v>483</v>
      </c>
      <c r="AZ216" s="213" t="s">
        <v>483</v>
      </c>
      <c r="BA216" s="490" t="s">
        <v>483</v>
      </c>
      <c r="BB216" s="417">
        <f>('Income Statement'!BB199-'Income Statement'!AX199)*10000</f>
        <v>100.84907190252554</v>
      </c>
      <c r="BC216" s="417">
        <f>('Income Statement'!BC199-'Income Statement'!AY199)*10000</f>
        <v>72.601230384108931</v>
      </c>
      <c r="BD216" s="417">
        <f>('Income Statement'!BD199-'Income Statement'!AZ199)*10000</f>
        <v>-46.765063935341296</v>
      </c>
      <c r="BE216" s="520">
        <f>('Income Statement'!BE199-'Income Statement'!BA199)*10000</f>
        <v>1.4149090571442813</v>
      </c>
      <c r="BF216" s="417">
        <f>('Income Statement'!BF199-'Income Statement'!BB199)*10000</f>
        <v>-139.47581711839177</v>
      </c>
      <c r="BG216" s="417">
        <f>('Income Statement'!BG199-'Income Statement'!BC199)*10000</f>
        <v>-3.5288728063708614</v>
      </c>
      <c r="BH216" s="417">
        <f>('Income Statement'!BH199-'Income Statement'!BD199)*10000</f>
        <v>141.9535106137013</v>
      </c>
      <c r="BI216" s="520">
        <f>('Income Statement'!BI199-'Income Statement'!BE199)*10000</f>
        <v>-17.06683621340785</v>
      </c>
      <c r="BJ216" s="417">
        <f>('Income Statement'!BJ199-'Income Statement'!BF199)*10000</f>
        <v>-30.588477169738795</v>
      </c>
      <c r="BK216" s="417">
        <f>('Income Statement'!BK199-'Income Statement'!BG199)*10000</f>
        <v>-107.57430866394171</v>
      </c>
      <c r="BL216" s="417">
        <f>('Income Statement'!BL199-'Income Statement'!BH199)*10000</f>
        <v>-56.00573295107526</v>
      </c>
      <c r="BM216" s="520">
        <f>('Income Statement'!BM199-'Income Statement'!BI199)*10000</f>
        <v>-27.18777153552357</v>
      </c>
      <c r="BN216" s="417">
        <f>('Income Statement'!BN199-'Income Statement'!BJ199)*10000</f>
        <v>64.217980852768193</v>
      </c>
      <c r="BO216" s="417">
        <f>('Income Statement'!BO199-'Income Statement'!BK199)*10000</f>
        <v>-6.6002954685460278</v>
      </c>
      <c r="BP216" s="417">
        <f>('Income Statement'!BP199-'Income Statement'!BL199)*10000</f>
        <v>50.332072677042731</v>
      </c>
      <c r="BQ216" s="520">
        <f>('Income Statement'!BQ199-'Income Statement'!BM199)*10000</f>
        <v>-30.374480232737007</v>
      </c>
      <c r="BR216" s="77"/>
      <c r="BS216" s="77"/>
      <c r="BT216" s="77"/>
      <c r="BU216" s="487"/>
      <c r="BV216" s="77"/>
      <c r="BW216" s="77"/>
      <c r="BX216" s="77"/>
      <c r="BY216" s="487"/>
      <c r="BZ216" s="417">
        <f>('Income Statement'!BZ199-'Income Statement'!BN199)*10000</f>
        <v>14.125476079226775</v>
      </c>
      <c r="CA216" s="417">
        <f>('Income Statement'!CA199-'Income Statement'!BO199)*10000</f>
        <v>59.1182955077537</v>
      </c>
      <c r="CB216" s="417">
        <f>('Income Statement'!CB199-'Income Statement'!BP199)*10000</f>
        <v>19.209589806387442</v>
      </c>
      <c r="CC216" s="520">
        <f>('Income Statement'!CC199-'Income Statement'!BQ199)*10000</f>
        <v>-90.682848196130124</v>
      </c>
      <c r="CD216" s="417">
        <f>('Income Statement'!CD199-'Income Statement'!BZ199)*10000</f>
        <v>-13.876227467196356</v>
      </c>
      <c r="CE216" s="417">
        <f>('Income Statement'!CE199-'Income Statement'!CA199)*10000</f>
        <v>-140.21757268089556</v>
      </c>
      <c r="CF216" s="417">
        <f>('Income Statement'!CF199-'Income Statement'!CB199)*10000</f>
        <v>-105.3373139034219</v>
      </c>
      <c r="CG216" s="520">
        <f>('Income Statement'!CG199-'Income Statement'!CC199)*10000</f>
        <v>-42.761153562263928</v>
      </c>
      <c r="CH216" s="417">
        <f>('Income Statement'!CH199-'Income Statement'!CD199)*10000</f>
        <v>42.219933310842855</v>
      </c>
      <c r="CI216" s="417">
        <f>('Income Statement'!CI199-'Income Statement'!CE199)*10000</f>
        <v>-76.62022547812272</v>
      </c>
      <c r="CJ216" s="417">
        <f>('Income Statement'!CJ199-'Income Statement'!CF199)*10000</f>
        <v>-243.96120668837813</v>
      </c>
      <c r="CK216" s="520">
        <f>('Income Statement'!CK199-'Income Statement'!CG199)*10000</f>
        <v>-148.64999985751976</v>
      </c>
      <c r="CL216" s="1264">
        <f>('Income Statement'!CL199-'Income Statement'!CH199)*10000</f>
        <v>14.735887553842669</v>
      </c>
      <c r="CM216" s="1264">
        <f>('Income Statement'!CM199-'Income Statement'!CI199)*10000</f>
        <v>1.2815583749839834</v>
      </c>
      <c r="CN216" s="1264">
        <f>('Income Statement'!CN199-'Income Statement'!CJ199)*10000</f>
        <v>0</v>
      </c>
      <c r="CO216" s="1168">
        <f>('Income Statement'!CO199-'Income Statement'!CK199)*10000</f>
        <v>0</v>
      </c>
      <c r="CP216" s="1264">
        <f>('Income Statement'!CP199-'Income Statement'!CL199)*10000</f>
        <v>-207.40713942896005</v>
      </c>
      <c r="CQ216" s="1264">
        <f>('Income Statement'!CQ199-'Income Statement'!CM199)*10000</f>
        <v>39.392879233108893</v>
      </c>
      <c r="CR216" s="1264">
        <f>('Income Statement'!CR199-'Income Statement'!CN199)*10000</f>
        <v>116.60807284758887</v>
      </c>
      <c r="CS216" s="1168">
        <f>('Income Statement'!CS199-'Income Statement'!CO199)*10000</f>
        <v>-145.61782144474628</v>
      </c>
      <c r="CT216" s="1264">
        <f>('Income Statement'!CT199-'Income Statement'!CP199)*10000</f>
        <v>17.624588643954596</v>
      </c>
      <c r="CU216" s="1264">
        <f>('Income Statement'!CU199-'Income Statement'!CQ199)*10000</f>
        <v>90.981735401780867</v>
      </c>
      <c r="CV216" s="1264">
        <f>('Income Statement'!CV199-'Income Statement'!CR199)*10000</f>
        <v>87.247385634482427</v>
      </c>
      <c r="CW216" s="1168">
        <f>('Income Statement'!CW199-'Income Statement'!CS199)*10000</f>
        <v>145.85183851500199</v>
      </c>
      <c r="CX216" s="1155">
        <f>('Income Statement'!CX199-'Income Statement'!CT199)*10000</f>
        <v>-5.4575434718055762</v>
      </c>
      <c r="CY216" s="1155">
        <f>('Income Statement'!CY199-'Income Statement'!CU199)*10000</f>
        <v>28.698696653296981</v>
      </c>
      <c r="CZ216" s="1264">
        <f>('Income Statement'!CZ199-'Income Statement'!CV199)*10000</f>
        <v>35.060090993341909</v>
      </c>
      <c r="DA216" s="1168">
        <f>('Income Statement'!DA199-'Income Statement'!CW199)*10000</f>
        <v>-9.3922987910577405</v>
      </c>
      <c r="DB216" s="1155">
        <f>('Income Statement'!DB199-'Income Statement'!CX199)*10000</f>
        <v>6.1525824252587835</v>
      </c>
      <c r="DC216" s="1264">
        <f>('Income Statement'!DC199-'Income Statement'!CY199)*10000</f>
        <v>-19.548333920143754</v>
      </c>
      <c r="DD216" s="1155">
        <f>('Income Statement'!DD199-'Income Statement'!CZ199)*10000</f>
        <v>62.131827487639065</v>
      </c>
      <c r="DE216" s="1168">
        <f>('Income Statement'!DE199-'Income Statement'!DA199)*10000</f>
        <v>72.824253269846636</v>
      </c>
      <c r="DF216" s="1155">
        <f>('Income Statement'!DF199-'Income Statement'!DB199)*10000</f>
        <v>72.645117495671215</v>
      </c>
      <c r="DG216" s="1155">
        <f>('Income Statement'!DG199-'Income Statement'!DC199)*10000</f>
        <v>18.21391242562115</v>
      </c>
      <c r="DH216" s="1155">
        <f>('Income Statement'!DH199-'Income Statement'!DD199)*10000</f>
        <v>40.101628746614033</v>
      </c>
      <c r="DI216" s="1168">
        <f>('Income Statement'!DI199-'Income Statement'!DE199)*10000</f>
        <v>-14.388056399034788</v>
      </c>
      <c r="DJ216" s="2707">
        <f>('Income Statement'!DJ199-'Income Statement'!DF199)*10000</f>
        <v>-16.643073811931295</v>
      </c>
      <c r="DK216" s="1155">
        <f>('Income Statement'!DK199-'Income Statement'!DG199)*10000</f>
        <v>-2.0116054158610117</v>
      </c>
      <c r="DL216" s="1155">
        <f>('Income Statement'!DL199-'Income Statement'!DH199)*10000</f>
        <v>3.6874337533858439</v>
      </c>
      <c r="DM216" s="1168">
        <f>('Income Statement'!DM199-'Income Statement'!DI199)*10000</f>
        <v>3.6902123400302242</v>
      </c>
      <c r="DN216" s="1266"/>
      <c r="DO216" s="1168"/>
      <c r="DP216" s="226"/>
      <c r="DQ216" s="226"/>
      <c r="DR216" s="226"/>
      <c r="DS216" s="226"/>
      <c r="DT216" s="226"/>
      <c r="DU216" s="227"/>
      <c r="DV216" s="227"/>
      <c r="DW216" s="227"/>
      <c r="DX216" s="227"/>
      <c r="DY216" s="228"/>
      <c r="DZ216" s="228"/>
      <c r="EA216" s="228"/>
      <c r="EB216" s="228"/>
      <c r="EC216" s="228"/>
      <c r="ED216" s="228"/>
      <c r="EE216" s="228"/>
      <c r="EF216" s="228"/>
      <c r="EG216" s="228"/>
      <c r="EH216" s="228"/>
      <c r="EI216" s="77"/>
      <c r="EJ216" s="417">
        <f>('Income Statement'!EJ199-'Income Statement'!EI199)*10000</f>
        <v>14.517058987331202</v>
      </c>
      <c r="EK216" s="417">
        <f>('Income Statement'!EK199-'Income Statement'!EJ199)*10000</f>
        <v>32.590935914388261</v>
      </c>
      <c r="EL216" s="417">
        <f>('Income Statement'!EL199-'Income Statement'!EK199)*10000</f>
        <v>-12.897206290913843</v>
      </c>
      <c r="EM216" s="417">
        <f>('Income Statement'!EM199-'Income Statement'!EL199)*10000</f>
        <v>-59.150094543304057</v>
      </c>
      <c r="EN216" s="417">
        <f>('Income Statement'!EN199-'Income Statement'!EM199)*10000</f>
        <v>21.172904943249428</v>
      </c>
      <c r="EO216" s="417"/>
      <c r="EP216" s="417"/>
      <c r="EQ216" s="417"/>
      <c r="ER216" s="417"/>
      <c r="ES216" s="417"/>
      <c r="ET216" s="1264"/>
      <c r="EU216" s="417">
        <f>('Income Statement'!EU199-'Income Statement'!ES199)*10000</f>
        <v>-63.538215773466312</v>
      </c>
      <c r="EV216" s="417">
        <f>('Income Statement'!EV199-'Income Statement'!EU199)*10000</f>
        <v>94.849393159441235</v>
      </c>
      <c r="EW216" s="417">
        <f>('Income Statement'!EW199-'Income Statement'!EV199)*10000</f>
        <v>7.5192576201287693</v>
      </c>
      <c r="EX216" s="1264">
        <f>('Income Statement'!EX199-'Income Statement'!EW199)*10000</f>
        <v>34.99908341828263</v>
      </c>
      <c r="EY216" s="1264">
        <f>('Income Statement'!EY199-'Income Statement'!EX199)*10000</f>
        <v>29.274446524023833</v>
      </c>
      <c r="EZ216" s="1775">
        <f>('Income Statement'!EZ199-'Income Statement'!EY199)*10000</f>
        <v>-3.2365571158939761</v>
      </c>
      <c r="FA216" s="417">
        <f>('Income Statement'!FA199-'Income Statement'!EZ199)*10000</f>
        <v>6.1786190888909323</v>
      </c>
      <c r="FB216" s="417">
        <f>('Income Statement'!FB199-'Income Statement'!FA199)*10000</f>
        <v>7.999999999999674</v>
      </c>
      <c r="FC216" s="417">
        <f>('Income Statement'!FC199-'Income Statement'!FB199)*10000</f>
        <v>-5.0000000000000044</v>
      </c>
      <c r="FD216" s="417">
        <f>('Income Statement'!FD199-'Income Statement'!FC199)*10000</f>
        <v>-4.9999999999996572</v>
      </c>
      <c r="FE216" s="417">
        <f>('Income Statement'!FE199-'Income Statement'!FD199)*10000</f>
        <v>-5.0000000000003517</v>
      </c>
      <c r="FF216" s="417">
        <f>('Income Statement'!FF199-'Income Statement'!FE199)*10000</f>
        <v>-4.9999999999999352</v>
      </c>
      <c r="FG216" s="417">
        <f>('Income Statement'!FG199-'Income Statement'!FF199)*10000</f>
        <v>-4.9999999999998659</v>
      </c>
      <c r="FH216" s="417">
        <f>('Income Statement'!FH199-'Income Statement'!FG199)*10000</f>
        <v>-5.0000000000000044</v>
      </c>
      <c r="FI216" s="413"/>
      <c r="FJ216"/>
      <c r="FK216"/>
      <c r="FL216"/>
      <c r="FM216"/>
      <c r="FN216"/>
      <c r="FO216"/>
      <c r="FS216" s="1155"/>
      <c r="FT216" s="1155"/>
      <c r="FU216"/>
      <c r="FV216" s="1155"/>
      <c r="FW216" s="1155"/>
      <c r="FX216" s="1155"/>
      <c r="FY216"/>
      <c r="FZ216"/>
      <c r="GA216"/>
      <c r="GB216"/>
      <c r="GC216"/>
      <c r="GD216"/>
      <c r="GE216"/>
      <c r="GF216"/>
      <c r="GG216"/>
      <c r="GH216"/>
      <c r="GI216"/>
      <c r="GJ216"/>
      <c r="GK216"/>
      <c r="GL216"/>
      <c r="GM216"/>
      <c r="GN216"/>
      <c r="GO216"/>
      <c r="GP216"/>
      <c r="GQ216"/>
      <c r="GR216"/>
      <c r="GS216"/>
      <c r="GT216"/>
      <c r="GU216"/>
      <c r="GV216"/>
      <c r="GW216"/>
      <c r="GX216"/>
      <c r="GY216"/>
      <c r="GZ216"/>
      <c r="HA216"/>
      <c r="HB216"/>
      <c r="HC216"/>
      <c r="HD216"/>
      <c r="HE216"/>
      <c r="HF216"/>
      <c r="HG216"/>
      <c r="HH216"/>
      <c r="HI216"/>
      <c r="HJ216"/>
      <c r="HK216"/>
      <c r="HL216"/>
      <c r="HM216"/>
      <c r="HN216"/>
      <c r="HO216"/>
      <c r="HP216"/>
      <c r="HQ216"/>
      <c r="HR216"/>
      <c r="HS216"/>
      <c r="HT216"/>
      <c r="HU216"/>
      <c r="HV216"/>
      <c r="HW216"/>
      <c r="HX216"/>
      <c r="HY216"/>
      <c r="HZ216"/>
      <c r="IA216"/>
      <c r="IB216"/>
      <c r="IC216"/>
      <c r="ID216"/>
      <c r="IE216"/>
      <c r="IF216"/>
      <c r="IG216"/>
      <c r="IH216"/>
      <c r="II216"/>
      <c r="IJ216"/>
      <c r="IK216"/>
      <c r="IL216"/>
      <c r="IM216"/>
      <c r="IN216"/>
      <c r="IO216"/>
      <c r="IP216"/>
      <c r="IQ216"/>
      <c r="IR216"/>
      <c r="IS216"/>
      <c r="IT216"/>
      <c r="IU216"/>
      <c r="IV216"/>
      <c r="IW216"/>
      <c r="IX216"/>
      <c r="IY216"/>
      <c r="IZ216"/>
    </row>
    <row r="217" spans="1:260" s="4" customFormat="1" x14ac:dyDescent="0.2">
      <c r="A217" s="282" t="s">
        <v>25</v>
      </c>
      <c r="B217" s="1267"/>
      <c r="C217" s="1267"/>
      <c r="D217" s="1267"/>
      <c r="E217" s="1268"/>
      <c r="F217" s="213" t="s">
        <v>483</v>
      </c>
      <c r="G217" s="213" t="s">
        <v>483</v>
      </c>
      <c r="H217" s="213" t="s">
        <v>483</v>
      </c>
      <c r="I217" s="490" t="s">
        <v>483</v>
      </c>
      <c r="J217" s="213" t="s">
        <v>483</v>
      </c>
      <c r="K217" s="213" t="s">
        <v>483</v>
      </c>
      <c r="L217" s="213" t="s">
        <v>483</v>
      </c>
      <c r="M217" s="490" t="s">
        <v>483</v>
      </c>
      <c r="N217" s="213" t="s">
        <v>483</v>
      </c>
      <c r="O217" s="213" t="s">
        <v>483</v>
      </c>
      <c r="P217" s="213" t="s">
        <v>483</v>
      </c>
      <c r="Q217" s="490" t="s">
        <v>483</v>
      </c>
      <c r="R217" s="213" t="s">
        <v>483</v>
      </c>
      <c r="S217" s="213" t="s">
        <v>483</v>
      </c>
      <c r="T217" s="213" t="s">
        <v>483</v>
      </c>
      <c r="U217" s="490" t="s">
        <v>483</v>
      </c>
      <c r="V217" s="213" t="s">
        <v>483</v>
      </c>
      <c r="W217" s="213" t="s">
        <v>483</v>
      </c>
      <c r="X217" s="213" t="s">
        <v>483</v>
      </c>
      <c r="Y217" s="490" t="s">
        <v>483</v>
      </c>
      <c r="Z217" s="213" t="s">
        <v>483</v>
      </c>
      <c r="AA217" s="213" t="s">
        <v>483</v>
      </c>
      <c r="AB217" s="213" t="s">
        <v>483</v>
      </c>
      <c r="AC217" s="490" t="s">
        <v>483</v>
      </c>
      <c r="AD217" s="213" t="s">
        <v>483</v>
      </c>
      <c r="AE217" s="213" t="s">
        <v>483</v>
      </c>
      <c r="AF217" s="213" t="s">
        <v>483</v>
      </c>
      <c r="AG217" s="490" t="s">
        <v>483</v>
      </c>
      <c r="AH217" s="213" t="s">
        <v>483</v>
      </c>
      <c r="AI217" s="213" t="s">
        <v>483</v>
      </c>
      <c r="AJ217" s="213" t="s">
        <v>483</v>
      </c>
      <c r="AK217" s="490" t="s">
        <v>483</v>
      </c>
      <c r="AL217" s="213" t="s">
        <v>483</v>
      </c>
      <c r="AM217" s="213" t="s">
        <v>483</v>
      </c>
      <c r="AN217" s="213" t="s">
        <v>483</v>
      </c>
      <c r="AO217" s="490" t="s">
        <v>483</v>
      </c>
      <c r="AP217" s="213" t="s">
        <v>483</v>
      </c>
      <c r="AQ217" s="213" t="s">
        <v>483</v>
      </c>
      <c r="AR217" s="213" t="s">
        <v>483</v>
      </c>
      <c r="AS217" s="490" t="s">
        <v>483</v>
      </c>
      <c r="AT217" s="213" t="s">
        <v>483</v>
      </c>
      <c r="AU217" s="213" t="s">
        <v>483</v>
      </c>
      <c r="AV217" s="213" t="s">
        <v>483</v>
      </c>
      <c r="AW217" s="490" t="s">
        <v>483</v>
      </c>
      <c r="AX217" s="213" t="s">
        <v>483</v>
      </c>
      <c r="AY217" s="213" t="s">
        <v>483</v>
      </c>
      <c r="AZ217" s="213" t="s">
        <v>483</v>
      </c>
      <c r="BA217" s="490" t="s">
        <v>483</v>
      </c>
      <c r="BB217" s="417">
        <f>('Income Statement'!BB200-'Income Statement'!AX200)*10000</f>
        <v>90.000000000000014</v>
      </c>
      <c r="BC217" s="417">
        <f>('Income Statement'!BC200-'Income Statement'!AY200)*10000</f>
        <v>-80</v>
      </c>
      <c r="BD217" s="417">
        <f>('Income Statement'!BD200-'Income Statement'!AZ200)*10000</f>
        <v>180.00000000000003</v>
      </c>
      <c r="BE217" s="520">
        <f>('Income Statement'!BE200-'Income Statement'!BA200)*10000</f>
        <v>-24.986225895316792</v>
      </c>
      <c r="BF217" s="417">
        <f>('Income Statement'!BF200-'Income Statement'!BB200)*10000</f>
        <v>-70</v>
      </c>
      <c r="BG217" s="417">
        <f>('Income Statement'!BG200-'Income Statement'!BC200)*10000</f>
        <v>283.64116094986809</v>
      </c>
      <c r="BH217" s="417">
        <f>('Income Statement'!BH200-'Income Statement'!BD200)*10000</f>
        <v>47.758420441347276</v>
      </c>
      <c r="BI217" s="520">
        <f>('Income Statement'!BI200-'Income Statement'!BE200)*10000</f>
        <v>-12.909924507548062</v>
      </c>
      <c r="BJ217" s="417">
        <f>('Income Statement'!BJ200-'Income Statement'!BF200)*10000</f>
        <v>30</v>
      </c>
      <c r="BK217" s="417">
        <f>('Income Statement'!BK200-'Income Statement'!BG200)*10000</f>
        <v>-139.75626886353714</v>
      </c>
      <c r="BL217" s="417">
        <f>('Income Statement'!BL200-'Income Statement'!BH200)*10000</f>
        <v>-154.08037904214143</v>
      </c>
      <c r="BM217" s="520">
        <f>('Income Statement'!BM200-'Income Statement'!BI200)*10000</f>
        <v>-152.33667846791514</v>
      </c>
      <c r="BN217" s="417">
        <f>('Income Statement'!BN200-'Income Statement'!BJ200)*10000</f>
        <v>77.821011673151759</v>
      </c>
      <c r="BO217" s="417">
        <f>('Income Statement'!BO200-'Income Statement'!BK200)*10000</f>
        <v>-271.25024870932947</v>
      </c>
      <c r="BP217" s="417">
        <f>('Income Statement'!BP200-'Income Statement'!BL200)*10000</f>
        <v>100.6834199651653</v>
      </c>
      <c r="BQ217" s="520">
        <f>('Income Statement'!BQ200-'Income Statement'!BM200)*10000</f>
        <v>161.30614708695538</v>
      </c>
      <c r="BR217" s="77"/>
      <c r="BS217" s="77"/>
      <c r="BT217" s="77"/>
      <c r="BU217" s="487"/>
      <c r="BV217" s="77"/>
      <c r="BW217" s="77"/>
      <c r="BX217" s="77"/>
      <c r="BY217" s="487"/>
      <c r="BZ217" s="417">
        <f>('Income Statement'!BZ200-'Income Statement'!BN200)*10000</f>
        <v>82.264367195578231</v>
      </c>
      <c r="CA217" s="417">
        <f>('Income Statement'!CA200-'Income Statement'!BO200)*10000</f>
        <v>241.46178650890209</v>
      </c>
      <c r="CB217" s="417">
        <f>('Income Statement'!CB200-'Income Statement'!BP200)*10000</f>
        <v>260.83406936188584</v>
      </c>
      <c r="CC217" s="520">
        <f>('Income Statement'!CC200-'Income Statement'!BQ200)*10000</f>
        <v>221.74606504373654</v>
      </c>
      <c r="CD217" s="417">
        <f>('Income Statement'!CD200-'Income Statement'!BZ200)*10000</f>
        <v>169.10508132609704</v>
      </c>
      <c r="CE217" s="417">
        <f>('Income Statement'!CE200-'Income Statement'!CA200)*10000</f>
        <v>-41.154436138074459</v>
      </c>
      <c r="CF217" s="417">
        <f>('Income Statement'!CF200-'Income Statement'!CB200)*10000</f>
        <v>91.988935293160495</v>
      </c>
      <c r="CG217" s="520">
        <f>('Income Statement'!CG200-'Income Statement'!CC200)*10000</f>
        <v>-41.91918756519572</v>
      </c>
      <c r="CH217" s="417">
        <f>('Income Statement'!CH200-'Income Statement'!CD200)*10000</f>
        <v>-447.55487913313408</v>
      </c>
      <c r="CI217" s="417">
        <f>('Income Statement'!CI200-'Income Statement'!CE200)*10000</f>
        <v>-255.15773718806236</v>
      </c>
      <c r="CJ217" s="417">
        <f>('Income Statement'!CJ200-'Income Statement'!CF200)*10000</f>
        <v>-433.67797251292399</v>
      </c>
      <c r="CK217" s="520">
        <f>('Income Statement'!CK200-'Income Statement'!CG200)*10000</f>
        <v>-205.90860713427404</v>
      </c>
      <c r="CL217" s="1264">
        <f>('Income Statement'!CL200-'Income Statement'!CH200)*10000</f>
        <v>-75.059178740609809</v>
      </c>
      <c r="CM217" s="1264">
        <f>('Income Statement'!CM200-'Income Statement'!CI200)*10000</f>
        <v>221.27824344023324</v>
      </c>
      <c r="CN217" s="1264">
        <f>('Income Statement'!CN200-'Income Statement'!CJ200)*10000</f>
        <v>-75.473706621247601</v>
      </c>
      <c r="CO217" s="1168">
        <f>('Income Statement'!CO200-'Income Statement'!CK200)*10000</f>
        <v>22.960118350465393</v>
      </c>
      <c r="CP217" s="1264">
        <f>('Income Statement'!CP200-'Income Statement'!CL200)*10000</f>
        <v>-40.792288268130008</v>
      </c>
      <c r="CQ217" s="1264">
        <f>('Income Statement'!CQ200-'Income Statement'!CM200)*10000</f>
        <v>-143.33778675703857</v>
      </c>
      <c r="CR217" s="1264">
        <f>('Income Statement'!CR200-'Income Statement'!CN200)*10000</f>
        <v>19.01757282698432</v>
      </c>
      <c r="CS217" s="1168">
        <f>('Income Statement'!CS200-'Income Statement'!CO200)*10000</f>
        <v>5.2793295685365367</v>
      </c>
      <c r="CT217" s="1264">
        <f>('Income Statement'!CT200-'Income Statement'!CP200)*10000</f>
        <v>59.390711121872009</v>
      </c>
      <c r="CU217" s="1264">
        <f>('Income Statement'!CU200-'Income Statement'!CQ200)*10000</f>
        <v>-204.64919836881958</v>
      </c>
      <c r="CV217" s="1264">
        <f>('Income Statement'!CV200-'Income Statement'!CR200)*10000</f>
        <v>72.565024903154395</v>
      </c>
      <c r="CW217" s="1168">
        <f>('Income Statement'!CW200-'Income Statement'!CS200)*10000</f>
        <v>-26.723099971507626</v>
      </c>
      <c r="CX217" s="1155">
        <f>('Income Statement'!CX200-'Income Statement'!CT200)*10000</f>
        <v>-229.36644194129221</v>
      </c>
      <c r="CY217" s="1155">
        <f>('Income Statement'!CY200-'Income Statement'!CU200)*10000</f>
        <v>-60.306284104911128</v>
      </c>
      <c r="CZ217" s="1264">
        <f>('Income Statement'!CZ200-'Income Statement'!CV200)*10000</f>
        <v>-119.35475361401286</v>
      </c>
      <c r="DA217" s="1168">
        <f>('Income Statement'!DA200-'Income Statement'!CW200)*10000</f>
        <v>29.441884280594007</v>
      </c>
      <c r="DB217" s="1155">
        <f>('Income Statement'!DB200-'Income Statement'!CX200)*10000</f>
        <v>436.76490666874719</v>
      </c>
      <c r="DC217" s="1264">
        <f>('Income Statement'!DC200-'Income Statement'!CY200)*10000</f>
        <v>415.81462016244632</v>
      </c>
      <c r="DD217" s="1155">
        <f>('Income Statement'!DD200-'Income Statement'!CZ200)*10000</f>
        <v>282.38213128282479</v>
      </c>
      <c r="DE217" s="1168">
        <f>('Income Statement'!DE200-'Income Statement'!DA200)*10000</f>
        <v>242.09213725342758</v>
      </c>
      <c r="DF217" s="1155">
        <f>('Income Statement'!DF200-'Income Statement'!DB200)*10000</f>
        <v>-0.10575743474766208</v>
      </c>
      <c r="DG217" s="1155">
        <f>('Income Statement'!DG200-'Income Statement'!DC200)*10000</f>
        <v>58.206568229999618</v>
      </c>
      <c r="DH217" s="1155">
        <f>('Income Statement'!DH200-'Income Statement'!DD200)*10000</f>
        <v>-136.45458375584914</v>
      </c>
      <c r="DI217" s="1168">
        <f>('Income Statement'!DI200-'Income Statement'!DE200)*10000</f>
        <v>-90.309399902423209</v>
      </c>
      <c r="DJ217" s="2707">
        <f>('Income Statement'!DJ200-'Income Statement'!DF200)*10000</f>
        <v>-92.467532467532465</v>
      </c>
      <c r="DK217" s="1155">
        <f>('Income Statement'!DK200-'Income Statement'!DG200)*10000</f>
        <v>-34.790419161676482</v>
      </c>
      <c r="DL217" s="1155">
        <f>('Income Statement'!DL200-'Income Statement'!DH200)*10000</f>
        <v>33.811821471652593</v>
      </c>
      <c r="DM217" s="1168">
        <f>('Income Statement'!DM200-'Income Statement'!DI200)*10000</f>
        <v>-87.732558139534817</v>
      </c>
      <c r="DN217" s="1266"/>
      <c r="DO217" s="1168"/>
      <c r="DP217" s="226"/>
      <c r="DQ217" s="226"/>
      <c r="DR217" s="226"/>
      <c r="DS217" s="226"/>
      <c r="DT217" s="226"/>
      <c r="DU217" s="227"/>
      <c r="DV217" s="227"/>
      <c r="DW217" s="227"/>
      <c r="DX217" s="227"/>
      <c r="DY217" s="228"/>
      <c r="DZ217" s="228"/>
      <c r="EA217" s="228"/>
      <c r="EB217" s="228"/>
      <c r="EC217" s="228"/>
      <c r="ED217" s="228"/>
      <c r="EE217" s="228"/>
      <c r="EF217" s="228"/>
      <c r="EG217" s="228"/>
      <c r="EH217" s="228"/>
      <c r="EI217" s="77"/>
      <c r="EJ217" s="417">
        <f>('Income Statement'!EJ200-'Income Statement'!EI200)*10000</f>
        <v>-174.00568181818181</v>
      </c>
      <c r="EK217" s="417">
        <f>('Income Statement'!EK200-'Income Statement'!EJ200)*10000</f>
        <v>200</v>
      </c>
      <c r="EL217" s="417">
        <f>('Income Statement'!EL200-'Income Statement'!EK200)*10000</f>
        <v>42.466019417475749</v>
      </c>
      <c r="EM217" s="417">
        <f>('Income Statement'!EM200-'Income Statement'!EL200)*10000</f>
        <v>-123.50852833824236</v>
      </c>
      <c r="EN217" s="417">
        <f>('Income Statement'!EN200-'Income Statement'!EM200)*10000</f>
        <v>35.32360746680861</v>
      </c>
      <c r="EO217" s="417">
        <f>('Income Statement'!EO200-'Income Statement'!EN200)*10000</f>
        <v>39.819466943794446</v>
      </c>
      <c r="EP217" s="417">
        <f>('Income Statement'!EP200-'Income Statement'!EO200)*10000</f>
        <v>82.076367374470109</v>
      </c>
      <c r="EQ217" s="417">
        <f>('Income Statement'!EQ200-'Income Statement'!EN200)*10000</f>
        <v>206.78392476121874</v>
      </c>
      <c r="ER217" s="417">
        <f>('Income Statement'!ER200-'Income Statement'!EQ200)*10000</f>
        <v>32.520982523643049</v>
      </c>
      <c r="ES217" s="417">
        <f>('Income Statement'!ES200-'Income Statement'!ER200)*10000</f>
        <v>-318.42746829078015</v>
      </c>
      <c r="ET217" s="1264">
        <f>('Income Statement'!ET200-'Income Statement'!ES200)*10000</f>
        <v>24.883146494890884</v>
      </c>
      <c r="EU217" s="417">
        <f>('Income Statement'!EU200-'Income Statement'!ES200)*10000</f>
        <v>8.5234708280771283</v>
      </c>
      <c r="EV217" s="417">
        <f>('Income Statement'!EV200-'Income Statement'!EU200)*10000</f>
        <v>-25.325332364466</v>
      </c>
      <c r="EW217" s="417">
        <f>('Income Statement'!EW200-'Income Statement'!EV200)*10000</f>
        <v>-80.487564400826201</v>
      </c>
      <c r="EX217" s="1264">
        <f>('Income Statement'!EX200-'Income Statement'!EW200)*10000</f>
        <v>335.91852706587105</v>
      </c>
      <c r="EY217" s="1264">
        <f>('Income Statement'!EY200-'Income Statement'!EX200)*10000</f>
        <v>-35.771014994374418</v>
      </c>
      <c r="EZ217" s="1775">
        <f>('Income Statement'!EZ200-'Income Statement'!EY200)*10000</f>
        <v>-47.962329018701006</v>
      </c>
      <c r="FA217" s="417">
        <f>('Income Statement'!FA200-'Income Statement'!EZ200)*10000</f>
        <v>-10.054294655704211</v>
      </c>
      <c r="FB217" s="417">
        <f>('Income Statement'!FB200-'Income Statement'!FA200)*10000</f>
        <v>5.0000000000000044</v>
      </c>
      <c r="FC217" s="417">
        <f>('Income Statement'!FC200-'Income Statement'!FB200)*10000</f>
        <v>5.0000000000000737</v>
      </c>
      <c r="FD217" s="417">
        <f>('Income Statement'!FD200-'Income Statement'!FC200)*10000</f>
        <v>5.0000000000000737</v>
      </c>
      <c r="FE217" s="417">
        <f>('Income Statement'!FE200-'Income Statement'!FD200)*10000</f>
        <v>4.9999999999998659</v>
      </c>
      <c r="FF217" s="417">
        <f>('Income Statement'!FF200-'Income Statement'!FE200)*10000</f>
        <v>5.000000000000143</v>
      </c>
      <c r="FG217" s="417">
        <f>('Income Statement'!FG200-'Income Statement'!FF200)*10000</f>
        <v>5.0000000000002123</v>
      </c>
      <c r="FH217" s="417">
        <f>('Income Statement'!FH200-'Income Statement'!FG200)*10000</f>
        <v>4.9999999999997966</v>
      </c>
      <c r="FI217" s="413"/>
      <c r="FJ217"/>
      <c r="FK217"/>
      <c r="FL217"/>
      <c r="FM217"/>
      <c r="FN217"/>
      <c r="FO217"/>
      <c r="FS217" s="1155"/>
      <c r="FT217" s="1155"/>
      <c r="FU217"/>
      <c r="FV217" s="1155"/>
      <c r="FW217" s="1155"/>
      <c r="FX217" s="1155"/>
      <c r="FY217"/>
      <c r="FZ217"/>
      <c r="GA217"/>
      <c r="GB217"/>
      <c r="GC217"/>
      <c r="GD217"/>
      <c r="GE217"/>
      <c r="GF217"/>
      <c r="GG217"/>
      <c r="GH217"/>
      <c r="GI217"/>
      <c r="GJ217"/>
      <c r="GK217"/>
      <c r="GL217"/>
      <c r="GM217"/>
      <c r="GN217"/>
      <c r="GO217"/>
      <c r="GP217"/>
      <c r="GQ217"/>
      <c r="GR217"/>
      <c r="GS217"/>
      <c r="GT217"/>
      <c r="GU217"/>
      <c r="GV217"/>
      <c r="GW217"/>
      <c r="GX217"/>
      <c r="GY217"/>
      <c r="GZ217"/>
      <c r="HA217"/>
      <c r="HB217"/>
      <c r="HC217"/>
      <c r="HD217"/>
      <c r="HE217"/>
      <c r="HF217"/>
      <c r="HG217"/>
      <c r="HH217"/>
      <c r="HI217"/>
      <c r="HJ217"/>
      <c r="HK217"/>
      <c r="HL217"/>
      <c r="HM217"/>
      <c r="HN217"/>
      <c r="HO217"/>
      <c r="HP217"/>
      <c r="HQ217"/>
      <c r="HR217"/>
      <c r="HS217"/>
      <c r="HT217"/>
      <c r="HU217"/>
      <c r="HV217"/>
      <c r="HW217"/>
      <c r="HX217"/>
      <c r="HY217"/>
      <c r="HZ217"/>
      <c r="IA217"/>
      <c r="IB217"/>
      <c r="IC217"/>
      <c r="ID217"/>
      <c r="IE217"/>
      <c r="IF217"/>
      <c r="IG217"/>
      <c r="IH217"/>
      <c r="II217"/>
      <c r="IJ217"/>
      <c r="IK217"/>
      <c r="IL217"/>
      <c r="IM217"/>
      <c r="IN217"/>
      <c r="IO217"/>
      <c r="IP217"/>
      <c r="IQ217"/>
      <c r="IR217"/>
      <c r="IS217"/>
      <c r="IT217"/>
      <c r="IU217"/>
      <c r="IV217"/>
      <c r="IW217"/>
      <c r="IX217"/>
      <c r="IY217"/>
      <c r="IZ217"/>
    </row>
    <row r="218" spans="1:260" s="4" customFormat="1" x14ac:dyDescent="0.2">
      <c r="A218" s="282" t="s">
        <v>582</v>
      </c>
      <c r="B218" s="1267"/>
      <c r="C218" s="1267"/>
      <c r="D218" s="1267"/>
      <c r="E218" s="1268"/>
      <c r="F218" s="228"/>
      <c r="G218" s="228"/>
      <c r="H218" s="228"/>
      <c r="I218" s="481"/>
      <c r="J218" s="228"/>
      <c r="K218" s="228"/>
      <c r="L218" s="228"/>
      <c r="M218" s="481"/>
      <c r="N218" s="228"/>
      <c r="O218" s="228"/>
      <c r="P218" s="228"/>
      <c r="Q218" s="481"/>
      <c r="R218" s="228"/>
      <c r="S218" s="228"/>
      <c r="T218" s="228"/>
      <c r="U218" s="481"/>
      <c r="V218" s="228"/>
      <c r="W218" s="228"/>
      <c r="X218" s="228"/>
      <c r="Y218" s="481"/>
      <c r="Z218" s="228"/>
      <c r="AA218" s="228"/>
      <c r="AB218" s="228"/>
      <c r="AC218" s="481"/>
      <c r="AD218" s="228"/>
      <c r="AE218" s="228"/>
      <c r="AF218" s="228"/>
      <c r="AG218" s="481"/>
      <c r="AH218" s="228"/>
      <c r="AI218" s="228"/>
      <c r="AJ218" s="228"/>
      <c r="AK218" s="481"/>
      <c r="AL218" s="228"/>
      <c r="AM218" s="228"/>
      <c r="AN218" s="228"/>
      <c r="AO218" s="481"/>
      <c r="AP218" s="228"/>
      <c r="AQ218" s="228"/>
      <c r="AR218" s="228"/>
      <c r="AS218" s="481"/>
      <c r="AT218" s="228"/>
      <c r="AU218" s="228"/>
      <c r="AV218" s="228"/>
      <c r="AW218" s="481"/>
      <c r="AX218" s="417"/>
      <c r="AY218" s="417"/>
      <c r="AZ218" s="417"/>
      <c r="BA218" s="520"/>
      <c r="BB218" s="417">
        <f>('Income Statement'!BB201-'Income Statement'!AX201)*10000</f>
        <v>93.614441208702473</v>
      </c>
      <c r="BC218" s="417">
        <f>('Income Statement'!BC201-'Income Statement'!AY201)*10000</f>
        <v>44.603205797645316</v>
      </c>
      <c r="BD218" s="417">
        <f>('Income Statement'!BD201-'Income Statement'!AZ201)*10000</f>
        <v>-26.345685573590064</v>
      </c>
      <c r="BE218" s="520">
        <f>('Income Statement'!BE201-'Income Statement'!BA201)*10000</f>
        <v>-12.419215053147138</v>
      </c>
      <c r="BF218" s="417">
        <f>('Income Statement'!BF201-'Income Statement'!BB201)*10000</f>
        <v>-148.70297732073135</v>
      </c>
      <c r="BG218" s="417">
        <f>('Income Statement'!BG201-'Income Statement'!BC201)*10000</f>
        <v>24.246519231130581</v>
      </c>
      <c r="BH218" s="417">
        <f>('Income Statement'!BH201-'Income Statement'!BD201)*10000</f>
        <v>122.22250171730946</v>
      </c>
      <c r="BI218" s="520">
        <f>('Income Statement'!BI201-'Income Statement'!BE201)*10000</f>
        <v>-28.847614608242395</v>
      </c>
      <c r="BJ218" s="417">
        <f>('Income Statement'!BJ201-'Income Statement'!BF201)*10000</f>
        <v>-27.441869798283182</v>
      </c>
      <c r="BK218" s="417">
        <f>('Income Statement'!BK201-'Income Statement'!BG201)*10000</f>
        <v>-112.40264112991387</v>
      </c>
      <c r="BL218" s="417">
        <f>('Income Statement'!BL201-'Income Statement'!BH201)*10000</f>
        <v>-115.28465823494385</v>
      </c>
      <c r="BM218" s="520">
        <f>('Income Statement'!BM201-'Income Statement'!BI201)*10000</f>
        <v>-88.461294415344426</v>
      </c>
      <c r="BN218" s="417">
        <f>('Income Statement'!BN201-'Income Statement'!BJ201)*10000</f>
        <v>36.604977959661319</v>
      </c>
      <c r="BO218" s="417">
        <f>('Income Statement'!BO201-'Income Statement'!BK201)*10000</f>
        <v>-91.845693369917612</v>
      </c>
      <c r="BP218" s="417">
        <f>('Income Statement'!BP201-'Income Statement'!BL201)*10000</f>
        <v>74.447047933119336</v>
      </c>
      <c r="BQ218" s="520">
        <f>('Income Statement'!BQ201-'Income Statement'!BM201)*10000</f>
        <v>11.706570678367001</v>
      </c>
      <c r="BR218" s="77"/>
      <c r="BS218" s="77"/>
      <c r="BT218" s="77"/>
      <c r="BU218" s="487"/>
      <c r="BV218" s="77"/>
      <c r="BW218" s="77"/>
      <c r="BX218" s="77"/>
      <c r="BY218" s="487"/>
      <c r="BZ218" s="417">
        <f>('Income Statement'!BZ201-'Income Statement'!BN201)*10000</f>
        <v>33.299972466129255</v>
      </c>
      <c r="CA218" s="417">
        <f>('Income Statement'!CA201-'Income Statement'!BO201)*10000</f>
        <v>104.61240924365306</v>
      </c>
      <c r="CB218" s="417">
        <f>('Income Statement'!CB201-'Income Statement'!BP201)*10000</f>
        <v>79.788212180198983</v>
      </c>
      <c r="CC218" s="520">
        <f>('Income Statement'!CC201-'Income Statement'!BQ201)*10000</f>
        <v>-16.267137602229699</v>
      </c>
      <c r="CD218" s="417">
        <f>('Income Statement'!CD201-'Income Statement'!BZ201)*10000</f>
        <v>30.102279976809768</v>
      </c>
      <c r="CE218" s="417">
        <f>('Income Statement'!CE201-'Income Statement'!CA201)*10000</f>
        <v>-119.15089440904949</v>
      </c>
      <c r="CF218" s="417">
        <f>('Income Statement'!CF201-'Income Statement'!CB201)*10000</f>
        <v>-50.638794550675605</v>
      </c>
      <c r="CG218" s="520">
        <f>('Income Statement'!CG201-'Income Statement'!CC201)*10000</f>
        <v>-42.60516509583659</v>
      </c>
      <c r="CH218" s="417">
        <f>('Income Statement'!CH201-'Income Statement'!CD201)*10000</f>
        <v>-73.071377665469697</v>
      </c>
      <c r="CI218" s="417">
        <f>('Income Statement'!CI201-'Income Statement'!CE201)*10000</f>
        <v>-121.92991766021332</v>
      </c>
      <c r="CJ218" s="417">
        <f>('Income Statement'!CJ201-'Income Statement'!CF201)*10000</f>
        <v>-297.21862965031892</v>
      </c>
      <c r="CK218" s="520">
        <f>('Income Statement'!CK201-'Income Statement'!CG201)*10000</f>
        <v>-163.28457611014557</v>
      </c>
      <c r="CL218" s="1264">
        <f>('Income Statement'!CL201-'Income Statement'!CH201)*10000</f>
        <v>55.380724472440662</v>
      </c>
      <c r="CM218" s="1264">
        <f>('Income Statement'!CM201-'Income Statement'!CI201)*10000</f>
        <v>76.241923564408381</v>
      </c>
      <c r="CN218" s="1264">
        <f>('Income Statement'!CN201-'Income Statement'!CJ201)*10000</f>
        <v>-6.2632657589610465</v>
      </c>
      <c r="CO218" s="1168">
        <f>('Income Statement'!CO201-'Income Statement'!CK201)*10000</f>
        <v>17.563033534650149</v>
      </c>
      <c r="CP218" s="1264">
        <f>('Income Statement'!CP201-'Income Statement'!CL201)*10000</f>
        <v>-161.94208703530362</v>
      </c>
      <c r="CQ218" s="1264">
        <f>('Income Statement'!CQ201-'Income Statement'!CM201)*10000</f>
        <v>29.454499063136275</v>
      </c>
      <c r="CR218" s="1264">
        <f>('Income Statement'!CR201-'Income Statement'!CN201)*10000</f>
        <v>112.90201433789682</v>
      </c>
      <c r="CS218" s="1168">
        <f>('Income Statement'!CS201-'Income Statement'!CO201)*10000</f>
        <v>-122.00739335570796</v>
      </c>
      <c r="CT218" s="1264">
        <f>('Income Statement'!CT201-'Income Statement'!CP201)*10000</f>
        <v>27.32202178916069</v>
      </c>
      <c r="CU218" s="1264">
        <f>('Income Statement'!CU201-'Income Statement'!CQ201)*10000</f>
        <v>62.820426159906596</v>
      </c>
      <c r="CV218" s="1264">
        <f>('Income Statement'!CV201-'Income Statement'!CR201)*10000</f>
        <v>87.872235934665696</v>
      </c>
      <c r="CW218" s="1168">
        <f>('Income Statement'!CW201-'Income Statement'!CS201)*10000</f>
        <v>127.20661467230548</v>
      </c>
      <c r="CX218" s="1155">
        <f>('Income Statement'!CX201-'Income Statement'!CT201)*10000</f>
        <v>-12.769204454188936</v>
      </c>
      <c r="CY218" s="1155">
        <f>('Income Statement'!CY201-'Income Statement'!CU201)*10000</f>
        <v>39.89916487141268</v>
      </c>
      <c r="CZ218" s="1264">
        <f>('Income Statement'!CZ201-'Income Statement'!CV201)*10000</f>
        <v>30.722177567537521</v>
      </c>
      <c r="DA218" s="1168">
        <f>('Income Statement'!DA201-'Income Statement'!CW201)*10000</f>
        <v>-2.3963005644797586</v>
      </c>
      <c r="DB218" s="1155">
        <f>('Income Statement'!DB201-'Income Statement'!CX201)*10000</f>
        <v>41.211708600491747</v>
      </c>
      <c r="DC218" s="1264">
        <f>('Income Statement'!DC201-'Income Statement'!CY201)*10000</f>
        <v>13.872035045928016</v>
      </c>
      <c r="DD218" s="1155">
        <f>('Income Statement'!DD201-'Income Statement'!CZ201)*10000</f>
        <v>80.044286717451783</v>
      </c>
      <c r="DE218" s="1168">
        <f>('Income Statement'!DE201-'Income Statement'!DA201)*10000</f>
        <v>86.844282593500012</v>
      </c>
      <c r="DF218" s="1155">
        <f>('Income Statement'!DF201-'Income Statement'!DB201)*10000</f>
        <v>67.523214386108435</v>
      </c>
      <c r="DG218" s="1155">
        <f>('Income Statement'!DG201-'Income Statement'!DC201)*10000</f>
        <v>21.440513484823136</v>
      </c>
      <c r="DH218" s="1155">
        <f>('Income Statement'!DH201-'Income Statement'!DD201)*10000</f>
        <v>23.474403663782255</v>
      </c>
      <c r="DI218" s="1168">
        <f>('Income Statement'!DI201-'Income Statement'!DE201)*10000</f>
        <v>-20.941371893197502</v>
      </c>
      <c r="DJ218" s="2707">
        <f>('Income Statement'!DJ201-'Income Statement'!DF201)*10000</f>
        <v>-22.019645915746789</v>
      </c>
      <c r="DK218" s="1155">
        <f>('Income Statement'!DK201-'Income Statement'!DG201)*10000</f>
        <v>-4.3792894883127458</v>
      </c>
      <c r="DL218" s="1155">
        <f>('Income Statement'!DL201-'Income Statement'!DH201)*10000</f>
        <v>6.3178844623072026</v>
      </c>
      <c r="DM218" s="1168">
        <f>('Income Statement'!DM201-'Income Statement'!DI201)*10000</f>
        <v>-4.8570421579249849</v>
      </c>
      <c r="DN218" s="1266"/>
      <c r="DO218" s="1168"/>
      <c r="DP218" s="226"/>
      <c r="DQ218" s="226"/>
      <c r="DR218" s="226"/>
      <c r="DS218" s="226"/>
      <c r="DT218" s="226"/>
      <c r="DU218" s="227"/>
      <c r="DV218" s="227"/>
      <c r="DW218" s="227"/>
      <c r="DX218" s="227"/>
      <c r="DY218" s="228"/>
      <c r="DZ218" s="228"/>
      <c r="EA218" s="228"/>
      <c r="EB218" s="228"/>
      <c r="EC218" s="228"/>
      <c r="ED218" s="228"/>
      <c r="EE218" s="228"/>
      <c r="EF218" s="228"/>
      <c r="EG218" s="228"/>
      <c r="EH218" s="228"/>
      <c r="EI218" s="77"/>
      <c r="EJ218" s="417">
        <f>('Income Statement'!EJ201-'Income Statement'!EI201)*10000</f>
        <v>7.6367636790906914</v>
      </c>
      <c r="EK218" s="417">
        <f>('Income Statement'!EK201-'Income Statement'!EJ201)*10000</f>
        <v>23.361972167969398</v>
      </c>
      <c r="EL218" s="417">
        <f>('Income Statement'!EL201-'Income Statement'!EK201)*10000</f>
        <v>-16.358122047763768</v>
      </c>
      <c r="EM218" s="417">
        <f>('Income Statement'!EM201-'Income Statement'!EL201)*10000</f>
        <v>-92.533114685313805</v>
      </c>
      <c r="EN218" s="417">
        <f>('Income Statement'!EN201-'Income Statement'!EM201)*10000</f>
        <v>12.81010505162411</v>
      </c>
      <c r="EO218" s="417">
        <f>('Income Statement'!EO201-'Income Statement'!EN201)*10000</f>
        <v>4.4556581889054065</v>
      </c>
      <c r="EP218" s="417">
        <f>('Income Statement'!EP201-'Income Statement'!EO201)*10000</f>
        <v>-22.065942143486492</v>
      </c>
      <c r="EQ218" s="417">
        <f>('Income Statement'!EQ201-'Income Statement'!EN201)*10000</f>
        <v>44.172076525433177</v>
      </c>
      <c r="ER218" s="417">
        <f>('Income Statement'!ER201-'Income Statement'!EQ201)*10000</f>
        <v>-44.965328743043415</v>
      </c>
      <c r="ES218" s="417">
        <f>('Income Statement'!ES201-'Income Statement'!ER201)*10000</f>
        <v>-160.15481802815728</v>
      </c>
      <c r="ET218" s="1264">
        <f>('Income Statement'!ET201-'Income Statement'!ES201)*10000</f>
        <v>35.616322044631083</v>
      </c>
      <c r="EU218" s="417">
        <f>('Income Statement'!EU201-'Income Statement'!ES201)*10000</f>
        <v>-12.89284236927573</v>
      </c>
      <c r="EV218" s="417">
        <f>('Income Statement'!EV201-'Income Statement'!EU201)*10000</f>
        <v>84.729273571608303</v>
      </c>
      <c r="EW218" s="417">
        <f>('Income Statement'!EW201-'Income Statement'!EV201)*10000</f>
        <v>9.6378785321620661</v>
      </c>
      <c r="EX218" s="1264">
        <f>('Income Statement'!EX201-'Income Statement'!EW201)*10000</f>
        <v>59.07146272054964</v>
      </c>
      <c r="EY218" s="1264">
        <f>('Income Statement'!EY201-'Income Statement'!EX201)*10000</f>
        <v>23.519975878654662</v>
      </c>
      <c r="EZ218" s="1775">
        <f>('Income Statement'!EZ201-'Income Statement'!EY201)*10000</f>
        <v>-7.1810488417598659</v>
      </c>
      <c r="FA218" s="417">
        <f>('Income Statement'!FA201-'Income Statement'!EZ201)*10000</f>
        <v>4.8249452628382201</v>
      </c>
      <c r="FB218" s="417">
        <f>('Income Statement'!FB201-'Income Statement'!FA201)*10000</f>
        <v>7.7298991793297436</v>
      </c>
      <c r="FC218" s="417">
        <f>('Income Statement'!FC201-'Income Statement'!FB201)*10000</f>
        <v>-4.0178796457720347</v>
      </c>
      <c r="FD218" s="417">
        <f>('Income Statement'!FD201-'Income Statement'!FC201)*10000</f>
        <v>-3.9499137277846512</v>
      </c>
      <c r="FE218" s="417">
        <f>('Income Statement'!FE201-'Income Statement'!FD201)*10000</f>
        <v>-3.9633205832956264</v>
      </c>
      <c r="FF218" s="417">
        <f>('Income Statement'!FF201-'Income Statement'!FE201)*10000</f>
        <v>-3.9772908015214825</v>
      </c>
      <c r="FG218" s="417">
        <f>('Income Statement'!FG201-'Income Statement'!FF201)*10000</f>
        <v>-3.9918303107381452</v>
      </c>
      <c r="FH218" s="417">
        <f>('Income Statement'!FH201-'Income Statement'!FG201)*10000</f>
        <v>-4.0069433049097487</v>
      </c>
      <c r="FI218" s="413"/>
      <c r="FJ218"/>
      <c r="FK218"/>
      <c r="FL218"/>
      <c r="FM218"/>
      <c r="FN218"/>
      <c r="FO218"/>
      <c r="FS218" s="1155"/>
      <c r="FT218" s="1155"/>
      <c r="FU218"/>
      <c r="FV218" s="1155"/>
      <c r="FW218" s="1155"/>
      <c r="FX218" s="1155"/>
      <c r="FY218"/>
      <c r="FZ218"/>
      <c r="GA218"/>
      <c r="GB218"/>
      <c r="GC218"/>
      <c r="GD218"/>
      <c r="GE218"/>
      <c r="GF218"/>
      <c r="GG218"/>
      <c r="GH218"/>
      <c r="GI218"/>
      <c r="GJ218"/>
      <c r="GK218"/>
      <c r="GL218"/>
      <c r="GM218"/>
      <c r="GN218"/>
      <c r="GO218"/>
      <c r="GP218"/>
      <c r="GQ218"/>
      <c r="GR218"/>
      <c r="GS218"/>
      <c r="GT218"/>
      <c r="GU218"/>
      <c r="GV218"/>
      <c r="GW218"/>
      <c r="GX218"/>
      <c r="GY218"/>
      <c r="GZ218"/>
      <c r="HA218"/>
      <c r="HB218"/>
      <c r="HC218"/>
      <c r="HD218"/>
      <c r="HE218"/>
      <c r="HF218"/>
      <c r="HG218"/>
      <c r="HH218"/>
      <c r="HI218"/>
      <c r="HJ218"/>
      <c r="HK218"/>
      <c r="HL218"/>
      <c r="HM218"/>
      <c r="HN218"/>
      <c r="HO218"/>
      <c r="HP218"/>
      <c r="HQ218"/>
      <c r="HR218"/>
      <c r="HS218"/>
      <c r="HT218"/>
      <c r="HU218"/>
      <c r="HV218"/>
      <c r="HW218"/>
      <c r="HX218"/>
      <c r="HY218"/>
      <c r="HZ218"/>
      <c r="IA218"/>
      <c r="IB218"/>
      <c r="IC218"/>
      <c r="ID218"/>
      <c r="IE218"/>
      <c r="IF218"/>
      <c r="IG218"/>
      <c r="IH218"/>
      <c r="II218"/>
      <c r="IJ218"/>
      <c r="IK218"/>
      <c r="IL218"/>
      <c r="IM218"/>
      <c r="IN218"/>
      <c r="IO218"/>
      <c r="IP218"/>
      <c r="IQ218"/>
      <c r="IR218"/>
      <c r="IS218"/>
      <c r="IT218"/>
      <c r="IU218"/>
      <c r="IV218"/>
      <c r="IW218"/>
      <c r="IX218"/>
      <c r="IY218"/>
      <c r="IZ218"/>
    </row>
    <row r="219" spans="1:260" s="4" customFormat="1" ht="11.25" customHeight="1" x14ac:dyDescent="0.2">
      <c r="A219" s="351"/>
      <c r="B219" s="3"/>
      <c r="C219" s="3"/>
      <c r="D219" s="3"/>
      <c r="E219" s="470"/>
      <c r="I219" s="470"/>
      <c r="M219" s="470"/>
      <c r="Q219" s="470"/>
      <c r="U219" s="470"/>
      <c r="Y219" s="470"/>
      <c r="AC219" s="470"/>
      <c r="AG219" s="470"/>
      <c r="AK219" s="470"/>
      <c r="AO219" s="470"/>
      <c r="AS219" s="470"/>
      <c r="AW219" s="470"/>
      <c r="BA219" s="470"/>
      <c r="BB219" s="6"/>
      <c r="BC219" s="6"/>
      <c r="BE219" s="484"/>
      <c r="BF219" s="6"/>
      <c r="BG219" s="6"/>
      <c r="BH219" s="6"/>
      <c r="BI219" s="484"/>
      <c r="BJ219" s="6"/>
      <c r="BK219" s="6"/>
      <c r="BL219" s="6"/>
      <c r="BM219" s="484"/>
      <c r="BN219" s="769"/>
      <c r="BO219" s="769"/>
      <c r="BP219" s="769"/>
      <c r="BQ219" s="770"/>
      <c r="BR219" s="769"/>
      <c r="BS219" s="769"/>
      <c r="BT219" s="769"/>
      <c r="BU219" s="770"/>
      <c r="BV219" s="769"/>
      <c r="BW219" s="769"/>
      <c r="BX219" s="769"/>
      <c r="BY219" s="770"/>
      <c r="BZ219" s="769"/>
      <c r="CA219" s="769"/>
      <c r="CB219" s="769"/>
      <c r="CC219" s="770"/>
      <c r="CD219" s="769"/>
      <c r="CE219" s="769"/>
      <c r="CF219" s="769"/>
      <c r="CG219" s="770"/>
      <c r="CH219" s="769"/>
      <c r="CI219" s="769"/>
      <c r="CJ219" s="769"/>
      <c r="CK219" s="770"/>
      <c r="CL219" s="769"/>
      <c r="CM219" s="769"/>
      <c r="CN219" s="769"/>
      <c r="CO219" s="770"/>
      <c r="CP219" s="769"/>
      <c r="CQ219" s="769"/>
      <c r="CR219" s="769"/>
      <c r="CS219" s="770"/>
      <c r="CT219" s="1478"/>
      <c r="CU219" s="1478"/>
      <c r="CV219" s="1478"/>
      <c r="CW219" s="1479"/>
      <c r="CX219" s="1480"/>
      <c r="CY219" s="1480"/>
      <c r="CZ219" s="1478"/>
      <c r="DA219" s="1479"/>
      <c r="DB219" s="1480"/>
      <c r="DC219" s="2228"/>
      <c r="DD219" s="1480"/>
      <c r="DE219" s="1948"/>
      <c r="DF219" s="1480"/>
      <c r="DG219" s="1480"/>
      <c r="DH219" s="1480"/>
      <c r="DI219" s="1948"/>
      <c r="DJ219" s="2708"/>
      <c r="DK219" s="1480"/>
      <c r="DL219" s="1480"/>
      <c r="DM219" s="2620"/>
      <c r="DN219" s="1241"/>
      <c r="DO219" s="484"/>
      <c r="DV219" s="427"/>
      <c r="DW219" s="427"/>
      <c r="EK219" s="6"/>
      <c r="EL219" s="6"/>
      <c r="EM219" s="248"/>
      <c r="EN219" s="769"/>
      <c r="EO219" s="769"/>
      <c r="EP219" s="769"/>
      <c r="EQ219" s="769"/>
      <c r="ER219" s="769"/>
      <c r="ES219" s="769"/>
      <c r="ET219" s="769"/>
      <c r="EU219" s="769"/>
      <c r="EV219" s="769"/>
      <c r="EW219" s="769"/>
      <c r="EX219" s="769"/>
      <c r="EY219" s="769"/>
      <c r="EZ219" s="1763"/>
      <c r="FA219" s="248"/>
      <c r="FB219" s="248"/>
      <c r="FC219" s="248"/>
      <c r="FD219" s="248"/>
      <c r="FE219" s="248"/>
      <c r="FF219" s="248"/>
      <c r="FG219" s="248"/>
      <c r="FH219" s="248"/>
      <c r="FI219" s="413"/>
      <c r="FJ219"/>
      <c r="FK219"/>
      <c r="FL219"/>
      <c r="FM219"/>
      <c r="FN219"/>
      <c r="FO219"/>
      <c r="FS219"/>
      <c r="FT219"/>
      <c r="FU219"/>
      <c r="FV219" s="2636"/>
      <c r="FW219" s="2636"/>
      <c r="FX219" s="2636"/>
      <c r="FY219"/>
      <c r="FZ219"/>
      <c r="GA219"/>
      <c r="GB219"/>
      <c r="GC219"/>
      <c r="GD219"/>
      <c r="GE219"/>
      <c r="GF219"/>
      <c r="GG219"/>
      <c r="GH219"/>
      <c r="GI219"/>
      <c r="GJ219"/>
      <c r="GK219"/>
      <c r="GL219"/>
      <c r="GM219"/>
      <c r="GN219"/>
      <c r="GO219"/>
      <c r="GP219"/>
      <c r="GQ219"/>
      <c r="GR219"/>
      <c r="GS219"/>
      <c r="GT219"/>
      <c r="GU219"/>
      <c r="GV219"/>
      <c r="GW219"/>
      <c r="GX219"/>
      <c r="GY219"/>
      <c r="GZ219"/>
      <c r="HA219"/>
      <c r="HB219"/>
      <c r="HC219"/>
      <c r="HD219"/>
      <c r="HE219"/>
      <c r="HF219"/>
      <c r="HG219"/>
      <c r="HH219"/>
      <c r="HI219"/>
      <c r="HJ219"/>
      <c r="HK219"/>
      <c r="HL219"/>
      <c r="HM219"/>
      <c r="HN219"/>
      <c r="HO219"/>
      <c r="HP219"/>
      <c r="HQ219"/>
      <c r="HR219"/>
      <c r="HS219"/>
      <c r="HT219"/>
      <c r="HU219"/>
      <c r="HV219"/>
      <c r="HW219"/>
      <c r="HX219"/>
      <c r="HY219"/>
      <c r="HZ219"/>
      <c r="IA219"/>
      <c r="IB219"/>
      <c r="IC219"/>
      <c r="ID219"/>
      <c r="IE219"/>
      <c r="IF219"/>
      <c r="IG219"/>
      <c r="IH219"/>
      <c r="II219"/>
      <c r="IJ219"/>
      <c r="IK219"/>
      <c r="IL219"/>
      <c r="IM219"/>
      <c r="IN219"/>
      <c r="IO219"/>
      <c r="IP219"/>
      <c r="IQ219"/>
      <c r="IR219"/>
      <c r="IS219"/>
      <c r="IT219"/>
      <c r="IU219"/>
      <c r="IV219"/>
      <c r="IW219"/>
      <c r="IX219"/>
      <c r="IY219"/>
      <c r="IZ219"/>
    </row>
    <row r="220" spans="1:260" s="6" customFormat="1" ht="11.25" customHeight="1" x14ac:dyDescent="0.2">
      <c r="A220" s="442" t="s">
        <v>170</v>
      </c>
      <c r="B220" s="443"/>
      <c r="C220" s="443"/>
      <c r="D220" s="443"/>
      <c r="E220" s="475"/>
      <c r="F220" s="443"/>
      <c r="G220" s="443"/>
      <c r="H220" s="443"/>
      <c r="I220" s="475"/>
      <c r="J220" s="443"/>
      <c r="K220" s="443"/>
      <c r="L220" s="443"/>
      <c r="M220" s="475"/>
      <c r="N220" s="443"/>
      <c r="O220" s="443"/>
      <c r="P220" s="443"/>
      <c r="Q220" s="475"/>
      <c r="R220" s="443"/>
      <c r="S220" s="443"/>
      <c r="T220" s="443"/>
      <c r="U220" s="475"/>
      <c r="V220" s="443"/>
      <c r="W220" s="443"/>
      <c r="X220" s="443"/>
      <c r="Y220" s="475"/>
      <c r="Z220" s="443"/>
      <c r="AA220" s="443"/>
      <c r="AB220" s="443"/>
      <c r="AC220" s="475"/>
      <c r="AD220" s="443"/>
      <c r="AE220" s="443"/>
      <c r="AF220" s="443"/>
      <c r="AG220" s="475"/>
      <c r="AH220" s="443"/>
      <c r="AI220" s="443"/>
      <c r="AJ220" s="443"/>
      <c r="AK220" s="475"/>
      <c r="AL220" s="443"/>
      <c r="AM220" s="443"/>
      <c r="AN220" s="443"/>
      <c r="AO220" s="475"/>
      <c r="AP220" s="443"/>
      <c r="AQ220" s="443"/>
      <c r="AR220" s="443"/>
      <c r="AS220" s="475"/>
      <c r="AT220" s="443"/>
      <c r="AU220" s="443"/>
      <c r="AV220" s="443"/>
      <c r="AW220" s="475"/>
      <c r="AX220" s="443"/>
      <c r="AY220" s="443"/>
      <c r="AZ220" s="443"/>
      <c r="BA220" s="475"/>
      <c r="BB220" s="443"/>
      <c r="BC220" s="443"/>
      <c r="BD220" s="443"/>
      <c r="BE220" s="475"/>
      <c r="BF220" s="443"/>
      <c r="BG220" s="443"/>
      <c r="BH220" s="443"/>
      <c r="BI220" s="475"/>
      <c r="BJ220" s="443"/>
      <c r="BK220" s="443"/>
      <c r="BL220" s="444"/>
      <c r="BM220" s="501"/>
      <c r="BN220" s="444"/>
      <c r="BO220" s="444"/>
      <c r="BP220" s="444"/>
      <c r="BQ220" s="501"/>
      <c r="BR220" s="444"/>
      <c r="BS220" s="444"/>
      <c r="BT220" s="444"/>
      <c r="BU220" s="501"/>
      <c r="BV220" s="444"/>
      <c r="BW220" s="444"/>
      <c r="BX220" s="444"/>
      <c r="BY220" s="501"/>
      <c r="BZ220" s="444"/>
      <c r="CA220" s="444"/>
      <c r="CB220" s="444"/>
      <c r="CC220" s="501"/>
      <c r="CD220" s="444"/>
      <c r="CE220" s="444"/>
      <c r="CF220" s="444"/>
      <c r="CG220" s="501"/>
      <c r="CH220" s="444"/>
      <c r="CI220" s="444"/>
      <c r="CJ220" s="444"/>
      <c r="CK220" s="501"/>
      <c r="CL220" s="444"/>
      <c r="CM220" s="444"/>
      <c r="CN220" s="444"/>
      <c r="CO220" s="501"/>
      <c r="CP220" s="444"/>
      <c r="CQ220" s="444"/>
      <c r="CR220" s="444"/>
      <c r="CS220" s="501"/>
      <c r="CT220" s="444"/>
      <c r="CU220" s="1228"/>
      <c r="CV220" s="1228"/>
      <c r="CW220" s="1261"/>
      <c r="CX220" s="444"/>
      <c r="CY220" s="444"/>
      <c r="CZ220" s="1228"/>
      <c r="DA220" s="1261"/>
      <c r="DB220" s="444"/>
      <c r="DC220" s="597"/>
      <c r="DD220" s="443"/>
      <c r="DE220" s="475"/>
      <c r="DF220" s="444"/>
      <c r="DG220" s="444"/>
      <c r="DH220" s="444"/>
      <c r="DI220" s="475"/>
      <c r="DJ220" s="2706"/>
      <c r="DK220" s="597"/>
      <c r="DL220" s="597"/>
      <c r="DM220" s="501"/>
      <c r="DN220" s="977"/>
      <c r="DO220" s="484"/>
      <c r="DP220" s="442"/>
      <c r="DQ220" s="442"/>
      <c r="DR220" s="442"/>
      <c r="DS220" s="442"/>
      <c r="DT220" s="442"/>
      <c r="DU220" s="442"/>
      <c r="DV220" s="442"/>
      <c r="DW220" s="442"/>
      <c r="DX220" s="443"/>
      <c r="DY220" s="443"/>
      <c r="DZ220" s="443"/>
      <c r="EA220" s="443"/>
      <c r="EB220" s="443"/>
      <c r="EC220" s="443"/>
      <c r="ED220" s="443"/>
      <c r="EE220" s="443"/>
      <c r="EF220" s="443"/>
      <c r="EG220" s="443"/>
      <c r="EH220" s="443"/>
      <c r="EI220" s="443"/>
      <c r="EJ220" s="443"/>
      <c r="EK220" s="443"/>
      <c r="EL220" s="443"/>
      <c r="EM220" s="444"/>
      <c r="EN220" s="443"/>
      <c r="EO220" s="443"/>
      <c r="EP220" s="443"/>
      <c r="EQ220" s="443"/>
      <c r="ER220" s="444"/>
      <c r="ES220" s="443"/>
      <c r="ET220" s="443"/>
      <c r="EU220" s="443"/>
      <c r="EV220" s="443"/>
      <c r="EW220" s="443"/>
      <c r="EX220" s="443"/>
      <c r="EY220" s="443"/>
      <c r="EZ220" s="1770"/>
      <c r="FA220" s="442"/>
      <c r="FB220" s="442"/>
      <c r="FC220" s="442"/>
      <c r="FD220" s="442"/>
      <c r="FE220" s="442"/>
      <c r="FF220" s="442"/>
      <c r="FG220" s="442"/>
      <c r="FH220" s="442"/>
      <c r="FI220" s="671"/>
      <c r="FJ220"/>
      <c r="FK220"/>
      <c r="FL220"/>
      <c r="FM220"/>
      <c r="FN220"/>
      <c r="FO220"/>
      <c r="FQ220" s="4"/>
      <c r="FR220" s="4"/>
      <c r="FS220" s="236"/>
      <c r="FT220" s="236"/>
      <c r="FU220"/>
      <c r="FV220" s="236"/>
      <c r="FW220" s="236"/>
      <c r="FX220" s="236"/>
      <c r="FY220"/>
      <c r="FZ220"/>
      <c r="GA220"/>
      <c r="GB220"/>
      <c r="GC220"/>
      <c r="GD220"/>
      <c r="GE220"/>
      <c r="GF220"/>
      <c r="GG220"/>
      <c r="GH220"/>
      <c r="GI220"/>
      <c r="GJ220"/>
      <c r="GK220"/>
      <c r="GL220"/>
      <c r="GM220"/>
      <c r="GN220"/>
      <c r="GO220"/>
      <c r="GP220"/>
      <c r="GQ220"/>
      <c r="GR220"/>
      <c r="GS220"/>
      <c r="GT220"/>
      <c r="GU220"/>
      <c r="GV220"/>
      <c r="GW220"/>
      <c r="GX220"/>
      <c r="GY220"/>
      <c r="GZ220"/>
      <c r="HA220"/>
      <c r="HB220"/>
      <c r="HC220"/>
      <c r="HD220"/>
      <c r="HE220"/>
      <c r="HF220"/>
      <c r="HG220"/>
      <c r="HH220"/>
      <c r="HI220"/>
      <c r="HJ220"/>
      <c r="HK220"/>
      <c r="HL220"/>
      <c r="HM220"/>
      <c r="HN220"/>
      <c r="HO220"/>
      <c r="HP220"/>
      <c r="HQ220"/>
      <c r="HR220"/>
      <c r="HS220"/>
      <c r="HT220"/>
      <c r="HU220"/>
      <c r="HV220"/>
      <c r="HW220"/>
      <c r="HX220"/>
      <c r="HY220"/>
      <c r="HZ220"/>
      <c r="IA220"/>
      <c r="IB220"/>
      <c r="IC220"/>
      <c r="ID220"/>
      <c r="IE220"/>
      <c r="IF220"/>
      <c r="IG220"/>
      <c r="IH220"/>
      <c r="II220"/>
      <c r="IJ220"/>
      <c r="IK220"/>
      <c r="IL220"/>
      <c r="IM220"/>
      <c r="IN220"/>
      <c r="IO220"/>
      <c r="IP220"/>
      <c r="IQ220"/>
      <c r="IR220"/>
      <c r="IS220"/>
      <c r="IT220"/>
      <c r="IU220"/>
      <c r="IV220"/>
      <c r="IW220"/>
      <c r="IX220"/>
      <c r="IY220"/>
      <c r="IZ220"/>
    </row>
    <row r="221" spans="1:260" s="6" customFormat="1" ht="11.25" hidden="1" customHeight="1" outlineLevel="1" x14ac:dyDescent="0.2">
      <c r="A221" s="287" t="s">
        <v>18</v>
      </c>
      <c r="B221" s="1517"/>
      <c r="C221" s="1517"/>
      <c r="D221" s="1517"/>
      <c r="E221" s="1807"/>
      <c r="F221" s="1517"/>
      <c r="G221" s="1517"/>
      <c r="H221" s="1517"/>
      <c r="I221" s="1807"/>
      <c r="J221" s="1517"/>
      <c r="K221" s="1517"/>
      <c r="L221" s="1517"/>
      <c r="M221" s="1807"/>
      <c r="N221" s="1517"/>
      <c r="O221" s="1517"/>
      <c r="P221" s="1517"/>
      <c r="Q221" s="1807"/>
      <c r="R221" s="1517"/>
      <c r="S221" s="1517"/>
      <c r="T221" s="1517"/>
      <c r="U221" s="1807"/>
      <c r="V221" s="1517"/>
      <c r="W221" s="1517"/>
      <c r="X221" s="1517"/>
      <c r="Y221" s="1807"/>
      <c r="Z221" s="1517"/>
      <c r="AA221" s="1517"/>
      <c r="AB221" s="1517"/>
      <c r="AC221" s="1807"/>
      <c r="AD221" s="1517"/>
      <c r="AE221" s="1517"/>
      <c r="AF221" s="1517"/>
      <c r="AG221" s="1807"/>
      <c r="AH221" s="1517"/>
      <c r="AI221" s="1517"/>
      <c r="AJ221" s="1517"/>
      <c r="AK221" s="1807"/>
      <c r="AL221" s="1517"/>
      <c r="AM221" s="1517"/>
      <c r="AN221" s="1517"/>
      <c r="AO221" s="1807"/>
      <c r="AP221" s="1517"/>
      <c r="AQ221" s="1517"/>
      <c r="AR221" s="1517"/>
      <c r="AS221" s="1807"/>
      <c r="AT221" s="1517"/>
      <c r="AU221" s="1517"/>
      <c r="AV221" s="1517"/>
      <c r="AW221" s="1807"/>
      <c r="AX221" s="1517"/>
      <c r="AY221" s="1517"/>
      <c r="AZ221" s="1517"/>
      <c r="BA221" s="1807"/>
      <c r="BB221" s="77">
        <f>'Income Statement'!BB151/'Income Statement'!AX151-1</f>
        <v>0.12310082306039272</v>
      </c>
      <c r="BC221" s="77">
        <f>'Income Statement'!BC151/'Income Statement'!AY151-1</f>
        <v>0.10809912234720209</v>
      </c>
      <c r="BD221" s="77">
        <f>'Income Statement'!BD151/'Income Statement'!AZ151-1</f>
        <v>0.11882884778852132</v>
      </c>
      <c r="BE221" s="487">
        <f>'Income Statement'!BE151/'Income Statement'!BA151-1</f>
        <v>0.1859501904183527</v>
      </c>
      <c r="BF221" s="77">
        <f>'Income Statement'!BF151/'Income Statement'!BB151-1</f>
        <v>0.10295171940731751</v>
      </c>
      <c r="BG221" s="77">
        <f>'Income Statement'!BG151/'Income Statement'!BC151-1</f>
        <v>9.7319258301522993E-2</v>
      </c>
      <c r="BH221" s="77">
        <f>'Income Statement'!BH151/'Income Statement'!BD151-1</f>
        <v>0.14325087391552738</v>
      </c>
      <c r="BI221" s="487">
        <f>'Income Statement'!BI151/'Income Statement'!BE151-1</f>
        <v>1.3729832558640354E-2</v>
      </c>
      <c r="BJ221" s="1857">
        <f>'Income Statement'!BJ151/'Income Statement'!BF151-1</f>
        <v>0.11406350109991803</v>
      </c>
      <c r="BK221" s="1858">
        <f>'Income Statement'!BK151/'Income Statement'!BG151-1</f>
        <v>0.12755576036594096</v>
      </c>
      <c r="BL221" s="1858">
        <f>'Income Statement'!BL151/'Income Statement'!BH151-1</f>
        <v>-4.2398997900294777E-3</v>
      </c>
      <c r="BM221" s="1859">
        <f>'Income Statement'!BM151/'Income Statement'!BI151-1</f>
        <v>4.8136967411180898E-3</v>
      </c>
      <c r="BN221" s="1857">
        <f>'Income Statement'!BN151/'Income Statement'!BJ151-1</f>
        <v>7.4378405866037944E-4</v>
      </c>
      <c r="BO221" s="1858">
        <f>'Income Statement'!BO151/'Income Statement'!BK151-1</f>
        <v>2.5539339582046683E-2</v>
      </c>
      <c r="BP221" s="1858">
        <f>'Income Statement'!BP151/'Income Statement'!BL151-1</f>
        <v>9.3149258779244626E-2</v>
      </c>
      <c r="BQ221" s="1859">
        <f>'Income Statement'!BQ151/'Income Statement'!BM151-1</f>
        <v>0.12937207500576742</v>
      </c>
      <c r="BR221" s="1857">
        <f>'Income Statement'!BR151/'Income Statement'!BN151-1</f>
        <v>4.3829530534757577E-2</v>
      </c>
      <c r="BS221" s="1858">
        <f>'Income Statement'!BS151/'Income Statement'!BO151-1</f>
        <v>-3.3401136149557864E-4</v>
      </c>
      <c r="BT221" s="1858">
        <f>'Income Statement'!BT151/'Income Statement'!BP151-1</f>
        <v>-3.6350662811888035E-2</v>
      </c>
      <c r="BU221" s="1859">
        <f>'Income Statement'!BU151/'Income Statement'!BQ151-1</f>
        <v>-4.9495451229656373E-2</v>
      </c>
      <c r="BV221" s="1857">
        <f>'Income Statement'!BV151/'Income Statement'!BR151-1</f>
        <v>9.768440204296347E-4</v>
      </c>
      <c r="BW221" s="1858">
        <f>'Income Statement'!BW151/'Income Statement'!BS151-1</f>
        <v>-8.1492782177381429E-3</v>
      </c>
      <c r="BX221" s="1858">
        <f>'Income Statement'!BX151/'Income Statement'!BT151-1</f>
        <v>3.8030990937999665E-2</v>
      </c>
      <c r="BY221" s="1859">
        <f>'Income Statement'!BY151/'Income Statement'!BU151-1</f>
        <v>4.6670717340132395E-2</v>
      </c>
      <c r="BZ221" s="1857">
        <f>'Income Statement'!BZ151/'Income Statement'!BN151-1</f>
        <v>0.13445229055037089</v>
      </c>
      <c r="CA221" s="1858">
        <f>'Income Statement'!CA151/'Income Statement'!BO151-1</f>
        <v>-3.1494780673323564E-2</v>
      </c>
      <c r="CB221" s="1858">
        <f>'Income Statement'!CB151/'Income Statement'!BP151-1</f>
        <v>-0.13633557709935695</v>
      </c>
      <c r="CC221" s="1859">
        <f>'Income Statement'!CC151/'Income Statement'!BQ151-1</f>
        <v>2.7949711735446581E-3</v>
      </c>
      <c r="CD221" s="1857">
        <f>'Income Statement'!CD151/'Income Statement'!BZ151-1</f>
        <v>-2.3303096653112254E-2</v>
      </c>
      <c r="CE221" s="1858">
        <f>'Income Statement'!CE151/'Income Statement'!CA151-1</f>
        <v>-1.8958127266732627E-2</v>
      </c>
      <c r="CF221" s="1858">
        <f>'Income Statement'!CF151/'Income Statement'!CB151-1</f>
        <v>2.9225773372073105E-2</v>
      </c>
      <c r="CG221" s="1859">
        <f>'Income Statement'!CG151/'Income Statement'!CC151-1</f>
        <v>1.1615847334577989E-2</v>
      </c>
      <c r="CH221" s="1857">
        <f>'Income Statement'!CH151/'Income Statement'!CD151-1</f>
        <v>5.5084067253803104E-2</v>
      </c>
      <c r="CI221" s="1858">
        <f>'Income Statement'!CI151/'Income Statement'!CE151-1</f>
        <v>-7.3937153419593171E-3</v>
      </c>
      <c r="CJ221" s="1858">
        <f>'Income Statement'!CJ151/'Income Statement'!CF151-1</f>
        <v>-3.3875788774493487E-2</v>
      </c>
      <c r="CK221" s="1859">
        <f>'Income Statement'!CK151/'Income Statement'!CG151-1</f>
        <v>-1.4353085913471064E-3</v>
      </c>
      <c r="CL221" s="1857">
        <f>'Income Statement'!CL151/(5881)-1</f>
        <v>0.12038768916850873</v>
      </c>
      <c r="CM221" s="1858">
        <f>'Income Statement'!CM151/(5550)-1</f>
        <v>6.4324324324324333E-2</v>
      </c>
      <c r="CN221" s="1858">
        <f>'Income Statement'!CN151/(5597)-1</f>
        <v>3.9485438627836267E-2</v>
      </c>
      <c r="CO221" s="1859">
        <f>'Income Statement'!CO151/(9152)-1</f>
        <v>6.4248251748251661E-2</v>
      </c>
      <c r="CP221" s="1857">
        <f>'Income Statement'!CP151/'Income Statement'!CL151-1</f>
        <v>-7.6187585369555277E-2</v>
      </c>
      <c r="CQ221" s="1858">
        <f>'Income Statement'!CQ151/(5550)-1</f>
        <v>6.5585585585585582E-2</v>
      </c>
      <c r="CR221" s="1858">
        <f>'Income Statement'!CR151/(5597)-1</f>
        <v>6.7714847239592535E-2</v>
      </c>
      <c r="CS221" s="1859">
        <f>'Income Statement'!CS151/'Income Statement'!CO151-1</f>
        <v>1.0677618069815153E-2</v>
      </c>
      <c r="CT221" s="1042">
        <f>'Income Statement'!CT151/'Income Statement'!CP151-1</f>
        <v>-1.1335633316904903E-2</v>
      </c>
      <c r="CU221" s="1042">
        <f>'Income Statement'!CU151/'Income Statement'!CQ151-1</f>
        <v>-1.8092661481231009E-2</v>
      </c>
      <c r="CV221" s="1042">
        <f>'Income Statement'!CV151/'Income Statement'!CR151-1</f>
        <v>2.928380187416324E-2</v>
      </c>
      <c r="CW221" s="1416">
        <f>'Income Statement'!CW151/'Income Statement'!CS151-1</f>
        <v>1.5745631856968645E-2</v>
      </c>
      <c r="CX221" s="75">
        <f>'Income Statement'!CX151/'Income Statement'!CT151-1</f>
        <v>1.0634762379527984E-2</v>
      </c>
      <c r="CY221" s="75">
        <f>'Income Statement'!CY151/'Income Statement'!CU151-1</f>
        <v>2.32478043740314E-2</v>
      </c>
      <c r="CZ221" s="1042">
        <f>'Income Statement'!CZ151/'Income Statement'!CV151-1</f>
        <v>-1.4631767192326839E-3</v>
      </c>
      <c r="DA221" s="1416">
        <f>'Income Statement'!DA151/'Income Statement'!CW151-1</f>
        <v>-1.9601960196019563E-2</v>
      </c>
      <c r="DB221" s="75">
        <f>'Income Statement'!DB151/'Income Statement'!CX151-1</f>
        <v>-9.2074975337059772E-3</v>
      </c>
      <c r="DC221" s="1042">
        <f>'Income Statement'!DC151/'Income Statement'!CY151-1</f>
        <v>8.7512622012790864E-3</v>
      </c>
      <c r="DD221" s="75">
        <f>'Income Statement'!DD151/'Income Statement'!CZ151-1</f>
        <v>4.8844024747638493E-3</v>
      </c>
      <c r="DE221" s="1859">
        <f>'Income Statement'!DE151/'Income Statement'!DA151-1</f>
        <v>-2.1830052024890301E-2</v>
      </c>
      <c r="DF221" s="75">
        <f>'Income Statement'!DF151/'Income Statement'!DB151-1</f>
        <v>2.4892134085627848E-3</v>
      </c>
      <c r="DG221" s="75">
        <f>'Income Statement'!DG151/'Income Statement'!DC151-1</f>
        <v>4.8882215548882169E-2</v>
      </c>
      <c r="DH221" s="75">
        <f>'Income Statement'!DH151/'Income Statement'!DD151-1</f>
        <v>3.6130913804277354E-2</v>
      </c>
      <c r="DI221" s="1859">
        <f>'Income Statement'!DI151/'Income Statement'!DE151-1</f>
        <v>0.13400771717593085</v>
      </c>
      <c r="DJ221" s="2709">
        <f>'Income Statement'!DJ151/'Income Statement'!DF151-1</f>
        <v>2.372448805818328E-2</v>
      </c>
      <c r="DK221" s="75">
        <f>'Income Statement'!DK151/'Income Statement'!DG151-1</f>
        <v>7.0419089951558878E-3</v>
      </c>
      <c r="DL221" s="75">
        <f>'Income Statement'!DL151/'Income Statement'!DH151-1</f>
        <v>9.3415231804401255E-3</v>
      </c>
      <c r="DM221" s="1416">
        <f>'Income Statement'!DM151/'Income Statement'!DI151-1</f>
        <v>-1.2826930857949725E-2</v>
      </c>
      <c r="DN221" s="580"/>
      <c r="DO221" s="487"/>
      <c r="DP221" s="77"/>
      <c r="DQ221" s="213" t="s">
        <v>483</v>
      </c>
      <c r="DR221" s="213" t="s">
        <v>483</v>
      </c>
      <c r="DS221" s="213" t="s">
        <v>483</v>
      </c>
      <c r="DT221" s="213" t="s">
        <v>483</v>
      </c>
      <c r="DU221" s="213" t="s">
        <v>483</v>
      </c>
      <c r="DV221" s="213" t="s">
        <v>483</v>
      </c>
      <c r="DW221" s="213" t="s">
        <v>483</v>
      </c>
      <c r="DX221" s="213" t="s">
        <v>483</v>
      </c>
      <c r="DY221" s="213" t="s">
        <v>483</v>
      </c>
      <c r="DZ221" s="213" t="s">
        <v>483</v>
      </c>
      <c r="EA221" s="213" t="s">
        <v>483</v>
      </c>
      <c r="EB221" s="213" t="s">
        <v>483</v>
      </c>
      <c r="EC221" s="213" t="s">
        <v>483</v>
      </c>
      <c r="ED221" s="213" t="s">
        <v>483</v>
      </c>
      <c r="EE221" s="213" t="s">
        <v>483</v>
      </c>
      <c r="EF221" s="213" t="s">
        <v>483</v>
      </c>
      <c r="EG221" s="213" t="s">
        <v>483</v>
      </c>
      <c r="EH221" s="213" t="s">
        <v>483</v>
      </c>
      <c r="EI221" s="213" t="s">
        <v>483</v>
      </c>
      <c r="EJ221" s="77">
        <f>'Income Statement'!EJ151/'Income Statement'!EI151-1</f>
        <v>9.0284981552176458E-2</v>
      </c>
      <c r="EK221" s="77">
        <f>'Income Statement'!EK151/'Income Statement'!EJ151-1</f>
        <v>0.1404771951849455</v>
      </c>
      <c r="EL221" s="77">
        <f>'Income Statement'!EL151/'Income Statement'!EK151-1</f>
        <v>7.9190542999696412E-2</v>
      </c>
      <c r="EM221" s="77">
        <f>'Income Statement'!EM151/'Income Statement'!EL151-1</f>
        <v>5.093385528929173E-2</v>
      </c>
      <c r="EN221" s="77">
        <f>'Income Statement'!EN151/'Income Statement'!EM151-1</f>
        <v>6.9521889915101553E-2</v>
      </c>
      <c r="EO221" s="77">
        <f>'Income Statement'!EO151/'Income Statement'!EN151-1</f>
        <v>-1.6869577967682958E-2</v>
      </c>
      <c r="EP221" s="77">
        <f>'Income Statement'!EP151/'Income Statement'!EO151-1</f>
        <v>2.2635460595201717E-2</v>
      </c>
      <c r="EQ221" s="77">
        <f>'Income Statement'!EQ151/'Income Statement'!EN151-1</f>
        <v>-1.1884673476896146E-2</v>
      </c>
      <c r="ER221" s="77">
        <f>'Income Statement'!ER151/'Income Statement'!EQ151-1</f>
        <v>6.7971237434272247E-4</v>
      </c>
      <c r="ES221" s="77">
        <f>'Income Statement'!ES151/'Income Statement'!ER151-1</f>
        <v>2.9315029315029051E-3</v>
      </c>
      <c r="ET221" s="77">
        <f>'Income Statement'!ET151/(26180)-1</f>
        <v>7.1581359816653922E-2</v>
      </c>
      <c r="EU221" s="77">
        <f>'Income Statement'!EU151/'Income Statement'!ES151-1</f>
        <v>-8.3054109930847941E-3</v>
      </c>
      <c r="EV221" s="77">
        <f>'Income Statement'!EV151/'Income Statement'!EU151-1</f>
        <v>5.5353869379246579E-3</v>
      </c>
      <c r="EW221" s="77">
        <f>'Income Statement'!EW151/'Income Statement'!EV151-1</f>
        <v>-2.1447721179623791E-4</v>
      </c>
      <c r="EX221" s="77">
        <f>'Income Statement'!EX151/'Income Statement'!EW151-1</f>
        <v>-6.7217276270156168E-3</v>
      </c>
      <c r="EY221" s="77">
        <f>'Income Statement'!EY151/'Income Statement'!EX151-1</f>
        <v>6.5368417263597323E-2</v>
      </c>
      <c r="EZ221" s="1680">
        <f>'Income Statement'!EZ151/'Income Statement'!EY151-1</f>
        <v>3.6439878636889134E-3</v>
      </c>
      <c r="FA221" s="77">
        <f>'Income Statement'!FA151/'Income Statement'!EZ151-1</f>
        <v>1.081046120955298E-2</v>
      </c>
      <c r="FB221" s="77">
        <f>'Income Statement'!FB151/'Income Statement'!FA151-1</f>
        <v>9.4601677915944204E-3</v>
      </c>
      <c r="FC221" s="77">
        <f>'Income Statement'!FC151/'Income Statement'!FB151-1</f>
        <v>9.988535884231986E-3</v>
      </c>
      <c r="FD221" s="77">
        <f>'Income Statement'!FD151/'Income Statement'!FC151-1</f>
        <v>1.4330346504877856E-2</v>
      </c>
      <c r="FE221" s="77">
        <f>'Income Statement'!FE151/'Income Statement'!FD151-1</f>
        <v>1.4683559731776707E-2</v>
      </c>
      <c r="FF221" s="77">
        <f>'Income Statement'!FF151/'Income Statement'!FE151-1</f>
        <v>1.5046002069279307E-2</v>
      </c>
      <c r="FG221" s="77">
        <f>'Income Statement'!FG151/'Income Statement'!FF151-1</f>
        <v>1.541763772584881E-2</v>
      </c>
      <c r="FH221" s="77">
        <f>'Income Statement'!FH151/'Income Statement'!FG151-1</f>
        <v>1.5798409996310214E-2</v>
      </c>
      <c r="FI221" s="580"/>
      <c r="FJ221"/>
      <c r="FK221"/>
      <c r="FL221"/>
      <c r="FM221"/>
      <c r="FN221"/>
      <c r="FO221"/>
      <c r="FQ221" s="4"/>
      <c r="FR221" s="4"/>
      <c r="FS221" s="70"/>
      <c r="FT221" s="70"/>
      <c r="FU221"/>
      <c r="FV221" s="70"/>
      <c r="FW221" s="70"/>
      <c r="FX221" s="70"/>
      <c r="FY221"/>
      <c r="FZ221"/>
      <c r="GA221"/>
      <c r="GB221"/>
      <c r="GC221"/>
      <c r="GD221"/>
      <c r="GE221"/>
      <c r="GF221"/>
      <c r="GG221"/>
      <c r="GH221"/>
      <c r="GI221"/>
      <c r="GJ221"/>
      <c r="GK221"/>
      <c r="GL221"/>
      <c r="GM221"/>
      <c r="GN221"/>
      <c r="GO221"/>
      <c r="GP221"/>
      <c r="GQ221"/>
      <c r="GR221"/>
      <c r="GS221"/>
      <c r="GT221"/>
      <c r="GU221"/>
      <c r="GV221"/>
      <c r="GW221"/>
      <c r="GX221"/>
      <c r="GY221"/>
      <c r="GZ221"/>
      <c r="HA221"/>
      <c r="HB221"/>
      <c r="HC221"/>
      <c r="HD221"/>
      <c r="HE221"/>
      <c r="HF221"/>
      <c r="HG221"/>
      <c r="HH221"/>
      <c r="HI221"/>
      <c r="HJ221"/>
      <c r="HK221"/>
      <c r="HL221"/>
      <c r="HM221"/>
      <c r="HN221"/>
      <c r="HO221"/>
      <c r="HP221"/>
      <c r="HQ221"/>
      <c r="HR221"/>
      <c r="HS221"/>
      <c r="HT221"/>
      <c r="HU221"/>
      <c r="HV221"/>
      <c r="HW221"/>
      <c r="HX221"/>
      <c r="HY221"/>
      <c r="HZ221"/>
      <c r="IA221"/>
      <c r="IB221"/>
      <c r="IC221"/>
      <c r="ID221"/>
      <c r="IE221"/>
      <c r="IF221"/>
      <c r="IG221"/>
      <c r="IH221"/>
      <c r="II221"/>
      <c r="IJ221"/>
      <c r="IK221"/>
      <c r="IL221"/>
      <c r="IM221"/>
      <c r="IN221"/>
      <c r="IO221"/>
      <c r="IP221"/>
      <c r="IQ221"/>
      <c r="IR221"/>
      <c r="IS221"/>
      <c r="IT221"/>
      <c r="IU221"/>
      <c r="IV221"/>
      <c r="IW221"/>
      <c r="IX221"/>
      <c r="IY221"/>
      <c r="IZ221"/>
    </row>
    <row r="222" spans="1:260" s="6" customFormat="1" ht="11.25" hidden="1" customHeight="1" outlineLevel="1" x14ac:dyDescent="0.2">
      <c r="A222" s="287" t="s">
        <v>22</v>
      </c>
      <c r="B222" s="1517"/>
      <c r="C222" s="1517"/>
      <c r="D222" s="1517"/>
      <c r="E222" s="1807"/>
      <c r="F222" s="1517"/>
      <c r="G222" s="1517"/>
      <c r="H222" s="1517"/>
      <c r="I222" s="1807"/>
      <c r="J222" s="1517"/>
      <c r="K222" s="1517"/>
      <c r="L222" s="1517"/>
      <c r="M222" s="1807"/>
      <c r="N222" s="1517"/>
      <c r="O222" s="1517"/>
      <c r="P222" s="1517"/>
      <c r="Q222" s="1807"/>
      <c r="R222" s="1517"/>
      <c r="S222" s="1517"/>
      <c r="T222" s="1517"/>
      <c r="U222" s="1807"/>
      <c r="V222" s="1517"/>
      <c r="W222" s="1517"/>
      <c r="X222" s="1517"/>
      <c r="Y222" s="1807"/>
      <c r="Z222" s="1517"/>
      <c r="AA222" s="1517"/>
      <c r="AB222" s="1517"/>
      <c r="AC222" s="1807"/>
      <c r="AD222" s="1517"/>
      <c r="AE222" s="1517"/>
      <c r="AF222" s="1517"/>
      <c r="AG222" s="1807"/>
      <c r="AH222" s="1517"/>
      <c r="AI222" s="1517"/>
      <c r="AJ222" s="1517"/>
      <c r="AK222" s="1807"/>
      <c r="AL222" s="1517"/>
      <c r="AM222" s="1517"/>
      <c r="AN222" s="1517"/>
      <c r="AO222" s="1807"/>
      <c r="AP222" s="1517"/>
      <c r="AQ222" s="1517"/>
      <c r="AR222" s="1517"/>
      <c r="AS222" s="1807"/>
      <c r="AT222" s="1517"/>
      <c r="AU222" s="1517"/>
      <c r="AV222" s="1517"/>
      <c r="AW222" s="1807"/>
      <c r="AX222" s="1517"/>
      <c r="AY222" s="1517"/>
      <c r="AZ222" s="1517"/>
      <c r="BA222" s="1807"/>
      <c r="BB222" s="77">
        <f>'Income Statement'!BB152/'Income Statement'!AX152-1</f>
        <v>0.27482720457725152</v>
      </c>
      <c r="BC222" s="77">
        <f>'Income Statement'!BC152/'Income Statement'!AY152-1</f>
        <v>0.42585437227984846</v>
      </c>
      <c r="BD222" s="77">
        <f>'Income Statement'!BD152/'Income Statement'!AZ152-1</f>
        <v>0.51785714285714302</v>
      </c>
      <c r="BE222" s="487">
        <f>'Income Statement'!BE152/'Income Statement'!BA152-1</f>
        <v>0.46856692203695349</v>
      </c>
      <c r="BF222" s="77">
        <f>'Income Statement'!BF152/'Income Statement'!BB152-1</f>
        <v>0.60461882188756166</v>
      </c>
      <c r="BG222" s="77">
        <f>'Income Statement'!BG152/'Income Statement'!BC152-1</f>
        <v>0.56162399441552546</v>
      </c>
      <c r="BH222" s="77">
        <f>'Income Statement'!BH152/'Income Statement'!BD152-1</f>
        <v>0.32216882149867998</v>
      </c>
      <c r="BI222" s="487">
        <f>'Income Statement'!BI152/'Income Statement'!BE152-1</f>
        <v>0.23241203752135875</v>
      </c>
      <c r="BJ222" s="1819">
        <f>'Income Statement'!BJ152/'Income Statement'!BF152-1</f>
        <v>0.25046982359540348</v>
      </c>
      <c r="BK222" s="75">
        <f>'Income Statement'!BK152/'Income Statement'!BG152-1</f>
        <v>9.8867578318578175E-2</v>
      </c>
      <c r="BL222" s="75">
        <f>'Income Statement'!BL152/'Income Statement'!BH152-1</f>
        <v>0.7857918125780754</v>
      </c>
      <c r="BM222" s="1416">
        <f>'Income Statement'!BM152/'Income Statement'!BI152-1</f>
        <v>0.46415980134616497</v>
      </c>
      <c r="BN222" s="1819">
        <f>'Income Statement'!BN152/'Income Statement'!BJ152-1</f>
        <v>0.55250373676824838</v>
      </c>
      <c r="BO222" s="75">
        <f>'Income Statement'!BO152/'Income Statement'!BK152-1</f>
        <v>0.58049418152898258</v>
      </c>
      <c r="BP222" s="75">
        <f>'Income Statement'!BP152/'Income Statement'!BL152-1</f>
        <v>-5.4994642980010222E-2</v>
      </c>
      <c r="BQ222" s="1416">
        <f>'Income Statement'!BQ152/'Income Statement'!BM152-1</f>
        <v>0.14438404704812879</v>
      </c>
      <c r="BR222" s="1819">
        <f>'Income Statement'!BR152/'Income Statement'!BN152-1</f>
        <v>0.1098790619413188</v>
      </c>
      <c r="BS222" s="75">
        <f>'Income Statement'!BS152/'Income Statement'!BO152-1</f>
        <v>4.1013331790971552E-2</v>
      </c>
      <c r="BT222" s="75">
        <f>'Income Statement'!BT152/'Income Statement'!BP152-1</f>
        <v>3.0884406456159308E-2</v>
      </c>
      <c r="BU222" s="1416">
        <f>'Income Statement'!BU152/'Income Statement'!BQ152-1</f>
        <v>6.3800418389975411E-2</v>
      </c>
      <c r="BV222" s="1819">
        <f>'Income Statement'!BV152/'Income Statement'!BR152-1</f>
        <v>8.1606789566641025E-2</v>
      </c>
      <c r="BW222" s="75">
        <f>'Income Statement'!BW152/'Income Statement'!BS152-1</f>
        <v>4.862600424477459E-2</v>
      </c>
      <c r="BX222" s="75">
        <f>'Income Statement'!BX152/'Income Statement'!BT152-1</f>
        <v>-1.1771432415152994E-4</v>
      </c>
      <c r="BY222" s="1416">
        <f>'Income Statement'!BY152/'Income Statement'!BU152-1</f>
        <v>-5.1284232957296449E-2</v>
      </c>
      <c r="BZ222" s="1819">
        <f>'Income Statement'!BZ152/'Income Statement'!BN152-1</f>
        <v>9.0019981070564858E-2</v>
      </c>
      <c r="CA222" s="75">
        <f>'Income Statement'!CA152/'Income Statement'!BO152-1</f>
        <v>-3.1203909887503878E-2</v>
      </c>
      <c r="CB222" s="75">
        <f>'Income Statement'!CB152/'Income Statement'!BP152-1</f>
        <v>-2.2700225103992611E-2</v>
      </c>
      <c r="CC222" s="1416">
        <f>'Income Statement'!CC152/'Income Statement'!BQ152-1</f>
        <v>4.2259819229051976E-2</v>
      </c>
      <c r="CD222" s="1819">
        <f>'Income Statement'!CD152/'Income Statement'!BZ152-1</f>
        <v>6.2711046792088831E-2</v>
      </c>
      <c r="CE222" s="75">
        <f>'Income Statement'!CE152/'Income Statement'!CA152-1</f>
        <v>6.6169154228855831E-2</v>
      </c>
      <c r="CF222" s="75">
        <f>'Income Statement'!CF152/'Income Statement'!CB152-1</f>
        <v>6.6518847006651338E-3</v>
      </c>
      <c r="CG222" s="1416">
        <f>'Income Statement'!CG152/'Income Statement'!CC152-1</f>
        <v>-1.3609850939727774E-2</v>
      </c>
      <c r="CH222" s="1819">
        <f>'Income Statement'!CH152/'Income Statement'!CD152-1</f>
        <v>-4.0399455288243291E-2</v>
      </c>
      <c r="CI222" s="75">
        <f>'Income Statement'!CI152/'Income Statement'!CE152-1</f>
        <v>-3.1264582361175908E-2</v>
      </c>
      <c r="CJ222" s="75">
        <f>'Income Statement'!CJ152/'Income Statement'!CF152-1</f>
        <v>3.4801762114537338E-2</v>
      </c>
      <c r="CK222" s="1416">
        <f>'Income Statement'!CK152/'Income Statement'!CG152-1</f>
        <v>4.7634691195794998E-2</v>
      </c>
      <c r="CL222" s="1819">
        <f>'Income Statement'!CL152/(5881)-1</f>
        <v>-0.79595306920591735</v>
      </c>
      <c r="CM222" s="75">
        <f>'Income Statement'!CM152/(5550)-1</f>
        <v>-0.78900900900900894</v>
      </c>
      <c r="CN222" s="75">
        <f>'Income Statement'!CN152/(5597)-1</f>
        <v>-0.76147936394497051</v>
      </c>
      <c r="CO222" s="1416">
        <f>'Income Statement'!CO152/(9152)-1</f>
        <v>-0.79600087412587417</v>
      </c>
      <c r="CP222" s="1819">
        <f>'Income Statement'!CP152/'Income Statement'!CL152-1</f>
        <v>-0.38666666666666671</v>
      </c>
      <c r="CQ222" s="75">
        <f>'Income Statement'!CQ152/(5550)-1</f>
        <v>-0.87189189189189187</v>
      </c>
      <c r="CR222" s="75">
        <f>'Income Statement'!CR152/(5597)-1</f>
        <v>-0.84723959263891369</v>
      </c>
      <c r="CS222" s="1416">
        <f>'Income Statement'!CS152/'Income Statement'!CO152-1</f>
        <v>-0.275307980717729</v>
      </c>
      <c r="CT222" s="1042">
        <f>'Income Statement'!CT152/'Income Statement'!CP152-1</f>
        <v>-0.11141304347826086</v>
      </c>
      <c r="CU222" s="1042">
        <f>'Income Statement'!CU152/'Income Statement'!CQ152-1</f>
        <v>-5.2039381153305198E-2</v>
      </c>
      <c r="CV222" s="1042">
        <f>'Income Statement'!CV152/'Income Statement'!CR152-1</f>
        <v>-5.8479532163742687E-2</v>
      </c>
      <c r="CW222" s="1416">
        <f>'Income Statement'!CW152/'Income Statement'!CS152-1</f>
        <v>-0.12490761271249073</v>
      </c>
      <c r="CX222" s="75">
        <f>'Income Statement'!CX152/'Income Statement'!CT152-1</f>
        <v>-0.21100917431192656</v>
      </c>
      <c r="CY222" s="75">
        <f>'Income Statement'!CY152/'Income Statement'!CU152-1</f>
        <v>-0.25667655786350152</v>
      </c>
      <c r="CZ222" s="1042">
        <f>'Income Statement'!CZ152/'Income Statement'!CV152-1</f>
        <v>-0.29689440993788818</v>
      </c>
      <c r="DA222" s="1416">
        <f>'Income Statement'!DA152/'Income Statement'!CW152-1</f>
        <v>-0.26351351351351349</v>
      </c>
      <c r="DB222" s="75">
        <f>'Income Statement'!DB152/'Income Statement'!CX152-1</f>
        <v>-0.11821705426356588</v>
      </c>
      <c r="DC222" s="1042">
        <f>'Income Statement'!DC152/'Income Statement'!CY152-1</f>
        <v>-4.7904191616766512E-2</v>
      </c>
      <c r="DD222" s="75">
        <f>'Income Statement'!DD152/'Income Statement'!CZ152-1</f>
        <v>7.0671378091873294E-3</v>
      </c>
      <c r="DE222" s="1416">
        <f>'Income Statement'!DE152/'Income Statement'!DA152-1</f>
        <v>-1.0321100917431214E-2</v>
      </c>
      <c r="DF222" s="75">
        <f>'Income Statement'!DF152/'Income Statement'!DB152-1</f>
        <v>2.19780219780219E-2</v>
      </c>
      <c r="DG222" s="75">
        <f>'Income Statement'!DG152/'Income Statement'!DC152-1</f>
        <v>4.8218029350104885E-2</v>
      </c>
      <c r="DH222" s="75">
        <f>'Income Statement'!DH152/'Income Statement'!DD152-1</f>
        <v>0.13157894736842102</v>
      </c>
      <c r="DI222" s="1416">
        <f>'Income Statement'!DI152/'Income Statement'!DE152-1</f>
        <v>0.2375434530706837</v>
      </c>
      <c r="DJ222" s="2709">
        <f>'Income Statement'!DJ152/'Income Statement'!DF152-1</f>
        <v>3.5812657749803467E-2</v>
      </c>
      <c r="DK222" s="75">
        <f>'Income Statement'!DK152/'Income Statement'!DG152-1</f>
        <v>1.0633899999999974E-2</v>
      </c>
      <c r="DL222" s="75">
        <f>'Income Statement'!DL152/'Income Statement'!DH152-1</f>
        <v>1.1238620155038737E-2</v>
      </c>
      <c r="DM222" s="1416">
        <f>'Income Statement'!DM152/'Income Statement'!DI152-1</f>
        <v>1.8182022471910031E-2</v>
      </c>
      <c r="DN222" s="580"/>
      <c r="DO222" s="487"/>
      <c r="DP222" s="77"/>
      <c r="DQ222" s="213" t="s">
        <v>483</v>
      </c>
      <c r="DR222" s="213" t="s">
        <v>483</v>
      </c>
      <c r="DS222" s="213" t="s">
        <v>483</v>
      </c>
      <c r="DT222" s="213" t="s">
        <v>483</v>
      </c>
      <c r="DU222" s="213" t="s">
        <v>483</v>
      </c>
      <c r="DV222" s="213" t="s">
        <v>483</v>
      </c>
      <c r="DW222" s="213" t="s">
        <v>483</v>
      </c>
      <c r="DX222" s="213" t="s">
        <v>483</v>
      </c>
      <c r="DY222" s="213" t="s">
        <v>483</v>
      </c>
      <c r="DZ222" s="213" t="s">
        <v>483</v>
      </c>
      <c r="EA222" s="213" t="s">
        <v>483</v>
      </c>
      <c r="EB222" s="213" t="s">
        <v>483</v>
      </c>
      <c r="EC222" s="213" t="s">
        <v>483</v>
      </c>
      <c r="ED222" s="213" t="s">
        <v>483</v>
      </c>
      <c r="EE222" s="213" t="s">
        <v>483</v>
      </c>
      <c r="EF222" s="213" t="s">
        <v>483</v>
      </c>
      <c r="EG222" s="213" t="s">
        <v>483</v>
      </c>
      <c r="EH222" s="213" t="s">
        <v>483</v>
      </c>
      <c r="EI222" s="213" t="s">
        <v>483</v>
      </c>
      <c r="EJ222" s="77">
        <f>'Income Statement'!EJ152/'Income Statement'!EI152-1</f>
        <v>0.22482175586510245</v>
      </c>
      <c r="EK222" s="77">
        <f>'Income Statement'!EK152/'Income Statement'!EJ152-1</f>
        <v>0.43784761308332687</v>
      </c>
      <c r="EL222" s="77">
        <f>'Income Statement'!EL152/'Income Statement'!EK152-1</f>
        <v>0.38120876090169209</v>
      </c>
      <c r="EM222" s="77">
        <f>'Income Statement'!EM152/'Income Statement'!EL152-1</f>
        <v>0.4253624265412701</v>
      </c>
      <c r="EN222" s="77">
        <f>'Income Statement'!EN152/'Income Statement'!EM152-1</f>
        <v>0.22177830165426826</v>
      </c>
      <c r="EO222" s="77">
        <f>'Income Statement'!EO152/'Income Statement'!EN152-1</f>
        <v>5.9950186007430073E-2</v>
      </c>
      <c r="EP222" s="77">
        <f>'Income Statement'!EP152/'Income Statement'!EO152-1</f>
        <v>1.1783118289698136E-2</v>
      </c>
      <c r="EQ222" s="77">
        <f>'Income Statement'!EQ152/'Income Statement'!EN152-1</f>
        <v>1.9384751977113313E-2</v>
      </c>
      <c r="ER222" s="77">
        <f>'Income Statement'!ER152/'Income Statement'!EQ152-1</f>
        <v>2.504244482173168E-2</v>
      </c>
      <c r="ES222" s="77">
        <f>'Income Statement'!ES152/'Income Statement'!ER152-1</f>
        <v>7.0393374741199999E-3</v>
      </c>
      <c r="ET222" s="77">
        <f>'Income Statement'!ET152/(26180)-1</f>
        <v>-0.78712757830404889</v>
      </c>
      <c r="EU222" s="77">
        <f>'Income Statement'!EU152/'Income Statement'!ES152-1</f>
        <v>-0.62428042763157898</v>
      </c>
      <c r="EV222" s="77">
        <f>'Income Statement'!EV152/'Income Statement'!EU152-1</f>
        <v>-9.2476060191518439E-2</v>
      </c>
      <c r="EW222" s="77">
        <f>'Income Statement'!EW152/'Income Statement'!EV152-1</f>
        <v>-0.25987337955984324</v>
      </c>
      <c r="EX222" s="77">
        <f>'Income Statement'!EX152/'Income Statement'!EW152-1</f>
        <v>-3.6659877800407359E-2</v>
      </c>
      <c r="EY222" s="77">
        <f>'Income Statement'!EY152/'Income Statement'!EX152-1</f>
        <v>0.13234672304439754</v>
      </c>
      <c r="EZ222" s="1680">
        <f>'Income Statement'!EZ152/'Income Statement'!EY152-1</f>
        <v>1.8161742290387917E-2</v>
      </c>
      <c r="FA222" s="77">
        <f>'Income Statement'!FA152/'Income Statement'!EZ152-1</f>
        <v>1.0676670137694799E-2</v>
      </c>
      <c r="FB222" s="77">
        <f>'Income Statement'!FB152/'Income Statement'!FA152-1</f>
        <v>1.0790635554668304E-2</v>
      </c>
      <c r="FC222" s="77">
        <f>'Income Statement'!FC152/'Income Statement'!FB152-1</f>
        <v>1.9363758021577748E-3</v>
      </c>
      <c r="FD222" s="77">
        <f>'Income Statement'!FD152/'Income Statement'!FC152-1</f>
        <v>1.9274318030713111E-3</v>
      </c>
      <c r="FE222" s="77">
        <f>'Income Statement'!FE152/'Income Statement'!FD152-1</f>
        <v>1.9185700476551659E-3</v>
      </c>
      <c r="FF222" s="77">
        <f>'Income Statement'!FF152/'Income Statement'!FE152-1</f>
        <v>1.9097894067048315E-3</v>
      </c>
      <c r="FG222" s="77">
        <f>'Income Statement'!FG152/'Income Statement'!FF152-1</f>
        <v>1.9010887715944502E-3</v>
      </c>
      <c r="FH222" s="77">
        <f>'Income Statement'!FH152/'Income Statement'!FG152-1</f>
        <v>1.8924670538094102E-3</v>
      </c>
      <c r="FI222" s="580"/>
      <c r="FJ222"/>
      <c r="FK222"/>
      <c r="FL222"/>
      <c r="FM222"/>
      <c r="FN222"/>
      <c r="FO222"/>
      <c r="FQ222" s="4"/>
      <c r="FR222" s="4"/>
      <c r="FS222" s="70"/>
      <c r="FT222" s="70"/>
      <c r="FU222"/>
      <c r="FV222" s="70"/>
      <c r="FW222" s="70"/>
      <c r="FX222" s="70"/>
      <c r="FY222"/>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row>
    <row r="223" spans="1:260" s="88" customFormat="1" hidden="1" outlineLevel="1" x14ac:dyDescent="0.2">
      <c r="A223" s="395" t="s">
        <v>15</v>
      </c>
      <c r="B223" s="864" t="s">
        <v>483</v>
      </c>
      <c r="C223" s="864" t="s">
        <v>483</v>
      </c>
      <c r="D223" s="864" t="s">
        <v>483</v>
      </c>
      <c r="E223" s="1570" t="s">
        <v>483</v>
      </c>
      <c r="F223" s="864" t="s">
        <v>483</v>
      </c>
      <c r="G223" s="864" t="s">
        <v>483</v>
      </c>
      <c r="H223" s="864" t="s">
        <v>483</v>
      </c>
      <c r="I223" s="1570" t="s">
        <v>483</v>
      </c>
      <c r="J223" s="864" t="s">
        <v>483</v>
      </c>
      <c r="K223" s="864" t="s">
        <v>483</v>
      </c>
      <c r="L223" s="864" t="s">
        <v>483</v>
      </c>
      <c r="M223" s="1570" t="s">
        <v>483</v>
      </c>
      <c r="N223" s="864" t="s">
        <v>483</v>
      </c>
      <c r="O223" s="864" t="s">
        <v>483</v>
      </c>
      <c r="P223" s="864" t="s">
        <v>483</v>
      </c>
      <c r="Q223" s="1570" t="s">
        <v>483</v>
      </c>
      <c r="R223" s="864" t="s">
        <v>483</v>
      </c>
      <c r="S223" s="864" t="s">
        <v>483</v>
      </c>
      <c r="T223" s="864" t="s">
        <v>483</v>
      </c>
      <c r="U223" s="1570" t="s">
        <v>483</v>
      </c>
      <c r="V223" s="864" t="s">
        <v>483</v>
      </c>
      <c r="W223" s="864" t="s">
        <v>483</v>
      </c>
      <c r="X223" s="864" t="s">
        <v>483</v>
      </c>
      <c r="Y223" s="1570" t="s">
        <v>483</v>
      </c>
      <c r="Z223" s="864" t="s">
        <v>483</v>
      </c>
      <c r="AA223" s="864" t="s">
        <v>483</v>
      </c>
      <c r="AB223" s="864" t="s">
        <v>483</v>
      </c>
      <c r="AC223" s="1570" t="s">
        <v>483</v>
      </c>
      <c r="AD223" s="864" t="s">
        <v>483</v>
      </c>
      <c r="AE223" s="864" t="s">
        <v>483</v>
      </c>
      <c r="AF223" s="864" t="s">
        <v>483</v>
      </c>
      <c r="AG223" s="1570" t="s">
        <v>483</v>
      </c>
      <c r="AH223" s="864" t="s">
        <v>483</v>
      </c>
      <c r="AI223" s="864" t="s">
        <v>483</v>
      </c>
      <c r="AJ223" s="864" t="s">
        <v>483</v>
      </c>
      <c r="AK223" s="1570" t="s">
        <v>483</v>
      </c>
      <c r="AL223" s="864" t="s">
        <v>483</v>
      </c>
      <c r="AM223" s="864" t="s">
        <v>483</v>
      </c>
      <c r="AN223" s="864" t="s">
        <v>483</v>
      </c>
      <c r="AO223" s="1570" t="s">
        <v>483</v>
      </c>
      <c r="AP223" s="864" t="s">
        <v>483</v>
      </c>
      <c r="AQ223" s="864" t="s">
        <v>483</v>
      </c>
      <c r="AR223" s="864" t="s">
        <v>483</v>
      </c>
      <c r="AS223" s="1570" t="s">
        <v>483</v>
      </c>
      <c r="AT223" s="864" t="s">
        <v>483</v>
      </c>
      <c r="AU223" s="864" t="s">
        <v>483</v>
      </c>
      <c r="AV223" s="864" t="s">
        <v>483</v>
      </c>
      <c r="AW223" s="1570" t="s">
        <v>483</v>
      </c>
      <c r="AX223" s="864" t="s">
        <v>483</v>
      </c>
      <c r="AY223" s="864" t="s">
        <v>483</v>
      </c>
      <c r="AZ223" s="864" t="s">
        <v>483</v>
      </c>
      <c r="BA223" s="1570" t="s">
        <v>483</v>
      </c>
      <c r="BB223" s="208">
        <f>'Income Statement'!BB153/'Income Statement'!AX153-1</f>
        <v>0.13903508771929829</v>
      </c>
      <c r="BC223" s="208">
        <f>'Income Statement'!BC153/'Income Statement'!AY153-1</f>
        <v>0.14225606090963727</v>
      </c>
      <c r="BD223" s="208">
        <f>'Income Statement'!BD153/'Income Statement'!AZ153-1</f>
        <v>0.16783847124571838</v>
      </c>
      <c r="BE223" s="572">
        <f>'Income Statement'!BE153/'Income Statement'!BA153-1</f>
        <v>0.22033898305084754</v>
      </c>
      <c r="BF223" s="208">
        <f>'Income Statement'!BF153/'Income Statement'!BB153-1</f>
        <v>0.16191759722757038</v>
      </c>
      <c r="BG223" s="208">
        <f>'Income Statement'!BG153/'Income Statement'!BC153-1</f>
        <v>0.1596211191019119</v>
      </c>
      <c r="BH223" s="208">
        <f>'Income Statement'!BH153/'Income Statement'!BD153-1</f>
        <v>0.17181228774313051</v>
      </c>
      <c r="BI223" s="572">
        <f>'Income Statement'!BI153/'Income Statement'!BE153-1</f>
        <v>4.5751633986928164E-2</v>
      </c>
      <c r="BJ223" s="1860">
        <f>'Income Statement'!BJ153/'Income Statement'!BF153-1</f>
        <v>0.13620546810273404</v>
      </c>
      <c r="BK223" s="1353">
        <f>'Income Statement'!BK153/'Income Statement'!BG153-1</f>
        <v>0.12237180456814389</v>
      </c>
      <c r="BL223" s="1353">
        <f>'Income Statement'!BL153/'Income Statement'!BH153-1</f>
        <v>0.13805822684758273</v>
      </c>
      <c r="BM223" s="1861">
        <f>'Income Statement'!BM153/'Income Statement'!BI153-1</f>
        <v>8.4082031249999911E-2</v>
      </c>
      <c r="BN223" s="1860">
        <f>'Income Statement'!BN153/'Income Statement'!BJ153-1</f>
        <v>9.9314569053521984E-2</v>
      </c>
      <c r="BO223" s="1353">
        <f>'Income Statement'!BO153/'Income Statement'!BK153-1</f>
        <v>0.12371967654986515</v>
      </c>
      <c r="BP223" s="1353">
        <f>'Income Statement'!BP153/'Income Statement'!BL153-1</f>
        <v>5.1279083227225408E-2</v>
      </c>
      <c r="BQ223" s="1861">
        <f>'Income Statement'!BQ153/'Income Statement'!BM153-1</f>
        <v>0.13287091253040262</v>
      </c>
      <c r="BR223" s="1860">
        <f>'Income Statement'!BR153/'Income Statement'!BN153-1</f>
        <v>6.0493499602016554E-2</v>
      </c>
      <c r="BS223" s="1353">
        <f>'Income Statement'!BS153/'Income Statement'!BO153-1</f>
        <v>9.9544255217078881E-3</v>
      </c>
      <c r="BT223" s="1353">
        <f>'Income Statement'!BT153/'Income Statement'!BP153-1</f>
        <v>-1.9268883505835666E-2</v>
      </c>
      <c r="BU223" s="1861">
        <f>'Income Statement'!BU153/'Income Statement'!BQ153-1</f>
        <v>-2.2821246819338392E-2</v>
      </c>
      <c r="BV223" s="1860">
        <f>'Income Statement'!BV153/'Income Statement'!BR153-1</f>
        <v>2.2266700025018737E-2</v>
      </c>
      <c r="BW223" s="1353">
        <f>'Income Statement'!BW153/'Income Statement'!BS153-1</f>
        <v>6.4125400783754394E-3</v>
      </c>
      <c r="BX223" s="1353">
        <f>'Income Statement'!BX153/'Income Statement'!BT153-1</f>
        <v>2.7843269338722276E-2</v>
      </c>
      <c r="BY223" s="1861">
        <f>'Income Statement'!BY153/'Income Statement'!BU153-1</f>
        <v>2.1564000325494437E-2</v>
      </c>
      <c r="BZ223" s="1860">
        <f>'Income Statement'!BZ153/'Income Statement'!BN153-1</f>
        <v>0.12324223932077483</v>
      </c>
      <c r="CA223" s="1353">
        <f>'Income Statement'!CA153/'Income Statement'!BO153-1</f>
        <v>-3.1422403454065773E-2</v>
      </c>
      <c r="CB223" s="1353">
        <f>'Income Statement'!CB153/'Income Statement'!BP153-1</f>
        <v>-0.10746531600968945</v>
      </c>
      <c r="CC223" s="1861">
        <f>'Income Statement'!CC153/'Income Statement'!BQ153-1</f>
        <v>1.2086513994910897E-2</v>
      </c>
      <c r="CD223" s="1860">
        <f>'Income Statement'!CD153/'Income Statement'!BZ153-1</f>
        <v>-2.2440061414904511E-3</v>
      </c>
      <c r="CE223" s="1353">
        <f>'Income Statement'!CE153/'Income Statement'!CA153-1</f>
        <v>2.2288261515601704E-3</v>
      </c>
      <c r="CF223" s="1353">
        <f>'Income Statement'!CF153/'Income Statement'!CB153-1</f>
        <v>2.2945965951147285E-2</v>
      </c>
      <c r="CG223" s="1861">
        <f>'Income Statement'!CG153/'Income Statement'!CC153-1</f>
        <v>5.4996857322437975E-3</v>
      </c>
      <c r="CH223" s="1860">
        <f>'Income Statement'!CH153/'Income Statement'!CD153-1</f>
        <v>3.0184659090909172E-2</v>
      </c>
      <c r="CI223" s="1353">
        <f>'Income Statement'!CI153/'Income Statement'!CE153-1</f>
        <v>-1.371386212008896E-2</v>
      </c>
      <c r="CJ223" s="1353">
        <f>'Income Statement'!CJ153/'Income Statement'!CF153-1</f>
        <v>-1.5074770863482856E-2</v>
      </c>
      <c r="CK223" s="1861">
        <f>'Income Statement'!CK153/'Income Statement'!CG153-1</f>
        <v>1.0235974370995438E-2</v>
      </c>
      <c r="CL223" s="1860">
        <f>'Income Statement'!CL153/(5881)-1</f>
        <v>0.32443461996259138</v>
      </c>
      <c r="CM223" s="1353">
        <f>'Income Statement'!CM153/(5550)-1</f>
        <v>0.27531531531531539</v>
      </c>
      <c r="CN223" s="1353">
        <f>'Income Statement'!CN153/(5597)-1</f>
        <v>0.27800607468286587</v>
      </c>
      <c r="CO223" s="1861">
        <f>'Income Statement'!CO153/(9152)-1</f>
        <v>0.26824737762237771</v>
      </c>
      <c r="CP223" s="1860">
        <f>'Income Statement'!CP153/'Income Statement'!CL153-1</f>
        <v>-0.12402105533444596</v>
      </c>
      <c r="CQ223" s="1353">
        <f>'Income Statement'!CQ153/(5550)-1</f>
        <v>0.19369369369369371</v>
      </c>
      <c r="CR223" s="1353">
        <f>'Income Statement'!CR153/(5597)-1</f>
        <v>0.22047525460067896</v>
      </c>
      <c r="CS223" s="1861">
        <f>'Income Statement'!CS153/'Income Statement'!CO153-1</f>
        <v>-3.5323511673989838E-2</v>
      </c>
      <c r="CT223" s="1550">
        <f>'Income Statement'!CT153/'Income Statement'!CP153-1</f>
        <v>-2.2131027407298887E-2</v>
      </c>
      <c r="CU223" s="1550">
        <f>'Income Statement'!CU153/'Income Statement'!CQ153-1</f>
        <v>-2.1735849056603751E-2</v>
      </c>
      <c r="CV223" s="1550">
        <f>'Income Statement'!CV153/'Income Statement'!CR153-1</f>
        <v>1.8298931342409563E-2</v>
      </c>
      <c r="CW223" s="1861">
        <f>'Income Statement'!CW153/'Income Statement'!CS153-1</f>
        <v>-1.2503349111369078E-3</v>
      </c>
      <c r="CX223" s="1353">
        <f>'Income Statement'!CX153/'Income Statement'!CT153-1</f>
        <v>-1.1091127098321385E-2</v>
      </c>
      <c r="CY223" s="1353">
        <f>'Income Statement'!CY153/'Income Statement'!CU153-1</f>
        <v>-5.8632927017435721E-3</v>
      </c>
      <c r="CZ223" s="1550">
        <f>'Income Statement'!CZ153/'Income Statement'!CV153-1</f>
        <v>-3.5652673950546276E-2</v>
      </c>
      <c r="DA223" s="1861">
        <f>'Income Statement'!DA153/'Income Statement'!CW153-1</f>
        <v>-4.5426093177143856E-2</v>
      </c>
      <c r="DB223" s="1353">
        <f>'Income Statement'!DB153/'Income Statement'!CX153-1</f>
        <v>-1.7732646256441331E-2</v>
      </c>
      <c r="DC223" s="1550">
        <f>'Income Statement'!DC153/'Income Statement'!CY153-1</f>
        <v>4.3458016451962678E-3</v>
      </c>
      <c r="DD223" s="1353">
        <f>'Income Statement'!DD153/'Income Statement'!CZ153-1</f>
        <v>5.0685748360166372E-3</v>
      </c>
      <c r="DE223" s="1861">
        <f>'Income Statement'!DE153/'Income Statement'!DA153-1</f>
        <v>-2.0889929742388791E-2</v>
      </c>
      <c r="DF223" s="1353">
        <f>'Income Statement'!DF153/'Income Statement'!DB153-1</f>
        <v>3.8574294090418793E-3</v>
      </c>
      <c r="DG223" s="1353">
        <f>'Income Statement'!DG153/'Income Statement'!DC153-1</f>
        <v>4.8833256065523134E-2</v>
      </c>
      <c r="DH223" s="1353">
        <f>'Income Statement'!DH153/'Income Statement'!DD153-1</f>
        <v>4.4200533966182176E-2</v>
      </c>
      <c r="DI223" s="1861">
        <f>'Income Statement'!DI153/'Income Statement'!DE153-1</f>
        <v>0.14255644852659777</v>
      </c>
      <c r="DJ223" s="2710">
        <f>'Income Statement'!DJ153/'Income Statement'!DF153-1</f>
        <v>2.4588459608537283E-2</v>
      </c>
      <c r="DK223" s="1353">
        <f>'Income Statement'!DK153/'Income Statement'!DG153-1</f>
        <v>7.3065318774931942E-3</v>
      </c>
      <c r="DL223" s="1353">
        <f>'Income Statement'!DL153/'Income Statement'!DH153-1</f>
        <v>9.5153339117775015E-3</v>
      </c>
      <c r="DM223" s="1861">
        <f>'Income Statement'!DM153/'Income Statement'!DI153-1</f>
        <v>-1.0053730208452905E-2</v>
      </c>
      <c r="DN223" s="578"/>
      <c r="DO223" s="572"/>
      <c r="DP223" s="208"/>
      <c r="DQ223" s="864" t="s">
        <v>483</v>
      </c>
      <c r="DR223" s="864" t="s">
        <v>483</v>
      </c>
      <c r="DS223" s="864" t="s">
        <v>483</v>
      </c>
      <c r="DT223" s="864" t="s">
        <v>483</v>
      </c>
      <c r="DU223" s="864" t="s">
        <v>483</v>
      </c>
      <c r="DV223" s="864" t="s">
        <v>483</v>
      </c>
      <c r="DW223" s="864" t="s">
        <v>483</v>
      </c>
      <c r="DX223" s="864" t="s">
        <v>483</v>
      </c>
      <c r="DY223" s="864" t="s">
        <v>483</v>
      </c>
      <c r="DZ223" s="864" t="s">
        <v>483</v>
      </c>
      <c r="EA223" s="864" t="s">
        <v>483</v>
      </c>
      <c r="EB223" s="864" t="s">
        <v>483</v>
      </c>
      <c r="EC223" s="864" t="s">
        <v>483</v>
      </c>
      <c r="ED223" s="864" t="s">
        <v>483</v>
      </c>
      <c r="EE223" s="864" t="s">
        <v>483</v>
      </c>
      <c r="EF223" s="864" t="s">
        <v>483</v>
      </c>
      <c r="EG223" s="864" t="s">
        <v>483</v>
      </c>
      <c r="EH223" s="864" t="s">
        <v>483</v>
      </c>
      <c r="EI223" s="864" t="s">
        <v>483</v>
      </c>
      <c r="EJ223" s="208">
        <f>'Income Statement'!EJ153/'Income Statement'!EI153-1</f>
        <v>0.10430795682491167</v>
      </c>
      <c r="EK223" s="208">
        <f>'Income Statement'!EK153/'Income Statement'!EJ153-1</f>
        <v>0.17485511633941697</v>
      </c>
      <c r="EL223" s="208">
        <f>'Income Statement'!EL153/'Income Statement'!EK153-1</f>
        <v>0.12192159028161242</v>
      </c>
      <c r="EM223" s="208">
        <f>'Income Statement'!EM153/'Income Statement'!EL153-1</f>
        <v>0.11615316468156323</v>
      </c>
      <c r="EN223" s="208">
        <f>'Income Statement'!EN153/'Income Statement'!EM153-1</f>
        <v>0.1033894817297234</v>
      </c>
      <c r="EO223" s="208">
        <f>'Income Statement'!EO153/'Income Statement'!EN153-1</f>
        <v>2.0514733308467648E-3</v>
      </c>
      <c r="EP223" s="208">
        <f>'Income Statement'!EP153/'Income Statement'!EO153-1</f>
        <v>1.9808034883411763E-2</v>
      </c>
      <c r="EQ223" s="208">
        <f>'Income Statement'!EQ153/'Income Statement'!EN153-1</f>
        <v>-4.1828741940640457E-3</v>
      </c>
      <c r="ER223" s="208">
        <f>'Income Statement'!ER153/'Income Statement'!EQ153-1</f>
        <v>6.8223773978650648E-3</v>
      </c>
      <c r="ES223" s="208">
        <f>'Income Statement'!ES153/'Income Statement'!ER153-1</f>
        <v>3.9859693877550839E-3</v>
      </c>
      <c r="ET223" s="208">
        <f>'Income Statement'!ET153/(26180)-1</f>
        <v>0.28445378151260514</v>
      </c>
      <c r="EU223" s="208">
        <f>'Income Statement'!EU153/'Income Statement'!ES153-1</f>
        <v>-0.16690487533746223</v>
      </c>
      <c r="EV223" s="208">
        <f>'Income Statement'!EV153/'Income Statement'!EU153-1</f>
        <v>-5.8457237260134409E-3</v>
      </c>
      <c r="EW223" s="208">
        <f>'Income Statement'!EW153/'Income Statement'!EV153-1</f>
        <v>-2.773871916144699E-2</v>
      </c>
      <c r="EX223" s="208">
        <f>'Income Statement'!EX153/'Income Statement'!EW153-1</f>
        <v>-9.1375230081514047E-3</v>
      </c>
      <c r="EY223" s="208">
        <f>'Income Statement'!EY153/'Income Statement'!EX153-1</f>
        <v>7.0622968221322857E-2</v>
      </c>
      <c r="EZ223" s="1739">
        <f>'Income Statement'!EZ153/'Income Statement'!EY153-1</f>
        <v>4.84859038436114E-3</v>
      </c>
      <c r="FA223" s="208">
        <f>'Income Statement'!FA153/'Income Statement'!EZ153-1</f>
        <v>1.0799212891145604E-2</v>
      </c>
      <c r="FB223" s="208">
        <f>'Income Statement'!FB153/'Income Statement'!FA153-1</f>
        <v>9.5720116575457315E-3</v>
      </c>
      <c r="FC223" s="208">
        <f>'Income Statement'!FC153/'Income Statement'!FB153-1</f>
        <v>9.3108255281595387E-3</v>
      </c>
      <c r="FD223" s="208">
        <f>'Income Statement'!FD153/'Income Statement'!FC153-1</f>
        <v>1.3294081835396598E-2</v>
      </c>
      <c r="FE223" s="208">
        <f>'Income Statement'!FE153/'Income Statement'!FD153-1</f>
        <v>1.3629007332965903E-2</v>
      </c>
      <c r="FF223" s="208">
        <f>'Income Statement'!FF153/'Income Statement'!FE153-1</f>
        <v>1.3973319404755102E-2</v>
      </c>
      <c r="FG223" s="208">
        <f>'Income Statement'!FG153/'Income Statement'!FF153-1</f>
        <v>1.4327028905962047E-2</v>
      </c>
      <c r="FH223" s="208">
        <f>'Income Statement'!FH153/'Income Statement'!FG153-1</f>
        <v>1.4690127492480221E-2</v>
      </c>
      <c r="FI223" s="1157"/>
      <c r="FJ223"/>
      <c r="FK223"/>
      <c r="FL223"/>
      <c r="FM223"/>
      <c r="FN223"/>
      <c r="FO223"/>
      <c r="FP223" s="19"/>
      <c r="FQ223" s="19"/>
      <c r="FR223" s="19"/>
      <c r="FS223" s="197"/>
      <c r="FT223" s="197"/>
      <c r="FU223" s="19"/>
      <c r="FV223" s="197"/>
      <c r="FW223" s="197"/>
      <c r="FX223" s="197"/>
      <c r="FY223" s="19"/>
      <c r="FZ223" s="19"/>
      <c r="GA223" s="19"/>
      <c r="GB223" s="19"/>
      <c r="GC223" s="19"/>
      <c r="GD223" s="19"/>
      <c r="GE223" s="19"/>
      <c r="GF223" s="19"/>
      <c r="GG223" s="19"/>
      <c r="GH223" s="19"/>
      <c r="GI223" s="19"/>
      <c r="GJ223" s="19"/>
      <c r="GK223" s="19"/>
      <c r="GL223" s="19"/>
      <c r="GM223" s="19"/>
      <c r="GN223" s="19"/>
      <c r="GO223" s="19"/>
      <c r="GP223" s="19"/>
      <c r="GQ223" s="19"/>
      <c r="GR223" s="19"/>
      <c r="GS223" s="19"/>
      <c r="GT223" s="19"/>
      <c r="GU223" s="19"/>
      <c r="GV223" s="19"/>
      <c r="GW223" s="19"/>
      <c r="GX223" s="19"/>
      <c r="GY223" s="19"/>
      <c r="GZ223" s="19"/>
      <c r="HA223" s="19"/>
      <c r="HB223" s="19"/>
      <c r="HC223" s="19"/>
      <c r="HD223" s="19"/>
      <c r="HE223" s="19"/>
      <c r="HF223" s="19"/>
      <c r="HG223" s="19"/>
      <c r="HH223" s="19"/>
      <c r="HI223" s="19"/>
      <c r="HJ223" s="19"/>
      <c r="HK223" s="19"/>
      <c r="HL223" s="19"/>
      <c r="HM223" s="19"/>
      <c r="HN223" s="19"/>
      <c r="HO223" s="19"/>
      <c r="HP223" s="19"/>
      <c r="HQ223" s="19"/>
      <c r="HR223" s="19"/>
      <c r="HS223" s="19"/>
      <c r="HT223" s="19"/>
      <c r="HU223" s="19"/>
      <c r="HV223" s="19"/>
      <c r="HW223" s="19"/>
      <c r="HX223" s="19"/>
      <c r="HY223" s="19"/>
      <c r="HZ223" s="19"/>
      <c r="IA223" s="19"/>
      <c r="IB223" s="19"/>
      <c r="IC223" s="19"/>
      <c r="ID223" s="19"/>
      <c r="IE223" s="19"/>
      <c r="IF223" s="19"/>
      <c r="IG223" s="19"/>
      <c r="IH223" s="19"/>
      <c r="II223" s="19"/>
      <c r="IJ223" s="19"/>
      <c r="IK223" s="19"/>
      <c r="IL223" s="19"/>
      <c r="IM223" s="19"/>
      <c r="IN223" s="19"/>
      <c r="IO223" s="19"/>
      <c r="IP223" s="19"/>
      <c r="IQ223" s="19"/>
      <c r="IR223" s="19"/>
      <c r="IS223" s="19"/>
      <c r="IT223" s="19"/>
      <c r="IU223" s="19"/>
      <c r="IV223" s="19"/>
      <c r="IW223" s="19"/>
      <c r="IX223" s="19"/>
      <c r="IY223" s="19"/>
      <c r="IZ223" s="19"/>
    </row>
    <row r="224" spans="1:260" s="6" customFormat="1" hidden="1" outlineLevel="1" x14ac:dyDescent="0.2">
      <c r="A224" s="395"/>
      <c r="B224" s="213"/>
      <c r="C224" s="213"/>
      <c r="D224" s="213"/>
      <c r="E224" s="490"/>
      <c r="F224" s="213"/>
      <c r="G224" s="213"/>
      <c r="H224" s="213"/>
      <c r="I224" s="490"/>
      <c r="J224" s="213"/>
      <c r="K224" s="213"/>
      <c r="L224" s="213"/>
      <c r="M224" s="490"/>
      <c r="N224" s="213"/>
      <c r="O224" s="213"/>
      <c r="P224" s="213"/>
      <c r="Q224" s="490"/>
      <c r="R224" s="213"/>
      <c r="S224" s="213"/>
      <c r="T224" s="213"/>
      <c r="U224" s="490"/>
      <c r="V224" s="213"/>
      <c r="W224" s="213"/>
      <c r="X224" s="213"/>
      <c r="Y224" s="490"/>
      <c r="Z224" s="213"/>
      <c r="AA224" s="213"/>
      <c r="AB224" s="213"/>
      <c r="AC224" s="490"/>
      <c r="AD224" s="213"/>
      <c r="AE224" s="213"/>
      <c r="AF224" s="213"/>
      <c r="AG224" s="490"/>
      <c r="AH224" s="213"/>
      <c r="AI224" s="213"/>
      <c r="AJ224" s="213"/>
      <c r="AK224" s="490"/>
      <c r="AL224" s="213"/>
      <c r="AM224" s="213"/>
      <c r="AN224" s="213"/>
      <c r="AO224" s="490"/>
      <c r="AP224" s="213"/>
      <c r="AQ224" s="213"/>
      <c r="AR224" s="213"/>
      <c r="AS224" s="490"/>
      <c r="AT224" s="213"/>
      <c r="AU224" s="213"/>
      <c r="AV224" s="213"/>
      <c r="AW224" s="490"/>
      <c r="AX224" s="213"/>
      <c r="AY224" s="213"/>
      <c r="AZ224" s="213"/>
      <c r="BA224" s="490"/>
      <c r="BB224" s="77"/>
      <c r="BC224" s="77"/>
      <c r="BD224" s="77"/>
      <c r="BE224" s="487"/>
      <c r="BF224" s="77"/>
      <c r="BG224" s="77"/>
      <c r="BH224" s="77"/>
      <c r="BI224" s="487"/>
      <c r="BJ224" s="1819"/>
      <c r="BK224" s="75"/>
      <c r="BL224" s="75"/>
      <c r="BM224" s="1416"/>
      <c r="BN224" s="1819"/>
      <c r="BO224" s="75"/>
      <c r="BP224" s="75"/>
      <c r="BQ224" s="1416"/>
      <c r="BR224" s="1819"/>
      <c r="BS224" s="75"/>
      <c r="BT224" s="75"/>
      <c r="BU224" s="1416"/>
      <c r="BV224" s="1819"/>
      <c r="BW224" s="75"/>
      <c r="BX224" s="75"/>
      <c r="BY224" s="1416"/>
      <c r="BZ224" s="1819"/>
      <c r="CA224" s="75"/>
      <c r="CB224" s="75"/>
      <c r="CC224" s="1416"/>
      <c r="CD224" s="1819"/>
      <c r="CE224" s="75"/>
      <c r="CF224" s="75"/>
      <c r="CG224" s="1416"/>
      <c r="CH224" s="1819"/>
      <c r="CI224" s="75"/>
      <c r="CJ224" s="75"/>
      <c r="CK224" s="1416"/>
      <c r="CL224" s="1819"/>
      <c r="CM224" s="75"/>
      <c r="CN224" s="75"/>
      <c r="CO224" s="1416"/>
      <c r="CP224" s="1819"/>
      <c r="CQ224" s="75"/>
      <c r="CR224" s="75"/>
      <c r="CS224" s="1416"/>
      <c r="CT224" s="1042"/>
      <c r="CU224" s="1042"/>
      <c r="CV224" s="1042"/>
      <c r="CW224" s="1416"/>
      <c r="CX224" s="75"/>
      <c r="CY224" s="75"/>
      <c r="CZ224" s="1042"/>
      <c r="DA224" s="1416"/>
      <c r="DB224" s="75"/>
      <c r="DC224" s="1042"/>
      <c r="DD224" s="75"/>
      <c r="DE224" s="1416"/>
      <c r="DF224" s="75"/>
      <c r="DG224" s="75"/>
      <c r="DH224" s="75"/>
      <c r="DI224" s="1416"/>
      <c r="DJ224" s="2709"/>
      <c r="DK224" s="75"/>
      <c r="DL224" s="75"/>
      <c r="DM224" s="1416"/>
      <c r="DN224" s="580"/>
      <c r="DO224" s="487"/>
      <c r="DP224" s="77"/>
      <c r="DQ224" s="213"/>
      <c r="DR224" s="213"/>
      <c r="DS224" s="213"/>
      <c r="DT224" s="213"/>
      <c r="DU224" s="213"/>
      <c r="DV224" s="213"/>
      <c r="DW224" s="213"/>
      <c r="DX224" s="213"/>
      <c r="DY224" s="213"/>
      <c r="DZ224" s="213"/>
      <c r="EA224" s="213"/>
      <c r="EB224" s="213"/>
      <c r="EC224" s="213"/>
      <c r="ED224" s="213"/>
      <c r="EE224" s="213"/>
      <c r="EF224" s="213"/>
      <c r="EG224" s="213"/>
      <c r="EH224" s="213"/>
      <c r="EI224" s="213"/>
      <c r="EJ224" s="77"/>
      <c r="EK224" s="77"/>
      <c r="EL224" s="77"/>
      <c r="EM224" s="77"/>
      <c r="EN224" s="77"/>
      <c r="EO224" s="77"/>
      <c r="EP224" s="77"/>
      <c r="EQ224" s="77"/>
      <c r="ER224" s="77"/>
      <c r="ES224" s="77"/>
      <c r="ET224" s="77"/>
      <c r="EU224" s="77"/>
      <c r="EV224" s="77"/>
      <c r="EW224" s="77"/>
      <c r="EX224" s="77"/>
      <c r="EY224" s="77"/>
      <c r="EZ224" s="1680"/>
      <c r="FA224" s="77"/>
      <c r="FB224" s="77"/>
      <c r="FC224" s="77"/>
      <c r="FD224" s="77"/>
      <c r="FE224" s="77"/>
      <c r="FF224" s="77"/>
      <c r="FG224" s="77"/>
      <c r="FH224" s="77"/>
      <c r="FI224" s="674"/>
      <c r="FJ224"/>
      <c r="FK224"/>
      <c r="FL224"/>
      <c r="FM224"/>
      <c r="FN224"/>
      <c r="FO224"/>
      <c r="FP224" s="4"/>
      <c r="FQ224" s="4"/>
      <c r="FR224" s="4"/>
      <c r="FS224" s="70"/>
      <c r="FT224" s="70"/>
      <c r="FU224"/>
      <c r="FV224" s="70"/>
      <c r="FW224" s="70"/>
      <c r="FX224" s="70"/>
      <c r="FY224"/>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row>
    <row r="225" spans="1:260" s="6" customFormat="1" hidden="1" outlineLevel="1" x14ac:dyDescent="0.2">
      <c r="A225" s="287" t="s">
        <v>353</v>
      </c>
      <c r="B225" s="213"/>
      <c r="C225" s="213"/>
      <c r="D225" s="213"/>
      <c r="E225" s="490"/>
      <c r="F225" s="213"/>
      <c r="G225" s="213"/>
      <c r="H225" s="213"/>
      <c r="I225" s="490"/>
      <c r="J225" s="213"/>
      <c r="K225" s="213"/>
      <c r="L225" s="213"/>
      <c r="M225" s="490"/>
      <c r="N225" s="213"/>
      <c r="O225" s="213"/>
      <c r="P225" s="213"/>
      <c r="Q225" s="490"/>
      <c r="R225" s="213"/>
      <c r="S225" s="213"/>
      <c r="T225" s="213"/>
      <c r="U225" s="490"/>
      <c r="V225" s="213"/>
      <c r="W225" s="213"/>
      <c r="X225" s="213"/>
      <c r="Y225" s="490"/>
      <c r="Z225" s="213"/>
      <c r="AA225" s="213"/>
      <c r="AB225" s="213"/>
      <c r="AC225" s="490"/>
      <c r="AD225" s="213"/>
      <c r="AE225" s="213"/>
      <c r="AF225" s="213"/>
      <c r="AG225" s="490"/>
      <c r="AH225" s="213"/>
      <c r="AI225" s="213"/>
      <c r="AJ225" s="213"/>
      <c r="AK225" s="490"/>
      <c r="AL225" s="213"/>
      <c r="AM225" s="213"/>
      <c r="AN225" s="213"/>
      <c r="AO225" s="490"/>
      <c r="AP225" s="213"/>
      <c r="AQ225" s="213"/>
      <c r="AR225" s="213"/>
      <c r="AS225" s="490"/>
      <c r="AT225" s="213"/>
      <c r="AU225" s="213"/>
      <c r="AV225" s="213"/>
      <c r="AW225" s="490"/>
      <c r="AX225" s="213"/>
      <c r="AY225" s="213"/>
      <c r="AZ225" s="213"/>
      <c r="BA225" s="490"/>
      <c r="BB225" s="77">
        <f>'Income Statement'!BB155/'Income Statement'!AX155-1</f>
        <v>0.11879877240606973</v>
      </c>
      <c r="BC225" s="77">
        <f>'Income Statement'!BC155/'Income Statement'!AY155-1</f>
        <v>9.2364692496944789E-2</v>
      </c>
      <c r="BD225" s="77">
        <f>'Income Statement'!BD155/'Income Statement'!AZ155-1</f>
        <v>7.4869899068672252E-2</v>
      </c>
      <c r="BE225" s="487">
        <f>'Income Statement'!BE155/'Income Statement'!BA155-1</f>
        <v>0.14658697042097102</v>
      </c>
      <c r="BF225" s="77">
        <f>'Income Statement'!BF155/'Income Statement'!BB155-1</f>
        <v>4.4422496772256181E-2</v>
      </c>
      <c r="BG225" s="77">
        <f>'Income Statement'!BG155/'Income Statement'!BC155-1</f>
        <v>7.8713193881463139E-2</v>
      </c>
      <c r="BH225" s="77">
        <f>'Income Statement'!BH155/'Income Statement'!BD155-1</f>
        <v>0.15240769485672412</v>
      </c>
      <c r="BI225" s="487">
        <f>'Income Statement'!BI155/'Income Statement'!BE155-1</f>
        <v>-5.413357301392141E-3</v>
      </c>
      <c r="BJ225" s="1819">
        <f>'Income Statement'!BJ155/'Income Statement'!BF155-1</f>
        <v>0.10455149539949393</v>
      </c>
      <c r="BK225" s="1862">
        <f>'Income Statement'!BK155/'Income Statement'!BG155-1</f>
        <v>0.1144955347907799</v>
      </c>
      <c r="BL225" s="1862">
        <f>'Income Statement'!BL155/'Income Statement'!BH155-1</f>
        <v>8.2672978628519633E-3</v>
      </c>
      <c r="BM225" s="1416">
        <f>'Income Statement'!BM155/'Income Statement'!BI155-1</f>
        <v>2.3316786507586951E-2</v>
      </c>
      <c r="BN225" s="1819">
        <f>'Income Statement'!BN155/'Income Statement'!BJ155-1</f>
        <v>3.7238555532186135E-2</v>
      </c>
      <c r="BO225" s="1862">
        <f>'Income Statement'!BO155/'Income Statement'!BK155-1</f>
        <v>-7.3929415574541801E-3</v>
      </c>
      <c r="BP225" s="1862">
        <f>'Income Statement'!BP155/'Income Statement'!BL155-1</f>
        <v>7.8914030228313559E-2</v>
      </c>
      <c r="BQ225" s="1416">
        <f>'Income Statement'!BQ155/'Income Statement'!BM155-1</f>
        <v>7.0131362487510396E-2</v>
      </c>
      <c r="BR225" s="1819">
        <f>'Income Statement'!BR155/'Income Statement'!BN155-1</f>
        <v>7.9927996611605323E-2</v>
      </c>
      <c r="BS225" s="1862">
        <f>'Income Statement'!BS155/'Income Statement'!BO155-1</f>
        <v>8.1607766294995887E-2</v>
      </c>
      <c r="BT225" s="1862">
        <f>'Income Statement'!BT155/'Income Statement'!BP155-1</f>
        <v>1.1715014714488658E-2</v>
      </c>
      <c r="BU225" s="1416">
        <f>'Income Statement'!BU155/'Income Statement'!BQ155-1</f>
        <v>2.9994536649249337E-3</v>
      </c>
      <c r="BV225" s="1819">
        <f>'Income Statement'!BV155/'Income Statement'!BR155-1</f>
        <v>-3.4193594565656515E-2</v>
      </c>
      <c r="BW225" s="1862">
        <f>'Income Statement'!BW155/'Income Statement'!BS155-1</f>
        <v>-3.4014581356169193E-2</v>
      </c>
      <c r="BX225" s="1862">
        <f>'Income Statement'!BX155/'Income Statement'!BT155-1</f>
        <v>-3.3589409801800363E-2</v>
      </c>
      <c r="BY225" s="1416">
        <f>'Income Statement'!BY155/'Income Statement'!BU155-1</f>
        <v>1.8962454903469927E-2</v>
      </c>
      <c r="BZ225" s="1819">
        <f>'Income Statement'!BZ155/'Income Statement'!BN155-1</f>
        <v>0.12081745023295221</v>
      </c>
      <c r="CA225" s="1862">
        <f>'Income Statement'!CA155/'Income Statement'!BO155-1</f>
        <v>5.384087450391406E-2</v>
      </c>
      <c r="CB225" s="1862">
        <f>'Income Statement'!CB155/'Income Statement'!BP155-1</f>
        <v>-3.2173394460526028E-2</v>
      </c>
      <c r="CC225" s="1416">
        <f>'Income Statement'!CC155/'Income Statement'!BQ155-1</f>
        <v>4.2440332597593056E-5</v>
      </c>
      <c r="CD225" s="1819">
        <f>'Income Statement'!CD155/'Income Statement'!BZ155-1</f>
        <v>1.4170996693434024E-2</v>
      </c>
      <c r="CE225" s="1862">
        <f>'Income Statement'!CE155/'Income Statement'!CA155-1</f>
        <v>-4.3888626710712586E-2</v>
      </c>
      <c r="CF225" s="1862">
        <f>'Income Statement'!CF155/'Income Statement'!CB155-1</f>
        <v>-2.5874460948730249E-2</v>
      </c>
      <c r="CG225" s="1416">
        <f>'Income Statement'!CG155/'Income Statement'!CC155-1</f>
        <v>-4.7153923880094317E-2</v>
      </c>
      <c r="CH225" s="1819">
        <f>'Income Statement'!CH155/'Income Statement'!CD155-1</f>
        <v>4.0055891942244903E-2</v>
      </c>
      <c r="CI225" s="1862">
        <f>'Income Statement'!CI155/'Income Statement'!CE155-1</f>
        <v>-6.4165844027640695E-2</v>
      </c>
      <c r="CJ225" s="1862">
        <f>'Income Statement'!CJ155/'Income Statement'!CF155-1</f>
        <v>-8.7555336940482009E-2</v>
      </c>
      <c r="CK225" s="1416">
        <f>'Income Statement'!CK155/'Income Statement'!CG155-1</f>
        <v>-6.7161541180629225E-3</v>
      </c>
      <c r="CL225" s="1819">
        <f>'Income Statement'!CL155/2511-1</f>
        <v>-0.11071286340103548</v>
      </c>
      <c r="CM225" s="1862">
        <f>'Income Statement'!CM155/2427-1</f>
        <v>-0.21878862793572307</v>
      </c>
      <c r="CN225" s="1862">
        <f>'Income Statement'!CN155/2458-1</f>
        <v>-0.24532139951179821</v>
      </c>
      <c r="CO225" s="1416">
        <f>'Income Statement'!CO155/3431-1</f>
        <v>-0.18099679393762746</v>
      </c>
      <c r="CP225" s="1819">
        <f>'Income Statement'!CP155/'Income Statement'!CL155-1</f>
        <v>-0.16748768472906406</v>
      </c>
      <c r="CQ225" s="1862">
        <f>'Income Statement'!CQ155/2427-1</f>
        <v>-0.2332097239390194</v>
      </c>
      <c r="CR225" s="1862">
        <f>'Income Statement'!CR155/2458-1</f>
        <v>-0.25305126118795773</v>
      </c>
      <c r="CS225" s="1416">
        <f>'Income Statement'!CS155/'Income Statement'!CO155-1</f>
        <v>-0.12669039145907468</v>
      </c>
      <c r="CT225" s="1042">
        <f>'Income Statement'!CT155/'Income Statement'!CP155-1</f>
        <v>-5.1640667025282361E-2</v>
      </c>
      <c r="CU225" s="1042">
        <f>'Income Statement'!CU155/'Income Statement'!CQ155-1</f>
        <v>-4.4599677592692122E-2</v>
      </c>
      <c r="CV225" s="1042">
        <f>'Income Statement'!CV155/'Income Statement'!CR155-1</f>
        <v>2.7233115468410229E-3</v>
      </c>
      <c r="CW225" s="1416">
        <f>'Income Statement'!CW155/'Income Statement'!CS155-1</f>
        <v>9.9429502852485641E-2</v>
      </c>
      <c r="CX225" s="75">
        <f>'Income Statement'!CX155/'Income Statement'!CT155-1</f>
        <v>2.5524673851389679E-2</v>
      </c>
      <c r="CY225" s="75">
        <f>'Income Statement'!CY155/'Income Statement'!CU155-1</f>
        <v>8.8863892013498313E-2</v>
      </c>
      <c r="CZ225" s="1042">
        <f>'Income Statement'!CZ155/'Income Statement'!CV155-1</f>
        <v>5.8120586637696814E-2</v>
      </c>
      <c r="DA225" s="1416">
        <f>'Income Statement'!DA155/'Income Statement'!CW155-1</f>
        <v>2.2238695329874769E-3</v>
      </c>
      <c r="DB225" s="75">
        <f>'Income Statement'!DB155/'Income Statement'!CX155-1</f>
        <v>-2.7654867256636795E-3</v>
      </c>
      <c r="DC225" s="1042">
        <f>'Income Statement'!DC155/'Income Statement'!CY155-1</f>
        <v>-2.117768595041325E-2</v>
      </c>
      <c r="DD225" s="75">
        <f>'Income Statement'!DD155/'Income Statement'!CZ155-1</f>
        <v>3.696098562628336E-2</v>
      </c>
      <c r="DE225" s="1416">
        <f>'Income Statement'!DE155/'Income Statement'!DA155-1</f>
        <v>1.664201183431957E-2</v>
      </c>
      <c r="DF225" s="75">
        <f>'Income Statement'!DF155/'Income Statement'!DB155-1</f>
        <v>3.7714919578480277E-2</v>
      </c>
      <c r="DG225" s="75">
        <f>'Income Statement'!DG155/'Income Statement'!DC155-1</f>
        <v>4.7493403693931402E-2</v>
      </c>
      <c r="DH225" s="75">
        <f>'Income Statement'!DH155/'Income Statement'!DD155-1</f>
        <v>3.7623762376237657E-2</v>
      </c>
      <c r="DI225" s="1416">
        <f>'Income Statement'!DI155/'Income Statement'!DE155-1</f>
        <v>0.13241178610403792</v>
      </c>
      <c r="DJ225" s="2709">
        <f>'Income Statement'!DJ155/'Income Statement'!DF155-1</f>
        <v>1.5370560361960051E-2</v>
      </c>
      <c r="DK225" s="75">
        <f>'Income Statement'!DK155/'Income Statement'!DG155-1</f>
        <v>1.7139870730600304E-3</v>
      </c>
      <c r="DL225" s="75">
        <f>'Income Statement'!DL155/'Income Statement'!DH155-1</f>
        <v>4.7341684184176724E-3</v>
      </c>
      <c r="DM225" s="1416">
        <f>'Income Statement'!DM155/'Income Statement'!DI155-1</f>
        <v>-1.3190948142259629E-2</v>
      </c>
      <c r="DN225" s="580"/>
      <c r="DO225" s="487"/>
      <c r="DP225" s="219"/>
      <c r="DQ225" s="213" t="s">
        <v>483</v>
      </c>
      <c r="DR225" s="213" t="s">
        <v>483</v>
      </c>
      <c r="DS225" s="213" t="s">
        <v>483</v>
      </c>
      <c r="DT225" s="213" t="s">
        <v>483</v>
      </c>
      <c r="DU225" s="213" t="s">
        <v>483</v>
      </c>
      <c r="DV225" s="213" t="s">
        <v>483</v>
      </c>
      <c r="DW225" s="213" t="s">
        <v>483</v>
      </c>
      <c r="DX225" s="213" t="s">
        <v>483</v>
      </c>
      <c r="DY225" s="213" t="s">
        <v>483</v>
      </c>
      <c r="DZ225" s="213" t="s">
        <v>483</v>
      </c>
      <c r="EA225" s="213" t="s">
        <v>483</v>
      </c>
      <c r="EB225" s="213" t="s">
        <v>483</v>
      </c>
      <c r="EC225" s="213" t="s">
        <v>483</v>
      </c>
      <c r="ED225" s="213" t="s">
        <v>483</v>
      </c>
      <c r="EE225" s="213" t="s">
        <v>483</v>
      </c>
      <c r="EF225" s="213" t="s">
        <v>483</v>
      </c>
      <c r="EG225" s="213" t="s">
        <v>483</v>
      </c>
      <c r="EH225" s="213" t="s">
        <v>483</v>
      </c>
      <c r="EI225" s="213" t="s">
        <v>483</v>
      </c>
      <c r="EJ225" s="77">
        <f>'Income Statement'!EJ155/'Income Statement'!EI155-1</f>
        <v>0.18269247832912461</v>
      </c>
      <c r="EK225" s="77">
        <f>'Income Statement'!EK155/'Income Statement'!EJ155-1</f>
        <v>0.11230461296562377</v>
      </c>
      <c r="EL225" s="77">
        <f>'Income Statement'!EL155/'Income Statement'!EK155-1</f>
        <v>5.8389844139133285E-2</v>
      </c>
      <c r="EM225" s="77">
        <f>'Income Statement'!EM155/'Income Statement'!EL155-1</f>
        <v>5.638467506896494E-2</v>
      </c>
      <c r="EN225" s="77">
        <f>'Income Statement'!EN155/'Income Statement'!EM155-1</f>
        <v>4.6999832592179436E-2</v>
      </c>
      <c r="EO225" s="77">
        <f>'Income Statement'!EO155/'Income Statement'!EN155-1</f>
        <v>3.8696404304941368E-2</v>
      </c>
      <c r="EP225" s="77">
        <f>'Income Statement'!EP155/'Income Statement'!EO155-1</f>
        <v>-1.7125738703964721E-2</v>
      </c>
      <c r="EQ225" s="77">
        <f>'Income Statement'!EQ155/'Income Statement'!EN155-1</f>
        <v>2.9608217009322813E-2</v>
      </c>
      <c r="ER225" s="77">
        <f>'Income Statement'!ER155/'Income Statement'!EQ155-1</f>
        <v>-2.7658200602668992E-2</v>
      </c>
      <c r="ES225" s="77">
        <f>'Income Statement'!ES155/'Income Statement'!ER155-1</f>
        <v>-2.6674045379081357E-2</v>
      </c>
      <c r="ET225" s="255">
        <f>'Income Statement'!ET155/10827-1</f>
        <v>-0.18777131245959178</v>
      </c>
      <c r="EU225" s="77">
        <f>'Income Statement'!EU155/'Income Statement'!ES155-1</f>
        <v>-8.9151694337047949E-2</v>
      </c>
      <c r="EV225" s="77">
        <f>'Income Statement'!EV155/'Income Statement'!EU155-1</f>
        <v>8.7390761548065132E-3</v>
      </c>
      <c r="EW225" s="77">
        <f>'Income Statement'!EW155/'Income Statement'!EV155-1</f>
        <v>3.9108910891089144E-2</v>
      </c>
      <c r="EX225" s="77">
        <f>'Income Statement'!EX155/'Income Statement'!EW155-1</f>
        <v>8.4564078132443044E-3</v>
      </c>
      <c r="EY225" s="77">
        <f>'Income Statement'!EY155/'Income Statement'!EX155-1</f>
        <v>7.0627140663753307E-2</v>
      </c>
      <c r="EZ225" s="1680">
        <f>'Income Statement'!EZ155/'Income Statement'!EY155-1</f>
        <v>1.1251828079439363E-4</v>
      </c>
      <c r="FA225" s="77">
        <f>'Income Statement'!FA155/'Income Statement'!EZ155-1</f>
        <v>7.7892271004413871E-3</v>
      </c>
      <c r="FB225" s="77">
        <f>'Income Statement'!FB155/'Income Statement'!FA155-1</f>
        <v>1.1153882295941386E-2</v>
      </c>
      <c r="FC225" s="77">
        <f>'Income Statement'!FC155/'Income Statement'!FB155-1</f>
        <v>7.1696670218326375E-3</v>
      </c>
      <c r="FD225" s="77">
        <f>'Income Statement'!FD155/'Income Statement'!FC155-1</f>
        <v>1.1495135703478709E-2</v>
      </c>
      <c r="FE225" s="77">
        <f>'Income Statement'!FE155/'Income Statement'!FD155-1</f>
        <v>1.1843115609422306E-2</v>
      </c>
      <c r="FF225" s="77">
        <f>'Income Statement'!FF155/'Income Statement'!FE155-1</f>
        <v>1.2200275080749501E-2</v>
      </c>
      <c r="FG225" s="77">
        <f>'Income Statement'!FG155/'Income Statement'!FF155-1</f>
        <v>1.2566578158309971E-2</v>
      </c>
      <c r="FH225" s="77">
        <f>'Income Statement'!FH155/'Income Statement'!FG155-1</f>
        <v>1.2941968026275674E-2</v>
      </c>
      <c r="FI225" s="674"/>
      <c r="FJ225"/>
      <c r="FK225"/>
      <c r="FL225"/>
      <c r="FM225"/>
      <c r="FN225"/>
      <c r="FO225"/>
      <c r="FP225" s="4"/>
      <c r="FQ225" s="4"/>
      <c r="FR225" s="4"/>
      <c r="FS225" s="113"/>
      <c r="FT225" s="113"/>
      <c r="FU225"/>
      <c r="FV225" s="70"/>
      <c r="FW225" s="70"/>
      <c r="FX225" s="70"/>
      <c r="FY225"/>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row>
    <row r="226" spans="1:260" s="6" customFormat="1" hidden="1" outlineLevel="1" x14ac:dyDescent="0.2">
      <c r="A226" s="287" t="s">
        <v>23</v>
      </c>
      <c r="B226" s="213"/>
      <c r="C226" s="213"/>
      <c r="D226" s="213"/>
      <c r="E226" s="490"/>
      <c r="F226" s="213"/>
      <c r="G226" s="213"/>
      <c r="H226" s="213"/>
      <c r="I226" s="490"/>
      <c r="J226" s="213"/>
      <c r="K226" s="213"/>
      <c r="L226" s="213"/>
      <c r="M226" s="490"/>
      <c r="N226" s="213"/>
      <c r="O226" s="213"/>
      <c r="P226" s="213"/>
      <c r="Q226" s="490"/>
      <c r="R226" s="213"/>
      <c r="S226" s="213"/>
      <c r="T226" s="213"/>
      <c r="U226" s="490"/>
      <c r="V226" s="213"/>
      <c r="W226" s="213"/>
      <c r="X226" s="213"/>
      <c r="Y226" s="490"/>
      <c r="Z226" s="213"/>
      <c r="AA226" s="213"/>
      <c r="AB226" s="213"/>
      <c r="AC226" s="490"/>
      <c r="AD226" s="213"/>
      <c r="AE226" s="213"/>
      <c r="AF226" s="213"/>
      <c r="AG226" s="490"/>
      <c r="AH226" s="213"/>
      <c r="AI226" s="213"/>
      <c r="AJ226" s="213"/>
      <c r="AK226" s="490"/>
      <c r="AL226" s="213"/>
      <c r="AM226" s="213"/>
      <c r="AN226" s="213"/>
      <c r="AO226" s="490"/>
      <c r="AP226" s="213"/>
      <c r="AQ226" s="213"/>
      <c r="AR226" s="213"/>
      <c r="AS226" s="490"/>
      <c r="AT226" s="213"/>
      <c r="AU226" s="213"/>
      <c r="AV226" s="213"/>
      <c r="AW226" s="490"/>
      <c r="AX226" s="213"/>
      <c r="AY226" s="213"/>
      <c r="AZ226" s="213"/>
      <c r="BA226" s="490"/>
      <c r="BB226" s="77">
        <f>'Income Statement'!BB156/'Income Statement'!AX156-1</f>
        <v>0.26774522466181794</v>
      </c>
      <c r="BC226" s="77">
        <f>'Income Statement'!BC156/'Income Statement'!AY156-1</f>
        <v>0.28800261135345262</v>
      </c>
      <c r="BD226" s="77">
        <f>'Income Statement'!BD156/'Income Statement'!AZ156-1</f>
        <v>0.46448663853727123</v>
      </c>
      <c r="BE226" s="487">
        <f>'Income Statement'!BE156/'Income Statement'!BA156-1</f>
        <v>0.30691948978192296</v>
      </c>
      <c r="BF226" s="77">
        <f>'Income Statement'!BF156/'Income Statement'!BB156-1</f>
        <v>0.30498450385526921</v>
      </c>
      <c r="BG226" s="77">
        <f>'Income Statement'!BG156/'Income Statement'!BC156-1</f>
        <v>0.48091898517201015</v>
      </c>
      <c r="BH226" s="77">
        <f>'Income Statement'!BH156/'Income Statement'!BD156-1</f>
        <v>0.29045072574484343</v>
      </c>
      <c r="BI226" s="487">
        <f>'Income Statement'!BI156/'Income Statement'!BE156-1</f>
        <v>0.22499278499278508</v>
      </c>
      <c r="BJ226" s="1819">
        <f>'Income Statement'!BJ156/'Income Statement'!BF156-1</f>
        <v>0.28200692752396495</v>
      </c>
      <c r="BK226" s="1862">
        <f>'Income Statement'!BK156/'Income Statement'!BG156-1</f>
        <v>0.10545377607407769</v>
      </c>
      <c r="BL226" s="1862">
        <f>'Income Statement'!BL156/'Income Statement'!BH156-1</f>
        <v>1.4309732417712531</v>
      </c>
      <c r="BM226" s="1416">
        <f>'Income Statement'!BM156/'Income Statement'!BI156-1</f>
        <v>0.81769349719215434</v>
      </c>
      <c r="BN226" s="1819">
        <f>'Income Statement'!BN156/'Income Statement'!BJ156-1</f>
        <v>1.1415911618500632</v>
      </c>
      <c r="BO226" s="1862">
        <f>'Income Statement'!BO156/'Income Statement'!BK156-1</f>
        <v>0.89499104941398988</v>
      </c>
      <c r="BP226" s="1862">
        <f>'Income Statement'!BP156/'Income Statement'!BL156-1</f>
        <v>-8.8969135287078061E-2</v>
      </c>
      <c r="BQ226" s="1416">
        <f>'Income Statement'!BQ156/'Income Statement'!BM156-1</f>
        <v>0.18785849283367817</v>
      </c>
      <c r="BR226" s="1819">
        <f>'Income Statement'!BR156/'Income Statement'!BN156-1</f>
        <v>0.12725531278060465</v>
      </c>
      <c r="BS226" s="1862">
        <f>'Income Statement'!BS156/'Income Statement'!BO156-1</f>
        <v>0.10383507114636248</v>
      </c>
      <c r="BT226" s="1862">
        <f>'Income Statement'!BT156/'Income Statement'!BP156-1</f>
        <v>2.0032534730442864E-2</v>
      </c>
      <c r="BU226" s="1416">
        <f>'Income Statement'!BU156/'Income Statement'!BQ156-1</f>
        <v>-1.8752616240430231E-2</v>
      </c>
      <c r="BV226" s="1819">
        <f>'Income Statement'!BV156/'Income Statement'!BR156-1</f>
        <v>5.9406663551203387E-2</v>
      </c>
      <c r="BW226" s="1862">
        <f>'Income Statement'!BW156/'Income Statement'!BS156-1</f>
        <v>3.7644247330347991E-2</v>
      </c>
      <c r="BX226" s="1862">
        <f>'Income Statement'!BX156/'Income Statement'!BT156-1</f>
        <v>4.277727862633518E-2</v>
      </c>
      <c r="BY226" s="1416">
        <f>'Income Statement'!BY156/'Income Statement'!BU156-1</f>
        <v>5.3106434254832857E-2</v>
      </c>
      <c r="BZ226" s="1819">
        <f>'Income Statement'!BZ156/'Income Statement'!BN156-1</f>
        <v>0.10445974259203816</v>
      </c>
      <c r="CA226" s="1862">
        <f>'Income Statement'!CA156/'Income Statement'!BO156-1</f>
        <v>5.0114368891661432E-2</v>
      </c>
      <c r="CB226" s="1862">
        <f>'Income Statement'!CB156/'Income Statement'!BP156-1</f>
        <v>3.0269009778240985E-3</v>
      </c>
      <c r="CC226" s="1416">
        <f>'Income Statement'!CC156/'Income Statement'!BQ156-1</f>
        <v>-8.0605003739612213E-3</v>
      </c>
      <c r="CD226" s="1819">
        <f>'Income Statement'!CD156/'Income Statement'!BZ156-1</f>
        <v>4.8780487804878092E-2</v>
      </c>
      <c r="CE226" s="1862">
        <f>'Income Statement'!CE156/'Income Statement'!CA156-1</f>
        <v>4.1018387553040991E-2</v>
      </c>
      <c r="CF226" s="1862">
        <f>'Income Statement'!CF156/'Income Statement'!CB156-1</f>
        <v>4.0609137055837463E-2</v>
      </c>
      <c r="CG226" s="1416">
        <f>'Income Statement'!CG156/'Income Statement'!CC156-1</f>
        <v>4.4000000000000039E-2</v>
      </c>
      <c r="CH226" s="1819">
        <f>'Income Statement'!CH156/'Income Statement'!CD156-1</f>
        <v>-0.12919896640826878</v>
      </c>
      <c r="CI226" s="1862">
        <f>'Income Statement'!CI156/'Income Statement'!CE156-1</f>
        <v>-9.2391304347826053E-2</v>
      </c>
      <c r="CJ226" s="1862">
        <f>'Income Statement'!CJ156/'Income Statement'!CF156-1</f>
        <v>-0.10853658536585364</v>
      </c>
      <c r="CK226" s="1416">
        <f>'Income Statement'!CK156/'Income Statement'!CG156-1</f>
        <v>-6.8965517241379337E-2</v>
      </c>
      <c r="CL226" s="1819">
        <f>'Income Statement'!CL156/2511-1</f>
        <v>-0.86021505376344087</v>
      </c>
      <c r="CM226" s="1862">
        <f>'Income Statement'!CM156/2427-1</f>
        <v>-0.84960857025133907</v>
      </c>
      <c r="CN226" s="1862">
        <f>'Income Statement'!CN156/2458-1</f>
        <v>-0.84825061025223758</v>
      </c>
      <c r="CO226" s="1416">
        <f>'Income Statement'!CO156/3431-1</f>
        <v>-0.84406878461090062</v>
      </c>
      <c r="CP226" s="1819">
        <f>'Income Statement'!CP156/'Income Statement'!CL156-1</f>
        <v>-0.29914529914529919</v>
      </c>
      <c r="CQ226" s="1862">
        <f>'Income Statement'!CQ156/2427-1</f>
        <v>-0.89781623403378652</v>
      </c>
      <c r="CR226" s="1862">
        <f>'Income Statement'!CR156/2458-1</f>
        <v>-0.89544344995931646</v>
      </c>
      <c r="CS226" s="1416">
        <f>'Income Statement'!CS156/'Income Statement'!CO156-1</f>
        <v>-0.30093457943925228</v>
      </c>
      <c r="CT226" s="1042">
        <f>'Income Statement'!CT156/'Income Statement'!CP156-1</f>
        <v>-0.17073170731707321</v>
      </c>
      <c r="CU226" s="1042">
        <f>'Income Statement'!CU156/'Income Statement'!CQ156-1</f>
        <v>-0.19354838709677424</v>
      </c>
      <c r="CV226" s="1042">
        <f>'Income Statement'!CV156/'Income Statement'!CR156-1</f>
        <v>-8.5603112840466955E-2</v>
      </c>
      <c r="CW226" s="1416">
        <f>'Income Statement'!CW156/'Income Statement'!CS156-1</f>
        <v>-0.12299465240641716</v>
      </c>
      <c r="CX226" s="75">
        <f>'Income Statement'!CX156/'Income Statement'!CT156-1</f>
        <v>-0.25490196078431371</v>
      </c>
      <c r="CY226" s="75">
        <f>'Income Statement'!CY156/'Income Statement'!CU156-1</f>
        <v>-0.255</v>
      </c>
      <c r="CZ226" s="1042">
        <f>'Income Statement'!CZ156/'Income Statement'!CV156-1</f>
        <v>-0.30638297872340425</v>
      </c>
      <c r="DA226" s="1416">
        <f>'Income Statement'!DA156/'Income Statement'!CW156-1</f>
        <v>-0.25609756097560976</v>
      </c>
      <c r="DB226" s="75">
        <f>'Income Statement'!DB156/'Income Statement'!CX156-1</f>
        <v>4.6052631578947345E-2</v>
      </c>
      <c r="DC226" s="1042">
        <f>'Income Statement'!DC156/'Income Statement'!CY156-1</f>
        <v>0.12080536912751683</v>
      </c>
      <c r="DD226" s="75">
        <f>'Income Statement'!DD156/'Income Statement'!CZ156-1</f>
        <v>0.12269938650306744</v>
      </c>
      <c r="DE226" s="1416">
        <f>'Income Statement'!DE156/'Income Statement'!DA156-1</f>
        <v>0.15163934426229497</v>
      </c>
      <c r="DF226" s="75">
        <f>'Income Statement'!DF156/'Income Statement'!DB156-1</f>
        <v>-5.031446540880502E-2</v>
      </c>
      <c r="DG226" s="75">
        <f>'Income Statement'!DG156/'Income Statement'!DC156-1</f>
        <v>5.9880239520957446E-3</v>
      </c>
      <c r="DH226" s="75">
        <f>'Income Statement'!DH156/'Income Statement'!DD156-1</f>
        <v>5.464480874316946E-3</v>
      </c>
      <c r="DI226" s="1416">
        <f>'Income Statement'!DI156/'Income Statement'!DE156-1</f>
        <v>9.6085409252669063E-2</v>
      </c>
      <c r="DJ226" s="2709">
        <f>'Income Statement'!DJ156/'Income Statement'!DF156-1</f>
        <v>-3.6428415441770112E-2</v>
      </c>
      <c r="DK226" s="75">
        <f>'Income Statement'!DK156/'Income Statement'!DG156-1</f>
        <v>-2.3946288631346624E-2</v>
      </c>
      <c r="DL226" s="75">
        <f>'Income Statement'!DL156/'Income Statement'!DH156-1</f>
        <v>5.6580978260869497E-3</v>
      </c>
      <c r="DM226" s="1416">
        <f>'Income Statement'!DM156/'Income Statement'!DI156-1</f>
        <v>4.8641558441558486E-2</v>
      </c>
      <c r="DN226" s="580"/>
      <c r="DO226" s="487"/>
      <c r="DP226" s="219"/>
      <c r="DQ226" s="213" t="s">
        <v>483</v>
      </c>
      <c r="DR226" s="213" t="s">
        <v>483</v>
      </c>
      <c r="DS226" s="213" t="s">
        <v>483</v>
      </c>
      <c r="DT226" s="213" t="s">
        <v>483</v>
      </c>
      <c r="DU226" s="213" t="s">
        <v>483</v>
      </c>
      <c r="DV226" s="213" t="s">
        <v>483</v>
      </c>
      <c r="DW226" s="213" t="s">
        <v>483</v>
      </c>
      <c r="DX226" s="213" t="s">
        <v>483</v>
      </c>
      <c r="DY226" s="213" t="s">
        <v>483</v>
      </c>
      <c r="DZ226" s="213" t="s">
        <v>483</v>
      </c>
      <c r="EA226" s="213" t="s">
        <v>483</v>
      </c>
      <c r="EB226" s="213" t="s">
        <v>483</v>
      </c>
      <c r="EC226" s="213" t="s">
        <v>483</v>
      </c>
      <c r="ED226" s="213" t="s">
        <v>483</v>
      </c>
      <c r="EE226" s="213" t="s">
        <v>483</v>
      </c>
      <c r="EF226" s="213" t="s">
        <v>483</v>
      </c>
      <c r="EG226" s="213" t="s">
        <v>483</v>
      </c>
      <c r="EH226" s="213" t="s">
        <v>483</v>
      </c>
      <c r="EI226" s="213" t="s">
        <v>483</v>
      </c>
      <c r="EJ226" s="77">
        <f>'Income Statement'!EJ156/'Income Statement'!EI156-1</f>
        <v>0.25465435606060605</v>
      </c>
      <c r="EK226" s="77">
        <f>'Income Statement'!EK156/'Income Statement'!EJ156-1</f>
        <v>0.33286537878530553</v>
      </c>
      <c r="EL226" s="77">
        <f>'Income Statement'!EL156/'Income Statement'!EK156-1</f>
        <v>0.30847427233946156</v>
      </c>
      <c r="EM226" s="77">
        <f>'Income Statement'!EM156/'Income Statement'!EL156-1</f>
        <v>0.71546378516553966</v>
      </c>
      <c r="EN226" s="77">
        <f>'Income Statement'!EN156/'Income Statement'!EM156-1</f>
        <v>0.31823871445984575</v>
      </c>
      <c r="EO226" s="77">
        <f>'Income Statement'!EO156/'Income Statement'!EN156-1</f>
        <v>4.8409228351037781E-2</v>
      </c>
      <c r="EP226" s="77">
        <f>'Income Statement'!EP156/'Income Statement'!EO156-1</f>
        <v>4.8536027436726803E-2</v>
      </c>
      <c r="EQ226" s="77">
        <f>'Income Statement'!EQ156/'Income Statement'!EN156-1</f>
        <v>3.1191550927402778E-2</v>
      </c>
      <c r="ER226" s="77">
        <f>'Income Statement'!ER156/'Income Statement'!EQ156-1</f>
        <v>4.3612743581812552E-2</v>
      </c>
      <c r="ES226" s="77">
        <f>'Income Statement'!ES156/'Income Statement'!ER156-1</f>
        <v>-9.7510373443983389E-2</v>
      </c>
      <c r="ET226" s="255">
        <f>'Income Statement'!ET156/10827-1</f>
        <v>-0.85000461808441852</v>
      </c>
      <c r="EU226" s="77">
        <f>'Income Statement'!EU156/'Income Statement'!ES156-1</f>
        <v>-0.63054187192118227</v>
      </c>
      <c r="EV226" s="77">
        <f>'Income Statement'!EV156/'Income Statement'!EU156-1</f>
        <v>-0.14044444444444448</v>
      </c>
      <c r="EW226" s="77">
        <f>'Income Statement'!EW156/'Income Statement'!EV156-1</f>
        <v>-0.26783867631851088</v>
      </c>
      <c r="EX226" s="77">
        <f>'Income Statement'!EX156/'Income Statement'!EW156-1</f>
        <v>0.11581920903954801</v>
      </c>
      <c r="EY226" s="77">
        <f>'Income Statement'!EY156/'Income Statement'!EX156-1</f>
        <v>2.6582278481012578E-2</v>
      </c>
      <c r="EZ226" s="1680">
        <f>'Income Statement'!EZ156/'Income Statement'!EY156-1</f>
        <v>8.0135915884420594E-3</v>
      </c>
      <c r="FA226" s="77">
        <f>'Income Statement'!FA156/'Income Statement'!EZ156-1</f>
        <v>6.9072233918086035E-3</v>
      </c>
      <c r="FB226" s="77">
        <f>'Income Statement'!FB156/'Income Statement'!FA156-1</f>
        <v>1.0790635554668304E-2</v>
      </c>
      <c r="FC226" s="77">
        <f>'Income Statement'!FC156/'Income Statement'!FB156-1</f>
        <v>1.9363758021575528E-3</v>
      </c>
      <c r="FD226" s="77">
        <f>'Income Statement'!FD156/'Income Statement'!FC156-1</f>
        <v>1.9274318030715332E-3</v>
      </c>
      <c r="FE226" s="77">
        <f>'Income Statement'!FE156/'Income Statement'!FD156-1</f>
        <v>1.9185700476549439E-3</v>
      </c>
      <c r="FF226" s="77">
        <f>'Income Statement'!FF156/'Income Statement'!FE156-1</f>
        <v>1.9097894067048315E-3</v>
      </c>
      <c r="FG226" s="77">
        <f>'Income Statement'!FG156/'Income Statement'!FF156-1</f>
        <v>1.9010887715946723E-3</v>
      </c>
      <c r="FH226" s="77">
        <f>'Income Statement'!FH156/'Income Statement'!FG156-1</f>
        <v>1.8924670538096322E-3</v>
      </c>
      <c r="FI226" s="674"/>
      <c r="FJ226"/>
      <c r="FK226"/>
      <c r="FL226"/>
      <c r="FM226"/>
      <c r="FN226"/>
      <c r="FO226"/>
      <c r="FP226" s="4"/>
      <c r="FQ226" s="4"/>
      <c r="FR226" s="4"/>
      <c r="FS226" s="113"/>
      <c r="FT226" s="113"/>
      <c r="FU226"/>
      <c r="FV226" s="70"/>
      <c r="FW226" s="70"/>
      <c r="FX226" s="70"/>
      <c r="FY226"/>
      <c r="FZ226"/>
      <c r="GA226"/>
      <c r="GB226"/>
      <c r="GC226"/>
      <c r="GD226"/>
      <c r="GE226"/>
      <c r="GF226"/>
      <c r="GG226"/>
      <c r="GH226"/>
      <c r="GI226"/>
      <c r="GJ226"/>
      <c r="GK226"/>
      <c r="GL226"/>
      <c r="GM226"/>
      <c r="GN226"/>
      <c r="GO226"/>
      <c r="GP226"/>
      <c r="GQ226"/>
      <c r="GR226"/>
      <c r="GS226"/>
      <c r="GT226"/>
      <c r="GU226"/>
      <c r="GV226"/>
      <c r="GW226"/>
      <c r="GX226"/>
      <c r="GY226"/>
      <c r="GZ226"/>
      <c r="HA226"/>
      <c r="HB226"/>
      <c r="HC226"/>
      <c r="HD226"/>
      <c r="HE226"/>
      <c r="HF226"/>
      <c r="HG226"/>
      <c r="HH226"/>
      <c r="HI226"/>
      <c r="HJ226"/>
      <c r="HK226"/>
      <c r="HL226"/>
      <c r="HM226"/>
      <c r="HN226"/>
      <c r="HO226"/>
      <c r="HP226"/>
      <c r="HQ226"/>
      <c r="HR226"/>
      <c r="HS226"/>
      <c r="HT226"/>
      <c r="HU226"/>
      <c r="HV226"/>
      <c r="HW226"/>
      <c r="HX226"/>
      <c r="HY226"/>
      <c r="HZ226"/>
      <c r="IA226"/>
      <c r="IB226"/>
      <c r="IC226"/>
      <c r="ID226"/>
      <c r="IE226"/>
      <c r="IF226"/>
      <c r="IG226"/>
      <c r="IH226"/>
      <c r="II226"/>
      <c r="IJ226"/>
      <c r="IK226"/>
      <c r="IL226"/>
      <c r="IM226"/>
      <c r="IN226"/>
      <c r="IO226"/>
      <c r="IP226"/>
      <c r="IQ226"/>
      <c r="IR226"/>
      <c r="IS226"/>
      <c r="IT226"/>
      <c r="IU226"/>
      <c r="IV226"/>
      <c r="IW226"/>
      <c r="IX226"/>
      <c r="IY226"/>
      <c r="IZ226"/>
    </row>
    <row r="227" spans="1:260" s="19" customFormat="1" hidden="1" outlineLevel="1" x14ac:dyDescent="0.2">
      <c r="A227" s="395" t="s">
        <v>31</v>
      </c>
      <c r="B227" s="864" t="s">
        <v>483</v>
      </c>
      <c r="C227" s="864" t="s">
        <v>483</v>
      </c>
      <c r="D227" s="864" t="s">
        <v>483</v>
      </c>
      <c r="E227" s="1570" t="s">
        <v>483</v>
      </c>
      <c r="F227" s="864" t="s">
        <v>483</v>
      </c>
      <c r="G227" s="864" t="s">
        <v>483</v>
      </c>
      <c r="H227" s="864" t="s">
        <v>483</v>
      </c>
      <c r="I227" s="1570" t="s">
        <v>483</v>
      </c>
      <c r="J227" s="864" t="s">
        <v>483</v>
      </c>
      <c r="K227" s="864" t="s">
        <v>483</v>
      </c>
      <c r="L227" s="864" t="s">
        <v>483</v>
      </c>
      <c r="M227" s="1570" t="s">
        <v>483</v>
      </c>
      <c r="N227" s="864" t="s">
        <v>483</v>
      </c>
      <c r="O227" s="864" t="s">
        <v>483</v>
      </c>
      <c r="P227" s="864" t="s">
        <v>483</v>
      </c>
      <c r="Q227" s="1570" t="s">
        <v>483</v>
      </c>
      <c r="R227" s="864" t="s">
        <v>483</v>
      </c>
      <c r="S227" s="864" t="s">
        <v>483</v>
      </c>
      <c r="T227" s="864" t="s">
        <v>483</v>
      </c>
      <c r="U227" s="1570" t="s">
        <v>483</v>
      </c>
      <c r="V227" s="864" t="s">
        <v>483</v>
      </c>
      <c r="W227" s="864" t="s">
        <v>483</v>
      </c>
      <c r="X227" s="864" t="s">
        <v>483</v>
      </c>
      <c r="Y227" s="1570" t="s">
        <v>483</v>
      </c>
      <c r="Z227" s="864" t="s">
        <v>483</v>
      </c>
      <c r="AA227" s="864" t="s">
        <v>483</v>
      </c>
      <c r="AB227" s="864" t="s">
        <v>483</v>
      </c>
      <c r="AC227" s="1570" t="s">
        <v>483</v>
      </c>
      <c r="AD227" s="864" t="s">
        <v>483</v>
      </c>
      <c r="AE227" s="864" t="s">
        <v>483</v>
      </c>
      <c r="AF227" s="864" t="s">
        <v>483</v>
      </c>
      <c r="AG227" s="1570" t="s">
        <v>483</v>
      </c>
      <c r="AH227" s="864" t="s">
        <v>483</v>
      </c>
      <c r="AI227" s="864" t="s">
        <v>483</v>
      </c>
      <c r="AJ227" s="864" t="s">
        <v>483</v>
      </c>
      <c r="AK227" s="1570" t="s">
        <v>483</v>
      </c>
      <c r="AL227" s="864" t="s">
        <v>483</v>
      </c>
      <c r="AM227" s="864" t="s">
        <v>483</v>
      </c>
      <c r="AN227" s="864" t="s">
        <v>483</v>
      </c>
      <c r="AO227" s="1570" t="s">
        <v>483</v>
      </c>
      <c r="AP227" s="864" t="s">
        <v>483</v>
      </c>
      <c r="AQ227" s="864" t="s">
        <v>483</v>
      </c>
      <c r="AR227" s="864" t="s">
        <v>483</v>
      </c>
      <c r="AS227" s="1570" t="s">
        <v>483</v>
      </c>
      <c r="AT227" s="864" t="s">
        <v>483</v>
      </c>
      <c r="AU227" s="864" t="s">
        <v>483</v>
      </c>
      <c r="AV227" s="864" t="s">
        <v>483</v>
      </c>
      <c r="AW227" s="1570" t="s">
        <v>483</v>
      </c>
      <c r="AX227" s="864" t="s">
        <v>483</v>
      </c>
      <c r="AY227" s="864" t="s">
        <v>483</v>
      </c>
      <c r="AZ227" s="864" t="s">
        <v>483</v>
      </c>
      <c r="BA227" s="1570" t="s">
        <v>483</v>
      </c>
      <c r="BB227" s="208">
        <f>'Income Statement'!BB157/'Income Statement'!AX157-1</f>
        <v>0.13286264441591777</v>
      </c>
      <c r="BC227" s="208">
        <f>'Income Statement'!BC157/'Income Statement'!AY157-1</f>
        <v>0.11163062536528345</v>
      </c>
      <c r="BD227" s="208">
        <f>'Income Statement'!BD157/'Income Statement'!AZ157-1</f>
        <v>0.11577181208053688</v>
      </c>
      <c r="BE227" s="572">
        <f>'Income Statement'!BE157/'Income Statement'!BA157-1</f>
        <v>0.16410640689396772</v>
      </c>
      <c r="BF227" s="208">
        <f>'Income Statement'!BF157/'Income Statement'!BB157-1</f>
        <v>7.1954674220963133E-2</v>
      </c>
      <c r="BG227" s="208">
        <f>'Income Statement'!BG157/'Income Statement'!BC157-1</f>
        <v>0.12460567823343838</v>
      </c>
      <c r="BH227" s="208">
        <f>'Income Statement'!BH157/'Income Statement'!BD157-1</f>
        <v>0.17142857142857149</v>
      </c>
      <c r="BI227" s="572">
        <f>'Income Statement'!BI157/'Income Statement'!BE157-1</f>
        <v>2.2851625362085626E-2</v>
      </c>
      <c r="BJ227" s="1860">
        <f>'Income Statement'!BJ157/'Income Statement'!BF157-1</f>
        <v>0.12737843551797035</v>
      </c>
      <c r="BK227" s="1513">
        <f>'Income Statement'!BK157/'Income Statement'!BG157-1</f>
        <v>0.11313697989714822</v>
      </c>
      <c r="BL227" s="1513">
        <f>'Income Statement'!BL157/'Income Statement'!BH157-1</f>
        <v>0.22421908429610604</v>
      </c>
      <c r="BM227" s="1861">
        <f>'Income Statement'!BM157/'Income Statement'!BI157-1</f>
        <v>0.14002517306482054</v>
      </c>
      <c r="BN227" s="1860">
        <f>'Income Statement'!BN157/'Income Statement'!BJ157-1</f>
        <v>0.19878105954055325</v>
      </c>
      <c r="BO227" s="1513">
        <f>'Income Statement'!BO157/'Income Statement'!BK157-1</f>
        <v>0.1272574548509029</v>
      </c>
      <c r="BP227" s="1513">
        <f>'Income Statement'!BP157/'Income Statement'!BL157-1</f>
        <v>2.8311779098217471E-2</v>
      </c>
      <c r="BQ227" s="1861">
        <f>'Income Statement'!BQ157/'Income Statement'!BM157-1</f>
        <v>9.7709080872205423E-2</v>
      </c>
      <c r="BR227" s="1860">
        <f>'Income Statement'!BR157/'Income Statement'!BN157-1</f>
        <v>9.2295658975361849E-2</v>
      </c>
      <c r="BS227" s="1513">
        <f>'Income Statement'!BS157/'Income Statement'!BO157-1</f>
        <v>8.7183308494783951E-2</v>
      </c>
      <c r="BT227" s="1513">
        <f>'Income Statement'!BT157/'Income Statement'!BP157-1</f>
        <v>1.3936097892589983E-2</v>
      </c>
      <c r="BU227" s="1861">
        <f>'Income Statement'!BU157/'Income Statement'!BQ157-1</f>
        <v>-2.5144581342720906E-3</v>
      </c>
      <c r="BV227" s="1860">
        <f>'Income Statement'!BV157/'Income Statement'!BR157-1</f>
        <v>-8.9509488005728999E-3</v>
      </c>
      <c r="BW227" s="1513">
        <f>'Income Statement'!BW157/'Income Statement'!BS157-1</f>
        <v>-1.5764222069910905E-2</v>
      </c>
      <c r="BX227" s="1513">
        <f>'Income Statement'!BX157/'Income Statement'!BT157-1</f>
        <v>-1.3074086490110659E-2</v>
      </c>
      <c r="BY227" s="1861">
        <f>'Income Statement'!BY157/'Income Statement'!BU157-1</f>
        <v>2.7476682631711657E-2</v>
      </c>
      <c r="BZ227" s="1860">
        <f>'Income Statement'!BZ157/'Income Statement'!BN157-1</f>
        <v>0.11654282362143142</v>
      </c>
      <c r="CA227" s="1513">
        <f>'Income Statement'!CA157/'Income Statement'!BO157-1</f>
        <v>5.2906110283159391E-2</v>
      </c>
      <c r="CB227" s="1513">
        <f>'Income Statement'!CB157/'Income Statement'!BP157-1</f>
        <v>-2.277362338545208E-2</v>
      </c>
      <c r="CC227" s="1861">
        <f>'Income Statement'!CC157/'Income Statement'!BQ157-1</f>
        <v>-2.0115665074176281E-3</v>
      </c>
      <c r="CD227" s="1860">
        <f>'Income Statement'!CD157/'Income Statement'!BZ157-1</f>
        <v>2.3117338003502574E-2</v>
      </c>
      <c r="CE227" s="1513">
        <f>'Income Statement'!CE157/'Income Statement'!CA157-1</f>
        <v>-2.2646850672328411E-2</v>
      </c>
      <c r="CF227" s="1513">
        <f>'Income Statement'!CF157/'Income Statement'!CB157-1</f>
        <v>-7.652173913043514E-3</v>
      </c>
      <c r="CG227" s="1861">
        <f>'Income Statement'!CG157/'Income Statement'!CC157-1</f>
        <v>-2.4187452758881345E-2</v>
      </c>
      <c r="CH227" s="1860">
        <f>'Income Statement'!CH157/'Income Statement'!CD157-1</f>
        <v>-4.7928791509757041E-3</v>
      </c>
      <c r="CI227" s="1513">
        <f>'Income Statement'!CI157/'Income Statement'!CE157-1</f>
        <v>-7.1687183200579319E-2</v>
      </c>
      <c r="CJ227" s="1513">
        <f>'Income Statement'!CJ157/'Income Statement'!CF157-1</f>
        <v>-9.3585699263932676E-2</v>
      </c>
      <c r="CK227" s="1861">
        <f>'Income Statement'!CK157/'Income Statement'!CG157-1</f>
        <v>-2.3495997934417812E-2</v>
      </c>
      <c r="CL227" s="1860">
        <f>'Income Statement'!CL157/2511-1</f>
        <v>2.907208283552376E-2</v>
      </c>
      <c r="CM227" s="1513">
        <f>'Income Statement'!CM157/2427-1</f>
        <v>-6.8397198187062247E-2</v>
      </c>
      <c r="CN227" s="1513">
        <f>'Income Statement'!CN157/2458-1</f>
        <v>-9.3572009764035791E-2</v>
      </c>
      <c r="CO227" s="1861">
        <f>'Income Statement'!CO157/3431-1</f>
        <v>-2.5065578548528089E-2</v>
      </c>
      <c r="CP227" s="1860">
        <f>'Income Statement'!CP157/'Income Statement'!CL157-1</f>
        <v>-0.18537151702786381</v>
      </c>
      <c r="CQ227" s="1513">
        <f>'Income Statement'!CQ157/2427-1</f>
        <v>-0.13102595797280592</v>
      </c>
      <c r="CR227" s="1513">
        <f>'Income Statement'!CR157/2458-1</f>
        <v>-0.14849471114727419</v>
      </c>
      <c r="CS227" s="1861">
        <f>'Income Statement'!CS157/'Income Statement'!CO157-1</f>
        <v>-0.15455904334828097</v>
      </c>
      <c r="CT227" s="1550">
        <f>'Income Statement'!CT157/'Income Statement'!CP157-1</f>
        <v>-6.5558194774346767E-2</v>
      </c>
      <c r="CU227" s="1550">
        <f>'Income Statement'!CU157/'Income Statement'!CQ157-1</f>
        <v>-6.2114746325272696E-2</v>
      </c>
      <c r="CV227" s="1550">
        <f>'Income Statement'!CV157/'Income Statement'!CR157-1</f>
        <v>-8.1223124701385041E-3</v>
      </c>
      <c r="CW227" s="1861">
        <f>'Income Statement'!CW157/'Income Statement'!CS157-1</f>
        <v>7.0014144271570045E-2</v>
      </c>
      <c r="CX227" s="1353">
        <f>'Income Statement'!CX157/'Income Statement'!CT157-1</f>
        <v>-3.558718861209953E-3</v>
      </c>
      <c r="CY227" s="1353">
        <f>'Income Statement'!CY157/'Income Statement'!CU157-1</f>
        <v>5.409504550050559E-2</v>
      </c>
      <c r="CZ227" s="1550">
        <f>'Income Statement'!CZ157/'Income Statement'!CV157-1</f>
        <v>1.6859344894027073E-2</v>
      </c>
      <c r="DA227" s="1861">
        <f>'Income Statement'!DA157/'Income Statement'!CW157-1</f>
        <v>-2.5776602775941848E-2</v>
      </c>
      <c r="DB227" s="1353">
        <f>'Income Statement'!DB157/'Income Statement'!CX157-1</f>
        <v>1.0204081632652073E-3</v>
      </c>
      <c r="DC227" s="1550">
        <f>'Income Statement'!DC157/'Income Statement'!CY157-1</f>
        <v>-1.1031175059951992E-2</v>
      </c>
      <c r="DD227" s="1353">
        <f>'Income Statement'!DD157/'Income Statement'!CZ157-1</f>
        <v>4.3581241117953473E-2</v>
      </c>
      <c r="DE227" s="1861">
        <f>'Income Statement'!DE157/'Income Statement'!DA157-1</f>
        <v>2.7815468113975506E-2</v>
      </c>
      <c r="DF227" s="1353">
        <f>'Income Statement'!DF157/'Income Statement'!DB157-1</f>
        <v>3.0581039755351647E-2</v>
      </c>
      <c r="DG227" s="1353">
        <f>'Income Statement'!DG157/'Income Statement'!DC157-1</f>
        <v>4.4131910766246341E-2</v>
      </c>
      <c r="DH227" s="1353">
        <f>'Income Statement'!DH157/'Income Statement'!DD157-1</f>
        <v>3.4952337721289251E-2</v>
      </c>
      <c r="DI227" s="1861">
        <f>'Income Statement'!DI157/'Income Statement'!DE157-1</f>
        <v>0.12904290429042908</v>
      </c>
      <c r="DJ227" s="2710">
        <f>'Income Statement'!DJ157/'Income Statement'!DF157-1</f>
        <v>1.1502288677309735E-2</v>
      </c>
      <c r="DK227" s="1353">
        <f>'Income Statement'!DK157/'Income Statement'!DG157-1</f>
        <v>-2.8830104507315824E-4</v>
      </c>
      <c r="DL227" s="1353">
        <f>'Income Statement'!DL157/'Income Statement'!DH157-1</f>
        <v>4.8087311425453194E-3</v>
      </c>
      <c r="DM227" s="1861">
        <f>'Income Statement'!DM157/'Income Statement'!DI157-1</f>
        <v>-7.6240343662244969E-3</v>
      </c>
      <c r="DN227" s="578"/>
      <c r="DO227" s="572"/>
      <c r="DP227" s="219"/>
      <c r="DQ227" s="864" t="s">
        <v>483</v>
      </c>
      <c r="DR227" s="864" t="s">
        <v>483</v>
      </c>
      <c r="DS227" s="864" t="s">
        <v>483</v>
      </c>
      <c r="DT227" s="864" t="s">
        <v>483</v>
      </c>
      <c r="DU227" s="864" t="s">
        <v>483</v>
      </c>
      <c r="DV227" s="864" t="s">
        <v>483</v>
      </c>
      <c r="DW227" s="864" t="s">
        <v>483</v>
      </c>
      <c r="DX227" s="864" t="s">
        <v>483</v>
      </c>
      <c r="DY227" s="864" t="s">
        <v>483</v>
      </c>
      <c r="DZ227" s="864" t="s">
        <v>483</v>
      </c>
      <c r="EA227" s="864" t="s">
        <v>483</v>
      </c>
      <c r="EB227" s="864" t="s">
        <v>483</v>
      </c>
      <c r="EC227" s="864" t="s">
        <v>483</v>
      </c>
      <c r="ED227" s="864" t="s">
        <v>483</v>
      </c>
      <c r="EE227" s="864" t="s">
        <v>483</v>
      </c>
      <c r="EF227" s="864" t="s">
        <v>483</v>
      </c>
      <c r="EG227" s="864" t="s">
        <v>483</v>
      </c>
      <c r="EH227" s="864" t="s">
        <v>483</v>
      </c>
      <c r="EI227" s="864" t="s">
        <v>483</v>
      </c>
      <c r="EJ227" s="208">
        <f>'Income Statement'!EJ157/'Income Statement'!EI157-1</f>
        <v>0.18971358176778574</v>
      </c>
      <c r="EK227" s="208">
        <f>'Income Statement'!EK157/'Income Statement'!EJ157-1</f>
        <v>0.13499870566916905</v>
      </c>
      <c r="EL227" s="208">
        <f>'Income Statement'!EL157/'Income Statement'!EK157-1</f>
        <v>8.8607594936708889E-2</v>
      </c>
      <c r="EM227" s="208">
        <f>'Income Statement'!EM157/'Income Statement'!EL157-1</f>
        <v>0.15210559396605916</v>
      </c>
      <c r="EN227" s="208">
        <f>'Income Statement'!EN157/'Income Statement'!EM157-1</f>
        <v>0.10565557374068013</v>
      </c>
      <c r="EO227" s="208">
        <f>'Income Statement'!EO157/'Income Statement'!EN157-1</f>
        <v>4.1200657894736814E-2</v>
      </c>
      <c r="EP227" s="208">
        <f>'Income Statement'!EP157/'Income Statement'!EO157-1</f>
        <v>-7.8982702788055192E-5</v>
      </c>
      <c r="EQ227" s="208">
        <f>'Income Statement'!EQ157/'Income Statement'!EN157-1</f>
        <v>3.0016447368421018E-2</v>
      </c>
      <c r="ER227" s="208">
        <f>'Income Statement'!ER157/'Income Statement'!EQ157-1</f>
        <v>-9.2614770459081841E-3</v>
      </c>
      <c r="ES227" s="208">
        <f>'Income Statement'!ES157/'Income Statement'!ER157-1</f>
        <v>-4.5934402449834821E-2</v>
      </c>
      <c r="ET227" s="1571">
        <f>'Income Statement'!ET157/10827-1</f>
        <v>-3.7775930544010294E-2</v>
      </c>
      <c r="EU227" s="208">
        <f>'Income Statement'!EU157/'Income Statement'!ES157-1</f>
        <v>-0.22839766872202039</v>
      </c>
      <c r="EV227" s="208">
        <f>'Income Statement'!EV157/'Income Statement'!EU157-1</f>
        <v>-9.6332785987958136E-3</v>
      </c>
      <c r="EW227" s="208">
        <f>'Income Statement'!EW157/'Income Statement'!EV157-1</f>
        <v>6.3004310821266341E-3</v>
      </c>
      <c r="EX227" s="208">
        <f>'Income Statement'!EX157/'Income Statement'!EW157-1</f>
        <v>1.6805799648506259E-2</v>
      </c>
      <c r="EY227" s="208">
        <f>'Income Statement'!EY157/'Income Statement'!EX157-1</f>
        <v>6.6868315869072159E-2</v>
      </c>
      <c r="EZ227" s="1739">
        <f>'Income Statement'!EZ157/'Income Statement'!EY157-1</f>
        <v>7.6134072434452804E-4</v>
      </c>
      <c r="FA227" s="208">
        <f>'Income Statement'!FA157/'Income Statement'!EZ157-1</f>
        <v>7.7162736139531063E-3</v>
      </c>
      <c r="FB227" s="208">
        <f>'Income Statement'!FB157/'Income Statement'!FA157-1</f>
        <v>1.1123861061090867E-2</v>
      </c>
      <c r="FC227" s="208">
        <f>'Income Statement'!FC157/'Income Statement'!FB157-1</f>
        <v>6.7372940096388501E-3</v>
      </c>
      <c r="FD227" s="208">
        <f>'Income Statement'!FD157/'Income Statement'!FC157-1</f>
        <v>1.070842440207409E-2</v>
      </c>
      <c r="FE227" s="208">
        <f>'Income Statement'!FE157/'Income Statement'!FD157-1</f>
        <v>1.1034152580201351E-2</v>
      </c>
      <c r="FF227" s="208">
        <f>'Income Statement'!FF157/'Income Statement'!FE157-1</f>
        <v>1.1369046405985017E-2</v>
      </c>
      <c r="FG227" s="208">
        <f>'Income Statement'!FG157/'Income Statement'!FF157-1</f>
        <v>1.1713115754806047E-2</v>
      </c>
      <c r="FH227" s="208">
        <f>'Income Statement'!FH157/'Income Statement'!FG157-1</f>
        <v>1.206635192416794E-2</v>
      </c>
      <c r="FI227" s="1157"/>
      <c r="FJ227"/>
      <c r="FK227"/>
      <c r="FL227"/>
      <c r="FM227"/>
      <c r="FN227"/>
      <c r="FO227"/>
      <c r="FS227" s="114"/>
      <c r="FT227" s="114"/>
      <c r="FV227" s="197"/>
      <c r="FW227" s="197"/>
      <c r="FX227" s="197"/>
    </row>
    <row r="228" spans="1:260" s="4" customFormat="1" hidden="1" outlineLevel="1" x14ac:dyDescent="0.2">
      <c r="A228" s="287"/>
      <c r="B228" s="213"/>
      <c r="C228" s="213"/>
      <c r="D228" s="213"/>
      <c r="E228" s="490"/>
      <c r="F228" s="213"/>
      <c r="G228" s="213"/>
      <c r="H228" s="213"/>
      <c r="I228" s="490"/>
      <c r="J228" s="213"/>
      <c r="K228" s="213"/>
      <c r="L228" s="213"/>
      <c r="M228" s="490"/>
      <c r="N228" s="213"/>
      <c r="O228" s="213"/>
      <c r="P228" s="213"/>
      <c r="Q228" s="490"/>
      <c r="R228" s="213"/>
      <c r="S228" s="213"/>
      <c r="T228" s="213"/>
      <c r="U228" s="490"/>
      <c r="V228" s="213"/>
      <c r="W228" s="213"/>
      <c r="X228" s="213"/>
      <c r="Y228" s="490"/>
      <c r="Z228" s="213"/>
      <c r="AA228" s="213"/>
      <c r="AB228" s="213"/>
      <c r="AC228" s="490"/>
      <c r="AD228" s="213"/>
      <c r="AE228" s="213"/>
      <c r="AF228" s="213"/>
      <c r="AG228" s="490"/>
      <c r="AH228" s="213"/>
      <c r="AI228" s="213"/>
      <c r="AJ228" s="213"/>
      <c r="AK228" s="490"/>
      <c r="AL228" s="213"/>
      <c r="AM228" s="213"/>
      <c r="AN228" s="213"/>
      <c r="AO228" s="490"/>
      <c r="AP228" s="213"/>
      <c r="AQ228" s="213"/>
      <c r="AR228" s="213"/>
      <c r="AS228" s="490"/>
      <c r="AT228" s="213"/>
      <c r="AU228" s="213"/>
      <c r="AV228" s="213"/>
      <c r="AW228" s="490"/>
      <c r="AX228" s="213"/>
      <c r="AY228" s="213"/>
      <c r="AZ228" s="213"/>
      <c r="BA228" s="490"/>
      <c r="BB228" s="77"/>
      <c r="BC228" s="77"/>
      <c r="BD228" s="77"/>
      <c r="BE228" s="487"/>
      <c r="BF228" s="77"/>
      <c r="BG228" s="77"/>
      <c r="BH228" s="77"/>
      <c r="BI228" s="487"/>
      <c r="BJ228" s="1819"/>
      <c r="BK228" s="1862"/>
      <c r="BL228" s="1862"/>
      <c r="BM228" s="1416"/>
      <c r="BN228" s="1819"/>
      <c r="BO228" s="1862"/>
      <c r="BP228" s="1862"/>
      <c r="BQ228" s="1416"/>
      <c r="BR228" s="1819"/>
      <c r="BS228" s="1862"/>
      <c r="BT228" s="1862"/>
      <c r="BU228" s="1416"/>
      <c r="BV228" s="1819"/>
      <c r="BW228" s="1862"/>
      <c r="BX228" s="1862"/>
      <c r="BY228" s="1416"/>
      <c r="BZ228" s="1819"/>
      <c r="CA228" s="1862"/>
      <c r="CB228" s="1862"/>
      <c r="CC228" s="1416"/>
      <c r="CD228" s="1819"/>
      <c r="CE228" s="1862"/>
      <c r="CF228" s="1862"/>
      <c r="CG228" s="1416"/>
      <c r="CH228" s="1819"/>
      <c r="CI228" s="1862"/>
      <c r="CJ228" s="1862"/>
      <c r="CK228" s="1416"/>
      <c r="CL228" s="1819"/>
      <c r="CM228" s="1862"/>
      <c r="CN228" s="1862"/>
      <c r="CO228" s="1416"/>
      <c r="CP228" s="1819"/>
      <c r="CQ228" s="1862"/>
      <c r="CR228" s="1862"/>
      <c r="CS228" s="1416"/>
      <c r="CT228" s="1042"/>
      <c r="CU228" s="1042"/>
      <c r="CV228" s="1042"/>
      <c r="CW228" s="1416"/>
      <c r="CX228" s="75"/>
      <c r="CY228" s="75"/>
      <c r="CZ228" s="1042"/>
      <c r="DA228" s="1416"/>
      <c r="DB228" s="75"/>
      <c r="DC228" s="1042"/>
      <c r="DD228" s="75"/>
      <c r="DE228" s="1416"/>
      <c r="DF228" s="75"/>
      <c r="DG228" s="75"/>
      <c r="DH228" s="75"/>
      <c r="DI228" s="1416"/>
      <c r="DJ228" s="2709"/>
      <c r="DK228" s="75"/>
      <c r="DL228" s="75"/>
      <c r="DM228" s="1416"/>
      <c r="DN228" s="580"/>
      <c r="DO228" s="487"/>
      <c r="DP228" s="219"/>
      <c r="DQ228" s="213"/>
      <c r="DR228" s="213"/>
      <c r="DS228" s="213"/>
      <c r="DT228" s="213"/>
      <c r="DU228" s="213"/>
      <c r="DV228" s="213"/>
      <c r="DW228" s="213"/>
      <c r="DX228" s="213"/>
      <c r="DY228" s="213"/>
      <c r="DZ228" s="213"/>
      <c r="EA228" s="213"/>
      <c r="EB228" s="213"/>
      <c r="EC228" s="213"/>
      <c r="ED228" s="213"/>
      <c r="EE228" s="213"/>
      <c r="EF228" s="213"/>
      <c r="EG228" s="213"/>
      <c r="EH228" s="213"/>
      <c r="EI228" s="213"/>
      <c r="EJ228" s="77"/>
      <c r="EK228" s="77"/>
      <c r="EL228" s="77"/>
      <c r="EM228" s="77"/>
      <c r="EN228" s="77"/>
      <c r="EO228" s="77"/>
      <c r="EP228" s="77"/>
      <c r="EQ228" s="77"/>
      <c r="ER228" s="77"/>
      <c r="ES228" s="77"/>
      <c r="ET228" s="255"/>
      <c r="EU228" s="77"/>
      <c r="EV228" s="77"/>
      <c r="EW228" s="77"/>
      <c r="EX228" s="77"/>
      <c r="EY228" s="77"/>
      <c r="EZ228" s="1680"/>
      <c r="FA228" s="77"/>
      <c r="FB228" s="77"/>
      <c r="FC228" s="77"/>
      <c r="FD228" s="77"/>
      <c r="FE228" s="77"/>
      <c r="FF228" s="77"/>
      <c r="FG228" s="77"/>
      <c r="FH228" s="77"/>
      <c r="FI228" s="674"/>
      <c r="FJ228"/>
      <c r="FK228"/>
      <c r="FL228"/>
      <c r="FM228"/>
      <c r="FN228"/>
      <c r="FO228"/>
      <c r="FS228" s="113"/>
      <c r="FT228" s="113"/>
      <c r="FU228"/>
      <c r="FV228" s="70"/>
      <c r="FW228" s="70"/>
      <c r="FX228" s="70"/>
      <c r="FY228"/>
      <c r="FZ228"/>
      <c r="GA228"/>
      <c r="GB228"/>
      <c r="GC228"/>
      <c r="GD228"/>
      <c r="GE228"/>
      <c r="GF228"/>
      <c r="GG228"/>
      <c r="GH228"/>
      <c r="GI228"/>
      <c r="GJ228"/>
      <c r="GK228"/>
      <c r="GL228"/>
      <c r="GM228"/>
      <c r="GN228"/>
      <c r="GO228"/>
      <c r="GP228"/>
      <c r="GQ228"/>
      <c r="GR228"/>
      <c r="GS228"/>
      <c r="GT228"/>
      <c r="GU228"/>
      <c r="GV228"/>
      <c r="GW228"/>
      <c r="GX228"/>
      <c r="GY228"/>
      <c r="GZ228"/>
      <c r="HA228"/>
      <c r="HB228"/>
      <c r="HC228"/>
      <c r="HD228"/>
      <c r="HE228"/>
      <c r="HF228"/>
      <c r="HG228"/>
      <c r="HH228"/>
      <c r="HI228"/>
      <c r="HJ228"/>
      <c r="HK228"/>
      <c r="HL228"/>
      <c r="HM228"/>
      <c r="HN228"/>
      <c r="HO228"/>
      <c r="HP228"/>
      <c r="HQ228"/>
      <c r="HR228"/>
      <c r="HS228"/>
      <c r="HT228"/>
      <c r="HU228"/>
      <c r="HV228"/>
      <c r="HW228"/>
      <c r="HX228"/>
      <c r="HY228"/>
      <c r="HZ228"/>
      <c r="IA228"/>
      <c r="IB228"/>
      <c r="IC228"/>
      <c r="ID228"/>
      <c r="IE228"/>
      <c r="IF228"/>
      <c r="IG228"/>
      <c r="IH228"/>
      <c r="II228"/>
      <c r="IJ228"/>
      <c r="IK228"/>
      <c r="IL228"/>
      <c r="IM228"/>
      <c r="IN228"/>
      <c r="IO228"/>
      <c r="IP228"/>
      <c r="IQ228"/>
      <c r="IR228"/>
      <c r="IS228"/>
      <c r="IT228"/>
      <c r="IU228"/>
      <c r="IV228"/>
      <c r="IW228"/>
      <c r="IX228"/>
      <c r="IY228"/>
      <c r="IZ228"/>
    </row>
    <row r="229" spans="1:260" s="4" customFormat="1" hidden="1" outlineLevel="1" x14ac:dyDescent="0.2">
      <c r="A229" s="287" t="s">
        <v>354</v>
      </c>
      <c r="B229" s="1269" t="s">
        <v>483</v>
      </c>
      <c r="C229" s="1269" t="s">
        <v>483</v>
      </c>
      <c r="D229" s="1269" t="s">
        <v>483</v>
      </c>
      <c r="E229" s="556" t="s">
        <v>483</v>
      </c>
      <c r="F229" s="1269" t="s">
        <v>483</v>
      </c>
      <c r="G229" s="1269" t="s">
        <v>483</v>
      </c>
      <c r="H229" s="1269" t="s">
        <v>483</v>
      </c>
      <c r="I229" s="556" t="s">
        <v>483</v>
      </c>
      <c r="J229" s="1269" t="s">
        <v>483</v>
      </c>
      <c r="K229" s="1269" t="s">
        <v>483</v>
      </c>
      <c r="L229" s="1269" t="s">
        <v>483</v>
      </c>
      <c r="M229" s="556" t="s">
        <v>483</v>
      </c>
      <c r="N229" s="1269" t="s">
        <v>483</v>
      </c>
      <c r="O229" s="1269" t="s">
        <v>483</v>
      </c>
      <c r="P229" s="1269" t="s">
        <v>483</v>
      </c>
      <c r="Q229" s="556" t="s">
        <v>483</v>
      </c>
      <c r="R229" s="1269" t="s">
        <v>483</v>
      </c>
      <c r="S229" s="1269" t="s">
        <v>483</v>
      </c>
      <c r="T229" s="1269" t="s">
        <v>483</v>
      </c>
      <c r="U229" s="556" t="s">
        <v>483</v>
      </c>
      <c r="V229" s="1269" t="s">
        <v>483</v>
      </c>
      <c r="W229" s="1269" t="s">
        <v>483</v>
      </c>
      <c r="X229" s="1269" t="s">
        <v>483</v>
      </c>
      <c r="Y229" s="556" t="s">
        <v>483</v>
      </c>
      <c r="Z229" s="1269" t="s">
        <v>483</v>
      </c>
      <c r="AA229" s="1269" t="s">
        <v>483</v>
      </c>
      <c r="AB229" s="1269" t="s">
        <v>483</v>
      </c>
      <c r="AC229" s="556" t="s">
        <v>483</v>
      </c>
      <c r="AD229" s="1269" t="s">
        <v>483</v>
      </c>
      <c r="AE229" s="1269" t="s">
        <v>483</v>
      </c>
      <c r="AF229" s="1269" t="s">
        <v>483</v>
      </c>
      <c r="AG229" s="556" t="s">
        <v>483</v>
      </c>
      <c r="AH229" s="1269" t="s">
        <v>483</v>
      </c>
      <c r="AI229" s="1269" t="s">
        <v>483</v>
      </c>
      <c r="AJ229" s="1269" t="s">
        <v>483</v>
      </c>
      <c r="AK229" s="556" t="s">
        <v>483</v>
      </c>
      <c r="AL229" s="1269" t="s">
        <v>483</v>
      </c>
      <c r="AM229" s="1269" t="s">
        <v>483</v>
      </c>
      <c r="AN229" s="1269" t="s">
        <v>483</v>
      </c>
      <c r="AO229" s="556" t="s">
        <v>483</v>
      </c>
      <c r="AP229" s="1269" t="s">
        <v>483</v>
      </c>
      <c r="AQ229" s="1269" t="s">
        <v>483</v>
      </c>
      <c r="AR229" s="1269" t="s">
        <v>483</v>
      </c>
      <c r="AS229" s="556" t="s">
        <v>483</v>
      </c>
      <c r="AT229" s="1269" t="s">
        <v>483</v>
      </c>
      <c r="AU229" s="1269" t="s">
        <v>483</v>
      </c>
      <c r="AV229" s="1269" t="s">
        <v>483</v>
      </c>
      <c r="AW229" s="556" t="s">
        <v>483</v>
      </c>
      <c r="AX229" s="1269" t="s">
        <v>483</v>
      </c>
      <c r="AY229" s="1269" t="s">
        <v>483</v>
      </c>
      <c r="AZ229" s="1269" t="s">
        <v>483</v>
      </c>
      <c r="BA229" s="556" t="s">
        <v>483</v>
      </c>
      <c r="BB229" s="1269">
        <f t="shared" ref="BB229:BY229" si="614">BB160/AX160-1</f>
        <v>6.4966289058489446E-2</v>
      </c>
      <c r="BC229" s="1269">
        <f t="shared" si="614"/>
        <v>5.2700356214723243E-2</v>
      </c>
      <c r="BD229" s="1269">
        <f t="shared" si="614"/>
        <v>9.4093423242164853E-2</v>
      </c>
      <c r="BE229" s="556">
        <f t="shared" si="614"/>
        <v>0.12782689297079397</v>
      </c>
      <c r="BF229" s="1269">
        <f t="shared" si="614"/>
        <v>0.10786942933581845</v>
      </c>
      <c r="BG229" s="1269">
        <f t="shared" si="614"/>
        <v>7.7218965916789672E-2</v>
      </c>
      <c r="BH229" s="1269">
        <f t="shared" si="614"/>
        <v>7.7340930624756554E-2</v>
      </c>
      <c r="BI229" s="556">
        <f t="shared" si="614"/>
        <v>-3.0795878751679329E-3</v>
      </c>
      <c r="BJ229" s="1212">
        <f t="shared" si="614"/>
        <v>0.11968129466247612</v>
      </c>
      <c r="BK229" s="1270">
        <f t="shared" si="614"/>
        <v>0.17203797183901437</v>
      </c>
      <c r="BL229" s="1270">
        <f t="shared" si="614"/>
        <v>3.7919577998423382E-2</v>
      </c>
      <c r="BM229" s="490">
        <f t="shared" si="614"/>
        <v>5.0454917458213844E-2</v>
      </c>
      <c r="BN229" s="1212">
        <f t="shared" si="614"/>
        <v>1.0888030938044135E-2</v>
      </c>
      <c r="BO229" s="1270">
        <f t="shared" si="614"/>
        <v>-8.7542292233192542E-3</v>
      </c>
      <c r="BP229" s="1270">
        <f t="shared" si="614"/>
        <v>5.0944552676012833E-2</v>
      </c>
      <c r="BQ229" s="490">
        <f t="shared" si="614"/>
        <v>6.5913119657242225E-2</v>
      </c>
      <c r="BR229" s="1212">
        <f t="shared" si="614"/>
        <v>0.11594566888774982</v>
      </c>
      <c r="BS229" s="1270">
        <f t="shared" si="614"/>
        <v>4.2513592885701668E-2</v>
      </c>
      <c r="BT229" s="1270">
        <f t="shared" si="614"/>
        <v>2.1216849712040187E-2</v>
      </c>
      <c r="BU229" s="490">
        <f t="shared" si="614"/>
        <v>3.8475038980690934E-2</v>
      </c>
      <c r="BV229" s="1212">
        <f t="shared" si="614"/>
        <v>-4.4477794976139906E-3</v>
      </c>
      <c r="BW229" s="1270">
        <f t="shared" si="614"/>
        <v>1.5852185049258116E-2</v>
      </c>
      <c r="BX229" s="1270">
        <f t="shared" si="614"/>
        <v>1.1250841641146092E-2</v>
      </c>
      <c r="BY229" s="490">
        <f t="shared" si="614"/>
        <v>-4.3972033910095742E-3</v>
      </c>
      <c r="BZ229" s="1212">
        <f>BZ160/BN160-1</f>
        <v>0.11096873398257312</v>
      </c>
      <c r="CA229" s="1270">
        <f>CA160/BO160-1</f>
        <v>3.7305247266679942E-2</v>
      </c>
      <c r="CB229" s="1270">
        <f>CB160/BP160-1</f>
        <v>-2.516277785356158E-2</v>
      </c>
      <c r="CC229" s="490">
        <f>CC160/BQ160-1</f>
        <v>4.5549352176765145E-2</v>
      </c>
      <c r="CD229" s="1212">
        <f t="shared" ref="CD229:CK229" si="615">CD160/BZ160-1</f>
        <v>2.4221453287197159E-2</v>
      </c>
      <c r="CE229" s="1270">
        <f t="shared" si="615"/>
        <v>1.5918135304149983E-2</v>
      </c>
      <c r="CF229" s="1270">
        <f t="shared" si="615"/>
        <v>1.4789533560864543E-2</v>
      </c>
      <c r="CG229" s="490">
        <f t="shared" si="615"/>
        <v>-2.9170931422722646E-2</v>
      </c>
      <c r="CH229" s="1212">
        <f t="shared" si="615"/>
        <v>1.9707207207207311E-2</v>
      </c>
      <c r="CI229" s="1270">
        <f t="shared" si="615"/>
        <v>-3.6373810856183519E-2</v>
      </c>
      <c r="CJ229" s="1270">
        <f t="shared" si="615"/>
        <v>1.1771300448430555E-2</v>
      </c>
      <c r="CK229" s="490">
        <f t="shared" si="615"/>
        <v>8.9615181866104399E-2</v>
      </c>
      <c r="CL229" s="1212">
        <f>CL160/CD160-1</f>
        <v>1.2387387387387427E-2</v>
      </c>
      <c r="CM229" s="1270">
        <f>CM160/CE160-1</f>
        <v>-3.693340794627864E-2</v>
      </c>
      <c r="CN229" s="1270">
        <f>CN160/CF160-1</f>
        <v>1.1771300448430555E-2</v>
      </c>
      <c r="CO229" s="490">
        <f>CO160/CG160-1</f>
        <v>8.9615181866104399E-2</v>
      </c>
      <c r="CP229" s="1212">
        <f t="shared" ref="CP229:DM229" si="616">CP160/CL160-1</f>
        <v>-9.2324805339265903E-2</v>
      </c>
      <c r="CQ229" s="1270">
        <f t="shared" si="616"/>
        <v>-3.7768739105171423E-2</v>
      </c>
      <c r="CR229" s="1270">
        <f t="shared" si="616"/>
        <v>-6.1495844875346206E-2</v>
      </c>
      <c r="CS229" s="490">
        <f t="shared" si="616"/>
        <v>-7.8374455732946324E-2</v>
      </c>
      <c r="CT229" s="213">
        <f t="shared" si="616"/>
        <v>-6.4338235294117641E-2</v>
      </c>
      <c r="CU229" s="213">
        <f t="shared" si="616"/>
        <v>-8.8768115942028936E-2</v>
      </c>
      <c r="CV229" s="213">
        <f t="shared" si="616"/>
        <v>-4.0141676505312862E-2</v>
      </c>
      <c r="CW229" s="490">
        <f t="shared" si="616"/>
        <v>2.1522309711285992E-2</v>
      </c>
      <c r="CX229" s="1270">
        <f t="shared" si="616"/>
        <v>3.012442698100859E-2</v>
      </c>
      <c r="CY229" s="1270">
        <f t="shared" si="616"/>
        <v>8.2836315440689257E-2</v>
      </c>
      <c r="CZ229" s="213">
        <f t="shared" si="616"/>
        <v>4.674046740467408E-2</v>
      </c>
      <c r="DA229" s="490">
        <f t="shared" si="616"/>
        <v>1.4902363823227072E-2</v>
      </c>
      <c r="DB229" s="1212">
        <f t="shared" si="616"/>
        <v>-5.0858232676413984E-3</v>
      </c>
      <c r="DC229" s="1270">
        <f t="shared" si="616"/>
        <v>-1.5911872705018371E-2</v>
      </c>
      <c r="DD229" s="1270">
        <f t="shared" si="616"/>
        <v>1.0575793184488758E-2</v>
      </c>
      <c r="DE229" s="1949">
        <f t="shared" si="616"/>
        <v>-1.7721518987341756E-2</v>
      </c>
      <c r="DF229" s="1270">
        <f t="shared" si="616"/>
        <v>5.1118210862619584E-3</v>
      </c>
      <c r="DG229" s="1270">
        <f t="shared" si="616"/>
        <v>3.7935323383084585E-2</v>
      </c>
      <c r="DH229" s="1270">
        <f t="shared" si="616"/>
        <v>1.8023255813953476E-2</v>
      </c>
      <c r="DI229" s="1949">
        <f t="shared" si="616"/>
        <v>0.14226804123711334</v>
      </c>
      <c r="DJ229" s="2711">
        <f t="shared" si="616"/>
        <v>2.2715519522279681E-2</v>
      </c>
      <c r="DK229" s="1270">
        <f t="shared" si="616"/>
        <v>1.9500443287636671E-3</v>
      </c>
      <c r="DL229" s="1270">
        <f t="shared" si="616"/>
        <v>2.2476760922345296E-3</v>
      </c>
      <c r="DM229" s="490">
        <f t="shared" si="616"/>
        <v>-1.560463352850161E-2</v>
      </c>
      <c r="DN229" s="1212"/>
      <c r="DO229" s="518"/>
      <c r="DP229" s="161"/>
      <c r="DQ229" s="1269" t="s">
        <v>483</v>
      </c>
      <c r="DR229" s="1269" t="s">
        <v>483</v>
      </c>
      <c r="DS229" s="1269" t="s">
        <v>483</v>
      </c>
      <c r="DT229" s="1269" t="s">
        <v>483</v>
      </c>
      <c r="DU229" s="1269" t="s">
        <v>483</v>
      </c>
      <c r="DV229" s="1269" t="s">
        <v>483</v>
      </c>
      <c r="DW229" s="1269" t="s">
        <v>483</v>
      </c>
      <c r="DX229" s="1269" t="s">
        <v>483</v>
      </c>
      <c r="DY229" s="1269" t="s">
        <v>483</v>
      </c>
      <c r="DZ229" s="1269" t="s">
        <v>483</v>
      </c>
      <c r="EA229" s="1269" t="s">
        <v>483</v>
      </c>
      <c r="EB229" s="1269" t="s">
        <v>483</v>
      </c>
      <c r="EC229" s="1269" t="s">
        <v>483</v>
      </c>
      <c r="ED229" s="1269" t="s">
        <v>483</v>
      </c>
      <c r="EE229" s="1269" t="s">
        <v>483</v>
      </c>
      <c r="EF229" s="1269" t="s">
        <v>483</v>
      </c>
      <c r="EG229" s="1269" t="s">
        <v>483</v>
      </c>
      <c r="EH229" s="1269" t="s">
        <v>483</v>
      </c>
      <c r="EI229" s="1269" t="s">
        <v>483</v>
      </c>
      <c r="EJ229" s="1269">
        <f t="shared" ref="EJ229:EP229" si="617">EJ160/EI160-1</f>
        <v>0.1957306865992301</v>
      </c>
      <c r="EK229" s="1269">
        <f t="shared" si="617"/>
        <v>8.7122728547972095E-2</v>
      </c>
      <c r="EL229" s="1269">
        <f t="shared" si="617"/>
        <v>6.0673840061978179E-2</v>
      </c>
      <c r="EM229" s="1269">
        <f t="shared" si="617"/>
        <v>9.1390224076501658E-2</v>
      </c>
      <c r="EN229" s="1269">
        <f t="shared" si="617"/>
        <v>3.0461127481145933E-2</v>
      </c>
      <c r="EO229" s="1269">
        <f t="shared" si="617"/>
        <v>5.24228465798946E-2</v>
      </c>
      <c r="EP229" s="1269">
        <f t="shared" si="617"/>
        <v>4.4518534578694702E-3</v>
      </c>
      <c r="EQ229" s="1269">
        <f>EQ160/EN160-1</f>
        <v>3.986380309872195E-2</v>
      </c>
      <c r="ER229" s="1269">
        <f>ER160/EQ160-1</f>
        <v>5.4129077029840822E-3</v>
      </c>
      <c r="ES229" s="1269">
        <f>ES160/ER160-1</f>
        <v>2.2225289895085654E-2</v>
      </c>
      <c r="ET229" s="1269">
        <f>ET160/ER160-1</f>
        <v>2.0292655991165143E-2</v>
      </c>
      <c r="EU229" s="1269">
        <f>EU160/ES160-1</f>
        <v>-6.9952734638757619E-2</v>
      </c>
      <c r="EV229" s="1269">
        <f t="shared" ref="EV229:FH229" si="618">EV160/EU160-1</f>
        <v>-4.0511107884419917E-2</v>
      </c>
      <c r="EW229" s="1269">
        <f t="shared" si="618"/>
        <v>4.1767554479418934E-2</v>
      </c>
      <c r="EX229" s="213">
        <f t="shared" si="618"/>
        <v>-7.4084834398605581E-3</v>
      </c>
      <c r="EY229" s="213">
        <f t="shared" si="618"/>
        <v>5.502707449143851E-2</v>
      </c>
      <c r="EZ229" s="1747">
        <f t="shared" si="618"/>
        <v>1.1571575990563243E-3</v>
      </c>
      <c r="FA229" s="161">
        <f t="shared" si="618"/>
        <v>3.8436839428823699E-3</v>
      </c>
      <c r="FB229" s="161">
        <f t="shared" si="618"/>
        <v>7.1259727060384304E-3</v>
      </c>
      <c r="FC229" s="161">
        <f t="shared" si="618"/>
        <v>9.3300481179756645E-3</v>
      </c>
      <c r="FD229" s="161">
        <f t="shared" si="618"/>
        <v>1.3669458867071604E-2</v>
      </c>
      <c r="FE229" s="161">
        <f t="shared" si="618"/>
        <v>1.4022872428917088E-2</v>
      </c>
      <c r="FF229" s="161">
        <f t="shared" si="618"/>
        <v>1.4385508835241589E-2</v>
      </c>
      <c r="FG229" s="161">
        <f t="shared" si="618"/>
        <v>1.4757332330006756E-2</v>
      </c>
      <c r="FH229" s="161">
        <f t="shared" si="618"/>
        <v>1.5138286257035283E-2</v>
      </c>
      <c r="FI229" s="674"/>
      <c r="FJ229"/>
      <c r="FK229"/>
      <c r="FL229"/>
      <c r="FM229"/>
      <c r="FN229"/>
      <c r="FO229"/>
      <c r="FS229" s="70"/>
      <c r="FT229" s="70"/>
      <c r="FU229"/>
      <c r="FV229" s="70"/>
      <c r="FW229" s="70"/>
      <c r="FX229" s="70"/>
      <c r="FY229"/>
      <c r="FZ229"/>
      <c r="GA229"/>
      <c r="GB229"/>
      <c r="GC229"/>
      <c r="GD229"/>
      <c r="GE229"/>
      <c r="GF229"/>
      <c r="GG229"/>
      <c r="GH229"/>
      <c r="GI229"/>
      <c r="GJ229"/>
      <c r="GK229"/>
      <c r="GL229"/>
      <c r="GM229"/>
      <c r="GN229"/>
      <c r="GO229"/>
      <c r="GP229"/>
      <c r="GQ229"/>
      <c r="GR229"/>
      <c r="GS229"/>
      <c r="GT229"/>
      <c r="GU229"/>
      <c r="GV229"/>
      <c r="GW229"/>
      <c r="GX229"/>
      <c r="GY229"/>
      <c r="GZ229"/>
      <c r="HA229"/>
      <c r="HB229"/>
      <c r="HC229"/>
      <c r="HD229"/>
      <c r="HE229"/>
      <c r="HF229"/>
      <c r="HG229"/>
      <c r="HH229"/>
      <c r="HI229"/>
      <c r="HJ229"/>
      <c r="HK229"/>
      <c r="HL229"/>
      <c r="HM229"/>
      <c r="HN229"/>
      <c r="HO229"/>
      <c r="HP229"/>
      <c r="HQ229"/>
      <c r="HR229"/>
      <c r="HS229"/>
      <c r="HT229"/>
      <c r="HU229"/>
      <c r="HV229"/>
      <c r="HW229"/>
      <c r="HX229"/>
      <c r="HY229"/>
      <c r="HZ229"/>
      <c r="IA229"/>
      <c r="IB229"/>
      <c r="IC229"/>
      <c r="ID229"/>
      <c r="IE229"/>
      <c r="IF229"/>
      <c r="IG229"/>
      <c r="IH229"/>
      <c r="II229"/>
      <c r="IJ229"/>
      <c r="IK229"/>
      <c r="IL229"/>
      <c r="IM229"/>
      <c r="IN229"/>
      <c r="IO229"/>
      <c r="IP229"/>
      <c r="IQ229"/>
      <c r="IR229"/>
      <c r="IS229"/>
      <c r="IT229"/>
      <c r="IU229"/>
      <c r="IV229"/>
      <c r="IW229"/>
      <c r="IX229"/>
      <c r="IY229"/>
      <c r="IZ229"/>
    </row>
    <row r="230" spans="1:260" s="4" customFormat="1" hidden="1" outlineLevel="1" x14ac:dyDescent="0.2">
      <c r="A230" s="287" t="s">
        <v>24</v>
      </c>
      <c r="B230" s="1269"/>
      <c r="C230" s="1269"/>
      <c r="D230" s="1269"/>
      <c r="E230" s="556"/>
      <c r="F230" s="1269"/>
      <c r="G230" s="1269"/>
      <c r="H230" s="1269"/>
      <c r="I230" s="556"/>
      <c r="J230" s="1269"/>
      <c r="K230" s="1269"/>
      <c r="L230" s="1269"/>
      <c r="M230" s="556"/>
      <c r="N230" s="1269"/>
      <c r="O230" s="1269"/>
      <c r="P230" s="1269"/>
      <c r="Q230" s="556"/>
      <c r="R230" s="1269"/>
      <c r="S230" s="1269"/>
      <c r="T230" s="1269"/>
      <c r="U230" s="556"/>
      <c r="V230" s="1269"/>
      <c r="W230" s="1269"/>
      <c r="X230" s="1269"/>
      <c r="Y230" s="556"/>
      <c r="Z230" s="1269"/>
      <c r="AA230" s="1269"/>
      <c r="AB230" s="1269"/>
      <c r="AC230" s="556"/>
      <c r="AD230" s="1269"/>
      <c r="AE230" s="1269"/>
      <c r="AF230" s="1269"/>
      <c r="AG230" s="556"/>
      <c r="AH230" s="1269"/>
      <c r="AI230" s="1269"/>
      <c r="AJ230" s="1269"/>
      <c r="AK230" s="556"/>
      <c r="AL230" s="1269"/>
      <c r="AM230" s="1269"/>
      <c r="AN230" s="1269"/>
      <c r="AO230" s="556"/>
      <c r="AP230" s="1269"/>
      <c r="AQ230" s="1269"/>
      <c r="AR230" s="1269"/>
      <c r="AS230" s="556"/>
      <c r="AT230" s="1269"/>
      <c r="AU230" s="1269"/>
      <c r="AV230" s="1269"/>
      <c r="AW230" s="556"/>
      <c r="AX230" s="1269"/>
      <c r="AY230" s="1269"/>
      <c r="AZ230" s="1269"/>
      <c r="BA230" s="556"/>
      <c r="BB230" s="1269">
        <f>'Income Statement'!BB161/'Income Statement'!AX161-1</f>
        <v>0.22011448349307816</v>
      </c>
      <c r="BC230" s="1269">
        <f>'Income Statement'!BC161/'Income Statement'!AY161-1</f>
        <v>0.33260876239599613</v>
      </c>
      <c r="BD230" s="1269">
        <f>'Income Statement'!BD161/'Income Statement'!AZ161-1</f>
        <v>0.34636496023300101</v>
      </c>
      <c r="BE230" s="556">
        <f>'Income Statement'!BE161/'Income Statement'!BA161-1</f>
        <v>0.2929832511285011</v>
      </c>
      <c r="BF230" s="1269">
        <f>'Income Statement'!BF161/'Income Statement'!BB161-1</f>
        <v>0.34769516120233468</v>
      </c>
      <c r="BG230" s="1269">
        <f>'Income Statement'!BG161/'Income Statement'!BC161-1</f>
        <v>0.28278239072536437</v>
      </c>
      <c r="BH230" s="1269">
        <f>'Income Statement'!BH161/'Income Statement'!BD161-1</f>
        <v>0.25835608770961116</v>
      </c>
      <c r="BI230" s="556">
        <f>'Income Statement'!BI161/'Income Statement'!BE161-1</f>
        <v>0.23304465037910704</v>
      </c>
      <c r="BJ230" s="1212">
        <f>'Income Statement'!BJ161/'Income Statement'!BF161-1</f>
        <v>0.26296722067954947</v>
      </c>
      <c r="BK230" s="1270">
        <f>'Income Statement'!BK161/'Income Statement'!BG161-1</f>
        <v>0.18999109169803718</v>
      </c>
      <c r="BL230" s="1270">
        <f>'Income Statement'!BL161/'Income Statement'!BH161-1</f>
        <v>1.6178449175964515</v>
      </c>
      <c r="BM230" s="490">
        <f>'Income Statement'!BM161/'Income Statement'!BI161-1</f>
        <v>1.0379332396845089</v>
      </c>
      <c r="BN230" s="1212">
        <f>'Income Statement'!BN161/'Income Statement'!BJ161-1</f>
        <v>1.0774908576941198</v>
      </c>
      <c r="BO230" s="1270">
        <f>'Income Statement'!BO161/'Income Statement'!BK161-1</f>
        <v>1.1379239564844665</v>
      </c>
      <c r="BP230" s="1270">
        <f>'Income Statement'!BP161/'Income Statement'!BL161-1</f>
        <v>-0.12447037867607758</v>
      </c>
      <c r="BQ230" s="490">
        <f>'Income Statement'!BQ161/'Income Statement'!BM161-1</f>
        <v>0.10652387312724287</v>
      </c>
      <c r="BR230" s="1212">
        <f>'Income Statement'!BR161/'Income Statement'!BN161-1</f>
        <v>0.13889540265350209</v>
      </c>
      <c r="BS230" s="1270">
        <f>'Income Statement'!BS161/'Income Statement'!BO161-1</f>
        <v>4.3639341484765559E-2</v>
      </c>
      <c r="BT230" s="1270">
        <f>'Income Statement'!BT161/'Income Statement'!BP161-1</f>
        <v>-8.2111452331560253E-3</v>
      </c>
      <c r="BU230" s="490">
        <f>'Income Statement'!BU161/'Income Statement'!BQ161-1</f>
        <v>-3.1395205095948953E-2</v>
      </c>
      <c r="BV230" s="1212">
        <f>'Income Statement'!BV161/'Income Statement'!BR161-1</f>
        <v>1.5912341919613215E-2</v>
      </c>
      <c r="BW230" s="1270">
        <f>'Income Statement'!BW161/'Income Statement'!BS161-1</f>
        <v>6.4905407160483097E-2</v>
      </c>
      <c r="BX230" s="1270">
        <f>'Income Statement'!BX161/'Income Statement'!BT161-1</f>
        <v>-3.5961711354381976E-3</v>
      </c>
      <c r="BY230" s="490">
        <f>'Income Statement'!BY161/'Income Statement'!BU161-1</f>
        <v>-1.5597688248932262E-2</v>
      </c>
      <c r="BZ230" s="1212">
        <f>'Income Statement'!BZ161/'Income Statement'!BN161-1</f>
        <v>6.9114470842332576E-2</v>
      </c>
      <c r="CA230" s="1270">
        <f>'Income Statement'!CA161/'Income Statement'!BO161-1</f>
        <v>-4.5548244994775944E-2</v>
      </c>
      <c r="CB230" s="1270">
        <f>'Income Statement'!CB161/'Income Statement'!BP161-1</f>
        <v>-0.10047179336552048</v>
      </c>
      <c r="CC230" s="490">
        <f>'Income Statement'!CC161/'Income Statement'!BQ161-1</f>
        <v>-9.3471784915273526E-2</v>
      </c>
      <c r="CD230" s="1212">
        <f>'Income Statement'!CD161/'Income Statement'!BZ161-1</f>
        <v>-1.7316017316017285E-2</v>
      </c>
      <c r="CE230" s="1270">
        <f>'Income Statement'!CE161/'Income Statement'!CA161-1</f>
        <v>5.7692307692307709E-2</v>
      </c>
      <c r="CF230" s="1270">
        <f>'Income Statement'!CF161/'Income Statement'!CB161-1</f>
        <v>2.9154518950438302E-3</v>
      </c>
      <c r="CG230" s="490">
        <f>'Income Statement'!CG161/'Income Statement'!CC161-1</f>
        <v>4.5454545454545414E-2</v>
      </c>
      <c r="CH230" s="1212">
        <f>'Income Statement'!CH161/'Income Statement'!CD161-1</f>
        <v>3.8179148311306976E-2</v>
      </c>
      <c r="CI230" s="1270">
        <f>'Income Statement'!CI161/'Income Statement'!CE161-1</f>
        <v>4.1958041958041203E-3</v>
      </c>
      <c r="CJ230" s="1270">
        <f>'Income Statement'!CJ161/'Income Statement'!CF161-1</f>
        <v>6.5406976744186052E-2</v>
      </c>
      <c r="CK230" s="490">
        <f>'Income Statement'!CK161/'Income Statement'!CG161-1</f>
        <v>1.1508951406649537E-2</v>
      </c>
      <c r="CL230" s="1212">
        <f>'Income Statement'!CL161/2100-1</f>
        <v>-0.81857142857142851</v>
      </c>
      <c r="CM230" s="1270">
        <f>'Income Statement'!CM161/2119-1</f>
        <v>-0.83058046248230299</v>
      </c>
      <c r="CN230" s="1270">
        <f>'Income Statement'!CN161/2119-1</f>
        <v>-0.81736668239735721</v>
      </c>
      <c r="CO230" s="490">
        <f>'Income Statement'!CO161/2337-1</f>
        <v>-0.81814291827128804</v>
      </c>
      <c r="CP230" s="1212">
        <f>'Income Statement'!CP161/'Income Statement'!CL161-1</f>
        <v>-0.29396325459317585</v>
      </c>
      <c r="CQ230" s="1270">
        <f>'Income Statement'!CQ161/2119-1</f>
        <v>-0.87824445493157155</v>
      </c>
      <c r="CR230" s="1270">
        <f>'Income Statement'!CR161/2119-1</f>
        <v>-0.87541293062765457</v>
      </c>
      <c r="CS230" s="490">
        <f>'Income Statement'!CS161/'Income Statement'!CO161-1</f>
        <v>-0.30823529411764705</v>
      </c>
      <c r="CT230" s="213">
        <f>'Income Statement'!CT161/'Income Statement'!CP161-1</f>
        <v>-0.18587360594795543</v>
      </c>
      <c r="CU230" s="213">
        <f>'Income Statement'!CU161/'Income Statement'!CQ161-1</f>
        <v>-0.12015503875968991</v>
      </c>
      <c r="CV230" s="213">
        <f>'Income Statement'!CV161/'Income Statement'!CR161-1</f>
        <v>-0.11363636363636365</v>
      </c>
      <c r="CW230" s="490">
        <f>'Income Statement'!CW161/'Income Statement'!CS161-1</f>
        <v>-0.108843537414966</v>
      </c>
      <c r="CX230" s="1270">
        <f>'Income Statement'!CX161/'Income Statement'!CT161-1</f>
        <v>-0.18264840182648401</v>
      </c>
      <c r="CY230" s="1270">
        <f>'Income Statement'!CY161/'Income Statement'!CU161-1</f>
        <v>-0.23788546255506604</v>
      </c>
      <c r="CZ230" s="213">
        <f>'Income Statement'!CZ161/'Income Statement'!CV161-1</f>
        <v>-0.26923076923076927</v>
      </c>
      <c r="DA230" s="490">
        <f>'Income Statement'!DA161/'Income Statement'!CW161-1</f>
        <v>-0.26717557251908397</v>
      </c>
      <c r="DB230" s="1212">
        <f>'Income Statement'!DB161/'Income Statement'!CX161-1</f>
        <v>-0.12290502793296088</v>
      </c>
      <c r="DC230" s="1270">
        <f>'Income Statement'!DC161/'Income Statement'!CY161-1</f>
        <v>-5.2023121387283267E-2</v>
      </c>
      <c r="DD230" s="1270">
        <f>'Income Statement'!DD161/'Income Statement'!CZ161-1</f>
        <v>-5.8479532163743242E-3</v>
      </c>
      <c r="DE230" s="1949">
        <f>'Income Statement'!DE161/'Income Statement'!DA161-1</f>
        <v>4.1666666666666741E-2</v>
      </c>
      <c r="DF230" s="1270">
        <f>'Income Statement'!DF161/'Income Statement'!DB161-1</f>
        <v>-5.0955414012738842E-2</v>
      </c>
      <c r="DG230" s="1270">
        <f>'Income Statement'!DG161/'Income Statement'!DC161-1</f>
        <v>-1.8292682926829285E-2</v>
      </c>
      <c r="DH230" s="1270">
        <f>'Income Statement'!DH161/'Income Statement'!DD161-1</f>
        <v>6.4705882352941169E-2</v>
      </c>
      <c r="DI230" s="1949">
        <f>'Income Statement'!DI161/'Income Statement'!DE161-1</f>
        <v>0.11499999999999999</v>
      </c>
      <c r="DJ230" s="2711">
        <f>'Income Statement'!DJ161/'Income Statement'!DF161-1</f>
        <v>1.7598821411033416E-3</v>
      </c>
      <c r="DK230" s="1270">
        <f>'Income Statement'!DK161/'Income Statement'!DG161-1</f>
        <v>-1.0608908724445865E-2</v>
      </c>
      <c r="DL230" s="1270">
        <f>'Income Statement'!DL161/'Income Statement'!DH161-1</f>
        <v>-1.005491712707185E-2</v>
      </c>
      <c r="DM230" s="490">
        <f>'Income Statement'!DM161/'Income Statement'!DI161-1</f>
        <v>0.11314080717488784</v>
      </c>
      <c r="DN230" s="1212"/>
      <c r="DO230" s="518"/>
      <c r="DP230" s="161"/>
      <c r="DQ230" s="1269" t="s">
        <v>483</v>
      </c>
      <c r="DR230" s="1269" t="s">
        <v>483</v>
      </c>
      <c r="DS230" s="1269" t="s">
        <v>483</v>
      </c>
      <c r="DT230" s="1269" t="s">
        <v>483</v>
      </c>
      <c r="DU230" s="1269" t="s">
        <v>483</v>
      </c>
      <c r="DV230" s="1269" t="s">
        <v>483</v>
      </c>
      <c r="DW230" s="1269" t="s">
        <v>483</v>
      </c>
      <c r="DX230" s="1269" t="s">
        <v>483</v>
      </c>
      <c r="DY230" s="1269" t="s">
        <v>483</v>
      </c>
      <c r="DZ230" s="1269" t="s">
        <v>483</v>
      </c>
      <c r="EA230" s="1269" t="s">
        <v>483</v>
      </c>
      <c r="EB230" s="1269" t="s">
        <v>483</v>
      </c>
      <c r="EC230" s="1269" t="s">
        <v>483</v>
      </c>
      <c r="ED230" s="1269" t="s">
        <v>483</v>
      </c>
      <c r="EE230" s="1269" t="s">
        <v>483</v>
      </c>
      <c r="EF230" s="1269" t="s">
        <v>483</v>
      </c>
      <c r="EG230" s="1269" t="s">
        <v>483</v>
      </c>
      <c r="EH230" s="1269" t="s">
        <v>483</v>
      </c>
      <c r="EI230" s="1269" t="s">
        <v>483</v>
      </c>
      <c r="EJ230" s="1269">
        <f>'Income Statement'!EJ161/'Income Statement'!EI161-1</f>
        <v>0.26410708176530973</v>
      </c>
      <c r="EK230" s="1269">
        <f>'Income Statement'!EK161/'Income Statement'!EJ161-1</f>
        <v>0.30108782579631566</v>
      </c>
      <c r="EL230" s="1269">
        <f>'Income Statement'!EL161/'Income Statement'!EK161-1</f>
        <v>0.27308996359854398</v>
      </c>
      <c r="EM230" s="1269">
        <f>'Income Statement'!EM161/'Income Statement'!EL161-1</f>
        <v>0.84631328048397547</v>
      </c>
      <c r="EN230" s="1269">
        <f>'Income Statement'!EN161/'Income Statement'!EM161-1</f>
        <v>0.30273089225262018</v>
      </c>
      <c r="EO230" s="1269">
        <f>'Income Statement'!EO161/'Income Statement'!EN161-1</f>
        <v>3.0151741996489623E-2</v>
      </c>
      <c r="EP230" s="1269">
        <f>'Income Statement'!EP161/'Income Statement'!EO161-1</f>
        <v>1.4684233102680189E-2</v>
      </c>
      <c r="EQ230" s="1269">
        <f>'Income Statement'!EQ161/'Income Statement'!EN161-1</f>
        <v>-4.796128534397015E-2</v>
      </c>
      <c r="ER230" s="1269">
        <f>'Income Statement'!ER161/'Income Statement'!EQ161-1</f>
        <v>2.2475918658580119E-2</v>
      </c>
      <c r="ES230" s="1269">
        <f>'Income Statement'!ES161/'Income Statement'!ER161-1</f>
        <v>2.8960223307745947E-2</v>
      </c>
      <c r="ET230" s="1269">
        <f>'Income Statement'!ET161/8675-1</f>
        <v>-0.82109510086455328</v>
      </c>
      <c r="EU230" s="1269">
        <f>'Income Statement'!EU161/'Income Statement'!ES161-1</f>
        <v>-0.63207867073584267</v>
      </c>
      <c r="EV230" s="1269">
        <f>'Income Statement'!EV161/'Income Statement'!EU161-1</f>
        <v>-0.13179723502304153</v>
      </c>
      <c r="EW230" s="1269">
        <f>'Income Statement'!EW161/'Income Statement'!EV161-1</f>
        <v>-0.24097664543524411</v>
      </c>
      <c r="EX230" s="213">
        <f>'Income Statement'!EX161/'Income Statement'!EW161-1</f>
        <v>-3.3566433566433518E-2</v>
      </c>
      <c r="EY230" s="213">
        <f>'Income Statement'!EY161/'Income Statement'!EX161-1</f>
        <v>3.3285094066570098E-2</v>
      </c>
      <c r="EZ230" s="1747">
        <f>'Income Statement'!EZ161/'Income Statement'!EY161-1</f>
        <v>3.0762812513149385E-2</v>
      </c>
      <c r="FA230" s="161">
        <f>'Income Statement'!FA161/'Income Statement'!EZ161-1</f>
        <v>1.1475211676868824E-2</v>
      </c>
      <c r="FB230" s="161">
        <f>'Income Statement'!FB161/'Income Statement'!FA161-1</f>
        <v>8.3608503730463468E-3</v>
      </c>
      <c r="FC230" s="161">
        <f>'Income Statement'!FC161/'Income Statement'!FB161-1</f>
        <v>-4.7792871784757551E-4</v>
      </c>
      <c r="FD230" s="161">
        <f>'Income Statement'!FD161/'Income Statement'!FC161-1</f>
        <v>-4.9268276650116238E-4</v>
      </c>
      <c r="FE230" s="161">
        <f>'Income Statement'!FE161/'Income Statement'!FD161-1</f>
        <v>-5.0738290645546691E-4</v>
      </c>
      <c r="FF230" s="161">
        <f>'Income Statement'!FF161/'Income Statement'!FE161-1</f>
        <v>-5.2203047049592666E-4</v>
      </c>
      <c r="FG230" s="161">
        <f>'Income Statement'!FG161/'Income Statement'!FF161-1</f>
        <v>-5.3662677286192562E-4</v>
      </c>
      <c r="FH230" s="161">
        <f>'Income Statement'!FH161/'Income Statement'!FG161-1</f>
        <v>-5.511731097361805E-4</v>
      </c>
      <c r="FI230" s="674"/>
      <c r="FJ230"/>
      <c r="FK230"/>
      <c r="FL230"/>
      <c r="FM230"/>
      <c r="FN230"/>
      <c r="FO230"/>
      <c r="FS230" s="70"/>
      <c r="FT230" s="70"/>
      <c r="FU230"/>
      <c r="FV230" s="70"/>
      <c r="FW230" s="70"/>
      <c r="FX230" s="70"/>
      <c r="FY230"/>
      <c r="FZ230"/>
      <c r="GA230"/>
      <c r="GB230"/>
      <c r="GC230"/>
      <c r="GD230"/>
      <c r="GE230"/>
      <c r="GF230"/>
      <c r="GG230"/>
      <c r="GH230"/>
      <c r="GI230"/>
      <c r="GJ230"/>
      <c r="GK230"/>
      <c r="GL230"/>
      <c r="GM230"/>
      <c r="GN230"/>
      <c r="GO230"/>
      <c r="GP230"/>
      <c r="GQ230"/>
      <c r="GR230"/>
      <c r="GS230"/>
      <c r="GT230"/>
      <c r="GU230"/>
      <c r="GV230"/>
      <c r="GW230"/>
      <c r="GX230"/>
      <c r="GY230"/>
      <c r="GZ230"/>
      <c r="HA230"/>
      <c r="HB230"/>
      <c r="HC230"/>
      <c r="HD230"/>
      <c r="HE230"/>
      <c r="HF230"/>
      <c r="HG230"/>
      <c r="HH230"/>
      <c r="HI230"/>
      <c r="HJ230"/>
      <c r="HK230"/>
      <c r="HL230"/>
      <c r="HM230"/>
      <c r="HN230"/>
      <c r="HO230"/>
      <c r="HP230"/>
      <c r="HQ230"/>
      <c r="HR230"/>
      <c r="HS230"/>
      <c r="HT230"/>
      <c r="HU230"/>
      <c r="HV230"/>
      <c r="HW230"/>
      <c r="HX230"/>
      <c r="HY230"/>
      <c r="HZ230"/>
      <c r="IA230"/>
      <c r="IB230"/>
      <c r="IC230"/>
      <c r="ID230"/>
      <c r="IE230"/>
      <c r="IF230"/>
      <c r="IG230"/>
      <c r="IH230"/>
      <c r="II230"/>
      <c r="IJ230"/>
      <c r="IK230"/>
      <c r="IL230"/>
      <c r="IM230"/>
      <c r="IN230"/>
      <c r="IO230"/>
      <c r="IP230"/>
      <c r="IQ230"/>
      <c r="IR230"/>
      <c r="IS230"/>
      <c r="IT230"/>
      <c r="IU230"/>
      <c r="IV230"/>
      <c r="IW230"/>
      <c r="IX230"/>
      <c r="IY230"/>
      <c r="IZ230"/>
    </row>
    <row r="231" spans="1:260" s="19" customFormat="1" hidden="1" outlineLevel="1" x14ac:dyDescent="0.2">
      <c r="A231" s="395" t="s">
        <v>94</v>
      </c>
      <c r="B231" s="864" t="s">
        <v>483</v>
      </c>
      <c r="C231" s="864" t="s">
        <v>483</v>
      </c>
      <c r="D231" s="864" t="s">
        <v>483</v>
      </c>
      <c r="E231" s="1570" t="s">
        <v>483</v>
      </c>
      <c r="F231" s="864" t="s">
        <v>483</v>
      </c>
      <c r="G231" s="864" t="s">
        <v>483</v>
      </c>
      <c r="H231" s="864" t="s">
        <v>483</v>
      </c>
      <c r="I231" s="1570" t="s">
        <v>483</v>
      </c>
      <c r="J231" s="864" t="s">
        <v>483</v>
      </c>
      <c r="K231" s="864" t="s">
        <v>483</v>
      </c>
      <c r="L231" s="864" t="s">
        <v>483</v>
      </c>
      <c r="M231" s="1570" t="s">
        <v>483</v>
      </c>
      <c r="N231" s="864" t="s">
        <v>483</v>
      </c>
      <c r="O231" s="864" t="s">
        <v>483</v>
      </c>
      <c r="P231" s="864" t="s">
        <v>483</v>
      </c>
      <c r="Q231" s="1570" t="s">
        <v>483</v>
      </c>
      <c r="R231" s="864" t="s">
        <v>483</v>
      </c>
      <c r="S231" s="864" t="s">
        <v>483</v>
      </c>
      <c r="T231" s="864" t="s">
        <v>483</v>
      </c>
      <c r="U231" s="1570" t="s">
        <v>483</v>
      </c>
      <c r="V231" s="864" t="s">
        <v>483</v>
      </c>
      <c r="W231" s="864" t="s">
        <v>483</v>
      </c>
      <c r="X231" s="864" t="s">
        <v>483</v>
      </c>
      <c r="Y231" s="1570" t="s">
        <v>483</v>
      </c>
      <c r="Z231" s="864" t="s">
        <v>483</v>
      </c>
      <c r="AA231" s="864" t="s">
        <v>483</v>
      </c>
      <c r="AB231" s="864" t="s">
        <v>483</v>
      </c>
      <c r="AC231" s="1570" t="s">
        <v>483</v>
      </c>
      <c r="AD231" s="864" t="s">
        <v>483</v>
      </c>
      <c r="AE231" s="864" t="s">
        <v>483</v>
      </c>
      <c r="AF231" s="864" t="s">
        <v>483</v>
      </c>
      <c r="AG231" s="1570" t="s">
        <v>483</v>
      </c>
      <c r="AH231" s="864" t="s">
        <v>483</v>
      </c>
      <c r="AI231" s="864" t="s">
        <v>483</v>
      </c>
      <c r="AJ231" s="864" t="s">
        <v>483</v>
      </c>
      <c r="AK231" s="1570" t="s">
        <v>483</v>
      </c>
      <c r="AL231" s="864" t="s">
        <v>483</v>
      </c>
      <c r="AM231" s="864" t="s">
        <v>483</v>
      </c>
      <c r="AN231" s="864" t="s">
        <v>483</v>
      </c>
      <c r="AO231" s="1570" t="s">
        <v>483</v>
      </c>
      <c r="AP231" s="864" t="s">
        <v>483</v>
      </c>
      <c r="AQ231" s="864" t="s">
        <v>483</v>
      </c>
      <c r="AR231" s="864" t="s">
        <v>483</v>
      </c>
      <c r="AS231" s="1570" t="s">
        <v>483</v>
      </c>
      <c r="AT231" s="864" t="s">
        <v>483</v>
      </c>
      <c r="AU231" s="864" t="s">
        <v>483</v>
      </c>
      <c r="AV231" s="864" t="s">
        <v>483</v>
      </c>
      <c r="AW231" s="1570" t="s">
        <v>483</v>
      </c>
      <c r="AX231" s="864" t="s">
        <v>483</v>
      </c>
      <c r="AY231" s="864" t="s">
        <v>483</v>
      </c>
      <c r="AZ231" s="864" t="s">
        <v>483</v>
      </c>
      <c r="BA231" s="1570" t="s">
        <v>483</v>
      </c>
      <c r="BB231" s="208">
        <f>'Income Statement'!BB162/'Income Statement'!AX162-1</f>
        <v>8.2638362395754283E-2</v>
      </c>
      <c r="BC231" s="208">
        <f>'Income Statement'!BC162/'Income Statement'!AY162-1</f>
        <v>8.4137931034482749E-2</v>
      </c>
      <c r="BD231" s="208">
        <f>'Income Statement'!BD162/'Income Statement'!AZ162-1</f>
        <v>0.12507817385866171</v>
      </c>
      <c r="BE231" s="572">
        <f>'Income Statement'!BE162/'Income Statement'!BA162-1</f>
        <v>0.1499416569428238</v>
      </c>
      <c r="BF231" s="208">
        <f>'Income Statement'!BF162/'Income Statement'!BB162-1</f>
        <v>0.1386554621848739</v>
      </c>
      <c r="BG231" s="208">
        <f>'Income Statement'!BG162/'Income Statement'!BC162-1</f>
        <v>0.1055979643765903</v>
      </c>
      <c r="BH231" s="208">
        <f>'Income Statement'!BH162/'Income Statement'!BD162-1</f>
        <v>0.10394663702056706</v>
      </c>
      <c r="BI231" s="572">
        <f>'Income Statement'!BI162/'Income Statement'!BE162-1</f>
        <v>3.2470826991374935E-2</v>
      </c>
      <c r="BJ231" s="1860">
        <f>'Income Statement'!BJ162/'Income Statement'!BF162-1</f>
        <v>0.14145141451414522</v>
      </c>
      <c r="BK231" s="1513">
        <f>'Income Statement'!BK162/'Income Statement'!BG162-1</f>
        <v>0.17491369390103562</v>
      </c>
      <c r="BL231" s="1513">
        <f>'Income Statement'!BL162/'Income Statement'!BH162-1</f>
        <v>0.30261832829808655</v>
      </c>
      <c r="BM231" s="1861">
        <f>'Income Statement'!BM162/'Income Statement'!BI162-1</f>
        <v>0.22800982800982794</v>
      </c>
      <c r="BN231" s="1860">
        <f>'Income Statement'!BN162/'Income Statement'!BJ162-1</f>
        <v>0.19019396551724133</v>
      </c>
      <c r="BO231" s="1513">
        <f>'Income Statement'!BO162/'Income Statement'!BK162-1</f>
        <v>0.17727717923604303</v>
      </c>
      <c r="BP231" s="1513">
        <f>'Income Statement'!BP162/'Income Statement'!BL162-1</f>
        <v>-8.1175106300734878E-3</v>
      </c>
      <c r="BQ231" s="1861">
        <f>'Income Statement'!BQ162/'Income Statement'!BM162-1</f>
        <v>7.8031212484994006E-2</v>
      </c>
      <c r="BR231" s="1860">
        <f>'Income Statement'!BR162/'Income Statement'!BN162-1</f>
        <v>0.12267994567677687</v>
      </c>
      <c r="BS231" s="1513">
        <f>'Income Statement'!BS162/'Income Statement'!BO162-1</f>
        <v>4.2845257903494138E-2</v>
      </c>
      <c r="BT231" s="1513">
        <f>'Income Statement'!BT162/'Income Statement'!BP162-1</f>
        <v>1.2470771628994459E-2</v>
      </c>
      <c r="BU231" s="1861">
        <f>'Income Statement'!BU162/'Income Statement'!BQ162-1</f>
        <v>1.7074981440237558E-2</v>
      </c>
      <c r="BV231" s="1860">
        <f>'Income Statement'!BV162/'Income Statement'!BR162-1</f>
        <v>1.612903225806539E-3</v>
      </c>
      <c r="BW231" s="1513">
        <f>'Income Statement'!BW162/'Income Statement'!BS162-1</f>
        <v>3.0315117670522529E-2</v>
      </c>
      <c r="BX231" s="1513">
        <f>'Income Statement'!BX162/'Income Statement'!BT162-1</f>
        <v>6.9284064665127154E-3</v>
      </c>
      <c r="BY231" s="1861">
        <f>'Income Statement'!BY162/'Income Statement'!BU162-1</f>
        <v>-7.6642335766423653E-3</v>
      </c>
      <c r="BZ231" s="1860">
        <f>'Income Statement'!BZ162/'Income Statement'!BN162-1</f>
        <v>9.8687188773200596E-2</v>
      </c>
      <c r="CA231" s="1513">
        <f>'Income Statement'!CA162/'Income Statement'!BO162-1</f>
        <v>1.2895174708818624E-2</v>
      </c>
      <c r="CB231" s="1513">
        <f>'Income Statement'!CB162/'Income Statement'!BP162-1</f>
        <v>-4.7544816835541681E-2</v>
      </c>
      <c r="CC231" s="1861">
        <f>'Income Statement'!CC162/'Income Statement'!BQ162-1</f>
        <v>2.9695619896066283E-3</v>
      </c>
      <c r="CD231" s="1860">
        <f>'Income Statement'!CD162/'Income Statement'!BZ162-1</f>
        <v>1.2360939431396822E-2</v>
      </c>
      <c r="CE231" s="1513">
        <f>'Income Statement'!CE162/'Income Statement'!CA162-1</f>
        <v>2.7515400410677682E-2</v>
      </c>
      <c r="CF231" s="1513">
        <f>'Income Statement'!CF162/'Income Statement'!CB162-1</f>
        <v>1.1456628477905184E-2</v>
      </c>
      <c r="CG231" s="1861">
        <f>'Income Statement'!CG162/'Income Statement'!CC162-1</f>
        <v>-8.5122131754256092E-3</v>
      </c>
      <c r="CH231" s="1860">
        <f>'Income Statement'!CH162/'Income Statement'!CD162-1</f>
        <v>2.4827024827024813E-2</v>
      </c>
      <c r="CI231" s="1513">
        <f>'Income Statement'!CI162/'Income Statement'!CE162-1</f>
        <v>-2.4780175859312581E-2</v>
      </c>
      <c r="CJ231" s="1513">
        <f>'Income Statement'!CJ162/'Income Statement'!CF162-1</f>
        <v>2.6699029126213691E-2</v>
      </c>
      <c r="CK231" s="1861">
        <f>'Income Statement'!CK162/'Income Statement'!CG162-1</f>
        <v>6.681597611048895E-2</v>
      </c>
      <c r="CL231" s="1860">
        <f>'Income Statement'!CL162/2100-1</f>
        <v>3.7619047619047663E-2</v>
      </c>
      <c r="CM231" s="1513">
        <f>'Income Statement'!CM162/2119-1</f>
        <v>-1.8404907975460127E-2</v>
      </c>
      <c r="CN231" s="1513">
        <f>'Income Statement'!CN162/2119-1</f>
        <v>3.4450212364322885E-2</v>
      </c>
      <c r="CO231" s="1861">
        <f>'Income Statement'!CO162/2337-1</f>
        <v>6.6324347454000954E-2</v>
      </c>
      <c r="CP231" s="1860">
        <f>'Income Statement'!CP162/'Income Statement'!CL162-1</f>
        <v>-0.12758145938503895</v>
      </c>
      <c r="CQ231" s="1513">
        <f>'Income Statement'!CQ162/2119-1</f>
        <v>-9.6743747050495488E-2</v>
      </c>
      <c r="CR231" s="1513">
        <f>'Income Statement'!CR162/2119-1</f>
        <v>-7.5979235488437991E-2</v>
      </c>
      <c r="CS231" s="1861">
        <f>'Income Statement'!CS162/'Income Statement'!CO162-1</f>
        <v>-0.1175762439807384</v>
      </c>
      <c r="CT231" s="1550">
        <f>'Income Statement'!CT162/'Income Statement'!CP162-1</f>
        <v>-8.1536033666491314E-2</v>
      </c>
      <c r="CU231" s="1550">
        <f>'Income Statement'!CU162/'Income Statement'!CQ162-1</f>
        <v>-9.2998955067920552E-2</v>
      </c>
      <c r="CV231" s="1550">
        <f>'Income Statement'!CV162/'Income Statement'!CR162-1</f>
        <v>-5.0051072522982687E-2</v>
      </c>
      <c r="CW231" s="1861">
        <f>'Income Statement'!CW162/'Income Statement'!CS162-1</f>
        <v>4.0927694406549531E-3</v>
      </c>
      <c r="CX231" s="1353">
        <f>'Income Statement'!CX162/'Income Statement'!CT162-1</f>
        <v>3.4364261168384758E-3</v>
      </c>
      <c r="CY231" s="1353">
        <f>'Income Statement'!CY162/'Income Statement'!CU162-1</f>
        <v>4.0898617511520685E-2</v>
      </c>
      <c r="CZ231" s="1550">
        <f>'Income Statement'!CZ162/'Income Statement'!CV162-1</f>
        <v>6.9892473118280396E-3</v>
      </c>
      <c r="DA231" s="1861">
        <f>'Income Statement'!DA162/'Income Statement'!CW162-1</f>
        <v>-1.85688405797102E-2</v>
      </c>
      <c r="DB231" s="1860">
        <f>'Income Statement'!DB162/'Income Statement'!CX162-1</f>
        <v>-1.7123287671232834E-2</v>
      </c>
      <c r="DC231" s="1353">
        <f>'Income Statement'!DC162/'Income Statement'!CY162-1</f>
        <v>-1.9369120088544522E-2</v>
      </c>
      <c r="DD231" s="1353">
        <f>'Income Statement'!DD162/'Income Statement'!CZ162-1</f>
        <v>9.0763481046449712E-3</v>
      </c>
      <c r="DE231" s="1861">
        <f>'Income Statement'!DE162/'Income Statement'!DA162-1</f>
        <v>-1.2459621596677461E-2</v>
      </c>
      <c r="DF231" s="1353">
        <f>'Income Statement'!DF162/'Income Statement'!DB162-1</f>
        <v>0</v>
      </c>
      <c r="DG231" s="1353">
        <f>'Income Statement'!DG162/'Income Statement'!DC162-1</f>
        <v>3.2731376975169368E-2</v>
      </c>
      <c r="DH231" s="1353">
        <f>'Income Statement'!DH162/'Income Statement'!DD162-1</f>
        <v>2.2222222222222143E-2</v>
      </c>
      <c r="DI231" s="1861">
        <f>'Income Statement'!DI162/'Income Statement'!DE162-1</f>
        <v>0.13971962616822431</v>
      </c>
      <c r="DJ231" s="2710">
        <f>'Income Statement'!DJ162/'Income Statement'!DF162-1</f>
        <v>2.090228492890267E-2</v>
      </c>
      <c r="DK231" s="1353">
        <f>'Income Statement'!DK162/'Income Statement'!DG162-1</f>
        <v>8.4513097271621263E-4</v>
      </c>
      <c r="DL231" s="1353">
        <f>'Income Statement'!DL162/'Income Statement'!DH162-1</f>
        <v>1.0951039531588158E-3</v>
      </c>
      <c r="DM231" s="1861">
        <f>'Income Statement'!DM162/'Income Statement'!DI162-1</f>
        <v>-3.8333201718572241E-3</v>
      </c>
      <c r="DN231" s="578"/>
      <c r="DO231" s="572"/>
      <c r="DP231" s="219"/>
      <c r="DQ231" s="864" t="s">
        <v>483</v>
      </c>
      <c r="DR231" s="864" t="s">
        <v>483</v>
      </c>
      <c r="DS231" s="864" t="s">
        <v>483</v>
      </c>
      <c r="DT231" s="864" t="s">
        <v>483</v>
      </c>
      <c r="DU231" s="864" t="s">
        <v>483</v>
      </c>
      <c r="DV231" s="864" t="s">
        <v>483</v>
      </c>
      <c r="DW231" s="864" t="s">
        <v>483</v>
      </c>
      <c r="DX231" s="864" t="s">
        <v>483</v>
      </c>
      <c r="DY231" s="864" t="s">
        <v>483</v>
      </c>
      <c r="DZ231" s="864" t="s">
        <v>483</v>
      </c>
      <c r="EA231" s="864" t="s">
        <v>483</v>
      </c>
      <c r="EB231" s="864" t="s">
        <v>483</v>
      </c>
      <c r="EC231" s="864" t="s">
        <v>483</v>
      </c>
      <c r="ED231" s="864" t="s">
        <v>483</v>
      </c>
      <c r="EE231" s="864" t="s">
        <v>483</v>
      </c>
      <c r="EF231" s="864" t="s">
        <v>483</v>
      </c>
      <c r="EG231" s="864" t="s">
        <v>483</v>
      </c>
      <c r="EH231" s="864" t="s">
        <v>483</v>
      </c>
      <c r="EI231" s="864" t="s">
        <v>483</v>
      </c>
      <c r="EJ231" s="208">
        <f>'Income Statement'!EJ162/'Income Statement'!EI162-1</f>
        <v>0.20364140114783291</v>
      </c>
      <c r="EK231" s="208">
        <f>'Income Statement'!EK162/'Income Statement'!EJ162-1</f>
        <v>0.11312068398553099</v>
      </c>
      <c r="EL231" s="208">
        <f>'Income Statement'!EL162/'Income Statement'!EK162-1</f>
        <v>9.0841949778434294E-2</v>
      </c>
      <c r="EM231" s="208">
        <f>'Income Statement'!EM162/'Income Statement'!EL162-1</f>
        <v>0.21651997291807712</v>
      </c>
      <c r="EN231" s="208">
        <f>'Income Statement'!EN162/'Income Statement'!EM162-1</f>
        <v>9.8953695458593005E-2</v>
      </c>
      <c r="EO231" s="208">
        <f>'Income Statement'!EO162/'Income Statement'!EN162-1</f>
        <v>4.578142408589092E-2</v>
      </c>
      <c r="EP231" s="208">
        <f>'Income Statement'!EP162/'Income Statement'!EO162-1</f>
        <v>7.4576271186441723E-3</v>
      </c>
      <c r="EQ231" s="208">
        <f>'Income Statement'!EQ162/'Income Statement'!EN162-1</f>
        <v>1.3673655423883213E-2</v>
      </c>
      <c r="ER231" s="208">
        <f>'Income Statement'!ER162/'Income Statement'!EQ162-1</f>
        <v>1.0191846522781711E-2</v>
      </c>
      <c r="ES231" s="208">
        <f>'Income Statement'!ES162/'Income Statement'!ER162-1</f>
        <v>2.4134520276953619E-2</v>
      </c>
      <c r="ET231" s="208">
        <f>'Income Statement'!ET162/8675-1</f>
        <v>3.089337175792517E-2</v>
      </c>
      <c r="EU231" s="208">
        <f>'Income Statement'!EU162/'Income Statement'!ES162-1</f>
        <v>-0.2300560169982615</v>
      </c>
      <c r="EV231" s="208">
        <f>'Income Statement'!EV162/'Income Statement'!EU162-1</f>
        <v>-5.2935273457099807E-2</v>
      </c>
      <c r="EW231" s="208">
        <f>'Income Statement'!EW162/'Income Statement'!EV162-1</f>
        <v>6.4900662251654584E-3</v>
      </c>
      <c r="EX231" s="208">
        <f>'Income Statement'!EX162/'Income Statement'!EW162-1</f>
        <v>-9.869719699960533E-3</v>
      </c>
      <c r="EY231" s="208">
        <f>'Income Statement'!EY162/'Income Statement'!EX162-1</f>
        <v>5.3030303030302983E-2</v>
      </c>
      <c r="EZ231" s="1739">
        <f>'Income Statement'!EZ162/'Income Statement'!EY162-1</f>
        <v>3.8251416465964194E-3</v>
      </c>
      <c r="FA231" s="208">
        <f>'Income Statement'!FA162/'Income Statement'!EZ162-1</f>
        <v>4.5498725645309879E-3</v>
      </c>
      <c r="FB231" s="208">
        <f>'Income Statement'!FB162/'Income Statement'!FA162-1</f>
        <v>7.2410307287607001E-3</v>
      </c>
      <c r="FC231" s="208">
        <f>'Income Statement'!FC162/'Income Statement'!FB162-1</f>
        <v>8.4151874249980274E-3</v>
      </c>
      <c r="FD231" s="208">
        <f>'Income Statement'!FD162/'Income Statement'!FC162-1</f>
        <v>1.2360103655403076E-2</v>
      </c>
      <c r="FE231" s="208">
        <f>'Income Statement'!FE162/'Income Statement'!FD162-1</f>
        <v>1.2696538894908294E-2</v>
      </c>
      <c r="FF231" s="208">
        <f>'Income Statement'!FF162/'Income Statement'!FE162-1</f>
        <v>1.3042478779283329E-2</v>
      </c>
      <c r="FG231" s="208">
        <f>'Income Statement'!FG162/'Income Statement'!FF162-1</f>
        <v>1.3397938599311265E-2</v>
      </c>
      <c r="FH231" s="208">
        <f>'Income Statement'!FH162/'Income Statement'!FG162-1</f>
        <v>1.3762914240793123E-2</v>
      </c>
      <c r="FI231" s="1157"/>
      <c r="FJ231"/>
      <c r="FK231"/>
      <c r="FL231"/>
      <c r="FM231"/>
      <c r="FN231"/>
      <c r="FO231"/>
      <c r="FS231" s="197"/>
      <c r="FT231" s="197"/>
      <c r="FV231" s="197"/>
      <c r="FW231" s="197"/>
      <c r="FX231" s="197"/>
    </row>
    <row r="232" spans="1:260" s="4" customFormat="1" collapsed="1" x14ac:dyDescent="0.2">
      <c r="A232" s="287"/>
      <c r="B232" s="213"/>
      <c r="C232" s="213"/>
      <c r="D232" s="213"/>
      <c r="E232" s="490"/>
      <c r="F232" s="213"/>
      <c r="G232" s="213"/>
      <c r="H232" s="213"/>
      <c r="I232" s="490"/>
      <c r="J232" s="213"/>
      <c r="K232" s="213"/>
      <c r="L232" s="213"/>
      <c r="M232" s="490"/>
      <c r="N232" s="213"/>
      <c r="O232" s="213"/>
      <c r="P232" s="213"/>
      <c r="Q232" s="490"/>
      <c r="R232" s="213"/>
      <c r="S232" s="213"/>
      <c r="T232" s="213"/>
      <c r="U232" s="490"/>
      <c r="V232" s="213"/>
      <c r="W232" s="213"/>
      <c r="X232" s="213"/>
      <c r="Y232" s="490"/>
      <c r="Z232" s="213"/>
      <c r="AA232" s="213"/>
      <c r="AB232" s="213"/>
      <c r="AC232" s="490"/>
      <c r="AD232" s="213"/>
      <c r="AE232" s="213"/>
      <c r="AF232" s="213"/>
      <c r="AG232" s="490"/>
      <c r="AH232" s="213"/>
      <c r="AI232" s="213"/>
      <c r="AJ232" s="213"/>
      <c r="AK232" s="490"/>
      <c r="AL232" s="213"/>
      <c r="AM232" s="213"/>
      <c r="AN232" s="213"/>
      <c r="AO232" s="490"/>
      <c r="AP232" s="213"/>
      <c r="AQ232" s="213"/>
      <c r="AR232" s="213"/>
      <c r="AS232" s="490"/>
      <c r="AT232" s="213"/>
      <c r="AU232" s="213"/>
      <c r="AV232" s="213"/>
      <c r="AW232" s="490"/>
      <c r="AX232" s="213"/>
      <c r="AY232" s="213"/>
      <c r="AZ232" s="213"/>
      <c r="BA232" s="490"/>
      <c r="BB232" s="77"/>
      <c r="BC232" s="77"/>
      <c r="BD232" s="77"/>
      <c r="BE232" s="487"/>
      <c r="BF232" s="77"/>
      <c r="BG232" s="77"/>
      <c r="BH232" s="77"/>
      <c r="BI232" s="487"/>
      <c r="BJ232" s="1819"/>
      <c r="BK232" s="1862"/>
      <c r="BL232" s="1862"/>
      <c r="BM232" s="1416"/>
      <c r="BN232" s="1819"/>
      <c r="BO232" s="1862"/>
      <c r="BP232" s="1862"/>
      <c r="BQ232" s="1416"/>
      <c r="BR232" s="1819"/>
      <c r="BS232" s="1862"/>
      <c r="BT232" s="1862"/>
      <c r="BU232" s="1416"/>
      <c r="BV232" s="1819"/>
      <c r="BW232" s="1862"/>
      <c r="BX232" s="1862"/>
      <c r="BY232" s="1416"/>
      <c r="BZ232" s="1819"/>
      <c r="CA232" s="1862"/>
      <c r="CB232" s="1862"/>
      <c r="CC232" s="1416"/>
      <c r="CD232" s="1819"/>
      <c r="CE232" s="1862"/>
      <c r="CF232" s="1862"/>
      <c r="CG232" s="1416"/>
      <c r="CH232" s="1819"/>
      <c r="CI232" s="1862"/>
      <c r="CJ232" s="1862"/>
      <c r="CK232" s="1416"/>
      <c r="CL232" s="1819"/>
      <c r="CM232" s="1862"/>
      <c r="CN232" s="1862"/>
      <c r="CO232" s="1416"/>
      <c r="CP232" s="1819"/>
      <c r="CQ232" s="1862"/>
      <c r="CR232" s="1862"/>
      <c r="CS232" s="1416"/>
      <c r="CT232" s="1042"/>
      <c r="CU232" s="1042"/>
      <c r="CV232" s="1042"/>
      <c r="CW232" s="1416"/>
      <c r="CX232" s="75"/>
      <c r="CY232" s="75"/>
      <c r="CZ232" s="1042"/>
      <c r="DA232" s="1416"/>
      <c r="DB232" s="1819"/>
      <c r="DC232" s="75"/>
      <c r="DD232" s="75"/>
      <c r="DE232" s="1416"/>
      <c r="DF232" s="75"/>
      <c r="DG232" s="75"/>
      <c r="DH232" s="75"/>
      <c r="DI232" s="1416"/>
      <c r="DJ232" s="2709"/>
      <c r="DK232" s="75"/>
      <c r="DL232" s="75"/>
      <c r="DM232" s="1416"/>
      <c r="DN232" s="580"/>
      <c r="DO232" s="487"/>
      <c r="DP232" s="219"/>
      <c r="DQ232" s="213"/>
      <c r="DR232" s="213"/>
      <c r="DS232" s="213"/>
      <c r="DT232" s="213"/>
      <c r="DU232" s="213"/>
      <c r="DV232" s="213"/>
      <c r="DW232" s="213"/>
      <c r="DX232" s="213"/>
      <c r="DY232" s="213"/>
      <c r="DZ232" s="213"/>
      <c r="EA232" s="213"/>
      <c r="EB232" s="213"/>
      <c r="EC232" s="213"/>
      <c r="ED232" s="213"/>
      <c r="EE232" s="213"/>
      <c r="EF232" s="213"/>
      <c r="EG232" s="213"/>
      <c r="EH232" s="213"/>
      <c r="EI232" s="213"/>
      <c r="EJ232" s="77"/>
      <c r="EK232" s="77"/>
      <c r="EL232" s="77"/>
      <c r="EM232" s="77"/>
      <c r="EN232" s="77"/>
      <c r="EO232" s="77"/>
      <c r="EP232" s="77"/>
      <c r="EQ232" s="77"/>
      <c r="ER232" s="77"/>
      <c r="ES232" s="77"/>
      <c r="ET232" s="77"/>
      <c r="EU232" s="77"/>
      <c r="EV232" s="77"/>
      <c r="EW232" s="77"/>
      <c r="EX232" s="77"/>
      <c r="EY232" s="77"/>
      <c r="EZ232" s="1680"/>
      <c r="FA232" s="77"/>
      <c r="FB232" s="77"/>
      <c r="FC232" s="77"/>
      <c r="FD232" s="77"/>
      <c r="FE232" s="77"/>
      <c r="FF232" s="77"/>
      <c r="FG232" s="77"/>
      <c r="FH232" s="77"/>
      <c r="FI232" s="674"/>
      <c r="FJ232"/>
      <c r="FK232"/>
      <c r="FL232"/>
      <c r="FM232"/>
      <c r="FN232"/>
      <c r="FO232"/>
      <c r="FS232" s="70"/>
      <c r="FT232" s="70"/>
      <c r="FU232"/>
      <c r="FV232" s="70"/>
      <c r="FW232" s="70"/>
      <c r="FX232" s="70"/>
      <c r="FY232"/>
      <c r="FZ232"/>
      <c r="GA232"/>
      <c r="GB232"/>
      <c r="GC232"/>
      <c r="GD232"/>
      <c r="GE232"/>
      <c r="GF232"/>
      <c r="GG232"/>
      <c r="GH232"/>
      <c r="GI232"/>
      <c r="GJ232"/>
      <c r="GK232"/>
      <c r="GL232"/>
      <c r="GM232"/>
      <c r="GN232"/>
      <c r="GO232"/>
      <c r="GP232"/>
      <c r="GQ232"/>
      <c r="GR232"/>
      <c r="GS232"/>
      <c r="GT232"/>
      <c r="GU232"/>
      <c r="GV232"/>
      <c r="GW232"/>
      <c r="GX232"/>
      <c r="GY232"/>
      <c r="GZ232"/>
      <c r="HA232"/>
      <c r="HB232"/>
      <c r="HC232"/>
      <c r="HD232"/>
      <c r="HE232"/>
      <c r="HF232"/>
      <c r="HG232"/>
      <c r="HH232"/>
      <c r="HI232"/>
      <c r="HJ232"/>
      <c r="HK232"/>
      <c r="HL232"/>
      <c r="HM232"/>
      <c r="HN232"/>
      <c r="HO232"/>
      <c r="HP232"/>
      <c r="HQ232"/>
      <c r="HR232"/>
      <c r="HS232"/>
      <c r="HT232"/>
      <c r="HU232"/>
      <c r="HV232"/>
      <c r="HW232"/>
      <c r="HX232"/>
      <c r="HY232"/>
      <c r="HZ232"/>
      <c r="IA232"/>
      <c r="IB232"/>
      <c r="IC232"/>
      <c r="ID232"/>
      <c r="IE232"/>
      <c r="IF232"/>
      <c r="IG232"/>
      <c r="IH232"/>
      <c r="II232"/>
      <c r="IJ232"/>
      <c r="IK232"/>
      <c r="IL232"/>
      <c r="IM232"/>
      <c r="IN232"/>
      <c r="IO232"/>
      <c r="IP232"/>
      <c r="IQ232"/>
      <c r="IR232"/>
      <c r="IS232"/>
      <c r="IT232"/>
      <c r="IU232"/>
      <c r="IV232"/>
      <c r="IW232"/>
      <c r="IX232"/>
      <c r="IY232"/>
      <c r="IZ232"/>
    </row>
    <row r="233" spans="1:260" s="4" customFormat="1" x14ac:dyDescent="0.2">
      <c r="A233" s="1420" t="s">
        <v>645</v>
      </c>
      <c r="B233" s="213"/>
      <c r="C233" s="213"/>
      <c r="D233" s="213"/>
      <c r="E233" s="490"/>
      <c r="F233" s="213"/>
      <c r="G233" s="213"/>
      <c r="H233" s="213"/>
      <c r="I233" s="490"/>
      <c r="J233" s="213"/>
      <c r="K233" s="213"/>
      <c r="L233" s="213"/>
      <c r="M233" s="490"/>
      <c r="N233" s="213"/>
      <c r="O233" s="213"/>
      <c r="P233" s="213"/>
      <c r="Q233" s="490"/>
      <c r="R233" s="213"/>
      <c r="S233" s="213"/>
      <c r="T233" s="213"/>
      <c r="U233" s="490"/>
      <c r="V233" s="213"/>
      <c r="W233" s="213"/>
      <c r="X233" s="213"/>
      <c r="Y233" s="490"/>
      <c r="Z233" s="213"/>
      <c r="AA233" s="213"/>
      <c r="AB233" s="213"/>
      <c r="AC233" s="490"/>
      <c r="AD233" s="213"/>
      <c r="AE233" s="213"/>
      <c r="AF233" s="213"/>
      <c r="AG233" s="490"/>
      <c r="AH233" s="213"/>
      <c r="AI233" s="213"/>
      <c r="AJ233" s="213"/>
      <c r="AK233" s="490"/>
      <c r="AL233" s="213"/>
      <c r="AM233" s="213"/>
      <c r="AN233" s="213"/>
      <c r="AO233" s="490"/>
      <c r="AP233" s="213"/>
      <c r="AQ233" s="213"/>
      <c r="AR233" s="213"/>
      <c r="AS233" s="490"/>
      <c r="AT233" s="213"/>
      <c r="AU233" s="213"/>
      <c r="AV233" s="213"/>
      <c r="AW233" s="490"/>
      <c r="AX233" s="213"/>
      <c r="AY233" s="213"/>
      <c r="AZ233" s="213"/>
      <c r="BA233" s="490"/>
      <c r="BB233" s="1042">
        <f t="shared" ref="BB233:BK235" si="619">+IFERROR(BB164/AX164-1,"NA")</f>
        <v>-2.4762496193122874E-2</v>
      </c>
      <c r="BC233" s="1042">
        <f t="shared" si="619"/>
        <v>-4.4250676498154284E-2</v>
      </c>
      <c r="BD233" s="1042">
        <f t="shared" si="619"/>
        <v>-7.3372575315572286E-3</v>
      </c>
      <c r="BE233" s="1416">
        <f t="shared" si="619"/>
        <v>2.2120138658801691E-2</v>
      </c>
      <c r="BF233" s="1042">
        <f t="shared" si="619"/>
        <v>5.2942749252071764E-3</v>
      </c>
      <c r="BG233" s="1042">
        <f t="shared" si="619"/>
        <v>-2.2185420768563668E-2</v>
      </c>
      <c r="BH233" s="1042">
        <f t="shared" si="619"/>
        <v>-2.373181811987124E-2</v>
      </c>
      <c r="BI233" s="1416">
        <f t="shared" si="619"/>
        <v>-9.5301827709326936E-2</v>
      </c>
      <c r="BJ233" s="1819">
        <f t="shared" si="619"/>
        <v>1.8492833875937364E-2</v>
      </c>
      <c r="BK233" s="1863">
        <f t="shared" si="619"/>
        <v>6.591853201620923E-2</v>
      </c>
      <c r="BL233" s="1863">
        <f t="shared" ref="BL233:BU235" si="620">+IFERROR(BL164/BH164-1,"NA")</f>
        <v>-5.1210043097044133E-2</v>
      </c>
      <c r="BM233" s="1416">
        <f t="shared" si="620"/>
        <v>-3.56337746251848E-2</v>
      </c>
      <c r="BN233" s="1819">
        <f t="shared" si="620"/>
        <v>-6.5580995464624259E-2</v>
      </c>
      <c r="BO233" s="1863">
        <f t="shared" si="620"/>
        <v>-7.0808799083868168E-2</v>
      </c>
      <c r="BP233" s="1863">
        <f t="shared" si="620"/>
        <v>-3.6352056702950719E-3</v>
      </c>
      <c r="BQ233" s="1416">
        <f t="shared" si="620"/>
        <v>2.1261765214290795E-2</v>
      </c>
      <c r="BR233" s="1819">
        <f t="shared" si="620"/>
        <v>7.387719663290282E-2</v>
      </c>
      <c r="BS233" s="1863">
        <f t="shared" si="620"/>
        <v>3.1108559789478907E-3</v>
      </c>
      <c r="BT233" s="1863">
        <f t="shared" si="620"/>
        <v>-1.0699116779420925E-2</v>
      </c>
      <c r="BU233" s="1416">
        <f t="shared" si="620"/>
        <v>1.1608793030055242E-2</v>
      </c>
      <c r="BV233" s="1819">
        <f t="shared" ref="BV233:CE235" si="621">+IFERROR(BV164/BR164-1,"NA")</f>
        <v>-2.8080356918819716E-2</v>
      </c>
      <c r="BW233" s="1863">
        <f t="shared" si="621"/>
        <v>-2.1588853181951917E-3</v>
      </c>
      <c r="BX233" s="1863">
        <f t="shared" si="621"/>
        <v>-1.819010153685241E-4</v>
      </c>
      <c r="BY233" s="1416">
        <f t="shared" si="621"/>
        <v>-1.0476735603119902E-2</v>
      </c>
      <c r="BZ233" s="1819">
        <f t="shared" si="621"/>
        <v>2.4302956396207609E-2</v>
      </c>
      <c r="CA233" s="1863">
        <f t="shared" si="621"/>
        <v>-2.8432026716969094E-3</v>
      </c>
      <c r="CB233" s="1863">
        <f t="shared" si="621"/>
        <v>-4.5242370841060642E-2</v>
      </c>
      <c r="CC233" s="1416">
        <f t="shared" si="621"/>
        <v>1.7471998142158052E-2</v>
      </c>
      <c r="CD233" s="1819">
        <f t="shared" si="621"/>
        <v>-9.1678955182916688E-5</v>
      </c>
      <c r="CE233" s="1863">
        <f t="shared" si="621"/>
        <v>-2.0941043620447131E-3</v>
      </c>
      <c r="CF233" s="1863">
        <f t="shared" ref="CF233:CO235" si="622">+IFERROR(CF164/CB164-1,"NA")</f>
        <v>3.316784060950706E-3</v>
      </c>
      <c r="CG233" s="1416">
        <f t="shared" si="622"/>
        <v>-3.5099185757655804E-2</v>
      </c>
      <c r="CH233" s="1819">
        <f t="shared" si="622"/>
        <v>1.6938350215589093E-2</v>
      </c>
      <c r="CI233" s="1863">
        <f t="shared" si="622"/>
        <v>-2.1356056845333149E-2</v>
      </c>
      <c r="CJ233" s="1863">
        <f t="shared" si="622"/>
        <v>4.7761137430284206E-2</v>
      </c>
      <c r="CK233" s="1416">
        <f t="shared" si="622"/>
        <v>0.12955903084408305</v>
      </c>
      <c r="CL233" s="1819">
        <f t="shared" si="622"/>
        <v>-7.1783545002760407E-3</v>
      </c>
      <c r="CM233" s="1863">
        <f t="shared" si="622"/>
        <v>-5.807200929152101E-4</v>
      </c>
      <c r="CN233" s="1863">
        <f t="shared" si="622"/>
        <v>0</v>
      </c>
      <c r="CO233" s="1416">
        <f t="shared" si="622"/>
        <v>0</v>
      </c>
      <c r="CP233" s="1819">
        <f t="shared" ref="CP233:CY235" si="623">+IFERROR(CP164/CL164-1,"NA")</f>
        <v>-6.0378755025235153E-2</v>
      </c>
      <c r="CQ233" s="1863">
        <f t="shared" si="623"/>
        <v>-1.8781745784665627E-2</v>
      </c>
      <c r="CR233" s="1863">
        <f t="shared" si="623"/>
        <v>-5.8220224310495117E-2</v>
      </c>
      <c r="CS233" s="1416">
        <f t="shared" si="623"/>
        <v>-7.5349546071801554E-2</v>
      </c>
      <c r="CT233" s="1042">
        <f t="shared" si="623"/>
        <v>-5.8422096821328484E-2</v>
      </c>
      <c r="CU233" s="1042">
        <f t="shared" si="623"/>
        <v>-7.9962682754395997E-2</v>
      </c>
      <c r="CV233" s="1042">
        <f t="shared" si="623"/>
        <v>-3.0714998266473281E-2</v>
      </c>
      <c r="CW233" s="1416">
        <f t="shared" si="623"/>
        <v>3.1964722539485457E-2</v>
      </c>
      <c r="CX233" s="75">
        <f t="shared" si="623"/>
        <v>3.9140238793977655E-2</v>
      </c>
      <c r="CY233" s="75">
        <f t="shared" si="623"/>
        <v>8.9477967990023943E-2</v>
      </c>
      <c r="CZ233" s="1042">
        <f t="shared" ref="CZ233:DM235" si="624">+IFERROR(CZ164/CV164-1,"NA")</f>
        <v>5.2562958110718982E-2</v>
      </c>
      <c r="DA233" s="1416">
        <f t="shared" si="624"/>
        <v>2.3601666970736401E-2</v>
      </c>
      <c r="DB233" s="1937">
        <f t="shared" si="624"/>
        <v>7.4028413442657204E-3</v>
      </c>
      <c r="DC233" s="75">
        <f t="shared" si="624"/>
        <v>-3.4962435131449254E-3</v>
      </c>
      <c r="DD233" s="75">
        <f t="shared" si="624"/>
        <v>2.617128888880349E-2</v>
      </c>
      <c r="DE233" s="1416">
        <f t="shared" si="624"/>
        <v>-3.904225613156953E-3</v>
      </c>
      <c r="DF233" s="75">
        <f t="shared" si="624"/>
        <v>1.48321523583963E-2</v>
      </c>
      <c r="DG233" s="75">
        <f t="shared" si="624"/>
        <v>4.7689684399321308E-2</v>
      </c>
      <c r="DH233" s="75">
        <f t="shared" si="624"/>
        <v>3.0697779261212865E-2</v>
      </c>
      <c r="DI233" s="1416">
        <f t="shared" si="624"/>
        <v>0.1606259458443251</v>
      </c>
      <c r="DJ233" s="2709">
        <f t="shared" si="624"/>
        <v>4.8917566472967744E-2</v>
      </c>
      <c r="DK233" s="75">
        <f t="shared" si="624"/>
        <v>3.8764052371196289E-2</v>
      </c>
      <c r="DL233" s="75">
        <f t="shared" si="624"/>
        <v>3.5192991695569331E-2</v>
      </c>
      <c r="DM233" s="1416">
        <f t="shared" si="624"/>
        <v>1.0298176649589763E-2</v>
      </c>
      <c r="DN233" s="580"/>
      <c r="DO233" s="487"/>
      <c r="DP233" s="219"/>
      <c r="DQ233" s="213"/>
      <c r="DR233" s="213"/>
      <c r="DS233" s="213"/>
      <c r="DT233" s="213"/>
      <c r="DU233" s="213"/>
      <c r="DV233" s="213"/>
      <c r="DW233" s="213"/>
      <c r="DX233" s="213"/>
      <c r="DY233" s="213"/>
      <c r="DZ233" s="213"/>
      <c r="EA233" s="213"/>
      <c r="EB233" s="213"/>
      <c r="EC233" s="213"/>
      <c r="ED233" s="213"/>
      <c r="EE233" s="213"/>
      <c r="EF233" s="213"/>
      <c r="EG233" s="213"/>
      <c r="EH233" s="213"/>
      <c r="EI233" s="213"/>
      <c r="EJ233" s="77"/>
      <c r="EK233" s="77"/>
      <c r="EL233" s="77"/>
      <c r="EM233" s="77"/>
      <c r="EN233" s="77"/>
      <c r="EO233" s="77"/>
      <c r="EP233" s="77"/>
      <c r="EQ233" s="77"/>
      <c r="ER233" s="77"/>
      <c r="ES233" s="77"/>
      <c r="ET233" s="77"/>
      <c r="EU233" s="1042">
        <f t="shared" ref="EU233:FH233" si="625">+IFERROR(EU164/ET164-1,"NA")</f>
        <v>-5.3804234655440375E-2</v>
      </c>
      <c r="EV233" s="1042">
        <f t="shared" si="625"/>
        <v>-3.1872324474998659E-2</v>
      </c>
      <c r="EW233" s="1042">
        <f t="shared" si="625"/>
        <v>4.4041258450961962E-2</v>
      </c>
      <c r="EX233" s="1042">
        <f t="shared" si="625"/>
        <v>1.1245955635064586E-2</v>
      </c>
      <c r="EY233" s="1042">
        <f t="shared" si="625"/>
        <v>6.7562648474753129E-2</v>
      </c>
      <c r="EZ233" s="1776">
        <f t="shared" si="625"/>
        <v>3.1566990146263185E-2</v>
      </c>
      <c r="FA233" s="77">
        <f t="shared" si="625"/>
        <v>1.2658751998533946E-2</v>
      </c>
      <c r="FB233" s="77">
        <f t="shared" si="625"/>
        <v>1.5827078452663512E-2</v>
      </c>
      <c r="FC233" s="77">
        <f t="shared" si="625"/>
        <v>1.6096609011892138E-2</v>
      </c>
      <c r="FD233" s="77">
        <f t="shared" si="625"/>
        <v>1.9002359013532644E-2</v>
      </c>
      <c r="FE233" s="77">
        <f t="shared" si="625"/>
        <v>1.9381036526687767E-2</v>
      </c>
      <c r="FF233" s="77">
        <f t="shared" si="625"/>
        <v>1.9768779902612721E-2</v>
      </c>
      <c r="FG233" s="77">
        <f t="shared" si="625"/>
        <v>2.0165556739504709E-2</v>
      </c>
      <c r="FH233" s="77">
        <f t="shared" si="625"/>
        <v>2.0571313553691128E-2</v>
      </c>
      <c r="FI233" s="674"/>
      <c r="FJ233"/>
      <c r="FK233"/>
      <c r="FL233"/>
      <c r="FM233"/>
      <c r="FN233"/>
      <c r="FO233"/>
      <c r="FS233" s="70"/>
      <c r="FT233" s="70"/>
      <c r="FU233"/>
      <c r="FV233" s="75"/>
      <c r="FW233" s="70"/>
      <c r="FX233" s="70"/>
      <c r="FY233"/>
      <c r="FZ233"/>
      <c r="GA233"/>
      <c r="GB233"/>
      <c r="GC233"/>
      <c r="GD233"/>
      <c r="GE233"/>
      <c r="GF233"/>
      <c r="GG233"/>
      <c r="GH233"/>
      <c r="GI233"/>
      <c r="GJ233"/>
      <c r="GK233"/>
      <c r="GL233"/>
      <c r="GM233"/>
      <c r="GN233"/>
      <c r="GO233"/>
      <c r="GP233"/>
      <c r="GQ233"/>
      <c r="GR233"/>
      <c r="GS233"/>
      <c r="GT233"/>
      <c r="GU233"/>
      <c r="GV233"/>
      <c r="GW233"/>
      <c r="GX233"/>
      <c r="GY233"/>
      <c r="GZ233"/>
      <c r="HA233"/>
      <c r="HB233"/>
      <c r="HC233"/>
      <c r="HD233"/>
      <c r="HE233"/>
      <c r="HF233"/>
      <c r="HG233"/>
      <c r="HH233"/>
      <c r="HI233"/>
      <c r="HJ233"/>
      <c r="HK233"/>
      <c r="HL233"/>
      <c r="HM233"/>
      <c r="HN233"/>
      <c r="HO233"/>
      <c r="HP233"/>
      <c r="HQ233"/>
      <c r="HR233"/>
      <c r="HS233"/>
      <c r="HT233"/>
      <c r="HU233"/>
      <c r="HV233"/>
      <c r="HW233"/>
      <c r="HX233"/>
      <c r="HY233"/>
      <c r="HZ233"/>
      <c r="IA233"/>
      <c r="IB233"/>
      <c r="IC233"/>
      <c r="ID233"/>
      <c r="IE233"/>
      <c r="IF233"/>
      <c r="IG233"/>
      <c r="IH233"/>
      <c r="II233"/>
      <c r="IJ233"/>
      <c r="IK233"/>
      <c r="IL233"/>
      <c r="IM233"/>
      <c r="IN233"/>
      <c r="IO233"/>
      <c r="IP233"/>
      <c r="IQ233"/>
      <c r="IR233"/>
      <c r="IS233"/>
      <c r="IT233"/>
      <c r="IU233"/>
      <c r="IV233"/>
      <c r="IW233"/>
      <c r="IX233"/>
      <c r="IY233"/>
      <c r="IZ233"/>
    </row>
    <row r="234" spans="1:260" s="4" customFormat="1" x14ac:dyDescent="0.2">
      <c r="A234" s="1420" t="s">
        <v>646</v>
      </c>
      <c r="B234" s="213"/>
      <c r="C234" s="213"/>
      <c r="D234" s="213"/>
      <c r="E234" s="490"/>
      <c r="F234" s="213"/>
      <c r="G234" s="213"/>
      <c r="H234" s="213"/>
      <c r="I234" s="490"/>
      <c r="J234" s="213"/>
      <c r="K234" s="213"/>
      <c r="L234" s="213"/>
      <c r="M234" s="490"/>
      <c r="N234" s="213"/>
      <c r="O234" s="213"/>
      <c r="P234" s="213"/>
      <c r="Q234" s="490"/>
      <c r="R234" s="213"/>
      <c r="S234" s="213"/>
      <c r="T234" s="213"/>
      <c r="U234" s="490"/>
      <c r="V234" s="213"/>
      <c r="W234" s="213"/>
      <c r="X234" s="213"/>
      <c r="Y234" s="490"/>
      <c r="Z234" s="213"/>
      <c r="AA234" s="213"/>
      <c r="AB234" s="213"/>
      <c r="AC234" s="490"/>
      <c r="AD234" s="213"/>
      <c r="AE234" s="213"/>
      <c r="AF234" s="213"/>
      <c r="AG234" s="490"/>
      <c r="AH234" s="213"/>
      <c r="AI234" s="213"/>
      <c r="AJ234" s="213"/>
      <c r="AK234" s="490"/>
      <c r="AL234" s="213"/>
      <c r="AM234" s="213"/>
      <c r="AN234" s="213"/>
      <c r="AO234" s="490"/>
      <c r="AP234" s="213"/>
      <c r="AQ234" s="213"/>
      <c r="AR234" s="213"/>
      <c r="AS234" s="490"/>
      <c r="AT234" s="213"/>
      <c r="AU234" s="213"/>
      <c r="AV234" s="213"/>
      <c r="AW234" s="490"/>
      <c r="AX234" s="213"/>
      <c r="AY234" s="213"/>
      <c r="AZ234" s="213"/>
      <c r="BA234" s="490"/>
      <c r="BB234" s="1042">
        <f t="shared" si="619"/>
        <v>7.2788757141464266E-2</v>
      </c>
      <c r="BC234" s="1042">
        <f t="shared" si="619"/>
        <v>-0.18428898754937817</v>
      </c>
      <c r="BD234" s="1042">
        <f t="shared" si="619"/>
        <v>-0.34616713948717659</v>
      </c>
      <c r="BE234" s="1416">
        <f t="shared" si="619"/>
        <v>-0.35702172775773755</v>
      </c>
      <c r="BF234" s="1042">
        <f t="shared" si="619"/>
        <v>-0.33859765285004084</v>
      </c>
      <c r="BG234" s="1042">
        <f t="shared" si="619"/>
        <v>-9.6820498445596592E-2</v>
      </c>
      <c r="BH234" s="1042">
        <f t="shared" si="619"/>
        <v>0.12682619708859377</v>
      </c>
      <c r="BI234" s="1416">
        <f t="shared" si="619"/>
        <v>6.5493427182871322E-2</v>
      </c>
      <c r="BJ234" s="1819">
        <f t="shared" si="619"/>
        <v>6.6141160313905267E-2</v>
      </c>
      <c r="BK234" s="1863">
        <f t="shared" si="619"/>
        <v>1.0740125748160079E-2</v>
      </c>
      <c r="BL234" s="1863">
        <f t="shared" si="620"/>
        <v>1.1990026679933621</v>
      </c>
      <c r="BM234" s="1416">
        <f t="shared" si="620"/>
        <v>0.68308009027324057</v>
      </c>
      <c r="BN234" s="1819">
        <f t="shared" si="620"/>
        <v>0.75332399100614067</v>
      </c>
      <c r="BO234" s="1863">
        <f t="shared" si="620"/>
        <v>0.82378621606947267</v>
      </c>
      <c r="BP234" s="1863">
        <f t="shared" si="620"/>
        <v>-0.2137718097267941</v>
      </c>
      <c r="BQ234" s="1416">
        <f t="shared" si="620"/>
        <v>6.5483958624958705E-2</v>
      </c>
      <c r="BR234" s="1819">
        <f t="shared" si="620"/>
        <v>0.11066925192233334</v>
      </c>
      <c r="BS234" s="1863">
        <f t="shared" si="620"/>
        <v>6.8509889368382204E-3</v>
      </c>
      <c r="BT234" s="1863">
        <f t="shared" si="620"/>
        <v>-5.3238345234220885E-2</v>
      </c>
      <c r="BU234" s="1416">
        <f t="shared" si="620"/>
        <v>-8.2502591253662882E-2</v>
      </c>
      <c r="BV234" s="1819">
        <f t="shared" si="621"/>
        <v>-3.8633126433859299E-2</v>
      </c>
      <c r="BW234" s="1863">
        <f t="shared" si="621"/>
        <v>4.9479399615390829E-3</v>
      </c>
      <c r="BX234" s="1863">
        <f t="shared" si="621"/>
        <v>-7.3980942405670214E-2</v>
      </c>
      <c r="BY234" s="1416">
        <f t="shared" si="621"/>
        <v>-9.828069432149833E-2</v>
      </c>
      <c r="BZ234" s="1819">
        <f t="shared" si="621"/>
        <v>-2.3547290669971965E-2</v>
      </c>
      <c r="CA234" s="1863">
        <f t="shared" si="621"/>
        <v>-8.9961062968762162E-2</v>
      </c>
      <c r="CB234" s="1863">
        <f t="shared" si="621"/>
        <v>-2.0564958283304735E-2</v>
      </c>
      <c r="CC234" s="1416">
        <f t="shared" si="621"/>
        <v>3.7918715699083227E-2</v>
      </c>
      <c r="CD234" s="1819">
        <f t="shared" si="621"/>
        <v>-7.0077417947957743E-2</v>
      </c>
      <c r="CE234" s="1863">
        <f t="shared" si="621"/>
        <v>-1.8590397030764372E-3</v>
      </c>
      <c r="CF234" s="1863">
        <f t="shared" si="622"/>
        <v>-6.7929292615275805E-2</v>
      </c>
      <c r="CG234" s="1416">
        <f t="shared" si="622"/>
        <v>-4.2356427252992268E-2</v>
      </c>
      <c r="CH234" s="1819">
        <f t="shared" si="622"/>
        <v>-5.5671435439682004E-2</v>
      </c>
      <c r="CI234" s="1863">
        <f t="shared" si="622"/>
        <v>-7.5355656170373653E-2</v>
      </c>
      <c r="CJ234" s="1863">
        <f t="shared" si="622"/>
        <v>4.1711833962976286E-4</v>
      </c>
      <c r="CK234" s="1416">
        <f t="shared" si="622"/>
        <v>8.0654892896152575E-3</v>
      </c>
      <c r="CL234" s="1819">
        <f t="shared" si="622"/>
        <v>-0.18444680493308707</v>
      </c>
      <c r="CM234" s="1863">
        <f t="shared" si="622"/>
        <v>0.20429540316503392</v>
      </c>
      <c r="CN234" s="1863">
        <f t="shared" si="622"/>
        <v>0.28138845688453751</v>
      </c>
      <c r="CO234" s="1416">
        <f t="shared" si="622"/>
        <v>0.26423906544069187</v>
      </c>
      <c r="CP234" s="1819">
        <f t="shared" si="623"/>
        <v>-0.31664297835757105</v>
      </c>
      <c r="CQ234" s="1863">
        <f t="shared" si="623"/>
        <v>-0.28133704735376042</v>
      </c>
      <c r="CR234" s="1863">
        <f t="shared" si="623"/>
        <v>-0.31782945736434109</v>
      </c>
      <c r="CS234" s="1416">
        <f t="shared" si="623"/>
        <v>-0.30823529411764705</v>
      </c>
      <c r="CT234" s="1042">
        <f t="shared" si="623"/>
        <v>0.32908955544949126</v>
      </c>
      <c r="CU234" s="1042">
        <f t="shared" si="623"/>
        <v>-0.11360897087314648</v>
      </c>
      <c r="CV234" s="1042">
        <f t="shared" si="623"/>
        <v>-9.4820764147276027E-2</v>
      </c>
      <c r="CW234" s="1416">
        <f t="shared" si="623"/>
        <v>-8.6410742347591274E-2</v>
      </c>
      <c r="CX234" s="75">
        <f t="shared" si="623"/>
        <v>-1.3738484320492184E-2</v>
      </c>
      <c r="CY234" s="75">
        <f t="shared" si="623"/>
        <v>0.10825487825399316</v>
      </c>
      <c r="CZ234" s="1042">
        <f t="shared" si="624"/>
        <v>5.6658258380682947E-2</v>
      </c>
      <c r="DA234" s="1416">
        <f t="shared" si="624"/>
        <v>5.266258296509041E-2</v>
      </c>
      <c r="DB234" s="1937">
        <f t="shared" si="624"/>
        <v>6.5632121701685975E-2</v>
      </c>
      <c r="DC234" s="75">
        <f t="shared" si="624"/>
        <v>-4.781830045753066E-2</v>
      </c>
      <c r="DD234" s="75">
        <f t="shared" si="624"/>
        <v>-1.1054928201355008E-3</v>
      </c>
      <c r="DE234" s="1416">
        <f t="shared" si="624"/>
        <v>4.8021110618160279E-2</v>
      </c>
      <c r="DF234" s="75">
        <f t="shared" si="624"/>
        <v>-4.7483299673761081E-2</v>
      </c>
      <c r="DG234" s="75">
        <f t="shared" si="624"/>
        <v>-2.2843643999353902E-2</v>
      </c>
      <c r="DH234" s="75">
        <f t="shared" si="624"/>
        <v>5.2677286775190568E-2</v>
      </c>
      <c r="DI234" s="1416">
        <f t="shared" si="624"/>
        <v>0.10059557696518517</v>
      </c>
      <c r="DJ234" s="2709">
        <f t="shared" si="624"/>
        <v>-1.0742923482291111E-2</v>
      </c>
      <c r="DK234" s="75">
        <f t="shared" si="624"/>
        <v>-1.8624558029721849E-2</v>
      </c>
      <c r="DL234" s="75">
        <f t="shared" si="624"/>
        <v>-1.1897381152563336E-2</v>
      </c>
      <c r="DM234" s="1416">
        <f t="shared" si="624"/>
        <v>0.11314080717488784</v>
      </c>
      <c r="DN234" s="580"/>
      <c r="DO234" s="487"/>
      <c r="DP234" s="219"/>
      <c r="DQ234" s="213"/>
      <c r="DR234" s="213"/>
      <c r="DS234" s="213"/>
      <c r="DT234" s="213"/>
      <c r="DU234" s="213"/>
      <c r="DV234" s="213"/>
      <c r="DW234" s="213"/>
      <c r="DX234" s="213"/>
      <c r="DY234" s="213"/>
      <c r="DZ234" s="213"/>
      <c r="EA234" s="213"/>
      <c r="EB234" s="213"/>
      <c r="EC234" s="213"/>
      <c r="ED234" s="213"/>
      <c r="EE234" s="213"/>
      <c r="EF234" s="213"/>
      <c r="EG234" s="213"/>
      <c r="EH234" s="213"/>
      <c r="EI234" s="213"/>
      <c r="EJ234" s="77"/>
      <c r="EK234" s="77"/>
      <c r="EL234" s="77"/>
      <c r="EM234" s="77"/>
      <c r="EN234" s="77"/>
      <c r="EO234" s="77"/>
      <c r="EP234" s="77"/>
      <c r="EQ234" s="77"/>
      <c r="ER234" s="77"/>
      <c r="ES234" s="77"/>
      <c r="ET234" s="77"/>
      <c r="EU234" s="1042">
        <f t="shared" ref="EU234:FH234" si="626">+IFERROR(EU165/ET165-1,"NA")</f>
        <v>0.11801941961372853</v>
      </c>
      <c r="EV234" s="1042">
        <f t="shared" si="626"/>
        <v>-0.12080061828367217</v>
      </c>
      <c r="EW234" s="1042">
        <f t="shared" si="626"/>
        <v>-9.6725680112077494E-2</v>
      </c>
      <c r="EX234" s="1042">
        <f t="shared" si="626"/>
        <v>0.17566915576415187</v>
      </c>
      <c r="EY234" s="1042">
        <f t="shared" si="626"/>
        <v>3.0553041377620493E-2</v>
      </c>
      <c r="EZ234" s="1776">
        <f t="shared" si="626"/>
        <v>2.43304192228877E-2</v>
      </c>
      <c r="FA234" s="77">
        <f t="shared" si="626"/>
        <v>1.0297708520085713E-2</v>
      </c>
      <c r="FB234" s="77">
        <f t="shared" si="626"/>
        <v>4.8514738636276089E-3</v>
      </c>
      <c r="FC234" s="77">
        <f t="shared" si="626"/>
        <v>-5.0946588392433156E-3</v>
      </c>
      <c r="FD234" s="77">
        <f t="shared" si="626"/>
        <v>-5.0881187078044565E-3</v>
      </c>
      <c r="FE234" s="77">
        <f t="shared" si="626"/>
        <v>-5.0817198267919528E-3</v>
      </c>
      <c r="FF234" s="77">
        <f t="shared" si="626"/>
        <v>-5.0754608555965142E-3</v>
      </c>
      <c r="FG234" s="77">
        <f t="shared" si="626"/>
        <v>-5.0693404836424927E-3</v>
      </c>
      <c r="FH234" s="77">
        <f t="shared" si="626"/>
        <v>-5.063357429782589E-3</v>
      </c>
      <c r="FI234" s="674"/>
      <c r="FJ234"/>
      <c r="FK234"/>
      <c r="FL234"/>
      <c r="FM234"/>
      <c r="FN234"/>
      <c r="FO234"/>
      <c r="FS234" s="70"/>
      <c r="FT234" s="70"/>
      <c r="FU234"/>
      <c r="FV234" s="75"/>
      <c r="FW234" s="70"/>
      <c r="FX234" s="70"/>
      <c r="FY234"/>
      <c r="FZ234"/>
      <c r="GA234"/>
      <c r="GB234"/>
      <c r="GC234"/>
      <c r="GD234"/>
      <c r="GE234"/>
      <c r="GF234"/>
      <c r="GG234"/>
      <c r="GH234"/>
      <c r="GI234"/>
      <c r="GJ234"/>
      <c r="GK234"/>
      <c r="GL234"/>
      <c r="GM234"/>
      <c r="GN234"/>
      <c r="GO234"/>
      <c r="GP234"/>
      <c r="GQ234"/>
      <c r="GR234"/>
      <c r="GS234"/>
      <c r="GT234"/>
      <c r="GU234"/>
      <c r="GV234"/>
      <c r="GW234"/>
      <c r="GX234"/>
      <c r="GY234"/>
      <c r="GZ234"/>
      <c r="HA234"/>
      <c r="HB234"/>
      <c r="HC234"/>
      <c r="HD234"/>
      <c r="HE234"/>
      <c r="HF234"/>
      <c r="HG234"/>
      <c r="HH234"/>
      <c r="HI234"/>
      <c r="HJ234"/>
      <c r="HK234"/>
      <c r="HL234"/>
      <c r="HM234"/>
      <c r="HN234"/>
      <c r="HO234"/>
      <c r="HP234"/>
      <c r="HQ234"/>
      <c r="HR234"/>
      <c r="HS234"/>
      <c r="HT234"/>
      <c r="HU234"/>
      <c r="HV234"/>
      <c r="HW234"/>
      <c r="HX234"/>
      <c r="HY234"/>
      <c r="HZ234"/>
      <c r="IA234"/>
      <c r="IB234"/>
      <c r="IC234"/>
      <c r="ID234"/>
      <c r="IE234"/>
      <c r="IF234"/>
      <c r="IG234"/>
      <c r="IH234"/>
      <c r="II234"/>
      <c r="IJ234"/>
      <c r="IK234"/>
      <c r="IL234"/>
      <c r="IM234"/>
      <c r="IN234"/>
      <c r="IO234"/>
      <c r="IP234"/>
      <c r="IQ234"/>
      <c r="IR234"/>
      <c r="IS234"/>
      <c r="IT234"/>
      <c r="IU234"/>
      <c r="IV234"/>
      <c r="IW234"/>
      <c r="IX234"/>
      <c r="IY234"/>
      <c r="IZ234"/>
    </row>
    <row r="235" spans="1:260" s="4" customFormat="1" x14ac:dyDescent="0.2">
      <c r="A235" s="395" t="s">
        <v>647</v>
      </c>
      <c r="B235" s="864"/>
      <c r="C235" s="864"/>
      <c r="D235" s="864"/>
      <c r="E235" s="67"/>
      <c r="F235" s="864"/>
      <c r="G235" s="864"/>
      <c r="H235" s="864"/>
      <c r="I235" s="67"/>
      <c r="J235" s="864"/>
      <c r="K235" s="864"/>
      <c r="L235" s="864"/>
      <c r="M235" s="67"/>
      <c r="N235" s="864"/>
      <c r="O235" s="864"/>
      <c r="P235" s="864"/>
      <c r="Q235" s="67"/>
      <c r="R235" s="864"/>
      <c r="S235" s="864"/>
      <c r="T235" s="864"/>
      <c r="U235" s="67"/>
      <c r="V235" s="864"/>
      <c r="W235" s="864"/>
      <c r="X235" s="864"/>
      <c r="Y235" s="67"/>
      <c r="Z235" s="864"/>
      <c r="AA235" s="864"/>
      <c r="AB235" s="864"/>
      <c r="AC235" s="67"/>
      <c r="AD235" s="864"/>
      <c r="AE235" s="864"/>
      <c r="AF235" s="864"/>
      <c r="AG235" s="67"/>
      <c r="AH235" s="864"/>
      <c r="AI235" s="864"/>
      <c r="AJ235" s="864"/>
      <c r="AK235" s="67"/>
      <c r="AL235" s="864"/>
      <c r="AM235" s="864"/>
      <c r="AN235" s="864"/>
      <c r="AO235" s="67"/>
      <c r="AP235" s="864"/>
      <c r="AQ235" s="864"/>
      <c r="AR235" s="864"/>
      <c r="AS235" s="67"/>
      <c r="AT235" s="864"/>
      <c r="AU235" s="864"/>
      <c r="AV235" s="864"/>
      <c r="AW235" s="67"/>
      <c r="AX235" s="864"/>
      <c r="AY235" s="864"/>
      <c r="AZ235" s="864"/>
      <c r="BA235" s="67"/>
      <c r="BB235" s="67">
        <f t="shared" si="619"/>
        <v>-1.3692744590815487E-2</v>
      </c>
      <c r="BC235" s="67">
        <f t="shared" si="619"/>
        <v>-7.2066904664784492E-2</v>
      </c>
      <c r="BD235" s="67">
        <f t="shared" si="619"/>
        <v>-8.1972604108283997E-2</v>
      </c>
      <c r="BE235" s="67">
        <f t="shared" si="619"/>
        <v>-5.9372766985289593E-2</v>
      </c>
      <c r="BF235" s="67">
        <f t="shared" si="619"/>
        <v>-6.906068323180603E-2</v>
      </c>
      <c r="BG235" s="67">
        <f t="shared" si="619"/>
        <v>-4.4971960778013353E-2</v>
      </c>
      <c r="BH235" s="67">
        <f t="shared" si="619"/>
        <v>-2.2064011590432475E-3</v>
      </c>
      <c r="BI235" s="67">
        <f t="shared" si="619"/>
        <v>-7.3085158973643871E-2</v>
      </c>
      <c r="BJ235" s="1865">
        <f t="shared" si="619"/>
        <v>2.1218037206796936E-2</v>
      </c>
      <c r="BK235" s="1863">
        <f t="shared" si="619"/>
        <v>5.247887552374908E-2</v>
      </c>
      <c r="BL235" s="1863">
        <f t="shared" si="620"/>
        <v>0.16822348467260317</v>
      </c>
      <c r="BM235" s="1866">
        <f t="shared" si="620"/>
        <v>9.9838905861490579E-2</v>
      </c>
      <c r="BN235" s="1865">
        <f t="shared" si="620"/>
        <v>7.672386843788126E-2</v>
      </c>
      <c r="BO235" s="1863">
        <f t="shared" si="620"/>
        <v>7.9312134576809523E-2</v>
      </c>
      <c r="BP235" s="1863">
        <f t="shared" si="620"/>
        <v>-7.1708415238851853E-2</v>
      </c>
      <c r="BQ235" s="1866">
        <f t="shared" si="620"/>
        <v>3.4329299114784551E-2</v>
      </c>
      <c r="BR235" s="1865">
        <f t="shared" si="620"/>
        <v>8.3575111269100555E-2</v>
      </c>
      <c r="BS235" s="1863">
        <f t="shared" si="620"/>
        <v>3.6015923753449641E-3</v>
      </c>
      <c r="BT235" s="1863">
        <f t="shared" si="620"/>
        <v>-2.3144396332993589E-2</v>
      </c>
      <c r="BU235" s="1866">
        <f t="shared" si="620"/>
        <v>-1.664122311860694E-2</v>
      </c>
      <c r="BV235" s="1865">
        <f t="shared" si="621"/>
        <v>-2.9394797986692089E-2</v>
      </c>
      <c r="BW235" s="1863">
        <f t="shared" si="621"/>
        <v>2.8925161501041075E-3</v>
      </c>
      <c r="BX235" s="1863">
        <f t="shared" si="621"/>
        <v>-1.8565931845623829E-2</v>
      </c>
      <c r="BY235" s="1866">
        <f t="shared" si="621"/>
        <v>-3.2749078067973558E-2</v>
      </c>
      <c r="BZ235" s="1865">
        <f t="shared" si="621"/>
        <v>8.2668321044570003E-3</v>
      </c>
      <c r="CA235" s="1863">
        <f t="shared" si="621"/>
        <v>-3.1520926522619064E-2</v>
      </c>
      <c r="CB235" s="1863">
        <f t="shared" si="621"/>
        <v>-4.1480559836947095E-2</v>
      </c>
      <c r="CC235" s="1866">
        <f t="shared" si="621"/>
        <v>1.9519717687706883E-2</v>
      </c>
      <c r="CD235" s="1865">
        <f t="shared" si="621"/>
        <v>-1.8979497006667123E-2</v>
      </c>
      <c r="CE235" s="1863">
        <f t="shared" si="621"/>
        <v>1.673154429817636E-4</v>
      </c>
      <c r="CF235" s="1863">
        <f t="shared" si="622"/>
        <v>-1.4152359518528224E-2</v>
      </c>
      <c r="CG235" s="1866">
        <f t="shared" si="622"/>
        <v>-3.3575621941987932E-2</v>
      </c>
      <c r="CH235" s="1865">
        <f t="shared" si="622"/>
        <v>-1.3321203949032689E-3</v>
      </c>
      <c r="CI235" s="1863">
        <f t="shared" si="622"/>
        <v>-3.4367524508625347E-2</v>
      </c>
      <c r="CJ235" s="1863">
        <f t="shared" si="622"/>
        <v>3.637792150039254E-2</v>
      </c>
      <c r="CK235" s="1866">
        <f t="shared" si="622"/>
        <v>9.5427405047128433E-2</v>
      </c>
      <c r="CL235" s="1865">
        <f t="shared" si="622"/>
        <v>-3.4560977441019936E-2</v>
      </c>
      <c r="CM235" s="1863">
        <f t="shared" si="622"/>
        <v>3.1605279094030214E-2</v>
      </c>
      <c r="CN235" s="1863">
        <f t="shared" si="622"/>
        <v>3.587589088299481E-2</v>
      </c>
      <c r="CO235" s="1866">
        <f t="shared" si="622"/>
        <v>3.6576277834745596E-2</v>
      </c>
      <c r="CP235" s="1865">
        <f t="shared" si="623"/>
        <v>-0.12053508416302494</v>
      </c>
      <c r="CQ235" s="1863">
        <f t="shared" si="623"/>
        <v>-7.9807692307692246E-2</v>
      </c>
      <c r="CR235" s="1863">
        <f t="shared" si="623"/>
        <v>-0.10675182481751833</v>
      </c>
      <c r="CS235" s="1866">
        <f t="shared" si="623"/>
        <v>-0.1175762439807384</v>
      </c>
      <c r="CT235" s="1864">
        <f t="shared" si="623"/>
        <v>1.866269281129096E-3</v>
      </c>
      <c r="CU235" s="1864">
        <f t="shared" si="623"/>
        <v>-8.6668322484601878E-2</v>
      </c>
      <c r="CV235" s="1864">
        <f t="shared" si="623"/>
        <v>-4.1758218101596412E-2</v>
      </c>
      <c r="CW235" s="1866">
        <f t="shared" si="623"/>
        <v>1.3533562161651913E-2</v>
      </c>
      <c r="CX235" s="1353">
        <f t="shared" si="623"/>
        <v>3.389866723509094E-2</v>
      </c>
      <c r="CY235" s="1353">
        <f t="shared" si="623"/>
        <v>9.301679555624065E-2</v>
      </c>
      <c r="CZ235" s="1867">
        <f t="shared" si="624"/>
        <v>5.6109609542959848E-2</v>
      </c>
      <c r="DA235" s="1868">
        <f t="shared" si="624"/>
        <v>3.1291360755755893E-2</v>
      </c>
      <c r="DB235" s="1550">
        <f t="shared" si="624"/>
        <v>1.491290079322205E-2</v>
      </c>
      <c r="DC235" s="1353">
        <f t="shared" si="624"/>
        <v>-7.7895721703857834E-3</v>
      </c>
      <c r="DD235" s="1550">
        <f t="shared" si="624"/>
        <v>2.3582825692388898E-2</v>
      </c>
      <c r="DE235" s="1861">
        <f t="shared" si="624"/>
        <v>6.4965872171196537E-4</v>
      </c>
      <c r="DF235" s="1353">
        <f t="shared" si="624"/>
        <v>9.0723470007174623E-3</v>
      </c>
      <c r="DG235" s="1353">
        <f t="shared" si="624"/>
        <v>4.0987024852234155E-2</v>
      </c>
      <c r="DH235" s="1353">
        <f t="shared" si="624"/>
        <v>3.2492105782514269E-2</v>
      </c>
      <c r="DI235" s="1861">
        <f t="shared" si="624"/>
        <v>0.15466551660242156</v>
      </c>
      <c r="DJ235" s="2710">
        <f t="shared" si="624"/>
        <v>4.3051516401294787E-2</v>
      </c>
      <c r="DK235" s="1353">
        <f t="shared" si="624"/>
        <v>3.2946914863149157E-2</v>
      </c>
      <c r="DL235" s="1353">
        <f t="shared" si="624"/>
        <v>3.0373717984969684E-2</v>
      </c>
      <c r="DM235" s="1861">
        <f t="shared" si="624"/>
        <v>1.9641812275529746E-2</v>
      </c>
      <c r="DN235" s="578"/>
      <c r="DO235" s="572"/>
      <c r="DP235" s="219"/>
      <c r="DQ235" s="864"/>
      <c r="DR235" s="864"/>
      <c r="DS235" s="864"/>
      <c r="DT235" s="864"/>
      <c r="DU235" s="864"/>
      <c r="DV235" s="864"/>
      <c r="DW235" s="864"/>
      <c r="DX235" s="864"/>
      <c r="DY235" s="864"/>
      <c r="DZ235" s="864"/>
      <c r="EA235" s="864"/>
      <c r="EB235" s="864"/>
      <c r="EC235" s="864"/>
      <c r="ED235" s="864"/>
      <c r="EE235" s="864"/>
      <c r="EF235" s="864"/>
      <c r="EG235" s="864"/>
      <c r="EH235" s="864"/>
      <c r="EI235" s="864"/>
      <c r="EJ235" s="208"/>
      <c r="EK235" s="208"/>
      <c r="EL235" s="208"/>
      <c r="EM235" s="208"/>
      <c r="EN235" s="208"/>
      <c r="EO235" s="208"/>
      <c r="EP235" s="208"/>
      <c r="EQ235" s="208"/>
      <c r="ER235" s="208"/>
      <c r="ES235" s="208"/>
      <c r="ET235" s="208"/>
      <c r="EU235" s="1550">
        <f t="shared" ref="EU235:FH235" si="627">+IFERROR(EU166/ET166-1,"NA")</f>
        <v>-0.10857654031085762</v>
      </c>
      <c r="EV235" s="1550">
        <f t="shared" si="627"/>
        <v>3.5808412425436753E-2</v>
      </c>
      <c r="EW235" s="1550">
        <f t="shared" si="627"/>
        <v>3.1774645462295359E-2</v>
      </c>
      <c r="EX235" s="1550">
        <f t="shared" si="627"/>
        <v>2.2238642654392127E-2</v>
      </c>
      <c r="EY235" s="1550">
        <f t="shared" si="627"/>
        <v>7.1312566184019488E-2</v>
      </c>
      <c r="EZ235" s="1777">
        <f t="shared" si="627"/>
        <v>2.1700893836811286E-2</v>
      </c>
      <c r="FA235" s="208">
        <f t="shared" si="627"/>
        <v>1.9850366780994388E-2</v>
      </c>
      <c r="FB235" s="208">
        <f t="shared" si="627"/>
        <v>1.4648708707957203E-2</v>
      </c>
      <c r="FC235" s="208">
        <f t="shared" si="627"/>
        <v>1.3952593453058659E-2</v>
      </c>
      <c r="FD235" s="208">
        <f t="shared" si="627"/>
        <v>1.6607643078021095E-2</v>
      </c>
      <c r="FE235" s="208">
        <f t="shared" si="627"/>
        <v>1.6959116880506553E-2</v>
      </c>
      <c r="FF235" s="208">
        <f t="shared" si="627"/>
        <v>1.7319846184198351E-2</v>
      </c>
      <c r="FG235" s="208">
        <f t="shared" si="627"/>
        <v>1.7689849135183566E-2</v>
      </c>
      <c r="FH235" s="208">
        <f t="shared" si="627"/>
        <v>1.8069124322225072E-2</v>
      </c>
      <c r="FI235" s="1157"/>
      <c r="FJ235"/>
      <c r="FK235"/>
      <c r="FL235"/>
      <c r="FM235"/>
      <c r="FN235"/>
      <c r="FO235"/>
      <c r="FS235" s="70"/>
      <c r="FT235" s="70"/>
      <c r="FU235"/>
      <c r="FV235" s="1353"/>
      <c r="FW235" s="197"/>
      <c r="FX235" s="197"/>
      <c r="FY235"/>
      <c r="FZ235"/>
      <c r="GA235"/>
      <c r="GB235"/>
      <c r="GC235"/>
      <c r="GD235"/>
      <c r="GE235"/>
      <c r="GF235"/>
      <c r="GG235"/>
      <c r="GH235"/>
      <c r="GI235"/>
      <c r="GJ235"/>
      <c r="GK235"/>
      <c r="GL235"/>
      <c r="GM235"/>
      <c r="GN235"/>
      <c r="GO235"/>
      <c r="GP235"/>
      <c r="GQ235"/>
      <c r="GR235"/>
      <c r="GS235"/>
      <c r="GT235"/>
      <c r="GU235"/>
      <c r="GV235"/>
      <c r="GW235"/>
      <c r="GX235"/>
      <c r="GY235"/>
      <c r="GZ235"/>
      <c r="HA235"/>
      <c r="HB235"/>
      <c r="HC235"/>
      <c r="HD235"/>
      <c r="HE235"/>
      <c r="HF235"/>
      <c r="HG235"/>
      <c r="HH235"/>
      <c r="HI235"/>
      <c r="HJ235"/>
      <c r="HK235"/>
      <c r="HL235"/>
      <c r="HM235"/>
      <c r="HN235"/>
      <c r="HO235"/>
      <c r="HP235"/>
      <c r="HQ235"/>
      <c r="HR235"/>
      <c r="HS235"/>
      <c r="HT235"/>
      <c r="HU235"/>
      <c r="HV235"/>
      <c r="HW235"/>
      <c r="HX235"/>
      <c r="HY235"/>
      <c r="HZ235"/>
      <c r="IA235"/>
      <c r="IB235"/>
      <c r="IC235"/>
      <c r="ID235"/>
      <c r="IE235"/>
      <c r="IF235"/>
      <c r="IG235"/>
      <c r="IH235"/>
      <c r="II235"/>
      <c r="IJ235"/>
      <c r="IK235"/>
      <c r="IL235"/>
      <c r="IM235"/>
      <c r="IN235"/>
      <c r="IO235"/>
      <c r="IP235"/>
      <c r="IQ235"/>
      <c r="IR235"/>
      <c r="IS235"/>
      <c r="IT235"/>
      <c r="IU235"/>
      <c r="IV235"/>
      <c r="IW235"/>
      <c r="IX235"/>
      <c r="IY235"/>
      <c r="IZ235"/>
    </row>
    <row r="236" spans="1:260" s="4" customFormat="1" x14ac:dyDescent="0.2">
      <c r="A236" s="287"/>
      <c r="B236" s="213"/>
      <c r="C236" s="213"/>
      <c r="D236" s="213"/>
      <c r="E236" s="490"/>
      <c r="F236" s="213"/>
      <c r="G236" s="213"/>
      <c r="H236" s="213"/>
      <c r="I236" s="490"/>
      <c r="J236" s="213"/>
      <c r="K236" s="213"/>
      <c r="L236" s="213"/>
      <c r="M236" s="490"/>
      <c r="N236" s="213"/>
      <c r="O236" s="213"/>
      <c r="P236" s="213"/>
      <c r="Q236" s="490"/>
      <c r="R236" s="213"/>
      <c r="S236" s="213"/>
      <c r="T236" s="213"/>
      <c r="U236" s="490"/>
      <c r="V236" s="213"/>
      <c r="W236" s="213"/>
      <c r="X236" s="213"/>
      <c r="Y236" s="490"/>
      <c r="Z236" s="213"/>
      <c r="AA236" s="213"/>
      <c r="AB236" s="213"/>
      <c r="AC236" s="490"/>
      <c r="AD236" s="213"/>
      <c r="AE236" s="213"/>
      <c r="AF236" s="213"/>
      <c r="AG236" s="490"/>
      <c r="AH236" s="213"/>
      <c r="AI236" s="213"/>
      <c r="AJ236" s="213"/>
      <c r="AK236" s="490"/>
      <c r="AL236" s="213"/>
      <c r="AM236" s="213"/>
      <c r="AN236" s="213"/>
      <c r="AO236" s="490"/>
      <c r="AP236" s="213"/>
      <c r="AQ236" s="213"/>
      <c r="AR236" s="213"/>
      <c r="AS236" s="490"/>
      <c r="AT236" s="213"/>
      <c r="AU236" s="213"/>
      <c r="AV236" s="213"/>
      <c r="AW236" s="490"/>
      <c r="AX236" s="213"/>
      <c r="AY236" s="213"/>
      <c r="AZ236" s="213"/>
      <c r="BA236" s="490"/>
      <c r="BB236" s="77"/>
      <c r="BC236" s="77"/>
      <c r="BD236" s="77"/>
      <c r="BE236" s="487"/>
      <c r="BF236" s="77"/>
      <c r="BG236" s="77"/>
      <c r="BH236" s="77"/>
      <c r="BI236" s="487"/>
      <c r="BJ236" s="1819"/>
      <c r="BK236" s="1862"/>
      <c r="BL236" s="1862"/>
      <c r="BM236" s="1416"/>
      <c r="BN236" s="1819"/>
      <c r="BO236" s="1862"/>
      <c r="BP236" s="1862"/>
      <c r="BQ236" s="1416"/>
      <c r="BR236" s="1819"/>
      <c r="BS236" s="1862"/>
      <c r="BT236" s="1862"/>
      <c r="BU236" s="1416"/>
      <c r="BV236" s="1819"/>
      <c r="BW236" s="1862"/>
      <c r="BX236" s="1862"/>
      <c r="BY236" s="1416"/>
      <c r="BZ236" s="1819"/>
      <c r="CA236" s="1862"/>
      <c r="CB236" s="1862"/>
      <c r="CC236" s="1416"/>
      <c r="CD236" s="1819"/>
      <c r="CE236" s="1862"/>
      <c r="CF236" s="1862"/>
      <c r="CG236" s="1416"/>
      <c r="CH236" s="1819"/>
      <c r="CI236" s="1862"/>
      <c r="CJ236" s="1862"/>
      <c r="CK236" s="1416"/>
      <c r="CL236" s="1819"/>
      <c r="CM236" s="1862"/>
      <c r="CN236" s="1862"/>
      <c r="CO236" s="1416"/>
      <c r="CP236" s="1819"/>
      <c r="CQ236" s="1862"/>
      <c r="CR236" s="1862"/>
      <c r="CS236" s="1416"/>
      <c r="CT236" s="1042"/>
      <c r="CU236" s="1042"/>
      <c r="CV236" s="1042"/>
      <c r="CW236" s="1416"/>
      <c r="CX236" s="75"/>
      <c r="CY236" s="75"/>
      <c r="CZ236" s="1042"/>
      <c r="DA236" s="1416"/>
      <c r="DB236" s="1819"/>
      <c r="DC236" s="75"/>
      <c r="DD236" s="75"/>
      <c r="DE236" s="1416"/>
      <c r="DF236" s="75"/>
      <c r="DG236" s="75"/>
      <c r="DH236" s="75"/>
      <c r="DI236" s="1416"/>
      <c r="DJ236" s="2709"/>
      <c r="DK236" s="75"/>
      <c r="DL236" s="75"/>
      <c r="DM236" s="1416"/>
      <c r="DN236" s="580"/>
      <c r="DO236" s="487"/>
      <c r="DP236" s="219"/>
      <c r="DQ236" s="213"/>
      <c r="DR236" s="213"/>
      <c r="DS236" s="213"/>
      <c r="DT236" s="213"/>
      <c r="DU236" s="213"/>
      <c r="DV236" s="213"/>
      <c r="DW236" s="213"/>
      <c r="DX236" s="213"/>
      <c r="DY236" s="213"/>
      <c r="DZ236" s="213"/>
      <c r="EA236" s="213"/>
      <c r="EB236" s="213"/>
      <c r="EC236" s="213"/>
      <c r="ED236" s="213"/>
      <c r="EE236" s="213"/>
      <c r="EF236" s="213"/>
      <c r="EG236" s="213"/>
      <c r="EH236" s="213"/>
      <c r="EI236" s="213"/>
      <c r="EJ236" s="77"/>
      <c r="EK236" s="77"/>
      <c r="EL236" s="77"/>
      <c r="EM236" s="77"/>
      <c r="EN236" s="77"/>
      <c r="EO236" s="77"/>
      <c r="EP236" s="77"/>
      <c r="EQ236" s="77"/>
      <c r="ER236" s="77"/>
      <c r="ES236" s="77"/>
      <c r="ET236" s="77"/>
      <c r="EU236" s="77"/>
      <c r="EV236" s="77"/>
      <c r="EW236" s="77"/>
      <c r="EX236" s="77"/>
      <c r="EY236" s="77"/>
      <c r="EZ236" s="1680"/>
      <c r="FA236" s="77"/>
      <c r="FB236" s="77"/>
      <c r="FC236" s="77"/>
      <c r="FD236" s="77"/>
      <c r="FE236" s="77"/>
      <c r="FF236" s="77"/>
      <c r="FG236" s="77"/>
      <c r="FH236" s="77"/>
      <c r="FI236" s="674"/>
      <c r="FJ236"/>
      <c r="FK236"/>
      <c r="FL236"/>
      <c r="FM236"/>
      <c r="FN236"/>
      <c r="FO236"/>
      <c r="FS236" s="70"/>
      <c r="FT236" s="70"/>
      <c r="FU236"/>
      <c r="FV236" s="70"/>
      <c r="FW236" s="70"/>
      <c r="FX236" s="70"/>
      <c r="FY236"/>
      <c r="FZ236"/>
      <c r="GA236"/>
      <c r="GB236"/>
      <c r="GC236"/>
      <c r="GD236"/>
      <c r="GE236"/>
      <c r="GF236"/>
      <c r="GG236"/>
      <c r="GH236"/>
      <c r="GI236"/>
      <c r="GJ236"/>
      <c r="GK236"/>
      <c r="GL236"/>
      <c r="GM236"/>
      <c r="GN236"/>
      <c r="GO236"/>
      <c r="GP236"/>
      <c r="GQ236"/>
      <c r="GR236"/>
      <c r="GS236"/>
      <c r="GT236"/>
      <c r="GU236"/>
      <c r="GV236"/>
      <c r="GW236"/>
      <c r="GX236"/>
      <c r="GY236"/>
      <c r="GZ236"/>
      <c r="HA236"/>
      <c r="HB236"/>
      <c r="HC236"/>
      <c r="HD236"/>
      <c r="HE236"/>
      <c r="HF236"/>
      <c r="HG236"/>
      <c r="HH236"/>
      <c r="HI236"/>
      <c r="HJ236"/>
      <c r="HK236"/>
      <c r="HL236"/>
      <c r="HM236"/>
      <c r="HN236"/>
      <c r="HO236"/>
      <c r="HP236"/>
      <c r="HQ236"/>
      <c r="HR236"/>
      <c r="HS236"/>
      <c r="HT236"/>
      <c r="HU236"/>
      <c r="HV236"/>
      <c r="HW236"/>
      <c r="HX236"/>
      <c r="HY236"/>
      <c r="HZ236"/>
      <c r="IA236"/>
      <c r="IB236"/>
      <c r="IC236"/>
      <c r="ID236"/>
      <c r="IE236"/>
      <c r="IF236"/>
      <c r="IG236"/>
      <c r="IH236"/>
      <c r="II236"/>
      <c r="IJ236"/>
      <c r="IK236"/>
      <c r="IL236"/>
      <c r="IM236"/>
      <c r="IN236"/>
      <c r="IO236"/>
      <c r="IP236"/>
      <c r="IQ236"/>
      <c r="IR236"/>
      <c r="IS236"/>
      <c r="IT236"/>
      <c r="IU236"/>
      <c r="IV236"/>
      <c r="IW236"/>
      <c r="IX236"/>
      <c r="IY236"/>
      <c r="IZ236"/>
    </row>
    <row r="237" spans="1:260" s="4" customFormat="1" x14ac:dyDescent="0.2">
      <c r="A237" s="287" t="s">
        <v>355</v>
      </c>
      <c r="B237" s="213"/>
      <c r="C237" s="213"/>
      <c r="D237" s="213"/>
      <c r="E237" s="490"/>
      <c r="F237" s="213"/>
      <c r="G237" s="213"/>
      <c r="H237" s="213"/>
      <c r="I237" s="490"/>
      <c r="J237" s="213"/>
      <c r="K237" s="213"/>
      <c r="L237" s="213"/>
      <c r="M237" s="490"/>
      <c r="N237" s="213"/>
      <c r="O237" s="213"/>
      <c r="P237" s="213"/>
      <c r="Q237" s="490"/>
      <c r="R237" s="213"/>
      <c r="S237" s="213"/>
      <c r="T237" s="213"/>
      <c r="U237" s="490"/>
      <c r="V237" s="213"/>
      <c r="W237" s="213"/>
      <c r="X237" s="213"/>
      <c r="Y237" s="490"/>
      <c r="Z237" s="213"/>
      <c r="AA237" s="213"/>
      <c r="AB237" s="213"/>
      <c r="AC237" s="490"/>
      <c r="AD237" s="213"/>
      <c r="AE237" s="213"/>
      <c r="AF237" s="213"/>
      <c r="AG237" s="490"/>
      <c r="AH237" s="213"/>
      <c r="AI237" s="213"/>
      <c r="AJ237" s="213"/>
      <c r="AK237" s="490"/>
      <c r="AL237" s="213"/>
      <c r="AM237" s="213"/>
      <c r="AN237" s="213"/>
      <c r="AO237" s="490"/>
      <c r="AP237" s="213"/>
      <c r="AQ237" s="213"/>
      <c r="AR237" s="213"/>
      <c r="AS237" s="490"/>
      <c r="AT237" s="213"/>
      <c r="AU237" s="213"/>
      <c r="AV237" s="213"/>
      <c r="AW237" s="490"/>
      <c r="AX237" s="213"/>
      <c r="AY237" s="213"/>
      <c r="AZ237" s="213"/>
      <c r="BA237" s="490"/>
      <c r="BB237" s="77">
        <f>'Income Statement'!BB168/'Income Statement'!AX168-1</f>
        <v>0.37864783380828371</v>
      </c>
      <c r="BC237" s="77">
        <f>'Income Statement'!BC168/'Income Statement'!AY168-1</f>
        <v>0.29229323308270616</v>
      </c>
      <c r="BD237" s="77">
        <f>'Income Statement'!BD168/'Income Statement'!AZ168-1</f>
        <v>-6.1520562496837461E-2</v>
      </c>
      <c r="BE237" s="487">
        <f>'Income Statement'!BE168/'Income Statement'!BA168-1</f>
        <v>0.17777767822343238</v>
      </c>
      <c r="BF237" s="77">
        <f>'Income Statement'!BF168/'Income Statement'!BB168-1</f>
        <v>-0.19215306819407274</v>
      </c>
      <c r="BG237" s="77">
        <f>'Income Statement'!BG168/'Income Statement'!BC168-1</f>
        <v>8.4848484848484951E-2</v>
      </c>
      <c r="BH237" s="77">
        <f>'Income Statement'!BH168/'Income Statement'!BD168-1</f>
        <v>0.77331723513431694</v>
      </c>
      <c r="BI237" s="487">
        <f>'Income Statement'!BI168/'Income Statement'!BE168-1</f>
        <v>-9.128946367439994E-3</v>
      </c>
      <c r="BJ237" s="1819">
        <f>'Income Statement'!BJ168/'Income Statement'!BF168-1</f>
        <v>2.7185178867425996E-2</v>
      </c>
      <c r="BK237" s="1862">
        <f>'Income Statement'!BK168/'Income Statement'!BG168-1</f>
        <v>-0.12011173184357538</v>
      </c>
      <c r="BL237" s="1862">
        <f>'Income Statement'!BL168/'Income Statement'!BH168-1</f>
        <v>-0.14073928534436986</v>
      </c>
      <c r="BM237" s="1416">
        <f>'Income Statement'!BM168/'Income Statement'!BI168-1</f>
        <v>-2.0153550863723613E-2</v>
      </c>
      <c r="BN237" s="1819">
        <f>'Income Statement'!BN168/'Income Statement'!BJ168-1</f>
        <v>0.18411552346570392</v>
      </c>
      <c r="BO237" s="1862">
        <f>'Income Statement'!BO168/'Income Statement'!BK168-1</f>
        <v>0</v>
      </c>
      <c r="BP237" s="1862">
        <f>'Income Statement'!BP168/'Income Statement'!BL168-1</f>
        <v>0.24868774979138619</v>
      </c>
      <c r="BQ237" s="1416">
        <f>'Income Statement'!BQ168/'Income Statement'!BM168-1</f>
        <v>7.7375122428990917E-2</v>
      </c>
      <c r="BR237" s="1819">
        <f>'Income Statement'!BR168/'Income Statement'!BN168-1</f>
        <v>-9.1463414634146312E-2</v>
      </c>
      <c r="BS237" s="1862">
        <f>'Income Statement'!BS168/'Income Statement'!BO168-1</f>
        <v>0.29206349206349214</v>
      </c>
      <c r="BT237" s="1862">
        <f>'Income Statement'!BT168/'Income Statement'!BP168-1</f>
        <v>-3.682719546742208E-2</v>
      </c>
      <c r="BU237" s="1416">
        <f>'Income Statement'!BU168/'Income Statement'!BQ168-1</f>
        <v>-5.7272727272727031E-2</v>
      </c>
      <c r="BV237" s="1819">
        <f>'Income Statement'!BV168/'Income Statement'!BR168-1</f>
        <v>-0.20805369127516782</v>
      </c>
      <c r="BW237" s="1862">
        <f>'Income Statement'!BW168/'Income Statement'!BS168-1</f>
        <v>-0.25061425061425113</v>
      </c>
      <c r="BX237" s="1862">
        <f>'Income Statement'!BX168/'Income Statement'!BT168-1</f>
        <v>-0.27647058823529413</v>
      </c>
      <c r="BY237" s="1416">
        <f>'Income Statement'!BY168/'Income Statement'!BU168-1</f>
        <v>6.2680810028929557E-2</v>
      </c>
      <c r="BZ237" s="1819">
        <f>'Income Statement'!BZ168/'Income Statement'!BN168-1</f>
        <v>0.16768292682926833</v>
      </c>
      <c r="CA237" s="1862">
        <f>'Income Statement'!CA168/'Income Statement'!BO168-1</f>
        <v>0.14285714285714279</v>
      </c>
      <c r="CB237" s="1862">
        <f>'Income Statement'!CB168/'Income Statement'!BP168-1</f>
        <v>-6.7988668555240772E-2</v>
      </c>
      <c r="CC237" s="1416">
        <f>'Income Statement'!CC168/'Income Statement'!BQ168-1</f>
        <v>-0.10181818181818159</v>
      </c>
      <c r="CD237" s="1819">
        <f>'Income Statement'!CD168/'Income Statement'!BZ168-1</f>
        <v>-4.4386422976501305E-2</v>
      </c>
      <c r="CE237" s="1862">
        <f>'Income Statement'!CE168/'Income Statement'!CA168-1</f>
        <v>-0.33611111111111114</v>
      </c>
      <c r="CF237" s="1862">
        <f>'Income Statement'!CF168/'Income Statement'!CB168-1</f>
        <v>-0.24316109422492405</v>
      </c>
      <c r="CG237" s="1416">
        <f>'Income Statement'!CG168/'Income Statement'!CC168-1</f>
        <v>-5.6680161943319818E-2</v>
      </c>
      <c r="CH237" s="1819">
        <f>'Income Statement'!CH168/'Income Statement'!CD168-1</f>
        <v>0.15300546448087426</v>
      </c>
      <c r="CI237" s="1862">
        <f>'Income Statement'!CI168/'Income Statement'!CE168-1</f>
        <v>-0.27196652719665271</v>
      </c>
      <c r="CJ237" s="1862">
        <f>'Income Statement'!CJ168/'Income Statement'!CF168-1</f>
        <v>-0.79919678714859432</v>
      </c>
      <c r="CK237" s="1416">
        <f>'Income Statement'!CK168/'Income Statement'!CG168-1</f>
        <v>-0.2027896995708155</v>
      </c>
      <c r="CL237" s="1819">
        <f>'Income Statement'!CL168/411-1</f>
        <v>5.8394160583941535E-2</v>
      </c>
      <c r="CM237" s="1862">
        <f>'Income Statement'!CM168/308-1</f>
        <v>-0.43181818181818177</v>
      </c>
      <c r="CN237" s="1862">
        <f>'Income Statement'!CN168/339-1</f>
        <v>-0.85250737463126847</v>
      </c>
      <c r="CO237" s="1416">
        <f>'Income Statement'!CO168/1094-1</f>
        <v>-0.32084095063985374</v>
      </c>
      <c r="CP237" s="1819">
        <f>'Income Statement'!CP168/'Income Statement'!CL168-1</f>
        <v>-0.47816091954022988</v>
      </c>
      <c r="CQ237" s="1862">
        <f>'Income Statement'!CQ168/308-1</f>
        <v>-0.33441558441558439</v>
      </c>
      <c r="CR237" s="1862">
        <f>'Income Statement'!CR168/339-1</f>
        <v>-0.58112094395280234</v>
      </c>
      <c r="CS237" s="1416">
        <f>'Income Statement'!CS168/'Income Statement'!CO168-1</f>
        <v>-0.26110363391655456</v>
      </c>
      <c r="CT237" s="1042">
        <f>'Income Statement'!CT168/'Income Statement'!CP168-1</f>
        <v>3.9647577092511099E-2</v>
      </c>
      <c r="CU237" s="1042">
        <f>'Income Statement'!CU168/'Income Statement'!CQ168-1</f>
        <v>0.31219512195121957</v>
      </c>
      <c r="CV237" s="1042">
        <f>'Income Statement'!CV168/'Income Statement'!CR168-1</f>
        <v>0.5140845070422535</v>
      </c>
      <c r="CW237" s="1416">
        <f>'Income Statement'!CW168/'Income Statement'!CS168-1</f>
        <v>0.36976320582877964</v>
      </c>
      <c r="CX237" s="1864">
        <f>'Income Statement'!CX168/'Income Statement'!CT168-1</f>
        <v>-4.237288135593209E-3</v>
      </c>
      <c r="CY237" s="75">
        <f>'Income Statement'!CY168/'Income Statement'!CU168-1</f>
        <v>0.12267657992565062</v>
      </c>
      <c r="CZ237" s="75">
        <f>'Income Statement'!CZ168/'Income Statement'!CV168-1</f>
        <v>0.14418604651162781</v>
      </c>
      <c r="DA237" s="1416">
        <f>'Income Statement'!DA168/'Income Statement'!CW168-1</f>
        <v>-3.0585106382978733E-2</v>
      </c>
      <c r="DB237" s="1819">
        <f>'Income Statement'!DB168/'Income Statement'!CX168-1</f>
        <v>1.2765957446808418E-2</v>
      </c>
      <c r="DC237" s="75">
        <f>'Income Statement'!DC168/'Income Statement'!CY168-1</f>
        <v>-4.9668874172185462E-2</v>
      </c>
      <c r="DD237" s="75">
        <f>'Income Statement'!DD168/'Income Statement'!CZ168-1</f>
        <v>0.21951219512195119</v>
      </c>
      <c r="DE237" s="1416">
        <f>'Income Statement'!DE168/'Income Statement'!DA168-1</f>
        <v>0.10973936899862835</v>
      </c>
      <c r="DF237" s="75">
        <f>'Income Statement'!DF168/'Income Statement'!DB168-1</f>
        <v>0.25210084033613445</v>
      </c>
      <c r="DG237" s="75">
        <f>'Income Statement'!DG168/'Income Statement'!DC168-1</f>
        <v>0.10104529616724744</v>
      </c>
      <c r="DH237" s="75">
        <f>'Income Statement'!DH168/'Income Statement'!DD168-1</f>
        <v>0.14999999999999991</v>
      </c>
      <c r="DI237" s="1416">
        <f>'Income Statement'!DI168/'Income Statement'!DE168-1</f>
        <v>0.10877626699629173</v>
      </c>
      <c r="DJ237" s="2709">
        <f>'Income Statement'!DJ168/'Income Statement'!DF168-1</f>
        <v>-2.3399979098383872E-2</v>
      </c>
      <c r="DK237" s="75">
        <f>'Income Statement'!DK168/'Income Statement'!DG168-1</f>
        <v>4.6721631429558208E-4</v>
      </c>
      <c r="DL237" s="75">
        <f>'Income Statement'!DL168/'Income Statement'!DH168-1</f>
        <v>1.735401787681301E-2</v>
      </c>
      <c r="DM237" s="1416">
        <f>'Income Statement'!DM168/'Income Statement'!DI168-1</f>
        <v>-7.2280419929706685E-3</v>
      </c>
      <c r="DN237" s="580"/>
      <c r="DO237" s="487"/>
      <c r="DP237" s="219"/>
      <c r="DQ237" s="213" t="s">
        <v>483</v>
      </c>
      <c r="DR237" s="213" t="s">
        <v>483</v>
      </c>
      <c r="DS237" s="213" t="s">
        <v>483</v>
      </c>
      <c r="DT237" s="213" t="s">
        <v>483</v>
      </c>
      <c r="DU237" s="213" t="s">
        <v>483</v>
      </c>
      <c r="DV237" s="213" t="s">
        <v>483</v>
      </c>
      <c r="DW237" s="213" t="s">
        <v>483</v>
      </c>
      <c r="DX237" s="213" t="s">
        <v>483</v>
      </c>
      <c r="DY237" s="213" t="s">
        <v>483</v>
      </c>
      <c r="DZ237" s="213" t="s">
        <v>483</v>
      </c>
      <c r="EA237" s="213" t="s">
        <v>483</v>
      </c>
      <c r="EB237" s="213" t="s">
        <v>483</v>
      </c>
      <c r="EC237" s="213" t="s">
        <v>483</v>
      </c>
      <c r="ED237" s="213" t="s">
        <v>483</v>
      </c>
      <c r="EE237" s="213" t="s">
        <v>483</v>
      </c>
      <c r="EF237" s="213" t="s">
        <v>483</v>
      </c>
      <c r="EG237" s="213" t="s">
        <v>483</v>
      </c>
      <c r="EH237" s="213" t="s">
        <v>483</v>
      </c>
      <c r="EI237" s="213" t="s">
        <v>483</v>
      </c>
      <c r="EJ237" s="77">
        <f>'Income Statement'!EJ168/'Income Statement'!EI168-1</f>
        <v>0.14083908045977034</v>
      </c>
      <c r="EK237" s="77">
        <f>'Income Statement'!EK168/'Income Statement'!EJ168-1</f>
        <v>0.19702930893776482</v>
      </c>
      <c r="EL237" s="77">
        <f>'Income Statement'!EL168/'Income Statement'!EK168-1</f>
        <v>5.1410880932591274E-2</v>
      </c>
      <c r="EM237" s="77">
        <f>'Income Statement'!EM168/'Income Statement'!EL168-1</f>
        <v>-5.1520399264859629E-2</v>
      </c>
      <c r="EN237" s="77">
        <f>'Income Statement'!EN168/'Income Statement'!EM168-1</f>
        <v>0.10566205920007343</v>
      </c>
      <c r="EO237" s="77">
        <f>'Income Statement'!EO168/'Income Statement'!EN168-1</f>
        <v>-6.6793893129770687E-3</v>
      </c>
      <c r="EP237" s="77">
        <f>'Income Statement'!EP168/'Income Statement'!EO168-1</f>
        <v>-9.2699327569644718E-2</v>
      </c>
      <c r="EQ237" s="77">
        <f>'Income Statement'!EQ168/'Income Statement'!EN168-1</f>
        <v>-1.717557251908397E-2</v>
      </c>
      <c r="ER237" s="77">
        <f>'Income Statement'!ER168/'Income Statement'!EQ168-1</f>
        <v>-0.13300970873786411</v>
      </c>
      <c r="ES237" s="77">
        <f>'Income Statement'!ES168/'Income Statement'!ER168-1</f>
        <v>-0.22228443449048152</v>
      </c>
      <c r="ET237" s="77">
        <f>'Income Statement'!ET168/2152-1</f>
        <v>-0.34804832713754652</v>
      </c>
      <c r="EU237" s="77">
        <f>'Income Statement'!EU168/'Income Statement'!ES168-1</f>
        <v>-0.19150467962563</v>
      </c>
      <c r="EV237" s="77">
        <f>'Income Statement'!EV168/'Income Statement'!EU168-1</f>
        <v>0.3107747105966161</v>
      </c>
      <c r="EW237" s="77">
        <f>'Income Statement'!EW168/'Income Statement'!EV168-1</f>
        <v>2.7173913043478271E-2</v>
      </c>
      <c r="EX237" s="77">
        <f>'Income Statement'!EX168/'Income Statement'!EW168-1</f>
        <v>8.0687830687830697E-2</v>
      </c>
      <c r="EY237" s="77">
        <f>'Income Statement'!EY168/'Income Statement'!EX168-1</f>
        <v>0.13586291309669529</v>
      </c>
      <c r="EZ237" s="1680">
        <f>'Income Statement'!EZ168/'Income Statement'!EY168-1</f>
        <v>-3.9450274332948343E-3</v>
      </c>
      <c r="FA237" s="77">
        <f>'Income Statement'!FA168/'Income Statement'!EZ168-1</f>
        <v>2.3192847252335502E-2</v>
      </c>
      <c r="FB237" s="77">
        <f>'Income Statement'!FB168/'Income Statement'!FA168-1</f>
        <v>2.6581693354575497E-2</v>
      </c>
      <c r="FC237" s="77">
        <f>'Income Statement'!FC168/'Income Statement'!FB168-1</f>
        <v>-9.4826194432573452E-4</v>
      </c>
      <c r="FD237" s="77">
        <f>'Income Statement'!FD168/'Income Statement'!FC168-1</f>
        <v>3.2407607305797725E-3</v>
      </c>
      <c r="FE237" s="77">
        <f>'Income Statement'!FE168/'Income Statement'!FD168-1</f>
        <v>3.4820941292394991E-3</v>
      </c>
      <c r="FF237" s="77">
        <f>'Income Statement'!FF168/'Income Statement'!FE168-1</f>
        <v>3.730198868485024E-3</v>
      </c>
      <c r="FG237" s="77">
        <f>'Income Statement'!FG168/'Income Statement'!FF168-1</f>
        <v>3.9849614984783788E-3</v>
      </c>
      <c r="FH237" s="77">
        <f>'Income Statement'!FH168/'Income Statement'!FG168-1</f>
        <v>4.2462445589983577E-3</v>
      </c>
      <c r="FI237" s="674"/>
      <c r="FJ237"/>
      <c r="FK237"/>
      <c r="FL237"/>
      <c r="FM237"/>
      <c r="FN237"/>
      <c r="FO237"/>
      <c r="FS237" s="70"/>
      <c r="FT237" s="70"/>
      <c r="FU237"/>
      <c r="FV237" s="70"/>
      <c r="FW237" s="70"/>
      <c r="FX237" s="70"/>
      <c r="FY237"/>
      <c r="FZ237"/>
      <c r="GA237"/>
      <c r="GB237"/>
      <c r="GC237"/>
      <c r="GD237"/>
      <c r="GE237"/>
      <c r="GF237"/>
      <c r="GG237"/>
      <c r="GH237"/>
      <c r="GI237"/>
      <c r="GJ237"/>
      <c r="GK237"/>
      <c r="GL237"/>
      <c r="GM237"/>
      <c r="GN237"/>
      <c r="GO237"/>
      <c r="GP237"/>
      <c r="GQ237"/>
      <c r="GR237"/>
      <c r="GS237"/>
      <c r="GT237"/>
      <c r="GU237"/>
      <c r="GV237"/>
      <c r="GW237"/>
      <c r="GX237"/>
      <c r="GY237"/>
      <c r="GZ237"/>
      <c r="HA237"/>
      <c r="HB237"/>
      <c r="HC237"/>
      <c r="HD237"/>
      <c r="HE237"/>
      <c r="HF237"/>
      <c r="HG237"/>
      <c r="HH237"/>
      <c r="HI237"/>
      <c r="HJ237"/>
      <c r="HK237"/>
      <c r="HL237"/>
      <c r="HM237"/>
      <c r="HN237"/>
      <c r="HO237"/>
      <c r="HP237"/>
      <c r="HQ237"/>
      <c r="HR237"/>
      <c r="HS237"/>
      <c r="HT237"/>
      <c r="HU237"/>
      <c r="HV237"/>
      <c r="HW237"/>
      <c r="HX237"/>
      <c r="HY237"/>
      <c r="HZ237"/>
      <c r="IA237"/>
      <c r="IB237"/>
      <c r="IC237"/>
      <c r="ID237"/>
      <c r="IE237"/>
      <c r="IF237"/>
      <c r="IG237"/>
      <c r="IH237"/>
      <c r="II237"/>
      <c r="IJ237"/>
      <c r="IK237"/>
      <c r="IL237"/>
      <c r="IM237"/>
      <c r="IN237"/>
      <c r="IO237"/>
      <c r="IP237"/>
      <c r="IQ237"/>
      <c r="IR237"/>
      <c r="IS237"/>
      <c r="IT237"/>
      <c r="IU237"/>
      <c r="IV237"/>
      <c r="IW237"/>
      <c r="IX237"/>
      <c r="IY237"/>
      <c r="IZ237"/>
    </row>
    <row r="238" spans="1:260" s="4" customFormat="1" x14ac:dyDescent="0.2">
      <c r="A238" s="287" t="s">
        <v>25</v>
      </c>
      <c r="B238" s="213"/>
      <c r="C238" s="213"/>
      <c r="D238" s="213"/>
      <c r="E238" s="490"/>
      <c r="F238" s="213"/>
      <c r="G238" s="213"/>
      <c r="H238" s="213"/>
      <c r="I238" s="490"/>
      <c r="J238" s="213"/>
      <c r="K238" s="213"/>
      <c r="L238" s="213"/>
      <c r="M238" s="490"/>
      <c r="N238" s="213"/>
      <c r="O238" s="213"/>
      <c r="P238" s="213"/>
      <c r="Q238" s="490"/>
      <c r="R238" s="213"/>
      <c r="S238" s="213"/>
      <c r="T238" s="213"/>
      <c r="U238" s="490"/>
      <c r="V238" s="213"/>
      <c r="W238" s="213"/>
      <c r="X238" s="213"/>
      <c r="Y238" s="490"/>
      <c r="Z238" s="213"/>
      <c r="AA238" s="213"/>
      <c r="AB238" s="213"/>
      <c r="AC238" s="490"/>
      <c r="AD238" s="213"/>
      <c r="AE238" s="213"/>
      <c r="AF238" s="213"/>
      <c r="AG238" s="490"/>
      <c r="AH238" s="213"/>
      <c r="AI238" s="213"/>
      <c r="AJ238" s="213"/>
      <c r="AK238" s="490"/>
      <c r="AL238" s="213"/>
      <c r="AM238" s="213"/>
      <c r="AN238" s="213"/>
      <c r="AO238" s="490"/>
      <c r="AP238" s="213"/>
      <c r="AQ238" s="213"/>
      <c r="AR238" s="213"/>
      <c r="AS238" s="490"/>
      <c r="AT238" s="213"/>
      <c r="AU238" s="213"/>
      <c r="AV238" s="213"/>
      <c r="AW238" s="490"/>
      <c r="AX238" s="213"/>
      <c r="AY238" s="213"/>
      <c r="AZ238" s="213"/>
      <c r="BA238" s="490"/>
      <c r="BB238" s="77">
        <f>'Income Statement'!BB169/'Income Statement'!AX169-1</f>
        <v>-2.0185303514376995</v>
      </c>
      <c r="BC238" s="77">
        <f>'Income Statement'!BC169/'Income Statement'!AY169-1</f>
        <v>-1</v>
      </c>
      <c r="BD238" s="77">
        <f>'Income Statement'!BD169/'Income Statement'!AZ169-1</f>
        <v>-2.2050632911392407</v>
      </c>
      <c r="BE238" s="487">
        <f>'Income Statement'!BE169/'Income Statement'!BA169-1</f>
        <v>0.35839824888946104</v>
      </c>
      <c r="BF238" s="77">
        <f>'Income Statement'!BF169/'Income Statement'!BB169-1</f>
        <v>-2.1508782936010036</v>
      </c>
      <c r="BG238" s="1042" t="s">
        <v>74</v>
      </c>
      <c r="BH238" s="77">
        <f>'Income Statement'!BH169/'Income Statement'!BD169-1</f>
        <v>1.1008403361344539</v>
      </c>
      <c r="BI238" s="487">
        <f>'Income Statement'!BI169/'Income Statement'!BE169-1</f>
        <v>0.19668246445497628</v>
      </c>
      <c r="BJ238" s="1819">
        <f>'Income Statement'!BJ169/'Income Statement'!BF169-1</f>
        <v>-1</v>
      </c>
      <c r="BK238" s="1862">
        <f>'Income Statement'!BK169/'Income Statement'!BG169-1</f>
        <v>-0.44186046511627908</v>
      </c>
      <c r="BL238" s="1862">
        <f>'Income Statement'!BL169/'Income Statement'!BH169-1</f>
        <v>-1.3953079600773812</v>
      </c>
      <c r="BM238" s="1416">
        <f>'Income Statement'!BM169/'Income Statement'!BI169-1</f>
        <v>1.980198019801982E-2</v>
      </c>
      <c r="BN238" s="1819" t="str">
        <f>IFERROR('Income Statement'!BN169/'Income Statement'!BJ169-1,"NA")</f>
        <v>NA</v>
      </c>
      <c r="BO238" s="1862">
        <f>'Income Statement'!BO169/'Income Statement'!BK169-1</f>
        <v>-2.458333333333333</v>
      </c>
      <c r="BP238" s="1862">
        <f>'Income Statement'!BP169/'Income Statement'!BL169-1</f>
        <v>-3.6446584714608288</v>
      </c>
      <c r="BQ238" s="1416">
        <f>'Income Statement'!BQ169/'Income Statement'!BM169-1</f>
        <v>0.77669902912621369</v>
      </c>
      <c r="BR238" s="1819">
        <f>'Income Statement'!BR169/'Income Statement'!BN169-1</f>
        <v>-0.25</v>
      </c>
      <c r="BS238" s="1862">
        <f>'Income Statement'!BS169/'Income Statement'!BO169-1</f>
        <v>-1.1142857142857143</v>
      </c>
      <c r="BT238" s="1862">
        <f>'Income Statement'!BT169/'Income Statement'!BP169-1</f>
        <v>0.95652173913043481</v>
      </c>
      <c r="BU238" s="1416">
        <f>'Income Statement'!BU169/'Income Statement'!BQ169-1</f>
        <v>3.8251366120218622E-2</v>
      </c>
      <c r="BV238" s="1819">
        <f>'Income Statement'!BV169/'Income Statement'!BR169-1</f>
        <v>2.2000000000000002</v>
      </c>
      <c r="BW238" s="1862">
        <f>'Income Statement'!BW169/'Income Statement'!BS169-1</f>
        <v>-5</v>
      </c>
      <c r="BX238" s="1862">
        <f>'Income Statement'!BX169/'Income Statement'!BT169-1</f>
        <v>0.82222222222222219</v>
      </c>
      <c r="BY238" s="1416">
        <f>'Income Statement'!BY169/'Income Statement'!BU169-1</f>
        <v>0.34210526315789469</v>
      </c>
      <c r="BZ238" s="1819">
        <f>'Income Statement'!BZ169/'Income Statement'!BN169-1</f>
        <v>1.25</v>
      </c>
      <c r="CA238" s="1862">
        <f>'Income Statement'!CA169/'Income Statement'!BO169-1</f>
        <v>-1.8857142857142857</v>
      </c>
      <c r="CB238" s="1862">
        <f>'Income Statement'!CB169/'Income Statement'!BP169-1</f>
        <v>3.4347826086956523</v>
      </c>
      <c r="CC238" s="1416">
        <f>'Income Statement'!CC169/'Income Statement'!BQ169-1</f>
        <v>0.52459016393442615</v>
      </c>
      <c r="CD238" s="1819">
        <f>'Income Statement'!CD169/'Income Statement'!BZ169-1</f>
        <v>1.1777777777777776</v>
      </c>
      <c r="CE238" s="1862">
        <f>'Income Statement'!CE169/'Income Statement'!CA169-1</f>
        <v>-0.32258064516129037</v>
      </c>
      <c r="CF238" s="1862">
        <f>'Income Statement'!CF169/'Income Statement'!CB169-1</f>
        <v>0.29411764705882359</v>
      </c>
      <c r="CG238" s="1416">
        <f>'Income Statement'!CG169/'Income Statement'!CC169-1</f>
        <v>-6.0931899641577081E-2</v>
      </c>
      <c r="CH238" s="1819">
        <f>'Income Statement'!CH169/'Income Statement'!CD169-1</f>
        <v>-1.3367346938775511</v>
      </c>
      <c r="CI238" s="1862">
        <f>'Income Statement'!CI169/'Income Statement'!CE169-1</f>
        <v>-3.3809523809523809</v>
      </c>
      <c r="CJ238" s="1862">
        <f>'Income Statement'!CJ169/'Income Statement'!CF169-1</f>
        <v>-1.0151515151515151</v>
      </c>
      <c r="CK238" s="1416">
        <f>'Income Statement'!CK169/'Income Statement'!CG169-1</f>
        <v>-0.30916030534351147</v>
      </c>
      <c r="CL238" s="1819">
        <f>'Income Statement'!CL169/411-1</f>
        <v>-1.0729927007299269</v>
      </c>
      <c r="CM238" s="1862">
        <f>'Income Statement'!CM169/308-1</f>
        <v>-0.98051948051948057</v>
      </c>
      <c r="CN238" s="1862">
        <f>'Income Statement'!CN169/339-1</f>
        <v>-1.0412979351032448</v>
      </c>
      <c r="CO238" s="1416">
        <f>'Income Statement'!CO169/1094-1</f>
        <v>-0.89945155393053011</v>
      </c>
      <c r="CP238" s="1819">
        <f>'Income Statement'!CP169/'Income Statement'!CL169-1</f>
        <v>-0.23333333333333328</v>
      </c>
      <c r="CQ238" s="1862">
        <f>'Income Statement'!CQ169/308-1</f>
        <v>-1.0324675324675325</v>
      </c>
      <c r="CR238" s="1862">
        <f>'Income Statement'!CR169/339-1</f>
        <v>-1.0206489675516224</v>
      </c>
      <c r="CS238" s="1416">
        <f>'Income Statement'!CS169/'Income Statement'!CO169-1</f>
        <v>-0.27272727272727271</v>
      </c>
      <c r="CT238" s="1042">
        <f>'Income Statement'!CT169/'Income Statement'!CP169-1</f>
        <v>-0.34782608695652173</v>
      </c>
      <c r="CU238" s="1042">
        <f>'Income Statement'!CU169/'Income Statement'!CQ169-1</f>
        <v>1.7000000000000002</v>
      </c>
      <c r="CV238" s="1042">
        <f>'Income Statement'!CV169/'Income Statement'!CR169-1</f>
        <v>-1.1428571428571428</v>
      </c>
      <c r="CW238" s="1416">
        <f>'Income Statement'!CW169/'Income Statement'!CS169-1</f>
        <v>-0.17500000000000004</v>
      </c>
      <c r="CX238" s="1864">
        <f>'Income Statement'!CX169/'Income Statement'!CT169-1</f>
        <v>0.8</v>
      </c>
      <c r="CY238" s="75">
        <f>'Income Statement'!CY169/'Income Statement'!CU169-1</f>
        <v>-0.11111111111111116</v>
      </c>
      <c r="CZ238" s="75">
        <f>'Income Statement'!CZ169/'Income Statement'!CV169-1</f>
        <v>-9</v>
      </c>
      <c r="DA238" s="1416">
        <f>'Income Statement'!DA169/'Income Statement'!CW169-1</f>
        <v>-0.21212121212121215</v>
      </c>
      <c r="DB238" s="1819">
        <f>'Income Statement'!DB169/'Income Statement'!CX169-1</f>
        <v>-1.074074074074074</v>
      </c>
      <c r="DC238" s="75">
        <f>'Income Statement'!DC169/'Income Statement'!CY169-1</f>
        <v>-1.125</v>
      </c>
      <c r="DD238" s="75">
        <f>'Income Statement'!DD169/'Income Statement'!CZ169-1</f>
        <v>-2.625</v>
      </c>
      <c r="DE238" s="1416">
        <f>'Income Statement'!DE169/'Income Statement'!DA169-1</f>
        <v>0.55769230769230771</v>
      </c>
      <c r="DF238" s="75">
        <f>'Income Statement'!DF169/'Income Statement'!DB169-1</f>
        <v>0</v>
      </c>
      <c r="DG238" s="75">
        <f>'Income Statement'!DG169/'Income Statement'!DC169-1</f>
        <v>1.3333333333333335</v>
      </c>
      <c r="DH238" s="75">
        <f>'Income Statement'!DH169/'Income Statement'!DD169-1</f>
        <v>-0.76923076923076916</v>
      </c>
      <c r="DI238" s="1416">
        <f>'Income Statement'!DI169/'Income Statement'!DE169-1</f>
        <v>4.9382716049382713E-2</v>
      </c>
      <c r="DJ238" s="2709">
        <f>'Income Statement'!DJ169/'Income Statement'!DF169-1</f>
        <v>-2.8814565853658536</v>
      </c>
      <c r="DK238" s="75">
        <f>'Income Statement'!DK169/'Income Statement'!DG169-1</f>
        <v>-0.33070602649006475</v>
      </c>
      <c r="DL238" s="75">
        <f>'Income Statement'!DL169/'Income Statement'!DH169-1</f>
        <v>0.95367666666666651</v>
      </c>
      <c r="DM238" s="1416">
        <f>'Income Statement'!DM169/'Income Statement'!DI169-1</f>
        <v>-0.12057411764705872</v>
      </c>
      <c r="DN238" s="580"/>
      <c r="DO238" s="487"/>
      <c r="DP238" s="219"/>
      <c r="DQ238" s="213" t="s">
        <v>483</v>
      </c>
      <c r="DR238" s="213" t="s">
        <v>483</v>
      </c>
      <c r="DS238" s="213" t="s">
        <v>483</v>
      </c>
      <c r="DT238" s="213" t="s">
        <v>483</v>
      </c>
      <c r="DU238" s="213" t="s">
        <v>483</v>
      </c>
      <c r="DV238" s="213" t="s">
        <v>483</v>
      </c>
      <c r="DW238" s="213" t="s">
        <v>483</v>
      </c>
      <c r="DX238" s="213" t="s">
        <v>483</v>
      </c>
      <c r="DY238" s="213" t="s">
        <v>483</v>
      </c>
      <c r="DZ238" s="213" t="s">
        <v>483</v>
      </c>
      <c r="EA238" s="213" t="s">
        <v>483</v>
      </c>
      <c r="EB238" s="213" t="s">
        <v>483</v>
      </c>
      <c r="EC238" s="213" t="s">
        <v>483</v>
      </c>
      <c r="ED238" s="213" t="s">
        <v>483</v>
      </c>
      <c r="EE238" s="213" t="s">
        <v>483</v>
      </c>
      <c r="EF238" s="213" t="s">
        <v>483</v>
      </c>
      <c r="EG238" s="213" t="s">
        <v>483</v>
      </c>
      <c r="EH238" s="213" t="s">
        <v>483</v>
      </c>
      <c r="EI238" s="213" t="s">
        <v>483</v>
      </c>
      <c r="EJ238" s="77">
        <f>'Income Statement'!EJ169/'Income Statement'!EI169-1</f>
        <v>0.14187755102040822</v>
      </c>
      <c r="EK238" s="77">
        <f>'Income Statement'!EK169/'Income Statement'!EJ169-1</f>
        <v>0.7525736345438947</v>
      </c>
      <c r="EL238" s="77">
        <f>'Income Statement'!EL169/'Income Statement'!EK169-1</f>
        <v>0.65542524984703254</v>
      </c>
      <c r="EM238" s="77">
        <f>'Income Statement'!EM169/'Income Statement'!EL169-1</f>
        <v>-0.2712222257098299</v>
      </c>
      <c r="EN238" s="77">
        <f>'Income Statement'!EN169/'Income Statement'!EM169-1</f>
        <v>0.61449529542823478</v>
      </c>
      <c r="EO238" s="77">
        <f>'Income Statement'!EO169/'Income Statement'!EN169-1</f>
        <v>0.32984293193717273</v>
      </c>
      <c r="EP238" s="77">
        <f>'Income Statement'!EP169/'Income Statement'!EO169-1</f>
        <v>0.45275590551181111</v>
      </c>
      <c r="EQ238" s="77">
        <f>'Income Statement'!EQ169/'Income Statement'!EN169-1</f>
        <v>1.3926701570680629</v>
      </c>
      <c r="ER238" s="77">
        <f>'Income Statement'!ER169/'Income Statement'!EQ169-1</f>
        <v>0.12253829321663012</v>
      </c>
      <c r="ES238" s="77">
        <f>'Income Statement'!ES169/'Income Statement'!ER169-1</f>
        <v>-0.8128654970760234</v>
      </c>
      <c r="ET238" s="77">
        <f>'Income Statement'!ET169/2152-1</f>
        <v>-0.96654275092936803</v>
      </c>
      <c r="EU238" s="77">
        <f>'Income Statement'!EU169/'Income Statement'!ES169-1</f>
        <v>-0.58333333333333326</v>
      </c>
      <c r="EV238" s="77">
        <f>'Income Statement'!EV169/'Income Statement'!EU169-1</f>
        <v>-0.375</v>
      </c>
      <c r="EW238" s="77">
        <f>'Income Statement'!EW169/'Income Statement'!EV169-1</f>
        <v>-1.28</v>
      </c>
      <c r="EX238" s="77">
        <f>'Income Statement'!EX169/'Income Statement'!EW169-1</f>
        <v>-15.142857142857142</v>
      </c>
      <c r="EY238" s="77">
        <f>'Income Statement'!EY169/'Income Statement'!EX169-1</f>
        <v>-2.0202020202020221E-2</v>
      </c>
      <c r="EZ238" s="1680">
        <f>'Income Statement'!EZ169/'Income Statement'!EY169-1</f>
        <v>-0.15943943666146543</v>
      </c>
      <c r="FA238" s="1042">
        <f>'Income Statement'!FA169/'Income Statement'!EZ169-1</f>
        <v>-3.4325421190086081E-2</v>
      </c>
      <c r="FB238" s="1042">
        <f>'Income Statement'!FB169/'Income Statement'!FA169-1</f>
        <v>3.3763149999092468E-2</v>
      </c>
      <c r="FC238" s="1042">
        <f>'Income Statement'!FC169/'Income Statement'!FB169-1</f>
        <v>2.4201628597761538E-2</v>
      </c>
      <c r="FD238" s="1042">
        <f>'Income Statement'!FD169/'Income Statement'!FC169-1</f>
        <v>2.370846292922546E-2</v>
      </c>
      <c r="FE238" s="1042">
        <f>'Income Statement'!FE169/'Income Statement'!FD169-1</f>
        <v>2.3235986431647149E-2</v>
      </c>
      <c r="FF238" s="1042">
        <f>'Income Statement'!FF169/'Income Statement'!FE169-1</f>
        <v>2.2782910019345293E-2</v>
      </c>
      <c r="FG238" s="1042">
        <f>'Income Statement'!FG169/'Income Statement'!FF169-1</f>
        <v>2.2348049766933942E-2</v>
      </c>
      <c r="FH238" s="1042">
        <f>'Income Statement'!FH169/'Income Statement'!FG169-1</f>
        <v>2.1930316394884963E-2</v>
      </c>
      <c r="FI238" s="674"/>
      <c r="FJ238"/>
      <c r="FK238"/>
      <c r="FL238"/>
      <c r="FM238"/>
      <c r="FN238"/>
      <c r="FO238"/>
      <c r="FS238" s="75"/>
      <c r="FT238" s="75"/>
      <c r="FU238"/>
      <c r="FV238" s="75"/>
      <c r="FW238" s="75"/>
      <c r="FX238" s="75"/>
      <c r="FY238"/>
      <c r="FZ238"/>
      <c r="GA238"/>
      <c r="GB238"/>
      <c r="GC238"/>
      <c r="GD238"/>
      <c r="GE238"/>
      <c r="GF238"/>
      <c r="GG238"/>
      <c r="GH238"/>
      <c r="GI238"/>
      <c r="GJ238"/>
      <c r="GK238"/>
      <c r="GL238"/>
      <c r="GM238"/>
      <c r="GN238"/>
      <c r="GO238"/>
      <c r="GP238"/>
      <c r="GQ238"/>
      <c r="GR238"/>
      <c r="GS238"/>
      <c r="GT238"/>
      <c r="GU238"/>
      <c r="GV238"/>
      <c r="GW238"/>
      <c r="GX238"/>
      <c r="GY238"/>
      <c r="GZ238"/>
      <c r="HA238"/>
      <c r="HB238"/>
      <c r="HC238"/>
      <c r="HD238"/>
      <c r="HE238"/>
      <c r="HF238"/>
      <c r="HG238"/>
      <c r="HH238"/>
      <c r="HI238"/>
      <c r="HJ238"/>
      <c r="HK238"/>
      <c r="HL238"/>
      <c r="HM238"/>
      <c r="HN238"/>
      <c r="HO238"/>
      <c r="HP238"/>
      <c r="HQ238"/>
      <c r="HR238"/>
      <c r="HS238"/>
      <c r="HT238"/>
      <c r="HU238"/>
      <c r="HV238"/>
      <c r="HW238"/>
      <c r="HX238"/>
      <c r="HY238"/>
      <c r="HZ238"/>
      <c r="IA238"/>
      <c r="IB238"/>
      <c r="IC238"/>
      <c r="ID238"/>
      <c r="IE238"/>
      <c r="IF238"/>
      <c r="IG238"/>
      <c r="IH238"/>
      <c r="II238"/>
      <c r="IJ238"/>
      <c r="IK238"/>
      <c r="IL238"/>
      <c r="IM238"/>
      <c r="IN238"/>
      <c r="IO238"/>
      <c r="IP238"/>
      <c r="IQ238"/>
      <c r="IR238"/>
      <c r="IS238"/>
      <c r="IT238"/>
      <c r="IU238"/>
      <c r="IV238"/>
      <c r="IW238"/>
      <c r="IX238"/>
      <c r="IY238"/>
      <c r="IZ238"/>
    </row>
    <row r="239" spans="1:260" s="3" customFormat="1" x14ac:dyDescent="0.2">
      <c r="A239" s="1549" t="s">
        <v>586</v>
      </c>
      <c r="B239" s="50" t="s">
        <v>483</v>
      </c>
      <c r="C239" s="50" t="s">
        <v>483</v>
      </c>
      <c r="D239" s="50" t="s">
        <v>483</v>
      </c>
      <c r="E239" s="50" t="s">
        <v>483</v>
      </c>
      <c r="F239" s="50" t="s">
        <v>483</v>
      </c>
      <c r="G239" s="50" t="s">
        <v>483</v>
      </c>
      <c r="H239" s="50" t="s">
        <v>483</v>
      </c>
      <c r="I239" s="50" t="s">
        <v>483</v>
      </c>
      <c r="J239" s="50" t="s">
        <v>483</v>
      </c>
      <c r="K239" s="50" t="s">
        <v>483</v>
      </c>
      <c r="L239" s="50" t="s">
        <v>483</v>
      </c>
      <c r="M239" s="50" t="s">
        <v>483</v>
      </c>
      <c r="N239" s="50" t="s">
        <v>483</v>
      </c>
      <c r="O239" s="50" t="s">
        <v>483</v>
      </c>
      <c r="P239" s="50" t="s">
        <v>483</v>
      </c>
      <c r="Q239" s="50" t="s">
        <v>483</v>
      </c>
      <c r="R239" s="50" t="s">
        <v>483</v>
      </c>
      <c r="S239" s="50" t="s">
        <v>483</v>
      </c>
      <c r="T239" s="50" t="s">
        <v>483</v>
      </c>
      <c r="U239" s="50" t="s">
        <v>483</v>
      </c>
      <c r="V239" s="50" t="s">
        <v>483</v>
      </c>
      <c r="W239" s="50" t="s">
        <v>483</v>
      </c>
      <c r="X239" s="50" t="s">
        <v>483</v>
      </c>
      <c r="Y239" s="50" t="s">
        <v>483</v>
      </c>
      <c r="Z239" s="50" t="s">
        <v>483</v>
      </c>
      <c r="AA239" s="50" t="s">
        <v>483</v>
      </c>
      <c r="AB239" s="50" t="s">
        <v>483</v>
      </c>
      <c r="AC239" s="50" t="s">
        <v>483</v>
      </c>
      <c r="AD239" s="50" t="s">
        <v>483</v>
      </c>
      <c r="AE239" s="50" t="s">
        <v>483</v>
      </c>
      <c r="AF239" s="50" t="s">
        <v>483</v>
      </c>
      <c r="AG239" s="50" t="s">
        <v>483</v>
      </c>
      <c r="AH239" s="50" t="s">
        <v>483</v>
      </c>
      <c r="AI239" s="50" t="s">
        <v>483</v>
      </c>
      <c r="AJ239" s="50" t="s">
        <v>483</v>
      </c>
      <c r="AK239" s="50" t="s">
        <v>483</v>
      </c>
      <c r="AL239" s="50" t="s">
        <v>483</v>
      </c>
      <c r="AM239" s="50" t="s">
        <v>483</v>
      </c>
      <c r="AN239" s="50" t="s">
        <v>483</v>
      </c>
      <c r="AO239" s="50" t="s">
        <v>483</v>
      </c>
      <c r="AP239" s="50" t="s">
        <v>483</v>
      </c>
      <c r="AQ239" s="50" t="s">
        <v>483</v>
      </c>
      <c r="AR239" s="50" t="s">
        <v>483</v>
      </c>
      <c r="AS239" s="50" t="s">
        <v>483</v>
      </c>
      <c r="AT239" s="50" t="s">
        <v>483</v>
      </c>
      <c r="AU239" s="50" t="s">
        <v>483</v>
      </c>
      <c r="AV239" s="50" t="s">
        <v>483</v>
      </c>
      <c r="AW239" s="50" t="s">
        <v>483</v>
      </c>
      <c r="AX239" s="50" t="s">
        <v>483</v>
      </c>
      <c r="AY239" s="50" t="s">
        <v>483</v>
      </c>
      <c r="AZ239" s="50" t="s">
        <v>483</v>
      </c>
      <c r="BA239" s="50" t="s">
        <v>483</v>
      </c>
      <c r="BB239" s="50">
        <f>'Income Statement'!BB170/'Income Statement'!AX170-1</f>
        <v>0.41004184100418306</v>
      </c>
      <c r="BC239" s="50">
        <f>'Income Statement'!BC170/'Income Statement'!AY170-1</f>
        <v>0.26436781609195337</v>
      </c>
      <c r="BD239" s="50">
        <f>'Income Statement'!BD170/'Income Statement'!AZ170-1</f>
        <v>3.703703703703809E-2</v>
      </c>
      <c r="BE239" s="1545">
        <f>'Income Statement'!BE170/'Income Statement'!BA170-1</f>
        <v>0.18952879581151794</v>
      </c>
      <c r="BF239" s="50">
        <f>'Income Statement'!BF170/'Income Statement'!BB170-1</f>
        <v>-0.21068249258160177</v>
      </c>
      <c r="BG239" s="50">
        <f>'Income Statement'!BG170/'Income Statement'!BC170-1</f>
        <v>0.21515151515151509</v>
      </c>
      <c r="BH239" s="50">
        <f>'Income Statement'!BH170/'Income Statement'!BD170-1</f>
        <v>0.79081632653060985</v>
      </c>
      <c r="BI239" s="1545">
        <f>'Income Statement'!BI170/'Income Statement'!BE170-1</f>
        <v>6.1619718309859906E-3</v>
      </c>
      <c r="BJ239" s="1869">
        <f>'Income Statement'!BJ170/'Income Statement'!BF170-1</f>
        <v>4.1353383458646142E-2</v>
      </c>
      <c r="BK239" s="1870">
        <f>'Income Statement'!BK170/'Income Statement'!BG170-1</f>
        <v>-0.15461346633416462</v>
      </c>
      <c r="BL239" s="1870">
        <f>'Income Statement'!BL170/'Income Statement'!BH170-1</f>
        <v>-0.21937321937321952</v>
      </c>
      <c r="BM239" s="1871">
        <f>'Income Statement'!BM170/'Income Statement'!BI170-1</f>
        <v>-1.6622922134733153E-2</v>
      </c>
      <c r="BN239" s="1869">
        <f>'Income Statement'!BN170/'Income Statement'!BJ170-1</f>
        <v>0.25631768953068601</v>
      </c>
      <c r="BO239" s="1870">
        <f>'Income Statement'!BO170/'Income Statement'!BK170-1</f>
        <v>-0.17404129793510326</v>
      </c>
      <c r="BP239" s="1870">
        <f>'Income Statement'!BP170/'Income Statement'!BL170-1</f>
        <v>0.37226277372262806</v>
      </c>
      <c r="BQ239" s="1871">
        <f>'Income Statement'!BQ170/'Income Statement'!BM170-1</f>
        <v>0.14145907473309594</v>
      </c>
      <c r="BR239" s="1869">
        <f>'Income Statement'!BR170/'Income Statement'!BN170-1</f>
        <v>-0.10057471264367812</v>
      </c>
      <c r="BS239" s="1870">
        <f>'Income Statement'!BS170/'Income Statement'!BO170-1</f>
        <v>0.46785714285714275</v>
      </c>
      <c r="BT239" s="1870">
        <f>'Income Statement'!BT170/'Income Statement'!BP170-1</f>
        <v>2.3936170212766061E-2</v>
      </c>
      <c r="BU239" s="1871">
        <f>'Income Statement'!BU170/'Income Statement'!BQ170-1</f>
        <v>-4.3647700701480718E-2</v>
      </c>
      <c r="BV239" s="1869">
        <f>'Income Statement'!BV170/'Income Statement'!BR170-1</f>
        <v>-9.2651757188498385E-2</v>
      </c>
      <c r="BW239" s="1870">
        <f>'Income Statement'!BW170/'Income Statement'!BS170-1</f>
        <v>-0.29683698296837036</v>
      </c>
      <c r="BX239" s="1870">
        <f>'Income Statement'!BX170/'Income Statement'!BT170-1</f>
        <v>-0.1480519480519481</v>
      </c>
      <c r="BY239" s="1871">
        <f>'Income Statement'!BY170/'Income Statement'!BU170-1</f>
        <v>0.10594947025264867</v>
      </c>
      <c r="BZ239" s="1869">
        <f>'Income Statement'!BZ170/'Income Statement'!BN170-1</f>
        <v>0.22988505747126431</v>
      </c>
      <c r="CA239" s="1870">
        <f>'Income Statement'!CA170/'Income Statement'!BO170-1</f>
        <v>0.39642857142857135</v>
      </c>
      <c r="CB239" s="1870">
        <f>'Income Statement'!CB170/'Income Statement'!BP170-1</f>
        <v>0.14627659574468077</v>
      </c>
      <c r="CC239" s="1871">
        <f>'Income Statement'!CC170/'Income Statement'!BQ170-1</f>
        <v>-1.2470771628994348E-2</v>
      </c>
      <c r="CD239" s="1869">
        <f>'Income Statement'!CD170/'Income Statement'!BZ170-1</f>
        <v>8.4112149532710179E-2</v>
      </c>
      <c r="CE239" s="1870">
        <f>'Income Statement'!CE170/'Income Statement'!CA170-1</f>
        <v>-0.33503836317135549</v>
      </c>
      <c r="CF239" s="1870">
        <f>'Income Statement'!CF170/'Income Statement'!CB170-1</f>
        <v>-0.11600928074245942</v>
      </c>
      <c r="CG239" s="1871">
        <f>'Income Statement'!CG170/'Income Statement'!CC170-1</f>
        <v>-5.761641673243878E-2</v>
      </c>
      <c r="CH239" s="1869">
        <f>'Income Statement'!CH170/'Income Statement'!CD170-1</f>
        <v>-0.16163793103448276</v>
      </c>
      <c r="CI239" s="1870">
        <f>'Income Statement'!CI170/'Income Statement'!CE170-1</f>
        <v>-0.52307692307692299</v>
      </c>
      <c r="CJ239" s="1870">
        <f>'Income Statement'!CJ170/'Income Statement'!CF170-1</f>
        <v>-0.87401574803149606</v>
      </c>
      <c r="CK239" s="1871">
        <f>'Income Statement'!CK170/'Income Statement'!CG170-1</f>
        <v>-0.22613065326633164</v>
      </c>
      <c r="CL239" s="1869">
        <f>'Income Statement'!CL170/411-1</f>
        <v>-1.4598540145985384E-2</v>
      </c>
      <c r="CM239" s="1870">
        <f>'Income Statement'!CM170/308-1</f>
        <v>-0.41233766233766234</v>
      </c>
      <c r="CN239" s="1870">
        <f>'Income Statement'!CN170/339-1</f>
        <v>-0.89380530973451333</v>
      </c>
      <c r="CO239" s="1871">
        <f>'Income Statement'!CO170/1094-1</f>
        <v>-0.22029250457038396</v>
      </c>
      <c r="CP239" s="1869">
        <f>'Income Statement'!CP170/'Income Statement'!CL170-1</f>
        <v>-0.49629629629629635</v>
      </c>
      <c r="CQ239" s="1870">
        <f>'Income Statement'!CQ170/308-1</f>
        <v>-0.36688311688311692</v>
      </c>
      <c r="CR239" s="1870">
        <f>'Income Statement'!CR170/339-1</f>
        <v>-0.60176991150442483</v>
      </c>
      <c r="CS239" s="1871">
        <f>'Income Statement'!CS170/'Income Statement'!CO170-1</f>
        <v>-0.26260257913247365</v>
      </c>
      <c r="CT239" s="1870">
        <f>'Income Statement'!CT170/'Income Statement'!CP170-1</f>
        <v>8.3333333333333259E-2</v>
      </c>
      <c r="CU239" s="1870">
        <f>'Income Statement'!CU170/'Income Statement'!CQ170-1</f>
        <v>0.24102564102564106</v>
      </c>
      <c r="CV239" s="1870">
        <f>'Income Statement'!CV170/'Income Statement'!CR170-1</f>
        <v>0.60000000000000009</v>
      </c>
      <c r="CW239" s="1871">
        <f>'Income Statement'!CW170/'Income Statement'!CS170-1</f>
        <v>0.30047694753577114</v>
      </c>
      <c r="CX239" s="1869">
        <f>'Income Statement'!CX170/'Income Statement'!CT170-1</f>
        <v>-5.8823529411764719E-2</v>
      </c>
      <c r="CY239" s="1870">
        <f>'Income Statement'!CY170/'Income Statement'!CU170-1</f>
        <v>0.14876033057851235</v>
      </c>
      <c r="CZ239" s="1870">
        <f>'Income Statement'!CZ170/'Income Statement'!CV170-1</f>
        <v>0.10185185185185186</v>
      </c>
      <c r="DA239" s="1871">
        <f>'Income Statement'!DA170/'Income Statement'!CW170-1</f>
        <v>-4.5232273838630821E-2</v>
      </c>
      <c r="DB239" s="2229">
        <f>'Income Statement'!DB170/'Income Statement'!CX170-1</f>
        <v>0.15384615384615374</v>
      </c>
      <c r="DC239" s="2230">
        <f>'Income Statement'!DC170/'Income Statement'!CY170-1</f>
        <v>4.3165467625899234E-2</v>
      </c>
      <c r="DD239" s="2230">
        <f>'Income Statement'!DD170/'Income Statement'!CZ170-1</f>
        <v>0.31512605042016806</v>
      </c>
      <c r="DE239" s="1871">
        <f>'Income Statement'!DE170/'Income Statement'!DA170-1</f>
        <v>0.13956466069142115</v>
      </c>
      <c r="DF239" s="2230">
        <f>'Income Statement'!DF170/'Income Statement'!DB170-1</f>
        <v>0.25</v>
      </c>
      <c r="DG239" s="2230">
        <f>'Income Statement'!DG170/'Income Statement'!DC170-1</f>
        <v>0.11379310344827576</v>
      </c>
      <c r="DH239" s="2230">
        <f>'Income Statement'!DH170/'Income Statement'!DD170-1</f>
        <v>0.11182108626198084</v>
      </c>
      <c r="DI239" s="1871">
        <f>'Income Statement'!DI170/'Income Statement'!DE170-1</f>
        <v>0.10337078651685383</v>
      </c>
      <c r="DJ239" s="2712">
        <f>'Income Statement'!DJ170/'Income Statement'!DF170-1</f>
        <v>-4.2453689806833728E-2</v>
      </c>
      <c r="DK239" s="2230">
        <f>'Income Statement'!DK170/'Income Statement'!DG170-1</f>
        <v>-6.7099127867277231E-3</v>
      </c>
      <c r="DL239" s="2230">
        <f>'Income Statement'!DL170/'Income Statement'!DH170-1</f>
        <v>2.5425764849139387E-2</v>
      </c>
      <c r="DM239" s="1871">
        <f>'Income Statement'!DM170/'Income Statement'!DI170-1</f>
        <v>-1.7039056688080034E-2</v>
      </c>
      <c r="DN239" s="578"/>
      <c r="DO239" s="572"/>
      <c r="DP239" s="219"/>
      <c r="DQ239" s="1547" t="s">
        <v>483</v>
      </c>
      <c r="DR239" s="1547" t="s">
        <v>483</v>
      </c>
      <c r="DS239" s="1547" t="s">
        <v>483</v>
      </c>
      <c r="DT239" s="1547" t="s">
        <v>483</v>
      </c>
      <c r="DU239" s="1547" t="s">
        <v>483</v>
      </c>
      <c r="DV239" s="1547" t="s">
        <v>483</v>
      </c>
      <c r="DW239" s="1547" t="s">
        <v>483</v>
      </c>
      <c r="DX239" s="1547" t="s">
        <v>483</v>
      </c>
      <c r="DY239" s="1547" t="s">
        <v>483</v>
      </c>
      <c r="DZ239" s="1547" t="s">
        <v>483</v>
      </c>
      <c r="EA239" s="1547" t="s">
        <v>483</v>
      </c>
      <c r="EB239" s="1547" t="s">
        <v>483</v>
      </c>
      <c r="EC239" s="1547" t="s">
        <v>483</v>
      </c>
      <c r="ED239" s="1547" t="s">
        <v>483</v>
      </c>
      <c r="EE239" s="1547" t="s">
        <v>483</v>
      </c>
      <c r="EF239" s="1547" t="s">
        <v>483</v>
      </c>
      <c r="EG239" s="1547" t="s">
        <v>483</v>
      </c>
      <c r="EH239" s="1547" t="s">
        <v>483</v>
      </c>
      <c r="EI239" s="1547" t="s">
        <v>483</v>
      </c>
      <c r="EJ239" s="197">
        <f>'Income Statement'!EJ170/'Income Statement'!EI170-1</f>
        <v>0.14087439278279001</v>
      </c>
      <c r="EK239" s="197">
        <f>'Income Statement'!EK170/'Income Statement'!EJ170-1</f>
        <v>0.21593673965936699</v>
      </c>
      <c r="EL239" s="197">
        <f>'Income Statement'!EL170/'Income Statement'!EK170-1</f>
        <v>8.1040520260130089E-2</v>
      </c>
      <c r="EM239" s="197">
        <f>'Income Statement'!EM170/'Income Statement'!EL170-1</f>
        <v>-6.8024062933826901E-2</v>
      </c>
      <c r="EN239" s="197">
        <f>'Income Statement'!EN170/'Income Statement'!EM170-1</f>
        <v>0.1355511420059583</v>
      </c>
      <c r="EO239" s="197">
        <f>'Income Statement'!EO170/'Income Statement'!EN170-1</f>
        <v>2.1425448185395712E-2</v>
      </c>
      <c r="EP239" s="197">
        <f>'Income Statement'!EP170/'Income Statement'!EO170-1</f>
        <v>-3.339041095890416E-2</v>
      </c>
      <c r="EQ239" s="197">
        <f>'Income Statement'!EQ170/'Income Statement'!EN170-1</f>
        <v>0.1005684302579799</v>
      </c>
      <c r="ER239" s="197">
        <f>'Income Statement'!ER170/'Income Statement'!EQ170-1</f>
        <v>-8.6611044894715938E-2</v>
      </c>
      <c r="ES239" s="197">
        <f>'Income Statement'!ES170/'Income Statement'!ER170-1</f>
        <v>-0.35406698564593297</v>
      </c>
      <c r="ET239" s="1548">
        <f>'Income Statement'!ET170/2152-1</f>
        <v>-0.31459107806691455</v>
      </c>
      <c r="EU239" s="1546">
        <f>'Income Statement'!EU170/'Income Statement'!ES170-1</f>
        <v>-0.21683501683501682</v>
      </c>
      <c r="EV239" s="1546">
        <f>'Income Statement'!EV170/'Income Statement'!EU170-1</f>
        <v>0.2871883061049012</v>
      </c>
      <c r="EW239" s="1546">
        <f>'Income Statement'!EW170/'Income Statement'!EV170-1</f>
        <v>5.3440213760855837E-3</v>
      </c>
      <c r="EX239" s="1589">
        <f>'Income Statement'!EX170/'Income Statement'!EW170-1</f>
        <v>0.15149501661129561</v>
      </c>
      <c r="EY239" s="1589">
        <f>'Income Statement'!EY170/'Income Statement'!EX170-1</f>
        <v>0.1269474899019043</v>
      </c>
      <c r="EZ239" s="1778">
        <f>'Income Statement'!EZ170/'Income Statement'!EY170-1</f>
        <v>-1.1667996043193796E-2</v>
      </c>
      <c r="FA239" s="1589">
        <f>'Income Statement'!FA170/'Income Statement'!EZ170-1</f>
        <v>2.0763209954910433E-2</v>
      </c>
      <c r="FB239" s="1589">
        <f>'Income Statement'!FB170/'Income Statement'!FA170-1</f>
        <v>2.6868674903501644E-2</v>
      </c>
      <c r="FC239" s="1589">
        <f>'Income Statement'!FC170/'Income Statement'!FB170-1</f>
        <v>6.3512423732481338E-5</v>
      </c>
      <c r="FD239" s="1589">
        <f>'Income Statement'!FD170/'Income Statement'!FC170-1</f>
        <v>4.0840460561035741E-3</v>
      </c>
      <c r="FE239" s="1589">
        <f>'Income Statement'!FE170/'Income Statement'!FD170-1</f>
        <v>4.3118768027934351E-3</v>
      </c>
      <c r="FF239" s="1589">
        <f>'Income Statement'!FF170/'Income Statement'!FE170-1</f>
        <v>4.5456081880825838E-3</v>
      </c>
      <c r="FG239" s="1589">
        <f>'Income Statement'!FG170/'Income Statement'!FF170-1</f>
        <v>4.7851244011516414E-3</v>
      </c>
      <c r="FH239" s="1545">
        <f>'Income Statement'!FH170/'Income Statement'!FG170-1</f>
        <v>5.030288742495781E-3</v>
      </c>
      <c r="FI239" s="674"/>
      <c r="FJ239"/>
      <c r="FK239"/>
      <c r="FL239"/>
      <c r="FM239"/>
      <c r="FN239"/>
      <c r="FO239"/>
      <c r="FS239" s="70"/>
      <c r="FT239" s="70"/>
      <c r="FU239"/>
      <c r="FV239" s="197"/>
      <c r="FW239" s="197"/>
      <c r="FX239" s="197"/>
      <c r="FY239"/>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row>
    <row r="240" spans="1:260" s="51" customFormat="1" ht="11.25" customHeight="1"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c r="CU240"/>
      <c r="CV240"/>
      <c r="CW240"/>
      <c r="CX240"/>
      <c r="CY240"/>
      <c r="CZ240"/>
      <c r="DA240"/>
      <c r="DB240" s="39"/>
      <c r="DC240" s="39"/>
      <c r="DD240" s="39"/>
      <c r="DE240" s="39"/>
      <c r="DF240" s="39"/>
      <c r="DG240" s="39"/>
      <c r="DH240" s="39"/>
      <c r="DI240" s="39"/>
      <c r="DJ240" s="2713"/>
      <c r="DK240" s="39"/>
      <c r="DL240" s="39"/>
      <c r="DM240" s="2591"/>
      <c r="DN240" s="72"/>
      <c r="DO240"/>
      <c r="DP240"/>
      <c r="DQ240"/>
      <c r="DR240"/>
      <c r="DS240"/>
      <c r="DT240"/>
      <c r="DU240"/>
      <c r="DV240"/>
      <c r="DW240"/>
      <c r="DX240"/>
      <c r="DY240"/>
      <c r="DZ240"/>
      <c r="EA240"/>
      <c r="EB240"/>
      <c r="EC240"/>
      <c r="ED240"/>
      <c r="EE240"/>
      <c r="EF240"/>
      <c r="EG240"/>
      <c r="EH240"/>
      <c r="EI240"/>
      <c r="EJ240"/>
      <c r="EK240"/>
      <c r="EL240"/>
      <c r="EM240"/>
      <c r="EN240"/>
      <c r="EO240"/>
      <c r="EP240"/>
      <c r="EQ240"/>
      <c r="ER240"/>
      <c r="ES240"/>
      <c r="ET240"/>
      <c r="EU240"/>
      <c r="EV240"/>
      <c r="EW240"/>
      <c r="EX240" s="39"/>
      <c r="EY240" s="39"/>
      <c r="EZ240" s="2677"/>
      <c r="FA240"/>
      <c r="FB240"/>
      <c r="FC240"/>
      <c r="FD240"/>
      <c r="FE240"/>
      <c r="FF240"/>
      <c r="FG240"/>
      <c r="FH240"/>
      <c r="FI240" s="72"/>
      <c r="FJ240"/>
      <c r="FK240"/>
      <c r="FL240"/>
      <c r="FM240"/>
      <c r="FN240"/>
      <c r="FO240"/>
      <c r="FQ240" s="1388"/>
      <c r="FR240" s="1388"/>
      <c r="FS240" s="134"/>
      <c r="FT240" s="134"/>
      <c r="FU240"/>
      <c r="FV240" s="134"/>
      <c r="FW240" s="134"/>
      <c r="FX240" s="134"/>
      <c r="FY240"/>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row>
    <row r="241" spans="1:260" s="51" customFormat="1" ht="11.25" customHeight="1" x14ac:dyDescent="0.2">
      <c r="A241" s="2162" t="s">
        <v>709</v>
      </c>
      <c r="B241" s="278"/>
      <c r="C241" s="278"/>
      <c r="D241" s="278"/>
      <c r="E241" s="278"/>
      <c r="F241" s="278"/>
      <c r="G241" s="278"/>
      <c r="H241" s="278"/>
      <c r="I241" s="278"/>
      <c r="J241" s="278"/>
      <c r="K241" s="278"/>
      <c r="L241" s="278"/>
      <c r="M241" s="278"/>
      <c r="N241" s="278"/>
      <c r="O241" s="278"/>
      <c r="P241" s="278"/>
      <c r="Q241" s="278"/>
      <c r="R241" s="278"/>
      <c r="S241" s="278"/>
      <c r="T241" s="278"/>
      <c r="U241" s="278"/>
      <c r="V241" s="278"/>
      <c r="W241" s="278"/>
      <c r="X241" s="278"/>
      <c r="Y241" s="278"/>
      <c r="Z241" s="278"/>
      <c r="AA241" s="278"/>
      <c r="AB241" s="278"/>
      <c r="AC241" s="278"/>
      <c r="AD241" s="278"/>
      <c r="AE241" s="278"/>
      <c r="AF241" s="278"/>
      <c r="AG241" s="278"/>
      <c r="AH241" s="278"/>
      <c r="AI241" s="278"/>
      <c r="AJ241" s="278"/>
      <c r="AK241" s="278"/>
      <c r="AL241" s="278"/>
      <c r="AM241" s="278"/>
      <c r="AN241" s="278"/>
      <c r="AO241" s="278"/>
      <c r="AP241" s="278"/>
      <c r="AQ241" s="278"/>
      <c r="AR241" s="278"/>
      <c r="AS241" s="278"/>
      <c r="AT241" s="278"/>
      <c r="AU241" s="278"/>
      <c r="AV241" s="278"/>
      <c r="AW241" s="278"/>
      <c r="AX241" s="278"/>
      <c r="AY241" s="278"/>
      <c r="AZ241" s="278"/>
      <c r="BA241" s="278"/>
      <c r="BB241" s="278"/>
      <c r="BC241" s="278"/>
      <c r="BD241" s="278"/>
      <c r="BE241" s="278"/>
      <c r="BF241" s="278"/>
      <c r="BG241" s="278"/>
      <c r="BH241" s="278"/>
      <c r="BI241" s="278"/>
      <c r="BJ241" s="278"/>
      <c r="BK241" s="278"/>
      <c r="BL241" s="278"/>
      <c r="BM241" s="278"/>
      <c r="BN241" s="278"/>
      <c r="BO241" s="278"/>
      <c r="BP241" s="278"/>
      <c r="BQ241" s="278"/>
      <c r="BR241" s="278"/>
      <c r="BS241" s="278"/>
      <c r="BT241" s="278"/>
      <c r="BU241" s="278"/>
      <c r="BV241" s="278"/>
      <c r="BW241" s="278"/>
      <c r="BX241" s="278"/>
      <c r="BY241" s="278"/>
      <c r="BZ241" s="278"/>
      <c r="CA241" s="278"/>
      <c r="CB241" s="278"/>
      <c r="CC241" s="278"/>
      <c r="CD241" s="278"/>
      <c r="CE241" s="278"/>
      <c r="CF241" s="278"/>
      <c r="CG241" s="278"/>
      <c r="CH241" s="278"/>
      <c r="CI241" s="278"/>
      <c r="CJ241" s="278"/>
      <c r="CK241" s="278"/>
      <c r="CL241" s="278"/>
      <c r="CM241" s="278"/>
      <c r="CN241" s="278"/>
      <c r="CO241" s="278"/>
      <c r="CP241" s="278"/>
      <c r="CQ241" s="278"/>
      <c r="CR241" s="278"/>
      <c r="CS241" s="278"/>
      <c r="CT241" s="278"/>
      <c r="CU241" s="278"/>
      <c r="CV241" s="278"/>
      <c r="CW241" s="278"/>
      <c r="CX241" s="2165"/>
      <c r="CY241" s="278"/>
      <c r="CZ241" s="278"/>
      <c r="DA241" s="2164"/>
      <c r="DB241" s="2163"/>
      <c r="DC241" s="2163"/>
      <c r="DD241" s="2163"/>
      <c r="DE241" s="1946"/>
      <c r="DF241" s="2163"/>
      <c r="DG241" s="2163"/>
      <c r="DH241" s="2163"/>
      <c r="DI241" s="1946"/>
      <c r="DJ241" s="2166"/>
      <c r="DK241" s="2163"/>
      <c r="DL241" s="2163"/>
      <c r="DM241" s="2164"/>
      <c r="DN241" s="596"/>
      <c r="DO241" s="466"/>
      <c r="DP241" s="278"/>
      <c r="DQ241" s="278"/>
      <c r="DR241" s="278"/>
      <c r="DS241" s="278"/>
      <c r="DT241" s="278"/>
      <c r="DU241" s="278"/>
      <c r="DV241" s="278"/>
      <c r="DW241" s="278"/>
      <c r="DX241" s="278"/>
      <c r="DY241" s="278"/>
      <c r="DZ241" s="278"/>
      <c r="EA241" s="278"/>
      <c r="EB241" s="278"/>
      <c r="EC241" s="278"/>
      <c r="ED241" s="278"/>
      <c r="EE241" s="278"/>
      <c r="EF241" s="278"/>
      <c r="EG241" s="278"/>
      <c r="EH241" s="278"/>
      <c r="EI241" s="278"/>
      <c r="EJ241" s="278"/>
      <c r="EK241" s="278"/>
      <c r="EL241" s="278"/>
      <c r="EM241" s="278"/>
      <c r="EN241" s="278"/>
      <c r="EO241" s="278"/>
      <c r="EP241" s="278"/>
      <c r="EQ241" s="278"/>
      <c r="ER241" s="278"/>
      <c r="ES241" s="278"/>
      <c r="ET241" s="278"/>
      <c r="EU241" s="278"/>
      <c r="EV241" s="278"/>
      <c r="EW241" s="278"/>
      <c r="EX241" s="2163"/>
      <c r="EY241" s="2163"/>
      <c r="EZ241" s="2166"/>
      <c r="FA241" s="278"/>
      <c r="FB241" s="278"/>
      <c r="FC241" s="278"/>
      <c r="FD241" s="278"/>
      <c r="FE241" s="278"/>
      <c r="FF241" s="278"/>
      <c r="FG241" s="278"/>
      <c r="FH241" s="278"/>
      <c r="FI241" s="596"/>
      <c r="FJ241"/>
      <c r="FK241"/>
      <c r="FL241"/>
      <c r="FM241"/>
      <c r="FN241"/>
      <c r="FO241"/>
      <c r="FQ241" s="1388"/>
      <c r="FR241" s="1388"/>
      <c r="FS241" s="134"/>
      <c r="FT241" s="134"/>
      <c r="FU241" s="1915"/>
      <c r="FV241" s="134"/>
      <c r="FW241" s="134"/>
      <c r="FX241" s="134"/>
      <c r="FY241" s="1915"/>
      <c r="FZ241" s="1915"/>
      <c r="GA241" s="1915"/>
      <c r="GB241" s="1915"/>
      <c r="GC241" s="1915"/>
      <c r="GD241" s="1915"/>
      <c r="GE241" s="1915"/>
      <c r="GF241" s="1915"/>
      <c r="GG241" s="1915"/>
      <c r="GH241" s="1915"/>
      <c r="GI241" s="1915"/>
      <c r="GJ241" s="1915"/>
      <c r="GK241" s="1915"/>
      <c r="GL241" s="1915"/>
      <c r="GM241" s="1915"/>
      <c r="GN241" s="1915"/>
      <c r="GO241" s="1915"/>
      <c r="GP241" s="1915"/>
      <c r="GQ241" s="1915"/>
      <c r="GR241" s="1915"/>
      <c r="GS241" s="1915"/>
      <c r="GT241" s="1915"/>
      <c r="GU241" s="1915"/>
      <c r="GV241" s="1915"/>
      <c r="GW241" s="1915"/>
      <c r="GX241" s="1915"/>
      <c r="GY241" s="1915"/>
      <c r="GZ241" s="1915"/>
      <c r="HA241" s="1915"/>
      <c r="HB241" s="1915"/>
      <c r="HC241" s="1915"/>
      <c r="HD241" s="1915"/>
      <c r="HE241" s="1915"/>
      <c r="HF241" s="1915"/>
      <c r="HG241" s="1915"/>
      <c r="HH241" s="1915"/>
      <c r="HI241" s="1915"/>
      <c r="HJ241" s="1915"/>
      <c r="HK241" s="1915"/>
      <c r="HL241" s="1915"/>
      <c r="HM241" s="1915"/>
      <c r="HN241" s="1915"/>
      <c r="HO241" s="1915"/>
      <c r="HP241" s="1915"/>
      <c r="HQ241" s="1915"/>
      <c r="HR241" s="1915"/>
      <c r="HS241" s="1915"/>
      <c r="HT241" s="1915"/>
      <c r="HU241" s="1915"/>
      <c r="HV241" s="1915"/>
      <c r="HW241" s="1915"/>
      <c r="HX241" s="1915"/>
      <c r="HY241" s="1915"/>
      <c r="HZ241" s="1915"/>
      <c r="IA241" s="1915"/>
      <c r="IB241" s="1915"/>
      <c r="IC241" s="1915"/>
      <c r="ID241" s="1915"/>
      <c r="IE241" s="1915"/>
      <c r="IF241" s="1915"/>
      <c r="IG241" s="1915"/>
      <c r="IH241" s="1915"/>
      <c r="II241" s="1915"/>
      <c r="IJ241" s="1915"/>
      <c r="IK241" s="1915"/>
      <c r="IL241" s="1915"/>
      <c r="IM241" s="1915"/>
      <c r="IN241" s="1915"/>
      <c r="IO241" s="1915"/>
      <c r="IP241" s="1915"/>
      <c r="IQ241" s="1915"/>
      <c r="IR241" s="1915"/>
      <c r="IS241" s="1915"/>
      <c r="IT241" s="1915"/>
      <c r="IU241" s="1915"/>
      <c r="IV241" s="1915"/>
      <c r="IW241" s="1915"/>
      <c r="IX241" s="1915"/>
      <c r="IY241" s="1915"/>
      <c r="IZ241" s="1915"/>
    </row>
    <row r="242" spans="1:260" s="51" customFormat="1" ht="11.25" customHeight="1" x14ac:dyDescent="0.2">
      <c r="A242" s="2159" t="s">
        <v>710</v>
      </c>
      <c r="B242" s="1915"/>
      <c r="C242" s="1915"/>
      <c r="D242" s="1915"/>
      <c r="E242" s="1915"/>
      <c r="F242" s="1915"/>
      <c r="G242" s="1915"/>
      <c r="H242" s="1915"/>
      <c r="I242" s="1915"/>
      <c r="J242" s="1915"/>
      <c r="K242" s="1915"/>
      <c r="L242" s="1915"/>
      <c r="M242" s="1915"/>
      <c r="N242" s="1915"/>
      <c r="O242" s="1915"/>
      <c r="P242" s="1915"/>
      <c r="Q242" s="1915"/>
      <c r="R242" s="1915"/>
      <c r="S242" s="1915"/>
      <c r="T242" s="1915"/>
      <c r="U242" s="1915"/>
      <c r="V242" s="1915"/>
      <c r="W242" s="1915"/>
      <c r="X242" s="1915"/>
      <c r="Y242" s="1915"/>
      <c r="Z242" s="1915"/>
      <c r="AA242" s="1915"/>
      <c r="AB242" s="1915"/>
      <c r="AC242" s="1915"/>
      <c r="AD242" s="1915"/>
      <c r="AE242" s="1915"/>
      <c r="AF242" s="1915"/>
      <c r="AG242" s="1915"/>
      <c r="AH242" s="1915"/>
      <c r="AI242" s="1915"/>
      <c r="AJ242" s="1915"/>
      <c r="AK242" s="1915"/>
      <c r="AL242" s="1915"/>
      <c r="AM242" s="1915"/>
      <c r="AN242" s="1915"/>
      <c r="AO242" s="1915"/>
      <c r="AP242" s="1915"/>
      <c r="AQ242" s="1915"/>
      <c r="AR242" s="1915"/>
      <c r="AS242" s="1915"/>
      <c r="AT242" s="1915"/>
      <c r="AU242" s="1915"/>
      <c r="AV242" s="1915"/>
      <c r="AW242" s="1915"/>
      <c r="AX242" s="1915"/>
      <c r="AY242" s="1915"/>
      <c r="AZ242" s="1915"/>
      <c r="BA242" s="1915"/>
      <c r="BB242" s="1915"/>
      <c r="BC242" s="1915"/>
      <c r="BD242" s="1915"/>
      <c r="BE242" s="1915"/>
      <c r="BF242" s="1915"/>
      <c r="BG242" s="1915"/>
      <c r="BH242" s="1915"/>
      <c r="BI242" s="1915"/>
      <c r="BJ242" s="1915"/>
      <c r="BK242" s="1915"/>
      <c r="BL242" s="1915"/>
      <c r="BM242" s="1915"/>
      <c r="BN242" s="1915"/>
      <c r="BO242" s="1915"/>
      <c r="BP242" s="1915"/>
      <c r="BQ242" s="1915"/>
      <c r="BR242" s="1915"/>
      <c r="BS242" s="1915"/>
      <c r="BT242" s="1915"/>
      <c r="BU242" s="1915"/>
      <c r="BV242" s="1915"/>
      <c r="BW242" s="1915"/>
      <c r="BX242" s="1915"/>
      <c r="BY242" s="1915"/>
      <c r="BZ242" s="1915"/>
      <c r="CA242" s="1915"/>
      <c r="CB242" s="1915"/>
      <c r="CC242" s="1915"/>
      <c r="CD242" s="1915"/>
      <c r="CE242" s="1915"/>
      <c r="CF242" s="1915"/>
      <c r="CG242" s="1915"/>
      <c r="CH242" s="1915"/>
      <c r="CI242" s="1915"/>
      <c r="CJ242" s="1915"/>
      <c r="CK242" s="1915"/>
      <c r="CL242" s="1915"/>
      <c r="CM242" s="1915"/>
      <c r="CN242" s="1915"/>
      <c r="CO242" s="1915"/>
      <c r="CP242" s="1915"/>
      <c r="CQ242" s="1915"/>
      <c r="CR242" s="1915"/>
      <c r="CS242" s="1915"/>
      <c r="CT242" s="1915"/>
      <c r="CU242" s="1915"/>
      <c r="CV242" s="1915"/>
      <c r="CW242" s="1915"/>
      <c r="CX242" s="1493">
        <f t="shared" ref="CX242:DE242" si="628">+IFERROR((CX208/CX104)/100,"NA")</f>
        <v>42.887718379789227</v>
      </c>
      <c r="CY242" s="1493">
        <f t="shared" si="628"/>
        <v>29.835873453611324</v>
      </c>
      <c r="CZ242" s="2167">
        <f t="shared" si="628"/>
        <v>130.44680960317515</v>
      </c>
      <c r="DA242" s="1477">
        <f t="shared" si="628"/>
        <v>-21.810523298230287</v>
      </c>
      <c r="DB242" s="1493">
        <f t="shared" si="628"/>
        <v>-114.67876169990177</v>
      </c>
      <c r="DC242" s="2167">
        <f t="shared" si="628"/>
        <v>-69.247091153141696</v>
      </c>
      <c r="DD242" s="1493">
        <f t="shared" si="628"/>
        <v>32.171839591058998</v>
      </c>
      <c r="DE242" s="1477">
        <f t="shared" si="628"/>
        <v>-73.429530207846625</v>
      </c>
      <c r="DF242" s="1493">
        <f>+IFERROR((DF208/DF104)/100,"NA")</f>
        <v>44.133051287461946</v>
      </c>
      <c r="DG242" s="1493">
        <f>+IFERROR((DG208/DG104)/100,"NA")</f>
        <v>-0.44765467701524736</v>
      </c>
      <c r="DH242" s="1493">
        <f t="shared" ref="DH242:DI242" si="629">+IFERROR((DH208/DH104)/100,"NA")</f>
        <v>0.59460936579905055</v>
      </c>
      <c r="DI242" s="1477">
        <f t="shared" si="629"/>
        <v>-0.27086340804714937</v>
      </c>
      <c r="DJ242" s="1796">
        <f t="shared" ref="DJ242:DK242" si="630">+IFERROR((DJ208/DJ104)/100,"NA")</f>
        <v>-4.1593144344460162</v>
      </c>
      <c r="DK242" s="1493">
        <f t="shared" si="630"/>
        <v>-5.2902272694344257</v>
      </c>
      <c r="DL242" s="1493">
        <f t="shared" ref="DL242:DM242" si="631">+IFERROR((DL208/DL104)/100,"NA")</f>
        <v>-5.5107448179645235</v>
      </c>
      <c r="DM242" s="1477">
        <f t="shared" si="631"/>
        <v>0.41059976690490951</v>
      </c>
      <c r="DN242" s="2168"/>
      <c r="DO242" s="1477"/>
      <c r="DP242" s="2169" t="str">
        <f t="shared" ref="DP242:EU242" si="632">+IFERROR((DP208/DP104)/100,"NA")</f>
        <v>NA</v>
      </c>
      <c r="DQ242" s="2169" t="str">
        <f t="shared" si="632"/>
        <v>NA</v>
      </c>
      <c r="DR242" s="2169" t="str">
        <f t="shared" si="632"/>
        <v>NA</v>
      </c>
      <c r="DS242" s="2169" t="str">
        <f t="shared" si="632"/>
        <v>NA</v>
      </c>
      <c r="DT242" s="2169" t="str">
        <f t="shared" si="632"/>
        <v>NA</v>
      </c>
      <c r="DU242" s="2170" t="str">
        <f t="shared" si="632"/>
        <v>NA</v>
      </c>
      <c r="DV242" s="2170" t="str">
        <f t="shared" si="632"/>
        <v>NA</v>
      </c>
      <c r="DW242" s="2170" t="str">
        <f t="shared" si="632"/>
        <v>NA</v>
      </c>
      <c r="DX242" s="2170" t="str">
        <f t="shared" si="632"/>
        <v>NA</v>
      </c>
      <c r="DY242" s="2171">
        <f t="shared" si="632"/>
        <v>0</v>
      </c>
      <c r="DZ242" s="2171">
        <f t="shared" si="632"/>
        <v>0</v>
      </c>
      <c r="EA242" s="2171">
        <f t="shared" si="632"/>
        <v>0</v>
      </c>
      <c r="EB242" s="2171">
        <f t="shared" si="632"/>
        <v>0</v>
      </c>
      <c r="EC242" s="2171">
        <f t="shared" si="632"/>
        <v>0</v>
      </c>
      <c r="ED242" s="2171">
        <f t="shared" si="632"/>
        <v>0</v>
      </c>
      <c r="EE242" s="2171">
        <f t="shared" si="632"/>
        <v>0</v>
      </c>
      <c r="EF242" s="2171">
        <f t="shared" si="632"/>
        <v>0</v>
      </c>
      <c r="EG242" s="2171">
        <f t="shared" si="632"/>
        <v>0</v>
      </c>
      <c r="EH242" s="2171">
        <f t="shared" si="632"/>
        <v>0</v>
      </c>
      <c r="EI242" s="1042">
        <f t="shared" si="632"/>
        <v>0</v>
      </c>
      <c r="EJ242" s="1001">
        <f t="shared" si="632"/>
        <v>29.549104529594796</v>
      </c>
      <c r="EK242" s="1001">
        <f t="shared" si="632"/>
        <v>-11.46261404060118</v>
      </c>
      <c r="EL242" s="1001">
        <f t="shared" si="632"/>
        <v>-19.032670629063798</v>
      </c>
      <c r="EM242" s="1001">
        <f t="shared" si="632"/>
        <v>-7.3671188719405007</v>
      </c>
      <c r="EN242" s="1001">
        <f t="shared" si="632"/>
        <v>-23.081990886541895</v>
      </c>
      <c r="EO242" s="1001">
        <f t="shared" si="632"/>
        <v>-34.079597690217419</v>
      </c>
      <c r="EP242" s="1001">
        <f t="shared" si="632"/>
        <v>29.523465718742532</v>
      </c>
      <c r="EQ242" s="1001">
        <f t="shared" si="632"/>
        <v>-44.837663437310496</v>
      </c>
      <c r="ER242" s="1001">
        <f t="shared" si="632"/>
        <v>25.429295847500292</v>
      </c>
      <c r="ES242" s="1001">
        <f t="shared" si="632"/>
        <v>32.275877851826273</v>
      </c>
      <c r="ET242" s="2167">
        <f t="shared" si="632"/>
        <v>0</v>
      </c>
      <c r="EU242" s="1001">
        <f t="shared" si="632"/>
        <v>440.8860091233409</v>
      </c>
      <c r="EV242" s="1001">
        <f t="shared" ref="EV242:FH242" si="633">+IFERROR((EV208/EV104)/100,"NA")</f>
        <v>6.4100741230078642</v>
      </c>
      <c r="EW242" s="1001">
        <f t="shared" si="633"/>
        <v>111.43594201373753</v>
      </c>
      <c r="EX242" s="2167">
        <f t="shared" si="633"/>
        <v>90.236688623539408</v>
      </c>
      <c r="EY242" s="2167">
        <f t="shared" si="633"/>
        <v>1.5761638764524457</v>
      </c>
      <c r="EZ242" s="2172">
        <f t="shared" ref="EZ242" si="634">+IFERROR((EZ208/EZ104)/100,"NA")</f>
        <v>-5.9459747156840637</v>
      </c>
      <c r="FA242" s="1001">
        <f t="shared" si="633"/>
        <v>-5.2607816475858229</v>
      </c>
      <c r="FB242" s="1001">
        <f t="shared" si="633"/>
        <v>2.8569668324592423</v>
      </c>
      <c r="FC242" s="1001">
        <f t="shared" si="633"/>
        <v>-4.8258693636936876</v>
      </c>
      <c r="FD242" s="1001">
        <f t="shared" si="633"/>
        <v>-3.1689078421736445</v>
      </c>
      <c r="FE242" s="1001">
        <f t="shared" si="633"/>
        <v>-3.093177402534705</v>
      </c>
      <c r="FF242" s="1001">
        <f t="shared" si="633"/>
        <v>-3.0191917127766645</v>
      </c>
      <c r="FG242" s="1001">
        <f t="shared" si="633"/>
        <v>-2.9469639372016014</v>
      </c>
      <c r="FH242" s="1001">
        <f t="shared" si="633"/>
        <v>-2.8765031430285894</v>
      </c>
      <c r="FI242" s="2173"/>
      <c r="FJ242"/>
      <c r="FK242"/>
      <c r="FL242"/>
      <c r="FM242"/>
      <c r="FN242"/>
      <c r="FO242"/>
      <c r="FQ242" s="1388"/>
      <c r="FR242" s="1388"/>
      <c r="FS242" s="134"/>
      <c r="FT242" s="134"/>
      <c r="FU242" s="1915"/>
      <c r="FV242" s="1493"/>
      <c r="FW242" s="1493"/>
      <c r="FX242" s="1493"/>
      <c r="FY242" s="1915"/>
      <c r="FZ242" s="1915"/>
      <c r="GA242" s="1915"/>
      <c r="GB242" s="1915"/>
      <c r="GC242" s="1915"/>
      <c r="GD242" s="1915"/>
      <c r="GE242" s="1915"/>
      <c r="GF242" s="1915"/>
      <c r="GG242" s="1915"/>
      <c r="GH242" s="1915"/>
      <c r="GI242" s="1915"/>
      <c r="GJ242" s="1915"/>
      <c r="GK242" s="1915"/>
      <c r="GL242" s="1915"/>
      <c r="GM242" s="1915"/>
      <c r="GN242" s="1915"/>
      <c r="GO242" s="1915"/>
      <c r="GP242" s="1915"/>
      <c r="GQ242" s="1915"/>
      <c r="GR242" s="1915"/>
      <c r="GS242" s="1915"/>
      <c r="GT242" s="1915"/>
      <c r="GU242" s="1915"/>
      <c r="GV242" s="1915"/>
      <c r="GW242" s="1915"/>
      <c r="GX242" s="1915"/>
      <c r="GY242" s="1915"/>
      <c r="GZ242" s="1915"/>
      <c r="HA242" s="1915"/>
      <c r="HB242" s="1915"/>
      <c r="HC242" s="1915"/>
      <c r="HD242" s="1915"/>
      <c r="HE242" s="1915"/>
      <c r="HF242" s="1915"/>
      <c r="HG242" s="1915"/>
      <c r="HH242" s="1915"/>
      <c r="HI242" s="1915"/>
      <c r="HJ242" s="1915"/>
      <c r="HK242" s="1915"/>
      <c r="HL242" s="1915"/>
      <c r="HM242" s="1915"/>
      <c r="HN242" s="1915"/>
      <c r="HO242" s="1915"/>
      <c r="HP242" s="1915"/>
      <c r="HQ242" s="1915"/>
      <c r="HR242" s="1915"/>
      <c r="HS242" s="1915"/>
      <c r="HT242" s="1915"/>
      <c r="HU242" s="1915"/>
      <c r="HV242" s="1915"/>
      <c r="HW242" s="1915"/>
      <c r="HX242" s="1915"/>
      <c r="HY242" s="1915"/>
      <c r="HZ242" s="1915"/>
      <c r="IA242" s="1915"/>
      <c r="IB242" s="1915"/>
      <c r="IC242" s="1915"/>
      <c r="ID242" s="1915"/>
      <c r="IE242" s="1915"/>
      <c r="IF242" s="1915"/>
      <c r="IG242" s="1915"/>
      <c r="IH242" s="1915"/>
      <c r="II242" s="1915"/>
      <c r="IJ242" s="1915"/>
      <c r="IK242" s="1915"/>
      <c r="IL242" s="1915"/>
      <c r="IM242" s="1915"/>
      <c r="IN242" s="1915"/>
      <c r="IO242" s="1915"/>
      <c r="IP242" s="1915"/>
      <c r="IQ242" s="1915"/>
      <c r="IR242" s="1915"/>
      <c r="IS242" s="1915"/>
      <c r="IT242" s="1915"/>
      <c r="IU242" s="1915"/>
      <c r="IV242" s="1915"/>
      <c r="IW242" s="1915"/>
      <c r="IX242" s="1915"/>
      <c r="IY242" s="1915"/>
      <c r="IZ242" s="1915"/>
    </row>
    <row r="243" spans="1:260" s="51" customFormat="1" ht="11.25" customHeight="1" x14ac:dyDescent="0.2">
      <c r="A243" s="2159" t="s">
        <v>354</v>
      </c>
      <c r="B243" s="1915"/>
      <c r="C243" s="1915"/>
      <c r="D243" s="1915"/>
      <c r="E243" s="1915"/>
      <c r="F243" s="1915"/>
      <c r="G243" s="1915"/>
      <c r="H243" s="1915"/>
      <c r="I243" s="1915"/>
      <c r="J243" s="1915"/>
      <c r="K243" s="1915"/>
      <c r="L243" s="1915"/>
      <c r="M243" s="1915"/>
      <c r="N243" s="1915"/>
      <c r="O243" s="1915"/>
      <c r="P243" s="1915"/>
      <c r="Q243" s="1915"/>
      <c r="R243" s="1915"/>
      <c r="S243" s="1915"/>
      <c r="T243" s="1915"/>
      <c r="U243" s="1915"/>
      <c r="V243" s="1915"/>
      <c r="W243" s="1915"/>
      <c r="X243" s="1915"/>
      <c r="Y243" s="1915"/>
      <c r="Z243" s="1915"/>
      <c r="AA243" s="1915"/>
      <c r="AB243" s="1915"/>
      <c r="AC243" s="1915"/>
      <c r="AD243" s="1915"/>
      <c r="AE243" s="1915"/>
      <c r="AF243" s="1915"/>
      <c r="AG243" s="1915"/>
      <c r="AH243" s="1915"/>
      <c r="AI243" s="1915"/>
      <c r="AJ243" s="1915"/>
      <c r="AK243" s="1915"/>
      <c r="AL243" s="1915"/>
      <c r="AM243" s="1915"/>
      <c r="AN243" s="1915"/>
      <c r="AO243" s="1915"/>
      <c r="AP243" s="1915"/>
      <c r="AQ243" s="1915"/>
      <c r="AR243" s="1915"/>
      <c r="AS243" s="1915"/>
      <c r="AT243" s="1915"/>
      <c r="AU243" s="1915"/>
      <c r="AV243" s="1915"/>
      <c r="AW243" s="1915"/>
      <c r="AX243" s="1915"/>
      <c r="AY243" s="1915"/>
      <c r="AZ243" s="1915"/>
      <c r="BA243" s="1915"/>
      <c r="BB243" s="1915"/>
      <c r="BC243" s="1915"/>
      <c r="BD243" s="1915"/>
      <c r="BE243" s="1915"/>
      <c r="BF243" s="1915"/>
      <c r="BG243" s="1915"/>
      <c r="BH243" s="1915"/>
      <c r="BI243" s="1915"/>
      <c r="BJ243" s="1915"/>
      <c r="BK243" s="1915"/>
      <c r="BL243" s="1915"/>
      <c r="BM243" s="1915"/>
      <c r="BN243" s="1915"/>
      <c r="BO243" s="1915"/>
      <c r="BP243" s="1915"/>
      <c r="BQ243" s="1915"/>
      <c r="BR243" s="1915"/>
      <c r="BS243" s="1915"/>
      <c r="BT243" s="1915"/>
      <c r="BU243" s="1915"/>
      <c r="BV243" s="1915"/>
      <c r="BW243" s="1915"/>
      <c r="BX243" s="1915"/>
      <c r="BY243" s="1915"/>
      <c r="BZ243" s="1915"/>
      <c r="CA243" s="1915"/>
      <c r="CB243" s="1915"/>
      <c r="CC243" s="1915"/>
      <c r="CD243" s="1915"/>
      <c r="CE243" s="1915"/>
      <c r="CF243" s="1915"/>
      <c r="CG243" s="1915"/>
      <c r="CH243" s="1915"/>
      <c r="CI243" s="1915"/>
      <c r="CJ243" s="1915"/>
      <c r="CK243" s="1915"/>
      <c r="CL243" s="1915"/>
      <c r="CM243" s="1915"/>
      <c r="CN243" s="1915"/>
      <c r="CO243" s="1915"/>
      <c r="CP243" s="1915"/>
      <c r="CQ243" s="1915"/>
      <c r="CR243" s="1915"/>
      <c r="CS243" s="1915"/>
      <c r="CT243" s="1915"/>
      <c r="CU243" s="1915"/>
      <c r="CV243" s="1915"/>
      <c r="CW243" s="1915"/>
      <c r="CX243" s="1493">
        <f t="shared" ref="CX243:DE243" si="635">IFERROR(-(CX212/CX104)/100,"NA")</f>
        <v>-51.983624166131634</v>
      </c>
      <c r="CY243" s="1493">
        <f t="shared" si="635"/>
        <v>-22.283584860638488</v>
      </c>
      <c r="CZ243" s="2167">
        <f t="shared" si="635"/>
        <v>-86.62169586149821</v>
      </c>
      <c r="DA243" s="1477">
        <f t="shared" si="635"/>
        <v>27.335404940028788</v>
      </c>
      <c r="DB243" s="1493">
        <f t="shared" si="635"/>
        <v>53.152937447317754</v>
      </c>
      <c r="DC243" s="2167">
        <f t="shared" si="635"/>
        <v>44.811673752961916</v>
      </c>
      <c r="DD243" s="1493">
        <f t="shared" si="635"/>
        <v>2.3458423465183564</v>
      </c>
      <c r="DE243" s="1477">
        <f t="shared" si="635"/>
        <v>-7.4863067586494125</v>
      </c>
      <c r="DF243" s="1493">
        <f>IFERROR(-(DF212/DF104)/100,"NA")</f>
        <v>7.7563183523032819</v>
      </c>
      <c r="DG243" s="1493">
        <f>IFERROR(-(DG212/DG104)/100,"NA")</f>
        <v>3.8206014225006455</v>
      </c>
      <c r="DH243" s="1493">
        <f t="shared" ref="DH243:DI243" si="636">IFERROR(-(DH212/DH104)/100,"NA")</f>
        <v>8.3168636890040215</v>
      </c>
      <c r="DI243" s="1477">
        <f t="shared" si="636"/>
        <v>-1.3278095251789384</v>
      </c>
      <c r="DJ243" s="1796">
        <f t="shared" ref="DJ243:DK243" si="637">IFERROR(-(DJ212/DJ104)/100,"NA")</f>
        <v>-0.5298852635664244</v>
      </c>
      <c r="DK243" s="1493">
        <f t="shared" si="637"/>
        <v>4.1887585286512072</v>
      </c>
      <c r="DL243" s="1493">
        <f t="shared" ref="DL243:DM243" si="638">IFERROR(-(DL212/DL104)/100,"NA")</f>
        <v>7.9025027920494475</v>
      </c>
      <c r="DM243" s="1477">
        <f t="shared" si="638"/>
        <v>-2.7851775785346904</v>
      </c>
      <c r="DN243" s="2168"/>
      <c r="DO243" s="1477"/>
      <c r="DP243" s="2169" t="str">
        <f t="shared" ref="DP243:FH243" si="639">IFERROR(-(DP212/DP104)/100,"NA")</f>
        <v>NA</v>
      </c>
      <c r="DQ243" s="2169" t="str">
        <f t="shared" si="639"/>
        <v>NA</v>
      </c>
      <c r="DR243" s="2169" t="str">
        <f t="shared" si="639"/>
        <v>NA</v>
      </c>
      <c r="DS243" s="2169" t="str">
        <f t="shared" si="639"/>
        <v>NA</v>
      </c>
      <c r="DT243" s="2169" t="str">
        <f t="shared" si="639"/>
        <v>NA</v>
      </c>
      <c r="DU243" s="2170" t="str">
        <f t="shared" si="639"/>
        <v>NA</v>
      </c>
      <c r="DV243" s="2170" t="str">
        <f t="shared" si="639"/>
        <v>NA</v>
      </c>
      <c r="DW243" s="2170" t="str">
        <f t="shared" si="639"/>
        <v>NA</v>
      </c>
      <c r="DX243" s="2170" t="str">
        <f t="shared" si="639"/>
        <v>NA</v>
      </c>
      <c r="DY243" s="2171">
        <f t="shared" si="639"/>
        <v>0</v>
      </c>
      <c r="DZ243" s="2171">
        <f t="shared" si="639"/>
        <v>0</v>
      </c>
      <c r="EA243" s="2171">
        <f t="shared" si="639"/>
        <v>0</v>
      </c>
      <c r="EB243" s="2171">
        <f t="shared" si="639"/>
        <v>0</v>
      </c>
      <c r="EC243" s="2171">
        <f t="shared" si="639"/>
        <v>0</v>
      </c>
      <c r="ED243" s="2171">
        <f t="shared" si="639"/>
        <v>0</v>
      </c>
      <c r="EE243" s="2171">
        <f t="shared" si="639"/>
        <v>0</v>
      </c>
      <c r="EF243" s="2171">
        <f t="shared" si="639"/>
        <v>0</v>
      </c>
      <c r="EG243" s="2171">
        <f t="shared" si="639"/>
        <v>0</v>
      </c>
      <c r="EH243" s="2171">
        <f t="shared" si="639"/>
        <v>0</v>
      </c>
      <c r="EI243" s="1042">
        <f t="shared" si="639"/>
        <v>0</v>
      </c>
      <c r="EJ243" s="1001">
        <f t="shared" si="639"/>
        <v>-26.702622375216087</v>
      </c>
      <c r="EK243" s="1001">
        <f t="shared" si="639"/>
        <v>19.41162280020809</v>
      </c>
      <c r="EL243" s="1001">
        <f t="shared" si="639"/>
        <v>12.244667318056219</v>
      </c>
      <c r="EM243" s="1001">
        <f t="shared" si="639"/>
        <v>52.867191597558794</v>
      </c>
      <c r="EN243" s="1001">
        <f t="shared" si="639"/>
        <v>35.536640853159163</v>
      </c>
      <c r="EO243" s="1001">
        <f t="shared" si="639"/>
        <v>0</v>
      </c>
      <c r="EP243" s="1001">
        <f t="shared" si="639"/>
        <v>0</v>
      </c>
      <c r="EQ243" s="1001">
        <f t="shared" si="639"/>
        <v>0</v>
      </c>
      <c r="ER243" s="1001">
        <f t="shared" si="639"/>
        <v>0</v>
      </c>
      <c r="ES243" s="1001">
        <f t="shared" si="639"/>
        <v>0</v>
      </c>
      <c r="ET243" s="2167">
        <f t="shared" si="639"/>
        <v>0</v>
      </c>
      <c r="EU243" s="1001">
        <f t="shared" si="639"/>
        <v>-244.36203499656642</v>
      </c>
      <c r="EV243" s="1001">
        <f t="shared" si="639"/>
        <v>103.60859960387184</v>
      </c>
      <c r="EW243" s="1001">
        <f t="shared" si="639"/>
        <v>-99.075985022575381</v>
      </c>
      <c r="EX243" s="2167">
        <f t="shared" si="639"/>
        <v>26.56245782822171</v>
      </c>
      <c r="EY243" s="2167">
        <f t="shared" si="639"/>
        <v>3.6514158599803319</v>
      </c>
      <c r="EZ243" s="2172">
        <f t="shared" ref="EZ243" si="640">IFERROR(-(EZ212/EZ104)/100,"NA")</f>
        <v>2.9014098042434542</v>
      </c>
      <c r="FA243" s="1001">
        <f t="shared" si="639"/>
        <v>11.326614944734876</v>
      </c>
      <c r="FB243" s="1001">
        <f t="shared" si="639"/>
        <v>4.7616113874321595</v>
      </c>
      <c r="FC243" s="1001">
        <f t="shared" si="639"/>
        <v>0</v>
      </c>
      <c r="FD243" s="1001">
        <f t="shared" si="639"/>
        <v>0</v>
      </c>
      <c r="FE243" s="1001">
        <f t="shared" si="639"/>
        <v>0</v>
      </c>
      <c r="FF243" s="1001">
        <f t="shared" si="639"/>
        <v>0</v>
      </c>
      <c r="FG243" s="1001">
        <f t="shared" si="639"/>
        <v>0</v>
      </c>
      <c r="FH243" s="1001">
        <f t="shared" si="639"/>
        <v>0</v>
      </c>
      <c r="FI243" s="2173"/>
      <c r="FJ243"/>
      <c r="FK243"/>
      <c r="FL243"/>
      <c r="FM243"/>
      <c r="FN243"/>
      <c r="FO243"/>
      <c r="FQ243" s="1388"/>
      <c r="FR243" s="1388"/>
      <c r="FS243" s="134"/>
      <c r="FT243" s="134"/>
      <c r="FU243" s="1915"/>
      <c r="FV243" s="1493"/>
      <c r="FW243" s="1493"/>
      <c r="FX243" s="1493"/>
      <c r="FY243" s="1915"/>
      <c r="FZ243" s="1915"/>
      <c r="GA243" s="1915"/>
      <c r="GB243" s="1915"/>
      <c r="GC243" s="1915"/>
      <c r="GD243" s="1915"/>
      <c r="GE243" s="1915"/>
      <c r="GF243" s="1915"/>
      <c r="GG243" s="1915"/>
      <c r="GH243" s="1915"/>
      <c r="GI243" s="1915"/>
      <c r="GJ243" s="1915"/>
      <c r="GK243" s="1915"/>
      <c r="GL243" s="1915"/>
      <c r="GM243" s="1915"/>
      <c r="GN243" s="1915"/>
      <c r="GO243" s="1915"/>
      <c r="GP243" s="1915"/>
      <c r="GQ243" s="1915"/>
      <c r="GR243" s="1915"/>
      <c r="GS243" s="1915"/>
      <c r="GT243" s="1915"/>
      <c r="GU243" s="1915"/>
      <c r="GV243" s="1915"/>
      <c r="GW243" s="1915"/>
      <c r="GX243" s="1915"/>
      <c r="GY243" s="1915"/>
      <c r="GZ243" s="1915"/>
      <c r="HA243" s="1915"/>
      <c r="HB243" s="1915"/>
      <c r="HC243" s="1915"/>
      <c r="HD243" s="1915"/>
      <c r="HE243" s="1915"/>
      <c r="HF243" s="1915"/>
      <c r="HG243" s="1915"/>
      <c r="HH243" s="1915"/>
      <c r="HI243" s="1915"/>
      <c r="HJ243" s="1915"/>
      <c r="HK243" s="1915"/>
      <c r="HL243" s="1915"/>
      <c r="HM243" s="1915"/>
      <c r="HN243" s="1915"/>
      <c r="HO243" s="1915"/>
      <c r="HP243" s="1915"/>
      <c r="HQ243" s="1915"/>
      <c r="HR243" s="1915"/>
      <c r="HS243" s="1915"/>
      <c r="HT243" s="1915"/>
      <c r="HU243" s="1915"/>
      <c r="HV243" s="1915"/>
      <c r="HW243" s="1915"/>
      <c r="HX243" s="1915"/>
      <c r="HY243" s="1915"/>
      <c r="HZ243" s="1915"/>
      <c r="IA243" s="1915"/>
      <c r="IB243" s="1915"/>
      <c r="IC243" s="1915"/>
      <c r="ID243" s="1915"/>
      <c r="IE243" s="1915"/>
      <c r="IF243" s="1915"/>
      <c r="IG243" s="1915"/>
      <c r="IH243" s="1915"/>
      <c r="II243" s="1915"/>
      <c r="IJ243" s="1915"/>
      <c r="IK243" s="1915"/>
      <c r="IL243" s="1915"/>
      <c r="IM243" s="1915"/>
      <c r="IN243" s="1915"/>
      <c r="IO243" s="1915"/>
      <c r="IP243" s="1915"/>
      <c r="IQ243" s="1915"/>
      <c r="IR243" s="1915"/>
      <c r="IS243" s="1915"/>
      <c r="IT243" s="1915"/>
      <c r="IU243" s="1915"/>
      <c r="IV243" s="1915"/>
      <c r="IW243" s="1915"/>
      <c r="IX243" s="1915"/>
      <c r="IY243" s="1915"/>
      <c r="IZ243" s="1915"/>
    </row>
    <row r="244" spans="1:260" s="51" customFormat="1" ht="11.25" customHeight="1" x14ac:dyDescent="0.2">
      <c r="A244" s="2160"/>
      <c r="B244" s="1915"/>
      <c r="C244" s="1915"/>
      <c r="D244" s="1915"/>
      <c r="E244" s="1915"/>
      <c r="F244" s="1915"/>
      <c r="G244" s="1915"/>
      <c r="H244" s="1915"/>
      <c r="I244" s="1915"/>
      <c r="J244" s="1915"/>
      <c r="K244" s="1915"/>
      <c r="L244" s="1915"/>
      <c r="M244" s="1915"/>
      <c r="N244" s="1915"/>
      <c r="O244" s="1915"/>
      <c r="P244" s="1915"/>
      <c r="Q244" s="1915"/>
      <c r="R244" s="1915"/>
      <c r="S244" s="1915"/>
      <c r="T244" s="1915"/>
      <c r="U244" s="1915"/>
      <c r="V244" s="1915"/>
      <c r="W244" s="1915"/>
      <c r="X244" s="1915"/>
      <c r="Y244" s="1915"/>
      <c r="Z244" s="1915"/>
      <c r="AA244" s="1915"/>
      <c r="AB244" s="1915"/>
      <c r="AC244" s="1915"/>
      <c r="AD244" s="1915"/>
      <c r="AE244" s="1915"/>
      <c r="AF244" s="1915"/>
      <c r="AG244" s="1915"/>
      <c r="AH244" s="1915"/>
      <c r="AI244" s="1915"/>
      <c r="AJ244" s="1915"/>
      <c r="AK244" s="1915"/>
      <c r="AL244" s="1915"/>
      <c r="AM244" s="1915"/>
      <c r="AN244" s="1915"/>
      <c r="AO244" s="1915"/>
      <c r="AP244" s="1915"/>
      <c r="AQ244" s="1915"/>
      <c r="AR244" s="1915"/>
      <c r="AS244" s="1915"/>
      <c r="AT244" s="1915"/>
      <c r="AU244" s="1915"/>
      <c r="AV244" s="1915"/>
      <c r="AW244" s="1915"/>
      <c r="AX244" s="1915"/>
      <c r="AY244" s="1915"/>
      <c r="AZ244" s="1915"/>
      <c r="BA244" s="1915"/>
      <c r="BB244" s="1915"/>
      <c r="BC244" s="1915"/>
      <c r="BD244" s="1915"/>
      <c r="BE244" s="1915"/>
      <c r="BF244" s="1915"/>
      <c r="BG244" s="1915"/>
      <c r="BH244" s="1915"/>
      <c r="BI244" s="1915"/>
      <c r="BJ244" s="1915"/>
      <c r="BK244" s="1915"/>
      <c r="BL244" s="1915"/>
      <c r="BM244" s="1915"/>
      <c r="BN244" s="1915"/>
      <c r="BO244" s="1915"/>
      <c r="BP244" s="1915"/>
      <c r="BQ244" s="1915"/>
      <c r="BR244" s="1915"/>
      <c r="BS244" s="1915"/>
      <c r="BT244" s="1915"/>
      <c r="BU244" s="1915"/>
      <c r="BV244" s="1915"/>
      <c r="BW244" s="1915"/>
      <c r="BX244" s="1915"/>
      <c r="BY244" s="1915"/>
      <c r="BZ244" s="1915"/>
      <c r="CA244" s="1915"/>
      <c r="CB244" s="1915"/>
      <c r="CC244" s="1915"/>
      <c r="CD244" s="1915"/>
      <c r="CE244" s="1915"/>
      <c r="CF244" s="1915"/>
      <c r="CG244" s="1915"/>
      <c r="CH244" s="1915"/>
      <c r="CI244" s="1915"/>
      <c r="CJ244" s="1915"/>
      <c r="CK244" s="1915"/>
      <c r="CL244" s="1915"/>
      <c r="CM244" s="1915"/>
      <c r="CN244" s="1915"/>
      <c r="CO244" s="1915"/>
      <c r="CP244" s="1915"/>
      <c r="CQ244" s="1915"/>
      <c r="CR244" s="1915"/>
      <c r="CS244" s="1915"/>
      <c r="CT244" s="1915"/>
      <c r="CU244" s="1915"/>
      <c r="CV244" s="1915"/>
      <c r="CW244" s="1915"/>
      <c r="CX244" s="2174"/>
      <c r="CY244" s="62"/>
      <c r="CZ244" s="62"/>
      <c r="DA244" s="2175"/>
      <c r="DB244" s="2178"/>
      <c r="DC244" s="2178"/>
      <c r="DD244" s="2178"/>
      <c r="DE244" s="2176"/>
      <c r="DF244" s="2178"/>
      <c r="DG244" s="2178"/>
      <c r="DH244" s="2178"/>
      <c r="DI244" s="2176"/>
      <c r="DJ244" s="2714"/>
      <c r="DK244" s="2178"/>
      <c r="DL244" s="2178"/>
      <c r="DM244" s="2175"/>
      <c r="DN244" s="2174"/>
      <c r="DO244" s="2175"/>
      <c r="DP244" s="62"/>
      <c r="DQ244" s="62"/>
      <c r="DR244" s="62"/>
      <c r="DS244" s="62"/>
      <c r="DT244" s="62"/>
      <c r="DU244" s="62"/>
      <c r="DV244" s="62"/>
      <c r="DW244" s="62"/>
      <c r="DX244" s="62"/>
      <c r="DY244" s="62"/>
      <c r="DZ244" s="62"/>
      <c r="EA244" s="62"/>
      <c r="EB244" s="62"/>
      <c r="EC244" s="62"/>
      <c r="ED244" s="62"/>
      <c r="EE244" s="62"/>
      <c r="EF244" s="62"/>
      <c r="EG244" s="62"/>
      <c r="EH244" s="62"/>
      <c r="EI244" s="62"/>
      <c r="EJ244" s="62"/>
      <c r="EK244" s="62"/>
      <c r="EL244" s="62"/>
      <c r="EM244" s="62"/>
      <c r="EN244" s="62"/>
      <c r="EO244" s="62"/>
      <c r="EP244" s="62"/>
      <c r="EQ244" s="62"/>
      <c r="ER244" s="62"/>
      <c r="ES244" s="62"/>
      <c r="ET244" s="62"/>
      <c r="EU244" s="62"/>
      <c r="EV244" s="62"/>
      <c r="EW244" s="62"/>
      <c r="EX244" s="2178"/>
      <c r="EY244" s="2178"/>
      <c r="EZ244" s="2177"/>
      <c r="FA244" s="62"/>
      <c r="FB244" s="62"/>
      <c r="FC244" s="62"/>
      <c r="FD244" s="62"/>
      <c r="FE244" s="62"/>
      <c r="FF244" s="62"/>
      <c r="FG244" s="62"/>
      <c r="FH244" s="62"/>
      <c r="FI244" s="2174"/>
      <c r="FJ244"/>
      <c r="FK244"/>
      <c r="FL244"/>
      <c r="FM244"/>
      <c r="FN244"/>
      <c r="FO244"/>
      <c r="FQ244" s="1388"/>
      <c r="FR244" s="1388"/>
      <c r="FS244" s="134"/>
      <c r="FT244" s="134"/>
      <c r="FU244" s="1915"/>
      <c r="FV244" s="2637"/>
      <c r="FW244" s="2637"/>
      <c r="FX244" s="2637"/>
      <c r="FY244" s="1915"/>
      <c r="FZ244" s="1915"/>
      <c r="GA244" s="1915"/>
      <c r="GB244" s="1915"/>
      <c r="GC244" s="1915"/>
      <c r="GD244" s="1915"/>
      <c r="GE244" s="1915"/>
      <c r="GF244" s="1915"/>
      <c r="GG244" s="1915"/>
      <c r="GH244" s="1915"/>
      <c r="GI244" s="1915"/>
      <c r="GJ244" s="1915"/>
      <c r="GK244" s="1915"/>
      <c r="GL244" s="1915"/>
      <c r="GM244" s="1915"/>
      <c r="GN244" s="1915"/>
      <c r="GO244" s="1915"/>
      <c r="GP244" s="1915"/>
      <c r="GQ244" s="1915"/>
      <c r="GR244" s="1915"/>
      <c r="GS244" s="1915"/>
      <c r="GT244" s="1915"/>
      <c r="GU244" s="1915"/>
      <c r="GV244" s="1915"/>
      <c r="GW244" s="1915"/>
      <c r="GX244" s="1915"/>
      <c r="GY244" s="1915"/>
      <c r="GZ244" s="1915"/>
      <c r="HA244" s="1915"/>
      <c r="HB244" s="1915"/>
      <c r="HC244" s="1915"/>
      <c r="HD244" s="1915"/>
      <c r="HE244" s="1915"/>
      <c r="HF244" s="1915"/>
      <c r="HG244" s="1915"/>
      <c r="HH244" s="1915"/>
      <c r="HI244" s="1915"/>
      <c r="HJ244" s="1915"/>
      <c r="HK244" s="1915"/>
      <c r="HL244" s="1915"/>
      <c r="HM244" s="1915"/>
      <c r="HN244" s="1915"/>
      <c r="HO244" s="1915"/>
      <c r="HP244" s="1915"/>
      <c r="HQ244" s="1915"/>
      <c r="HR244" s="1915"/>
      <c r="HS244" s="1915"/>
      <c r="HT244" s="1915"/>
      <c r="HU244" s="1915"/>
      <c r="HV244" s="1915"/>
      <c r="HW244" s="1915"/>
      <c r="HX244" s="1915"/>
      <c r="HY244" s="1915"/>
      <c r="HZ244" s="1915"/>
      <c r="IA244" s="1915"/>
      <c r="IB244" s="1915"/>
      <c r="IC244" s="1915"/>
      <c r="ID244" s="1915"/>
      <c r="IE244" s="1915"/>
      <c r="IF244" s="1915"/>
      <c r="IG244" s="1915"/>
      <c r="IH244" s="1915"/>
      <c r="II244" s="1915"/>
      <c r="IJ244" s="1915"/>
      <c r="IK244" s="1915"/>
      <c r="IL244" s="1915"/>
      <c r="IM244" s="1915"/>
      <c r="IN244" s="1915"/>
      <c r="IO244" s="1915"/>
      <c r="IP244" s="1915"/>
      <c r="IQ244" s="1915"/>
      <c r="IR244" s="1915"/>
      <c r="IS244" s="1915"/>
      <c r="IT244" s="1915"/>
      <c r="IU244" s="1915"/>
      <c r="IV244" s="1915"/>
      <c r="IW244" s="1915"/>
      <c r="IX244" s="1915"/>
      <c r="IY244" s="1915"/>
      <c r="IZ244" s="1915"/>
    </row>
    <row r="245" spans="1:260" s="51" customFormat="1" ht="11.25" customHeight="1" x14ac:dyDescent="0.2">
      <c r="A245" s="2161" t="s">
        <v>711</v>
      </c>
      <c r="B245" s="1915"/>
      <c r="C245" s="1915"/>
      <c r="D245" s="1915"/>
      <c r="E245" s="1915"/>
      <c r="F245" s="1915"/>
      <c r="G245" s="1915"/>
      <c r="H245" s="1915"/>
      <c r="I245" s="1915"/>
      <c r="J245" s="1915"/>
      <c r="K245" s="1915"/>
      <c r="L245" s="1915"/>
      <c r="M245" s="1915"/>
      <c r="N245" s="1915"/>
      <c r="O245" s="1915"/>
      <c r="P245" s="1915"/>
      <c r="Q245" s="1915"/>
      <c r="R245" s="1915"/>
      <c r="S245" s="1915"/>
      <c r="T245" s="1915"/>
      <c r="U245" s="1915"/>
      <c r="V245" s="1915"/>
      <c r="W245" s="1915"/>
      <c r="X245" s="1915"/>
      <c r="Y245" s="1915"/>
      <c r="Z245" s="1915"/>
      <c r="AA245" s="1915"/>
      <c r="AB245" s="1915"/>
      <c r="AC245" s="1915"/>
      <c r="AD245" s="1915"/>
      <c r="AE245" s="1915"/>
      <c r="AF245" s="1915"/>
      <c r="AG245" s="1915"/>
      <c r="AH245" s="1915"/>
      <c r="AI245" s="1915"/>
      <c r="AJ245" s="1915"/>
      <c r="AK245" s="1915"/>
      <c r="AL245" s="1915"/>
      <c r="AM245" s="1915"/>
      <c r="AN245" s="1915"/>
      <c r="AO245" s="1915"/>
      <c r="AP245" s="1915"/>
      <c r="AQ245" s="1915"/>
      <c r="AR245" s="1915"/>
      <c r="AS245" s="1915"/>
      <c r="AT245" s="1915"/>
      <c r="AU245" s="1915"/>
      <c r="AV245" s="1915"/>
      <c r="AW245" s="1915"/>
      <c r="AX245" s="1915"/>
      <c r="AY245" s="1915"/>
      <c r="AZ245" s="1915"/>
      <c r="BA245" s="1915"/>
      <c r="BB245" s="1915"/>
      <c r="BC245" s="1915"/>
      <c r="BD245" s="1915"/>
      <c r="BE245" s="1915"/>
      <c r="BF245" s="1915"/>
      <c r="BG245" s="1915"/>
      <c r="BH245" s="1915"/>
      <c r="BI245" s="1915"/>
      <c r="BJ245" s="1915"/>
      <c r="BK245" s="1915"/>
      <c r="BL245" s="1915"/>
      <c r="BM245" s="1915"/>
      <c r="BN245" s="1915"/>
      <c r="BO245" s="1915"/>
      <c r="BP245" s="1915"/>
      <c r="BQ245" s="1915"/>
      <c r="BR245" s="1915"/>
      <c r="BS245" s="1915"/>
      <c r="BT245" s="1915"/>
      <c r="BU245" s="1915"/>
      <c r="BV245" s="1915"/>
      <c r="BW245" s="1915"/>
      <c r="BX245" s="1915"/>
      <c r="BY245" s="1915"/>
      <c r="BZ245" s="1915"/>
      <c r="CA245" s="1915"/>
      <c r="CB245" s="1915"/>
      <c r="CC245" s="1915"/>
      <c r="CD245" s="1915"/>
      <c r="CE245" s="1915"/>
      <c r="CF245" s="1915"/>
      <c r="CG245" s="1915"/>
      <c r="CH245" s="1915"/>
      <c r="CI245" s="1915"/>
      <c r="CJ245" s="1915"/>
      <c r="CK245" s="1915"/>
      <c r="CL245" s="1915"/>
      <c r="CM245" s="1915"/>
      <c r="CN245" s="1915"/>
      <c r="CO245" s="1915"/>
      <c r="CP245" s="1915"/>
      <c r="CQ245" s="1915"/>
      <c r="CR245" s="1915"/>
      <c r="CS245" s="1915"/>
      <c r="CT245" s="1915"/>
      <c r="CU245" s="1915"/>
      <c r="CV245" s="1915"/>
      <c r="CW245" s="1915"/>
      <c r="CX245" s="1493">
        <f t="shared" ref="CX245:DE245" si="641">+IFERROR((CX209/CX105)/100,"NA")</f>
        <v>-170.28879304328422</v>
      </c>
      <c r="CY245" s="1493">
        <f t="shared" si="641"/>
        <v>-1.3260576189637794</v>
      </c>
      <c r="CZ245" s="2167">
        <f t="shared" si="641"/>
        <v>-47.35148253666776</v>
      </c>
      <c r="DA245" s="1477">
        <f t="shared" si="641"/>
        <v>-17.06775900324309</v>
      </c>
      <c r="DB245" s="1493">
        <f t="shared" si="641"/>
        <v>-261.7728711957194</v>
      </c>
      <c r="DC245" s="2167">
        <f t="shared" si="641"/>
        <v>73.380490135527282</v>
      </c>
      <c r="DD245" s="1493">
        <f t="shared" si="641"/>
        <v>107.96624506394484</v>
      </c>
      <c r="DE245" s="1477">
        <f t="shared" si="641"/>
        <v>299.90419775366001</v>
      </c>
      <c r="DF245" s="1493">
        <f>+IFERROR((DF209/DF105)/100,"NA")</f>
        <v>-34.569461483142241</v>
      </c>
      <c r="DG245" s="1493">
        <f>+IFERROR((DG209/DG105)/100,"NA")</f>
        <v>-16.637796166620181</v>
      </c>
      <c r="DH245" s="1493">
        <f t="shared" ref="DH245:DI245" si="642">+IFERROR((DH209/DH105)/100,"NA")</f>
        <v>-55.457175804432616</v>
      </c>
      <c r="DI245" s="1477">
        <f t="shared" si="642"/>
        <v>-22.012284168732357</v>
      </c>
      <c r="DJ245" s="1796">
        <f t="shared" ref="DJ245:DK245" si="643">+IFERROR((DJ209/DJ105)/100,"NA")</f>
        <v>-65.649350649350652</v>
      </c>
      <c r="DK245" s="1493">
        <f t="shared" si="643"/>
        <v>-259.88023952095762</v>
      </c>
      <c r="DL245" s="1493">
        <f t="shared" ref="DL245:DM245" si="644">+IFERROR((DL209/DL105)/100,"NA")</f>
        <v>-9.5416164053074848</v>
      </c>
      <c r="DM245" s="1477">
        <f t="shared" si="644"/>
        <v>20.651162790697672</v>
      </c>
      <c r="DN245" s="2168"/>
      <c r="DO245" s="1477"/>
      <c r="DP245" s="2169" t="str">
        <f t="shared" ref="DP245:FH245" si="645">+IFERROR((DP209/DP105)/100,"NA")</f>
        <v>NA</v>
      </c>
      <c r="DQ245" s="2169" t="str">
        <f t="shared" si="645"/>
        <v>NA</v>
      </c>
      <c r="DR245" s="2169" t="str">
        <f t="shared" si="645"/>
        <v>NA</v>
      </c>
      <c r="DS245" s="2169" t="str">
        <f t="shared" si="645"/>
        <v>NA</v>
      </c>
      <c r="DT245" s="2169" t="str">
        <f t="shared" si="645"/>
        <v>NA</v>
      </c>
      <c r="DU245" s="2170" t="str">
        <f t="shared" si="645"/>
        <v>NA</v>
      </c>
      <c r="DV245" s="2170" t="str">
        <f t="shared" si="645"/>
        <v>NA</v>
      </c>
      <c r="DW245" s="2170" t="str">
        <f t="shared" si="645"/>
        <v>NA</v>
      </c>
      <c r="DX245" s="2170" t="str">
        <f t="shared" si="645"/>
        <v>NA</v>
      </c>
      <c r="DY245" s="2171" t="str">
        <f t="shared" si="645"/>
        <v>NA</v>
      </c>
      <c r="DZ245" s="2171" t="str">
        <f t="shared" si="645"/>
        <v>NA</v>
      </c>
      <c r="EA245" s="2171" t="str">
        <f t="shared" si="645"/>
        <v>NA</v>
      </c>
      <c r="EB245" s="2171" t="str">
        <f t="shared" si="645"/>
        <v>NA</v>
      </c>
      <c r="EC245" s="2171" t="str">
        <f t="shared" si="645"/>
        <v>NA</v>
      </c>
      <c r="ED245" s="2171" t="str">
        <f t="shared" si="645"/>
        <v>NA</v>
      </c>
      <c r="EE245" s="2171" t="str">
        <f t="shared" si="645"/>
        <v>NA</v>
      </c>
      <c r="EF245" s="2171">
        <f t="shared" si="645"/>
        <v>0</v>
      </c>
      <c r="EG245" s="2171">
        <f t="shared" si="645"/>
        <v>0</v>
      </c>
      <c r="EH245" s="2171">
        <f t="shared" si="645"/>
        <v>0</v>
      </c>
      <c r="EI245" s="1042">
        <f t="shared" si="645"/>
        <v>0</v>
      </c>
      <c r="EJ245" s="1001">
        <f t="shared" si="645"/>
        <v>258.54956030179966</v>
      </c>
      <c r="EK245" s="1001">
        <f t="shared" si="645"/>
        <v>-18.558766659750166</v>
      </c>
      <c r="EL245" s="1001">
        <f t="shared" si="645"/>
        <v>-16.130357935394599</v>
      </c>
      <c r="EM245" s="1001">
        <f t="shared" si="645"/>
        <v>-590.59975077863464</v>
      </c>
      <c r="EN245" s="1001">
        <f t="shared" si="645"/>
        <v>-67.069110165325441</v>
      </c>
      <c r="EO245" s="1001">
        <f t="shared" si="645"/>
        <v>-15.385597430714558</v>
      </c>
      <c r="EP245" s="1001">
        <f t="shared" si="645"/>
        <v>400.69888808051974</v>
      </c>
      <c r="EQ245" s="1001">
        <f t="shared" si="645"/>
        <v>15.711702259481928</v>
      </c>
      <c r="ER245" s="1001">
        <f t="shared" si="645"/>
        <v>-31.075453359907524</v>
      </c>
      <c r="ES245" s="1001">
        <f t="shared" si="645"/>
        <v>173.25293134181365</v>
      </c>
      <c r="ET245" s="2167">
        <f t="shared" si="645"/>
        <v>10.619925039807647</v>
      </c>
      <c r="EU245" s="1001">
        <f t="shared" si="645"/>
        <v>5.5321739500721296</v>
      </c>
      <c r="EV245" s="1001">
        <f t="shared" si="645"/>
        <v>27.039267970203991</v>
      </c>
      <c r="EW245" s="1001">
        <f t="shared" si="645"/>
        <v>26.732471450185631</v>
      </c>
      <c r="EX245" s="2167">
        <f t="shared" si="645"/>
        <v>196.49646548839431</v>
      </c>
      <c r="EY245" s="2167">
        <f t="shared" si="645"/>
        <v>-28.461121174167857</v>
      </c>
      <c r="EZ245" s="2172">
        <f t="shared" ref="EZ245" si="646">+IFERROR((EZ209/EZ105)/100,"NA")</f>
        <v>-10.920108244875282</v>
      </c>
      <c r="FA245" s="1001">
        <f t="shared" si="645"/>
        <v>-6.6241924158325078</v>
      </c>
      <c r="FB245" s="1001">
        <f t="shared" si="645"/>
        <v>0</v>
      </c>
      <c r="FC245" s="1001" t="str">
        <f t="shared" si="645"/>
        <v>NA</v>
      </c>
      <c r="FD245" s="1001" t="str">
        <f t="shared" si="645"/>
        <v>NA</v>
      </c>
      <c r="FE245" s="1001" t="str">
        <f t="shared" si="645"/>
        <v>NA</v>
      </c>
      <c r="FF245" s="1001" t="str">
        <f t="shared" si="645"/>
        <v>NA</v>
      </c>
      <c r="FG245" s="1001" t="str">
        <f t="shared" si="645"/>
        <v>NA</v>
      </c>
      <c r="FH245" s="1001" t="str">
        <f t="shared" si="645"/>
        <v>NA</v>
      </c>
      <c r="FI245" s="2173"/>
      <c r="FJ245"/>
      <c r="FK245"/>
      <c r="FL245"/>
      <c r="FM245"/>
      <c r="FN245"/>
      <c r="FO245"/>
      <c r="FQ245" s="1388"/>
      <c r="FR245" s="1388"/>
      <c r="FS245" s="134"/>
      <c r="FT245" s="134"/>
      <c r="FU245" s="1915"/>
      <c r="FV245" s="1493"/>
      <c r="FW245" s="1493"/>
      <c r="FX245" s="1493"/>
      <c r="FY245" s="1915"/>
      <c r="FZ245" s="1915"/>
      <c r="GA245" s="1915"/>
      <c r="GB245" s="1915"/>
      <c r="GC245" s="1915"/>
      <c r="GD245" s="1915"/>
      <c r="GE245" s="1915"/>
      <c r="GF245" s="1915"/>
      <c r="GG245" s="1915"/>
      <c r="GH245" s="1915"/>
      <c r="GI245" s="1915"/>
      <c r="GJ245" s="1915"/>
      <c r="GK245" s="1915"/>
      <c r="GL245" s="1915"/>
      <c r="GM245" s="1915"/>
      <c r="GN245" s="1915"/>
      <c r="GO245" s="1915"/>
      <c r="GP245" s="1915"/>
      <c r="GQ245" s="1915"/>
      <c r="GR245" s="1915"/>
      <c r="GS245" s="1915"/>
      <c r="GT245" s="1915"/>
      <c r="GU245" s="1915"/>
      <c r="GV245" s="1915"/>
      <c r="GW245" s="1915"/>
      <c r="GX245" s="1915"/>
      <c r="GY245" s="1915"/>
      <c r="GZ245" s="1915"/>
      <c r="HA245" s="1915"/>
      <c r="HB245" s="1915"/>
      <c r="HC245" s="1915"/>
      <c r="HD245" s="1915"/>
      <c r="HE245" s="1915"/>
      <c r="HF245" s="1915"/>
      <c r="HG245" s="1915"/>
      <c r="HH245" s="1915"/>
      <c r="HI245" s="1915"/>
      <c r="HJ245" s="1915"/>
      <c r="HK245" s="1915"/>
      <c r="HL245" s="1915"/>
      <c r="HM245" s="1915"/>
      <c r="HN245" s="1915"/>
      <c r="HO245" s="1915"/>
      <c r="HP245" s="1915"/>
      <c r="HQ245" s="1915"/>
      <c r="HR245" s="1915"/>
      <c r="HS245" s="1915"/>
      <c r="HT245" s="1915"/>
      <c r="HU245" s="1915"/>
      <c r="HV245" s="1915"/>
      <c r="HW245" s="1915"/>
      <c r="HX245" s="1915"/>
      <c r="HY245" s="1915"/>
      <c r="HZ245" s="1915"/>
      <c r="IA245" s="1915"/>
      <c r="IB245" s="1915"/>
      <c r="IC245" s="1915"/>
      <c r="ID245" s="1915"/>
      <c r="IE245" s="1915"/>
      <c r="IF245" s="1915"/>
      <c r="IG245" s="1915"/>
      <c r="IH245" s="1915"/>
      <c r="II245" s="1915"/>
      <c r="IJ245" s="1915"/>
      <c r="IK245" s="1915"/>
      <c r="IL245" s="1915"/>
      <c r="IM245" s="1915"/>
      <c r="IN245" s="1915"/>
      <c r="IO245" s="1915"/>
      <c r="IP245" s="1915"/>
      <c r="IQ245" s="1915"/>
      <c r="IR245" s="1915"/>
      <c r="IS245" s="1915"/>
      <c r="IT245" s="1915"/>
      <c r="IU245" s="1915"/>
      <c r="IV245" s="1915"/>
      <c r="IW245" s="1915"/>
      <c r="IX245" s="1915"/>
      <c r="IY245" s="1915"/>
      <c r="IZ245" s="1915"/>
    </row>
    <row r="246" spans="1:260" s="51" customFormat="1" ht="11.25" customHeight="1" x14ac:dyDescent="0.2">
      <c r="A246" s="2159" t="s">
        <v>712</v>
      </c>
      <c r="B246" s="1915"/>
      <c r="C246" s="1915"/>
      <c r="D246" s="1915"/>
      <c r="E246" s="1915"/>
      <c r="F246" s="1915"/>
      <c r="G246" s="1915"/>
      <c r="H246" s="1915"/>
      <c r="I246" s="1915"/>
      <c r="J246" s="1915"/>
      <c r="K246" s="1915"/>
      <c r="L246" s="1915"/>
      <c r="M246" s="1915"/>
      <c r="N246" s="1915"/>
      <c r="O246" s="1915"/>
      <c r="P246" s="1915"/>
      <c r="Q246" s="1915"/>
      <c r="R246" s="1915"/>
      <c r="S246" s="1915"/>
      <c r="T246" s="1915"/>
      <c r="U246" s="1915"/>
      <c r="V246" s="1915"/>
      <c r="W246" s="1915"/>
      <c r="X246" s="1915"/>
      <c r="Y246" s="1915"/>
      <c r="Z246" s="1915"/>
      <c r="AA246" s="1915"/>
      <c r="AB246" s="1915"/>
      <c r="AC246" s="1915"/>
      <c r="AD246" s="1915"/>
      <c r="AE246" s="1915"/>
      <c r="AF246" s="1915"/>
      <c r="AG246" s="1915"/>
      <c r="AH246" s="1915"/>
      <c r="AI246" s="1915"/>
      <c r="AJ246" s="1915"/>
      <c r="AK246" s="1915"/>
      <c r="AL246" s="1915"/>
      <c r="AM246" s="1915"/>
      <c r="AN246" s="1915"/>
      <c r="AO246" s="1915"/>
      <c r="AP246" s="1915"/>
      <c r="AQ246" s="1915"/>
      <c r="AR246" s="1915"/>
      <c r="AS246" s="1915"/>
      <c r="AT246" s="1915"/>
      <c r="AU246" s="1915"/>
      <c r="AV246" s="1915"/>
      <c r="AW246" s="1915"/>
      <c r="AX246" s="1915"/>
      <c r="AY246" s="1915"/>
      <c r="AZ246" s="1915"/>
      <c r="BA246" s="1915"/>
      <c r="BB246" s="1915"/>
      <c r="BC246" s="1915"/>
      <c r="BD246" s="1915"/>
      <c r="BE246" s="1915"/>
      <c r="BF246" s="1915"/>
      <c r="BG246" s="1915"/>
      <c r="BH246" s="1915"/>
      <c r="BI246" s="1915"/>
      <c r="BJ246" s="1915"/>
      <c r="BK246" s="1915"/>
      <c r="BL246" s="1915"/>
      <c r="BM246" s="1915"/>
      <c r="BN246" s="1915"/>
      <c r="BO246" s="1915"/>
      <c r="BP246" s="1915"/>
      <c r="BQ246" s="1915"/>
      <c r="BR246" s="1915"/>
      <c r="BS246" s="1915"/>
      <c r="BT246" s="1915"/>
      <c r="BU246" s="1915"/>
      <c r="BV246" s="1915"/>
      <c r="BW246" s="1915"/>
      <c r="BX246" s="1915"/>
      <c r="BY246" s="1915"/>
      <c r="BZ246" s="1915"/>
      <c r="CA246" s="1915"/>
      <c r="CB246" s="1915"/>
      <c r="CC246" s="1915"/>
      <c r="CD246" s="1915"/>
      <c r="CE246" s="1915"/>
      <c r="CF246" s="1915"/>
      <c r="CG246" s="1915"/>
      <c r="CH246" s="1915"/>
      <c r="CI246" s="1915"/>
      <c r="CJ246" s="1915"/>
      <c r="CK246" s="1915"/>
      <c r="CL246" s="1915"/>
      <c r="CM246" s="1915"/>
      <c r="CN246" s="1915"/>
      <c r="CO246" s="1915"/>
      <c r="CP246" s="1915"/>
      <c r="CQ246" s="1915"/>
      <c r="CR246" s="1915"/>
      <c r="CS246" s="1915"/>
      <c r="CT246" s="1915"/>
      <c r="CU246" s="1915"/>
      <c r="CV246" s="1915"/>
      <c r="CW246" s="1915"/>
      <c r="CX246" s="1493">
        <f t="shared" ref="CX246:DE246" si="647">IFERROR(-(CX213/CX105)/100,"NA")</f>
        <v>-211.98861019220232</v>
      </c>
      <c r="CY246" s="1493">
        <f t="shared" si="647"/>
        <v>21.428152320600766</v>
      </c>
      <c r="CZ246" s="2167">
        <f t="shared" si="647"/>
        <v>-191.35802469135763</v>
      </c>
      <c r="DA246" s="1477">
        <f t="shared" si="647"/>
        <v>-12.374125277350988</v>
      </c>
      <c r="DB246" s="1493">
        <f t="shared" si="647"/>
        <v>-102.19788436156979</v>
      </c>
      <c r="DC246" s="2167">
        <f t="shared" si="647"/>
        <v>28.037709904093774</v>
      </c>
      <c r="DD246" s="1493">
        <f t="shared" si="647"/>
        <v>48.912716759846724</v>
      </c>
      <c r="DE246" s="1477">
        <f t="shared" si="647"/>
        <v>-30.912934138740351</v>
      </c>
      <c r="DF246" s="1493">
        <f>IFERROR(-(DF213/DF105)/100,"NA")</f>
        <v>34.543022124455327</v>
      </c>
      <c r="DG246" s="1493">
        <f>IFERROR(-(DG213/DG105)/100,"NA")</f>
        <v>29.022172385768901</v>
      </c>
      <c r="DH246" s="1493">
        <f t="shared" ref="DH246:DI246" si="648">IFERROR(-(DH213/DH105)/100,"NA")</f>
        <v>19.548074816051241</v>
      </c>
      <c r="DI246" s="1477">
        <f t="shared" si="648"/>
        <v>12.890122562426985</v>
      </c>
      <c r="DJ246" s="2715">
        <f t="shared" ref="DJ246:DK246" si="649">IFERROR(-(DJ213/DJ105)/100,"NA")</f>
        <v>19.415584415584526</v>
      </c>
      <c r="DK246" s="1493">
        <f t="shared" si="649"/>
        <v>120.71856287425243</v>
      </c>
      <c r="DL246" s="1493">
        <f t="shared" ref="DL246:DM246" si="650">IFERROR(-(DL213/DL105)/100,"NA")</f>
        <v>43.353437876960108</v>
      </c>
      <c r="DM246" s="2621">
        <f t="shared" si="650"/>
        <v>-55.744186046511551</v>
      </c>
      <c r="DN246" s="2168"/>
      <c r="DO246" s="1477"/>
      <c r="DP246" s="2169" t="str">
        <f t="shared" ref="DP246:FH246" si="651">IFERROR(-(DP213/DP105)/100,"NA")</f>
        <v>NA</v>
      </c>
      <c r="DQ246" s="2169" t="str">
        <f t="shared" si="651"/>
        <v>NA</v>
      </c>
      <c r="DR246" s="2169" t="str">
        <f t="shared" si="651"/>
        <v>NA</v>
      </c>
      <c r="DS246" s="2169" t="str">
        <f t="shared" si="651"/>
        <v>NA</v>
      </c>
      <c r="DT246" s="2169" t="str">
        <f t="shared" si="651"/>
        <v>NA</v>
      </c>
      <c r="DU246" s="2170" t="str">
        <f t="shared" si="651"/>
        <v>NA</v>
      </c>
      <c r="DV246" s="2170" t="str">
        <f t="shared" si="651"/>
        <v>NA</v>
      </c>
      <c r="DW246" s="2170" t="str">
        <f t="shared" si="651"/>
        <v>NA</v>
      </c>
      <c r="DX246" s="2170" t="str">
        <f t="shared" si="651"/>
        <v>NA</v>
      </c>
      <c r="DY246" s="2171" t="str">
        <f t="shared" si="651"/>
        <v>NA</v>
      </c>
      <c r="DZ246" s="2171" t="str">
        <f t="shared" si="651"/>
        <v>NA</v>
      </c>
      <c r="EA246" s="2171" t="str">
        <f t="shared" si="651"/>
        <v>NA</v>
      </c>
      <c r="EB246" s="2171" t="str">
        <f t="shared" si="651"/>
        <v>NA</v>
      </c>
      <c r="EC246" s="2171" t="str">
        <f t="shared" si="651"/>
        <v>NA</v>
      </c>
      <c r="ED246" s="2171" t="str">
        <f t="shared" si="651"/>
        <v>NA</v>
      </c>
      <c r="EE246" s="2171" t="str">
        <f t="shared" si="651"/>
        <v>NA</v>
      </c>
      <c r="EF246" s="2171">
        <f t="shared" si="651"/>
        <v>0</v>
      </c>
      <c r="EG246" s="2171">
        <f t="shared" si="651"/>
        <v>0</v>
      </c>
      <c r="EH246" s="2171">
        <f t="shared" si="651"/>
        <v>0</v>
      </c>
      <c r="EI246" s="1042">
        <f t="shared" si="651"/>
        <v>0</v>
      </c>
      <c r="EJ246" s="1001">
        <f t="shared" si="651"/>
        <v>-19.610078322773035</v>
      </c>
      <c r="EK246" s="1001">
        <f t="shared" si="651"/>
        <v>14.517801612684591</v>
      </c>
      <c r="EL246" s="1001">
        <f t="shared" si="651"/>
        <v>14.744524295775832</v>
      </c>
      <c r="EM246" s="1001">
        <f t="shared" si="651"/>
        <v>493.5368131794487</v>
      </c>
      <c r="EN246" s="1001">
        <f t="shared" si="651"/>
        <v>28.559573045219381</v>
      </c>
      <c r="EO246" s="1001">
        <f t="shared" si="651"/>
        <v>25.194773899947275</v>
      </c>
      <c r="EP246" s="1001">
        <f t="shared" si="651"/>
        <v>-7.431368233940649</v>
      </c>
      <c r="EQ246" s="1001">
        <f t="shared" si="651"/>
        <v>65.444910942791026</v>
      </c>
      <c r="ER246" s="1001">
        <f t="shared" si="651"/>
        <v>-7.8601532588649938</v>
      </c>
      <c r="ES246" s="1001">
        <f t="shared" si="651"/>
        <v>17.173721383027544</v>
      </c>
      <c r="ET246" s="2167">
        <f t="shared" si="651"/>
        <v>-12.693520581048556</v>
      </c>
      <c r="EU246" s="1001">
        <f t="shared" si="651"/>
        <v>-7.0843741515103291</v>
      </c>
      <c r="EV246" s="1001">
        <f t="shared" si="651"/>
        <v>-19.929876178808868</v>
      </c>
      <c r="EW246" s="1001">
        <f t="shared" si="651"/>
        <v>87.382505017448977</v>
      </c>
      <c r="EX246" s="2167">
        <f t="shared" si="651"/>
        <v>52.041202526360749</v>
      </c>
      <c r="EY246" s="2167">
        <f t="shared" si="651"/>
        <v>22.789781342918488</v>
      </c>
      <c r="EZ246" s="2172">
        <f t="shared" ref="EZ246" si="652">IFERROR(-(EZ213/EZ105)/100,"NA")</f>
        <v>-18.46452275490957</v>
      </c>
      <c r="FA246" s="1001">
        <f t="shared" si="651"/>
        <v>-3.4301022398716685</v>
      </c>
      <c r="FB246" s="1001">
        <f t="shared" si="651"/>
        <v>5.0000000000000044</v>
      </c>
      <c r="FC246" s="1001" t="str">
        <f t="shared" si="651"/>
        <v>NA</v>
      </c>
      <c r="FD246" s="1001" t="str">
        <f t="shared" si="651"/>
        <v>NA</v>
      </c>
      <c r="FE246" s="1001" t="str">
        <f t="shared" si="651"/>
        <v>NA</v>
      </c>
      <c r="FF246" s="1001" t="str">
        <f t="shared" si="651"/>
        <v>NA</v>
      </c>
      <c r="FG246" s="1001" t="str">
        <f t="shared" si="651"/>
        <v>NA</v>
      </c>
      <c r="FH246" s="1001" t="str">
        <f t="shared" si="651"/>
        <v>NA</v>
      </c>
      <c r="FI246" s="2173"/>
      <c r="FJ246"/>
      <c r="FK246"/>
      <c r="FL246"/>
      <c r="FM246"/>
      <c r="FN246"/>
      <c r="FO246"/>
      <c r="FQ246" s="1388"/>
      <c r="FR246" s="1388"/>
      <c r="FS246" s="134"/>
      <c r="FT246" s="134"/>
      <c r="FU246" s="1915"/>
      <c r="FV246" s="1493"/>
      <c r="FW246" s="1493"/>
      <c r="FX246" s="1493"/>
      <c r="FY246" s="1915"/>
      <c r="FZ246" s="1915"/>
      <c r="GA246" s="1915"/>
      <c r="GB246" s="1915"/>
      <c r="GC246" s="1915"/>
      <c r="GD246" s="1915"/>
      <c r="GE246" s="1915"/>
      <c r="GF246" s="1915"/>
      <c r="GG246" s="1915"/>
      <c r="GH246" s="1915"/>
      <c r="GI246" s="1915"/>
      <c r="GJ246" s="1915"/>
      <c r="GK246" s="1915"/>
      <c r="GL246" s="1915"/>
      <c r="GM246" s="1915"/>
      <c r="GN246" s="1915"/>
      <c r="GO246" s="1915"/>
      <c r="GP246" s="1915"/>
      <c r="GQ246" s="1915"/>
      <c r="GR246" s="1915"/>
      <c r="GS246" s="1915"/>
      <c r="GT246" s="1915"/>
      <c r="GU246" s="1915"/>
      <c r="GV246" s="1915"/>
      <c r="GW246" s="1915"/>
      <c r="GX246" s="1915"/>
      <c r="GY246" s="1915"/>
      <c r="GZ246" s="1915"/>
      <c r="HA246" s="1915"/>
      <c r="HB246" s="1915"/>
      <c r="HC246" s="1915"/>
      <c r="HD246" s="1915"/>
      <c r="HE246" s="1915"/>
      <c r="HF246" s="1915"/>
      <c r="HG246" s="1915"/>
      <c r="HH246" s="1915"/>
      <c r="HI246" s="1915"/>
      <c r="HJ246" s="1915"/>
      <c r="HK246" s="1915"/>
      <c r="HL246" s="1915"/>
      <c r="HM246" s="1915"/>
      <c r="HN246" s="1915"/>
      <c r="HO246" s="1915"/>
      <c r="HP246" s="1915"/>
      <c r="HQ246" s="1915"/>
      <c r="HR246" s="1915"/>
      <c r="HS246" s="1915"/>
      <c r="HT246" s="1915"/>
      <c r="HU246" s="1915"/>
      <c r="HV246" s="1915"/>
      <c r="HW246" s="1915"/>
      <c r="HX246" s="1915"/>
      <c r="HY246" s="1915"/>
      <c r="HZ246" s="1915"/>
      <c r="IA246" s="1915"/>
      <c r="IB246" s="1915"/>
      <c r="IC246" s="1915"/>
      <c r="ID246" s="1915"/>
      <c r="IE246" s="1915"/>
      <c r="IF246" s="1915"/>
      <c r="IG246" s="1915"/>
      <c r="IH246" s="1915"/>
      <c r="II246" s="1915"/>
      <c r="IJ246" s="1915"/>
      <c r="IK246" s="1915"/>
      <c r="IL246" s="1915"/>
      <c r="IM246" s="1915"/>
      <c r="IN246" s="1915"/>
      <c r="IO246" s="1915"/>
      <c r="IP246" s="1915"/>
      <c r="IQ246" s="1915"/>
      <c r="IR246" s="1915"/>
      <c r="IS246" s="1915"/>
      <c r="IT246" s="1915"/>
      <c r="IU246" s="1915"/>
      <c r="IV246" s="1915"/>
      <c r="IW246" s="1915"/>
      <c r="IX246" s="1915"/>
      <c r="IY246" s="1915"/>
      <c r="IZ246" s="1915"/>
    </row>
    <row r="247" spans="1:260" s="51" customFormat="1" ht="11.25" customHeight="1" x14ac:dyDescent="0.2">
      <c r="A247" s="278"/>
      <c r="B247" s="278"/>
      <c r="C247" s="278"/>
      <c r="D247" s="278"/>
      <c r="E247" s="278"/>
      <c r="F247" s="278"/>
      <c r="G247" s="278"/>
      <c r="H247" s="278"/>
      <c r="I247" s="278"/>
      <c r="J247" s="278"/>
      <c r="K247" s="278"/>
      <c r="L247" s="278"/>
      <c r="M247" s="278"/>
      <c r="N247" s="278"/>
      <c r="O247" s="278"/>
      <c r="P247" s="278"/>
      <c r="Q247" s="278"/>
      <c r="R247" s="278"/>
      <c r="S247" s="278"/>
      <c r="T247" s="278"/>
      <c r="U247" s="278"/>
      <c r="V247" s="278"/>
      <c r="W247" s="278"/>
      <c r="X247" s="278"/>
      <c r="Y247" s="278"/>
      <c r="Z247" s="278"/>
      <c r="AA247" s="278"/>
      <c r="AB247" s="278"/>
      <c r="AC247" s="278"/>
      <c r="AD247" s="278"/>
      <c r="AE247" s="278"/>
      <c r="AF247" s="278"/>
      <c r="AG247" s="278"/>
      <c r="AH247" s="278"/>
      <c r="AI247" s="278"/>
      <c r="AJ247" s="278"/>
      <c r="AK247" s="278"/>
      <c r="AL247" s="278"/>
      <c r="AM247" s="278"/>
      <c r="AN247" s="278"/>
      <c r="AO247" s="278"/>
      <c r="AP247" s="278"/>
      <c r="AQ247" s="278"/>
      <c r="AR247" s="278"/>
      <c r="AS247" s="278"/>
      <c r="AT247" s="278"/>
      <c r="AU247" s="278"/>
      <c r="AV247" s="278"/>
      <c r="AW247" s="278"/>
      <c r="AX247" s="278"/>
      <c r="AY247" s="278"/>
      <c r="AZ247" s="278"/>
      <c r="BA247" s="278"/>
      <c r="BB247" s="278"/>
      <c r="BC247" s="278"/>
      <c r="BD247" s="278"/>
      <c r="BE247" s="278"/>
      <c r="BF247" s="278"/>
      <c r="BG247" s="278"/>
      <c r="BH247" s="278"/>
      <c r="BI247" s="278"/>
      <c r="BJ247" s="278"/>
      <c r="BK247" s="278"/>
      <c r="BL247" s="278"/>
      <c r="BM247" s="278"/>
      <c r="BN247" s="278"/>
      <c r="BO247" s="278"/>
      <c r="BP247" s="278"/>
      <c r="BQ247" s="278"/>
      <c r="BR247" s="278"/>
      <c r="BS247" s="278"/>
      <c r="BT247" s="278"/>
      <c r="BU247" s="278"/>
      <c r="BV247" s="278"/>
      <c r="BW247" s="278"/>
      <c r="BX247" s="278"/>
      <c r="BY247" s="278"/>
      <c r="BZ247" s="278"/>
      <c r="CA247" s="278"/>
      <c r="CB247" s="278"/>
      <c r="CC247" s="278"/>
      <c r="CD247" s="278"/>
      <c r="CE247" s="278"/>
      <c r="CF247" s="278"/>
      <c r="CG247" s="278"/>
      <c r="CH247" s="278"/>
      <c r="CI247" s="278"/>
      <c r="CJ247" s="278"/>
      <c r="CK247" s="278"/>
      <c r="CL247" s="278"/>
      <c r="CM247" s="278"/>
      <c r="CN247" s="278"/>
      <c r="CO247" s="278"/>
      <c r="CP247" s="278"/>
      <c r="CQ247" s="278"/>
      <c r="CR247" s="278"/>
      <c r="CS247" s="278"/>
      <c r="CT247" s="278"/>
      <c r="CU247" s="278"/>
      <c r="CV247" s="278"/>
      <c r="CW247" s="278"/>
      <c r="CX247" s="278"/>
      <c r="CY247" s="278"/>
      <c r="CZ247" s="278"/>
      <c r="DA247" s="278"/>
      <c r="DB247" s="2163"/>
      <c r="DC247" s="2163"/>
      <c r="DD247" s="2163"/>
      <c r="DE247" s="2163"/>
      <c r="DF247" s="2163"/>
      <c r="DG247" s="2163"/>
      <c r="DH247" s="278"/>
      <c r="DI247" s="2163"/>
      <c r="DJ247" s="278"/>
      <c r="DK247" s="2163"/>
      <c r="DL247" s="278"/>
      <c r="DM247" s="278"/>
      <c r="DN247" s="72"/>
      <c r="DO247" s="72"/>
      <c r="DP247" s="278"/>
      <c r="DQ247" s="278"/>
      <c r="DR247" s="278"/>
      <c r="DS247" s="278"/>
      <c r="DT247" s="278"/>
      <c r="DU247" s="278"/>
      <c r="DV247" s="278"/>
      <c r="DW247" s="278"/>
      <c r="DX247" s="278"/>
      <c r="DY247" s="278"/>
      <c r="DZ247" s="278"/>
      <c r="EA247" s="278"/>
      <c r="EB247" s="278"/>
      <c r="EC247" s="278"/>
      <c r="ED247" s="278"/>
      <c r="EE247" s="278"/>
      <c r="EF247" s="278"/>
      <c r="EG247" s="278"/>
      <c r="EH247" s="278"/>
      <c r="EI247" s="278"/>
      <c r="EJ247" s="278"/>
      <c r="EK247" s="278"/>
      <c r="EL247" s="278"/>
      <c r="EM247" s="278"/>
      <c r="EN247" s="278"/>
      <c r="EO247" s="278"/>
      <c r="EP247" s="278"/>
      <c r="EQ247" s="278"/>
      <c r="ER247" s="278"/>
      <c r="ES247" s="278"/>
      <c r="ET247" s="278"/>
      <c r="EU247" s="278"/>
      <c r="EV247" s="278"/>
      <c r="EW247" s="278"/>
      <c r="EX247" s="2163"/>
      <c r="EY247" s="2163"/>
      <c r="EZ247" s="278"/>
      <c r="FA247" s="278"/>
      <c r="FB247" s="278"/>
      <c r="FC247" s="278"/>
      <c r="FD247" s="278"/>
      <c r="FE247" s="278"/>
      <c r="FF247" s="278"/>
      <c r="FG247" s="278"/>
      <c r="FH247" s="278"/>
      <c r="FI247" s="72"/>
      <c r="FJ247"/>
      <c r="FK247"/>
      <c r="FL247"/>
      <c r="FM247"/>
      <c r="FN247"/>
      <c r="FO247"/>
      <c r="FQ247" s="1388"/>
      <c r="FR247" s="1388"/>
      <c r="FS247" s="134"/>
      <c r="FT247" s="134"/>
      <c r="FU247" s="1915"/>
      <c r="FV247" s="134"/>
      <c r="FW247" s="134"/>
      <c r="FX247" s="134"/>
      <c r="FY247" s="1915"/>
      <c r="FZ247" s="1915"/>
      <c r="GA247" s="1915"/>
      <c r="GB247" s="1915"/>
      <c r="GC247" s="1915"/>
      <c r="GD247" s="1915"/>
      <c r="GE247" s="1915"/>
      <c r="GF247" s="1915"/>
      <c r="GG247" s="1915"/>
      <c r="GH247" s="1915"/>
      <c r="GI247" s="1915"/>
      <c r="GJ247" s="1915"/>
      <c r="GK247" s="1915"/>
      <c r="GL247" s="1915"/>
      <c r="GM247" s="1915"/>
      <c r="GN247" s="1915"/>
      <c r="GO247" s="1915"/>
      <c r="GP247" s="1915"/>
      <c r="GQ247" s="1915"/>
      <c r="GR247" s="1915"/>
      <c r="GS247" s="1915"/>
      <c r="GT247" s="1915"/>
      <c r="GU247" s="1915"/>
      <c r="GV247" s="1915"/>
      <c r="GW247" s="1915"/>
      <c r="GX247" s="1915"/>
      <c r="GY247" s="1915"/>
      <c r="GZ247" s="1915"/>
      <c r="HA247" s="1915"/>
      <c r="HB247" s="1915"/>
      <c r="HC247" s="1915"/>
      <c r="HD247" s="1915"/>
      <c r="HE247" s="1915"/>
      <c r="HF247" s="1915"/>
      <c r="HG247" s="1915"/>
      <c r="HH247" s="1915"/>
      <c r="HI247" s="1915"/>
      <c r="HJ247" s="1915"/>
      <c r="HK247" s="1915"/>
      <c r="HL247" s="1915"/>
      <c r="HM247" s="1915"/>
      <c r="HN247" s="1915"/>
      <c r="HO247" s="1915"/>
      <c r="HP247" s="1915"/>
      <c r="HQ247" s="1915"/>
      <c r="HR247" s="1915"/>
      <c r="HS247" s="1915"/>
      <c r="HT247" s="1915"/>
      <c r="HU247" s="1915"/>
      <c r="HV247" s="1915"/>
      <c r="HW247" s="1915"/>
      <c r="HX247" s="1915"/>
      <c r="HY247" s="1915"/>
      <c r="HZ247" s="1915"/>
      <c r="IA247" s="1915"/>
      <c r="IB247" s="1915"/>
      <c r="IC247" s="1915"/>
      <c r="ID247" s="1915"/>
      <c r="IE247" s="1915"/>
      <c r="IF247" s="1915"/>
      <c r="IG247" s="1915"/>
      <c r="IH247" s="1915"/>
      <c r="II247" s="1915"/>
      <c r="IJ247" s="1915"/>
      <c r="IK247" s="1915"/>
      <c r="IL247" s="1915"/>
      <c r="IM247" s="1915"/>
      <c r="IN247" s="1915"/>
      <c r="IO247" s="1915"/>
      <c r="IP247" s="1915"/>
      <c r="IQ247" s="1915"/>
      <c r="IR247" s="1915"/>
      <c r="IS247" s="1915"/>
      <c r="IT247" s="1915"/>
      <c r="IU247" s="1915"/>
      <c r="IV247" s="1915"/>
      <c r="IW247" s="1915"/>
      <c r="IX247" s="1915"/>
      <c r="IY247" s="1915"/>
      <c r="IZ247" s="1915"/>
    </row>
    <row r="248" spans="1:260" s="51" customFormat="1" ht="11.25" hidden="1" customHeight="1" outlineLevel="1" x14ac:dyDescent="0.2">
      <c r="A248" s="1915"/>
      <c r="B248" s="1915"/>
      <c r="C248" s="1915"/>
      <c r="D248" s="1915"/>
      <c r="E248" s="1915"/>
      <c r="F248" s="1915"/>
      <c r="G248" s="1915"/>
      <c r="H248" s="1915"/>
      <c r="I248" s="1915"/>
      <c r="J248" s="1915"/>
      <c r="K248" s="1915"/>
      <c r="L248" s="1915"/>
      <c r="M248" s="1915"/>
      <c r="N248" s="1915"/>
      <c r="O248" s="1915"/>
      <c r="P248" s="1915"/>
      <c r="Q248" s="1915"/>
      <c r="R248" s="1915"/>
      <c r="S248" s="1915"/>
      <c r="T248" s="1915"/>
      <c r="U248" s="1915"/>
      <c r="V248" s="1915"/>
      <c r="W248" s="1915"/>
      <c r="X248" s="1915"/>
      <c r="Y248" s="1915"/>
      <c r="Z248" s="1915"/>
      <c r="AA248" s="1915"/>
      <c r="AB248" s="1915"/>
      <c r="AC248" s="1915"/>
      <c r="AD248" s="1915"/>
      <c r="AE248" s="1915"/>
      <c r="AF248" s="1915"/>
      <c r="AG248" s="1915"/>
      <c r="AH248" s="1915"/>
      <c r="AI248" s="1915"/>
      <c r="AJ248" s="1915"/>
      <c r="AK248" s="1915"/>
      <c r="AL248" s="1915"/>
      <c r="AM248" s="1915"/>
      <c r="AN248" s="1915"/>
      <c r="AO248" s="1915"/>
      <c r="AP248" s="1915"/>
      <c r="AQ248" s="1915"/>
      <c r="AR248" s="1915"/>
      <c r="AS248" s="1915"/>
      <c r="AT248" s="1915"/>
      <c r="AU248" s="1915"/>
      <c r="AV248" s="1915"/>
      <c r="AW248" s="1915"/>
      <c r="AX248" s="1915"/>
      <c r="AY248" s="1915"/>
      <c r="AZ248" s="1915"/>
      <c r="BA248" s="1915"/>
      <c r="BB248" s="1915"/>
      <c r="BC248" s="1915"/>
      <c r="BD248" s="1915"/>
      <c r="BE248" s="1915"/>
      <c r="BF248" s="1915"/>
      <c r="BG248" s="1915"/>
      <c r="BH248" s="1915"/>
      <c r="BI248" s="1915"/>
      <c r="BJ248" s="1915"/>
      <c r="BK248" s="1915"/>
      <c r="BL248" s="1915"/>
      <c r="BM248" s="1915"/>
      <c r="BN248" s="1915"/>
      <c r="BO248" s="1915"/>
      <c r="BP248" s="1915"/>
      <c r="BQ248" s="1915"/>
      <c r="BR248" s="1915"/>
      <c r="BS248" s="1915"/>
      <c r="BT248" s="1915"/>
      <c r="BU248" s="1915"/>
      <c r="BV248" s="1915"/>
      <c r="BW248" s="1915"/>
      <c r="BX248" s="1915"/>
      <c r="BY248" s="1915"/>
      <c r="BZ248" s="1915"/>
      <c r="CA248" s="1915"/>
      <c r="CB248" s="1915"/>
      <c r="CC248" s="1915"/>
      <c r="CD248" s="1915"/>
      <c r="CE248" s="1915"/>
      <c r="CF248" s="1915"/>
      <c r="CG248" s="1915"/>
      <c r="CH248" s="1915"/>
      <c r="CI248" s="1915"/>
      <c r="CJ248" s="1915"/>
      <c r="CK248" s="1915"/>
      <c r="CL248" s="1915"/>
      <c r="CM248" s="1915"/>
      <c r="CN248" s="1915"/>
      <c r="CO248" s="1915"/>
      <c r="CP248" s="1915"/>
      <c r="CQ248" s="1915"/>
      <c r="CR248" s="1915"/>
      <c r="CS248" s="1915"/>
      <c r="CT248" s="1915"/>
      <c r="CU248" s="1915"/>
      <c r="CV248" s="1915"/>
      <c r="CW248" s="1915"/>
      <c r="CX248" s="1915"/>
      <c r="CY248" s="1915"/>
      <c r="CZ248" s="1915"/>
      <c r="DA248" s="1915"/>
      <c r="DB248" s="1915"/>
      <c r="DC248" s="1915"/>
      <c r="DD248" s="1915"/>
      <c r="DE248" s="39"/>
      <c r="DF248" s="39"/>
      <c r="DG248" s="39"/>
      <c r="DH248" s="72"/>
      <c r="DI248" s="39"/>
      <c r="DJ248" s="72"/>
      <c r="DK248" s="2591"/>
      <c r="DL248" s="2591"/>
      <c r="DM248" s="2591"/>
      <c r="DN248" s="1915"/>
      <c r="DO248" s="1915"/>
      <c r="DP248" s="1915"/>
      <c r="DQ248" s="1915"/>
      <c r="DR248" s="1915"/>
      <c r="DS248" s="1915"/>
      <c r="DT248" s="1915"/>
      <c r="DU248" s="1915"/>
      <c r="DV248" s="1915"/>
      <c r="DW248" s="1915"/>
      <c r="DX248" s="1915"/>
      <c r="DY248" s="1915"/>
      <c r="DZ248" s="1915"/>
      <c r="EA248" s="1915"/>
      <c r="EB248" s="1915"/>
      <c r="EC248" s="1915"/>
      <c r="ED248" s="1915"/>
      <c r="EE248" s="1915"/>
      <c r="EF248" s="1915"/>
      <c r="EG248" s="1915"/>
      <c r="EH248" s="1915"/>
      <c r="EI248" s="1915"/>
      <c r="EJ248" s="1915"/>
      <c r="EK248" s="1915"/>
      <c r="EL248" s="1915"/>
      <c r="EM248" s="1915"/>
      <c r="EN248" s="1915"/>
      <c r="EO248" s="1915"/>
      <c r="EP248" s="1915"/>
      <c r="EQ248" s="1915"/>
      <c r="ER248" s="1915"/>
      <c r="ES248" s="1915"/>
      <c r="ET248" s="1915"/>
      <c r="EU248" s="1915"/>
      <c r="EV248" s="1915"/>
      <c r="EW248" s="1915"/>
      <c r="EX248" s="39"/>
      <c r="EY248" s="39"/>
      <c r="EZ248" s="2677"/>
      <c r="FA248" s="1915"/>
      <c r="FB248" s="1915"/>
      <c r="FC248" s="1915"/>
      <c r="FD248" s="1915"/>
      <c r="FE248" s="1915"/>
      <c r="FF248" s="1915"/>
      <c r="FG248" s="1915"/>
      <c r="FH248" s="1915"/>
      <c r="FI248" s="72"/>
      <c r="FJ248"/>
      <c r="FK248"/>
      <c r="FL248"/>
      <c r="FM248"/>
      <c r="FN248"/>
      <c r="FO248"/>
      <c r="FQ248" s="1388"/>
      <c r="FR248" s="1388"/>
      <c r="FS248" s="134"/>
      <c r="FT248" s="134"/>
      <c r="FU248" s="1915"/>
      <c r="FV248" s="134"/>
      <c r="FW248" s="134"/>
      <c r="FX248" s="134"/>
      <c r="FY248" s="1915"/>
      <c r="FZ248" s="1915"/>
      <c r="GA248" s="1915"/>
      <c r="GB248" s="1915"/>
      <c r="GC248" s="1915"/>
      <c r="GD248" s="1915"/>
      <c r="GE248" s="1915"/>
      <c r="GF248" s="1915"/>
      <c r="GG248" s="1915"/>
      <c r="GH248" s="1915"/>
      <c r="GI248" s="1915"/>
      <c r="GJ248" s="1915"/>
      <c r="GK248" s="1915"/>
      <c r="GL248" s="1915"/>
      <c r="GM248" s="1915"/>
      <c r="GN248" s="1915"/>
      <c r="GO248" s="1915"/>
      <c r="GP248" s="1915"/>
      <c r="GQ248" s="1915"/>
      <c r="GR248" s="1915"/>
      <c r="GS248" s="1915"/>
      <c r="GT248" s="1915"/>
      <c r="GU248" s="1915"/>
      <c r="GV248" s="1915"/>
      <c r="GW248" s="1915"/>
      <c r="GX248" s="1915"/>
      <c r="GY248" s="1915"/>
      <c r="GZ248" s="1915"/>
      <c r="HA248" s="1915"/>
      <c r="HB248" s="1915"/>
      <c r="HC248" s="1915"/>
      <c r="HD248" s="1915"/>
      <c r="HE248" s="1915"/>
      <c r="HF248" s="1915"/>
      <c r="HG248" s="1915"/>
      <c r="HH248" s="1915"/>
      <c r="HI248" s="1915"/>
      <c r="HJ248" s="1915"/>
      <c r="HK248" s="1915"/>
      <c r="HL248" s="1915"/>
      <c r="HM248" s="1915"/>
      <c r="HN248" s="1915"/>
      <c r="HO248" s="1915"/>
      <c r="HP248" s="1915"/>
      <c r="HQ248" s="1915"/>
      <c r="HR248" s="1915"/>
      <c r="HS248" s="1915"/>
      <c r="HT248" s="1915"/>
      <c r="HU248" s="1915"/>
      <c r="HV248" s="1915"/>
      <c r="HW248" s="1915"/>
      <c r="HX248" s="1915"/>
      <c r="HY248" s="1915"/>
      <c r="HZ248" s="1915"/>
      <c r="IA248" s="1915"/>
      <c r="IB248" s="1915"/>
      <c r="IC248" s="1915"/>
      <c r="ID248" s="1915"/>
      <c r="IE248" s="1915"/>
      <c r="IF248" s="1915"/>
      <c r="IG248" s="1915"/>
      <c r="IH248" s="1915"/>
      <c r="II248" s="1915"/>
      <c r="IJ248" s="1915"/>
      <c r="IK248" s="1915"/>
      <c r="IL248" s="1915"/>
      <c r="IM248" s="1915"/>
      <c r="IN248" s="1915"/>
      <c r="IO248" s="1915"/>
      <c r="IP248" s="1915"/>
      <c r="IQ248" s="1915"/>
      <c r="IR248" s="1915"/>
      <c r="IS248" s="1915"/>
      <c r="IT248" s="1915"/>
      <c r="IU248" s="1915"/>
      <c r="IV248" s="1915"/>
      <c r="IW248" s="1915"/>
      <c r="IX248" s="1915"/>
      <c r="IY248" s="1915"/>
      <c r="IZ248" s="1915"/>
    </row>
    <row r="249" spans="1:260" s="51" customFormat="1" ht="11.25" hidden="1" customHeight="1" outlineLevel="1" x14ac:dyDescent="0.2">
      <c r="A249" s="1482" t="s">
        <v>630</v>
      </c>
      <c r="B249" s="2242"/>
      <c r="C249" s="2242"/>
      <c r="D249" s="2242"/>
      <c r="E249" s="2242"/>
      <c r="F249" s="2242"/>
      <c r="G249" s="2242"/>
      <c r="H249" s="2242"/>
      <c r="I249" s="2242"/>
      <c r="J249" s="2242"/>
      <c r="K249" s="2242"/>
      <c r="L249" s="2242"/>
      <c r="M249" s="2242"/>
      <c r="N249" s="2242"/>
      <c r="O249" s="2242"/>
      <c r="P249" s="2242"/>
      <c r="Q249" s="2242"/>
      <c r="R249" s="2242"/>
      <c r="S249" s="2242"/>
      <c r="T249" s="2242"/>
      <c r="U249" s="2242"/>
      <c r="V249" s="2242"/>
      <c r="W249" s="2242"/>
      <c r="X249" s="2242"/>
      <c r="Y249" s="2242"/>
      <c r="Z249" s="2242"/>
      <c r="AA249" s="2242"/>
      <c r="AB249" s="2242"/>
      <c r="AC249" s="2242"/>
      <c r="AD249" s="2242"/>
      <c r="AE249" s="2242"/>
      <c r="AF249" s="2242"/>
      <c r="AG249" s="2242"/>
      <c r="AH249" s="2242"/>
      <c r="AI249" s="2242"/>
      <c r="AJ249" s="2242"/>
      <c r="AK249" s="2242"/>
      <c r="AL249" s="2242"/>
      <c r="AM249" s="2242"/>
      <c r="AN249" s="2242"/>
      <c r="AO249" s="2242"/>
      <c r="AP249" s="2242"/>
      <c r="AQ249" s="2242"/>
      <c r="AR249" s="2242"/>
      <c r="AS249" s="2242"/>
      <c r="AT249" s="2242"/>
      <c r="AU249" s="2242"/>
      <c r="AV249" s="2242"/>
      <c r="AW249" s="2242"/>
      <c r="AX249" s="2242"/>
      <c r="AY249" s="2242"/>
      <c r="AZ249" s="2242"/>
      <c r="BA249" s="2242"/>
      <c r="BB249" s="2242"/>
      <c r="BC249" s="2242"/>
      <c r="BD249" s="2242"/>
      <c r="BE249" s="2242"/>
      <c r="BF249" s="2242"/>
      <c r="BG249" s="2242"/>
      <c r="BH249" s="2242"/>
      <c r="BI249" s="2242"/>
      <c r="BJ249" s="2242"/>
      <c r="BK249" s="2242"/>
      <c r="BL249" s="2242"/>
      <c r="BM249" s="2242"/>
      <c r="BN249" s="2242"/>
      <c r="BO249" s="2242"/>
      <c r="BP249" s="2242"/>
      <c r="BQ249" s="2242"/>
      <c r="BR249" s="2242"/>
      <c r="BS249" s="2242"/>
      <c r="BT249" s="2242"/>
      <c r="BU249" s="2242"/>
      <c r="BV249" s="2242"/>
      <c r="BW249" s="2242"/>
      <c r="BX249" s="2242"/>
      <c r="BY249" s="2242"/>
      <c r="BZ249" s="2242"/>
      <c r="CA249" s="2242"/>
      <c r="CB249" s="2242"/>
      <c r="CC249" s="2242">
        <v>180000</v>
      </c>
      <c r="CD249" s="2242"/>
      <c r="CE249" s="2242"/>
      <c r="CF249" s="2242"/>
      <c r="CG249" s="2242">
        <v>167000</v>
      </c>
      <c r="CH249" s="2242"/>
      <c r="CI249" s="2242"/>
      <c r="CJ249" s="2242"/>
      <c r="CK249" s="2242">
        <f>+CO249</f>
        <v>165000</v>
      </c>
      <c r="CL249" s="2242"/>
      <c r="CM249" s="2242"/>
      <c r="CN249" s="2242"/>
      <c r="CO249" s="2242">
        <v>165000</v>
      </c>
      <c r="CP249" s="2242"/>
      <c r="CQ249" s="2242"/>
      <c r="CR249" s="2242"/>
      <c r="CS249" s="2242">
        <v>140000</v>
      </c>
      <c r="CT249" s="2242"/>
      <c r="CU249" s="2242"/>
      <c r="CV249" s="2242"/>
      <c r="CW249" s="2242">
        <v>125000</v>
      </c>
      <c r="CX249" s="2242"/>
      <c r="CY249" s="2242"/>
      <c r="CZ249" s="2242"/>
      <c r="DA249" s="2242">
        <v>125000</v>
      </c>
      <c r="DB249" s="1488"/>
      <c r="DC249" s="1488"/>
      <c r="DD249" s="1488"/>
      <c r="DE249" s="2242">
        <v>125000</v>
      </c>
      <c r="DF249" s="1488"/>
      <c r="DG249" s="1488"/>
      <c r="DH249" s="1488"/>
      <c r="DI249" s="2242"/>
      <c r="DJ249" s="1488"/>
      <c r="DK249" s="1488"/>
      <c r="DL249" s="1488"/>
      <c r="DM249" s="1488"/>
      <c r="DN249" s="1488"/>
      <c r="DO249" s="1487"/>
      <c r="DP249" s="1489"/>
      <c r="DQ249" s="1489"/>
      <c r="DR249" s="1489"/>
      <c r="DS249" s="1489"/>
      <c r="DT249" s="1489"/>
      <c r="DU249" s="1489"/>
      <c r="DV249" s="1489"/>
      <c r="DW249" s="1489"/>
      <c r="DX249" s="1489"/>
      <c r="DY249" s="1489"/>
      <c r="DZ249" s="1489"/>
      <c r="EA249" s="1489"/>
      <c r="EB249" s="1489"/>
      <c r="EC249" s="1489"/>
      <c r="ED249" s="1489"/>
      <c r="EE249" s="1489"/>
      <c r="EF249" s="1489"/>
      <c r="EG249" s="1489"/>
      <c r="EH249" s="1489"/>
      <c r="EI249" s="1489"/>
      <c r="EJ249" s="1489"/>
      <c r="EK249" s="1489"/>
      <c r="EL249" s="1489"/>
      <c r="EM249" s="1488"/>
      <c r="EN249" s="1561"/>
      <c r="EO249" s="1561"/>
      <c r="EP249" s="1561"/>
      <c r="EQ249" s="1561">
        <f>+CC249</f>
        <v>180000</v>
      </c>
      <c r="ER249" s="1561">
        <f>+CG249</f>
        <v>167000</v>
      </c>
      <c r="ES249" s="1561">
        <f>+ET249</f>
        <v>165000</v>
      </c>
      <c r="ET249" s="1561">
        <f>+CO249</f>
        <v>165000</v>
      </c>
      <c r="EU249" s="1561">
        <f>+CS249</f>
        <v>140000</v>
      </c>
      <c r="EV249" s="1561">
        <f>+CW249</f>
        <v>125000</v>
      </c>
      <c r="EW249" s="1561">
        <f>+DA249</f>
        <v>125000</v>
      </c>
      <c r="EX249" s="1935">
        <f>+DE249</f>
        <v>125000</v>
      </c>
      <c r="EY249" s="1935">
        <f>+DI249</f>
        <v>0</v>
      </c>
      <c r="EZ249" s="1561"/>
      <c r="FA249" s="1561"/>
      <c r="FB249" s="1561"/>
      <c r="FC249" s="1561"/>
      <c r="FD249" s="1561"/>
      <c r="FE249" s="1561"/>
      <c r="FF249" s="1561"/>
      <c r="FG249" s="1561"/>
      <c r="FH249" s="1561"/>
      <c r="FI249" s="1806"/>
      <c r="FJ249"/>
      <c r="FK249"/>
      <c r="FL249"/>
      <c r="FM249"/>
      <c r="FN249"/>
      <c r="FO249"/>
      <c r="FQ249" s="1388"/>
      <c r="FR249" s="1388"/>
      <c r="FS249" s="134"/>
      <c r="FT249" s="134"/>
      <c r="FU249"/>
      <c r="FV249" s="2638"/>
      <c r="FW249" s="2638"/>
      <c r="FX249" s="2638"/>
      <c r="FY249"/>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row>
    <row r="250" spans="1:260" s="51" customFormat="1" ht="11.25" hidden="1" customHeight="1" outlineLevel="1" x14ac:dyDescent="0.2">
      <c r="A250" s="1482" t="s">
        <v>631</v>
      </c>
      <c r="B250" s="1562"/>
      <c r="C250" s="1562"/>
      <c r="D250" s="1562"/>
      <c r="E250" s="1562"/>
      <c r="F250" s="1562"/>
      <c r="G250" s="1562"/>
      <c r="H250" s="1562"/>
      <c r="I250" s="1562"/>
      <c r="J250" s="1562"/>
      <c r="K250" s="1562"/>
      <c r="L250" s="1562"/>
      <c r="M250" s="1562"/>
      <c r="N250" s="1562"/>
      <c r="O250" s="1562"/>
      <c r="P250" s="1562"/>
      <c r="Q250" s="1562"/>
      <c r="R250" s="1562"/>
      <c r="S250" s="1562"/>
      <c r="T250" s="1562"/>
      <c r="U250" s="1562"/>
      <c r="V250" s="1562"/>
      <c r="W250" s="1562"/>
      <c r="X250" s="1562"/>
      <c r="Y250" s="1562"/>
      <c r="Z250" s="1562"/>
      <c r="AA250" s="1562"/>
      <c r="AB250" s="1562"/>
      <c r="AC250" s="1562"/>
      <c r="AD250" s="1562"/>
      <c r="AE250" s="1562"/>
      <c r="AF250" s="1562"/>
      <c r="AG250" s="1562"/>
      <c r="AH250" s="1562"/>
      <c r="AI250" s="1562"/>
      <c r="AJ250" s="1562"/>
      <c r="AK250" s="1562"/>
      <c r="AL250" s="1562"/>
      <c r="AM250" s="1562"/>
      <c r="AN250" s="1562"/>
      <c r="AO250" s="1562"/>
      <c r="AP250" s="1562"/>
      <c r="AQ250" s="1562"/>
      <c r="AR250" s="1562"/>
      <c r="AS250" s="1562"/>
      <c r="AT250" s="1562"/>
      <c r="AU250" s="1562"/>
      <c r="AV250" s="1562"/>
      <c r="AW250" s="1562"/>
      <c r="AX250" s="1562"/>
      <c r="AY250" s="1562"/>
      <c r="AZ250" s="1562"/>
      <c r="BA250" s="1562"/>
      <c r="BB250" s="1562"/>
      <c r="BC250" s="1562"/>
      <c r="BD250" s="1562"/>
      <c r="BE250" s="1562"/>
      <c r="BF250" s="1562"/>
      <c r="BG250" s="1562"/>
      <c r="BH250" s="1562"/>
      <c r="BI250" s="1562"/>
      <c r="BJ250" s="1562"/>
      <c r="BK250" s="1562"/>
      <c r="BL250" s="1562"/>
      <c r="BM250" s="1562"/>
      <c r="BN250" s="1562"/>
      <c r="BO250" s="1562"/>
      <c r="BP250" s="1562"/>
      <c r="BQ250" s="1562"/>
      <c r="BR250" s="1562"/>
      <c r="BS250" s="1562"/>
      <c r="BT250" s="1562"/>
      <c r="BU250" s="1562"/>
      <c r="BV250" s="1562"/>
      <c r="BW250" s="1562"/>
      <c r="BX250" s="1562"/>
      <c r="BY250" s="1562"/>
      <c r="BZ250" s="1562"/>
      <c r="CA250" s="1562"/>
      <c r="CB250" s="1562"/>
      <c r="CC250" s="1562">
        <f>+IFERROR(CC249/'Revenue Model'!CC379,"NA")</f>
        <v>43.378720327750329</v>
      </c>
      <c r="CD250" s="1562"/>
      <c r="CE250" s="1562"/>
      <c r="CF250" s="1562"/>
      <c r="CG250" s="1562">
        <f>+IFERROR(CG249/'Revenue Model'!CG379,"NA")</f>
        <v>38.639518741323464</v>
      </c>
      <c r="CH250" s="1562"/>
      <c r="CI250" s="1562"/>
      <c r="CJ250" s="1562"/>
      <c r="CK250" s="1562">
        <f>+IFERROR(CK249/'Revenue Model'!CK379,"NA")</f>
        <v>37.675533736727935</v>
      </c>
      <c r="CL250" s="1562"/>
      <c r="CM250" s="1562"/>
      <c r="CN250" s="1562"/>
      <c r="CO250" s="1562">
        <f>+IFERROR(CO249/'Revenue Model'!CO379,"NA")</f>
        <v>82.977118430978123</v>
      </c>
      <c r="CP250" s="1562"/>
      <c r="CQ250" s="1562"/>
      <c r="CR250" s="1562"/>
      <c r="CS250" s="1562">
        <f>+IFERROR(CS249/'Revenue Model'!CS379,"NA")</f>
        <v>78.453348276828237</v>
      </c>
      <c r="CT250" s="1562"/>
      <c r="CU250" s="1562"/>
      <c r="CV250" s="1562"/>
      <c r="CW250" s="1562">
        <f>+IFERROR(CW249/'Revenue Model'!CW379,"NA")</f>
        <v>71.715433161216296</v>
      </c>
      <c r="CX250" s="1562"/>
      <c r="CY250" s="1562"/>
      <c r="CZ250" s="1562"/>
      <c r="DA250" s="1562">
        <f>+IFERROR(DA249/'Revenue Model'!DA379,"NA")</f>
        <v>76.289288983826665</v>
      </c>
      <c r="DB250" s="1562"/>
      <c r="DC250" s="1562"/>
      <c r="DD250" s="1562"/>
      <c r="DE250" s="1562">
        <f>+IFERROR(DE249/'Revenue Model'!DE379,"NA")</f>
        <v>78.839482812992742</v>
      </c>
      <c r="DF250" s="1936"/>
      <c r="DG250" s="1563"/>
      <c r="DH250" s="1563"/>
      <c r="DI250" s="1562"/>
      <c r="DJ250" s="1563"/>
      <c r="DK250" s="1562"/>
      <c r="DL250" s="1562"/>
      <c r="DM250" s="1562"/>
      <c r="DN250" s="1562"/>
      <c r="DO250" s="1562"/>
      <c r="DP250" s="1562"/>
      <c r="DQ250" s="1562"/>
      <c r="DR250" s="1562"/>
      <c r="DS250" s="1562"/>
      <c r="DT250" s="1562"/>
      <c r="DU250" s="1562"/>
      <c r="DV250" s="1562"/>
      <c r="DW250" s="1562"/>
      <c r="DX250" s="1562"/>
      <c r="DY250" s="1562"/>
      <c r="DZ250" s="1562"/>
      <c r="EA250" s="1562"/>
      <c r="EB250" s="1562"/>
      <c r="EC250" s="1562"/>
      <c r="ED250" s="1562"/>
      <c r="EE250" s="1562"/>
      <c r="EF250" s="1562"/>
      <c r="EG250" s="1562"/>
      <c r="EH250" s="1562"/>
      <c r="EI250" s="1562"/>
      <c r="EJ250" s="1562"/>
      <c r="EK250" s="1562"/>
      <c r="EL250" s="1562"/>
      <c r="EM250" s="1562"/>
      <c r="EN250" s="1562"/>
      <c r="EO250" s="1562"/>
      <c r="EP250" s="1562"/>
      <c r="EQ250" s="1562">
        <f>+IFERROR(EQ249/'Revenue Model'!EQ379,"NA")</f>
        <v>43.918506770769795</v>
      </c>
      <c r="ER250" s="1562">
        <f>+IFERROR(ER249/'Revenue Model'!ER379,"NA")</f>
        <v>39.386792452830186</v>
      </c>
      <c r="ES250" s="1562">
        <f>+IFERROR(ES249/'Revenue Model'!ES379,"NA")</f>
        <v>37.987797858869577</v>
      </c>
      <c r="ET250" s="1562">
        <f>+IFERROR(ET249/'Revenue Model'!ET379,"NA")</f>
        <v>84.507042253521121</v>
      </c>
      <c r="EU250" s="1562">
        <f>+IFERROR(EU249/'Revenue Model'!EU379,"NA")</f>
        <v>45.469308216953557</v>
      </c>
      <c r="EV250" s="1562">
        <f>+IFERROR(EV249/'Revenue Model'!EV379,"NA")</f>
        <v>71.265678449258843</v>
      </c>
      <c r="EW250" s="1562">
        <f>+IFERROR(EW249/'Revenue Model'!EW379,"NA")</f>
        <v>74.404761904761898</v>
      </c>
      <c r="EX250" s="1936">
        <f>+IFERROR(EX249/'Revenue Model'!EX379,"NA")</f>
        <v>77.978789769182782</v>
      </c>
      <c r="EY250" s="1936"/>
      <c r="EZ250" s="1562"/>
      <c r="FA250" s="1562"/>
      <c r="FB250" s="1562"/>
      <c r="FC250" s="1562"/>
      <c r="FD250" s="1562"/>
      <c r="FE250" s="1562"/>
      <c r="FF250" s="1562"/>
      <c r="FG250" s="1562"/>
      <c r="FH250" s="1562"/>
      <c r="FI250" s="1563"/>
      <c r="FJ250"/>
      <c r="FK250"/>
      <c r="FL250"/>
      <c r="FM250"/>
      <c r="FN250"/>
      <c r="FO250"/>
      <c r="FQ250" s="1388"/>
      <c r="FR250" s="1388"/>
      <c r="FS250" s="134"/>
      <c r="FT250" s="134"/>
      <c r="FU250"/>
      <c r="FV250" s="2639"/>
      <c r="FW250" s="2639"/>
      <c r="FX250" s="2639"/>
      <c r="FY250"/>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row>
    <row r="251" spans="1:260" s="51" customFormat="1" ht="11.25" hidden="1" customHeight="1" outlineLevel="1" x14ac:dyDescent="0.2">
      <c r="A251" s="1482" t="s">
        <v>633</v>
      </c>
      <c r="B251" s="1483"/>
      <c r="C251" s="1483"/>
      <c r="D251" s="1483"/>
      <c r="E251" s="1483"/>
      <c r="F251" s="1483"/>
      <c r="G251" s="1483"/>
      <c r="H251" s="1483"/>
      <c r="I251" s="1483"/>
      <c r="J251" s="1483"/>
      <c r="K251" s="1483"/>
      <c r="L251" s="1483"/>
      <c r="M251" s="1483"/>
      <c r="N251" s="1483"/>
      <c r="O251" s="1483"/>
      <c r="P251" s="1483"/>
      <c r="Q251" s="1483"/>
      <c r="R251" s="1483"/>
      <c r="S251" s="1483"/>
      <c r="T251" s="1483"/>
      <c r="U251" s="1483"/>
      <c r="V251" s="1483"/>
      <c r="W251" s="1483"/>
      <c r="X251" s="1483"/>
      <c r="Y251" s="1483"/>
      <c r="Z251" s="1483"/>
      <c r="AA251" s="1483"/>
      <c r="AB251" s="1483"/>
      <c r="AC251" s="1483"/>
      <c r="AD251" s="1483"/>
      <c r="AE251" s="1483"/>
      <c r="AF251" s="1483"/>
      <c r="AG251" s="1483"/>
      <c r="AH251" s="1483"/>
      <c r="AI251" s="1483"/>
      <c r="AJ251" s="1483"/>
      <c r="AK251" s="1483"/>
      <c r="AL251" s="1483"/>
      <c r="AM251" s="1483"/>
      <c r="AN251" s="1483"/>
      <c r="AO251" s="1483"/>
      <c r="AP251" s="1483"/>
      <c r="AQ251" s="1483"/>
      <c r="AR251" s="1483"/>
      <c r="AS251" s="1483"/>
      <c r="AT251" s="1483"/>
      <c r="AU251" s="1483"/>
      <c r="AV251" s="1483"/>
      <c r="AW251" s="1483"/>
      <c r="AX251" s="1483"/>
      <c r="AY251" s="1483"/>
      <c r="AZ251" s="1483"/>
      <c r="BA251" s="1483"/>
      <c r="BB251" s="1483"/>
      <c r="BC251" s="1483"/>
      <c r="BD251" s="1483"/>
      <c r="BE251" s="1483"/>
      <c r="BF251" s="1483"/>
      <c r="BG251" s="1483"/>
      <c r="BH251" s="1483"/>
      <c r="BI251" s="1483"/>
      <c r="BJ251" s="1483"/>
      <c r="BK251" s="1483"/>
      <c r="BL251" s="1484"/>
      <c r="BM251" s="1484"/>
      <c r="BN251" s="1484"/>
      <c r="BO251" s="1484"/>
      <c r="BP251" s="1484"/>
      <c r="BQ251" s="1484"/>
      <c r="BR251" s="1484"/>
      <c r="BS251" s="1484"/>
      <c r="BT251" s="1484"/>
      <c r="BU251" s="1484"/>
      <c r="BV251" s="1484"/>
      <c r="BW251" s="1484"/>
      <c r="BX251" s="1484"/>
      <c r="BY251" s="1484"/>
      <c r="BZ251" s="1484"/>
      <c r="CA251" s="1484"/>
      <c r="CB251" s="1484"/>
      <c r="CC251" s="1484"/>
      <c r="CD251" s="1484"/>
      <c r="CE251" s="1484"/>
      <c r="CF251" s="1484"/>
      <c r="CG251" s="1484"/>
      <c r="CH251" s="1484"/>
      <c r="CI251" s="1484"/>
      <c r="CJ251" s="1484"/>
      <c r="CK251" s="1484"/>
      <c r="CL251" s="1484"/>
      <c r="CM251" s="1484"/>
      <c r="CN251" s="1484"/>
      <c r="CO251" s="1484"/>
      <c r="CP251" s="1484"/>
      <c r="CQ251" s="1484"/>
      <c r="CR251" s="1484"/>
      <c r="CS251" s="1484"/>
      <c r="CT251"/>
      <c r="CU251"/>
      <c r="CV251"/>
      <c r="CW251"/>
      <c r="CX251" s="1564"/>
      <c r="CY251" s="1564"/>
      <c r="CZ251" s="1564"/>
      <c r="DA251" s="1564"/>
      <c r="DB251" s="1564"/>
      <c r="DC251" s="1564"/>
      <c r="DD251" s="1564"/>
      <c r="DE251" s="1950"/>
      <c r="DF251" s="1950"/>
      <c r="DG251" s="1565"/>
      <c r="DH251" s="1565"/>
      <c r="DI251" s="1950"/>
      <c r="DJ251" s="1565"/>
      <c r="DK251" s="1564"/>
      <c r="DL251" s="1564"/>
      <c r="DM251" s="1564"/>
      <c r="DN251" s="1564"/>
      <c r="DO251" s="1564"/>
      <c r="DP251" s="1566"/>
      <c r="DQ251" s="1566"/>
      <c r="DR251" s="1566"/>
      <c r="DS251" s="1566"/>
      <c r="DT251" s="1566"/>
      <c r="DU251" s="1566"/>
      <c r="DV251" s="1566"/>
      <c r="DW251" s="1566"/>
      <c r="DX251" s="1564"/>
      <c r="DY251" s="1564"/>
      <c r="DZ251" s="1564"/>
      <c r="EA251" s="1564"/>
      <c r="EB251" s="1564"/>
      <c r="EC251" s="1564"/>
      <c r="ED251" s="1564"/>
      <c r="EE251" s="1564"/>
      <c r="EF251" s="1564"/>
      <c r="EG251" s="1564"/>
      <c r="EH251" s="1564"/>
      <c r="EI251" s="1564"/>
      <c r="EJ251" s="1564"/>
      <c r="EK251" s="1564"/>
      <c r="EL251" s="1564"/>
      <c r="EM251" s="1564"/>
      <c r="EN251" s="1564"/>
      <c r="EO251" s="1564"/>
      <c r="EP251" s="1564"/>
      <c r="EQ251" s="1564">
        <f>(11*40*52*EQ249*EQ252+11*20*52*EQ249*(1-EQ252))/1000000</f>
        <v>2676.96</v>
      </c>
      <c r="ER251" s="1564">
        <f t="shared" ref="ER251:EW251" si="653">(11*40*52*ER249*ER252+11*20*52*ER249*(1-ER252))/1000000</f>
        <v>2483.6239999999998</v>
      </c>
      <c r="ES251" s="1564">
        <f t="shared" si="653"/>
        <v>2453.88</v>
      </c>
      <c r="ET251" s="1564">
        <f t="shared" si="653"/>
        <v>2453.88</v>
      </c>
      <c r="EU251" s="1564">
        <f t="shared" si="653"/>
        <v>2082.08</v>
      </c>
      <c r="EV251" s="1564">
        <f t="shared" si="653"/>
        <v>1859</v>
      </c>
      <c r="EW251" s="1564">
        <f t="shared" si="653"/>
        <v>1859</v>
      </c>
      <c r="EX251" s="1564">
        <f t="shared" ref="EX251" si="654">(11*40*52*EX249*EX252+11*20*52*EX249*(1-EX252))/1000000</f>
        <v>1859</v>
      </c>
      <c r="EY251" s="1564"/>
      <c r="EZ251" s="1566"/>
      <c r="FA251" s="1566"/>
      <c r="FB251" s="1566"/>
      <c r="FC251" s="1566"/>
      <c r="FD251" s="1566"/>
      <c r="FE251" s="1566"/>
      <c r="FF251" s="1566"/>
      <c r="FG251" s="1566"/>
      <c r="FH251" s="1566"/>
      <c r="FI251" s="1565"/>
      <c r="FJ251"/>
      <c r="FK251"/>
      <c r="FL251"/>
      <c r="FM251"/>
      <c r="FN251"/>
      <c r="FO251"/>
      <c r="FQ251" s="1388"/>
      <c r="FR251" s="1388"/>
      <c r="FS251" s="1490"/>
      <c r="FT251" s="1490"/>
      <c r="FU251"/>
      <c r="FV251" s="1566"/>
      <c r="FW251" s="1566"/>
      <c r="FX251" s="1566"/>
      <c r="FY251"/>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row>
    <row r="252" spans="1:260" s="51" customFormat="1" ht="11.25" hidden="1" customHeight="1" outlineLevel="1" x14ac:dyDescent="0.2">
      <c r="A252" s="1482" t="s">
        <v>632</v>
      </c>
      <c r="B252" s="1483"/>
      <c r="C252" s="1483"/>
      <c r="D252" s="1483"/>
      <c r="E252" s="1483"/>
      <c r="F252" s="1483"/>
      <c r="G252" s="1483"/>
      <c r="H252" s="1483"/>
      <c r="I252" s="1483"/>
      <c r="J252" s="1483"/>
      <c r="K252" s="1483"/>
      <c r="L252" s="1483"/>
      <c r="M252" s="1483"/>
      <c r="N252" s="1483"/>
      <c r="O252" s="1483"/>
      <c r="P252" s="1483"/>
      <c r="Q252" s="1483"/>
      <c r="R252" s="1483"/>
      <c r="S252" s="1483"/>
      <c r="T252" s="1483"/>
      <c r="U252" s="1483"/>
      <c r="V252" s="1483"/>
      <c r="W252" s="1483"/>
      <c r="X252" s="1483"/>
      <c r="Y252" s="1483"/>
      <c r="Z252" s="1483"/>
      <c r="AA252" s="1483"/>
      <c r="AB252" s="1483"/>
      <c r="AC252" s="1483"/>
      <c r="AD252" s="1483"/>
      <c r="AE252" s="1483"/>
      <c r="AF252" s="1483"/>
      <c r="AG252" s="1483"/>
      <c r="AH252" s="1483"/>
      <c r="AI252" s="1483"/>
      <c r="AJ252" s="1483"/>
      <c r="AK252" s="1483"/>
      <c r="AL252" s="1483"/>
      <c r="AM252" s="1483"/>
      <c r="AN252" s="1483"/>
      <c r="AO252" s="1483"/>
      <c r="AP252" s="1483"/>
      <c r="AQ252" s="1483"/>
      <c r="AR252" s="1483"/>
      <c r="AS252" s="1483"/>
      <c r="AT252" s="1483"/>
      <c r="AU252" s="1483"/>
      <c r="AV252" s="1483"/>
      <c r="AW252" s="1483"/>
      <c r="AX252" s="1483"/>
      <c r="AY252" s="1483"/>
      <c r="AZ252" s="1483"/>
      <c r="BA252" s="1483"/>
      <c r="BB252" s="1483"/>
      <c r="BC252" s="1483"/>
      <c r="BD252" s="1483"/>
      <c r="BE252" s="1483"/>
      <c r="BF252" s="1483"/>
      <c r="BG252" s="1483"/>
      <c r="BH252" s="1483"/>
      <c r="BI252" s="1483"/>
      <c r="BJ252" s="1483"/>
      <c r="BK252" s="1483"/>
      <c r="BL252" s="1484"/>
      <c r="BM252" s="1484"/>
      <c r="BN252" s="1484"/>
      <c r="BO252" s="1484"/>
      <c r="BP252" s="1484"/>
      <c r="BQ252" s="1484"/>
      <c r="BR252" s="1484"/>
      <c r="BS252" s="1484"/>
      <c r="BT252" s="1484"/>
      <c r="BU252" s="1484"/>
      <c r="BV252" s="1484"/>
      <c r="BW252" s="1484"/>
      <c r="BX252" s="1484"/>
      <c r="BY252" s="1484"/>
      <c r="BZ252" s="1484"/>
      <c r="CA252" s="1484"/>
      <c r="CB252" s="1484"/>
      <c r="CC252" s="1484"/>
      <c r="CD252" s="1484"/>
      <c r="CE252" s="1484"/>
      <c r="CF252" s="1484"/>
      <c r="CG252" s="1484"/>
      <c r="CH252" s="1484"/>
      <c r="CI252" s="1484"/>
      <c r="CJ252" s="1484"/>
      <c r="CK252" s="1484"/>
      <c r="CL252" s="1484"/>
      <c r="CM252" s="1484"/>
      <c r="CN252" s="1484"/>
      <c r="CO252" s="1484"/>
      <c r="CP252" s="1484"/>
      <c r="CQ252" s="1484"/>
      <c r="CR252" s="1484"/>
      <c r="CS252" s="1484"/>
      <c r="CT252"/>
      <c r="CU252"/>
      <c r="CV252"/>
      <c r="CW252"/>
      <c r="CX252"/>
      <c r="CY252"/>
      <c r="CZ252"/>
      <c r="DA252"/>
      <c r="DB252"/>
      <c r="DC252"/>
      <c r="DD252"/>
      <c r="DE252" s="39"/>
      <c r="DF252" s="39"/>
      <c r="DG252" s="72"/>
      <c r="DH252" s="72"/>
      <c r="DI252" s="39"/>
      <c r="DJ252" s="72"/>
      <c r="DK252" s="2591"/>
      <c r="DL252" s="2591"/>
      <c r="DM252" s="2591"/>
      <c r="DN252"/>
      <c r="DO252"/>
      <c r="DP252" s="1490"/>
      <c r="DQ252" s="1490"/>
      <c r="DR252" s="1490"/>
      <c r="DS252" s="1490"/>
      <c r="DT252" s="1490"/>
      <c r="DU252" s="1490"/>
      <c r="DV252" s="1490"/>
      <c r="DW252" s="1490"/>
      <c r="DX252"/>
      <c r="DY252"/>
      <c r="DZ252"/>
      <c r="EA252"/>
      <c r="EB252"/>
      <c r="EC252"/>
      <c r="ED252"/>
      <c r="EE252"/>
      <c r="EF252"/>
      <c r="EG252"/>
      <c r="EH252"/>
      <c r="EI252"/>
      <c r="EJ252"/>
      <c r="EK252"/>
      <c r="EL252"/>
      <c r="EM252"/>
      <c r="EN252"/>
      <c r="EO252"/>
      <c r="EP252"/>
      <c r="EQ252">
        <v>0.3</v>
      </c>
      <c r="ER252">
        <v>0.3</v>
      </c>
      <c r="ES252">
        <v>0.3</v>
      </c>
      <c r="ET252">
        <v>0.3</v>
      </c>
      <c r="EU252" s="67">
        <v>0.3</v>
      </c>
      <c r="EV252" s="67">
        <v>0.3</v>
      </c>
      <c r="EW252" s="67">
        <v>0.3</v>
      </c>
      <c r="EX252" s="67">
        <v>0.3</v>
      </c>
      <c r="EY252" s="67"/>
      <c r="EZ252" s="2677"/>
      <c r="FA252" s="1490"/>
      <c r="FB252" s="1490"/>
      <c r="FC252" s="1490"/>
      <c r="FD252" s="1490"/>
      <c r="FE252" s="1490"/>
      <c r="FF252" s="1490"/>
      <c r="FG252" s="1490"/>
      <c r="FH252" s="1490"/>
      <c r="FI252" s="72"/>
      <c r="FJ252"/>
      <c r="FK252"/>
      <c r="FL252"/>
      <c r="FM252"/>
      <c r="FN252"/>
      <c r="FO252"/>
      <c r="FQ252" s="1388"/>
      <c r="FR252" s="1388"/>
      <c r="FS252" s="1490"/>
      <c r="FT252" s="1490"/>
      <c r="FU252"/>
      <c r="FV252" s="134"/>
      <c r="FW252" s="1490"/>
      <c r="FX252" s="1490"/>
      <c r="FY252"/>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row>
    <row r="253" spans="1:260" s="51" customFormat="1" ht="11.25" hidden="1" customHeight="1" outlineLevel="1" x14ac:dyDescent="0.2">
      <c r="A253" s="1482" t="s">
        <v>634</v>
      </c>
      <c r="B253" s="1483"/>
      <c r="C253" s="1483"/>
      <c r="D253" s="1483"/>
      <c r="E253" s="1483"/>
      <c r="F253" s="1483"/>
      <c r="G253" s="1483"/>
      <c r="H253" s="1483"/>
      <c r="I253" s="1483"/>
      <c r="J253" s="1483"/>
      <c r="K253" s="1483"/>
      <c r="L253" s="1483"/>
      <c r="M253" s="1483"/>
      <c r="N253" s="1483"/>
      <c r="O253" s="1483"/>
      <c r="P253" s="1483"/>
      <c r="Q253" s="1483"/>
      <c r="R253" s="1483"/>
      <c r="S253" s="1483"/>
      <c r="T253" s="1483"/>
      <c r="U253" s="1483"/>
      <c r="V253" s="1483"/>
      <c r="W253" s="1483"/>
      <c r="X253" s="1483"/>
      <c r="Y253" s="1483"/>
      <c r="Z253" s="1483"/>
      <c r="AA253" s="1483"/>
      <c r="AB253" s="1483"/>
      <c r="AC253" s="1483"/>
      <c r="AD253" s="1483"/>
      <c r="AE253" s="1483"/>
      <c r="AF253" s="1483"/>
      <c r="AG253" s="1483"/>
      <c r="AH253" s="1483"/>
      <c r="AI253" s="1483"/>
      <c r="AJ253" s="1483"/>
      <c r="AK253" s="1483"/>
      <c r="AL253" s="1483"/>
      <c r="AM253" s="1483"/>
      <c r="AN253" s="1483"/>
      <c r="AO253" s="1483"/>
      <c r="AP253" s="1483"/>
      <c r="AQ253" s="1483"/>
      <c r="AR253" s="1483"/>
      <c r="AS253" s="1483"/>
      <c r="AT253" s="1483"/>
      <c r="AU253" s="1483"/>
      <c r="AV253" s="1483"/>
      <c r="AW253" s="1483"/>
      <c r="AX253" s="1483"/>
      <c r="AY253" s="1483"/>
      <c r="AZ253" s="1483"/>
      <c r="BA253" s="1483"/>
      <c r="BB253" s="1483"/>
      <c r="BC253" s="1483"/>
      <c r="BD253" s="1483"/>
      <c r="BE253" s="1483"/>
      <c r="BF253" s="1483"/>
      <c r="BG253" s="1483"/>
      <c r="BH253" s="1483"/>
      <c r="BI253" s="1483"/>
      <c r="BJ253" s="1483"/>
      <c r="BK253" s="1483"/>
      <c r="BL253" s="1484"/>
      <c r="BM253" s="1484"/>
      <c r="BN253" s="1484"/>
      <c r="BO253" s="1484"/>
      <c r="BP253" s="1484"/>
      <c r="BQ253" s="1484"/>
      <c r="BR253" s="1484"/>
      <c r="BS253" s="1484"/>
      <c r="BT253" s="1484"/>
      <c r="BU253" s="1484"/>
      <c r="BV253" s="1484"/>
      <c r="BW253" s="1484"/>
      <c r="BX253" s="1484"/>
      <c r="BY253" s="1484"/>
      <c r="BZ253" s="1484"/>
      <c r="CA253" s="1484"/>
      <c r="CB253" s="1484"/>
      <c r="CC253" s="1484"/>
      <c r="CD253" s="1484"/>
      <c r="CE253" s="1484"/>
      <c r="CF253" s="1484"/>
      <c r="CG253" s="1484"/>
      <c r="CH253" s="1484"/>
      <c r="CI253" s="1484"/>
      <c r="CJ253" s="1484"/>
      <c r="CK253" s="1484"/>
      <c r="CL253" s="1484"/>
      <c r="CM253" s="1484"/>
      <c r="CN253" s="1484"/>
      <c r="CO253" s="1484"/>
      <c r="CP253" s="1484"/>
      <c r="CQ253" s="1484"/>
      <c r="CR253" s="1484"/>
      <c r="CS253" s="1484"/>
      <c r="CT253"/>
      <c r="CU253"/>
      <c r="CV253"/>
      <c r="CW253"/>
      <c r="CX253"/>
      <c r="CY253"/>
      <c r="CZ253"/>
      <c r="DA253"/>
      <c r="DB253"/>
      <c r="DC253"/>
      <c r="DD253"/>
      <c r="DE253" s="39"/>
      <c r="DF253" s="39"/>
      <c r="DG253" s="72"/>
      <c r="DH253" s="72"/>
      <c r="DI253" s="39"/>
      <c r="DJ253" s="72"/>
      <c r="DK253" s="2591"/>
      <c r="DL253" s="2591"/>
      <c r="DM253" s="2591"/>
      <c r="DN253"/>
      <c r="DO253"/>
      <c r="DP253" s="1490"/>
      <c r="DQ253" s="1490"/>
      <c r="DR253" s="1490"/>
      <c r="DS253" s="1490"/>
      <c r="DT253" s="1490"/>
      <c r="DU253" s="1490"/>
      <c r="DV253" s="1490"/>
      <c r="DW253" s="1490"/>
      <c r="DX253"/>
      <c r="DY253"/>
      <c r="DZ253"/>
      <c r="EA253"/>
      <c r="EB253"/>
      <c r="EC253"/>
      <c r="ED253"/>
      <c r="EE253"/>
      <c r="EF253"/>
      <c r="EG253"/>
      <c r="EH253"/>
      <c r="EI253"/>
      <c r="EJ253"/>
      <c r="EK253"/>
      <c r="EL253"/>
      <c r="EM253"/>
      <c r="EN253"/>
      <c r="EO253"/>
      <c r="EP253"/>
      <c r="EQ253">
        <f t="shared" ref="EQ253:EW253" si="655">+IFERROR(EQ$251/EQ7,"NA")</f>
        <v>5.3644342912107734E-2</v>
      </c>
      <c r="ER253">
        <f t="shared" si="655"/>
        <v>4.9631781938810168E-2</v>
      </c>
      <c r="ES253">
        <f t="shared" si="655"/>
        <v>4.9452449567723343E-2</v>
      </c>
      <c r="ET253">
        <f t="shared" si="655"/>
        <v>5.57130207742082E-2</v>
      </c>
      <c r="EU253" s="67">
        <f t="shared" si="655"/>
        <v>5.1268868040678629E-2</v>
      </c>
      <c r="EV253" s="67">
        <f t="shared" si="655"/>
        <v>4.6084434418304863E-2</v>
      </c>
      <c r="EW253" s="67">
        <f t="shared" si="655"/>
        <v>4.7029953450718476E-2</v>
      </c>
      <c r="EX253" s="67">
        <f t="shared" ref="EX253" si="656">+IFERROR(EX$251/EX7,"NA")</f>
        <v>4.7179148795776969E-2</v>
      </c>
      <c r="EY253" s="67"/>
      <c r="EZ253" s="2677"/>
      <c r="FA253" s="1490"/>
      <c r="FB253" s="1490"/>
      <c r="FC253" s="1490"/>
      <c r="FD253" s="1490"/>
      <c r="FE253" s="1490"/>
      <c r="FF253" s="1490"/>
      <c r="FG253" s="1490"/>
      <c r="FH253" s="1490"/>
      <c r="FI253" s="72"/>
      <c r="FJ253"/>
      <c r="FK253"/>
      <c r="FL253"/>
      <c r="FM253"/>
      <c r="FN253"/>
      <c r="FO253"/>
      <c r="FQ253" s="1388"/>
      <c r="FR253" s="1388"/>
      <c r="FS253" s="1490"/>
      <c r="FT253" s="1490"/>
      <c r="FU253"/>
      <c r="FV253" s="134"/>
      <c r="FW253" s="1490"/>
      <c r="FX253" s="1490"/>
      <c r="FY253"/>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row>
    <row r="254" spans="1:260" s="51" customFormat="1" ht="11.25" hidden="1" customHeight="1" outlineLevel="1" x14ac:dyDescent="0.2">
      <c r="A254" s="1482" t="s">
        <v>635</v>
      </c>
      <c r="B254" s="1483"/>
      <c r="C254" s="1483"/>
      <c r="D254" s="1483"/>
      <c r="E254" s="1483"/>
      <c r="F254" s="1483"/>
      <c r="G254" s="1483"/>
      <c r="H254" s="1483"/>
      <c r="I254" s="1483"/>
      <c r="J254" s="1483"/>
      <c r="K254" s="1483"/>
      <c r="L254" s="1483"/>
      <c r="M254" s="1483"/>
      <c r="N254" s="1483"/>
      <c r="O254" s="1483"/>
      <c r="P254" s="1483"/>
      <c r="Q254" s="1483"/>
      <c r="R254" s="1483"/>
      <c r="S254" s="1483"/>
      <c r="T254" s="1483"/>
      <c r="U254" s="1483"/>
      <c r="V254" s="1483"/>
      <c r="W254" s="1483"/>
      <c r="X254" s="1483"/>
      <c r="Y254" s="1483"/>
      <c r="Z254" s="1483"/>
      <c r="AA254" s="1483"/>
      <c r="AB254" s="1483"/>
      <c r="AC254" s="1483"/>
      <c r="AD254" s="1483"/>
      <c r="AE254" s="1483"/>
      <c r="AF254" s="1483"/>
      <c r="AG254" s="1483"/>
      <c r="AH254" s="1483"/>
      <c r="AI254" s="1483"/>
      <c r="AJ254" s="1483"/>
      <c r="AK254" s="1483"/>
      <c r="AL254" s="1483"/>
      <c r="AM254" s="1483"/>
      <c r="AN254" s="1483"/>
      <c r="AO254" s="1483"/>
      <c r="AP254" s="1483"/>
      <c r="AQ254" s="1483"/>
      <c r="AR254" s="1483"/>
      <c r="AS254" s="1483"/>
      <c r="AT254" s="1483"/>
      <c r="AU254" s="1483"/>
      <c r="AV254" s="1483"/>
      <c r="AW254" s="1483"/>
      <c r="AX254" s="1483"/>
      <c r="AY254" s="1483"/>
      <c r="AZ254" s="1483"/>
      <c r="BA254" s="1483"/>
      <c r="BB254" s="1483"/>
      <c r="BC254" s="1483"/>
      <c r="BD254" s="1483"/>
      <c r="BE254" s="1483"/>
      <c r="BF254" s="1483"/>
      <c r="BG254" s="1483"/>
      <c r="BH254" s="1483"/>
      <c r="BI254" s="1483"/>
      <c r="BJ254" s="1483"/>
      <c r="BK254" s="1483"/>
      <c r="BL254" s="1484"/>
      <c r="BM254" s="1484"/>
      <c r="BN254" s="1484"/>
      <c r="BO254" s="1484"/>
      <c r="BP254" s="1484"/>
      <c r="BQ254" s="1484"/>
      <c r="BR254" s="1484"/>
      <c r="BS254" s="1484"/>
      <c r="BT254" s="1484"/>
      <c r="BU254" s="1484"/>
      <c r="BV254" s="1484"/>
      <c r="BW254" s="1484"/>
      <c r="BX254" s="1484"/>
      <c r="BY254" s="1484"/>
      <c r="BZ254" s="1484"/>
      <c r="CA254" s="1484"/>
      <c r="CB254" s="1484"/>
      <c r="CC254" s="1484"/>
      <c r="CD254" s="1484"/>
      <c r="CE254" s="1484"/>
      <c r="CF254" s="1484"/>
      <c r="CG254" s="1484"/>
      <c r="CH254" s="1484"/>
      <c r="CI254" s="1484"/>
      <c r="CJ254" s="1484"/>
      <c r="CK254" s="1484"/>
      <c r="CL254" s="1484"/>
      <c r="CM254" s="1484"/>
      <c r="CN254" s="1484"/>
      <c r="CO254" s="1484"/>
      <c r="CP254" s="1484"/>
      <c r="CQ254" s="1484"/>
      <c r="CR254" s="1484"/>
      <c r="CS254" s="1484"/>
      <c r="CT254"/>
      <c r="CU254"/>
      <c r="CV254"/>
      <c r="CW254"/>
      <c r="CX254"/>
      <c r="CY254"/>
      <c r="CZ254"/>
      <c r="DA254"/>
      <c r="DB254"/>
      <c r="DC254"/>
      <c r="DD254"/>
      <c r="DE254" s="39"/>
      <c r="DF254" s="39"/>
      <c r="DG254" s="72"/>
      <c r="DH254" s="72"/>
      <c r="DI254" s="39"/>
      <c r="DJ254" s="72"/>
      <c r="DK254" s="2591"/>
      <c r="DL254" s="2591"/>
      <c r="DM254" s="2591"/>
      <c r="DN254"/>
      <c r="DO254"/>
      <c r="DP254" s="1490"/>
      <c r="DQ254" s="1490"/>
      <c r="DR254" s="1490"/>
      <c r="DS254" s="1490"/>
      <c r="DT254" s="1490"/>
      <c r="DU254" s="1490"/>
      <c r="DV254" s="1490"/>
      <c r="DW254" s="1490"/>
      <c r="DX254"/>
      <c r="DY254"/>
      <c r="DZ254"/>
      <c r="EA254"/>
      <c r="EB254"/>
      <c r="EC254"/>
      <c r="ED254"/>
      <c r="EE254"/>
      <c r="EF254"/>
      <c r="EG254"/>
      <c r="EH254"/>
      <c r="EI254"/>
      <c r="EJ254"/>
      <c r="EK254"/>
      <c r="EL254"/>
      <c r="EM254"/>
      <c r="EN254"/>
      <c r="EO254"/>
      <c r="EP254"/>
      <c r="EQ254">
        <f t="shared" ref="EQ254:EW254" si="657">+IFERROR(EQ$251/EQ16,"NA")</f>
        <v>0.26748201438848923</v>
      </c>
      <c r="ER254">
        <f t="shared" si="657"/>
        <v>0.24566013847675566</v>
      </c>
      <c r="ES254">
        <f t="shared" si="657"/>
        <v>0.23699826154143327</v>
      </c>
      <c r="ET254">
        <f t="shared" si="657"/>
        <v>0.27439114391143915</v>
      </c>
      <c r="EU254" s="67">
        <f t="shared" si="657"/>
        <v>0.26117410938283991</v>
      </c>
      <c r="EV254" s="67">
        <f t="shared" si="657"/>
        <v>0.24622516556291391</v>
      </c>
      <c r="EW254" s="67">
        <f t="shared" si="657"/>
        <v>0.24463745229635478</v>
      </c>
      <c r="EX254" s="67">
        <f t="shared" ref="EX254" si="658">+IFERROR(EX$251/EX16,"NA")</f>
        <v>0.24707602339181287</v>
      </c>
      <c r="EY254" s="67"/>
      <c r="EZ254" s="2677"/>
      <c r="FA254" s="1490"/>
      <c r="FB254" s="1490"/>
      <c r="FC254" s="1490"/>
      <c r="FD254" s="1490"/>
      <c r="FE254" s="1490"/>
      <c r="FF254" s="1490"/>
      <c r="FG254" s="1490"/>
      <c r="FH254" s="1490"/>
      <c r="FI254" s="72"/>
      <c r="FJ254"/>
      <c r="FK254"/>
      <c r="FL254"/>
      <c r="FM254"/>
      <c r="FN254"/>
      <c r="FO254"/>
      <c r="FQ254" s="1388"/>
      <c r="FR254" s="1388"/>
      <c r="FS254" s="1490"/>
      <c r="FT254" s="1490"/>
      <c r="FU254"/>
      <c r="FV254" s="134"/>
      <c r="FW254" s="1490"/>
      <c r="FX254" s="1490"/>
      <c r="FY254"/>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row>
    <row r="255" spans="1:260" customFormat="1" ht="11.25" hidden="1" customHeight="1" outlineLevel="1" x14ac:dyDescent="0.2"/>
    <row r="256" spans="1:260" ht="11.25" customHeight="1" collapsed="1" x14ac:dyDescent="0.2">
      <c r="CY256" s="190"/>
      <c r="CZ256" s="190"/>
      <c r="DC256" s="190"/>
      <c r="DD256" s="190"/>
      <c r="DF256" s="256"/>
      <c r="DG256" s="190"/>
      <c r="DH256" s="190"/>
    </row>
    <row r="257" spans="103:112" ht="11.25" customHeight="1" x14ac:dyDescent="0.2">
      <c r="CY257" s="190"/>
      <c r="CZ257" s="190"/>
      <c r="DC257" s="190"/>
      <c r="DD257" s="190"/>
      <c r="DF257" s="256"/>
      <c r="DG257" s="190"/>
      <c r="DH257" s="190"/>
    </row>
    <row r="258" spans="103:112" ht="11.25" customHeight="1" x14ac:dyDescent="0.2">
      <c r="CY258" s="190"/>
      <c r="CZ258" s="190"/>
      <c r="DC258" s="190"/>
      <c r="DD258" s="190"/>
      <c r="DF258" s="256"/>
      <c r="DG258" s="190"/>
      <c r="DH258" s="190"/>
    </row>
    <row r="259" spans="103:112" ht="11.25" customHeight="1" x14ac:dyDescent="0.2">
      <c r="CY259" s="190"/>
      <c r="CZ259" s="190"/>
      <c r="DC259" s="190"/>
      <c r="DD259" s="190"/>
      <c r="DF259" s="256"/>
      <c r="DG259" s="190"/>
      <c r="DH259" s="190"/>
    </row>
    <row r="260" spans="103:112" ht="11.25" customHeight="1" x14ac:dyDescent="0.2">
      <c r="CY260" s="190"/>
      <c r="CZ260" s="190"/>
      <c r="DC260" s="190"/>
      <c r="DD260" s="190"/>
      <c r="DF260" s="256"/>
      <c r="DG260" s="190"/>
      <c r="DH260" s="190"/>
    </row>
    <row r="261" spans="103:112" ht="11.25" customHeight="1" x14ac:dyDescent="0.2">
      <c r="CY261" s="190"/>
      <c r="CZ261" s="190"/>
      <c r="DC261" s="190"/>
      <c r="DD261" s="190"/>
      <c r="DF261" s="256"/>
      <c r="DG261" s="190"/>
      <c r="DH261" s="190"/>
    </row>
    <row r="262" spans="103:112" ht="11.25" customHeight="1" x14ac:dyDescent="0.2">
      <c r="CY262" s="190"/>
      <c r="CZ262" s="190"/>
      <c r="DC262" s="190"/>
      <c r="DD262" s="190"/>
      <c r="DF262" s="256"/>
      <c r="DG262" s="190"/>
      <c r="DH262" s="190"/>
    </row>
    <row r="263" spans="103:112" ht="11.25" customHeight="1" x14ac:dyDescent="0.2">
      <c r="CY263" s="190"/>
      <c r="CZ263" s="190"/>
      <c r="DC263" s="190"/>
      <c r="DD263" s="190"/>
      <c r="DF263" s="256"/>
      <c r="DG263" s="190"/>
      <c r="DH263" s="190"/>
    </row>
    <row r="264" spans="103:112" ht="11.25" customHeight="1" x14ac:dyDescent="0.2">
      <c r="CY264" s="190"/>
      <c r="CZ264" s="190"/>
      <c r="DC264" s="190"/>
      <c r="DD264" s="190"/>
      <c r="DF264" s="256"/>
      <c r="DG264" s="190"/>
      <c r="DH264" s="190"/>
    </row>
    <row r="265" spans="103:112" ht="11.25" customHeight="1" x14ac:dyDescent="0.2">
      <c r="CY265" s="190"/>
      <c r="CZ265" s="190"/>
      <c r="DC265" s="190"/>
      <c r="DD265" s="190"/>
      <c r="DF265" s="256"/>
      <c r="DG265" s="190"/>
      <c r="DH265" s="190"/>
    </row>
    <row r="266" spans="103:112" ht="11.25" customHeight="1" x14ac:dyDescent="0.2">
      <c r="CY266" s="190"/>
      <c r="CZ266" s="190"/>
      <c r="DC266" s="190"/>
      <c r="DD266" s="190"/>
      <c r="DF266" s="256"/>
      <c r="DG266" s="190"/>
      <c r="DH266" s="190"/>
    </row>
    <row r="267" spans="103:112" ht="11.25" customHeight="1" x14ac:dyDescent="0.2">
      <c r="CY267" s="190"/>
      <c r="CZ267" s="190"/>
      <c r="DC267" s="190"/>
      <c r="DD267" s="190"/>
      <c r="DF267" s="256"/>
      <c r="DG267" s="190"/>
      <c r="DH267" s="190"/>
    </row>
    <row r="268" spans="103:112" ht="11.25" customHeight="1" x14ac:dyDescent="0.2">
      <c r="CY268" s="190"/>
      <c r="CZ268" s="190"/>
      <c r="DC268" s="190"/>
      <c r="DD268" s="190"/>
      <c r="DG268" s="190"/>
      <c r="DH268" s="190"/>
    </row>
    <row r="269" spans="103:112" ht="11.25" customHeight="1" x14ac:dyDescent="0.2">
      <c r="CY269" s="190"/>
      <c r="CZ269" s="190"/>
      <c r="DC269" s="190"/>
      <c r="DD269" s="190"/>
      <c r="DG269" s="190"/>
      <c r="DH269" s="190"/>
    </row>
    <row r="270" spans="103:112" ht="11.25" customHeight="1" x14ac:dyDescent="0.2">
      <c r="CY270" s="190"/>
      <c r="CZ270" s="190"/>
      <c r="DC270" s="190"/>
      <c r="DD270" s="190"/>
      <c r="DG270" s="190"/>
      <c r="DH270" s="190"/>
    </row>
    <row r="271" spans="103:112" ht="11.25" customHeight="1" x14ac:dyDescent="0.2">
      <c r="CY271" s="190"/>
      <c r="CZ271" s="190"/>
      <c r="DC271" s="190"/>
      <c r="DD271" s="190"/>
      <c r="DG271" s="190"/>
      <c r="DH271" s="190"/>
    </row>
    <row r="272" spans="103:112" ht="11.25" customHeight="1" x14ac:dyDescent="0.2">
      <c r="CY272" s="190"/>
      <c r="CZ272" s="190"/>
      <c r="DC272" s="190"/>
      <c r="DD272" s="190"/>
      <c r="DG272" s="190"/>
      <c r="DH272" s="190"/>
    </row>
    <row r="273" spans="103:112" ht="11.25" customHeight="1" x14ac:dyDescent="0.2">
      <c r="CY273" s="190"/>
      <c r="CZ273" s="190"/>
      <c r="DC273" s="190"/>
      <c r="DD273" s="190"/>
      <c r="DG273" s="190"/>
      <c r="DH273" s="190"/>
    </row>
    <row r="274" spans="103:112" ht="11.25" customHeight="1" x14ac:dyDescent="0.2">
      <c r="CY274" s="190"/>
      <c r="CZ274" s="190"/>
      <c r="DC274" s="190"/>
      <c r="DD274" s="190"/>
      <c r="DG274" s="190"/>
      <c r="DH274" s="190"/>
    </row>
    <row r="275" spans="103:112" ht="11.25" customHeight="1" x14ac:dyDescent="0.2">
      <c r="CY275" s="190"/>
      <c r="CZ275" s="190"/>
      <c r="DC275" s="190"/>
      <c r="DD275" s="190"/>
      <c r="DG275" s="190"/>
      <c r="DH275" s="190"/>
    </row>
    <row r="276" spans="103:112" ht="11.25" customHeight="1" x14ac:dyDescent="0.2">
      <c r="CY276" s="190"/>
      <c r="CZ276" s="190"/>
      <c r="DC276" s="190"/>
      <c r="DD276" s="190"/>
      <c r="DG276" s="190"/>
      <c r="DH276" s="190"/>
    </row>
    <row r="277" spans="103:112" ht="11.25" customHeight="1" x14ac:dyDescent="0.2">
      <c r="CY277" s="190"/>
      <c r="CZ277" s="190"/>
      <c r="DC277" s="190"/>
      <c r="DD277" s="190"/>
      <c r="DG277" s="190"/>
      <c r="DH277" s="190"/>
    </row>
    <row r="278" spans="103:112" ht="11.25" customHeight="1" x14ac:dyDescent="0.2">
      <c r="CY278" s="190"/>
      <c r="CZ278" s="190"/>
      <c r="DC278" s="190"/>
      <c r="DD278" s="190"/>
      <c r="DG278" s="190"/>
      <c r="DH278" s="190"/>
    </row>
    <row r="279" spans="103:112" ht="11.25" customHeight="1" x14ac:dyDescent="0.2">
      <c r="CY279" s="190"/>
      <c r="CZ279" s="190"/>
      <c r="DC279" s="190"/>
      <c r="DD279" s="190"/>
      <c r="DG279" s="190"/>
      <c r="DH279" s="190"/>
    </row>
    <row r="280" spans="103:112" ht="11.25" customHeight="1" x14ac:dyDescent="0.2">
      <c r="CY280" s="190"/>
      <c r="CZ280" s="190"/>
      <c r="DC280" s="190"/>
      <c r="DD280" s="190"/>
      <c r="DG280" s="190"/>
      <c r="DH280" s="190"/>
    </row>
    <row r="281" spans="103:112" ht="11.25" customHeight="1" x14ac:dyDescent="0.2">
      <c r="CY281" s="190"/>
      <c r="CZ281" s="190"/>
      <c r="DC281" s="190"/>
      <c r="DD281" s="190"/>
      <c r="DG281" s="190"/>
      <c r="DH281" s="190"/>
    </row>
    <row r="282" spans="103:112" ht="11.25" customHeight="1" x14ac:dyDescent="0.2">
      <c r="CY282" s="190"/>
      <c r="CZ282" s="190"/>
      <c r="DC282" s="190"/>
      <c r="DD282" s="190"/>
      <c r="DG282" s="190"/>
      <c r="DH282" s="190"/>
    </row>
    <row r="283" spans="103:112" ht="11.25" customHeight="1" x14ac:dyDescent="0.2">
      <c r="CY283" s="190"/>
      <c r="CZ283" s="190"/>
      <c r="DC283" s="190"/>
      <c r="DD283" s="190"/>
      <c r="DG283" s="190"/>
      <c r="DH283" s="190"/>
    </row>
    <row r="284" spans="103:112" ht="11.25" customHeight="1" x14ac:dyDescent="0.2">
      <c r="CY284" s="190"/>
      <c r="CZ284" s="190"/>
      <c r="DC284" s="190"/>
      <c r="DD284" s="190"/>
      <c r="DG284" s="190"/>
      <c r="DH284" s="190"/>
    </row>
    <row r="285" spans="103:112" ht="11.25" customHeight="1" x14ac:dyDescent="0.2">
      <c r="CY285" s="190"/>
      <c r="CZ285" s="190"/>
      <c r="DC285" s="190"/>
      <c r="DD285" s="190"/>
      <c r="DG285" s="190"/>
      <c r="DH285" s="190"/>
    </row>
    <row r="286" spans="103:112" ht="11.25" customHeight="1" x14ac:dyDescent="0.2">
      <c r="CY286" s="190"/>
      <c r="CZ286" s="190"/>
      <c r="DC286" s="190"/>
      <c r="DD286" s="190"/>
      <c r="DG286" s="190"/>
      <c r="DH286" s="190"/>
    </row>
    <row r="287" spans="103:112" ht="11.25" customHeight="1" x14ac:dyDescent="0.2">
      <c r="CY287" s="190"/>
      <c r="CZ287" s="190"/>
      <c r="DC287" s="190"/>
      <c r="DD287" s="190"/>
      <c r="DG287" s="190"/>
      <c r="DH287" s="190"/>
    </row>
    <row r="288" spans="103:112" ht="11.25" customHeight="1" x14ac:dyDescent="0.2">
      <c r="CY288" s="190"/>
      <c r="CZ288" s="190"/>
      <c r="DC288" s="190"/>
      <c r="DD288" s="190"/>
      <c r="DG288" s="190"/>
      <c r="DH288" s="190"/>
    </row>
    <row r="289" spans="103:112" ht="11.25" customHeight="1" x14ac:dyDescent="0.2">
      <c r="CY289" s="190"/>
      <c r="CZ289" s="190"/>
      <c r="DC289" s="190"/>
      <c r="DD289" s="190"/>
      <c r="DG289" s="190"/>
      <c r="DH289" s="190"/>
    </row>
    <row r="290" spans="103:112" ht="11.25" customHeight="1" x14ac:dyDescent="0.2">
      <c r="CY290" s="190"/>
      <c r="CZ290" s="190"/>
      <c r="DC290" s="190"/>
      <c r="DD290" s="190"/>
      <c r="DG290" s="190"/>
      <c r="DH290" s="190"/>
    </row>
    <row r="291" spans="103:112" ht="11.25" customHeight="1" x14ac:dyDescent="0.2">
      <c r="CY291" s="190"/>
      <c r="CZ291" s="190"/>
      <c r="DC291" s="190"/>
      <c r="DD291" s="190"/>
      <c r="DG291" s="190"/>
      <c r="DH291" s="190"/>
    </row>
    <row r="292" spans="103:112" ht="11.25" customHeight="1" x14ac:dyDescent="0.2">
      <c r="CY292" s="190"/>
      <c r="CZ292" s="190"/>
      <c r="DC292" s="190"/>
      <c r="DD292" s="190"/>
      <c r="DG292" s="190"/>
      <c r="DH292" s="190"/>
    </row>
    <row r="293" spans="103:112" ht="11.25" customHeight="1" x14ac:dyDescent="0.2">
      <c r="CY293" s="190"/>
      <c r="CZ293" s="190"/>
      <c r="DC293" s="190"/>
      <c r="DD293" s="190"/>
      <c r="DG293" s="190"/>
      <c r="DH293" s="190"/>
    </row>
    <row r="294" spans="103:112" ht="11.25" customHeight="1" x14ac:dyDescent="0.2">
      <c r="CY294" s="190"/>
      <c r="CZ294" s="190"/>
      <c r="DC294" s="190"/>
      <c r="DD294" s="190"/>
      <c r="DG294" s="190"/>
      <c r="DH294" s="190"/>
    </row>
    <row r="295" spans="103:112" ht="11.25" customHeight="1" x14ac:dyDescent="0.2">
      <c r="CY295" s="190"/>
      <c r="CZ295" s="190"/>
      <c r="DC295" s="190"/>
      <c r="DD295" s="190"/>
      <c r="DG295" s="190"/>
      <c r="DH295" s="190"/>
    </row>
    <row r="296" spans="103:112" ht="11.25" customHeight="1" x14ac:dyDescent="0.2">
      <c r="CY296" s="190"/>
      <c r="CZ296" s="190"/>
      <c r="DC296" s="190"/>
      <c r="DD296" s="190"/>
      <c r="DG296" s="190"/>
      <c r="DH296" s="190"/>
    </row>
    <row r="297" spans="103:112" ht="11.25" customHeight="1" x14ac:dyDescent="0.2">
      <c r="CY297" s="190"/>
      <c r="CZ297" s="190"/>
      <c r="DC297" s="190"/>
      <c r="DD297" s="190"/>
      <c r="DG297" s="190"/>
      <c r="DH297" s="190"/>
    </row>
    <row r="298" spans="103:112" ht="11.25" customHeight="1" x14ac:dyDescent="0.2">
      <c r="CY298" s="190"/>
      <c r="CZ298" s="190"/>
      <c r="DC298" s="190"/>
      <c r="DD298" s="190"/>
      <c r="DG298" s="190"/>
      <c r="DH298" s="190"/>
    </row>
    <row r="299" spans="103:112" ht="11.25" customHeight="1" x14ac:dyDescent="0.2">
      <c r="CY299" s="190"/>
      <c r="CZ299" s="190"/>
      <c r="DC299" s="190"/>
      <c r="DD299" s="190"/>
      <c r="DG299" s="190"/>
      <c r="DH299" s="190"/>
    </row>
    <row r="300" spans="103:112" ht="11.25" customHeight="1" x14ac:dyDescent="0.2">
      <c r="CY300" s="190"/>
      <c r="CZ300" s="190"/>
      <c r="DC300" s="190"/>
      <c r="DD300" s="190"/>
      <c r="DG300" s="190"/>
      <c r="DH300" s="190"/>
    </row>
    <row r="301" spans="103:112" ht="11.25" customHeight="1" x14ac:dyDescent="0.2">
      <c r="CY301" s="190"/>
      <c r="CZ301" s="190"/>
      <c r="DC301" s="190"/>
      <c r="DD301" s="190"/>
      <c r="DG301" s="190"/>
      <c r="DH301" s="190"/>
    </row>
    <row r="302" spans="103:112" ht="11.25" customHeight="1" x14ac:dyDescent="0.2">
      <c r="CY302" s="190"/>
      <c r="CZ302" s="190"/>
      <c r="DC302" s="190"/>
      <c r="DD302" s="190"/>
      <c r="DG302" s="190"/>
      <c r="DH302" s="190"/>
    </row>
    <row r="303" spans="103:112" ht="11.25" customHeight="1" x14ac:dyDescent="0.2">
      <c r="CY303" s="190"/>
      <c r="CZ303" s="190"/>
      <c r="DC303" s="190"/>
      <c r="DD303" s="190"/>
      <c r="DG303" s="190"/>
      <c r="DH303" s="190"/>
    </row>
    <row r="304" spans="103:112" ht="11.25" customHeight="1" x14ac:dyDescent="0.2">
      <c r="CY304" s="190"/>
      <c r="CZ304" s="190"/>
      <c r="DC304" s="190"/>
      <c r="DD304" s="190"/>
      <c r="DG304" s="190"/>
      <c r="DH304" s="190"/>
    </row>
    <row r="305" spans="103:112" ht="11.25" customHeight="1" x14ac:dyDescent="0.2">
      <c r="CY305" s="190"/>
      <c r="CZ305" s="190"/>
      <c r="DC305" s="190"/>
      <c r="DD305" s="190"/>
      <c r="DG305" s="190"/>
      <c r="DH305" s="190"/>
    </row>
    <row r="306" spans="103:112" ht="11.25" customHeight="1" x14ac:dyDescent="0.2">
      <c r="CY306" s="190"/>
      <c r="CZ306" s="190"/>
      <c r="DC306" s="190"/>
      <c r="DD306" s="190"/>
      <c r="DG306" s="190"/>
      <c r="DH306" s="190"/>
    </row>
    <row r="307" spans="103:112" ht="11.25" customHeight="1" x14ac:dyDescent="0.2">
      <c r="CY307" s="190"/>
      <c r="CZ307" s="190"/>
      <c r="DC307" s="190"/>
      <c r="DD307" s="190"/>
      <c r="DG307" s="190"/>
      <c r="DH307" s="190"/>
    </row>
    <row r="308" spans="103:112" ht="11.25" customHeight="1" x14ac:dyDescent="0.2">
      <c r="CY308" s="190"/>
      <c r="CZ308" s="190"/>
      <c r="DC308" s="190"/>
      <c r="DD308" s="190"/>
      <c r="DG308" s="190"/>
      <c r="DH308" s="190"/>
    </row>
    <row r="309" spans="103:112" ht="11.25" customHeight="1" x14ac:dyDescent="0.2">
      <c r="CY309" s="190"/>
      <c r="CZ309" s="190"/>
      <c r="DC309" s="190"/>
      <c r="DD309" s="190"/>
      <c r="DG309" s="190"/>
      <c r="DH309" s="190"/>
    </row>
    <row r="310" spans="103:112" ht="11.25" customHeight="1" x14ac:dyDescent="0.2">
      <c r="CY310" s="190"/>
      <c r="CZ310" s="190"/>
      <c r="DC310" s="190"/>
      <c r="DD310" s="190"/>
      <c r="DG310" s="190"/>
      <c r="DH310" s="190"/>
    </row>
    <row r="311" spans="103:112" ht="11.25" customHeight="1" x14ac:dyDescent="0.2">
      <c r="CY311" s="190"/>
      <c r="CZ311" s="190"/>
      <c r="DC311" s="190"/>
      <c r="DD311" s="190"/>
      <c r="DG311" s="190"/>
      <c r="DH311" s="190"/>
    </row>
    <row r="312" spans="103:112" ht="11.25" customHeight="1" x14ac:dyDescent="0.2">
      <c r="CY312" s="190"/>
      <c r="CZ312" s="190"/>
      <c r="DC312" s="190"/>
      <c r="DD312" s="190"/>
      <c r="DG312" s="190"/>
      <c r="DH312" s="190"/>
    </row>
    <row r="313" spans="103:112" ht="11.25" customHeight="1" x14ac:dyDescent="0.2">
      <c r="CY313" s="190"/>
      <c r="CZ313" s="190"/>
      <c r="DC313" s="190"/>
      <c r="DD313" s="190"/>
      <c r="DG313" s="190"/>
      <c r="DH313" s="190"/>
    </row>
    <row r="314" spans="103:112" ht="11.25" customHeight="1" x14ac:dyDescent="0.2">
      <c r="CY314" s="190"/>
      <c r="CZ314" s="190"/>
      <c r="DC314" s="190"/>
      <c r="DD314" s="190"/>
      <c r="DG314" s="190"/>
      <c r="DH314" s="190"/>
    </row>
    <row r="315" spans="103:112" ht="11.25" customHeight="1" x14ac:dyDescent="0.2">
      <c r="CY315" s="190"/>
      <c r="CZ315" s="190"/>
      <c r="DC315" s="190"/>
      <c r="DD315" s="190"/>
      <c r="DG315" s="190"/>
      <c r="DH315" s="190"/>
    </row>
    <row r="316" spans="103:112" ht="11.25" customHeight="1" x14ac:dyDescent="0.2">
      <c r="CY316" s="190"/>
      <c r="CZ316" s="190"/>
      <c r="DC316" s="190"/>
      <c r="DD316" s="190"/>
      <c r="DG316" s="190"/>
      <c r="DH316" s="190"/>
    </row>
    <row r="317" spans="103:112" ht="11.25" customHeight="1" x14ac:dyDescent="0.2">
      <c r="CY317" s="190"/>
      <c r="CZ317" s="190"/>
      <c r="DC317" s="190"/>
      <c r="DD317" s="190"/>
      <c r="DG317" s="190"/>
      <c r="DH317" s="190"/>
    </row>
    <row r="318" spans="103:112" ht="11.25" customHeight="1" x14ac:dyDescent="0.2">
      <c r="CY318" s="190"/>
      <c r="CZ318" s="190"/>
      <c r="DC318" s="190"/>
      <c r="DD318" s="190"/>
      <c r="DG318" s="190"/>
      <c r="DH318" s="190"/>
    </row>
    <row r="319" spans="103:112" ht="11.25" customHeight="1" x14ac:dyDescent="0.2">
      <c r="CY319" s="190"/>
      <c r="CZ319" s="190"/>
      <c r="DC319" s="190"/>
      <c r="DD319" s="190"/>
      <c r="DG319" s="190"/>
      <c r="DH319" s="190"/>
    </row>
    <row r="320" spans="103:112" ht="11.25" customHeight="1" x14ac:dyDescent="0.2">
      <c r="CY320" s="190"/>
      <c r="CZ320" s="190"/>
      <c r="DC320" s="190"/>
      <c r="DD320" s="190"/>
      <c r="DG320" s="190"/>
      <c r="DH320" s="190"/>
    </row>
    <row r="321" spans="103:112" ht="11.25" customHeight="1" x14ac:dyDescent="0.2">
      <c r="CY321" s="190"/>
      <c r="CZ321" s="190"/>
      <c r="DC321" s="190"/>
      <c r="DD321" s="190"/>
      <c r="DG321" s="190"/>
      <c r="DH321" s="190"/>
    </row>
    <row r="322" spans="103:112" ht="11.25" customHeight="1" x14ac:dyDescent="0.2">
      <c r="CY322" s="190"/>
      <c r="CZ322" s="190"/>
      <c r="DC322" s="190"/>
      <c r="DD322" s="190"/>
      <c r="DG322" s="190"/>
      <c r="DH322" s="190"/>
    </row>
    <row r="323" spans="103:112" ht="11.25" customHeight="1" x14ac:dyDescent="0.2">
      <c r="CY323" s="190"/>
      <c r="CZ323" s="190"/>
      <c r="DC323" s="190"/>
      <c r="DD323" s="190"/>
      <c r="DG323" s="190"/>
      <c r="DH323" s="190"/>
    </row>
    <row r="324" spans="103:112" ht="11.25" customHeight="1" x14ac:dyDescent="0.2">
      <c r="CY324" s="190"/>
      <c r="CZ324" s="190"/>
      <c r="DC324" s="190"/>
      <c r="DD324" s="190"/>
      <c r="DG324" s="190"/>
      <c r="DH324" s="190"/>
    </row>
    <row r="325" spans="103:112" ht="11.25" customHeight="1" x14ac:dyDescent="0.2">
      <c r="CY325" s="190"/>
      <c r="CZ325" s="190"/>
      <c r="DC325" s="190"/>
      <c r="DD325" s="190"/>
      <c r="DG325" s="190"/>
      <c r="DH325" s="190"/>
    </row>
    <row r="326" spans="103:112" ht="11.25" customHeight="1" x14ac:dyDescent="0.2">
      <c r="CY326" s="190"/>
      <c r="CZ326" s="190"/>
      <c r="DC326" s="190"/>
      <c r="DD326" s="190"/>
      <c r="DG326" s="190"/>
      <c r="DH326" s="190"/>
    </row>
    <row r="327" spans="103:112" ht="11.25" customHeight="1" x14ac:dyDescent="0.2">
      <c r="CY327" s="190"/>
      <c r="CZ327" s="190"/>
      <c r="DC327" s="190"/>
      <c r="DD327" s="190"/>
      <c r="DG327" s="190"/>
      <c r="DH327" s="190"/>
    </row>
    <row r="328" spans="103:112" ht="11.25" customHeight="1" x14ac:dyDescent="0.2">
      <c r="CY328" s="190"/>
      <c r="CZ328" s="190"/>
      <c r="DC328" s="190"/>
      <c r="DD328" s="190"/>
      <c r="DG328" s="190"/>
      <c r="DH328" s="190"/>
    </row>
    <row r="329" spans="103:112" ht="11.25" customHeight="1" x14ac:dyDescent="0.2">
      <c r="CY329" s="190"/>
      <c r="CZ329" s="190"/>
      <c r="DC329" s="190"/>
      <c r="DD329" s="190"/>
      <c r="DG329" s="190"/>
      <c r="DH329" s="190"/>
    </row>
    <row r="330" spans="103:112" ht="11.25" customHeight="1" x14ac:dyDescent="0.2">
      <c r="CY330" s="190"/>
      <c r="CZ330" s="190"/>
      <c r="DC330" s="190"/>
      <c r="DD330" s="190"/>
      <c r="DG330" s="190"/>
      <c r="DH330" s="190"/>
    </row>
    <row r="331" spans="103:112" ht="11.25" customHeight="1" x14ac:dyDescent="0.2">
      <c r="CY331" s="190"/>
      <c r="CZ331" s="190"/>
      <c r="DC331" s="190"/>
      <c r="DD331" s="190"/>
      <c r="DG331" s="190"/>
      <c r="DH331" s="190"/>
    </row>
    <row r="332" spans="103:112" ht="11.25" customHeight="1" x14ac:dyDescent="0.2">
      <c r="CY332" s="190"/>
      <c r="CZ332" s="190"/>
      <c r="DC332" s="190"/>
      <c r="DD332" s="190"/>
      <c r="DG332" s="190"/>
      <c r="DH332" s="190"/>
    </row>
    <row r="333" spans="103:112" ht="11.25" customHeight="1" x14ac:dyDescent="0.2">
      <c r="CY333" s="190"/>
      <c r="CZ333" s="190"/>
      <c r="DC333" s="190"/>
      <c r="DD333" s="190"/>
      <c r="DG333" s="190"/>
      <c r="DH333" s="190"/>
    </row>
    <row r="334" spans="103:112" ht="11.25" customHeight="1" x14ac:dyDescent="0.2">
      <c r="CY334" s="190"/>
      <c r="CZ334" s="190"/>
      <c r="DC334" s="190"/>
      <c r="DD334" s="190"/>
      <c r="DG334" s="190"/>
      <c r="DH334" s="190"/>
    </row>
    <row r="335" spans="103:112" ht="11.25" customHeight="1" x14ac:dyDescent="0.2">
      <c r="CY335" s="190"/>
      <c r="CZ335" s="190"/>
      <c r="DC335" s="190"/>
      <c r="DD335" s="190"/>
      <c r="DG335" s="190"/>
      <c r="DH335" s="190"/>
    </row>
    <row r="336" spans="103:112" ht="11.25" customHeight="1" x14ac:dyDescent="0.2">
      <c r="CY336" s="190"/>
      <c r="CZ336" s="190"/>
      <c r="DC336" s="190"/>
      <c r="DD336" s="190"/>
      <c r="DG336" s="190"/>
      <c r="DH336" s="190"/>
    </row>
    <row r="337" spans="103:120" ht="11.25" customHeight="1" x14ac:dyDescent="0.2">
      <c r="CY337" s="190"/>
      <c r="CZ337" s="190"/>
      <c r="DC337" s="190"/>
      <c r="DD337" s="190"/>
      <c r="DG337" s="190"/>
      <c r="DH337" s="190"/>
    </row>
    <row r="338" spans="103:120" ht="11.25" customHeight="1" x14ac:dyDescent="0.2">
      <c r="CY338" s="190"/>
      <c r="CZ338" s="190"/>
      <c r="DC338" s="190"/>
      <c r="DD338" s="190"/>
      <c r="DG338" s="190"/>
      <c r="DH338" s="190"/>
    </row>
    <row r="339" spans="103:120" ht="11.25" customHeight="1" x14ac:dyDescent="0.2">
      <c r="CY339" s="190"/>
      <c r="CZ339" s="190"/>
      <c r="DC339" s="190"/>
      <c r="DD339" s="190"/>
      <c r="DG339" s="190"/>
      <c r="DH339" s="190"/>
    </row>
    <row r="340" spans="103:120" ht="11.25" customHeight="1" x14ac:dyDescent="0.2">
      <c r="CY340" s="190"/>
      <c r="CZ340" s="190"/>
      <c r="DC340" s="190"/>
      <c r="DD340" s="190"/>
      <c r="DG340" s="190"/>
      <c r="DH340" s="190"/>
    </row>
    <row r="341" spans="103:120" ht="11.25" customHeight="1" x14ac:dyDescent="0.2">
      <c r="CY341" s="190"/>
      <c r="CZ341" s="190"/>
      <c r="DC341" s="190"/>
      <c r="DD341" s="190"/>
      <c r="DG341" s="190"/>
      <c r="DH341" s="190"/>
    </row>
    <row r="342" spans="103:120" ht="11.25" customHeight="1" x14ac:dyDescent="0.2">
      <c r="CY342" s="190"/>
      <c r="CZ342" s="190"/>
      <c r="DC342" s="190"/>
      <c r="DD342" s="190"/>
      <c r="DG342" s="190"/>
      <c r="DH342" s="190"/>
    </row>
    <row r="343" spans="103:120" ht="11.25" customHeight="1" x14ac:dyDescent="0.2">
      <c r="CY343" s="190"/>
      <c r="CZ343" s="190"/>
      <c r="DC343" s="190"/>
      <c r="DD343" s="190"/>
      <c r="DG343" s="190"/>
      <c r="DH343" s="190"/>
    </row>
    <row r="344" spans="103:120" ht="11.25" customHeight="1" x14ac:dyDescent="0.2">
      <c r="CY344" s="190"/>
      <c r="CZ344" s="190"/>
      <c r="DC344" s="190"/>
      <c r="DD344" s="190"/>
      <c r="DG344" s="190"/>
      <c r="DH344" s="190"/>
    </row>
    <row r="345" spans="103:120" ht="11.25" customHeight="1" x14ac:dyDescent="0.2">
      <c r="CY345" s="190"/>
      <c r="CZ345" s="190"/>
      <c r="DC345" s="190"/>
      <c r="DD345" s="190"/>
      <c r="DG345" s="190"/>
      <c r="DH345" s="190"/>
    </row>
    <row r="346" spans="103:120" ht="11.25" customHeight="1" x14ac:dyDescent="0.2">
      <c r="CY346" s="190"/>
      <c r="CZ346" s="190"/>
      <c r="DC346" s="190"/>
      <c r="DD346" s="190"/>
      <c r="DG346" s="190"/>
      <c r="DH346" s="190"/>
    </row>
    <row r="347" spans="103:120" ht="11.25" customHeight="1" x14ac:dyDescent="0.2">
      <c r="CY347" s="190"/>
      <c r="CZ347" s="190"/>
      <c r="DC347" s="190"/>
      <c r="DD347" s="190"/>
      <c r="DG347" s="190"/>
      <c r="DH347" s="190"/>
    </row>
    <row r="348" spans="103:120" ht="11.25" customHeight="1" x14ac:dyDescent="0.2">
      <c r="CY348" s="190"/>
      <c r="CZ348" s="190"/>
      <c r="DC348" s="190"/>
      <c r="DD348" s="190"/>
      <c r="DG348" s="190"/>
      <c r="DH348" s="190"/>
      <c r="DP348" s="99" t="s">
        <v>361</v>
      </c>
    </row>
  </sheetData>
  <dataConsolidate/>
  <phoneticPr fontId="2" type="noConversion"/>
  <dataValidations count="1">
    <dataValidation type="custom" allowBlank="1" showInputMessage="1" showErrorMessage="1" sqref="EN141:EP143 ED135:EP135 ED134:EL134 DR130:DZ133 EB130:EB133 EQ134:ER135 R130:Z130 A91:A102 AQ130 EC130:EC136 F130 EF130:EG130 A76:A89 EQ140:EQ143 H130:M130 A118:A125 A104:A116 EO139:EP140 EN134:EP134 AW130 ED136:ER136 EE140:EL143 ER141:EV143 ES134:EV136 ER139:ET139 EW139:FH143 EW130:FH136 A139:E143 A127:A138 B130:E136 DP139:ED143 DP130:DQ136 DR134:EB136 EM139:EM143 F141:DN143 F135:DN136">
      <formula1>-1</formula1>
    </dataValidation>
  </dataValidations>
  <printOptions horizontalCentered="1"/>
  <pageMargins left="0" right="0" top="0" bottom="0" header="0" footer="0"/>
  <pageSetup paperSize="5"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3364" r:id="rId4" name="Option Button 2420">
              <controlPr defaultSize="0" autoFill="0" autoLine="0" autoPict="0" macro="[0]!Show1Q">
                <anchor moveWithCells="1">
                  <from>
                    <xdr:col>0</xdr:col>
                    <xdr:colOff>123825</xdr:colOff>
                    <xdr:row>0</xdr:row>
                    <xdr:rowOff>0</xdr:rowOff>
                  </from>
                  <to>
                    <xdr:col>0</xdr:col>
                    <xdr:colOff>457200</xdr:colOff>
                    <xdr:row>1</xdr:row>
                    <xdr:rowOff>9525</xdr:rowOff>
                  </to>
                </anchor>
              </controlPr>
            </control>
          </mc:Choice>
        </mc:AlternateContent>
        <mc:AlternateContent xmlns:mc="http://schemas.openxmlformats.org/markup-compatibility/2006">
          <mc:Choice Requires="x14">
            <control shapeId="213365" r:id="rId5" name="Option Button 2421">
              <controlPr defaultSize="0" autoFill="0" autoLine="0" autoPict="0" macro="[0]!Show2Q">
                <anchor moveWithCells="1">
                  <from>
                    <xdr:col>0</xdr:col>
                    <xdr:colOff>466725</xdr:colOff>
                    <xdr:row>0</xdr:row>
                    <xdr:rowOff>0</xdr:rowOff>
                  </from>
                  <to>
                    <xdr:col>0</xdr:col>
                    <xdr:colOff>800100</xdr:colOff>
                    <xdr:row>1</xdr:row>
                    <xdr:rowOff>9525</xdr:rowOff>
                  </to>
                </anchor>
              </controlPr>
            </control>
          </mc:Choice>
        </mc:AlternateContent>
        <mc:AlternateContent xmlns:mc="http://schemas.openxmlformats.org/markup-compatibility/2006">
          <mc:Choice Requires="x14">
            <control shapeId="213366" r:id="rId6" name="Option Button 2422">
              <controlPr defaultSize="0" autoFill="0" autoLine="0" autoPict="0" macro="[0]!Show3Q">
                <anchor moveWithCells="1">
                  <from>
                    <xdr:col>0</xdr:col>
                    <xdr:colOff>828675</xdr:colOff>
                    <xdr:row>0</xdr:row>
                    <xdr:rowOff>0</xdr:rowOff>
                  </from>
                  <to>
                    <xdr:col>0</xdr:col>
                    <xdr:colOff>1162050</xdr:colOff>
                    <xdr:row>1</xdr:row>
                    <xdr:rowOff>9525</xdr:rowOff>
                  </to>
                </anchor>
              </controlPr>
            </control>
          </mc:Choice>
        </mc:AlternateContent>
        <mc:AlternateContent xmlns:mc="http://schemas.openxmlformats.org/markup-compatibility/2006">
          <mc:Choice Requires="x14">
            <control shapeId="213367" r:id="rId7" name="Option Button 2423">
              <controlPr defaultSize="0" autoFill="0" autoLine="0" autoPict="0" macro="[0]!Show4Q">
                <anchor moveWithCells="1">
                  <from>
                    <xdr:col>0</xdr:col>
                    <xdr:colOff>1247775</xdr:colOff>
                    <xdr:row>0</xdr:row>
                    <xdr:rowOff>0</xdr:rowOff>
                  </from>
                  <to>
                    <xdr:col>0</xdr:col>
                    <xdr:colOff>1581150</xdr:colOff>
                    <xdr:row>1</xdr:row>
                    <xdr:rowOff>9525</xdr:rowOff>
                  </to>
                </anchor>
              </controlPr>
            </control>
          </mc:Choice>
        </mc:AlternateContent>
        <mc:AlternateContent xmlns:mc="http://schemas.openxmlformats.org/markup-compatibility/2006">
          <mc:Choice Requires="x14">
            <control shapeId="213368" r:id="rId8" name="Option Button 2424">
              <controlPr defaultSize="0" autoFill="0" autoLine="0" autoPict="0" macro="[0]!ShowAll">
                <anchor moveWithCells="1">
                  <from>
                    <xdr:col>0</xdr:col>
                    <xdr:colOff>1685925</xdr:colOff>
                    <xdr:row>0</xdr:row>
                    <xdr:rowOff>19050</xdr:rowOff>
                  </from>
                  <to>
                    <xdr:col>0</xdr:col>
                    <xdr:colOff>2295525</xdr:colOff>
                    <xdr:row>1</xdr:row>
                    <xdr:rowOff>28575</xdr:rowOff>
                  </to>
                </anchor>
              </controlPr>
            </control>
          </mc:Choice>
        </mc:AlternateContent>
        <mc:AlternateContent xmlns:mc="http://schemas.openxmlformats.org/markup-compatibility/2006">
          <mc:Choice Requires="x14">
            <control shapeId="213369" r:id="rId9" name="Drop Down 2425">
              <controlPr defaultSize="0" autoLine="0" autoPict="0">
                <anchor moveWithCells="1">
                  <from>
                    <xdr:col>0</xdr:col>
                    <xdr:colOff>1676400</xdr:colOff>
                    <xdr:row>1</xdr:row>
                    <xdr:rowOff>123825</xdr:rowOff>
                  </from>
                  <to>
                    <xdr:col>0</xdr:col>
                    <xdr:colOff>2743200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FB2"/>
  <sheetViews>
    <sheetView workbookViewId="0"/>
  </sheetViews>
  <sheetFormatPr defaultRowHeight="11.25" x14ac:dyDescent="0.2"/>
  <sheetData>
    <row r="1" spans="1:158" x14ac:dyDescent="0.2">
      <c r="A1" t="s">
        <v>156</v>
      </c>
    </row>
    <row r="2" spans="1:158" x14ac:dyDescent="0.2">
      <c r="A2" s="180" t="s">
        <v>256</v>
      </c>
      <c r="B2" s="180" t="s">
        <v>106</v>
      </c>
      <c r="C2" s="180" t="s">
        <v>203</v>
      </c>
      <c r="D2" s="180" t="s">
        <v>204</v>
      </c>
      <c r="E2" s="180" t="s">
        <v>213</v>
      </c>
      <c r="F2" s="180" t="s">
        <v>241</v>
      </c>
      <c r="G2" s="180" t="s">
        <v>276</v>
      </c>
      <c r="H2" s="180" t="s">
        <v>106</v>
      </c>
      <c r="I2" s="180" t="s">
        <v>205</v>
      </c>
      <c r="J2" s="180" t="s">
        <v>106</v>
      </c>
      <c r="K2" s="180" t="s">
        <v>275</v>
      </c>
      <c r="L2" s="180" t="s">
        <v>106</v>
      </c>
      <c r="M2" s="180" t="s">
        <v>262</v>
      </c>
      <c r="N2" s="180" t="s">
        <v>106</v>
      </c>
      <c r="O2" s="180" t="s">
        <v>277</v>
      </c>
      <c r="P2" s="180" t="s">
        <v>106</v>
      </c>
      <c r="Q2" s="180" t="s">
        <v>214</v>
      </c>
      <c r="R2" s="180" t="s">
        <v>106</v>
      </c>
      <c r="S2" s="180" t="s">
        <v>272</v>
      </c>
      <c r="T2" s="180" t="s">
        <v>106</v>
      </c>
      <c r="U2" s="180" t="s">
        <v>570</v>
      </c>
      <c r="V2" s="180" t="s">
        <v>106</v>
      </c>
      <c r="W2" s="180" t="s">
        <v>209</v>
      </c>
      <c r="X2" s="180" t="s">
        <v>106</v>
      </c>
      <c r="Y2" s="180" t="s">
        <v>223</v>
      </c>
      <c r="Z2" s="180" t="s">
        <v>106</v>
      </c>
      <c r="AA2" s="180" t="s">
        <v>231</v>
      </c>
      <c r="AB2" s="180" t="s">
        <v>250</v>
      </c>
      <c r="AC2" s="180" t="s">
        <v>212</v>
      </c>
      <c r="AD2" s="180" t="s">
        <v>106</v>
      </c>
      <c r="AE2" s="180" t="s">
        <v>568</v>
      </c>
      <c r="AF2" s="180" t="s">
        <v>106</v>
      </c>
      <c r="AG2" s="180" t="s">
        <v>225</v>
      </c>
      <c r="AH2" s="180" t="s">
        <v>106</v>
      </c>
      <c r="AI2" s="180" t="s">
        <v>219</v>
      </c>
      <c r="AJ2" s="180" t="s">
        <v>243</v>
      </c>
      <c r="AK2" s="180" t="s">
        <v>227</v>
      </c>
      <c r="AL2" s="180" t="s">
        <v>247</v>
      </c>
      <c r="AM2" s="180" t="s">
        <v>268</v>
      </c>
      <c r="AN2" s="180" t="s">
        <v>106</v>
      </c>
      <c r="AO2" s="180" t="s">
        <v>251</v>
      </c>
      <c r="AP2" s="180" t="s">
        <v>106</v>
      </c>
      <c r="AQ2" s="180" t="s">
        <v>224</v>
      </c>
      <c r="AR2" s="180" t="s">
        <v>246</v>
      </c>
      <c r="AS2" s="180" t="s">
        <v>217</v>
      </c>
      <c r="AT2" s="180" t="s">
        <v>106</v>
      </c>
      <c r="AU2" s="180" t="s">
        <v>283</v>
      </c>
      <c r="AV2" s="180" t="s">
        <v>106</v>
      </c>
      <c r="AW2" s="180" t="s">
        <v>221</v>
      </c>
      <c r="AX2" s="180" t="s">
        <v>106</v>
      </c>
      <c r="AY2" s="180" t="s">
        <v>286</v>
      </c>
      <c r="AZ2" s="180" t="s">
        <v>106</v>
      </c>
      <c r="BA2" s="180" t="s">
        <v>258</v>
      </c>
      <c r="BB2" s="180" t="s">
        <v>106</v>
      </c>
      <c r="BC2" s="180" t="s">
        <v>235</v>
      </c>
      <c r="BD2" s="180" t="s">
        <v>106</v>
      </c>
      <c r="BE2" s="180" t="s">
        <v>254</v>
      </c>
      <c r="BF2" s="180" t="s">
        <v>106</v>
      </c>
      <c r="BG2" s="180" t="s">
        <v>569</v>
      </c>
      <c r="BH2" s="180" t="s">
        <v>106</v>
      </c>
      <c r="BI2" s="180" t="s">
        <v>255</v>
      </c>
      <c r="BJ2" s="180" t="s">
        <v>106</v>
      </c>
      <c r="BK2" s="180" t="s">
        <v>234</v>
      </c>
      <c r="BL2" s="180" t="s">
        <v>106</v>
      </c>
      <c r="BM2" s="180" t="s">
        <v>233</v>
      </c>
      <c r="BN2" s="180" t="s">
        <v>290</v>
      </c>
      <c r="BO2" s="180" t="s">
        <v>279</v>
      </c>
      <c r="BP2" s="180" t="s">
        <v>106</v>
      </c>
      <c r="BQ2" s="180" t="s">
        <v>208</v>
      </c>
      <c r="BR2" s="180" t="s">
        <v>106</v>
      </c>
      <c r="BS2" s="180" t="s">
        <v>206</v>
      </c>
      <c r="BT2" s="180" t="s">
        <v>207</v>
      </c>
      <c r="BU2" s="180" t="s">
        <v>274</v>
      </c>
      <c r="BV2" s="180" t="s">
        <v>106</v>
      </c>
      <c r="BW2" s="180" t="s">
        <v>260</v>
      </c>
      <c r="BX2" s="180" t="s">
        <v>106</v>
      </c>
      <c r="BY2" s="180" t="s">
        <v>267</v>
      </c>
      <c r="BZ2" s="180" t="s">
        <v>106</v>
      </c>
      <c r="CA2" s="180" t="s">
        <v>271</v>
      </c>
      <c r="CB2" s="180" t="s">
        <v>106</v>
      </c>
      <c r="CC2" s="180" t="s">
        <v>273</v>
      </c>
      <c r="CD2" s="180" t="s">
        <v>106</v>
      </c>
      <c r="CE2" s="180" t="s">
        <v>230</v>
      </c>
      <c r="CF2" s="180" t="s">
        <v>249</v>
      </c>
      <c r="CG2" s="180" t="s">
        <v>567</v>
      </c>
      <c r="CH2" s="180" t="s">
        <v>106</v>
      </c>
      <c r="CI2" s="180" t="s">
        <v>257</v>
      </c>
      <c r="CJ2" s="180" t="s">
        <v>106</v>
      </c>
      <c r="CK2" s="180" t="s">
        <v>252</v>
      </c>
      <c r="CL2" s="180" t="s">
        <v>106</v>
      </c>
      <c r="CM2" s="180" t="s">
        <v>285</v>
      </c>
      <c r="CN2" s="180" t="s">
        <v>106</v>
      </c>
      <c r="CO2" s="180" t="s">
        <v>218</v>
      </c>
      <c r="CP2" s="180" t="s">
        <v>106</v>
      </c>
      <c r="CQ2" s="180" t="s">
        <v>322</v>
      </c>
      <c r="CR2" s="180" t="s">
        <v>605</v>
      </c>
      <c r="CS2" s="180" t="s">
        <v>269</v>
      </c>
      <c r="CT2" s="180" t="s">
        <v>106</v>
      </c>
      <c r="CU2" s="180" t="s">
        <v>253</v>
      </c>
      <c r="CV2" s="180" t="s">
        <v>106</v>
      </c>
      <c r="CW2" s="180" t="s">
        <v>281</v>
      </c>
      <c r="CX2" s="180" t="s">
        <v>106</v>
      </c>
      <c r="CY2" s="180" t="s">
        <v>278</v>
      </c>
      <c r="CZ2" s="180" t="s">
        <v>106</v>
      </c>
      <c r="DA2" s="180" t="s">
        <v>155</v>
      </c>
      <c r="DB2" s="180" t="s">
        <v>106</v>
      </c>
      <c r="DC2" s="180" t="s">
        <v>270</v>
      </c>
      <c r="DD2" s="180" t="s">
        <v>106</v>
      </c>
      <c r="DE2" s="180" t="s">
        <v>229</v>
      </c>
      <c r="DF2" s="180" t="s">
        <v>248</v>
      </c>
      <c r="DG2" s="180" t="s">
        <v>264</v>
      </c>
      <c r="DH2" s="180" t="s">
        <v>106</v>
      </c>
      <c r="DI2" s="180" t="s">
        <v>237</v>
      </c>
      <c r="DJ2" s="180" t="s">
        <v>291</v>
      </c>
      <c r="DK2" s="180" t="s">
        <v>265</v>
      </c>
      <c r="DL2" s="180" t="s">
        <v>106</v>
      </c>
      <c r="DM2" s="180" t="s">
        <v>282</v>
      </c>
      <c r="DN2" s="180" t="s">
        <v>106</v>
      </c>
      <c r="DO2" s="180" t="s">
        <v>280</v>
      </c>
      <c r="DP2" s="180" t="s">
        <v>106</v>
      </c>
      <c r="DQ2" s="180" t="s">
        <v>263</v>
      </c>
      <c r="DR2" s="180" t="s">
        <v>106</v>
      </c>
      <c r="DS2" s="180" t="s">
        <v>287</v>
      </c>
      <c r="DT2" s="180" t="s">
        <v>106</v>
      </c>
      <c r="DU2" s="180" t="s">
        <v>266</v>
      </c>
      <c r="DV2" s="180" t="s">
        <v>106</v>
      </c>
      <c r="DW2" s="180" t="s">
        <v>284</v>
      </c>
      <c r="DX2" s="180" t="s">
        <v>106</v>
      </c>
      <c r="DY2" s="180" t="s">
        <v>261</v>
      </c>
      <c r="DZ2" s="180" t="s">
        <v>106</v>
      </c>
      <c r="EA2" s="180" t="s">
        <v>238</v>
      </c>
      <c r="EB2" s="180" t="s">
        <v>292</v>
      </c>
      <c r="EC2" s="180" t="s">
        <v>216</v>
      </c>
      <c r="ED2" s="180" t="s">
        <v>106</v>
      </c>
      <c r="EE2" s="180" t="s">
        <v>259</v>
      </c>
      <c r="EF2" s="180" t="s">
        <v>106</v>
      </c>
      <c r="EG2" s="180" t="s">
        <v>222</v>
      </c>
      <c r="EH2" s="180" t="s">
        <v>245</v>
      </c>
      <c r="EI2" s="180" t="s">
        <v>201</v>
      </c>
      <c r="EJ2" s="180" t="s">
        <v>202</v>
      </c>
      <c r="EK2" s="180" t="s">
        <v>324</v>
      </c>
      <c r="EL2" s="180" t="s">
        <v>320</v>
      </c>
      <c r="EM2" s="180" t="s">
        <v>220</v>
      </c>
      <c r="EN2" s="180" t="s">
        <v>244</v>
      </c>
      <c r="EO2" s="180" t="s">
        <v>236</v>
      </c>
      <c r="EP2" s="180" t="s">
        <v>106</v>
      </c>
      <c r="EQ2" s="180" t="s">
        <v>232</v>
      </c>
      <c r="ER2" s="180" t="s">
        <v>289</v>
      </c>
      <c r="ES2" s="180" t="s">
        <v>323</v>
      </c>
      <c r="ET2" s="180" t="s">
        <v>754</v>
      </c>
      <c r="EU2" s="180" t="s">
        <v>226</v>
      </c>
      <c r="EV2" s="180" t="s">
        <v>106</v>
      </c>
      <c r="EW2" s="180" t="s">
        <v>211</v>
      </c>
      <c r="EX2" s="180" t="s">
        <v>240</v>
      </c>
      <c r="EY2" s="180" t="s">
        <v>210</v>
      </c>
      <c r="EZ2" s="180" t="s">
        <v>239</v>
      </c>
      <c r="FA2" s="180" t="s">
        <v>215</v>
      </c>
      <c r="FB2" s="180" t="s">
        <v>242</v>
      </c>
    </row>
  </sheetData>
  <phoneticPr fontId="19" type="noConversion"/>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enableFormatConditionsCalculation="0">
    <tabColor indexed="29"/>
    <pageSetUpPr autoPageBreaks="0" fitToPage="1"/>
  </sheetPr>
  <dimension ref="A1:IZ486"/>
  <sheetViews>
    <sheetView showGridLines="0" zoomScale="85" zoomScaleNormal="85" workbookViewId="0">
      <pane xSplit="1" ySplit="5" topLeftCell="DB6" activePane="bottomRight" state="frozen"/>
      <selection activeCell="A341" sqref="A341"/>
      <selection pane="topRight" activeCell="A341" sqref="A341"/>
      <selection pane="bottomLeft" activeCell="A341" sqref="A341"/>
      <selection pane="bottomRight" activeCell="DB6" sqref="DB6"/>
    </sheetView>
  </sheetViews>
  <sheetFormatPr defaultRowHeight="11.25" customHeight="1" outlineLevelRow="2" outlineLevelCol="2" x14ac:dyDescent="0.2"/>
  <cols>
    <col min="1" max="1" width="44.1640625" style="99" customWidth="1"/>
    <col min="2" max="65" width="9.5" style="99" hidden="1" customWidth="1" outlineLevel="1"/>
    <col min="66" max="78" width="12.1640625" style="99" hidden="1" customWidth="1" outlineLevel="1"/>
    <col min="79" max="80" width="12.83203125" style="99" hidden="1" customWidth="1" outlineLevel="1"/>
    <col min="81" max="84" width="12.1640625" style="99" hidden="1" customWidth="1" outlineLevel="1"/>
    <col min="85" max="85" width="12.83203125" style="99" hidden="1" customWidth="1" outlineLevel="1"/>
    <col min="86" max="86" width="12.1640625" style="99" hidden="1" customWidth="1" outlineLevel="1"/>
    <col min="87" max="89" width="12.83203125" style="99" hidden="1" customWidth="1" outlineLevel="1"/>
    <col min="90" max="92" width="12.1640625" style="99" hidden="1" customWidth="1" outlineLevel="1"/>
    <col min="93" max="93" width="12.83203125" style="99" hidden="1" customWidth="1" outlineLevel="1"/>
    <col min="94" max="94" width="10.83203125" style="99" hidden="1" customWidth="1" outlineLevel="1" collapsed="1"/>
    <col min="95" max="97" width="10.83203125" style="99" hidden="1" customWidth="1" outlineLevel="1"/>
    <col min="98" max="98" width="10.83203125" style="99" hidden="1" customWidth="1" outlineLevel="1" collapsed="1"/>
    <col min="99" max="105" width="10.83203125" style="99" hidden="1" customWidth="1" outlineLevel="1"/>
    <col min="106" max="106" width="10" style="99" customWidth="1" collapsed="1"/>
    <col min="107" max="113" width="10" style="99" customWidth="1"/>
    <col min="114" max="114" width="10" style="190" customWidth="1"/>
    <col min="115" max="117" width="10" style="99" customWidth="1"/>
    <col min="118" max="118" width="2.83203125" style="99" customWidth="1"/>
    <col min="119" max="119" width="1.83203125" style="99" customWidth="1"/>
    <col min="120" max="143" width="10.33203125" style="99" hidden="1" customWidth="1" outlineLevel="1"/>
    <col min="144" max="144" width="11.1640625" style="99" hidden="1" customWidth="1" outlineLevel="1"/>
    <col min="145" max="145" width="11.5" style="99" hidden="1" customWidth="1" outlineLevel="2"/>
    <col min="146" max="146" width="10.83203125" style="99" hidden="1" customWidth="1" outlineLevel="2"/>
    <col min="147" max="147" width="11.5" style="99" hidden="1" customWidth="1" outlineLevel="1" collapsed="1"/>
    <col min="148" max="148" width="12.1640625" style="99" hidden="1" customWidth="1" outlineLevel="1"/>
    <col min="149" max="149" width="12.1640625" style="99" hidden="1" customWidth="1" outlineLevel="2"/>
    <col min="150" max="150" width="12.1640625" style="99" hidden="1" customWidth="1" outlineLevel="1" collapsed="1"/>
    <col min="151" max="151" width="10.83203125" style="99" hidden="1" customWidth="1" outlineLevel="1" collapsed="1"/>
    <col min="152" max="152" width="10.83203125" style="99" hidden="1" customWidth="1" outlineLevel="1"/>
    <col min="153" max="153" width="10.83203125" style="99" customWidth="1" collapsed="1"/>
    <col min="154" max="158" width="10.83203125" style="99" customWidth="1"/>
    <col min="159" max="164" width="10.83203125" style="99" hidden="1" customWidth="1" outlineLevel="1"/>
    <col min="165" max="165" width="10.83203125" style="256" customWidth="1" collapsed="1"/>
    <col min="166" max="166" width="20.33203125" hidden="1" customWidth="1" outlineLevel="1"/>
    <col min="167" max="171" width="10.6640625" hidden="1" customWidth="1" outlineLevel="1"/>
    <col min="172" max="172" width="9.33203125" style="99" customWidth="1" collapsed="1"/>
    <col min="173" max="174" width="9.33203125" style="99" customWidth="1"/>
    <col min="175" max="176" width="12.1640625" style="259" customWidth="1"/>
    <col min="177" max="177" width="9.33203125" style="99" customWidth="1"/>
    <col min="178" max="178" width="9.33203125" style="99"/>
    <col min="179" max="181" width="10.33203125" style="259" bestFit="1" customWidth="1"/>
    <col min="182" max="16384" width="9.33203125" style="99"/>
  </cols>
  <sheetData>
    <row r="1" spans="1:260" ht="12.75" x14ac:dyDescent="0.2">
      <c r="A1" s="2" t="s">
        <v>182</v>
      </c>
      <c r="B1" s="1909"/>
      <c r="C1" s="1909"/>
      <c r="D1" s="1909"/>
      <c r="E1" s="1909"/>
      <c r="F1" s="1910"/>
      <c r="G1" s="1910"/>
      <c r="H1" s="1910"/>
      <c r="I1" s="1910"/>
      <c r="J1" s="1910"/>
      <c r="K1" s="1910"/>
      <c r="L1" s="1910"/>
      <c r="M1" s="1910"/>
      <c r="N1" s="1910"/>
      <c r="O1" s="1910"/>
      <c r="P1" s="1910"/>
      <c r="Q1" s="1910"/>
      <c r="R1" s="1910"/>
      <c r="S1" s="1910"/>
      <c r="T1" s="1910"/>
      <c r="U1" s="1910"/>
      <c r="V1" s="1910"/>
      <c r="W1" s="1910"/>
      <c r="X1" s="1910"/>
      <c r="Y1" s="1910"/>
      <c r="Z1" s="1910"/>
      <c r="AA1" s="1910"/>
      <c r="AB1" s="1910"/>
      <c r="AC1" s="1910"/>
      <c r="AD1" s="1910"/>
      <c r="AE1" s="1910"/>
      <c r="AF1" s="1910"/>
      <c r="AG1" s="1910"/>
      <c r="AH1" s="1910"/>
      <c r="AI1" s="1910"/>
      <c r="AJ1" s="1910"/>
      <c r="AK1" s="1910"/>
      <c r="AL1" s="1910"/>
      <c r="AM1" s="1910"/>
      <c r="AN1" s="1910"/>
      <c r="AO1" s="1910"/>
      <c r="AP1" s="1910"/>
      <c r="AQ1" s="1910"/>
      <c r="AR1" s="1910"/>
      <c r="AS1" s="1910"/>
      <c r="AT1" s="1911">
        <f t="shared" ref="AT1:CW1" si="0">AT417</f>
        <v>0</v>
      </c>
      <c r="AU1" s="1911">
        <f t="shared" si="0"/>
        <v>0</v>
      </c>
      <c r="AV1" s="1911">
        <f t="shared" si="0"/>
        <v>0</v>
      </c>
      <c r="AW1" s="1911">
        <f t="shared" si="0"/>
        <v>0</v>
      </c>
      <c r="AX1" s="1911">
        <f t="shared" si="0"/>
        <v>0</v>
      </c>
      <c r="AY1" s="1911">
        <f t="shared" si="0"/>
        <v>0</v>
      </c>
      <c r="AZ1" s="1911">
        <f t="shared" si="0"/>
        <v>0</v>
      </c>
      <c r="BA1" s="1911">
        <f t="shared" si="0"/>
        <v>0</v>
      </c>
      <c r="BB1" s="1911">
        <f t="shared" si="0"/>
        <v>0</v>
      </c>
      <c r="BC1" s="1911">
        <f t="shared" si="0"/>
        <v>0</v>
      </c>
      <c r="BD1" s="1911">
        <f t="shared" si="0"/>
        <v>0</v>
      </c>
      <c r="BE1" s="1911">
        <f t="shared" si="0"/>
        <v>0</v>
      </c>
      <c r="BF1" s="1911">
        <f t="shared" si="0"/>
        <v>0</v>
      </c>
      <c r="BG1" s="1911">
        <f t="shared" si="0"/>
        <v>0</v>
      </c>
      <c r="BH1" s="1911">
        <f t="shared" si="0"/>
        <v>0</v>
      </c>
      <c r="BI1" s="1911">
        <f t="shared" si="0"/>
        <v>0</v>
      </c>
      <c r="BJ1" s="1911">
        <f t="shared" si="0"/>
        <v>0</v>
      </c>
      <c r="BK1" s="1911">
        <f t="shared" si="0"/>
        <v>0</v>
      </c>
      <c r="BL1" s="1911">
        <f t="shared" si="0"/>
        <v>0</v>
      </c>
      <c r="BM1" s="1911">
        <f t="shared" si="0"/>
        <v>0</v>
      </c>
      <c r="BN1" s="1911">
        <f t="shared" si="0"/>
        <v>0</v>
      </c>
      <c r="BO1" s="1911">
        <f t="shared" si="0"/>
        <v>0</v>
      </c>
      <c r="BP1" s="1911">
        <f t="shared" si="0"/>
        <v>0</v>
      </c>
      <c r="BQ1" s="1911">
        <f t="shared" si="0"/>
        <v>0</v>
      </c>
      <c r="BR1" s="1911"/>
      <c r="BS1" s="1911"/>
      <c r="BT1" s="1911"/>
      <c r="BU1" s="1911"/>
      <c r="BV1" s="1911"/>
      <c r="BW1" s="1911"/>
      <c r="BX1" s="1911"/>
      <c r="BY1" s="1911"/>
      <c r="BZ1" s="1911">
        <f t="shared" si="0"/>
        <v>0</v>
      </c>
      <c r="CA1" s="1911">
        <f t="shared" si="0"/>
        <v>0</v>
      </c>
      <c r="CB1" s="1911">
        <f t="shared" si="0"/>
        <v>0</v>
      </c>
      <c r="CC1" s="1911">
        <f t="shared" si="0"/>
        <v>0</v>
      </c>
      <c r="CD1" s="1911">
        <f t="shared" si="0"/>
        <v>0</v>
      </c>
      <c r="CE1" s="1911">
        <f t="shared" si="0"/>
        <v>0</v>
      </c>
      <c r="CF1" s="1911">
        <f t="shared" si="0"/>
        <v>0</v>
      </c>
      <c r="CG1" s="1911">
        <f t="shared" si="0"/>
        <v>0</v>
      </c>
      <c r="CH1" s="1911"/>
      <c r="CI1" s="1911"/>
      <c r="CJ1" s="1911"/>
      <c r="CK1" s="1911"/>
      <c r="CL1" s="1911">
        <f t="shared" si="0"/>
        <v>0</v>
      </c>
      <c r="CM1" s="1911">
        <f t="shared" si="0"/>
        <v>0</v>
      </c>
      <c r="CN1" s="1911">
        <f t="shared" si="0"/>
        <v>0</v>
      </c>
      <c r="CO1" s="1911">
        <f t="shared" si="0"/>
        <v>0</v>
      </c>
      <c r="CP1" s="1911">
        <f t="shared" si="0"/>
        <v>0</v>
      </c>
      <c r="CQ1" s="1911">
        <f t="shared" si="0"/>
        <v>0</v>
      </c>
      <c r="CR1" s="1911">
        <f t="shared" si="0"/>
        <v>0</v>
      </c>
      <c r="CS1" s="1911">
        <f t="shared" si="0"/>
        <v>0</v>
      </c>
      <c r="CT1" s="1911">
        <f t="shared" si="0"/>
        <v>0</v>
      </c>
      <c r="CU1" s="1911">
        <f t="shared" si="0"/>
        <v>0</v>
      </c>
      <c r="CV1" s="1911">
        <f t="shared" si="0"/>
        <v>0</v>
      </c>
      <c r="CW1" s="1911">
        <f t="shared" si="0"/>
        <v>0</v>
      </c>
      <c r="CX1" s="1911">
        <f>CX417</f>
        <v>0</v>
      </c>
      <c r="CY1" s="1911">
        <f t="shared" ref="CY1:FH1" si="1">CY417</f>
        <v>0</v>
      </c>
      <c r="CZ1" s="1911">
        <f t="shared" si="1"/>
        <v>0</v>
      </c>
      <c r="DA1" s="1911">
        <f t="shared" si="1"/>
        <v>0</v>
      </c>
      <c r="DB1" s="1911">
        <f t="shared" si="1"/>
        <v>0</v>
      </c>
      <c r="DC1" s="1911">
        <f t="shared" si="1"/>
        <v>0</v>
      </c>
      <c r="DD1" s="1911">
        <f t="shared" si="1"/>
        <v>0</v>
      </c>
      <c r="DE1" s="1911">
        <f t="shared" si="1"/>
        <v>0</v>
      </c>
      <c r="DF1" s="1911">
        <f t="shared" si="1"/>
        <v>0</v>
      </c>
      <c r="DG1" s="1911">
        <f t="shared" si="1"/>
        <v>0</v>
      </c>
      <c r="DH1" s="1911">
        <f t="shared" si="1"/>
        <v>0</v>
      </c>
      <c r="DI1" s="1911">
        <f t="shared" si="1"/>
        <v>0</v>
      </c>
      <c r="DJ1" s="1911"/>
      <c r="DK1" s="1911"/>
      <c r="DL1" s="1911"/>
      <c r="DM1" s="1911"/>
      <c r="DN1" s="1911"/>
      <c r="DO1" s="1911"/>
      <c r="DP1" s="1911">
        <f t="shared" si="1"/>
        <v>0</v>
      </c>
      <c r="DQ1" s="1911">
        <f t="shared" si="1"/>
        <v>0</v>
      </c>
      <c r="DR1" s="1911">
        <f t="shared" si="1"/>
        <v>0</v>
      </c>
      <c r="DS1" s="1911">
        <f t="shared" si="1"/>
        <v>0</v>
      </c>
      <c r="DT1" s="1911">
        <f t="shared" si="1"/>
        <v>0</v>
      </c>
      <c r="DU1" s="1911">
        <f t="shared" si="1"/>
        <v>0</v>
      </c>
      <c r="DV1" s="1911">
        <f t="shared" si="1"/>
        <v>0</v>
      </c>
      <c r="DW1" s="1911">
        <f t="shared" si="1"/>
        <v>0</v>
      </c>
      <c r="DX1" s="1911">
        <f t="shared" si="1"/>
        <v>0</v>
      </c>
      <c r="DY1" s="1911">
        <f t="shared" si="1"/>
        <v>0</v>
      </c>
      <c r="DZ1" s="1911">
        <f t="shared" si="1"/>
        <v>0</v>
      </c>
      <c r="EA1" s="1911">
        <f t="shared" si="1"/>
        <v>0</v>
      </c>
      <c r="EB1" s="1911">
        <f t="shared" si="1"/>
        <v>0</v>
      </c>
      <c r="EC1" s="1911">
        <f t="shared" si="1"/>
        <v>0</v>
      </c>
      <c r="ED1" s="1911">
        <f t="shared" si="1"/>
        <v>0</v>
      </c>
      <c r="EE1" s="1911">
        <f t="shared" si="1"/>
        <v>0</v>
      </c>
      <c r="EF1" s="1911">
        <f t="shared" si="1"/>
        <v>0</v>
      </c>
      <c r="EG1" s="1911">
        <f t="shared" si="1"/>
        <v>0</v>
      </c>
      <c r="EH1" s="1911">
        <f t="shared" si="1"/>
        <v>0</v>
      </c>
      <c r="EI1" s="1911">
        <f t="shared" si="1"/>
        <v>0</v>
      </c>
      <c r="EJ1" s="1911">
        <f t="shared" si="1"/>
        <v>0</v>
      </c>
      <c r="EK1" s="1911">
        <f t="shared" si="1"/>
        <v>0</v>
      </c>
      <c r="EL1" s="1911">
        <f t="shared" si="1"/>
        <v>0</v>
      </c>
      <c r="EM1" s="1911">
        <f t="shared" si="1"/>
        <v>0</v>
      </c>
      <c r="EN1" s="1911">
        <f t="shared" si="1"/>
        <v>0</v>
      </c>
      <c r="EO1" s="1911">
        <f t="shared" si="1"/>
        <v>0</v>
      </c>
      <c r="EP1" s="1911">
        <f t="shared" si="1"/>
        <v>0</v>
      </c>
      <c r="EQ1" s="1911">
        <f t="shared" si="1"/>
        <v>0</v>
      </c>
      <c r="ER1" s="1911">
        <f t="shared" si="1"/>
        <v>0</v>
      </c>
      <c r="ES1" s="1911">
        <f t="shared" si="1"/>
        <v>0</v>
      </c>
      <c r="ET1" s="1911">
        <f t="shared" si="1"/>
        <v>0</v>
      </c>
      <c r="EU1" s="1911">
        <f t="shared" si="1"/>
        <v>0</v>
      </c>
      <c r="EV1" s="1911">
        <f t="shared" si="1"/>
        <v>0</v>
      </c>
      <c r="EW1" s="1911">
        <f t="shared" si="1"/>
        <v>0</v>
      </c>
      <c r="EX1" s="1911">
        <f t="shared" si="1"/>
        <v>0</v>
      </c>
      <c r="EY1" s="1911">
        <f t="shared" si="1"/>
        <v>0</v>
      </c>
      <c r="EZ1" s="1911">
        <f t="shared" si="1"/>
        <v>0</v>
      </c>
      <c r="FA1" s="1911">
        <f t="shared" si="1"/>
        <v>0</v>
      </c>
      <c r="FB1" s="1911">
        <f t="shared" si="1"/>
        <v>0</v>
      </c>
      <c r="FC1" s="1911">
        <f t="shared" si="1"/>
        <v>0</v>
      </c>
      <c r="FD1" s="1911">
        <f t="shared" si="1"/>
        <v>0</v>
      </c>
      <c r="FE1" s="1911">
        <f t="shared" si="1"/>
        <v>0</v>
      </c>
      <c r="FF1" s="1911">
        <f t="shared" si="1"/>
        <v>0</v>
      </c>
      <c r="FG1" s="1911">
        <f t="shared" si="1"/>
        <v>0</v>
      </c>
      <c r="FH1" s="1911">
        <f t="shared" si="1"/>
        <v>0</v>
      </c>
      <c r="FI1" s="1911"/>
      <c r="FP1" s="1523"/>
      <c r="FS1" s="185"/>
      <c r="FT1" s="185"/>
      <c r="FU1"/>
      <c r="FV1"/>
      <c r="FW1" s="134"/>
      <c r="FX1" s="134"/>
      <c r="FY1" s="134"/>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row>
    <row r="2" spans="1:260" s="190" customFormat="1" ht="12.75" x14ac:dyDescent="0.2">
      <c r="A2" s="2" t="s">
        <v>310</v>
      </c>
      <c r="BB2" s="82"/>
      <c r="BC2" s="82"/>
      <c r="BE2" s="82"/>
      <c r="BF2" s="82"/>
      <c r="BG2" s="82"/>
      <c r="BH2" s="259"/>
      <c r="BI2" s="82"/>
      <c r="BJ2" s="82"/>
      <c r="BK2" s="82"/>
      <c r="BL2" s="82"/>
      <c r="BM2" s="82"/>
      <c r="BN2" s="5"/>
      <c r="BO2" s="5"/>
      <c r="BP2" s="5"/>
      <c r="BQ2" s="5"/>
      <c r="BR2" s="5"/>
      <c r="BS2" s="5"/>
      <c r="BT2" s="5"/>
      <c r="BU2" s="82"/>
      <c r="BV2" s="5"/>
      <c r="BW2" s="5"/>
      <c r="BX2" s="5"/>
      <c r="BY2" s="82"/>
      <c r="BZ2" s="5"/>
      <c r="CA2" s="5"/>
      <c r="CB2" s="5"/>
      <c r="CC2" s="82"/>
      <c r="CD2" s="5"/>
      <c r="CE2" s="5"/>
      <c r="CF2" s="5"/>
      <c r="CG2" s="82"/>
      <c r="CH2" s="82"/>
      <c r="CI2" s="5"/>
      <c r="CJ2" s="5"/>
      <c r="CK2" s="82"/>
      <c r="CL2" s="82"/>
      <c r="CM2" s="5"/>
      <c r="CN2" s="5"/>
      <c r="CO2" s="82"/>
      <c r="CP2" s="82"/>
      <c r="CQ2" s="82"/>
      <c r="CR2" s="82"/>
      <c r="CS2" s="82"/>
      <c r="CT2" s="82"/>
      <c r="CU2" s="82"/>
      <c r="CV2" s="70"/>
      <c r="CW2" s="1360"/>
      <c r="CX2" s="1433"/>
      <c r="CY2" s="1433"/>
      <c r="CZ2" s="1433"/>
      <c r="DA2" s="1433"/>
      <c r="DB2" s="1353"/>
      <c r="DC2" s="1353"/>
      <c r="DD2" s="1353"/>
      <c r="DE2" s="1353"/>
      <c r="DF2" s="1353"/>
      <c r="DG2" s="1353"/>
      <c r="DH2" s="1433"/>
      <c r="DI2" s="1353"/>
      <c r="DJ2" s="1433"/>
      <c r="DK2" s="1433"/>
      <c r="DL2" s="1433"/>
      <c r="DM2" s="1433"/>
      <c r="DN2" s="82"/>
      <c r="DO2" s="259"/>
      <c r="EI2" s="5"/>
      <c r="EJ2" s="5"/>
      <c r="EL2" s="82"/>
      <c r="EM2" s="5"/>
      <c r="EN2" s="5"/>
      <c r="EX2" s="82"/>
      <c r="EY2" s="82"/>
      <c r="EZ2" s="82"/>
      <c r="FA2" s="2837"/>
      <c r="FB2" s="82"/>
      <c r="FC2" s="82"/>
      <c r="FD2" s="82"/>
      <c r="FE2" s="82"/>
      <c r="FF2" s="3"/>
      <c r="FG2" s="82"/>
      <c r="FH2" s="3"/>
      <c r="FI2" s="7"/>
      <c r="FJ2"/>
      <c r="FK2"/>
      <c r="FL2"/>
      <c r="FM2"/>
      <c r="FN2"/>
      <c r="FO2"/>
      <c r="FS2" s="82"/>
      <c r="FT2" s="82"/>
      <c r="FU2"/>
      <c r="FV2"/>
      <c r="FW2" s="134"/>
      <c r="FX2" s="134"/>
      <c r="FY2" s="134"/>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row>
    <row r="3" spans="1:260" s="3" customFormat="1" ht="11.25" customHeight="1" x14ac:dyDescent="0.2">
      <c r="A3" s="3" t="s">
        <v>288</v>
      </c>
      <c r="BB3" s="95"/>
      <c r="BC3" s="95"/>
      <c r="BE3" s="95"/>
      <c r="BF3" s="95"/>
      <c r="BG3" s="95"/>
      <c r="BH3" s="7"/>
      <c r="BI3" s="95"/>
      <c r="BJ3" s="7"/>
      <c r="BK3" s="7"/>
      <c r="BL3" s="7"/>
      <c r="BM3" s="7"/>
      <c r="BN3" s="7"/>
      <c r="BO3" s="7"/>
      <c r="BP3" s="7"/>
      <c r="BQ3" s="7"/>
      <c r="BR3" s="7"/>
      <c r="BS3" s="7"/>
      <c r="BT3" s="7"/>
      <c r="BU3" s="7"/>
      <c r="BV3" s="7"/>
      <c r="BW3" s="7"/>
      <c r="BX3" s="7"/>
      <c r="BY3" s="7"/>
      <c r="BZ3" s="7"/>
      <c r="CA3" s="7"/>
      <c r="CB3" s="7"/>
      <c r="CC3" s="7"/>
      <c r="CD3" s="7"/>
      <c r="CE3" s="7"/>
      <c r="CF3" s="7"/>
      <c r="CG3" s="7"/>
      <c r="CH3" s="7"/>
      <c r="CI3" s="7"/>
      <c r="CJ3" s="7"/>
      <c r="CK3" s="7"/>
      <c r="CL3" s="7"/>
      <c r="CM3" s="7"/>
      <c r="CN3" s="7"/>
      <c r="CO3" s="7"/>
      <c r="CP3" s="7"/>
      <c r="CQ3" s="7"/>
      <c r="CR3" s="7"/>
      <c r="CS3" s="7"/>
      <c r="CT3" s="7"/>
      <c r="CU3" s="7"/>
      <c r="CV3" s="1361"/>
      <c r="CW3" s="1361"/>
      <c r="CX3" s="7"/>
      <c r="CY3" s="1358"/>
      <c r="CZ3" s="7"/>
      <c r="DA3" s="7"/>
      <c r="DB3" s="7"/>
      <c r="DC3" s="7"/>
      <c r="DD3" s="7"/>
      <c r="DE3" s="7"/>
      <c r="DF3" s="7"/>
      <c r="DG3" s="7"/>
      <c r="DH3" s="7"/>
      <c r="DI3" s="7"/>
      <c r="DJ3" s="7"/>
      <c r="DK3" s="7"/>
      <c r="DL3" s="7"/>
      <c r="DM3" s="7"/>
      <c r="DN3" s="7"/>
      <c r="DO3" s="7"/>
      <c r="EJ3" s="81"/>
      <c r="EK3" s="7"/>
      <c r="EL3" s="7"/>
      <c r="EM3" s="7"/>
      <c r="EN3" s="7"/>
      <c r="EO3" s="7"/>
      <c r="EP3" s="7"/>
      <c r="EQ3" s="7"/>
      <c r="ER3" s="7"/>
      <c r="ES3" s="7"/>
      <c r="ET3" s="7"/>
      <c r="EU3" s="7"/>
      <c r="EV3" s="7"/>
      <c r="EW3" s="7"/>
      <c r="EZ3" s="2838"/>
      <c r="FI3" s="7"/>
      <c r="FJ3"/>
      <c r="FK3"/>
      <c r="FL3"/>
      <c r="FM3"/>
      <c r="FN3"/>
      <c r="FO3"/>
      <c r="FS3" s="7"/>
      <c r="FT3" s="7"/>
      <c r="FU3"/>
      <c r="FV3"/>
      <c r="FW3" s="134"/>
      <c r="FX3" s="134"/>
      <c r="FY3" s="134"/>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row>
    <row r="4" spans="1:260" s="4" customFormat="1" ht="11.25" customHeight="1" x14ac:dyDescent="0.2">
      <c r="A4" s="3"/>
      <c r="B4" s="209">
        <f>'Income Statement'!B5</f>
        <v>1993</v>
      </c>
      <c r="C4" s="32"/>
      <c r="D4" s="210"/>
      <c r="E4" s="32"/>
      <c r="F4" s="209">
        <f>'Income Statement'!F5</f>
        <v>1994</v>
      </c>
      <c r="G4" s="32"/>
      <c r="H4" s="210"/>
      <c r="I4" s="32"/>
      <c r="J4" s="209">
        <f>'Income Statement'!J5</f>
        <v>1995</v>
      </c>
      <c r="K4" s="32"/>
      <c r="L4" s="210"/>
      <c r="M4" s="32"/>
      <c r="N4" s="209">
        <f>'Income Statement'!N5</f>
        <v>1996</v>
      </c>
      <c r="O4" s="32"/>
      <c r="P4" s="210"/>
      <c r="Q4" s="32"/>
      <c r="R4" s="209">
        <f>'Income Statement'!R5</f>
        <v>1997</v>
      </c>
      <c r="S4" s="32"/>
      <c r="T4" s="210"/>
      <c r="U4" s="32"/>
      <c r="V4" s="209">
        <f>'Income Statement'!V5</f>
        <v>1998</v>
      </c>
      <c r="W4" s="32"/>
      <c r="X4" s="210"/>
      <c r="Y4" s="32"/>
      <c r="Z4" s="86">
        <f>'Income Statement'!Z5</f>
        <v>1999</v>
      </c>
      <c r="AA4" s="32"/>
      <c r="AB4" s="32"/>
      <c r="AC4" s="32"/>
      <c r="AD4" s="86">
        <f>'Income Statement'!AD5</f>
        <v>2000</v>
      </c>
      <c r="AE4" s="32"/>
      <c r="AF4" s="32"/>
      <c r="AG4" s="32"/>
      <c r="AH4" s="86">
        <f>'Income Statement'!AH5</f>
        <v>2001</v>
      </c>
      <c r="AI4" s="32"/>
      <c r="AJ4" s="32"/>
      <c r="AK4" s="32"/>
      <c r="AL4" s="86">
        <f>'Income Statement'!AL5</f>
        <v>2002</v>
      </c>
      <c r="AM4" s="32"/>
      <c r="AN4" s="32"/>
      <c r="AO4" s="32"/>
      <c r="AP4" s="86">
        <f>'Income Statement'!AP5</f>
        <v>2003</v>
      </c>
      <c r="AQ4" s="32"/>
      <c r="AR4" s="32"/>
      <c r="AS4" s="32"/>
      <c r="AT4" s="86">
        <f>'Income Statement'!AT5</f>
        <v>2004</v>
      </c>
      <c r="AU4" s="32"/>
      <c r="AV4" s="32"/>
      <c r="AW4" s="32"/>
      <c r="AX4" s="86">
        <f>'Income Statement'!AX5</f>
        <v>2005</v>
      </c>
      <c r="AY4" s="32"/>
      <c r="AZ4" s="32"/>
      <c r="BA4" s="32"/>
      <c r="BB4" s="86">
        <f>'Income Statement'!BB5</f>
        <v>2006</v>
      </c>
      <c r="BC4" s="32"/>
      <c r="BD4" s="32"/>
      <c r="BE4" s="32"/>
      <c r="BF4" s="86">
        <f>'Income Statement'!BF5</f>
        <v>2007</v>
      </c>
      <c r="BG4" s="32"/>
      <c r="BH4" s="32"/>
      <c r="BI4" s="32"/>
      <c r="BJ4" s="86">
        <f>'Income Statement'!BJ5</f>
        <v>2008</v>
      </c>
      <c r="BK4" s="32"/>
      <c r="BL4" s="32"/>
      <c r="BM4" s="32"/>
      <c r="BN4" s="86">
        <f>'Income Statement'!BN5</f>
        <v>2009</v>
      </c>
      <c r="BO4" s="32"/>
      <c r="BP4" s="32"/>
      <c r="BQ4" s="32"/>
      <c r="BR4" s="86">
        <f>'Income Statement'!BR5</f>
        <v>2010</v>
      </c>
      <c r="BS4" s="32"/>
      <c r="BT4" s="32"/>
      <c r="BU4" s="32"/>
      <c r="BV4" s="86">
        <f>'Income Statement'!BV5</f>
        <v>2011</v>
      </c>
      <c r="BW4" s="32"/>
      <c r="BX4" s="32"/>
      <c r="BY4" s="32"/>
      <c r="BZ4" s="86" t="s">
        <v>357</v>
      </c>
      <c r="CA4" s="32"/>
      <c r="CB4" s="32"/>
      <c r="CC4" s="32"/>
      <c r="CD4" s="86" t="s">
        <v>358</v>
      </c>
      <c r="CE4" s="32"/>
      <c r="CF4" s="32"/>
      <c r="CG4" s="32"/>
      <c r="CH4" s="86">
        <f>'Income Statement'!CH5</f>
        <v>2012</v>
      </c>
      <c r="CI4" s="32"/>
      <c r="CJ4" s="32"/>
      <c r="CK4" s="32"/>
      <c r="CL4" s="330" t="str">
        <f>'Income Statement'!CL5</f>
        <v>2012PF</v>
      </c>
      <c r="CM4" s="32"/>
      <c r="CN4" s="32"/>
      <c r="CO4" s="32"/>
      <c r="CP4" s="86">
        <f>'Income Statement'!CP5</f>
        <v>2013</v>
      </c>
      <c r="CQ4" s="32"/>
      <c r="CR4" s="32"/>
      <c r="CS4" s="32"/>
      <c r="CT4" s="86">
        <f>'Income Statement'!CT5</f>
        <v>2014</v>
      </c>
      <c r="CU4" s="32"/>
      <c r="CV4" s="32"/>
      <c r="CX4" s="86">
        <f>'Income Statement'!CX5</f>
        <v>2015</v>
      </c>
      <c r="CY4" s="1159"/>
      <c r="CZ4" s="1159"/>
      <c r="DA4" s="1159"/>
      <c r="DB4" s="86">
        <f>'Income Statement'!DB5</f>
        <v>2016</v>
      </c>
      <c r="DC4" s="2778"/>
      <c r="DD4" s="1159"/>
      <c r="DE4" s="1159"/>
      <c r="DF4" s="86">
        <v>2017</v>
      </c>
      <c r="DG4" s="2778"/>
      <c r="DH4" s="1159"/>
      <c r="DI4" s="1159"/>
      <c r="DJ4" s="1159" t="s">
        <v>745</v>
      </c>
      <c r="DK4" s="2716"/>
      <c r="DL4" s="1159"/>
      <c r="DM4" s="1159"/>
      <c r="DN4" s="96"/>
      <c r="DO4" s="6"/>
      <c r="DP4" s="3"/>
      <c r="DQ4" s="3"/>
      <c r="DR4" s="3"/>
      <c r="DS4" s="3"/>
      <c r="DT4" s="3"/>
      <c r="DU4" s="3"/>
      <c r="DV4" s="3"/>
      <c r="DW4" s="3"/>
      <c r="DX4" s="3"/>
      <c r="DY4" s="6"/>
      <c r="DZ4" s="6"/>
      <c r="EA4" s="6"/>
      <c r="EB4" s="6"/>
      <c r="EC4" s="6"/>
      <c r="ED4" s="6"/>
      <c r="EE4" s="6"/>
      <c r="EF4" s="6"/>
      <c r="EG4" s="6"/>
      <c r="EH4" s="6"/>
      <c r="EI4" s="6"/>
      <c r="EJ4" s="6"/>
      <c r="EK4" s="6"/>
      <c r="EL4" s="6"/>
      <c r="EM4" s="6"/>
      <c r="EN4" s="6"/>
      <c r="EO4" s="6"/>
      <c r="EP4" s="6"/>
      <c r="EQ4" s="6"/>
      <c r="ER4" s="6"/>
      <c r="ES4" s="6"/>
      <c r="ET4" s="148"/>
      <c r="EU4" s="6"/>
      <c r="EV4" s="6"/>
      <c r="EW4" s="6"/>
      <c r="EX4" s="3"/>
      <c r="EY4" s="3"/>
      <c r="EZ4" s="1435"/>
      <c r="FA4" s="3"/>
      <c r="FB4" s="3"/>
      <c r="FC4" s="3"/>
      <c r="FD4" s="3"/>
      <c r="FE4" s="3"/>
      <c r="FG4" s="3"/>
      <c r="FI4" s="6"/>
      <c r="FJ4"/>
      <c r="FK4"/>
      <c r="FL4"/>
      <c r="FM4"/>
      <c r="FN4"/>
      <c r="FO4"/>
      <c r="FS4" s="7"/>
      <c r="FT4" s="7"/>
      <c r="FU4"/>
      <c r="FV4"/>
      <c r="FW4" s="134"/>
      <c r="FX4" s="134"/>
      <c r="FY4" s="13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row>
    <row r="5" spans="1:260" s="1214" customFormat="1" ht="11.25" customHeight="1" x14ac:dyDescent="0.2">
      <c r="A5" s="1213" t="s">
        <v>132</v>
      </c>
      <c r="B5" s="405" t="str">
        <f>'Income Statement'!B6</f>
        <v>1Q93</v>
      </c>
      <c r="C5" s="405" t="str">
        <f>'Income Statement'!C6</f>
        <v>2Q93</v>
      </c>
      <c r="D5" s="405" t="str">
        <f>'Income Statement'!D6</f>
        <v>3Q93</v>
      </c>
      <c r="E5" s="649" t="str">
        <f>'Income Statement'!E6</f>
        <v>4Q93</v>
      </c>
      <c r="F5" s="405" t="str">
        <f>'Income Statement'!F6</f>
        <v>1Q94</v>
      </c>
      <c r="G5" s="405" t="str">
        <f>'Income Statement'!G6</f>
        <v>2Q94</v>
      </c>
      <c r="H5" s="405" t="str">
        <f>'Income Statement'!H6</f>
        <v>3Q94</v>
      </c>
      <c r="I5" s="649" t="str">
        <f>'Income Statement'!I6</f>
        <v>4Q94</v>
      </c>
      <c r="J5" s="405" t="str">
        <f>'Income Statement'!J6</f>
        <v>1Q95</v>
      </c>
      <c r="K5" s="405" t="str">
        <f>'Income Statement'!K6</f>
        <v>2Q95</v>
      </c>
      <c r="L5" s="405" t="str">
        <f>'Income Statement'!L6</f>
        <v>3Q95</v>
      </c>
      <c r="M5" s="649" t="str">
        <f>'Income Statement'!M6</f>
        <v>4Q95</v>
      </c>
      <c r="N5" s="405" t="str">
        <f>'Income Statement'!N6</f>
        <v>1Q96</v>
      </c>
      <c r="O5" s="405" t="str">
        <f>'Income Statement'!O6</f>
        <v>2Q96</v>
      </c>
      <c r="P5" s="405" t="str">
        <f>'Income Statement'!P6</f>
        <v>3Q96</v>
      </c>
      <c r="Q5" s="649" t="str">
        <f>'Income Statement'!Q6</f>
        <v>4Q96</v>
      </c>
      <c r="R5" s="405" t="str">
        <f>'Income Statement'!R6</f>
        <v>1Q97</v>
      </c>
      <c r="S5" s="405" t="str">
        <f>'Income Statement'!S6</f>
        <v>2Q97</v>
      </c>
      <c r="T5" s="405" t="str">
        <f>'Income Statement'!T6</f>
        <v>3Q97</v>
      </c>
      <c r="U5" s="649" t="str">
        <f>'Income Statement'!U6</f>
        <v>4Q97</v>
      </c>
      <c r="V5" s="405" t="str">
        <f>'Income Statement'!V6</f>
        <v>1Q98</v>
      </c>
      <c r="W5" s="405" t="str">
        <f>'Income Statement'!W6</f>
        <v>2Q98</v>
      </c>
      <c r="X5" s="405" t="str">
        <f>'Income Statement'!X6</f>
        <v>3Q98</v>
      </c>
      <c r="Y5" s="649" t="str">
        <f>'Income Statement'!Y6</f>
        <v>4Q98</v>
      </c>
      <c r="Z5" s="1" t="str">
        <f>'Income Statement'!Z6</f>
        <v>1Q99</v>
      </c>
      <c r="AA5" s="1" t="str">
        <f>'Income Statement'!AA6</f>
        <v>2Q99</v>
      </c>
      <c r="AB5" s="1" t="str">
        <f>'Income Statement'!AB6</f>
        <v>3Q99</v>
      </c>
      <c r="AC5" s="696" t="str">
        <f>'Income Statement'!AC6</f>
        <v>4Q99</v>
      </c>
      <c r="AD5" s="1" t="str">
        <f>'Income Statement'!AD6</f>
        <v>1Q00</v>
      </c>
      <c r="AE5" s="1" t="str">
        <f>'Income Statement'!AE6</f>
        <v>2Q00</v>
      </c>
      <c r="AF5" s="1" t="str">
        <f>'Income Statement'!AF6</f>
        <v>3Q00</v>
      </c>
      <c r="AG5" s="696" t="str">
        <f>'Income Statement'!AG6</f>
        <v>4Q00</v>
      </c>
      <c r="AH5" s="1" t="str">
        <f>'Income Statement'!AH6</f>
        <v>1Q01</v>
      </c>
      <c r="AI5" s="1" t="str">
        <f>'Income Statement'!AI6</f>
        <v>2Q01</v>
      </c>
      <c r="AJ5" s="1" t="str">
        <f>'Income Statement'!AJ6</f>
        <v>3Q01</v>
      </c>
      <c r="AK5" s="696" t="str">
        <f>'Income Statement'!AK6</f>
        <v>4Q01</v>
      </c>
      <c r="AL5" s="1" t="str">
        <f>'Income Statement'!AL6</f>
        <v>1Q02</v>
      </c>
      <c r="AM5" s="1" t="str">
        <f>'Income Statement'!AM6</f>
        <v>2Q02</v>
      </c>
      <c r="AN5" s="1" t="str">
        <f>'Income Statement'!AN6</f>
        <v>3Q02</v>
      </c>
      <c r="AO5" s="696" t="str">
        <f>'Income Statement'!AO6</f>
        <v>4Q02</v>
      </c>
      <c r="AP5" s="1" t="str">
        <f>'Income Statement'!AP6</f>
        <v>1Q03</v>
      </c>
      <c r="AQ5" s="1" t="str">
        <f>'Income Statement'!AQ6</f>
        <v>2Q03</v>
      </c>
      <c r="AR5" s="1" t="str">
        <f>'Income Statement'!AR6</f>
        <v>3Q03</v>
      </c>
      <c r="AS5" s="557" t="str">
        <f>'Income Statement'!AS6</f>
        <v>4Q03</v>
      </c>
      <c r="AT5" s="1" t="str">
        <f>'Income Statement'!AT6</f>
        <v>1Q04</v>
      </c>
      <c r="AU5" s="1" t="str">
        <f>'Income Statement'!AU6</f>
        <v>2Q04</v>
      </c>
      <c r="AV5" s="1" t="str">
        <f>'Income Statement'!AV6</f>
        <v>3Q04</v>
      </c>
      <c r="AW5" s="696" t="str">
        <f>'Income Statement'!AW6</f>
        <v>4Q04</v>
      </c>
      <c r="AX5" s="1" t="str">
        <f>'Income Statement'!AX6</f>
        <v>1Q05</v>
      </c>
      <c r="AY5" s="1" t="str">
        <f>'Income Statement'!AY6</f>
        <v>2Q05</v>
      </c>
      <c r="AZ5" s="1" t="str">
        <f>'Income Statement'!AZ6</f>
        <v>3Q05</v>
      </c>
      <c r="BA5" s="696" t="str">
        <f>'Income Statement'!BA6</f>
        <v>4Q05</v>
      </c>
      <c r="BB5" s="1" t="str">
        <f>'Income Statement'!BB6</f>
        <v>1Q06</v>
      </c>
      <c r="BC5" s="1" t="str">
        <f>'Income Statement'!BC6</f>
        <v>2Q06</v>
      </c>
      <c r="BD5" s="1" t="str">
        <f>'Income Statement'!BD6</f>
        <v>3Q06</v>
      </c>
      <c r="BE5" s="696" t="str">
        <f>'Income Statement'!BE6</f>
        <v>4Q06</v>
      </c>
      <c r="BF5" s="1" t="str">
        <f>'Income Statement'!BF6</f>
        <v>1Q07</v>
      </c>
      <c r="BG5" s="1" t="str">
        <f>'Income Statement'!BG6</f>
        <v>2Q07</v>
      </c>
      <c r="BH5" s="1" t="str">
        <f>'Income Statement'!BH6</f>
        <v>3Q07</v>
      </c>
      <c r="BI5" s="696" t="str">
        <f>'Income Statement'!BI6</f>
        <v>4Q07</v>
      </c>
      <c r="BJ5" s="1" t="str">
        <f>'Income Statement'!BJ6</f>
        <v>1Q08</v>
      </c>
      <c r="BK5" s="1" t="str">
        <f>'Income Statement'!BK6</f>
        <v>2Q08</v>
      </c>
      <c r="BL5" s="1" t="str">
        <f>'Income Statement'!BL6</f>
        <v>3Q08</v>
      </c>
      <c r="BM5" s="696" t="str">
        <f>'Income Statement'!BM6</f>
        <v>4Q08</v>
      </c>
      <c r="BN5" s="1" t="str">
        <f>'Income Statement'!BN6</f>
        <v>1Q09</v>
      </c>
      <c r="BO5" s="1" t="str">
        <f>'Income Statement'!BO6</f>
        <v>2Q09</v>
      </c>
      <c r="BP5" s="1" t="str">
        <f>'Income Statement'!BP6</f>
        <v>3Q09</v>
      </c>
      <c r="BQ5" s="696" t="str">
        <f>'Income Statement'!BQ6</f>
        <v>4Q09</v>
      </c>
      <c r="BR5" s="1" t="str">
        <f>'Income Statement'!BR6</f>
        <v>1Q10</v>
      </c>
      <c r="BS5" s="1" t="str">
        <f>'Income Statement'!BS6</f>
        <v>2Q10</v>
      </c>
      <c r="BT5" s="1" t="str">
        <f>'Income Statement'!BT6</f>
        <v>3Q10</v>
      </c>
      <c r="BU5" s="696" t="str">
        <f>'Income Statement'!BU6</f>
        <v>4Q10</v>
      </c>
      <c r="BV5" s="1" t="str">
        <f>'Income Statement'!BV6</f>
        <v>1Q11</v>
      </c>
      <c r="BW5" s="1" t="str">
        <f>'Income Statement'!BW6</f>
        <v>2Q11</v>
      </c>
      <c r="BX5" s="1" t="str">
        <f>'Income Statement'!BX6</f>
        <v>3Q11</v>
      </c>
      <c r="BY5" s="696" t="str">
        <f>'Income Statement'!BY6</f>
        <v>4Q11</v>
      </c>
      <c r="BZ5" s="1" t="s">
        <v>9</v>
      </c>
      <c r="CA5" s="1" t="s">
        <v>10</v>
      </c>
      <c r="CB5" s="1" t="s">
        <v>11</v>
      </c>
      <c r="CC5" s="696" t="s">
        <v>12</v>
      </c>
      <c r="CD5" s="1" t="s">
        <v>300</v>
      </c>
      <c r="CE5" s="1" t="s">
        <v>307</v>
      </c>
      <c r="CF5" s="1" t="s">
        <v>344</v>
      </c>
      <c r="CG5" s="696" t="s">
        <v>345</v>
      </c>
      <c r="CH5" s="1" t="str">
        <f>'Income Statement'!CH6</f>
        <v>1Q12</v>
      </c>
      <c r="CI5" s="1" t="str">
        <f>'Income Statement'!CI6</f>
        <v>2Q12</v>
      </c>
      <c r="CJ5" s="1" t="str">
        <f>'Income Statement'!CJ6</f>
        <v>3Q12</v>
      </c>
      <c r="CK5" s="696" t="str">
        <f>'Income Statement'!CK6</f>
        <v>4Q12</v>
      </c>
      <c r="CL5" s="1" t="str">
        <f>'Income Statement'!CL6</f>
        <v>1Q12</v>
      </c>
      <c r="CM5" s="1" t="str">
        <f>'Income Statement'!CM6</f>
        <v>2Q12</v>
      </c>
      <c r="CN5" s="1" t="str">
        <f>'Income Statement'!CN6</f>
        <v>3Q12</v>
      </c>
      <c r="CO5" s="696" t="str">
        <f>'Income Statement'!CO6</f>
        <v>4Q12</v>
      </c>
      <c r="CP5" s="1" t="str">
        <f>'Income Statement'!CP6</f>
        <v>1Q13</v>
      </c>
      <c r="CQ5" s="1" t="str">
        <f>'Income Statement'!CQ6</f>
        <v>2Q13</v>
      </c>
      <c r="CR5" s="1" t="str">
        <f>'Income Statement'!CR6</f>
        <v>3Q13</v>
      </c>
      <c r="CS5" s="696" t="str">
        <f>'Income Statement'!CS6</f>
        <v>4Q13</v>
      </c>
      <c r="CT5" s="1" t="str">
        <f>'Income Statement'!CT6</f>
        <v>1Q14</v>
      </c>
      <c r="CU5" s="1154" t="str">
        <f>'Income Statement'!CU6</f>
        <v>2Q14</v>
      </c>
      <c r="CV5" s="1154" t="str">
        <f>'Income Statement'!CV6</f>
        <v>3Q14</v>
      </c>
      <c r="CW5" s="1278" t="str">
        <f>'Income Statement'!CW6</f>
        <v>4Q14</v>
      </c>
      <c r="CX5" s="1" t="str">
        <f>'Income Statement'!CX6</f>
        <v>1Q15</v>
      </c>
      <c r="CY5" s="1154" t="str">
        <f>'Income Statement'!CY6</f>
        <v>2Q15</v>
      </c>
      <c r="CZ5" s="1154" t="str">
        <f>'Income Statement'!CZ6</f>
        <v>3Q15</v>
      </c>
      <c r="DA5" s="1278" t="str">
        <f>'Income Statement'!DA6</f>
        <v>4Q15</v>
      </c>
      <c r="DB5" s="1154" t="str">
        <f>'Income Statement'!DB6</f>
        <v>1Q16</v>
      </c>
      <c r="DC5" s="1154" t="str">
        <f>'Income Statement'!DC6</f>
        <v>2Q16</v>
      </c>
      <c r="DD5" s="1154" t="str">
        <f>'Income Statement'!DD6</f>
        <v>3Q16</v>
      </c>
      <c r="DE5" s="1278" t="str">
        <f>'Income Statement'!DE6</f>
        <v>4Q16</v>
      </c>
      <c r="DF5" s="1154" t="str">
        <f>'Income Statement'!DF6</f>
        <v>1Q17</v>
      </c>
      <c r="DG5" s="1154" t="str">
        <f>'Income Statement'!DG6</f>
        <v>2Q17</v>
      </c>
      <c r="DH5" s="1154" t="str">
        <f>'Income Statement'!DH6</f>
        <v>3Q17</v>
      </c>
      <c r="DI5" s="1278" t="str">
        <f>'Income Statement'!DI6</f>
        <v>4Q17</v>
      </c>
      <c r="DJ5" s="2679" t="str">
        <f>'Income Statement'!DJ6</f>
        <v>1Q18E</v>
      </c>
      <c r="DK5" s="1164" t="str">
        <f>'Income Statement'!DK6</f>
        <v>2Q18E</v>
      </c>
      <c r="DL5" s="1164" t="str">
        <f>'Income Statement'!DL6</f>
        <v>3Q18E</v>
      </c>
      <c r="DM5" s="1165" t="str">
        <f>'Income Statement'!DM6</f>
        <v>4Q18E</v>
      </c>
      <c r="DN5" s="160"/>
      <c r="DO5" s="1853"/>
      <c r="DP5" s="930">
        <f>'Income Statement'!DP6</f>
        <v>1985</v>
      </c>
      <c r="DQ5" s="930">
        <f>'Income Statement'!DQ6</f>
        <v>1986</v>
      </c>
      <c r="DR5" s="930">
        <f>'Income Statement'!DR6</f>
        <v>1987</v>
      </c>
      <c r="DS5" s="930">
        <f>'Income Statement'!DS6</f>
        <v>1988</v>
      </c>
      <c r="DT5" s="930">
        <f>'Income Statement'!DT6</f>
        <v>1989</v>
      </c>
      <c r="DU5" s="930" t="str">
        <f>'Income Statement'!DU6</f>
        <v>1990</v>
      </c>
      <c r="DV5" s="930" t="str">
        <f>'Income Statement'!DV6</f>
        <v>1991</v>
      </c>
      <c r="DW5" s="930">
        <f>'Income Statement'!DW6</f>
        <v>1992</v>
      </c>
      <c r="DX5" s="930">
        <f>'Income Statement'!DX6</f>
        <v>1993</v>
      </c>
      <c r="DY5" s="930">
        <f>+F4</f>
        <v>1994</v>
      </c>
      <c r="DZ5" s="930">
        <f>+J4</f>
        <v>1995</v>
      </c>
      <c r="EA5" s="930">
        <f>+N4</f>
        <v>1996</v>
      </c>
      <c r="EB5" s="930">
        <f>+R4</f>
        <v>1997</v>
      </c>
      <c r="EC5" s="930">
        <f>+V4</f>
        <v>1998</v>
      </c>
      <c r="ED5" s="930">
        <f>'Income Statement'!ED6</f>
        <v>1999</v>
      </c>
      <c r="EE5" s="930">
        <f>'Income Statement'!EE6</f>
        <v>2000</v>
      </c>
      <c r="EF5" s="930">
        <f>'Income Statement'!EF6</f>
        <v>2001</v>
      </c>
      <c r="EG5" s="930">
        <f>'Income Statement'!EG6</f>
        <v>2002</v>
      </c>
      <c r="EH5" s="930">
        <f>'Income Statement'!EH6</f>
        <v>2003</v>
      </c>
      <c r="EI5" s="930">
        <f>'Income Statement'!EI6</f>
        <v>2004</v>
      </c>
      <c r="EJ5" s="930">
        <f>'Income Statement'!EJ6</f>
        <v>2005</v>
      </c>
      <c r="EK5" s="930">
        <f>'Income Statement'!EK6</f>
        <v>2006</v>
      </c>
      <c r="EL5" s="930">
        <f>'Income Statement'!EL6</f>
        <v>2007</v>
      </c>
      <c r="EM5" s="930">
        <f>'Income Statement'!EM6</f>
        <v>2008</v>
      </c>
      <c r="EN5" s="930">
        <f>'Income Statement'!EN6</f>
        <v>2009</v>
      </c>
      <c r="EO5" s="930">
        <f>'Income Statement'!EO6</f>
        <v>2010</v>
      </c>
      <c r="EP5" s="930">
        <f>'Income Statement'!EP6</f>
        <v>2011</v>
      </c>
      <c r="EQ5" s="930" t="s">
        <v>357</v>
      </c>
      <c r="ER5" s="930" t="s">
        <v>358</v>
      </c>
      <c r="ES5" s="930">
        <f>'Income Statement'!ES6</f>
        <v>2012</v>
      </c>
      <c r="ET5" s="930" t="str">
        <f>'Income Statement'!ET6</f>
        <v>2012PF</v>
      </c>
      <c r="EU5" s="1107">
        <f>'Income Statement'!EU6</f>
        <v>2013</v>
      </c>
      <c r="EV5" s="1108">
        <f>'Income Statement'!EV6</f>
        <v>2014</v>
      </c>
      <c r="EW5" s="1108">
        <f>'Income Statement'!EW6</f>
        <v>2015</v>
      </c>
      <c r="EX5" s="1108">
        <f>'Income Statement'!EX6</f>
        <v>2016</v>
      </c>
      <c r="EY5" s="1108">
        <f>'Income Statement'!EY6</f>
        <v>2017</v>
      </c>
      <c r="EZ5" s="1677">
        <f>'Income Statement'!EZ6</f>
        <v>2018</v>
      </c>
      <c r="FA5" s="1109">
        <f>'Income Statement'!FA6</f>
        <v>2019</v>
      </c>
      <c r="FB5" s="1109">
        <f>'Income Statement'!FB6</f>
        <v>2020</v>
      </c>
      <c r="FC5" s="1109">
        <f>'Income Statement'!FC6</f>
        <v>2021</v>
      </c>
      <c r="FD5" s="1109">
        <f>'Income Statement'!FD6</f>
        <v>2022</v>
      </c>
      <c r="FE5" s="1109">
        <f>'Income Statement'!FE6</f>
        <v>2023</v>
      </c>
      <c r="FF5" s="1109">
        <f>'Income Statement'!FF6</f>
        <v>2024</v>
      </c>
      <c r="FG5" s="1109">
        <f>'Income Statement'!FG6</f>
        <v>2025</v>
      </c>
      <c r="FH5" s="1109">
        <f>'Income Statement'!FH6</f>
        <v>2026</v>
      </c>
      <c r="FI5" s="596"/>
      <c r="FJ5"/>
      <c r="FK5"/>
      <c r="FL5"/>
      <c r="FM5"/>
      <c r="FN5"/>
      <c r="FO5"/>
      <c r="FS5" s="1345"/>
      <c r="FT5" s="1345"/>
      <c r="FU5"/>
      <c r="FV5"/>
      <c r="FW5" s="134"/>
      <c r="FX5" s="134"/>
      <c r="FY5" s="134"/>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row>
    <row r="6" spans="1:260" s="4" customFormat="1" x14ac:dyDescent="0.2">
      <c r="A6" s="104" t="s">
        <v>573</v>
      </c>
      <c r="B6" s="104"/>
      <c r="C6" s="104"/>
      <c r="D6" s="104"/>
      <c r="E6" s="453"/>
      <c r="F6" s="104"/>
      <c r="G6" s="104"/>
      <c r="H6" s="104"/>
      <c r="I6" s="453"/>
      <c r="J6" s="104"/>
      <c r="K6" s="104"/>
      <c r="L6" s="104"/>
      <c r="M6" s="453"/>
      <c r="N6" s="104"/>
      <c r="O6" s="104"/>
      <c r="P6" s="104"/>
      <c r="Q6" s="453"/>
      <c r="R6" s="104"/>
      <c r="S6" s="104"/>
      <c r="T6" s="104"/>
      <c r="U6" s="453"/>
      <c r="V6" s="104"/>
      <c r="W6" s="104"/>
      <c r="X6" s="104"/>
      <c r="Y6" s="453"/>
      <c r="Z6" s="104"/>
      <c r="AA6" s="104"/>
      <c r="AB6" s="104"/>
      <c r="AC6" s="453"/>
      <c r="AD6" s="104"/>
      <c r="AE6" s="104"/>
      <c r="AF6" s="104"/>
      <c r="AG6" s="453"/>
      <c r="AH6" s="104"/>
      <c r="AI6" s="104"/>
      <c r="AJ6" s="104"/>
      <c r="AK6" s="453"/>
      <c r="AL6" s="104"/>
      <c r="AM6" s="104"/>
      <c r="AN6" s="104"/>
      <c r="AO6" s="453"/>
      <c r="AP6" s="104"/>
      <c r="AQ6" s="104"/>
      <c r="AR6" s="104"/>
      <c r="AS6" s="453"/>
      <c r="AT6" s="104"/>
      <c r="AU6" s="104"/>
      <c r="AV6" s="104"/>
      <c r="AW6" s="453"/>
      <c r="AX6" s="104"/>
      <c r="AY6" s="104"/>
      <c r="AZ6" s="104"/>
      <c r="BA6" s="453"/>
      <c r="BB6" s="104"/>
      <c r="BC6" s="104"/>
      <c r="BD6" s="104"/>
      <c r="BE6" s="453"/>
      <c r="BF6" s="104"/>
      <c r="BG6" s="104"/>
      <c r="BH6" s="104"/>
      <c r="BI6" s="453"/>
      <c r="BJ6" s="104"/>
      <c r="BK6" s="104"/>
      <c r="BL6" s="104"/>
      <c r="BM6" s="453"/>
      <c r="BN6" s="104"/>
      <c r="BO6" s="104"/>
      <c r="BP6" s="104"/>
      <c r="BQ6" s="453"/>
      <c r="BR6" s="104"/>
      <c r="BS6" s="104"/>
      <c r="BT6" s="104"/>
      <c r="BU6" s="453"/>
      <c r="BV6" s="104"/>
      <c r="BW6" s="104"/>
      <c r="BX6" s="104"/>
      <c r="BY6" s="453"/>
      <c r="BZ6" s="104"/>
      <c r="CA6" s="104"/>
      <c r="CB6" s="104"/>
      <c r="CC6" s="453"/>
      <c r="CD6" s="104"/>
      <c r="CE6" s="104"/>
      <c r="CF6" s="104"/>
      <c r="CG6" s="453"/>
      <c r="CH6" s="104"/>
      <c r="CI6" s="104"/>
      <c r="CJ6" s="104"/>
      <c r="CK6" s="699"/>
      <c r="CL6" s="104"/>
      <c r="CM6" s="104"/>
      <c r="CN6" s="104"/>
      <c r="CO6" s="699"/>
      <c r="CP6" s="104"/>
      <c r="CQ6" s="104"/>
      <c r="CR6" s="104"/>
      <c r="CS6" s="453"/>
      <c r="CT6" s="104"/>
      <c r="CU6" s="104"/>
      <c r="CV6" s="104"/>
      <c r="CW6" s="453"/>
      <c r="CX6" s="104"/>
      <c r="CY6" s="104"/>
      <c r="CZ6" s="104"/>
      <c r="DA6" s="453"/>
      <c r="DB6" s="104"/>
      <c r="DC6" s="104"/>
      <c r="DD6" s="104"/>
      <c r="DE6" s="453"/>
      <c r="DF6" s="104"/>
      <c r="DG6" s="104"/>
      <c r="DH6" s="104"/>
      <c r="DI6" s="453"/>
      <c r="DJ6" s="104"/>
      <c r="DK6" s="104"/>
      <c r="DL6" s="104"/>
      <c r="DM6" s="453"/>
      <c r="DN6" s="587"/>
      <c r="DO6" s="484"/>
      <c r="DP6" s="104"/>
      <c r="DQ6" s="104"/>
      <c r="DR6" s="104"/>
      <c r="DS6" s="104"/>
      <c r="DT6" s="104"/>
      <c r="DU6" s="104"/>
      <c r="DV6" s="104"/>
      <c r="DW6" s="104"/>
      <c r="DX6" s="104"/>
      <c r="DY6" s="104"/>
      <c r="DZ6" s="104"/>
      <c r="EA6" s="104"/>
      <c r="EB6" s="104"/>
      <c r="EC6" s="104"/>
      <c r="ED6" s="104"/>
      <c r="EE6" s="104"/>
      <c r="EF6" s="104"/>
      <c r="EG6" s="104"/>
      <c r="EH6" s="104"/>
      <c r="EI6" s="104"/>
      <c r="EJ6" s="104"/>
      <c r="EK6" s="104"/>
      <c r="EL6" s="104"/>
      <c r="EM6" s="104"/>
      <c r="EN6" s="104"/>
      <c r="EO6" s="104"/>
      <c r="EP6" s="104"/>
      <c r="EQ6" s="104"/>
      <c r="ER6" s="104"/>
      <c r="ES6" s="104"/>
      <c r="ET6" s="104"/>
      <c r="EU6" s="104"/>
      <c r="EV6" s="104"/>
      <c r="EW6" s="104"/>
      <c r="EX6" s="104"/>
      <c r="EY6" s="104"/>
      <c r="EZ6" s="104"/>
      <c r="FA6" s="104"/>
      <c r="FB6" s="104"/>
      <c r="FC6" s="104"/>
      <c r="FD6" s="104"/>
      <c r="FE6" s="104"/>
      <c r="FF6" s="104"/>
      <c r="FG6" s="104"/>
      <c r="FH6" s="104"/>
      <c r="FI6" s="596"/>
      <c r="FJ6"/>
      <c r="FK6"/>
      <c r="FL6"/>
      <c r="FM6"/>
      <c r="FN6"/>
      <c r="FO6"/>
      <c r="FS6" s="335"/>
      <c r="FT6" s="335"/>
      <c r="FU6"/>
      <c r="FV6"/>
      <c r="FW6" s="335"/>
      <c r="FX6" s="335"/>
      <c r="FY6" s="335"/>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row>
    <row r="7" spans="1:260" s="1281" customFormat="1" x14ac:dyDescent="0.2">
      <c r="A7" s="700" t="s">
        <v>392</v>
      </c>
      <c r="B7" s="701"/>
      <c r="C7" s="701"/>
      <c r="D7" s="701"/>
      <c r="E7" s="746"/>
      <c r="F7" s="701"/>
      <c r="G7" s="701"/>
      <c r="H7" s="701"/>
      <c r="I7" s="746"/>
      <c r="J7" s="701"/>
      <c r="K7" s="701"/>
      <c r="L7" s="701"/>
      <c r="M7" s="746"/>
      <c r="N7" s="701"/>
      <c r="O7" s="701"/>
      <c r="P7" s="701"/>
      <c r="Q7" s="746"/>
      <c r="R7" s="701"/>
      <c r="S7" s="701"/>
      <c r="T7" s="701"/>
      <c r="U7" s="746"/>
      <c r="V7" s="701"/>
      <c r="W7" s="701"/>
      <c r="X7" s="701"/>
      <c r="Y7" s="746"/>
      <c r="Z7" s="701"/>
      <c r="AA7" s="701"/>
      <c r="AB7" s="701"/>
      <c r="AC7" s="746"/>
      <c r="AD7" s="701"/>
      <c r="AE7" s="701"/>
      <c r="AF7" s="701"/>
      <c r="AG7" s="746"/>
      <c r="AH7" s="701"/>
      <c r="AI7" s="701"/>
      <c r="AJ7" s="701"/>
      <c r="AK7" s="746"/>
      <c r="AL7" s="701"/>
      <c r="AM7" s="701"/>
      <c r="AN7" s="701"/>
      <c r="AO7" s="746"/>
      <c r="AP7" s="701"/>
      <c r="AQ7" s="701"/>
      <c r="AR7" s="701"/>
      <c r="AS7" s="746"/>
      <c r="AT7" s="702"/>
      <c r="AU7" s="702"/>
      <c r="AV7" s="702"/>
      <c r="AW7" s="748"/>
      <c r="AX7" s="702"/>
      <c r="AY7" s="702"/>
      <c r="AZ7" s="702"/>
      <c r="BA7" s="748"/>
      <c r="BB7" s="702"/>
      <c r="BC7" s="702"/>
      <c r="BD7" s="702"/>
      <c r="BE7" s="748"/>
      <c r="BF7" s="702"/>
      <c r="BG7" s="702"/>
      <c r="BH7" s="702"/>
      <c r="BI7" s="748"/>
      <c r="BJ7" s="702"/>
      <c r="BK7" s="702"/>
      <c r="BL7" s="702"/>
      <c r="BM7" s="748"/>
      <c r="BN7" s="702"/>
      <c r="BO7" s="702"/>
      <c r="BP7" s="702"/>
      <c r="BQ7" s="748"/>
      <c r="BR7" s="702"/>
      <c r="BS7" s="702"/>
      <c r="BT7" s="702"/>
      <c r="BU7" s="748"/>
      <c r="BV7" s="702"/>
      <c r="BW7" s="703"/>
      <c r="BX7" s="703"/>
      <c r="BY7" s="750"/>
      <c r="BZ7" s="702"/>
      <c r="CA7" s="702"/>
      <c r="CB7" s="702"/>
      <c r="CC7" s="748"/>
      <c r="CD7" s="702"/>
      <c r="CE7" s="702"/>
      <c r="CF7" s="702"/>
      <c r="CG7" s="748"/>
      <c r="CH7" s="702"/>
      <c r="CI7" s="702"/>
      <c r="CJ7" s="702"/>
      <c r="CK7" s="750"/>
      <c r="CL7" s="702"/>
      <c r="CM7" s="702"/>
      <c r="CN7" s="702"/>
      <c r="CO7" s="750"/>
      <c r="CP7" s="702"/>
      <c r="CQ7" s="702"/>
      <c r="CR7" s="702"/>
      <c r="CS7" s="748"/>
      <c r="CT7" s="702"/>
      <c r="CU7" s="702"/>
      <c r="CV7" s="702"/>
      <c r="CW7" s="750"/>
      <c r="CX7" s="702"/>
      <c r="CY7" s="702"/>
      <c r="CZ7" s="702"/>
      <c r="DA7" s="750"/>
      <c r="DB7" s="702"/>
      <c r="DC7" s="702"/>
      <c r="DD7" s="703"/>
      <c r="DE7" s="750"/>
      <c r="DF7" s="703"/>
      <c r="DG7" s="702"/>
      <c r="DH7" s="702"/>
      <c r="DI7" s="750"/>
      <c r="DJ7" s="2719"/>
      <c r="DK7" s="702"/>
      <c r="DL7" s="702"/>
      <c r="DM7" s="750"/>
      <c r="DN7" s="702"/>
      <c r="DO7" s="1280"/>
      <c r="DR7" s="704"/>
      <c r="DS7" s="704"/>
      <c r="DT7" s="704"/>
      <c r="DU7" s="704"/>
      <c r="DV7" s="704"/>
      <c r="DW7" s="704"/>
      <c r="DX7" s="701"/>
      <c r="DY7" s="701"/>
      <c r="DZ7" s="701"/>
      <c r="EA7" s="701"/>
      <c r="EB7" s="701"/>
      <c r="EC7" s="701"/>
      <c r="ED7" s="701"/>
      <c r="EE7" s="701"/>
      <c r="EF7" s="701"/>
      <c r="EG7" s="701"/>
      <c r="EH7" s="701"/>
      <c r="EI7" s="705"/>
      <c r="EJ7" s="705"/>
      <c r="EK7" s="705"/>
      <c r="EL7" s="705"/>
      <c r="EM7" s="705"/>
      <c r="EN7" s="705"/>
      <c r="EO7" s="706"/>
      <c r="EP7" s="702"/>
      <c r="EQ7" s="706"/>
      <c r="ER7" s="706"/>
      <c r="ES7" s="702"/>
      <c r="ET7" s="702"/>
      <c r="EU7" s="702"/>
      <c r="EV7" s="702"/>
      <c r="EW7" s="702"/>
      <c r="EX7" s="39"/>
      <c r="EY7" s="39"/>
      <c r="EZ7" s="1567"/>
      <c r="FA7" s="707"/>
      <c r="FB7" s="707"/>
      <c r="FC7" s="707"/>
      <c r="FD7" s="707"/>
      <c r="FE7" s="707"/>
      <c r="FF7" s="707"/>
      <c r="FG7" s="707"/>
      <c r="FH7" s="707"/>
      <c r="FI7" s="596"/>
      <c r="FJ7"/>
      <c r="FK7"/>
      <c r="FL7"/>
      <c r="FM7"/>
      <c r="FN7"/>
      <c r="FO7"/>
      <c r="FS7" s="701"/>
      <c r="FT7" s="701"/>
      <c r="FU7"/>
      <c r="FV7"/>
      <c r="FW7" s="701"/>
      <c r="FX7" s="701"/>
      <c r="FY7" s="701"/>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row>
    <row r="8" spans="1:260" s="4" customFormat="1" ht="11.25" customHeight="1" x14ac:dyDescent="0.2">
      <c r="A8" s="6"/>
      <c r="B8" s="9"/>
      <c r="C8" s="9"/>
      <c r="D8" s="9"/>
      <c r="E8" s="645"/>
      <c r="F8" s="9"/>
      <c r="G8" s="9"/>
      <c r="H8" s="9"/>
      <c r="I8" s="645"/>
      <c r="J8" s="9"/>
      <c r="K8" s="9"/>
      <c r="L8" s="9"/>
      <c r="M8" s="645"/>
      <c r="N8" s="9"/>
      <c r="O8" s="9"/>
      <c r="P8" s="9"/>
      <c r="Q8" s="645"/>
      <c r="R8" s="9"/>
      <c r="S8" s="9"/>
      <c r="T8" s="9"/>
      <c r="U8" s="645"/>
      <c r="V8" s="9"/>
      <c r="W8" s="9"/>
      <c r="X8" s="9"/>
      <c r="Y8" s="645"/>
      <c r="Z8" s="9"/>
      <c r="AA8" s="9"/>
      <c r="AB8" s="9"/>
      <c r="AC8" s="645"/>
      <c r="AD8" s="9"/>
      <c r="AE8" s="9"/>
      <c r="AF8" s="9"/>
      <c r="AG8" s="645"/>
      <c r="AH8" s="9"/>
      <c r="AI8" s="9"/>
      <c r="AJ8" s="9"/>
      <c r="AK8" s="645"/>
      <c r="AL8" s="9"/>
      <c r="AM8" s="9"/>
      <c r="AN8" s="9"/>
      <c r="AO8" s="645"/>
      <c r="AP8" s="9"/>
      <c r="AQ8" s="9"/>
      <c r="AR8" s="9"/>
      <c r="AS8" s="470"/>
      <c r="AT8" s="9"/>
      <c r="AU8" s="9"/>
      <c r="AV8" s="9"/>
      <c r="AW8" s="645"/>
      <c r="AX8" s="9"/>
      <c r="AY8" s="9"/>
      <c r="AZ8" s="9"/>
      <c r="BA8" s="645"/>
      <c r="BB8" s="9"/>
      <c r="BC8" s="9"/>
      <c r="BD8" s="9"/>
      <c r="BE8" s="645"/>
      <c r="BF8" s="9"/>
      <c r="BG8" s="10"/>
      <c r="BH8" s="10"/>
      <c r="BI8" s="524"/>
      <c r="BJ8" s="9"/>
      <c r="BK8" s="9"/>
      <c r="BL8" s="9"/>
      <c r="BM8" s="645"/>
      <c r="BN8" s="9"/>
      <c r="BO8" s="9"/>
      <c r="BP8" s="9"/>
      <c r="BQ8" s="645"/>
      <c r="BR8" s="9"/>
      <c r="BS8" s="9"/>
      <c r="BT8" s="9"/>
      <c r="BU8" s="645"/>
      <c r="BV8" s="9"/>
      <c r="BW8" s="9"/>
      <c r="BX8" s="9"/>
      <c r="BY8" s="645"/>
      <c r="BZ8" s="9"/>
      <c r="CA8" s="9"/>
      <c r="CB8" s="9"/>
      <c r="CC8" s="645"/>
      <c r="CD8" s="9"/>
      <c r="CE8" s="9"/>
      <c r="CF8" s="9"/>
      <c r="CG8" s="470"/>
      <c r="CH8" s="9"/>
      <c r="CI8" s="9"/>
      <c r="CJ8" s="9"/>
      <c r="CK8" s="645"/>
      <c r="CL8" s="9"/>
      <c r="CM8" s="9"/>
      <c r="CN8" s="9"/>
      <c r="CO8" s="645"/>
      <c r="CP8" s="9"/>
      <c r="CQ8" s="9"/>
      <c r="CR8" s="10"/>
      <c r="CS8" s="645"/>
      <c r="CT8" s="9"/>
      <c r="CU8" s="10"/>
      <c r="CV8" s="10"/>
      <c r="CW8" s="524"/>
      <c r="CX8" s="9"/>
      <c r="CY8" s="10"/>
      <c r="CZ8" s="10"/>
      <c r="DA8" s="524"/>
      <c r="DB8" s="10"/>
      <c r="DC8" s="10"/>
      <c r="DD8" s="172"/>
      <c r="DE8" s="524"/>
      <c r="DF8" s="172"/>
      <c r="DG8" s="10"/>
      <c r="DH8" s="10"/>
      <c r="DI8" s="524"/>
      <c r="DJ8" s="2720"/>
      <c r="DK8" s="93"/>
      <c r="DL8" s="93"/>
      <c r="DM8" s="645"/>
      <c r="DN8" s="7"/>
      <c r="DO8" s="484"/>
      <c r="DX8" s="9"/>
      <c r="DY8" s="9"/>
      <c r="DZ8" s="9"/>
      <c r="EA8" s="9"/>
      <c r="EB8" s="9"/>
      <c r="EC8" s="9"/>
      <c r="ED8" s="9"/>
      <c r="EE8" s="9"/>
      <c r="EF8" s="9"/>
      <c r="EG8" s="9"/>
      <c r="EH8" s="9"/>
      <c r="EI8" s="9"/>
      <c r="EJ8" s="9"/>
      <c r="EK8" s="9"/>
      <c r="EL8" s="9"/>
      <c r="EM8" s="9"/>
      <c r="EN8" s="9"/>
      <c r="EO8" s="9"/>
      <c r="EP8" s="9"/>
      <c r="EQ8" s="9"/>
      <c r="ER8" s="9"/>
      <c r="ES8" s="9"/>
      <c r="ET8" s="9"/>
      <c r="EU8" s="9"/>
      <c r="EV8" s="9"/>
      <c r="EW8" s="9"/>
      <c r="EX8" s="6"/>
      <c r="EY8" s="6"/>
      <c r="EZ8" s="1734"/>
      <c r="FA8" s="9"/>
      <c r="FB8" s="9"/>
      <c r="FC8" s="9"/>
      <c r="FD8" s="9"/>
      <c r="FE8" s="93"/>
      <c r="FF8" s="93"/>
      <c r="FG8" s="93"/>
      <c r="FH8" s="93"/>
      <c r="FI8" s="667"/>
      <c r="FJ8"/>
      <c r="FK8"/>
      <c r="FL8"/>
      <c r="FM8"/>
      <c r="FN8"/>
      <c r="FO8"/>
      <c r="FP8" s="3"/>
      <c r="FS8" s="172"/>
      <c r="FT8" s="172"/>
      <c r="FU8"/>
      <c r="FV8"/>
      <c r="FW8" s="172"/>
      <c r="FX8" s="172"/>
      <c r="FY8" s="172"/>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row>
    <row r="9" spans="1:260" s="7" customFormat="1" ht="11.25" hidden="1" customHeight="1" outlineLevel="1" x14ac:dyDescent="0.2">
      <c r="A9" s="53" t="s">
        <v>79</v>
      </c>
      <c r="B9" s="172"/>
      <c r="C9" s="172"/>
      <c r="D9" s="172"/>
      <c r="E9" s="524"/>
      <c r="F9" s="172"/>
      <c r="G9" s="172"/>
      <c r="H9" s="172"/>
      <c r="I9" s="524"/>
      <c r="J9" s="172"/>
      <c r="K9" s="172"/>
      <c r="L9" s="172"/>
      <c r="M9" s="524"/>
      <c r="N9" s="172"/>
      <c r="O9" s="172"/>
      <c r="P9" s="172"/>
      <c r="Q9" s="524"/>
      <c r="R9" s="172"/>
      <c r="S9" s="172"/>
      <c r="T9" s="172"/>
      <c r="U9" s="524"/>
      <c r="V9" s="172"/>
      <c r="W9" s="172"/>
      <c r="X9" s="172"/>
      <c r="Y9" s="524"/>
      <c r="Z9" s="172"/>
      <c r="AA9" s="172"/>
      <c r="AB9" s="172"/>
      <c r="AC9" s="524"/>
      <c r="AD9" s="172"/>
      <c r="AE9" s="172"/>
      <c r="AF9" s="172"/>
      <c r="AG9" s="524"/>
      <c r="AH9" s="172"/>
      <c r="AI9" s="172"/>
      <c r="AJ9" s="172"/>
      <c r="AK9" s="524"/>
      <c r="AL9" s="172"/>
      <c r="AM9" s="172"/>
      <c r="AN9" s="172"/>
      <c r="AO9" s="524"/>
      <c r="AP9" s="172"/>
      <c r="AQ9" s="172"/>
      <c r="AR9" s="172"/>
      <c r="AS9" s="470"/>
      <c r="AT9" s="172"/>
      <c r="AU9" s="172"/>
      <c r="AV9" s="172"/>
      <c r="AW9" s="524"/>
      <c r="AX9" s="172"/>
      <c r="AY9" s="172"/>
      <c r="AZ9" s="172"/>
      <c r="BA9" s="524"/>
      <c r="BB9" s="172"/>
      <c r="BC9" s="172"/>
      <c r="BD9" s="172"/>
      <c r="BE9" s="524"/>
      <c r="BF9" s="172"/>
      <c r="BG9" s="172"/>
      <c r="BH9" s="172"/>
      <c r="BI9" s="524"/>
      <c r="BJ9" s="172"/>
      <c r="BK9" s="172"/>
      <c r="BL9" s="172"/>
      <c r="BM9" s="524"/>
      <c r="BN9" s="172"/>
      <c r="BO9" s="172"/>
      <c r="BP9" s="172"/>
      <c r="BQ9" s="524"/>
      <c r="BR9" s="172"/>
      <c r="BS9" s="172"/>
      <c r="BT9" s="172"/>
      <c r="BU9" s="524"/>
      <c r="BV9" s="172"/>
      <c r="BW9" s="172"/>
      <c r="BX9" s="172"/>
      <c r="BY9" s="524"/>
      <c r="BZ9" s="172"/>
      <c r="CA9" s="172"/>
      <c r="CB9" s="172"/>
      <c r="CC9" s="524"/>
      <c r="CD9" s="172"/>
      <c r="CE9" s="172"/>
      <c r="CF9" s="172"/>
      <c r="CG9" s="470"/>
      <c r="CH9" s="172"/>
      <c r="CI9" s="172"/>
      <c r="CJ9" s="172"/>
      <c r="CK9" s="524"/>
      <c r="CL9" s="172"/>
      <c r="CM9" s="172"/>
      <c r="CN9" s="172"/>
      <c r="CO9" s="524"/>
      <c r="CP9" s="172"/>
      <c r="CQ9" s="172"/>
      <c r="CR9" s="172"/>
      <c r="CS9" s="524"/>
      <c r="CT9" s="172"/>
      <c r="CU9" s="172"/>
      <c r="CV9" s="172"/>
      <c r="CW9" s="524"/>
      <c r="CX9" s="172"/>
      <c r="CY9" s="172"/>
      <c r="CZ9" s="172"/>
      <c r="DA9" s="524"/>
      <c r="DB9" s="172"/>
      <c r="DC9" s="172"/>
      <c r="DD9" s="172"/>
      <c r="DE9" s="524"/>
      <c r="DF9" s="172"/>
      <c r="DG9" s="172"/>
      <c r="DH9" s="172"/>
      <c r="DI9" s="524"/>
      <c r="DJ9" s="2720"/>
      <c r="DK9" s="172"/>
      <c r="DL9" s="172"/>
      <c r="DM9" s="524"/>
      <c r="DO9" s="484"/>
      <c r="DX9" s="172"/>
      <c r="DY9" s="172"/>
      <c r="DZ9" s="172"/>
      <c r="EA9" s="172"/>
      <c r="EB9" s="172"/>
      <c r="EC9" s="172"/>
      <c r="ED9" s="172"/>
      <c r="EE9" s="172"/>
      <c r="EF9" s="172"/>
      <c r="EG9" s="172"/>
      <c r="EH9" s="172"/>
      <c r="EI9" s="172"/>
      <c r="EJ9" s="172"/>
      <c r="EK9" s="172"/>
      <c r="EL9" s="172"/>
      <c r="EM9" s="172"/>
      <c r="EN9" s="65"/>
      <c r="EO9" s="172"/>
      <c r="EP9" s="172"/>
      <c r="EQ9" s="172"/>
      <c r="ER9" s="172"/>
      <c r="ES9" s="172"/>
      <c r="ET9" s="172"/>
      <c r="EU9" s="172"/>
      <c r="EV9" s="172"/>
      <c r="EW9" s="172"/>
      <c r="EX9" s="6"/>
      <c r="EY9" s="6"/>
      <c r="EZ9" s="1734"/>
      <c r="FA9" s="172"/>
      <c r="FB9" s="172"/>
      <c r="FC9" s="172"/>
      <c r="FD9" s="172"/>
      <c r="FE9" s="172"/>
      <c r="FF9" s="172"/>
      <c r="FG9" s="172"/>
      <c r="FH9" s="172"/>
      <c r="FI9" s="667"/>
      <c r="FJ9"/>
      <c r="FK9"/>
      <c r="FL9"/>
      <c r="FM9"/>
      <c r="FN9"/>
      <c r="FO9"/>
      <c r="FS9" s="172"/>
      <c r="FT9" s="172"/>
      <c r="FU9"/>
      <c r="FV9"/>
      <c r="FW9" s="172"/>
      <c r="FX9" s="172"/>
      <c r="FY9" s="172"/>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row>
    <row r="10" spans="1:260" s="4" customFormat="1" ht="11.25" hidden="1" customHeight="1" outlineLevel="1" x14ac:dyDescent="0.2">
      <c r="A10" s="13" t="s">
        <v>109</v>
      </c>
      <c r="E10" s="470"/>
      <c r="I10" s="470"/>
      <c r="M10" s="470"/>
      <c r="Q10" s="470"/>
      <c r="U10" s="470"/>
      <c r="Y10" s="470"/>
      <c r="AC10" s="470"/>
      <c r="AG10" s="470"/>
      <c r="AK10" s="470"/>
      <c r="AO10" s="470"/>
      <c r="AS10" s="470"/>
      <c r="AW10" s="470"/>
      <c r="BA10" s="470"/>
      <c r="BE10" s="470"/>
      <c r="BG10" s="6"/>
      <c r="BH10" s="6"/>
      <c r="BI10" s="484"/>
      <c r="BJ10" s="6"/>
      <c r="BK10" s="6"/>
      <c r="BL10" s="6"/>
      <c r="BM10" s="484"/>
      <c r="BN10" s="6"/>
      <c r="BO10" s="6"/>
      <c r="BP10" s="6"/>
      <c r="BQ10" s="484"/>
      <c r="BR10" s="6"/>
      <c r="BS10" s="6"/>
      <c r="BT10" s="6"/>
      <c r="BU10" s="484"/>
      <c r="BV10" s="6"/>
      <c r="BW10" s="6"/>
      <c r="BX10" s="6"/>
      <c r="BY10" s="484"/>
      <c r="BZ10" s="6"/>
      <c r="CA10" s="6"/>
      <c r="CB10" s="6"/>
      <c r="CC10" s="484"/>
      <c r="CD10" s="6"/>
      <c r="CE10" s="6"/>
      <c r="CF10" s="6"/>
      <c r="CG10" s="470"/>
      <c r="CH10" s="6"/>
      <c r="CI10" s="6"/>
      <c r="CJ10" s="6"/>
      <c r="CK10" s="484"/>
      <c r="CL10" s="6"/>
      <c r="CM10" s="6"/>
      <c r="CN10" s="6"/>
      <c r="CO10" s="484"/>
      <c r="CP10" s="6"/>
      <c r="CQ10" s="6"/>
      <c r="CR10" s="6"/>
      <c r="CS10" s="484"/>
      <c r="CT10" s="6"/>
      <c r="CU10" s="6"/>
      <c r="CV10" s="6"/>
      <c r="CW10" s="484"/>
      <c r="CX10" s="6"/>
      <c r="CY10" s="6"/>
      <c r="CZ10" s="6"/>
      <c r="DA10" s="484"/>
      <c r="DB10" s="6"/>
      <c r="DC10" s="6"/>
      <c r="DD10" s="7"/>
      <c r="DE10" s="484"/>
      <c r="DF10" s="7"/>
      <c r="DG10" s="6"/>
      <c r="DH10" s="6"/>
      <c r="DI10" s="484"/>
      <c r="DJ10" s="1671"/>
      <c r="DK10" s="7"/>
      <c r="DL10" s="7"/>
      <c r="DM10" s="484"/>
      <c r="DN10" s="7"/>
      <c r="DO10" s="484"/>
      <c r="EL10" s="6"/>
      <c r="EM10" s="6"/>
      <c r="EN10" s="6"/>
      <c r="EX10" s="6"/>
      <c r="EY10" s="6"/>
      <c r="EZ10" s="1734"/>
      <c r="FE10" s="3"/>
      <c r="FF10" s="3"/>
      <c r="FG10" s="3"/>
      <c r="FH10" s="3"/>
      <c r="FI10" s="671"/>
      <c r="FJ10"/>
      <c r="FK10"/>
      <c r="FL10"/>
      <c r="FM10"/>
      <c r="FN10"/>
      <c r="FO10"/>
      <c r="FP10" s="3"/>
      <c r="FS10" s="7"/>
      <c r="FT10" s="7"/>
      <c r="FU10"/>
      <c r="FV10"/>
      <c r="FW10" s="7"/>
      <c r="FX10" s="7"/>
      <c r="FY10" s="7"/>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row>
    <row r="11" spans="1:260" s="4" customFormat="1" ht="11.25" hidden="1" customHeight="1" outlineLevel="1" x14ac:dyDescent="0.2">
      <c r="A11" s="601" t="s">
        <v>89</v>
      </c>
      <c r="B11" s="41"/>
      <c r="C11" s="41"/>
      <c r="D11" s="41"/>
      <c r="E11" s="820"/>
      <c r="F11" s="41"/>
      <c r="G11" s="41"/>
      <c r="H11" s="41"/>
      <c r="I11" s="820"/>
      <c r="J11" s="41"/>
      <c r="K11" s="41"/>
      <c r="L11" s="41"/>
      <c r="M11" s="820"/>
      <c r="N11" s="41">
        <v>0</v>
      </c>
      <c r="O11" s="41">
        <v>0</v>
      </c>
      <c r="P11" s="41">
        <v>0</v>
      </c>
      <c r="Q11" s="820">
        <v>0</v>
      </c>
      <c r="R11" s="41">
        <v>0</v>
      </c>
      <c r="S11" s="41">
        <v>0</v>
      </c>
      <c r="T11" s="41">
        <v>0</v>
      </c>
      <c r="U11" s="820">
        <v>0</v>
      </c>
      <c r="V11" s="41">
        <v>0</v>
      </c>
      <c r="W11" s="41">
        <v>0</v>
      </c>
      <c r="X11" s="41">
        <v>0</v>
      </c>
      <c r="Y11" s="820">
        <v>0</v>
      </c>
      <c r="Z11" s="41">
        <v>0</v>
      </c>
      <c r="AA11" s="41">
        <v>0</v>
      </c>
      <c r="AB11" s="41">
        <v>0</v>
      </c>
      <c r="AC11" s="820">
        <v>0</v>
      </c>
      <c r="AD11" s="41">
        <v>0</v>
      </c>
      <c r="AE11" s="41">
        <v>0</v>
      </c>
      <c r="AF11" s="41">
        <v>0</v>
      </c>
      <c r="AG11" s="820">
        <v>0</v>
      </c>
      <c r="AH11" s="41">
        <v>0</v>
      </c>
      <c r="AI11" s="41">
        <v>0</v>
      </c>
      <c r="AJ11" s="41">
        <v>0</v>
      </c>
      <c r="AK11" s="820">
        <v>0</v>
      </c>
      <c r="AL11" s="41">
        <v>0</v>
      </c>
      <c r="AM11" s="41">
        <v>0</v>
      </c>
      <c r="AN11" s="41">
        <v>2</v>
      </c>
      <c r="AO11" s="820">
        <v>2</v>
      </c>
      <c r="AP11" s="41">
        <f t="shared" ref="AP11:AP16" si="2">EG11+AP20</f>
        <v>2</v>
      </c>
      <c r="AQ11" s="41">
        <f t="shared" ref="AQ11:AS16" si="3">AP11+AQ20</f>
        <v>2</v>
      </c>
      <c r="AR11" s="41">
        <f t="shared" si="3"/>
        <v>6</v>
      </c>
      <c r="AS11" s="470">
        <f t="shared" si="3"/>
        <v>7</v>
      </c>
      <c r="AT11" s="41">
        <f t="shared" ref="AT11:AT16" si="4">EH11+AT20</f>
        <v>11</v>
      </c>
      <c r="AU11" s="41">
        <f t="shared" ref="AU11:AW16" si="5">AT11+AU20</f>
        <v>15</v>
      </c>
      <c r="AV11" s="41">
        <f t="shared" si="5"/>
        <v>30</v>
      </c>
      <c r="AW11" s="820">
        <f t="shared" si="5"/>
        <v>34</v>
      </c>
      <c r="AX11" s="41">
        <f t="shared" ref="AX11:AX16" si="6">EI11+AX20</f>
        <v>36</v>
      </c>
      <c r="AY11" s="41">
        <f t="shared" ref="AY11:BA16" si="7">AX11+AY20</f>
        <v>38</v>
      </c>
      <c r="AZ11" s="41">
        <f t="shared" si="7"/>
        <v>43</v>
      </c>
      <c r="BA11" s="820">
        <f t="shared" si="7"/>
        <v>47</v>
      </c>
      <c r="BB11" s="41">
        <f t="shared" ref="BB11:BB16" si="8">EJ11+BB20</f>
        <v>48</v>
      </c>
      <c r="BC11" s="41">
        <f t="shared" ref="BC11:BE16" si="9">BB11+BC20</f>
        <v>51</v>
      </c>
      <c r="BD11" s="41">
        <f t="shared" si="9"/>
        <v>56</v>
      </c>
      <c r="BE11" s="820">
        <f t="shared" si="9"/>
        <v>56</v>
      </c>
      <c r="BF11" s="41">
        <f t="shared" ref="BF11:BF16" si="10">EK11+BF20</f>
        <v>62</v>
      </c>
      <c r="BG11" s="821">
        <f t="shared" ref="BG11:BI16" si="11">BF11+BG20</f>
        <v>63</v>
      </c>
      <c r="BH11" s="821">
        <f t="shared" si="11"/>
        <v>66</v>
      </c>
      <c r="BI11" s="822">
        <f t="shared" si="11"/>
        <v>67</v>
      </c>
      <c r="BJ11" s="821">
        <f t="shared" ref="BJ11:BJ16" si="12">EL11+BJ20</f>
        <v>69</v>
      </c>
      <c r="BK11" s="821">
        <f t="shared" ref="BK11:BM16" si="13">BJ11+BK20</f>
        <v>70</v>
      </c>
      <c r="BL11" s="821">
        <f t="shared" si="13"/>
        <v>73</v>
      </c>
      <c r="BM11" s="822">
        <f t="shared" si="13"/>
        <v>74</v>
      </c>
      <c r="BN11" s="821">
        <f t="shared" ref="BN11:BN16" si="14">EM11+BN20</f>
        <v>75</v>
      </c>
      <c r="BO11" s="821">
        <f t="shared" ref="BO11:BP16" si="15">BN11+BO20</f>
        <v>77</v>
      </c>
      <c r="BP11" s="821">
        <f t="shared" si="15"/>
        <v>79</v>
      </c>
      <c r="BQ11" s="822">
        <v>79</v>
      </c>
      <c r="BR11" s="821">
        <v>80</v>
      </c>
      <c r="BS11" s="821">
        <v>82</v>
      </c>
      <c r="BT11" s="821">
        <v>82</v>
      </c>
      <c r="BU11" s="822">
        <v>82</v>
      </c>
      <c r="BV11" s="821">
        <v>82</v>
      </c>
      <c r="BW11" s="821">
        <v>82</v>
      </c>
      <c r="BX11" s="821">
        <v>82</v>
      </c>
      <c r="BY11" s="822">
        <v>81</v>
      </c>
      <c r="BZ11" s="821"/>
      <c r="CA11" s="821"/>
      <c r="CB11" s="821"/>
      <c r="CC11" s="822"/>
      <c r="CD11" s="821"/>
      <c r="CE11" s="821"/>
      <c r="CF11" s="821"/>
      <c r="CG11" s="822"/>
      <c r="CH11" s="821">
        <v>81</v>
      </c>
      <c r="CI11" s="821">
        <v>76</v>
      </c>
      <c r="CJ11" s="821">
        <v>76</v>
      </c>
      <c r="CK11" s="822">
        <v>76</v>
      </c>
      <c r="CL11" s="821"/>
      <c r="CM11" s="821"/>
      <c r="CN11" s="821"/>
      <c r="CO11" s="822"/>
      <c r="CP11" s="821">
        <v>76</v>
      </c>
      <c r="CQ11" s="821">
        <v>76</v>
      </c>
      <c r="CR11" s="821">
        <v>76</v>
      </c>
      <c r="CS11" s="822">
        <v>76</v>
      </c>
      <c r="CT11" s="821">
        <v>76</v>
      </c>
      <c r="CU11" s="821">
        <v>76</v>
      </c>
      <c r="CV11" s="821">
        <v>76</v>
      </c>
      <c r="CW11" s="822">
        <v>76</v>
      </c>
      <c r="CX11" s="821"/>
      <c r="CY11" s="821"/>
      <c r="CZ11" s="821"/>
      <c r="DA11" s="822"/>
      <c r="DB11" s="821"/>
      <c r="DC11" s="821"/>
      <c r="DD11" s="428"/>
      <c r="DE11" s="721"/>
      <c r="DF11" s="428"/>
      <c r="DG11" s="821"/>
      <c r="DH11" s="821"/>
      <c r="DI11" s="721"/>
      <c r="DJ11" s="1693"/>
      <c r="DK11" s="428"/>
      <c r="DL11" s="428"/>
      <c r="DM11" s="721"/>
      <c r="DN11" s="7"/>
      <c r="DO11" s="484"/>
      <c r="DQ11" s="41"/>
      <c r="DR11" s="41"/>
      <c r="DS11" s="41"/>
      <c r="DT11" s="41"/>
      <c r="DU11" s="41"/>
      <c r="DV11" s="41"/>
      <c r="DW11" s="41"/>
      <c r="DX11" s="41"/>
      <c r="DY11" s="41"/>
      <c r="DZ11" s="41"/>
      <c r="EA11" s="41">
        <f t="shared" ref="EA11:EA17" si="16">+Q11</f>
        <v>0</v>
      </c>
      <c r="EB11" s="41">
        <f>+U11</f>
        <v>0</v>
      </c>
      <c r="EC11" s="41">
        <f>+Y11</f>
        <v>0</v>
      </c>
      <c r="ED11" s="41">
        <f>+AC11</f>
        <v>0</v>
      </c>
      <c r="EE11" s="41">
        <f>+AG11</f>
        <v>0</v>
      </c>
      <c r="EF11" s="41">
        <v>0</v>
      </c>
      <c r="EG11" s="41">
        <f t="shared" ref="EG11:EG17" si="17">AO11</f>
        <v>2</v>
      </c>
      <c r="EH11" s="41">
        <f t="shared" ref="EH11:EH16" si="18">AS11</f>
        <v>7</v>
      </c>
      <c r="EI11" s="41">
        <f t="shared" ref="EI11:EI16" si="19">AW11</f>
        <v>34</v>
      </c>
      <c r="EJ11" s="41">
        <f t="shared" ref="EJ11:EJ16" si="20">BA11</f>
        <v>47</v>
      </c>
      <c r="EK11" s="41">
        <f t="shared" ref="EK11:EK16" si="21">EJ11+EK20</f>
        <v>56</v>
      </c>
      <c r="EL11" s="41">
        <f t="shared" ref="EL11:EL17" si="22">BI11</f>
        <v>67</v>
      </c>
      <c r="EM11" s="821">
        <f t="shared" ref="EM11:EM17" si="23">BM11</f>
        <v>74</v>
      </c>
      <c r="EN11" s="821">
        <v>79</v>
      </c>
      <c r="EO11" s="41">
        <f t="shared" ref="EO11:EP16" si="24">EN11+EO20</f>
        <v>82</v>
      </c>
      <c r="EP11" s="823">
        <f t="shared" si="24"/>
        <v>81</v>
      </c>
      <c r="EQ11" s="823"/>
      <c r="ER11" s="823"/>
      <c r="ES11" s="41">
        <f t="shared" ref="ES11:ES16" si="25">EP11+ES20</f>
        <v>76</v>
      </c>
      <c r="ET11" s="41"/>
      <c r="EU11" s="41">
        <f t="shared" ref="EU11:EU16" si="26">ES11+EU20</f>
        <v>76</v>
      </c>
      <c r="EV11" s="41">
        <f t="shared" ref="EV11:EW16" si="27">EU11+EV20</f>
        <v>76</v>
      </c>
      <c r="EW11" s="41">
        <f t="shared" si="27"/>
        <v>76</v>
      </c>
      <c r="EX11" s="6"/>
      <c r="EY11" s="6"/>
      <c r="EZ11" s="1734"/>
      <c r="FE11" s="3"/>
      <c r="FF11" s="3"/>
      <c r="FG11" s="3"/>
      <c r="FH11" s="3"/>
      <c r="FI11" s="671"/>
      <c r="FJ11"/>
      <c r="FK11"/>
      <c r="FL11"/>
      <c r="FM11"/>
      <c r="FN11"/>
      <c r="FO11"/>
      <c r="FP11" s="3"/>
      <c r="FS11" s="7"/>
      <c r="FT11" s="7"/>
      <c r="FU11"/>
      <c r="FV11"/>
      <c r="FW11" s="7"/>
      <c r="FX11" s="7"/>
      <c r="FY11" s="7"/>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row>
    <row r="12" spans="1:260" s="4" customFormat="1" ht="11.25" hidden="1" customHeight="1" outlineLevel="1" x14ac:dyDescent="0.2">
      <c r="A12" s="601" t="s">
        <v>110</v>
      </c>
      <c r="B12" s="823"/>
      <c r="C12" s="823"/>
      <c r="D12" s="823"/>
      <c r="E12" s="824"/>
      <c r="F12" s="823"/>
      <c r="G12" s="823"/>
      <c r="H12" s="823"/>
      <c r="I12" s="824"/>
      <c r="J12" s="823"/>
      <c r="K12" s="823"/>
      <c r="L12" s="823"/>
      <c r="M12" s="824"/>
      <c r="N12" s="823">
        <v>61</v>
      </c>
      <c r="O12" s="823">
        <v>60</v>
      </c>
      <c r="P12" s="823">
        <v>54</v>
      </c>
      <c r="Q12" s="824">
        <v>54</v>
      </c>
      <c r="R12" s="823">
        <v>52</v>
      </c>
      <c r="S12" s="823">
        <v>51</v>
      </c>
      <c r="T12" s="823">
        <v>49</v>
      </c>
      <c r="U12" s="824">
        <v>48</v>
      </c>
      <c r="V12" s="823">
        <v>48</v>
      </c>
      <c r="W12" s="823">
        <v>47</v>
      </c>
      <c r="X12" s="823">
        <v>44</v>
      </c>
      <c r="Y12" s="824">
        <v>43</v>
      </c>
      <c r="Z12" s="823">
        <v>41</v>
      </c>
      <c r="AA12" s="823">
        <v>40</v>
      </c>
      <c r="AB12" s="823">
        <v>31</v>
      </c>
      <c r="AC12" s="824">
        <v>31</v>
      </c>
      <c r="AD12" s="823">
        <v>30</v>
      </c>
      <c r="AE12" s="823">
        <v>30</v>
      </c>
      <c r="AF12" s="823">
        <v>25</v>
      </c>
      <c r="AG12" s="824">
        <v>25</v>
      </c>
      <c r="AH12" s="823">
        <v>25</v>
      </c>
      <c r="AI12" s="823">
        <v>24</v>
      </c>
      <c r="AJ12" s="823">
        <v>21</v>
      </c>
      <c r="AK12" s="824">
        <v>20</v>
      </c>
      <c r="AL12" s="823">
        <v>19</v>
      </c>
      <c r="AM12" s="823">
        <v>17</v>
      </c>
      <c r="AN12" s="823">
        <v>16</v>
      </c>
      <c r="AO12" s="824">
        <v>16</v>
      </c>
      <c r="AP12" s="823">
        <f t="shared" si="2"/>
        <v>16</v>
      </c>
      <c r="AQ12" s="823">
        <f t="shared" si="3"/>
        <v>15</v>
      </c>
      <c r="AR12" s="823">
        <f t="shared" si="3"/>
        <v>13</v>
      </c>
      <c r="AS12" s="470">
        <f t="shared" si="3"/>
        <v>13</v>
      </c>
      <c r="AT12" s="823">
        <f t="shared" si="4"/>
        <v>13</v>
      </c>
      <c r="AU12" s="823">
        <f t="shared" si="5"/>
        <v>13</v>
      </c>
      <c r="AV12" s="823">
        <f t="shared" si="5"/>
        <v>11</v>
      </c>
      <c r="AW12" s="824">
        <f t="shared" si="5"/>
        <v>11</v>
      </c>
      <c r="AX12" s="823">
        <f t="shared" si="6"/>
        <v>9</v>
      </c>
      <c r="AY12" s="823">
        <f t="shared" si="7"/>
        <v>9</v>
      </c>
      <c r="AZ12" s="823">
        <f t="shared" si="7"/>
        <v>8</v>
      </c>
      <c r="BA12" s="824">
        <f t="shared" si="7"/>
        <v>8</v>
      </c>
      <c r="BB12" s="823">
        <f t="shared" si="8"/>
        <v>8</v>
      </c>
      <c r="BC12" s="823">
        <f t="shared" si="9"/>
        <v>8</v>
      </c>
      <c r="BD12" s="823">
        <f t="shared" si="9"/>
        <v>7</v>
      </c>
      <c r="BE12" s="824">
        <f t="shared" si="9"/>
        <v>7</v>
      </c>
      <c r="BF12" s="823">
        <f t="shared" si="10"/>
        <v>6</v>
      </c>
      <c r="BG12" s="825">
        <f t="shared" si="11"/>
        <v>6</v>
      </c>
      <c r="BH12" s="825">
        <f t="shared" si="11"/>
        <v>4</v>
      </c>
      <c r="BI12" s="826">
        <f t="shared" si="11"/>
        <v>4</v>
      </c>
      <c r="BJ12" s="825">
        <f t="shared" si="12"/>
        <v>4</v>
      </c>
      <c r="BK12" s="825">
        <f t="shared" si="13"/>
        <v>4</v>
      </c>
      <c r="BL12" s="825">
        <f t="shared" si="13"/>
        <v>4</v>
      </c>
      <c r="BM12" s="826">
        <f t="shared" si="13"/>
        <v>4</v>
      </c>
      <c r="BN12" s="825">
        <f t="shared" si="14"/>
        <v>4</v>
      </c>
      <c r="BO12" s="825">
        <f t="shared" si="15"/>
        <v>4</v>
      </c>
      <c r="BP12" s="825">
        <f t="shared" si="15"/>
        <v>4</v>
      </c>
      <c r="BQ12" s="822">
        <v>4</v>
      </c>
      <c r="BR12" s="821">
        <v>4</v>
      </c>
      <c r="BS12" s="821">
        <v>4</v>
      </c>
      <c r="BT12" s="821">
        <v>4</v>
      </c>
      <c r="BU12" s="822">
        <v>4</v>
      </c>
      <c r="BV12" s="821">
        <v>4</v>
      </c>
      <c r="BW12" s="821">
        <v>4</v>
      </c>
      <c r="BX12" s="821">
        <v>4</v>
      </c>
      <c r="BY12" s="822">
        <v>4</v>
      </c>
      <c r="BZ12" s="821"/>
      <c r="CA12" s="821"/>
      <c r="CB12" s="821"/>
      <c r="CC12" s="822"/>
      <c r="CD12" s="821"/>
      <c r="CE12" s="821"/>
      <c r="CF12" s="821"/>
      <c r="CG12" s="822"/>
      <c r="CH12" s="821">
        <v>4</v>
      </c>
      <c r="CI12" s="821">
        <v>2</v>
      </c>
      <c r="CJ12" s="821">
        <v>1</v>
      </c>
      <c r="CK12" s="822">
        <v>1</v>
      </c>
      <c r="CL12" s="821"/>
      <c r="CM12" s="821"/>
      <c r="CN12" s="821"/>
      <c r="CO12" s="822"/>
      <c r="CP12" s="821">
        <v>1</v>
      </c>
      <c r="CQ12" s="821">
        <v>1</v>
      </c>
      <c r="CR12" s="821">
        <v>1</v>
      </c>
      <c r="CS12" s="822">
        <v>1</v>
      </c>
      <c r="CT12" s="821">
        <v>1</v>
      </c>
      <c r="CU12" s="821">
        <v>1</v>
      </c>
      <c r="CV12" s="821">
        <v>1</v>
      </c>
      <c r="CW12" s="822">
        <v>1</v>
      </c>
      <c r="CX12" s="821"/>
      <c r="CY12" s="821"/>
      <c r="CZ12" s="821"/>
      <c r="DA12" s="822"/>
      <c r="DB12" s="821"/>
      <c r="DC12" s="821"/>
      <c r="DD12" s="428"/>
      <c r="DE12" s="721"/>
      <c r="DF12" s="428"/>
      <c r="DG12" s="821"/>
      <c r="DH12" s="821"/>
      <c r="DI12" s="721"/>
      <c r="DJ12" s="1693"/>
      <c r="DK12" s="428"/>
      <c r="DL12" s="428"/>
      <c r="DM12" s="721"/>
      <c r="DN12" s="7"/>
      <c r="DO12" s="484"/>
      <c r="DP12" s="14"/>
      <c r="DQ12" s="859"/>
      <c r="DR12" s="860">
        <v>40</v>
      </c>
      <c r="DS12" s="860">
        <v>41</v>
      </c>
      <c r="DT12" s="860">
        <v>49</v>
      </c>
      <c r="DU12" s="860">
        <v>56</v>
      </c>
      <c r="DV12" s="823">
        <v>73</v>
      </c>
      <c r="DW12" s="823">
        <v>72</v>
      </c>
      <c r="DX12" s="823">
        <v>70</v>
      </c>
      <c r="DY12" s="823">
        <v>67</v>
      </c>
      <c r="DZ12" s="823">
        <v>61</v>
      </c>
      <c r="EA12" s="823">
        <f t="shared" si="16"/>
        <v>54</v>
      </c>
      <c r="EB12" s="823">
        <v>48</v>
      </c>
      <c r="EC12" s="823">
        <f>Y12</f>
        <v>43</v>
      </c>
      <c r="ED12" s="823">
        <f>AC12</f>
        <v>31</v>
      </c>
      <c r="EE12" s="823">
        <f>AG12</f>
        <v>25</v>
      </c>
      <c r="EF12" s="823">
        <f t="shared" ref="EF12:EF17" si="28">AK12</f>
        <v>20</v>
      </c>
      <c r="EG12" s="823">
        <f t="shared" si="17"/>
        <v>16</v>
      </c>
      <c r="EH12" s="823">
        <f t="shared" si="18"/>
        <v>13</v>
      </c>
      <c r="EI12" s="823">
        <f t="shared" si="19"/>
        <v>11</v>
      </c>
      <c r="EJ12" s="823">
        <f t="shared" si="20"/>
        <v>8</v>
      </c>
      <c r="EK12" s="823">
        <f t="shared" si="21"/>
        <v>7</v>
      </c>
      <c r="EL12" s="41">
        <f t="shared" si="22"/>
        <v>4</v>
      </c>
      <c r="EM12" s="821">
        <f t="shared" si="23"/>
        <v>4</v>
      </c>
      <c r="EN12" s="821">
        <v>4</v>
      </c>
      <c r="EO12" s="823">
        <f t="shared" si="24"/>
        <v>4</v>
      </c>
      <c r="EP12" s="823">
        <f t="shared" si="24"/>
        <v>4</v>
      </c>
      <c r="EQ12" s="823"/>
      <c r="ER12" s="823"/>
      <c r="ES12" s="823">
        <f t="shared" si="25"/>
        <v>1</v>
      </c>
      <c r="ET12" s="823"/>
      <c r="EU12" s="823">
        <f t="shared" si="26"/>
        <v>1</v>
      </c>
      <c r="EV12" s="823">
        <f t="shared" si="27"/>
        <v>1</v>
      </c>
      <c r="EW12" s="823">
        <f t="shared" si="27"/>
        <v>1</v>
      </c>
      <c r="EX12" s="6"/>
      <c r="EY12" s="6"/>
      <c r="EZ12" s="1734"/>
      <c r="FA12" s="106"/>
      <c r="FB12" s="106"/>
      <c r="FC12" s="106"/>
      <c r="FD12" s="106"/>
      <c r="FE12" s="1369"/>
      <c r="FF12" s="1369"/>
      <c r="FG12" s="1369"/>
      <c r="FH12" s="1369"/>
      <c r="FI12" s="1496"/>
      <c r="FJ12"/>
      <c r="FK12"/>
      <c r="FL12"/>
      <c r="FM12"/>
      <c r="FN12"/>
      <c r="FO12"/>
      <c r="FP12" s="3"/>
      <c r="FS12" s="1494"/>
      <c r="FT12" s="1494"/>
      <c r="FU12"/>
      <c r="FV12"/>
      <c r="FW12" s="1494"/>
      <c r="FX12" s="1494"/>
      <c r="FY12" s="1494"/>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row>
    <row r="13" spans="1:260" s="4" customFormat="1" ht="11.25" hidden="1" customHeight="1" outlineLevel="1" x14ac:dyDescent="0.2">
      <c r="A13" s="601" t="s">
        <v>111</v>
      </c>
      <c r="B13" s="823"/>
      <c r="C13" s="823"/>
      <c r="D13" s="823"/>
      <c r="E13" s="824"/>
      <c r="F13" s="823"/>
      <c r="G13" s="823"/>
      <c r="H13" s="823"/>
      <c r="I13" s="824"/>
      <c r="J13" s="823"/>
      <c r="K13" s="823"/>
      <c r="L13" s="823"/>
      <c r="M13" s="824"/>
      <c r="N13" s="823">
        <v>0</v>
      </c>
      <c r="O13" s="823">
        <v>0</v>
      </c>
      <c r="P13" s="823">
        <v>0</v>
      </c>
      <c r="Q13" s="824">
        <v>0</v>
      </c>
      <c r="R13" s="823">
        <v>0</v>
      </c>
      <c r="S13" s="823">
        <v>0</v>
      </c>
      <c r="T13" s="823">
        <v>0</v>
      </c>
      <c r="U13" s="824">
        <v>0</v>
      </c>
      <c r="V13" s="823">
        <v>0</v>
      </c>
      <c r="W13" s="823">
        <v>0</v>
      </c>
      <c r="X13" s="823">
        <v>0</v>
      </c>
      <c r="Y13" s="824">
        <v>0</v>
      </c>
      <c r="Z13" s="823">
        <v>0</v>
      </c>
      <c r="AA13" s="823">
        <v>3</v>
      </c>
      <c r="AB13" s="823">
        <v>6</v>
      </c>
      <c r="AC13" s="824">
        <v>9</v>
      </c>
      <c r="AD13" s="823">
        <v>9</v>
      </c>
      <c r="AE13" s="823">
        <v>15</v>
      </c>
      <c r="AF13" s="823">
        <v>18</v>
      </c>
      <c r="AG13" s="824">
        <v>20</v>
      </c>
      <c r="AH13" s="823">
        <v>24</v>
      </c>
      <c r="AI13" s="823">
        <v>25</v>
      </c>
      <c r="AJ13" s="823">
        <v>38</v>
      </c>
      <c r="AK13" s="824">
        <v>38</v>
      </c>
      <c r="AL13" s="823">
        <v>46</v>
      </c>
      <c r="AM13" s="823">
        <v>57</v>
      </c>
      <c r="AN13" s="823">
        <v>68</v>
      </c>
      <c r="AO13" s="824">
        <v>70</v>
      </c>
      <c r="AP13" s="823">
        <f t="shared" si="2"/>
        <v>73</v>
      </c>
      <c r="AQ13" s="823">
        <f t="shared" si="3"/>
        <v>85</v>
      </c>
      <c r="AR13" s="823">
        <f t="shared" si="3"/>
        <v>100</v>
      </c>
      <c r="AS13" s="470">
        <f t="shared" si="3"/>
        <v>103</v>
      </c>
      <c r="AT13" s="823">
        <f t="shared" si="4"/>
        <v>108</v>
      </c>
      <c r="AU13" s="823">
        <f t="shared" si="5"/>
        <v>109</v>
      </c>
      <c r="AV13" s="823">
        <f t="shared" si="5"/>
        <v>121</v>
      </c>
      <c r="AW13" s="824">
        <f t="shared" si="5"/>
        <v>123</v>
      </c>
      <c r="AX13" s="823">
        <f t="shared" si="6"/>
        <v>132</v>
      </c>
      <c r="AY13" s="823">
        <f t="shared" si="7"/>
        <v>144</v>
      </c>
      <c r="AZ13" s="823">
        <f t="shared" si="7"/>
        <v>171</v>
      </c>
      <c r="BA13" s="824">
        <f t="shared" si="7"/>
        <v>174</v>
      </c>
      <c r="BB13" s="823">
        <f t="shared" si="8"/>
        <v>182</v>
      </c>
      <c r="BC13" s="823">
        <f t="shared" si="9"/>
        <v>193</v>
      </c>
      <c r="BD13" s="823">
        <f t="shared" si="9"/>
        <v>217</v>
      </c>
      <c r="BE13" s="824">
        <f t="shared" si="9"/>
        <v>225</v>
      </c>
      <c r="BF13" s="823">
        <f t="shared" si="10"/>
        <v>246</v>
      </c>
      <c r="BG13" s="825">
        <f t="shared" si="11"/>
        <v>258</v>
      </c>
      <c r="BH13" s="825">
        <f t="shared" si="11"/>
        <v>290</v>
      </c>
      <c r="BI13" s="826">
        <f t="shared" si="11"/>
        <v>293</v>
      </c>
      <c r="BJ13" s="825">
        <f t="shared" si="12"/>
        <v>311</v>
      </c>
      <c r="BK13" s="825">
        <f t="shared" si="13"/>
        <v>329</v>
      </c>
      <c r="BL13" s="825">
        <f t="shared" si="13"/>
        <v>362</v>
      </c>
      <c r="BM13" s="826">
        <f t="shared" si="13"/>
        <v>375</v>
      </c>
      <c r="BN13" s="825">
        <f t="shared" si="14"/>
        <v>381</v>
      </c>
      <c r="BO13" s="825">
        <f t="shared" si="15"/>
        <v>389</v>
      </c>
      <c r="BP13" s="825">
        <f t="shared" si="15"/>
        <v>403</v>
      </c>
      <c r="BQ13" s="822">
        <v>405</v>
      </c>
      <c r="BR13" s="821">
        <v>416</v>
      </c>
      <c r="BS13" s="821">
        <v>419</v>
      </c>
      <c r="BT13" s="821">
        <v>425</v>
      </c>
      <c r="BU13" s="822">
        <v>425</v>
      </c>
      <c r="BV13" s="821">
        <v>426</v>
      </c>
      <c r="BW13" s="821">
        <v>427</v>
      </c>
      <c r="BX13" s="821">
        <v>428</v>
      </c>
      <c r="BY13" s="822">
        <v>428</v>
      </c>
      <c r="BZ13" s="821"/>
      <c r="CA13" s="821"/>
      <c r="CB13" s="821"/>
      <c r="CC13" s="822"/>
      <c r="CD13" s="821"/>
      <c r="CE13" s="821"/>
      <c r="CF13" s="821"/>
      <c r="CG13" s="822"/>
      <c r="CH13" s="821">
        <v>428</v>
      </c>
      <c r="CI13" s="821">
        <v>408</v>
      </c>
      <c r="CJ13" s="821">
        <v>406</v>
      </c>
      <c r="CK13" s="822">
        <v>406</v>
      </c>
      <c r="CL13" s="821"/>
      <c r="CM13" s="821"/>
      <c r="CN13" s="821"/>
      <c r="CO13" s="822"/>
      <c r="CP13" s="821">
        <v>406</v>
      </c>
      <c r="CQ13" s="821">
        <v>406</v>
      </c>
      <c r="CR13" s="821">
        <v>406</v>
      </c>
      <c r="CS13" s="822">
        <v>406</v>
      </c>
      <c r="CT13" s="821">
        <v>406</v>
      </c>
      <c r="CU13" s="821">
        <v>406</v>
      </c>
      <c r="CV13" s="821">
        <v>406</v>
      </c>
      <c r="CW13" s="822">
        <v>406</v>
      </c>
      <c r="CX13" s="821"/>
      <c r="CY13" s="821"/>
      <c r="CZ13" s="821"/>
      <c r="DA13" s="822"/>
      <c r="DB13" s="821"/>
      <c r="DC13" s="821"/>
      <c r="DD13" s="428"/>
      <c r="DE13" s="721"/>
      <c r="DF13" s="428"/>
      <c r="DG13" s="821"/>
      <c r="DH13" s="821"/>
      <c r="DI13" s="721"/>
      <c r="DJ13" s="1693"/>
      <c r="DK13" s="428"/>
      <c r="DL13" s="428"/>
      <c r="DM13" s="721"/>
      <c r="DN13" s="7"/>
      <c r="DO13" s="484"/>
      <c r="DP13" s="14"/>
      <c r="DQ13" s="859"/>
      <c r="DR13" s="823"/>
      <c r="DS13" s="823"/>
      <c r="DT13" s="823"/>
      <c r="DU13" s="823"/>
      <c r="DV13" s="823"/>
      <c r="DW13" s="823"/>
      <c r="DX13" s="823"/>
      <c r="DY13" s="823">
        <v>0</v>
      </c>
      <c r="DZ13" s="823">
        <v>0</v>
      </c>
      <c r="EA13" s="823">
        <f t="shared" si="16"/>
        <v>0</v>
      </c>
      <c r="EB13" s="823">
        <v>0</v>
      </c>
      <c r="EC13" s="823">
        <f>Y13</f>
        <v>0</v>
      </c>
      <c r="ED13" s="823">
        <f>AC13</f>
        <v>9</v>
      </c>
      <c r="EE13" s="823">
        <f>AG13</f>
        <v>20</v>
      </c>
      <c r="EF13" s="823">
        <f t="shared" si="28"/>
        <v>38</v>
      </c>
      <c r="EG13" s="823">
        <f t="shared" si="17"/>
        <v>70</v>
      </c>
      <c r="EH13" s="823">
        <f t="shared" si="18"/>
        <v>103</v>
      </c>
      <c r="EI13" s="823">
        <f t="shared" si="19"/>
        <v>123</v>
      </c>
      <c r="EJ13" s="823">
        <f t="shared" si="20"/>
        <v>174</v>
      </c>
      <c r="EK13" s="823">
        <f t="shared" si="21"/>
        <v>225</v>
      </c>
      <c r="EL13" s="41">
        <f t="shared" si="22"/>
        <v>293</v>
      </c>
      <c r="EM13" s="821">
        <f t="shared" si="23"/>
        <v>375</v>
      </c>
      <c r="EN13" s="821">
        <v>405</v>
      </c>
      <c r="EO13" s="823">
        <f t="shared" si="24"/>
        <v>425</v>
      </c>
      <c r="EP13" s="823">
        <f t="shared" si="24"/>
        <v>428</v>
      </c>
      <c r="EQ13" s="823"/>
      <c r="ER13" s="823"/>
      <c r="ES13" s="823">
        <f t="shared" si="25"/>
        <v>406</v>
      </c>
      <c r="ET13" s="823"/>
      <c r="EU13" s="823">
        <f t="shared" si="26"/>
        <v>406</v>
      </c>
      <c r="EV13" s="823">
        <f t="shared" si="27"/>
        <v>406</v>
      </c>
      <c r="EW13" s="823">
        <f t="shared" si="27"/>
        <v>406</v>
      </c>
      <c r="EX13" s="6"/>
      <c r="EY13" s="6"/>
      <c r="EZ13" s="1734"/>
      <c r="FA13" s="106"/>
      <c r="FB13" s="106"/>
      <c r="FC13" s="106"/>
      <c r="FD13" s="106"/>
      <c r="FE13" s="1369"/>
      <c r="FF13" s="1369"/>
      <c r="FG13" s="1369"/>
      <c r="FH13" s="1369"/>
      <c r="FI13" s="1496"/>
      <c r="FJ13"/>
      <c r="FK13"/>
      <c r="FL13"/>
      <c r="FM13"/>
      <c r="FN13"/>
      <c r="FO13"/>
      <c r="FP13" s="3"/>
      <c r="FS13" s="1494"/>
      <c r="FT13" s="1494"/>
      <c r="FU13"/>
      <c r="FV13"/>
      <c r="FW13" s="1494"/>
      <c r="FX13" s="1494"/>
      <c r="FY13" s="1494"/>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row>
    <row r="14" spans="1:260" s="4" customFormat="1" ht="11.25" hidden="1" customHeight="1" outlineLevel="1" x14ac:dyDescent="0.2">
      <c r="A14" s="601" t="s">
        <v>112</v>
      </c>
      <c r="B14" s="823"/>
      <c r="C14" s="823"/>
      <c r="D14" s="823"/>
      <c r="E14" s="824"/>
      <c r="F14" s="823"/>
      <c r="G14" s="823"/>
      <c r="H14" s="823"/>
      <c r="I14" s="824"/>
      <c r="J14" s="823"/>
      <c r="K14" s="823"/>
      <c r="L14" s="823"/>
      <c r="M14" s="824"/>
      <c r="N14" s="823">
        <v>35</v>
      </c>
      <c r="O14" s="823">
        <v>35</v>
      </c>
      <c r="P14" s="823">
        <v>35</v>
      </c>
      <c r="Q14" s="824">
        <v>34</v>
      </c>
      <c r="R14" s="823">
        <v>34</v>
      </c>
      <c r="S14" s="823">
        <v>34</v>
      </c>
      <c r="T14" s="823">
        <v>34</v>
      </c>
      <c r="U14" s="824">
        <v>34</v>
      </c>
      <c r="V14" s="823">
        <v>34</v>
      </c>
      <c r="W14" s="823">
        <v>35</v>
      </c>
      <c r="X14" s="823">
        <v>34</v>
      </c>
      <c r="Y14" s="824">
        <v>34</v>
      </c>
      <c r="Z14" s="823">
        <v>35</v>
      </c>
      <c r="AA14" s="823">
        <v>35</v>
      </c>
      <c r="AB14" s="823">
        <v>34</v>
      </c>
      <c r="AC14" s="824">
        <v>34</v>
      </c>
      <c r="AD14" s="823">
        <v>35</v>
      </c>
      <c r="AE14" s="823">
        <v>35</v>
      </c>
      <c r="AF14" s="823">
        <v>34</v>
      </c>
      <c r="AG14" s="824">
        <v>33</v>
      </c>
      <c r="AH14" s="823">
        <v>34</v>
      </c>
      <c r="AI14" s="823">
        <v>34</v>
      </c>
      <c r="AJ14" s="823">
        <v>33</v>
      </c>
      <c r="AK14" s="824">
        <v>32</v>
      </c>
      <c r="AL14" s="823">
        <v>31</v>
      </c>
      <c r="AM14" s="823">
        <v>31</v>
      </c>
      <c r="AN14" s="823">
        <v>31</v>
      </c>
      <c r="AO14" s="824">
        <v>31</v>
      </c>
      <c r="AP14" s="823">
        <f t="shared" si="2"/>
        <v>30</v>
      </c>
      <c r="AQ14" s="823">
        <f t="shared" si="3"/>
        <v>30</v>
      </c>
      <c r="AR14" s="823">
        <f t="shared" si="3"/>
        <v>30</v>
      </c>
      <c r="AS14" s="470">
        <f t="shared" si="3"/>
        <v>30</v>
      </c>
      <c r="AT14" s="823">
        <f t="shared" si="4"/>
        <v>30</v>
      </c>
      <c r="AU14" s="823">
        <f t="shared" si="5"/>
        <v>30</v>
      </c>
      <c r="AV14" s="823">
        <f t="shared" si="5"/>
        <v>28</v>
      </c>
      <c r="AW14" s="824">
        <f t="shared" si="5"/>
        <v>28</v>
      </c>
      <c r="AX14" s="823">
        <f t="shared" si="6"/>
        <v>28</v>
      </c>
      <c r="AY14" s="823">
        <f t="shared" si="7"/>
        <v>27</v>
      </c>
      <c r="AZ14" s="823">
        <f t="shared" si="7"/>
        <v>27</v>
      </c>
      <c r="BA14" s="824">
        <f t="shared" si="7"/>
        <v>27</v>
      </c>
      <c r="BB14" s="823">
        <f t="shared" si="8"/>
        <v>27</v>
      </c>
      <c r="BC14" s="823">
        <f t="shared" si="9"/>
        <v>27</v>
      </c>
      <c r="BD14" s="823">
        <f t="shared" si="9"/>
        <v>24</v>
      </c>
      <c r="BE14" s="824">
        <f t="shared" si="9"/>
        <v>24</v>
      </c>
      <c r="BF14" s="823">
        <f t="shared" si="10"/>
        <v>24</v>
      </c>
      <c r="BG14" s="825">
        <f t="shared" si="11"/>
        <v>23</v>
      </c>
      <c r="BH14" s="825">
        <f t="shared" si="11"/>
        <v>22</v>
      </c>
      <c r="BI14" s="826">
        <f t="shared" si="11"/>
        <v>22</v>
      </c>
      <c r="BJ14" s="825">
        <f t="shared" si="12"/>
        <v>22</v>
      </c>
      <c r="BK14" s="825">
        <f t="shared" si="13"/>
        <v>22</v>
      </c>
      <c r="BL14" s="825">
        <f t="shared" si="13"/>
        <v>21</v>
      </c>
      <c r="BM14" s="826">
        <f t="shared" si="13"/>
        <v>19</v>
      </c>
      <c r="BN14" s="825">
        <f t="shared" si="14"/>
        <v>19</v>
      </c>
      <c r="BO14" s="825">
        <f t="shared" si="15"/>
        <v>19</v>
      </c>
      <c r="BP14" s="825">
        <f t="shared" si="15"/>
        <v>22</v>
      </c>
      <c r="BQ14" s="822">
        <v>22</v>
      </c>
      <c r="BR14" s="821">
        <v>22</v>
      </c>
      <c r="BS14" s="821">
        <v>25</v>
      </c>
      <c r="BT14" s="821">
        <v>25</v>
      </c>
      <c r="BU14" s="822">
        <v>25</v>
      </c>
      <c r="BV14" s="821">
        <v>26</v>
      </c>
      <c r="BW14" s="821">
        <v>27</v>
      </c>
      <c r="BX14" s="821">
        <v>27</v>
      </c>
      <c r="BY14" s="822">
        <v>31</v>
      </c>
      <c r="BZ14" s="821"/>
      <c r="CA14" s="821"/>
      <c r="CB14" s="821"/>
      <c r="CC14" s="822"/>
      <c r="CD14" s="821"/>
      <c r="CE14" s="821"/>
      <c r="CF14" s="821"/>
      <c r="CG14" s="822"/>
      <c r="CH14" s="821">
        <v>31</v>
      </c>
      <c r="CI14" s="821">
        <v>29</v>
      </c>
      <c r="CJ14" s="821">
        <v>29</v>
      </c>
      <c r="CK14" s="822">
        <v>29</v>
      </c>
      <c r="CL14" s="821"/>
      <c r="CM14" s="821"/>
      <c r="CN14" s="821"/>
      <c r="CO14" s="822"/>
      <c r="CP14" s="821">
        <v>29</v>
      </c>
      <c r="CQ14" s="821">
        <v>29</v>
      </c>
      <c r="CR14" s="821">
        <v>29</v>
      </c>
      <c r="CS14" s="822">
        <v>29</v>
      </c>
      <c r="CT14" s="821">
        <v>29</v>
      </c>
      <c r="CU14" s="821">
        <v>29</v>
      </c>
      <c r="CV14" s="821">
        <v>29</v>
      </c>
      <c r="CW14" s="822">
        <v>29</v>
      </c>
      <c r="CX14" s="821"/>
      <c r="CY14" s="821"/>
      <c r="CZ14" s="821"/>
      <c r="DA14" s="822"/>
      <c r="DB14" s="821"/>
      <c r="DC14" s="821"/>
      <c r="DD14" s="428"/>
      <c r="DE14" s="721"/>
      <c r="DF14" s="428"/>
      <c r="DG14" s="821"/>
      <c r="DH14" s="821"/>
      <c r="DI14" s="721"/>
      <c r="DJ14" s="1693"/>
      <c r="DK14" s="428"/>
      <c r="DL14" s="428"/>
      <c r="DM14" s="721"/>
      <c r="DN14" s="7"/>
      <c r="DO14" s="484"/>
      <c r="DP14" s="14"/>
      <c r="DQ14" s="859"/>
      <c r="DR14" s="823"/>
      <c r="DS14" s="823"/>
      <c r="DT14" s="823"/>
      <c r="DU14" s="823"/>
      <c r="DV14" s="823"/>
      <c r="DW14" s="823">
        <v>39</v>
      </c>
      <c r="DX14" s="823">
        <v>50</v>
      </c>
      <c r="DY14" s="823">
        <v>48</v>
      </c>
      <c r="DZ14" s="823">
        <v>36</v>
      </c>
      <c r="EA14" s="823">
        <f t="shared" si="16"/>
        <v>34</v>
      </c>
      <c r="EB14" s="823">
        <v>34</v>
      </c>
      <c r="EC14" s="823">
        <f>Y14</f>
        <v>34</v>
      </c>
      <c r="ED14" s="823">
        <f>AC14</f>
        <v>34</v>
      </c>
      <c r="EE14" s="823">
        <f>AG14</f>
        <v>33</v>
      </c>
      <c r="EF14" s="823">
        <f t="shared" si="28"/>
        <v>32</v>
      </c>
      <c r="EG14" s="823">
        <f t="shared" si="17"/>
        <v>31</v>
      </c>
      <c r="EH14" s="823">
        <f t="shared" si="18"/>
        <v>30</v>
      </c>
      <c r="EI14" s="823">
        <f t="shared" si="19"/>
        <v>28</v>
      </c>
      <c r="EJ14" s="823">
        <f t="shared" si="20"/>
        <v>27</v>
      </c>
      <c r="EK14" s="823">
        <f t="shared" si="21"/>
        <v>24</v>
      </c>
      <c r="EL14" s="41">
        <f t="shared" si="22"/>
        <v>22</v>
      </c>
      <c r="EM14" s="821">
        <f t="shared" si="23"/>
        <v>19</v>
      </c>
      <c r="EN14" s="821">
        <v>22</v>
      </c>
      <c r="EO14" s="823">
        <f t="shared" si="24"/>
        <v>25</v>
      </c>
      <c r="EP14" s="823">
        <f t="shared" si="24"/>
        <v>31</v>
      </c>
      <c r="EQ14" s="823"/>
      <c r="ER14" s="823"/>
      <c r="ES14" s="823">
        <f t="shared" si="25"/>
        <v>29</v>
      </c>
      <c r="ET14" s="823"/>
      <c r="EU14" s="823">
        <f t="shared" si="26"/>
        <v>29</v>
      </c>
      <c r="EV14" s="823">
        <f t="shared" si="27"/>
        <v>29</v>
      </c>
      <c r="EW14" s="823">
        <f t="shared" si="27"/>
        <v>29</v>
      </c>
      <c r="EX14" s="6"/>
      <c r="EY14" s="6"/>
      <c r="EZ14" s="1734"/>
      <c r="FA14" s="106"/>
      <c r="FB14" s="106"/>
      <c r="FC14" s="106"/>
      <c r="FD14" s="106"/>
      <c r="FE14" s="1369"/>
      <c r="FF14" s="1369"/>
      <c r="FG14" s="1369"/>
      <c r="FH14" s="1369"/>
      <c r="FI14" s="1496"/>
      <c r="FJ14"/>
      <c r="FK14"/>
      <c r="FL14"/>
      <c r="FM14"/>
      <c r="FN14"/>
      <c r="FO14"/>
      <c r="FP14" s="3"/>
      <c r="FS14" s="1494"/>
      <c r="FT14" s="1494"/>
      <c r="FU14"/>
      <c r="FV14"/>
      <c r="FW14" s="1494"/>
      <c r="FX14" s="1494"/>
      <c r="FY14" s="149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row>
    <row r="15" spans="1:260" s="4" customFormat="1" ht="11.25" hidden="1" customHeight="1" outlineLevel="1" x14ac:dyDescent="0.2">
      <c r="A15" s="601" t="s">
        <v>143</v>
      </c>
      <c r="B15" s="823"/>
      <c r="C15" s="823"/>
      <c r="D15" s="823"/>
      <c r="E15" s="824"/>
      <c r="F15" s="823"/>
      <c r="G15" s="823"/>
      <c r="H15" s="823"/>
      <c r="I15" s="824"/>
      <c r="J15" s="823"/>
      <c r="K15" s="823"/>
      <c r="L15" s="823"/>
      <c r="M15" s="824"/>
      <c r="N15" s="823">
        <v>114</v>
      </c>
      <c r="O15" s="823">
        <v>116</v>
      </c>
      <c r="P15" s="823">
        <v>131</v>
      </c>
      <c r="Q15" s="824">
        <v>132</v>
      </c>
      <c r="R15" s="823">
        <v>136</v>
      </c>
      <c r="S15" s="823">
        <v>143</v>
      </c>
      <c r="T15" s="823">
        <v>150</v>
      </c>
      <c r="U15" s="824">
        <v>150</v>
      </c>
      <c r="V15" s="823">
        <v>155</v>
      </c>
      <c r="W15" s="823">
        <v>155</v>
      </c>
      <c r="X15" s="823">
        <v>182</v>
      </c>
      <c r="Y15" s="824">
        <v>182</v>
      </c>
      <c r="Z15" s="823">
        <v>185</v>
      </c>
      <c r="AA15" s="823">
        <v>202</v>
      </c>
      <c r="AB15" s="823">
        <v>231</v>
      </c>
      <c r="AC15" s="824">
        <v>231</v>
      </c>
      <c r="AD15" s="823">
        <v>235</v>
      </c>
      <c r="AE15" s="823">
        <v>241</v>
      </c>
      <c r="AF15" s="823">
        <v>285</v>
      </c>
      <c r="AG15" s="824">
        <v>290</v>
      </c>
      <c r="AH15" s="823">
        <v>295</v>
      </c>
      <c r="AI15" s="823">
        <v>304</v>
      </c>
      <c r="AJ15" s="823">
        <v>334</v>
      </c>
      <c r="AK15" s="824">
        <v>339</v>
      </c>
      <c r="AL15" s="823">
        <v>345</v>
      </c>
      <c r="AM15" s="823">
        <v>359</v>
      </c>
      <c r="AN15" s="823">
        <v>379</v>
      </c>
      <c r="AO15" s="824">
        <v>379</v>
      </c>
      <c r="AP15" s="823">
        <f t="shared" si="2"/>
        <v>382</v>
      </c>
      <c r="AQ15" s="823">
        <f t="shared" si="3"/>
        <v>385</v>
      </c>
      <c r="AR15" s="823">
        <f t="shared" si="3"/>
        <v>403</v>
      </c>
      <c r="AS15" s="470">
        <f t="shared" si="3"/>
        <v>407</v>
      </c>
      <c r="AT15" s="823">
        <f t="shared" si="4"/>
        <v>409</v>
      </c>
      <c r="AU15" s="823">
        <f t="shared" si="5"/>
        <v>414</v>
      </c>
      <c r="AV15" s="823">
        <f t="shared" si="5"/>
        <v>421</v>
      </c>
      <c r="AW15" s="824">
        <f t="shared" si="5"/>
        <v>425</v>
      </c>
      <c r="AX15" s="823">
        <f t="shared" si="6"/>
        <v>428</v>
      </c>
      <c r="AY15" s="823">
        <f t="shared" si="7"/>
        <v>430</v>
      </c>
      <c r="AZ15" s="823">
        <f t="shared" si="7"/>
        <v>437</v>
      </c>
      <c r="BA15" s="824">
        <f t="shared" si="7"/>
        <v>439</v>
      </c>
      <c r="BB15" s="823">
        <f t="shared" si="8"/>
        <v>442</v>
      </c>
      <c r="BC15" s="823">
        <f t="shared" si="9"/>
        <v>445</v>
      </c>
      <c r="BD15" s="823">
        <f t="shared" si="9"/>
        <v>463</v>
      </c>
      <c r="BE15" s="824">
        <f t="shared" si="9"/>
        <v>465</v>
      </c>
      <c r="BF15" s="823">
        <f t="shared" si="10"/>
        <v>469</v>
      </c>
      <c r="BG15" s="825">
        <f t="shared" si="11"/>
        <v>477</v>
      </c>
      <c r="BH15" s="825">
        <f t="shared" si="11"/>
        <v>490</v>
      </c>
      <c r="BI15" s="826">
        <f t="shared" si="11"/>
        <v>492</v>
      </c>
      <c r="BJ15" s="825">
        <f t="shared" si="12"/>
        <v>498</v>
      </c>
      <c r="BK15" s="825">
        <f t="shared" si="13"/>
        <v>503</v>
      </c>
      <c r="BL15" s="825">
        <f t="shared" si="13"/>
        <v>505</v>
      </c>
      <c r="BM15" s="826">
        <f t="shared" si="13"/>
        <v>506</v>
      </c>
      <c r="BN15" s="825">
        <f t="shared" si="14"/>
        <v>508</v>
      </c>
      <c r="BO15" s="825">
        <f t="shared" si="15"/>
        <v>510</v>
      </c>
      <c r="BP15" s="825">
        <f t="shared" si="15"/>
        <v>515</v>
      </c>
      <c r="BQ15" s="822">
        <v>514</v>
      </c>
      <c r="BR15" s="821">
        <v>514</v>
      </c>
      <c r="BS15" s="821">
        <v>516</v>
      </c>
      <c r="BT15" s="821">
        <v>518</v>
      </c>
      <c r="BU15" s="822">
        <v>518</v>
      </c>
      <c r="BV15" s="821">
        <v>519</v>
      </c>
      <c r="BW15" s="821">
        <v>520</v>
      </c>
      <c r="BX15" s="821">
        <v>519</v>
      </c>
      <c r="BY15" s="822">
        <v>516</v>
      </c>
      <c r="BZ15" s="821"/>
      <c r="CA15" s="821"/>
      <c r="CB15" s="821"/>
      <c r="CC15" s="822"/>
      <c r="CD15" s="821"/>
      <c r="CE15" s="821"/>
      <c r="CF15" s="821"/>
      <c r="CG15" s="822"/>
      <c r="CH15" s="821">
        <v>516</v>
      </c>
      <c r="CI15" s="821">
        <v>504</v>
      </c>
      <c r="CJ15" s="821">
        <v>501</v>
      </c>
      <c r="CK15" s="822">
        <v>501</v>
      </c>
      <c r="CL15" s="821"/>
      <c r="CM15" s="821"/>
      <c r="CN15" s="821"/>
      <c r="CO15" s="822"/>
      <c r="CP15" s="821">
        <v>500</v>
      </c>
      <c r="CQ15" s="821">
        <v>500</v>
      </c>
      <c r="CR15" s="821">
        <v>500</v>
      </c>
      <c r="CS15" s="822">
        <v>500</v>
      </c>
      <c r="CT15" s="821">
        <v>498</v>
      </c>
      <c r="CU15" s="821">
        <v>498</v>
      </c>
      <c r="CV15" s="821">
        <v>498</v>
      </c>
      <c r="CW15" s="822">
        <v>498</v>
      </c>
      <c r="CX15" s="821"/>
      <c r="CY15" s="821"/>
      <c r="CZ15" s="821"/>
      <c r="DA15" s="822"/>
      <c r="DB15" s="821"/>
      <c r="DC15" s="821"/>
      <c r="DD15" s="428"/>
      <c r="DE15" s="721"/>
      <c r="DF15" s="428"/>
      <c r="DG15" s="821"/>
      <c r="DH15" s="821"/>
      <c r="DI15" s="721"/>
      <c r="DJ15" s="1693"/>
      <c r="DK15" s="428"/>
      <c r="DL15" s="428"/>
      <c r="DM15" s="721"/>
      <c r="DN15" s="7"/>
      <c r="DO15" s="484"/>
      <c r="DP15" s="14"/>
      <c r="DQ15" s="859"/>
      <c r="DR15" s="823"/>
      <c r="DS15" s="823"/>
      <c r="DT15" s="823"/>
      <c r="DU15" s="823"/>
      <c r="DV15" s="823"/>
      <c r="DW15" s="823"/>
      <c r="DX15" s="823">
        <v>31</v>
      </c>
      <c r="DY15" s="823">
        <v>75</v>
      </c>
      <c r="DZ15" s="823">
        <v>112</v>
      </c>
      <c r="EA15" s="823">
        <f t="shared" si="16"/>
        <v>132</v>
      </c>
      <c r="EB15" s="823">
        <v>150</v>
      </c>
      <c r="EC15" s="823">
        <f>Y15</f>
        <v>182</v>
      </c>
      <c r="ED15" s="823">
        <f>AC15</f>
        <v>231</v>
      </c>
      <c r="EE15" s="823">
        <f>AG15</f>
        <v>290</v>
      </c>
      <c r="EF15" s="823">
        <f t="shared" si="28"/>
        <v>339</v>
      </c>
      <c r="EG15" s="823">
        <f t="shared" si="17"/>
        <v>379</v>
      </c>
      <c r="EH15" s="823">
        <f t="shared" si="18"/>
        <v>407</v>
      </c>
      <c r="EI15" s="823">
        <f t="shared" si="19"/>
        <v>425</v>
      </c>
      <c r="EJ15" s="823">
        <f t="shared" si="20"/>
        <v>439</v>
      </c>
      <c r="EK15" s="823">
        <f t="shared" si="21"/>
        <v>465</v>
      </c>
      <c r="EL15" s="41">
        <f t="shared" si="22"/>
        <v>492</v>
      </c>
      <c r="EM15" s="821">
        <f t="shared" si="23"/>
        <v>506</v>
      </c>
      <c r="EN15" s="821">
        <v>514</v>
      </c>
      <c r="EO15" s="823">
        <f t="shared" si="24"/>
        <v>518</v>
      </c>
      <c r="EP15" s="823">
        <f t="shared" si="24"/>
        <v>516</v>
      </c>
      <c r="EQ15" s="823"/>
      <c r="ER15" s="823"/>
      <c r="ES15" s="823">
        <f t="shared" si="25"/>
        <v>501</v>
      </c>
      <c r="ET15" s="823"/>
      <c r="EU15" s="823">
        <f t="shared" si="26"/>
        <v>500</v>
      </c>
      <c r="EV15" s="823">
        <f t="shared" si="27"/>
        <v>497</v>
      </c>
      <c r="EW15" s="823">
        <f t="shared" si="27"/>
        <v>497</v>
      </c>
      <c r="EX15" s="6"/>
      <c r="EY15" s="6"/>
      <c r="EZ15" s="1734"/>
      <c r="FA15" s="106"/>
      <c r="FB15" s="106"/>
      <c r="FC15" s="106"/>
      <c r="FD15" s="106"/>
      <c r="FE15" s="1369"/>
      <c r="FF15" s="1369"/>
      <c r="FG15" s="1369"/>
      <c r="FH15" s="1369"/>
      <c r="FI15" s="1496"/>
      <c r="FJ15"/>
      <c r="FK15"/>
      <c r="FL15"/>
      <c r="FM15"/>
      <c r="FN15"/>
      <c r="FO15"/>
      <c r="FP15" s="3"/>
      <c r="FS15" s="1494"/>
      <c r="FT15" s="1494"/>
      <c r="FU15"/>
      <c r="FV15"/>
      <c r="FW15" s="1494"/>
      <c r="FX15" s="1494"/>
      <c r="FY15" s="1494"/>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row>
    <row r="16" spans="1:260" s="4" customFormat="1" ht="11.25" hidden="1" customHeight="1" outlineLevel="1" x14ac:dyDescent="0.2">
      <c r="A16" s="601" t="s">
        <v>326</v>
      </c>
      <c r="B16" s="823"/>
      <c r="C16" s="823"/>
      <c r="D16" s="823"/>
      <c r="E16" s="824"/>
      <c r="F16" s="823"/>
      <c r="G16" s="823"/>
      <c r="H16" s="823"/>
      <c r="I16" s="824"/>
      <c r="J16" s="823"/>
      <c r="K16" s="823"/>
      <c r="L16" s="823"/>
      <c r="M16" s="824"/>
      <c r="N16" s="823">
        <v>49</v>
      </c>
      <c r="O16" s="823">
        <v>51</v>
      </c>
      <c r="P16" s="823">
        <v>52</v>
      </c>
      <c r="Q16" s="824">
        <v>52</v>
      </c>
      <c r="R16" s="823">
        <v>52</v>
      </c>
      <c r="S16" s="823">
        <v>52</v>
      </c>
      <c r="T16" s="823">
        <v>52</v>
      </c>
      <c r="U16" s="824">
        <v>52</v>
      </c>
      <c r="V16" s="823">
        <v>52</v>
      </c>
      <c r="W16" s="823">
        <v>52</v>
      </c>
      <c r="X16" s="823">
        <v>52</v>
      </c>
      <c r="Y16" s="824">
        <v>52</v>
      </c>
      <c r="Z16" s="823">
        <v>52</v>
      </c>
      <c r="AA16" s="823">
        <v>52</v>
      </c>
      <c r="AB16" s="823">
        <v>52</v>
      </c>
      <c r="AC16" s="824">
        <v>52</v>
      </c>
      <c r="AD16" s="823">
        <v>52</v>
      </c>
      <c r="AE16" s="823">
        <v>52</v>
      </c>
      <c r="AF16" s="823">
        <v>51</v>
      </c>
      <c r="AG16" s="824">
        <v>51</v>
      </c>
      <c r="AH16" s="823">
        <v>52</v>
      </c>
      <c r="AI16" s="823">
        <v>52</v>
      </c>
      <c r="AJ16" s="823">
        <v>52</v>
      </c>
      <c r="AK16" s="824">
        <v>52</v>
      </c>
      <c r="AL16" s="823">
        <v>52</v>
      </c>
      <c r="AM16" s="823">
        <v>51</v>
      </c>
      <c r="AN16" s="823">
        <v>50</v>
      </c>
      <c r="AO16" s="824">
        <v>50</v>
      </c>
      <c r="AP16" s="823">
        <f t="shared" si="2"/>
        <v>49</v>
      </c>
      <c r="AQ16" s="823">
        <f t="shared" si="3"/>
        <v>49</v>
      </c>
      <c r="AR16" s="823">
        <f t="shared" si="3"/>
        <v>48</v>
      </c>
      <c r="AS16" s="470">
        <f t="shared" si="3"/>
        <v>48</v>
      </c>
      <c r="AT16" s="823">
        <f t="shared" si="4"/>
        <v>48</v>
      </c>
      <c r="AU16" s="823">
        <f t="shared" si="5"/>
        <v>47</v>
      </c>
      <c r="AV16" s="823">
        <f t="shared" si="5"/>
        <v>48</v>
      </c>
      <c r="AW16" s="824">
        <f t="shared" si="5"/>
        <v>47</v>
      </c>
      <c r="AX16" s="823">
        <f t="shared" si="6"/>
        <v>46</v>
      </c>
      <c r="AY16" s="823">
        <f t="shared" si="7"/>
        <v>46</v>
      </c>
      <c r="AZ16" s="823">
        <f t="shared" si="7"/>
        <v>47</v>
      </c>
      <c r="BA16" s="824">
        <f t="shared" si="7"/>
        <v>47</v>
      </c>
      <c r="BB16" s="823">
        <f t="shared" si="8"/>
        <v>47</v>
      </c>
      <c r="BC16" s="823">
        <f t="shared" si="9"/>
        <v>47</v>
      </c>
      <c r="BD16" s="823">
        <f t="shared" si="9"/>
        <v>45</v>
      </c>
      <c r="BE16" s="824">
        <f t="shared" si="9"/>
        <v>45</v>
      </c>
      <c r="BF16" s="823">
        <f t="shared" si="10"/>
        <v>45</v>
      </c>
      <c r="BG16" s="825">
        <f t="shared" si="11"/>
        <v>45</v>
      </c>
      <c r="BH16" s="825">
        <f t="shared" si="11"/>
        <v>45</v>
      </c>
      <c r="BI16" s="826">
        <f t="shared" si="11"/>
        <v>45</v>
      </c>
      <c r="BJ16" s="825">
        <f t="shared" si="12"/>
        <v>45</v>
      </c>
      <c r="BK16" s="825">
        <f t="shared" si="13"/>
        <v>45</v>
      </c>
      <c r="BL16" s="825">
        <f t="shared" si="13"/>
        <v>45</v>
      </c>
      <c r="BM16" s="826">
        <f t="shared" si="13"/>
        <v>45</v>
      </c>
      <c r="BN16" s="825">
        <f t="shared" si="14"/>
        <v>45</v>
      </c>
      <c r="BO16" s="825">
        <f t="shared" si="15"/>
        <v>45</v>
      </c>
      <c r="BP16" s="825">
        <f t="shared" si="15"/>
        <v>45</v>
      </c>
      <c r="BQ16" s="822">
        <v>45</v>
      </c>
      <c r="BR16" s="821">
        <v>45</v>
      </c>
      <c r="BS16" s="821">
        <v>45</v>
      </c>
      <c r="BT16" s="821">
        <v>45</v>
      </c>
      <c r="BU16" s="822">
        <v>45</v>
      </c>
      <c r="BV16" s="821">
        <v>45</v>
      </c>
      <c r="BW16" s="821">
        <v>45</v>
      </c>
      <c r="BX16" s="821">
        <v>45</v>
      </c>
      <c r="BY16" s="822">
        <v>43</v>
      </c>
      <c r="BZ16" s="821"/>
      <c r="CA16" s="821"/>
      <c r="CB16" s="821"/>
      <c r="CC16" s="822"/>
      <c r="CD16" s="821"/>
      <c r="CE16" s="821"/>
      <c r="CF16" s="821"/>
      <c r="CG16" s="822"/>
      <c r="CH16" s="821">
        <v>43</v>
      </c>
      <c r="CI16" s="821">
        <v>43</v>
      </c>
      <c r="CJ16" s="821">
        <v>43</v>
      </c>
      <c r="CK16" s="822">
        <v>43</v>
      </c>
      <c r="CL16" s="821"/>
      <c r="CM16" s="821"/>
      <c r="CN16" s="821"/>
      <c r="CO16" s="822"/>
      <c r="CP16" s="821">
        <v>43</v>
      </c>
      <c r="CQ16" s="821">
        <v>43</v>
      </c>
      <c r="CR16" s="821">
        <v>43</v>
      </c>
      <c r="CS16" s="822">
        <v>43</v>
      </c>
      <c r="CT16" s="821">
        <v>43</v>
      </c>
      <c r="CU16" s="821">
        <v>43</v>
      </c>
      <c r="CV16" s="821">
        <v>42</v>
      </c>
      <c r="CW16" s="822">
        <v>40</v>
      </c>
      <c r="CX16" s="821"/>
      <c r="CY16" s="821"/>
      <c r="CZ16" s="821"/>
      <c r="DA16" s="822"/>
      <c r="DB16" s="821"/>
      <c r="DC16" s="821"/>
      <c r="DD16" s="428"/>
      <c r="DE16" s="721"/>
      <c r="DF16" s="428"/>
      <c r="DG16" s="821"/>
      <c r="DH16" s="821"/>
      <c r="DI16" s="721"/>
      <c r="DJ16" s="1693"/>
      <c r="DK16" s="428"/>
      <c r="DL16" s="428"/>
      <c r="DM16" s="721"/>
      <c r="DN16" s="7"/>
      <c r="DO16" s="484"/>
      <c r="DP16" s="14"/>
      <c r="DQ16" s="859"/>
      <c r="DR16" s="823"/>
      <c r="DS16" s="823"/>
      <c r="DT16" s="823"/>
      <c r="DU16" s="823"/>
      <c r="DV16" s="823"/>
      <c r="DW16" s="823"/>
      <c r="DX16" s="823"/>
      <c r="DY16" s="823">
        <v>14</v>
      </c>
      <c r="DZ16" s="823">
        <v>42</v>
      </c>
      <c r="EA16" s="823">
        <f t="shared" si="16"/>
        <v>52</v>
      </c>
      <c r="EB16" s="823">
        <v>52</v>
      </c>
      <c r="EC16" s="823">
        <f>Y16</f>
        <v>52</v>
      </c>
      <c r="ED16" s="823">
        <f>AC16</f>
        <v>52</v>
      </c>
      <c r="EE16" s="823">
        <f>AG16</f>
        <v>51</v>
      </c>
      <c r="EF16" s="823">
        <f t="shared" si="28"/>
        <v>52</v>
      </c>
      <c r="EG16" s="823">
        <f t="shared" si="17"/>
        <v>50</v>
      </c>
      <c r="EH16" s="823">
        <f t="shared" si="18"/>
        <v>48</v>
      </c>
      <c r="EI16" s="823">
        <f t="shared" si="19"/>
        <v>47</v>
      </c>
      <c r="EJ16" s="823">
        <f t="shared" si="20"/>
        <v>47</v>
      </c>
      <c r="EK16" s="823">
        <f t="shared" si="21"/>
        <v>45</v>
      </c>
      <c r="EL16" s="41">
        <f t="shared" si="22"/>
        <v>45</v>
      </c>
      <c r="EM16" s="821">
        <f t="shared" si="23"/>
        <v>45</v>
      </c>
      <c r="EN16" s="821">
        <v>45</v>
      </c>
      <c r="EO16" s="823">
        <f t="shared" si="24"/>
        <v>45</v>
      </c>
      <c r="EP16" s="823">
        <f t="shared" si="24"/>
        <v>43</v>
      </c>
      <c r="EQ16" s="823"/>
      <c r="ER16" s="823"/>
      <c r="ES16" s="823">
        <f t="shared" si="25"/>
        <v>43</v>
      </c>
      <c r="ET16" s="823"/>
      <c r="EU16" s="823">
        <f t="shared" si="26"/>
        <v>43</v>
      </c>
      <c r="EV16" s="823">
        <f t="shared" si="27"/>
        <v>43</v>
      </c>
      <c r="EW16" s="823">
        <f t="shared" si="27"/>
        <v>43</v>
      </c>
      <c r="EX16" s="6"/>
      <c r="EY16" s="6"/>
      <c r="EZ16" s="1734"/>
      <c r="FA16" s="106"/>
      <c r="FB16" s="106"/>
      <c r="FC16" s="106"/>
      <c r="FD16" s="106"/>
      <c r="FE16" s="1369"/>
      <c r="FF16" s="1369"/>
      <c r="FG16" s="1369"/>
      <c r="FH16" s="1369"/>
      <c r="FI16" s="1496"/>
      <c r="FJ16"/>
      <c r="FK16"/>
      <c r="FL16"/>
      <c r="FM16"/>
      <c r="FN16"/>
      <c r="FO16"/>
      <c r="FP16" s="3"/>
      <c r="FS16" s="1494"/>
      <c r="FT16" s="1494"/>
      <c r="FU16"/>
      <c r="FV16"/>
      <c r="FW16" s="1494"/>
      <c r="FX16" s="1494"/>
      <c r="FY16" s="1494"/>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row>
    <row r="17" spans="1:260" s="19" customFormat="1" ht="11.25" hidden="1" customHeight="1" outlineLevel="1" x14ac:dyDescent="0.2">
      <c r="A17" s="2065" t="s">
        <v>118</v>
      </c>
      <c r="B17" s="2066"/>
      <c r="C17" s="2066"/>
      <c r="D17" s="2066"/>
      <c r="E17" s="2067"/>
      <c r="F17" s="2066"/>
      <c r="G17" s="2066"/>
      <c r="H17" s="2066"/>
      <c r="I17" s="2067"/>
      <c r="J17" s="2066"/>
      <c r="K17" s="2066"/>
      <c r="L17" s="2066"/>
      <c r="M17" s="2067"/>
      <c r="N17" s="2066">
        <f t="shared" ref="N17:AG17" si="29">+N11+N12+N13+N14+N15+N16</f>
        <v>259</v>
      </c>
      <c r="O17" s="2066">
        <f t="shared" si="29"/>
        <v>262</v>
      </c>
      <c r="P17" s="2066">
        <f t="shared" si="29"/>
        <v>272</v>
      </c>
      <c r="Q17" s="2067">
        <f t="shared" si="29"/>
        <v>272</v>
      </c>
      <c r="R17" s="2066">
        <f t="shared" si="29"/>
        <v>274</v>
      </c>
      <c r="S17" s="2066">
        <f t="shared" si="29"/>
        <v>280</v>
      </c>
      <c r="T17" s="2066">
        <f t="shared" si="29"/>
        <v>285</v>
      </c>
      <c r="U17" s="2067">
        <f t="shared" si="29"/>
        <v>284</v>
      </c>
      <c r="V17" s="2066">
        <f t="shared" si="29"/>
        <v>289</v>
      </c>
      <c r="W17" s="2066">
        <f t="shared" si="29"/>
        <v>289</v>
      </c>
      <c r="X17" s="2066">
        <f t="shared" si="29"/>
        <v>312</v>
      </c>
      <c r="Y17" s="2067">
        <f t="shared" si="29"/>
        <v>311</v>
      </c>
      <c r="Z17" s="2066">
        <f t="shared" si="29"/>
        <v>313</v>
      </c>
      <c r="AA17" s="2066">
        <f t="shared" si="29"/>
        <v>332</v>
      </c>
      <c r="AB17" s="2066">
        <f t="shared" si="29"/>
        <v>354</v>
      </c>
      <c r="AC17" s="2067">
        <f t="shared" si="29"/>
        <v>357</v>
      </c>
      <c r="AD17" s="2066">
        <f t="shared" si="29"/>
        <v>361</v>
      </c>
      <c r="AE17" s="2066">
        <f t="shared" si="29"/>
        <v>373</v>
      </c>
      <c r="AF17" s="2066">
        <f t="shared" si="29"/>
        <v>413</v>
      </c>
      <c r="AG17" s="2067">
        <f t="shared" si="29"/>
        <v>419</v>
      </c>
      <c r="AH17" s="2066">
        <f t="shared" ref="AH17:BY17" si="30">SUM(AH11:AH16)</f>
        <v>430</v>
      </c>
      <c r="AI17" s="2066">
        <f t="shared" si="30"/>
        <v>439</v>
      </c>
      <c r="AJ17" s="2066">
        <f t="shared" si="30"/>
        <v>478</v>
      </c>
      <c r="AK17" s="2067">
        <f t="shared" si="30"/>
        <v>481</v>
      </c>
      <c r="AL17" s="2066">
        <f t="shared" si="30"/>
        <v>493</v>
      </c>
      <c r="AM17" s="2066">
        <f t="shared" si="30"/>
        <v>515</v>
      </c>
      <c r="AN17" s="2066">
        <f t="shared" si="30"/>
        <v>546</v>
      </c>
      <c r="AO17" s="2067">
        <f t="shared" si="30"/>
        <v>548</v>
      </c>
      <c r="AP17" s="2066">
        <f t="shared" si="30"/>
        <v>552</v>
      </c>
      <c r="AQ17" s="2066">
        <f t="shared" si="30"/>
        <v>566</v>
      </c>
      <c r="AR17" s="2066">
        <f t="shared" si="30"/>
        <v>600</v>
      </c>
      <c r="AS17" s="2068">
        <f t="shared" si="30"/>
        <v>608</v>
      </c>
      <c r="AT17" s="2066">
        <f t="shared" si="30"/>
        <v>619</v>
      </c>
      <c r="AU17" s="2066">
        <f t="shared" si="30"/>
        <v>628</v>
      </c>
      <c r="AV17" s="2066">
        <f t="shared" si="30"/>
        <v>659</v>
      </c>
      <c r="AW17" s="2067">
        <f t="shared" si="30"/>
        <v>668</v>
      </c>
      <c r="AX17" s="2066">
        <f t="shared" si="30"/>
        <v>679</v>
      </c>
      <c r="AY17" s="2066">
        <f t="shared" si="30"/>
        <v>694</v>
      </c>
      <c r="AZ17" s="2066">
        <f t="shared" si="30"/>
        <v>733</v>
      </c>
      <c r="BA17" s="2067">
        <f t="shared" si="30"/>
        <v>742</v>
      </c>
      <c r="BB17" s="2066">
        <f t="shared" si="30"/>
        <v>754</v>
      </c>
      <c r="BC17" s="2066">
        <f t="shared" si="30"/>
        <v>771</v>
      </c>
      <c r="BD17" s="2066">
        <f t="shared" si="30"/>
        <v>812</v>
      </c>
      <c r="BE17" s="2067">
        <f t="shared" si="30"/>
        <v>822</v>
      </c>
      <c r="BF17" s="2066">
        <f t="shared" si="30"/>
        <v>852</v>
      </c>
      <c r="BG17" s="2069">
        <f t="shared" si="30"/>
        <v>872</v>
      </c>
      <c r="BH17" s="2069">
        <f t="shared" si="30"/>
        <v>917</v>
      </c>
      <c r="BI17" s="2070">
        <f t="shared" si="30"/>
        <v>923</v>
      </c>
      <c r="BJ17" s="2069">
        <f t="shared" si="30"/>
        <v>949</v>
      </c>
      <c r="BK17" s="2069">
        <f t="shared" si="30"/>
        <v>973</v>
      </c>
      <c r="BL17" s="2069">
        <f t="shared" si="30"/>
        <v>1010</v>
      </c>
      <c r="BM17" s="2070">
        <f t="shared" si="30"/>
        <v>1023</v>
      </c>
      <c r="BN17" s="2069">
        <f t="shared" si="30"/>
        <v>1032</v>
      </c>
      <c r="BO17" s="2069">
        <f t="shared" si="30"/>
        <v>1044</v>
      </c>
      <c r="BP17" s="2069">
        <f t="shared" si="30"/>
        <v>1068</v>
      </c>
      <c r="BQ17" s="2071">
        <f t="shared" si="30"/>
        <v>1069</v>
      </c>
      <c r="BR17" s="2072">
        <f t="shared" si="30"/>
        <v>1081</v>
      </c>
      <c r="BS17" s="2072">
        <f t="shared" si="30"/>
        <v>1091</v>
      </c>
      <c r="BT17" s="2072">
        <f t="shared" si="30"/>
        <v>1099</v>
      </c>
      <c r="BU17" s="2071">
        <f t="shared" si="30"/>
        <v>1099</v>
      </c>
      <c r="BV17" s="2072">
        <f t="shared" si="30"/>
        <v>1102</v>
      </c>
      <c r="BW17" s="2072">
        <f t="shared" si="30"/>
        <v>1105</v>
      </c>
      <c r="BX17" s="2072">
        <f t="shared" si="30"/>
        <v>1105</v>
      </c>
      <c r="BY17" s="2071">
        <f t="shared" si="30"/>
        <v>1103</v>
      </c>
      <c r="BZ17" s="2072"/>
      <c r="CA17" s="2072"/>
      <c r="CB17" s="2072"/>
      <c r="CC17" s="2071"/>
      <c r="CD17" s="2072"/>
      <c r="CE17" s="2072"/>
      <c r="CF17" s="2072"/>
      <c r="CG17" s="2071"/>
      <c r="CH17" s="2072">
        <f>SUM(CH11:CH16)</f>
        <v>1103</v>
      </c>
      <c r="CI17" s="2072">
        <f>SUM(CI11:CI16)</f>
        <v>1062</v>
      </c>
      <c r="CJ17" s="2072">
        <f>SUM(CJ11:CJ16)</f>
        <v>1056</v>
      </c>
      <c r="CK17" s="2071">
        <f>SUM(CK11:CK16)</f>
        <v>1056</v>
      </c>
      <c r="CL17" s="2072"/>
      <c r="CM17" s="2072"/>
      <c r="CN17" s="2072"/>
      <c r="CO17" s="2071"/>
      <c r="CP17" s="2072">
        <f t="shared" ref="CP17:CU17" si="31">SUM(CP11:CP16)</f>
        <v>1055</v>
      </c>
      <c r="CQ17" s="2072">
        <f t="shared" si="31"/>
        <v>1055</v>
      </c>
      <c r="CR17" s="2072">
        <f t="shared" si="31"/>
        <v>1055</v>
      </c>
      <c r="CS17" s="2071">
        <f t="shared" si="31"/>
        <v>1055</v>
      </c>
      <c r="CT17" s="2069">
        <f t="shared" si="31"/>
        <v>1053</v>
      </c>
      <c r="CU17" s="2069">
        <f t="shared" si="31"/>
        <v>1053</v>
      </c>
      <c r="CV17" s="2069">
        <f>SUM(CV11:CV16)</f>
        <v>1052</v>
      </c>
      <c r="CW17" s="2070">
        <v>1050</v>
      </c>
      <c r="CX17" s="2073">
        <v>1049</v>
      </c>
      <c r="CY17" s="2073">
        <v>1047</v>
      </c>
      <c r="CZ17" s="2073">
        <v>1047</v>
      </c>
      <c r="DA17" s="2074">
        <v>1037</v>
      </c>
      <c r="DB17" s="2075">
        <v>1036</v>
      </c>
      <c r="DC17" s="2073">
        <v>1035</v>
      </c>
      <c r="DD17" s="2075">
        <v>1026</v>
      </c>
      <c r="DE17" s="2090">
        <v>1026</v>
      </c>
      <c r="DF17" s="2075">
        <v>1024</v>
      </c>
      <c r="DG17" s="2075">
        <v>1024</v>
      </c>
      <c r="DH17" s="2075">
        <v>1008</v>
      </c>
      <c r="DI17" s="2090">
        <v>1008</v>
      </c>
      <c r="DJ17" s="2087">
        <f t="shared" ref="DJ17:DK17" si="32">+IFERROR(DJ82-DJ70-DJ63-DJ56,"NA")</f>
        <v>1008</v>
      </c>
      <c r="DK17" s="2078">
        <f t="shared" si="32"/>
        <v>1007</v>
      </c>
      <c r="DL17" s="2078">
        <f t="shared" ref="DL17:DM17" si="33">+IFERROR(DL82-DL70-DL63-DL56,"NA")</f>
        <v>1006</v>
      </c>
      <c r="DM17" s="2077">
        <f t="shared" si="33"/>
        <v>1005</v>
      </c>
      <c r="DN17" s="590"/>
      <c r="DO17" s="499"/>
      <c r="DQ17" s="843"/>
      <c r="DR17" s="2062"/>
      <c r="DS17" s="2062"/>
      <c r="DT17" s="2062"/>
      <c r="DU17" s="2066">
        <f t="shared" ref="DU17:DZ17" si="34">SUM(DU12:DU16)</f>
        <v>56</v>
      </c>
      <c r="DV17" s="2066">
        <f t="shared" si="34"/>
        <v>73</v>
      </c>
      <c r="DW17" s="2066">
        <f t="shared" si="34"/>
        <v>111</v>
      </c>
      <c r="DX17" s="2066">
        <f t="shared" si="34"/>
        <v>151</v>
      </c>
      <c r="DY17" s="2066">
        <f t="shared" si="34"/>
        <v>204</v>
      </c>
      <c r="DZ17" s="2066">
        <f t="shared" si="34"/>
        <v>251</v>
      </c>
      <c r="EA17" s="2066">
        <f t="shared" si="16"/>
        <v>272</v>
      </c>
      <c r="EB17" s="2066">
        <f>SUM(EB12:EB16)</f>
        <v>284</v>
      </c>
      <c r="EC17" s="2066">
        <f>+EC11+EC12+EC13+EC14+EC15+EC16</f>
        <v>311</v>
      </c>
      <c r="ED17" s="2066">
        <f>+ED11+ED12+ED13+ED14+ED15+ED16</f>
        <v>357</v>
      </c>
      <c r="EE17" s="2066">
        <f>+EE11+EE12+EE13+EE14+EE15+EE16</f>
        <v>419</v>
      </c>
      <c r="EF17" s="2066">
        <f t="shared" si="28"/>
        <v>481</v>
      </c>
      <c r="EG17" s="2066">
        <f t="shared" si="17"/>
        <v>548</v>
      </c>
      <c r="EH17" s="2066">
        <f>SUM(EH11:EH16)</f>
        <v>608</v>
      </c>
      <c r="EI17" s="2066">
        <f>SUM(EI11:EI16)</f>
        <v>668</v>
      </c>
      <c r="EJ17" s="2066">
        <f>SUM(EJ11:EJ16)</f>
        <v>742</v>
      </c>
      <c r="EK17" s="2066">
        <f>SUM(EK11:EK16)</f>
        <v>822</v>
      </c>
      <c r="EL17" s="2081">
        <f t="shared" si="22"/>
        <v>923</v>
      </c>
      <c r="EM17" s="2072">
        <f t="shared" si="23"/>
        <v>1023</v>
      </c>
      <c r="EN17" s="2072">
        <f>BQ17</f>
        <v>1069</v>
      </c>
      <c r="EO17" s="2066">
        <f>SUM(EO11:EO16)</f>
        <v>1099</v>
      </c>
      <c r="EP17" s="2066">
        <f>SUM(EP11:EP16)</f>
        <v>1103</v>
      </c>
      <c r="EQ17" s="2066"/>
      <c r="ER17" s="2066"/>
      <c r="ES17" s="2066">
        <f>SUM(ES11:ES16)</f>
        <v>1056</v>
      </c>
      <c r="ET17" s="2066"/>
      <c r="EU17" s="2066">
        <f>SUM(EU11:EU16)</f>
        <v>1055</v>
      </c>
      <c r="EV17" s="2066">
        <f>SUM(EV11:EV16)</f>
        <v>1052</v>
      </c>
      <c r="EW17" s="2066">
        <f>SUM(EW11:EW16)</f>
        <v>1052</v>
      </c>
      <c r="EX17" s="2078">
        <f>+DE17</f>
        <v>1026</v>
      </c>
      <c r="EY17" s="2078">
        <f>+DI17</f>
        <v>1008</v>
      </c>
      <c r="EZ17" s="2079">
        <f>+DM17</f>
        <v>1005</v>
      </c>
      <c r="FA17" s="2080">
        <f t="shared" ref="FA17:FH17" si="35">+IFERROR(FA82-FA70-FA63-FA56,"NA")</f>
        <v>1006</v>
      </c>
      <c r="FB17" s="2080">
        <f t="shared" si="35"/>
        <v>1008</v>
      </c>
      <c r="FC17" s="2080">
        <f t="shared" si="35"/>
        <v>1013</v>
      </c>
      <c r="FD17" s="2080">
        <f t="shared" si="35"/>
        <v>1018</v>
      </c>
      <c r="FE17" s="2080">
        <f t="shared" si="35"/>
        <v>1023</v>
      </c>
      <c r="FF17" s="2080">
        <f t="shared" si="35"/>
        <v>1028</v>
      </c>
      <c r="FG17" s="2080">
        <f t="shared" si="35"/>
        <v>1033</v>
      </c>
      <c r="FH17" s="2080">
        <f t="shared" si="35"/>
        <v>1038</v>
      </c>
      <c r="FI17" s="2063"/>
      <c r="FJ17"/>
      <c r="FK17"/>
      <c r="FL17"/>
      <c r="FM17"/>
      <c r="FN17"/>
      <c r="FO17"/>
      <c r="FP17" s="401"/>
      <c r="FS17" s="2064"/>
      <c r="FT17" s="2064"/>
      <c r="FW17" s="2064"/>
      <c r="FX17" s="2064"/>
      <c r="FY17" s="2064"/>
    </row>
    <row r="18" spans="1:260" s="4" customFormat="1" ht="11.25" hidden="1" customHeight="1" outlineLevel="1" x14ac:dyDescent="0.2">
      <c r="B18" s="823"/>
      <c r="C18" s="823"/>
      <c r="D18" s="823"/>
      <c r="E18" s="824"/>
      <c r="F18" s="823"/>
      <c r="G18" s="823"/>
      <c r="H18" s="823"/>
      <c r="I18" s="824"/>
      <c r="J18" s="823"/>
      <c r="K18" s="823"/>
      <c r="L18" s="823"/>
      <c r="M18" s="824"/>
      <c r="N18" s="823"/>
      <c r="O18" s="823"/>
      <c r="P18" s="823"/>
      <c r="Q18" s="824"/>
      <c r="R18" s="823"/>
      <c r="S18" s="823"/>
      <c r="T18" s="823"/>
      <c r="U18" s="824"/>
      <c r="V18" s="823"/>
      <c r="W18" s="823"/>
      <c r="X18" s="823"/>
      <c r="Y18" s="824"/>
      <c r="Z18" s="823"/>
      <c r="AA18" s="823"/>
      <c r="AB18" s="823"/>
      <c r="AC18" s="824"/>
      <c r="AD18" s="823"/>
      <c r="AE18" s="823"/>
      <c r="AF18" s="823"/>
      <c r="AG18" s="824"/>
      <c r="AH18" s="823"/>
      <c r="AI18" s="823"/>
      <c r="AJ18" s="823"/>
      <c r="AK18" s="824"/>
      <c r="AL18" s="823"/>
      <c r="AM18" s="823"/>
      <c r="AN18" s="823"/>
      <c r="AO18" s="824"/>
      <c r="AP18" s="823"/>
      <c r="AQ18" s="823"/>
      <c r="AR18" s="823"/>
      <c r="AS18" s="470"/>
      <c r="AT18" s="823"/>
      <c r="AU18" s="823"/>
      <c r="AV18" s="823"/>
      <c r="AW18" s="824"/>
      <c r="AX18" s="823"/>
      <c r="AY18" s="823"/>
      <c r="AZ18" s="823"/>
      <c r="BA18" s="824"/>
      <c r="BB18" s="823"/>
      <c r="BC18" s="823"/>
      <c r="BD18" s="823"/>
      <c r="BE18" s="824"/>
      <c r="BF18" s="823"/>
      <c r="BG18" s="825"/>
      <c r="BH18" s="825"/>
      <c r="BI18" s="826"/>
      <c r="BJ18" s="825"/>
      <c r="BK18" s="825"/>
      <c r="BL18" s="825"/>
      <c r="BM18" s="826"/>
      <c r="BN18" s="825"/>
      <c r="BO18" s="825"/>
      <c r="BP18" s="825"/>
      <c r="BQ18" s="822"/>
      <c r="BR18" s="821"/>
      <c r="BS18" s="821"/>
      <c r="BT18" s="821"/>
      <c r="BU18" s="822"/>
      <c r="BV18" s="821"/>
      <c r="BW18" s="821"/>
      <c r="BX18" s="821"/>
      <c r="BY18" s="822"/>
      <c r="BZ18" s="821"/>
      <c r="CA18" s="821"/>
      <c r="CB18" s="821"/>
      <c r="CC18" s="822"/>
      <c r="CD18" s="821"/>
      <c r="CE18" s="821"/>
      <c r="CF18" s="821"/>
      <c r="CG18" s="822"/>
      <c r="CH18" s="821"/>
      <c r="CI18" s="821"/>
      <c r="CJ18" s="821"/>
      <c r="CK18" s="822"/>
      <c r="CL18" s="821"/>
      <c r="CM18" s="821"/>
      <c r="CN18" s="821"/>
      <c r="CO18" s="822"/>
      <c r="CP18" s="821"/>
      <c r="CQ18" s="821"/>
      <c r="CR18" s="821"/>
      <c r="CS18" s="822"/>
      <c r="CT18" s="825"/>
      <c r="CU18" s="825"/>
      <c r="CV18" s="825"/>
      <c r="CW18" s="826"/>
      <c r="CX18" s="825"/>
      <c r="CY18" s="825"/>
      <c r="CZ18" s="825"/>
      <c r="DA18" s="826"/>
      <c r="DB18" s="825"/>
      <c r="DC18" s="825"/>
      <c r="DD18" s="1494"/>
      <c r="DE18" s="1169"/>
      <c r="DF18" s="1494"/>
      <c r="DG18" s="1494"/>
      <c r="DH18" s="1494"/>
      <c r="DI18" s="1169"/>
      <c r="DJ18" s="2721"/>
      <c r="DK18" s="1494"/>
      <c r="DL18" s="1494"/>
      <c r="DM18" s="1169"/>
      <c r="DN18" s="7"/>
      <c r="DO18" s="484"/>
      <c r="DQ18" s="41"/>
      <c r="DR18" s="41"/>
      <c r="DS18" s="41"/>
      <c r="DT18" s="41"/>
      <c r="DU18" s="41"/>
      <c r="DV18" s="41"/>
      <c r="DW18" s="41"/>
      <c r="DX18" s="823"/>
      <c r="DY18" s="823"/>
      <c r="DZ18" s="823"/>
      <c r="EA18" s="823"/>
      <c r="EB18" s="823"/>
      <c r="EC18" s="823"/>
      <c r="ED18" s="823"/>
      <c r="EE18" s="823"/>
      <c r="EF18" s="823"/>
      <c r="EG18" s="823"/>
      <c r="EH18" s="823"/>
      <c r="EI18" s="823"/>
      <c r="EJ18" s="823"/>
      <c r="EK18" s="823"/>
      <c r="EL18" s="823"/>
      <c r="EM18" s="825"/>
      <c r="EN18" s="825"/>
      <c r="EO18" s="823"/>
      <c r="EP18" s="823"/>
      <c r="EQ18" s="823"/>
      <c r="ER18" s="823"/>
      <c r="ES18" s="823"/>
      <c r="ET18" s="823"/>
      <c r="EU18" s="823"/>
      <c r="EV18" s="823"/>
      <c r="EW18" s="823"/>
      <c r="EX18" s="6"/>
      <c r="EY18" s="6"/>
      <c r="EZ18" s="1734"/>
      <c r="FA18" s="106"/>
      <c r="FB18" s="106"/>
      <c r="FC18" s="106"/>
      <c r="FD18" s="106"/>
      <c r="FE18" s="1369"/>
      <c r="FF18" s="1369"/>
      <c r="FG18" s="1369"/>
      <c r="FH18" s="1369"/>
      <c r="FI18" s="1496"/>
      <c r="FJ18"/>
      <c r="FK18"/>
      <c r="FL18"/>
      <c r="FM18"/>
      <c r="FN18"/>
      <c r="FO18"/>
      <c r="FP18" s="3"/>
      <c r="FS18" s="1494"/>
      <c r="FT18" s="1494"/>
      <c r="FU18"/>
      <c r="FV18"/>
      <c r="FW18" s="1494"/>
      <c r="FX18" s="1494"/>
      <c r="FY18" s="1494"/>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row>
    <row r="19" spans="1:260" s="4" customFormat="1" ht="11.25" hidden="1" customHeight="1" outlineLevel="2" x14ac:dyDescent="0.2">
      <c r="A19" s="13" t="s">
        <v>327</v>
      </c>
      <c r="B19" s="823"/>
      <c r="C19" s="823"/>
      <c r="D19" s="823"/>
      <c r="E19" s="824"/>
      <c r="F19" s="823"/>
      <c r="G19" s="823"/>
      <c r="H19" s="823"/>
      <c r="I19" s="824"/>
      <c r="J19" s="823"/>
      <c r="K19" s="823"/>
      <c r="L19" s="823"/>
      <c r="M19" s="824"/>
      <c r="N19" s="823"/>
      <c r="O19" s="823"/>
      <c r="P19" s="823"/>
      <c r="Q19" s="824"/>
      <c r="R19" s="823"/>
      <c r="S19" s="823"/>
      <c r="T19" s="823"/>
      <c r="U19" s="824"/>
      <c r="V19" s="823"/>
      <c r="W19" s="823"/>
      <c r="X19" s="823"/>
      <c r="Y19" s="824"/>
      <c r="Z19" s="823"/>
      <c r="AA19" s="823"/>
      <c r="AB19" s="823"/>
      <c r="AC19" s="824"/>
      <c r="AD19" s="823"/>
      <c r="AE19" s="823"/>
      <c r="AF19" s="823"/>
      <c r="AG19" s="824"/>
      <c r="AH19" s="823"/>
      <c r="AI19" s="823"/>
      <c r="AJ19" s="823"/>
      <c r="AK19" s="824"/>
      <c r="AL19" s="823"/>
      <c r="AM19" s="823"/>
      <c r="AN19" s="823"/>
      <c r="AO19" s="824"/>
      <c r="AP19" s="823"/>
      <c r="AQ19" s="823"/>
      <c r="AR19" s="823"/>
      <c r="AS19" s="470"/>
      <c r="AT19" s="823"/>
      <c r="AU19" s="823"/>
      <c r="AV19" s="823"/>
      <c r="AW19" s="824"/>
      <c r="AX19" s="823"/>
      <c r="AY19" s="823"/>
      <c r="AZ19" s="823"/>
      <c r="BA19" s="824"/>
      <c r="BB19" s="823"/>
      <c r="BC19" s="823"/>
      <c r="BD19" s="823"/>
      <c r="BE19" s="824"/>
      <c r="BF19" s="823"/>
      <c r="BG19" s="825"/>
      <c r="BH19" s="825"/>
      <c r="BI19" s="826"/>
      <c r="BJ19" s="825"/>
      <c r="BK19" s="825"/>
      <c r="BL19" s="825"/>
      <c r="BM19" s="826"/>
      <c r="BN19" s="825"/>
      <c r="BO19" s="825"/>
      <c r="BP19" s="825"/>
      <c r="BQ19" s="822"/>
      <c r="BR19" s="821"/>
      <c r="BS19" s="821"/>
      <c r="BT19" s="821"/>
      <c r="BU19" s="822"/>
      <c r="BV19" s="41"/>
      <c r="BW19" s="821"/>
      <c r="BX19" s="821"/>
      <c r="BY19" s="822"/>
      <c r="BZ19" s="821"/>
      <c r="CA19" s="821"/>
      <c r="CB19" s="821"/>
      <c r="CC19" s="822"/>
      <c r="CD19" s="821"/>
      <c r="CE19" s="821"/>
      <c r="CF19" s="821"/>
      <c r="CG19" s="822"/>
      <c r="CH19" s="821"/>
      <c r="CI19" s="821"/>
      <c r="CJ19" s="821"/>
      <c r="CK19" s="822"/>
      <c r="CL19" s="821"/>
      <c r="CM19" s="821"/>
      <c r="CN19" s="821"/>
      <c r="CO19" s="822"/>
      <c r="CP19" s="821"/>
      <c r="CQ19" s="821"/>
      <c r="CR19" s="821"/>
      <c r="CS19" s="822"/>
      <c r="CT19" s="825"/>
      <c r="CU19" s="825"/>
      <c r="CV19" s="825"/>
      <c r="CW19" s="826"/>
      <c r="CX19" s="825"/>
      <c r="CY19" s="825"/>
      <c r="CZ19" s="825"/>
      <c r="DA19" s="826"/>
      <c r="DB19" s="825"/>
      <c r="DC19" s="825"/>
      <c r="DD19" s="1494"/>
      <c r="DE19" s="1169"/>
      <c r="DF19" s="1494"/>
      <c r="DG19" s="1494"/>
      <c r="DH19" s="1494"/>
      <c r="DI19" s="1169"/>
      <c r="DJ19" s="2721"/>
      <c r="DK19" s="1494"/>
      <c r="DL19" s="1494"/>
      <c r="DM19" s="1169"/>
      <c r="DN19" s="7"/>
      <c r="DO19" s="484"/>
      <c r="DQ19" s="41"/>
      <c r="DR19" s="41"/>
      <c r="DS19" s="41"/>
      <c r="DT19" s="41"/>
      <c r="DU19" s="41"/>
      <c r="DV19" s="41"/>
      <c r="DW19" s="41"/>
      <c r="DX19" s="823"/>
      <c r="DY19" s="823"/>
      <c r="DZ19" s="823"/>
      <c r="EA19" s="823"/>
      <c r="EB19" s="823"/>
      <c r="EC19" s="823"/>
      <c r="ED19" s="823"/>
      <c r="EE19" s="823"/>
      <c r="EF19" s="823"/>
      <c r="EG19" s="823"/>
      <c r="EH19" s="823"/>
      <c r="EI19" s="823"/>
      <c r="EJ19" s="823"/>
      <c r="EK19" s="823"/>
      <c r="EL19" s="823"/>
      <c r="EM19" s="825"/>
      <c r="EN19" s="825"/>
      <c r="EO19" s="825"/>
      <c r="EP19" s="823"/>
      <c r="EQ19" s="823"/>
      <c r="ER19" s="823"/>
      <c r="ES19" s="823"/>
      <c r="ET19" s="823"/>
      <c r="EU19" s="823"/>
      <c r="EV19" s="823"/>
      <c r="EW19" s="823"/>
      <c r="EX19" s="6"/>
      <c r="EY19" s="6"/>
      <c r="EZ19" s="1734"/>
      <c r="FA19" s="106"/>
      <c r="FB19" s="106"/>
      <c r="FC19" s="106"/>
      <c r="FD19" s="106"/>
      <c r="FE19" s="1369"/>
      <c r="FF19" s="1369"/>
      <c r="FG19" s="1369"/>
      <c r="FH19" s="1369"/>
      <c r="FI19" s="1496"/>
      <c r="FJ19"/>
      <c r="FK19"/>
      <c r="FL19"/>
      <c r="FM19"/>
      <c r="FN19"/>
      <c r="FO19"/>
      <c r="FP19" s="3"/>
      <c r="FS19" s="1494"/>
      <c r="FT19" s="1494"/>
      <c r="FU19"/>
      <c r="FV19"/>
      <c r="FW19" s="1494"/>
      <c r="FX19" s="1494"/>
      <c r="FY19" s="1494"/>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row>
    <row r="20" spans="1:260" s="4" customFormat="1" hidden="1" outlineLevel="2" x14ac:dyDescent="0.2">
      <c r="A20" s="1207" t="s">
        <v>89</v>
      </c>
      <c r="B20" s="1200"/>
      <c r="C20" s="1200"/>
      <c r="D20" s="1200"/>
      <c r="E20" s="1201"/>
      <c r="F20" s="1200"/>
      <c r="G20" s="1200"/>
      <c r="H20" s="1200"/>
      <c r="I20" s="1201"/>
      <c r="J20" s="1200"/>
      <c r="K20" s="1200"/>
      <c r="L20" s="1200"/>
      <c r="M20" s="1201"/>
      <c r="N20" s="1200"/>
      <c r="O20" s="1206">
        <f t="shared" ref="O20:AO20" si="36">+O11-N11</f>
        <v>0</v>
      </c>
      <c r="P20" s="1206">
        <f t="shared" si="36"/>
        <v>0</v>
      </c>
      <c r="Q20" s="1208">
        <f t="shared" si="36"/>
        <v>0</v>
      </c>
      <c r="R20" s="1206">
        <f t="shared" si="36"/>
        <v>0</v>
      </c>
      <c r="S20" s="1206">
        <f t="shared" si="36"/>
        <v>0</v>
      </c>
      <c r="T20" s="1206">
        <f t="shared" si="36"/>
        <v>0</v>
      </c>
      <c r="U20" s="1208">
        <f t="shared" si="36"/>
        <v>0</v>
      </c>
      <c r="V20" s="1206">
        <f t="shared" si="36"/>
        <v>0</v>
      </c>
      <c r="W20" s="1206">
        <f t="shared" si="36"/>
        <v>0</v>
      </c>
      <c r="X20" s="1206">
        <f t="shared" si="36"/>
        <v>0</v>
      </c>
      <c r="Y20" s="1208">
        <f t="shared" si="36"/>
        <v>0</v>
      </c>
      <c r="Z20" s="1206">
        <f t="shared" si="36"/>
        <v>0</v>
      </c>
      <c r="AA20" s="1206">
        <f t="shared" si="36"/>
        <v>0</v>
      </c>
      <c r="AB20" s="1206">
        <f t="shared" si="36"/>
        <v>0</v>
      </c>
      <c r="AC20" s="1208">
        <f t="shared" si="36"/>
        <v>0</v>
      </c>
      <c r="AD20" s="1206">
        <f t="shared" si="36"/>
        <v>0</v>
      </c>
      <c r="AE20" s="1206">
        <f t="shared" si="36"/>
        <v>0</v>
      </c>
      <c r="AF20" s="1206">
        <f t="shared" si="36"/>
        <v>0</v>
      </c>
      <c r="AG20" s="1208">
        <f t="shared" si="36"/>
        <v>0</v>
      </c>
      <c r="AH20" s="1206">
        <f t="shared" si="36"/>
        <v>0</v>
      </c>
      <c r="AI20" s="1206">
        <f t="shared" si="36"/>
        <v>0</v>
      </c>
      <c r="AJ20" s="1206">
        <f t="shared" si="36"/>
        <v>0</v>
      </c>
      <c r="AK20" s="1208">
        <f t="shared" si="36"/>
        <v>0</v>
      </c>
      <c r="AL20" s="1206">
        <f t="shared" si="36"/>
        <v>0</v>
      </c>
      <c r="AM20" s="1206">
        <f t="shared" si="36"/>
        <v>0</v>
      </c>
      <c r="AN20" s="1206">
        <f t="shared" si="36"/>
        <v>2</v>
      </c>
      <c r="AO20" s="1208">
        <f t="shared" si="36"/>
        <v>0</v>
      </c>
      <c r="AP20" s="1206">
        <v>0</v>
      </c>
      <c r="AQ20" s="1206">
        <v>0</v>
      </c>
      <c r="AR20" s="1206">
        <v>4</v>
      </c>
      <c r="AS20" s="470">
        <v>1</v>
      </c>
      <c r="AT20" s="1206">
        <v>4</v>
      </c>
      <c r="AU20" s="1206">
        <v>4</v>
      </c>
      <c r="AV20" s="1206">
        <v>15</v>
      </c>
      <c r="AW20" s="1208">
        <v>4</v>
      </c>
      <c r="AX20" s="1206">
        <v>2</v>
      </c>
      <c r="AY20" s="1206">
        <v>2</v>
      </c>
      <c r="AZ20" s="1206">
        <v>5</v>
      </c>
      <c r="BA20" s="1208">
        <v>4</v>
      </c>
      <c r="BB20" s="1206">
        <v>1</v>
      </c>
      <c r="BC20" s="1206">
        <v>3</v>
      </c>
      <c r="BD20" s="1206">
        <v>5</v>
      </c>
      <c r="BE20" s="1208">
        <v>0</v>
      </c>
      <c r="BF20" s="1206">
        <v>6</v>
      </c>
      <c r="BG20" s="1198">
        <v>1</v>
      </c>
      <c r="BH20" s="1198">
        <v>3</v>
      </c>
      <c r="BI20" s="1204">
        <v>1</v>
      </c>
      <c r="BJ20" s="1198">
        <v>2</v>
      </c>
      <c r="BK20" s="1198">
        <v>1</v>
      </c>
      <c r="BL20" s="1198">
        <v>3</v>
      </c>
      <c r="BM20" s="1204">
        <v>1</v>
      </c>
      <c r="BN20" s="1198">
        <v>1</v>
      </c>
      <c r="BO20" s="1198">
        <v>2</v>
      </c>
      <c r="BP20" s="1198">
        <v>2</v>
      </c>
      <c r="BQ20" s="1204">
        <f t="shared" ref="BQ20:BQ25" si="37">BQ11-BP11</f>
        <v>0</v>
      </c>
      <c r="BR20" s="1198">
        <f t="shared" ref="BR20:BR25" si="38">BR11-EN11</f>
        <v>1</v>
      </c>
      <c r="BS20" s="1198">
        <f t="shared" ref="BS20:BU25" si="39">BS11-BR11</f>
        <v>2</v>
      </c>
      <c r="BT20" s="1198">
        <f t="shared" si="39"/>
        <v>0</v>
      </c>
      <c r="BU20" s="1204">
        <f t="shared" si="39"/>
        <v>0</v>
      </c>
      <c r="BV20" s="1198">
        <f t="shared" ref="BV20:BV25" si="40">BV11-EO11</f>
        <v>0</v>
      </c>
      <c r="BW20" s="1198">
        <f t="shared" ref="BW20:BY25" si="41">BW11-BV11</f>
        <v>0</v>
      </c>
      <c r="BX20" s="1198">
        <f t="shared" si="41"/>
        <v>0</v>
      </c>
      <c r="BY20" s="1204">
        <f t="shared" si="41"/>
        <v>-1</v>
      </c>
      <c r="BZ20" s="1198"/>
      <c r="CA20" s="1198"/>
      <c r="CB20" s="1198"/>
      <c r="CC20" s="1204"/>
      <c r="CD20" s="1198"/>
      <c r="CE20" s="1198"/>
      <c r="CF20" s="1198"/>
      <c r="CG20" s="1204"/>
      <c r="CH20" s="1198">
        <f t="shared" ref="CH20:CH25" si="42">CH11-EP11</f>
        <v>0</v>
      </c>
      <c r="CI20" s="1198">
        <f t="shared" ref="CI20:CK25" si="43">CI11-CH11</f>
        <v>-5</v>
      </c>
      <c r="CJ20" s="1198">
        <f t="shared" si="43"/>
        <v>0</v>
      </c>
      <c r="CK20" s="1204">
        <f t="shared" si="43"/>
        <v>0</v>
      </c>
      <c r="CL20" s="1198"/>
      <c r="CM20" s="1198"/>
      <c r="CN20" s="1198"/>
      <c r="CO20" s="1204"/>
      <c r="CP20" s="1198">
        <f t="shared" ref="CP20:CP25" si="44">CP11-ES11</f>
        <v>0</v>
      </c>
      <c r="CQ20" s="1198">
        <f t="shared" ref="CQ20:CR25" si="45">CQ11-CP11</f>
        <v>0</v>
      </c>
      <c r="CR20" s="1198">
        <f t="shared" si="45"/>
        <v>0</v>
      </c>
      <c r="CS20" s="1204">
        <v>0</v>
      </c>
      <c r="CT20" s="1198">
        <v>0</v>
      </c>
      <c r="CU20" s="1198">
        <v>0</v>
      </c>
      <c r="CV20" s="1198">
        <v>0</v>
      </c>
      <c r="CW20" s="1204">
        <v>0</v>
      </c>
      <c r="CX20" s="1198">
        <v>0</v>
      </c>
      <c r="CY20" s="1198">
        <f t="shared" ref="CY20:CY25" si="46">CX20</f>
        <v>0</v>
      </c>
      <c r="CZ20" s="1198">
        <f t="shared" ref="CZ20:DE20" si="47">CY20</f>
        <v>0</v>
      </c>
      <c r="DA20" s="1204">
        <f t="shared" si="47"/>
        <v>0</v>
      </c>
      <c r="DB20" s="1198">
        <f t="shared" si="47"/>
        <v>0</v>
      </c>
      <c r="DC20" s="1198">
        <f t="shared" si="47"/>
        <v>0</v>
      </c>
      <c r="DD20" s="1198">
        <f t="shared" si="47"/>
        <v>0</v>
      </c>
      <c r="DE20" s="1957">
        <f t="shared" si="47"/>
        <v>0</v>
      </c>
      <c r="DF20" s="1958"/>
      <c r="DG20" s="1958"/>
      <c r="DH20" s="1958"/>
      <c r="DI20" s="1957"/>
      <c r="DJ20" s="2722"/>
      <c r="DK20" s="1958"/>
      <c r="DL20" s="1958"/>
      <c r="DM20" s="1957"/>
      <c r="DO20" s="470"/>
      <c r="DP20" s="1206"/>
      <c r="DQ20" s="1206"/>
      <c r="DR20" s="1206"/>
      <c r="DS20" s="1206"/>
      <c r="DT20" s="1206"/>
      <c r="DU20" s="1206"/>
      <c r="DV20" s="1206"/>
      <c r="DW20" s="1206"/>
      <c r="DX20" s="1200"/>
      <c r="DY20" s="1200"/>
      <c r="DZ20" s="1200"/>
      <c r="EA20" s="1200"/>
      <c r="EB20" s="1200">
        <f t="shared" ref="EB20:EG26" si="48">+EB11-EA11</f>
        <v>0</v>
      </c>
      <c r="EC20" s="1200">
        <f t="shared" si="48"/>
        <v>0</v>
      </c>
      <c r="ED20" s="1200">
        <f t="shared" si="48"/>
        <v>0</v>
      </c>
      <c r="EE20" s="1200">
        <f t="shared" si="48"/>
        <v>0</v>
      </c>
      <c r="EF20" s="1200">
        <f t="shared" si="48"/>
        <v>0</v>
      </c>
      <c r="EG20" s="1200">
        <f t="shared" si="48"/>
        <v>2</v>
      </c>
      <c r="EH20" s="1200">
        <f t="shared" ref="EH20:EH25" si="49">SUM(AP20:AS20)</f>
        <v>5</v>
      </c>
      <c r="EI20" s="1200">
        <f t="shared" ref="EI20:EI25" si="50">SUM(AT20:AW20)</f>
        <v>27</v>
      </c>
      <c r="EJ20" s="1200">
        <f t="shared" ref="EJ20:EJ25" si="51">SUM(AX20:BA20)</f>
        <v>13</v>
      </c>
      <c r="EK20" s="1202">
        <f t="shared" ref="EK20:EK25" si="52">SUM(BB20:BE20)</f>
        <v>9</v>
      </c>
      <c r="EL20" s="1198">
        <f>SUM(BF20:BI20)</f>
        <v>11</v>
      </c>
      <c r="EM20" s="1198">
        <f t="shared" ref="EM20:EM25" si="53">SUM(BJ20:BM20)</f>
        <v>7</v>
      </c>
      <c r="EN20" s="1198">
        <f t="shared" ref="EN20:EN25" si="54">SUM(BN20:BQ20)</f>
        <v>5</v>
      </c>
      <c r="EO20" s="1198">
        <f t="shared" ref="EO20:EO25" si="55">SUM(BR20:BU20)</f>
        <v>3</v>
      </c>
      <c r="EP20" s="1198">
        <f t="shared" ref="EP20:EP25" si="56">SUM(BV20:BY20)</f>
        <v>-1</v>
      </c>
      <c r="EQ20" s="1198"/>
      <c r="ER20" s="1198"/>
      <c r="ES20" s="1198">
        <f t="shared" ref="ES20:ES25" si="57">SUM(CH20:CK20)</f>
        <v>-5</v>
      </c>
      <c r="ET20" s="1198"/>
      <c r="EU20" s="1198">
        <f t="shared" ref="EU20:EU25" si="58">SUM(CP20:CS20)</f>
        <v>0</v>
      </c>
      <c r="EV20" s="1198">
        <f>SUM(CT20:CW20)</f>
        <v>0</v>
      </c>
      <c r="EW20" s="1198">
        <f>SUM(CX20:DA20)</f>
        <v>0</v>
      </c>
      <c r="EX20" s="39"/>
      <c r="EY20" s="39"/>
      <c r="EZ20" s="1567"/>
      <c r="FA20" s="1202"/>
      <c r="FB20" s="1202"/>
      <c r="FC20" s="1202"/>
      <c r="FD20" s="1202"/>
      <c r="FE20" s="1370"/>
      <c r="FF20" s="1370"/>
      <c r="FG20" s="1370"/>
      <c r="FH20" s="1370"/>
      <c r="FI20" s="1382"/>
      <c r="FJ20"/>
      <c r="FK20"/>
      <c r="FL20"/>
      <c r="FM20"/>
      <c r="FN20"/>
      <c r="FO20"/>
      <c r="FP20" s="3"/>
      <c r="FS20" s="1370"/>
      <c r="FT20" s="1370"/>
      <c r="FU20"/>
      <c r="FV20"/>
      <c r="FW20" s="1370"/>
      <c r="FX20" s="1370"/>
      <c r="FY20" s="137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row>
    <row r="21" spans="1:260" s="4" customFormat="1" hidden="1" outlineLevel="2" x14ac:dyDescent="0.2">
      <c r="A21" s="1207" t="s">
        <v>110</v>
      </c>
      <c r="B21" s="1200"/>
      <c r="C21" s="1200"/>
      <c r="D21" s="1200"/>
      <c r="E21" s="1201"/>
      <c r="F21" s="1200"/>
      <c r="G21" s="1200"/>
      <c r="H21" s="1200"/>
      <c r="I21" s="1201"/>
      <c r="J21" s="1200"/>
      <c r="K21" s="1200"/>
      <c r="L21" s="1200"/>
      <c r="M21" s="1201"/>
      <c r="N21" s="1200"/>
      <c r="O21" s="1206">
        <f t="shared" ref="O21:AO21" si="59">+O12-N12</f>
        <v>-1</v>
      </c>
      <c r="P21" s="1206">
        <f t="shared" si="59"/>
        <v>-6</v>
      </c>
      <c r="Q21" s="1208">
        <f t="shared" si="59"/>
        <v>0</v>
      </c>
      <c r="R21" s="1206">
        <f t="shared" si="59"/>
        <v>-2</v>
      </c>
      <c r="S21" s="1206">
        <f t="shared" si="59"/>
        <v>-1</v>
      </c>
      <c r="T21" s="1206">
        <f t="shared" si="59"/>
        <v>-2</v>
      </c>
      <c r="U21" s="1208">
        <f t="shared" si="59"/>
        <v>-1</v>
      </c>
      <c r="V21" s="1206">
        <f t="shared" si="59"/>
        <v>0</v>
      </c>
      <c r="W21" s="1206">
        <f t="shared" si="59"/>
        <v>-1</v>
      </c>
      <c r="X21" s="1206">
        <f t="shared" si="59"/>
        <v>-3</v>
      </c>
      <c r="Y21" s="1208">
        <f t="shared" si="59"/>
        <v>-1</v>
      </c>
      <c r="Z21" s="1206">
        <f t="shared" si="59"/>
        <v>-2</v>
      </c>
      <c r="AA21" s="1206">
        <f t="shared" si="59"/>
        <v>-1</v>
      </c>
      <c r="AB21" s="1206">
        <f t="shared" si="59"/>
        <v>-9</v>
      </c>
      <c r="AC21" s="1208">
        <f t="shared" si="59"/>
        <v>0</v>
      </c>
      <c r="AD21" s="1206">
        <f t="shared" si="59"/>
        <v>-1</v>
      </c>
      <c r="AE21" s="1206">
        <f t="shared" si="59"/>
        <v>0</v>
      </c>
      <c r="AF21" s="1206">
        <f t="shared" si="59"/>
        <v>-5</v>
      </c>
      <c r="AG21" s="1208">
        <f t="shared" si="59"/>
        <v>0</v>
      </c>
      <c r="AH21" s="1206">
        <f t="shared" si="59"/>
        <v>0</v>
      </c>
      <c r="AI21" s="1206">
        <f t="shared" si="59"/>
        <v>-1</v>
      </c>
      <c r="AJ21" s="1206">
        <f t="shared" si="59"/>
        <v>-3</v>
      </c>
      <c r="AK21" s="1208">
        <f t="shared" si="59"/>
        <v>-1</v>
      </c>
      <c r="AL21" s="1206">
        <f t="shared" si="59"/>
        <v>-1</v>
      </c>
      <c r="AM21" s="1206">
        <f t="shared" si="59"/>
        <v>-2</v>
      </c>
      <c r="AN21" s="1206">
        <f t="shared" si="59"/>
        <v>-1</v>
      </c>
      <c r="AO21" s="1208">
        <f t="shared" si="59"/>
        <v>0</v>
      </c>
      <c r="AP21" s="1206">
        <v>0</v>
      </c>
      <c r="AQ21" s="1206">
        <v>-1</v>
      </c>
      <c r="AR21" s="1206">
        <v>-2</v>
      </c>
      <c r="AS21" s="470">
        <v>0</v>
      </c>
      <c r="AT21" s="1206">
        <v>0</v>
      </c>
      <c r="AU21" s="1206">
        <v>0</v>
      </c>
      <c r="AV21" s="1206">
        <v>-2</v>
      </c>
      <c r="AW21" s="1208">
        <v>0</v>
      </c>
      <c r="AX21" s="1206">
        <v>-2</v>
      </c>
      <c r="AY21" s="1206">
        <v>0</v>
      </c>
      <c r="AZ21" s="1206">
        <v>-1</v>
      </c>
      <c r="BA21" s="1208">
        <v>0</v>
      </c>
      <c r="BB21" s="1206">
        <v>0</v>
      </c>
      <c r="BC21" s="1206">
        <v>0</v>
      </c>
      <c r="BD21" s="1206">
        <v>-1</v>
      </c>
      <c r="BE21" s="1208">
        <v>0</v>
      </c>
      <c r="BF21" s="1206">
        <v>-1</v>
      </c>
      <c r="BG21" s="1198">
        <v>0</v>
      </c>
      <c r="BH21" s="1198">
        <v>-2</v>
      </c>
      <c r="BI21" s="1204">
        <v>0</v>
      </c>
      <c r="BJ21" s="1198">
        <v>0</v>
      </c>
      <c r="BK21" s="1198">
        <v>0</v>
      </c>
      <c r="BL21" s="1198">
        <v>0</v>
      </c>
      <c r="BM21" s="1204">
        <v>0</v>
      </c>
      <c r="BN21" s="1198">
        <v>0</v>
      </c>
      <c r="BO21" s="1198">
        <v>0</v>
      </c>
      <c r="BP21" s="1198">
        <v>0</v>
      </c>
      <c r="BQ21" s="1204">
        <f t="shared" si="37"/>
        <v>0</v>
      </c>
      <c r="BR21" s="1198">
        <f t="shared" si="38"/>
        <v>0</v>
      </c>
      <c r="BS21" s="1198">
        <f t="shared" si="39"/>
        <v>0</v>
      </c>
      <c r="BT21" s="1198">
        <f t="shared" si="39"/>
        <v>0</v>
      </c>
      <c r="BU21" s="1204">
        <f t="shared" si="39"/>
        <v>0</v>
      </c>
      <c r="BV21" s="1198">
        <f t="shared" si="40"/>
        <v>0</v>
      </c>
      <c r="BW21" s="1198">
        <f t="shared" si="41"/>
        <v>0</v>
      </c>
      <c r="BX21" s="1198">
        <f t="shared" si="41"/>
        <v>0</v>
      </c>
      <c r="BY21" s="1204">
        <f t="shared" si="41"/>
        <v>0</v>
      </c>
      <c r="BZ21" s="1198"/>
      <c r="CA21" s="1198"/>
      <c r="CB21" s="1198"/>
      <c r="CC21" s="1204"/>
      <c r="CD21" s="1198"/>
      <c r="CE21" s="1198"/>
      <c r="CF21" s="1198"/>
      <c r="CG21" s="1204"/>
      <c r="CH21" s="1198">
        <f t="shared" si="42"/>
        <v>0</v>
      </c>
      <c r="CI21" s="1198">
        <f t="shared" si="43"/>
        <v>-2</v>
      </c>
      <c r="CJ21" s="1198">
        <f t="shared" si="43"/>
        <v>-1</v>
      </c>
      <c r="CK21" s="1204">
        <f t="shared" si="43"/>
        <v>0</v>
      </c>
      <c r="CL21" s="1198"/>
      <c r="CM21" s="1198"/>
      <c r="CN21" s="1198"/>
      <c r="CO21" s="1204"/>
      <c r="CP21" s="1198">
        <f t="shared" si="44"/>
        <v>0</v>
      </c>
      <c r="CQ21" s="1198">
        <f t="shared" si="45"/>
        <v>0</v>
      </c>
      <c r="CR21" s="1198">
        <f t="shared" si="45"/>
        <v>0</v>
      </c>
      <c r="CS21" s="1204">
        <v>0</v>
      </c>
      <c r="CT21" s="1198">
        <v>0</v>
      </c>
      <c r="CU21" s="1198">
        <v>0</v>
      </c>
      <c r="CV21" s="1198">
        <v>0</v>
      </c>
      <c r="CW21" s="1204">
        <v>0</v>
      </c>
      <c r="CX21" s="1198">
        <v>0</v>
      </c>
      <c r="CY21" s="1198">
        <f t="shared" si="46"/>
        <v>0</v>
      </c>
      <c r="CZ21" s="1198">
        <f t="shared" ref="CZ21:DE26" si="60">CY21</f>
        <v>0</v>
      </c>
      <c r="DA21" s="1204">
        <f t="shared" si="60"/>
        <v>0</v>
      </c>
      <c r="DB21" s="1198">
        <f t="shared" si="60"/>
        <v>0</v>
      </c>
      <c r="DC21" s="1198">
        <f t="shared" si="60"/>
        <v>0</v>
      </c>
      <c r="DD21" s="1198">
        <f t="shared" si="60"/>
        <v>0</v>
      </c>
      <c r="DE21" s="1957">
        <f t="shared" si="60"/>
        <v>0</v>
      </c>
      <c r="DF21" s="1958"/>
      <c r="DG21" s="1958"/>
      <c r="DH21" s="1958"/>
      <c r="DI21" s="1957"/>
      <c r="DJ21" s="2722"/>
      <c r="DK21" s="1958"/>
      <c r="DL21" s="1958"/>
      <c r="DM21" s="1957"/>
      <c r="DO21" s="470"/>
      <c r="DP21" s="1206"/>
      <c r="DQ21" s="1206"/>
      <c r="DR21" s="1206">
        <f t="shared" ref="DR21:EA21" si="61">DR12-DQ12</f>
        <v>40</v>
      </c>
      <c r="DS21" s="1206">
        <f t="shared" si="61"/>
        <v>1</v>
      </c>
      <c r="DT21" s="1206">
        <f t="shared" si="61"/>
        <v>8</v>
      </c>
      <c r="DU21" s="1206">
        <f t="shared" si="61"/>
        <v>7</v>
      </c>
      <c r="DV21" s="1206">
        <f t="shared" si="61"/>
        <v>17</v>
      </c>
      <c r="DW21" s="1206">
        <f t="shared" si="61"/>
        <v>-1</v>
      </c>
      <c r="DX21" s="1206">
        <f t="shared" si="61"/>
        <v>-2</v>
      </c>
      <c r="DY21" s="1206">
        <f t="shared" si="61"/>
        <v>-3</v>
      </c>
      <c r="DZ21" s="1206">
        <f t="shared" si="61"/>
        <v>-6</v>
      </c>
      <c r="EA21" s="1206">
        <f t="shared" si="61"/>
        <v>-7</v>
      </c>
      <c r="EB21" s="1200">
        <f t="shared" si="48"/>
        <v>-6</v>
      </c>
      <c r="EC21" s="1200">
        <f t="shared" si="48"/>
        <v>-5</v>
      </c>
      <c r="ED21" s="1200">
        <f t="shared" si="48"/>
        <v>-12</v>
      </c>
      <c r="EE21" s="1200">
        <f t="shared" si="48"/>
        <v>-6</v>
      </c>
      <c r="EF21" s="1200">
        <f t="shared" si="48"/>
        <v>-5</v>
      </c>
      <c r="EG21" s="1200">
        <f t="shared" si="48"/>
        <v>-4</v>
      </c>
      <c r="EH21" s="1200">
        <f t="shared" si="49"/>
        <v>-3</v>
      </c>
      <c r="EI21" s="1200">
        <f t="shared" si="50"/>
        <v>-2</v>
      </c>
      <c r="EJ21" s="1200">
        <f t="shared" si="51"/>
        <v>-3</v>
      </c>
      <c r="EK21" s="1202">
        <f t="shared" si="52"/>
        <v>-1</v>
      </c>
      <c r="EL21" s="1198">
        <v>0</v>
      </c>
      <c r="EM21" s="1198">
        <f t="shared" si="53"/>
        <v>0</v>
      </c>
      <c r="EN21" s="1198">
        <f t="shared" si="54"/>
        <v>0</v>
      </c>
      <c r="EO21" s="1198">
        <f t="shared" si="55"/>
        <v>0</v>
      </c>
      <c r="EP21" s="1198">
        <f t="shared" si="56"/>
        <v>0</v>
      </c>
      <c r="EQ21" s="1198"/>
      <c r="ER21" s="1198"/>
      <c r="ES21" s="1198">
        <f t="shared" si="57"/>
        <v>-3</v>
      </c>
      <c r="ET21" s="1198"/>
      <c r="EU21" s="1198">
        <f t="shared" si="58"/>
        <v>0</v>
      </c>
      <c r="EV21" s="1198">
        <f>SUM(CT21:CW21)</f>
        <v>0</v>
      </c>
      <c r="EW21" s="1198">
        <f t="shared" ref="EW21:EW26" si="62">SUM(CX21:DA21)</f>
        <v>0</v>
      </c>
      <c r="EX21" s="39"/>
      <c r="EY21" s="39"/>
      <c r="EZ21" s="1567"/>
      <c r="FA21" s="1202"/>
      <c r="FB21" s="1202"/>
      <c r="FC21" s="1202"/>
      <c r="FD21" s="1202"/>
      <c r="FE21" s="1370"/>
      <c r="FF21" s="1370"/>
      <c r="FG21" s="1370"/>
      <c r="FH21" s="1370"/>
      <c r="FI21" s="1382"/>
      <c r="FJ21"/>
      <c r="FK21"/>
      <c r="FL21"/>
      <c r="FM21"/>
      <c r="FN21"/>
      <c r="FO21"/>
      <c r="FP21" s="3"/>
      <c r="FS21" s="1370"/>
      <c r="FT21" s="1370"/>
      <c r="FU21"/>
      <c r="FV21"/>
      <c r="FW21" s="1370"/>
      <c r="FX21" s="1370"/>
      <c r="FY21" s="1370"/>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row>
    <row r="22" spans="1:260" s="4" customFormat="1" hidden="1" outlineLevel="2" x14ac:dyDescent="0.2">
      <c r="A22" s="1207" t="s">
        <v>111</v>
      </c>
      <c r="B22" s="1200"/>
      <c r="C22" s="1200"/>
      <c r="D22" s="1200"/>
      <c r="E22" s="1201"/>
      <c r="F22" s="1200"/>
      <c r="G22" s="1200"/>
      <c r="H22" s="1200"/>
      <c r="I22" s="1201"/>
      <c r="J22" s="1200"/>
      <c r="K22" s="1200"/>
      <c r="L22" s="1200"/>
      <c r="M22" s="1201"/>
      <c r="N22" s="1200"/>
      <c r="O22" s="1206">
        <f t="shared" ref="O22:AO22" si="63">+O13-N13</f>
        <v>0</v>
      </c>
      <c r="P22" s="1206">
        <f t="shared" si="63"/>
        <v>0</v>
      </c>
      <c r="Q22" s="1208">
        <f t="shared" si="63"/>
        <v>0</v>
      </c>
      <c r="R22" s="1206">
        <f t="shared" si="63"/>
        <v>0</v>
      </c>
      <c r="S22" s="1206">
        <f t="shared" si="63"/>
        <v>0</v>
      </c>
      <c r="T22" s="1206">
        <f t="shared" si="63"/>
        <v>0</v>
      </c>
      <c r="U22" s="1208">
        <f t="shared" si="63"/>
        <v>0</v>
      </c>
      <c r="V22" s="1206">
        <f t="shared" si="63"/>
        <v>0</v>
      </c>
      <c r="W22" s="1206">
        <f t="shared" si="63"/>
        <v>0</v>
      </c>
      <c r="X22" s="1206">
        <f t="shared" si="63"/>
        <v>0</v>
      </c>
      <c r="Y22" s="1208">
        <f t="shared" si="63"/>
        <v>0</v>
      </c>
      <c r="Z22" s="1206">
        <f t="shared" si="63"/>
        <v>0</v>
      </c>
      <c r="AA22" s="1206">
        <f t="shared" si="63"/>
        <v>3</v>
      </c>
      <c r="AB22" s="1206">
        <f t="shared" si="63"/>
        <v>3</v>
      </c>
      <c r="AC22" s="1208">
        <f t="shared" si="63"/>
        <v>3</v>
      </c>
      <c r="AD22" s="1206">
        <f t="shared" si="63"/>
        <v>0</v>
      </c>
      <c r="AE22" s="1206">
        <f t="shared" si="63"/>
        <v>6</v>
      </c>
      <c r="AF22" s="1206">
        <f t="shared" si="63"/>
        <v>3</v>
      </c>
      <c r="AG22" s="1208">
        <f t="shared" si="63"/>
        <v>2</v>
      </c>
      <c r="AH22" s="1206">
        <f t="shared" si="63"/>
        <v>4</v>
      </c>
      <c r="AI22" s="1206">
        <f t="shared" si="63"/>
        <v>1</v>
      </c>
      <c r="AJ22" s="1206">
        <f t="shared" si="63"/>
        <v>13</v>
      </c>
      <c r="AK22" s="1208">
        <f t="shared" si="63"/>
        <v>0</v>
      </c>
      <c r="AL22" s="1206">
        <f t="shared" si="63"/>
        <v>8</v>
      </c>
      <c r="AM22" s="1206">
        <f t="shared" si="63"/>
        <v>11</v>
      </c>
      <c r="AN22" s="1206">
        <f t="shared" si="63"/>
        <v>11</v>
      </c>
      <c r="AO22" s="1208">
        <f t="shared" si="63"/>
        <v>2</v>
      </c>
      <c r="AP22" s="1206">
        <v>3</v>
      </c>
      <c r="AQ22" s="1206">
        <v>12</v>
      </c>
      <c r="AR22" s="1206">
        <v>15</v>
      </c>
      <c r="AS22" s="470">
        <v>3</v>
      </c>
      <c r="AT22" s="1206">
        <v>5</v>
      </c>
      <c r="AU22" s="1206">
        <v>1</v>
      </c>
      <c r="AV22" s="1206">
        <v>12</v>
      </c>
      <c r="AW22" s="1208">
        <v>2</v>
      </c>
      <c r="AX22" s="1206">
        <v>9</v>
      </c>
      <c r="AY22" s="1206">
        <v>12</v>
      </c>
      <c r="AZ22" s="1206">
        <v>27</v>
      </c>
      <c r="BA22" s="1208">
        <v>3</v>
      </c>
      <c r="BB22" s="1206">
        <v>8</v>
      </c>
      <c r="BC22" s="1206">
        <v>11</v>
      </c>
      <c r="BD22" s="1206">
        <v>24</v>
      </c>
      <c r="BE22" s="1208">
        <v>8</v>
      </c>
      <c r="BF22" s="1206">
        <v>21</v>
      </c>
      <c r="BG22" s="1198">
        <v>12</v>
      </c>
      <c r="BH22" s="1198">
        <v>32</v>
      </c>
      <c r="BI22" s="1204">
        <v>3</v>
      </c>
      <c r="BJ22" s="1198">
        <v>18</v>
      </c>
      <c r="BK22" s="1198">
        <v>18</v>
      </c>
      <c r="BL22" s="1198">
        <v>33</v>
      </c>
      <c r="BM22" s="1204">
        <v>13</v>
      </c>
      <c r="BN22" s="1198">
        <v>6</v>
      </c>
      <c r="BO22" s="1198">
        <v>8</v>
      </c>
      <c r="BP22" s="1198">
        <f>403-389</f>
        <v>14</v>
      </c>
      <c r="BQ22" s="1204">
        <f t="shared" si="37"/>
        <v>2</v>
      </c>
      <c r="BR22" s="1198">
        <f t="shared" si="38"/>
        <v>11</v>
      </c>
      <c r="BS22" s="1198">
        <f t="shared" si="39"/>
        <v>3</v>
      </c>
      <c r="BT22" s="1198">
        <f t="shared" si="39"/>
        <v>6</v>
      </c>
      <c r="BU22" s="1204">
        <f t="shared" si="39"/>
        <v>0</v>
      </c>
      <c r="BV22" s="1198">
        <f t="shared" si="40"/>
        <v>1</v>
      </c>
      <c r="BW22" s="1198">
        <f t="shared" si="41"/>
        <v>1</v>
      </c>
      <c r="BX22" s="1198">
        <f t="shared" si="41"/>
        <v>1</v>
      </c>
      <c r="BY22" s="1204">
        <f t="shared" si="41"/>
        <v>0</v>
      </c>
      <c r="BZ22" s="1198"/>
      <c r="CA22" s="1198"/>
      <c r="CB22" s="1198"/>
      <c r="CC22" s="1204"/>
      <c r="CD22" s="1198"/>
      <c r="CE22" s="1198"/>
      <c r="CF22" s="1198"/>
      <c r="CG22" s="1204"/>
      <c r="CH22" s="1198">
        <f t="shared" si="42"/>
        <v>0</v>
      </c>
      <c r="CI22" s="1198">
        <f t="shared" si="43"/>
        <v>-20</v>
      </c>
      <c r="CJ22" s="1198">
        <f t="shared" si="43"/>
        <v>-2</v>
      </c>
      <c r="CK22" s="1204">
        <f t="shared" si="43"/>
        <v>0</v>
      </c>
      <c r="CL22" s="1198"/>
      <c r="CM22" s="1198"/>
      <c r="CN22" s="1198"/>
      <c r="CO22" s="1204"/>
      <c r="CP22" s="1198">
        <f t="shared" si="44"/>
        <v>0</v>
      </c>
      <c r="CQ22" s="1198">
        <f t="shared" si="45"/>
        <v>0</v>
      </c>
      <c r="CR22" s="1198">
        <f t="shared" si="45"/>
        <v>0</v>
      </c>
      <c r="CS22" s="1204">
        <v>0</v>
      </c>
      <c r="CT22" s="1198">
        <v>0</v>
      </c>
      <c r="CU22" s="1198">
        <v>0</v>
      </c>
      <c r="CV22" s="1198">
        <v>0</v>
      </c>
      <c r="CW22" s="1204">
        <v>0</v>
      </c>
      <c r="CX22" s="1198">
        <v>0</v>
      </c>
      <c r="CY22" s="1198">
        <f t="shared" si="46"/>
        <v>0</v>
      </c>
      <c r="CZ22" s="1198">
        <f t="shared" si="60"/>
        <v>0</v>
      </c>
      <c r="DA22" s="1204">
        <f t="shared" si="60"/>
        <v>0</v>
      </c>
      <c r="DB22" s="1198">
        <f t="shared" si="60"/>
        <v>0</v>
      </c>
      <c r="DC22" s="1198">
        <f t="shared" si="60"/>
        <v>0</v>
      </c>
      <c r="DD22" s="1198">
        <f t="shared" si="60"/>
        <v>0</v>
      </c>
      <c r="DE22" s="1957">
        <f t="shared" si="60"/>
        <v>0</v>
      </c>
      <c r="DF22" s="1958"/>
      <c r="DG22" s="1958"/>
      <c r="DH22" s="1958"/>
      <c r="DI22" s="1957"/>
      <c r="DJ22" s="2722"/>
      <c r="DK22" s="1958"/>
      <c r="DL22" s="1958"/>
      <c r="DM22" s="1957"/>
      <c r="DO22" s="470"/>
      <c r="DP22" s="1206"/>
      <c r="DQ22" s="1206"/>
      <c r="DR22" s="1206">
        <f t="shared" ref="DR22:EA22" si="64">DR13-DQ13</f>
        <v>0</v>
      </c>
      <c r="DS22" s="1206">
        <f t="shared" si="64"/>
        <v>0</v>
      </c>
      <c r="DT22" s="1206">
        <f t="shared" si="64"/>
        <v>0</v>
      </c>
      <c r="DU22" s="1206">
        <f t="shared" si="64"/>
        <v>0</v>
      </c>
      <c r="DV22" s="1206">
        <f t="shared" si="64"/>
        <v>0</v>
      </c>
      <c r="DW22" s="1206">
        <f t="shared" si="64"/>
        <v>0</v>
      </c>
      <c r="DX22" s="1206">
        <f t="shared" si="64"/>
        <v>0</v>
      </c>
      <c r="DY22" s="1206">
        <f t="shared" si="64"/>
        <v>0</v>
      </c>
      <c r="DZ22" s="1206">
        <f t="shared" si="64"/>
        <v>0</v>
      </c>
      <c r="EA22" s="1206">
        <f t="shared" si="64"/>
        <v>0</v>
      </c>
      <c r="EB22" s="1200">
        <f t="shared" si="48"/>
        <v>0</v>
      </c>
      <c r="EC22" s="1200">
        <f t="shared" si="48"/>
        <v>0</v>
      </c>
      <c r="ED22" s="1200">
        <f t="shared" si="48"/>
        <v>9</v>
      </c>
      <c r="EE22" s="1200">
        <f t="shared" si="48"/>
        <v>11</v>
      </c>
      <c r="EF22" s="1200">
        <f t="shared" si="48"/>
        <v>18</v>
      </c>
      <c r="EG22" s="1200">
        <f t="shared" si="48"/>
        <v>32</v>
      </c>
      <c r="EH22" s="1200">
        <f t="shared" si="49"/>
        <v>33</v>
      </c>
      <c r="EI22" s="1200">
        <f t="shared" si="50"/>
        <v>20</v>
      </c>
      <c r="EJ22" s="1200">
        <f t="shared" si="51"/>
        <v>51</v>
      </c>
      <c r="EK22" s="1198">
        <f t="shared" si="52"/>
        <v>51</v>
      </c>
      <c r="EL22" s="1198">
        <f>SUM(BF22:BI22)</f>
        <v>68</v>
      </c>
      <c r="EM22" s="1198">
        <f t="shared" si="53"/>
        <v>82</v>
      </c>
      <c r="EN22" s="1198">
        <f t="shared" si="54"/>
        <v>30</v>
      </c>
      <c r="EO22" s="1198">
        <f t="shared" si="55"/>
        <v>20</v>
      </c>
      <c r="EP22" s="1198">
        <f t="shared" si="56"/>
        <v>3</v>
      </c>
      <c r="EQ22" s="1198"/>
      <c r="ER22" s="1198"/>
      <c r="ES22" s="1198">
        <f t="shared" si="57"/>
        <v>-22</v>
      </c>
      <c r="ET22" s="1198"/>
      <c r="EU22" s="1198">
        <f t="shared" si="58"/>
        <v>0</v>
      </c>
      <c r="EV22" s="1198">
        <f>SUM(CT22:CW22)</f>
        <v>0</v>
      </c>
      <c r="EW22" s="1198">
        <f t="shared" si="62"/>
        <v>0</v>
      </c>
      <c r="EX22" s="39"/>
      <c r="EY22" s="39"/>
      <c r="EZ22" s="1567"/>
      <c r="FE22" s="3"/>
      <c r="FF22" s="3"/>
      <c r="FG22" s="3"/>
      <c r="FH22" s="3"/>
      <c r="FI22" s="671"/>
      <c r="FJ22"/>
      <c r="FK22"/>
      <c r="FL22"/>
      <c r="FM22"/>
      <c r="FN22"/>
      <c r="FO22"/>
      <c r="FP22" s="3"/>
      <c r="FS22" s="7"/>
      <c r="FT22" s="7"/>
      <c r="FU22"/>
      <c r="FV22"/>
      <c r="FW22" s="7"/>
      <c r="FX22" s="7"/>
      <c r="FY22" s="7"/>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row>
    <row r="23" spans="1:260" s="4" customFormat="1" hidden="1" outlineLevel="2" x14ac:dyDescent="0.2">
      <c r="A23" s="1207" t="s">
        <v>112</v>
      </c>
      <c r="B23" s="1200"/>
      <c r="C23" s="1200"/>
      <c r="D23" s="1200"/>
      <c r="E23" s="1201"/>
      <c r="F23" s="1200"/>
      <c r="G23" s="1200"/>
      <c r="H23" s="1200"/>
      <c r="I23" s="1201"/>
      <c r="J23" s="1200"/>
      <c r="K23" s="1200"/>
      <c r="L23" s="1200"/>
      <c r="M23" s="1201"/>
      <c r="N23" s="1200"/>
      <c r="O23" s="1206">
        <f t="shared" ref="O23:AO23" si="65">+O14-N14</f>
        <v>0</v>
      </c>
      <c r="P23" s="1206">
        <f t="shared" si="65"/>
        <v>0</v>
      </c>
      <c r="Q23" s="1208">
        <f t="shared" si="65"/>
        <v>-1</v>
      </c>
      <c r="R23" s="1206">
        <f t="shared" si="65"/>
        <v>0</v>
      </c>
      <c r="S23" s="1206">
        <f t="shared" si="65"/>
        <v>0</v>
      </c>
      <c r="T23" s="1206">
        <f t="shared" si="65"/>
        <v>0</v>
      </c>
      <c r="U23" s="1208">
        <f t="shared" si="65"/>
        <v>0</v>
      </c>
      <c r="V23" s="1206">
        <f t="shared" si="65"/>
        <v>0</v>
      </c>
      <c r="W23" s="1206">
        <f t="shared" si="65"/>
        <v>1</v>
      </c>
      <c r="X23" s="1206">
        <f t="shared" si="65"/>
        <v>-1</v>
      </c>
      <c r="Y23" s="1208">
        <f t="shared" si="65"/>
        <v>0</v>
      </c>
      <c r="Z23" s="1206">
        <f t="shared" si="65"/>
        <v>1</v>
      </c>
      <c r="AA23" s="1206">
        <f t="shared" si="65"/>
        <v>0</v>
      </c>
      <c r="AB23" s="1206">
        <f t="shared" si="65"/>
        <v>-1</v>
      </c>
      <c r="AC23" s="1208">
        <f t="shared" si="65"/>
        <v>0</v>
      </c>
      <c r="AD23" s="1206">
        <f t="shared" si="65"/>
        <v>1</v>
      </c>
      <c r="AE23" s="1206">
        <f t="shared" si="65"/>
        <v>0</v>
      </c>
      <c r="AF23" s="1206">
        <f t="shared" si="65"/>
        <v>-1</v>
      </c>
      <c r="AG23" s="1208">
        <f t="shared" si="65"/>
        <v>-1</v>
      </c>
      <c r="AH23" s="1206">
        <f t="shared" si="65"/>
        <v>1</v>
      </c>
      <c r="AI23" s="1206">
        <f t="shared" si="65"/>
        <v>0</v>
      </c>
      <c r="AJ23" s="1206">
        <f t="shared" si="65"/>
        <v>-1</v>
      </c>
      <c r="AK23" s="1208">
        <f t="shared" si="65"/>
        <v>-1</v>
      </c>
      <c r="AL23" s="1206">
        <f t="shared" si="65"/>
        <v>-1</v>
      </c>
      <c r="AM23" s="1206">
        <f t="shared" si="65"/>
        <v>0</v>
      </c>
      <c r="AN23" s="1206">
        <f t="shared" si="65"/>
        <v>0</v>
      </c>
      <c r="AO23" s="1208">
        <f t="shared" si="65"/>
        <v>0</v>
      </c>
      <c r="AP23" s="1206">
        <v>-1</v>
      </c>
      <c r="AQ23" s="1206">
        <v>0</v>
      </c>
      <c r="AR23" s="1206">
        <v>0</v>
      </c>
      <c r="AS23" s="470">
        <v>0</v>
      </c>
      <c r="AT23" s="1206">
        <v>0</v>
      </c>
      <c r="AU23" s="1206">
        <v>0</v>
      </c>
      <c r="AV23" s="1206">
        <v>-2</v>
      </c>
      <c r="AW23" s="1208">
        <v>0</v>
      </c>
      <c r="AX23" s="1206">
        <v>0</v>
      </c>
      <c r="AY23" s="1206">
        <v>-1</v>
      </c>
      <c r="AZ23" s="1206">
        <v>0</v>
      </c>
      <c r="BA23" s="1208">
        <v>0</v>
      </c>
      <c r="BB23" s="1206">
        <v>0</v>
      </c>
      <c r="BC23" s="1206">
        <v>0</v>
      </c>
      <c r="BD23" s="1206">
        <v>-3</v>
      </c>
      <c r="BE23" s="1208">
        <v>0</v>
      </c>
      <c r="BF23" s="1206">
        <v>0</v>
      </c>
      <c r="BG23" s="1198">
        <v>-1</v>
      </c>
      <c r="BH23" s="1198">
        <v>-1</v>
      </c>
      <c r="BI23" s="1204">
        <v>0</v>
      </c>
      <c r="BJ23" s="1198">
        <v>0</v>
      </c>
      <c r="BK23" s="1198">
        <v>0</v>
      </c>
      <c r="BL23" s="1198">
        <v>-1</v>
      </c>
      <c r="BM23" s="1204">
        <v>-2</v>
      </c>
      <c r="BN23" s="1198">
        <v>0</v>
      </c>
      <c r="BO23" s="1198">
        <v>0</v>
      </c>
      <c r="BP23" s="1198">
        <v>3</v>
      </c>
      <c r="BQ23" s="1204">
        <f t="shared" si="37"/>
        <v>0</v>
      </c>
      <c r="BR23" s="1198">
        <f t="shared" si="38"/>
        <v>0</v>
      </c>
      <c r="BS23" s="1198">
        <f t="shared" si="39"/>
        <v>3</v>
      </c>
      <c r="BT23" s="1198">
        <f t="shared" si="39"/>
        <v>0</v>
      </c>
      <c r="BU23" s="1204">
        <f t="shared" si="39"/>
        <v>0</v>
      </c>
      <c r="BV23" s="1198">
        <f t="shared" si="40"/>
        <v>1</v>
      </c>
      <c r="BW23" s="1198">
        <f t="shared" si="41"/>
        <v>1</v>
      </c>
      <c r="BX23" s="1198">
        <f t="shared" si="41"/>
        <v>0</v>
      </c>
      <c r="BY23" s="1204">
        <f t="shared" si="41"/>
        <v>4</v>
      </c>
      <c r="BZ23" s="1198"/>
      <c r="CA23" s="1198"/>
      <c r="CB23" s="1198"/>
      <c r="CC23" s="1204"/>
      <c r="CD23" s="1198"/>
      <c r="CE23" s="1198"/>
      <c r="CF23" s="1198"/>
      <c r="CG23" s="1204"/>
      <c r="CH23" s="1198">
        <f t="shared" si="42"/>
        <v>0</v>
      </c>
      <c r="CI23" s="1198">
        <f t="shared" si="43"/>
        <v>-2</v>
      </c>
      <c r="CJ23" s="1198">
        <f t="shared" si="43"/>
        <v>0</v>
      </c>
      <c r="CK23" s="1204">
        <f t="shared" si="43"/>
        <v>0</v>
      </c>
      <c r="CL23" s="1198"/>
      <c r="CM23" s="1198"/>
      <c r="CN23" s="1198"/>
      <c r="CO23" s="1204"/>
      <c r="CP23" s="1198">
        <f t="shared" si="44"/>
        <v>0</v>
      </c>
      <c r="CQ23" s="1198">
        <f t="shared" si="45"/>
        <v>0</v>
      </c>
      <c r="CR23" s="1198">
        <f t="shared" si="45"/>
        <v>0</v>
      </c>
      <c r="CS23" s="1204">
        <v>0</v>
      </c>
      <c r="CT23" s="1198">
        <v>0</v>
      </c>
      <c r="CU23" s="1198">
        <v>0</v>
      </c>
      <c r="CV23" s="1198">
        <v>0</v>
      </c>
      <c r="CW23" s="1204">
        <v>0</v>
      </c>
      <c r="CX23" s="1198">
        <v>0</v>
      </c>
      <c r="CY23" s="1198">
        <f t="shared" si="46"/>
        <v>0</v>
      </c>
      <c r="CZ23" s="1198">
        <f t="shared" si="60"/>
        <v>0</v>
      </c>
      <c r="DA23" s="1204">
        <f t="shared" si="60"/>
        <v>0</v>
      </c>
      <c r="DB23" s="1198">
        <f t="shared" si="60"/>
        <v>0</v>
      </c>
      <c r="DC23" s="1198">
        <f t="shared" si="60"/>
        <v>0</v>
      </c>
      <c r="DD23" s="1198">
        <f t="shared" si="60"/>
        <v>0</v>
      </c>
      <c r="DE23" s="1957">
        <f t="shared" si="60"/>
        <v>0</v>
      </c>
      <c r="DF23" s="1958"/>
      <c r="DG23" s="1958"/>
      <c r="DH23" s="1958"/>
      <c r="DI23" s="1957"/>
      <c r="DJ23" s="2722"/>
      <c r="DK23" s="1958"/>
      <c r="DL23" s="1958"/>
      <c r="DM23" s="1957"/>
      <c r="DO23" s="470"/>
      <c r="DP23" s="1206"/>
      <c r="DQ23" s="1206"/>
      <c r="DR23" s="1206">
        <f t="shared" ref="DR23:EA23" si="66">DR14-DQ14</f>
        <v>0</v>
      </c>
      <c r="DS23" s="1206">
        <f t="shared" si="66"/>
        <v>0</v>
      </c>
      <c r="DT23" s="1206">
        <f t="shared" si="66"/>
        <v>0</v>
      </c>
      <c r="DU23" s="1206">
        <f t="shared" si="66"/>
        <v>0</v>
      </c>
      <c r="DV23" s="1206">
        <f t="shared" si="66"/>
        <v>0</v>
      </c>
      <c r="DW23" s="1206">
        <f t="shared" si="66"/>
        <v>39</v>
      </c>
      <c r="DX23" s="1206">
        <f t="shared" si="66"/>
        <v>11</v>
      </c>
      <c r="DY23" s="1206">
        <f t="shared" si="66"/>
        <v>-2</v>
      </c>
      <c r="DZ23" s="1206">
        <f t="shared" si="66"/>
        <v>-12</v>
      </c>
      <c r="EA23" s="1206">
        <f t="shared" si="66"/>
        <v>-2</v>
      </c>
      <c r="EB23" s="1200">
        <f t="shared" si="48"/>
        <v>0</v>
      </c>
      <c r="EC23" s="1200">
        <f t="shared" si="48"/>
        <v>0</v>
      </c>
      <c r="ED23" s="1200">
        <f t="shared" si="48"/>
        <v>0</v>
      </c>
      <c r="EE23" s="1200">
        <f t="shared" si="48"/>
        <v>-1</v>
      </c>
      <c r="EF23" s="1200">
        <f t="shared" si="48"/>
        <v>-1</v>
      </c>
      <c r="EG23" s="1200">
        <f t="shared" si="48"/>
        <v>-1</v>
      </c>
      <c r="EH23" s="1200">
        <f t="shared" si="49"/>
        <v>-1</v>
      </c>
      <c r="EI23" s="1200">
        <f t="shared" si="50"/>
        <v>-2</v>
      </c>
      <c r="EJ23" s="1200">
        <f t="shared" si="51"/>
        <v>-1</v>
      </c>
      <c r="EK23" s="1202">
        <f t="shared" si="52"/>
        <v>-3</v>
      </c>
      <c r="EL23" s="1198">
        <v>0</v>
      </c>
      <c r="EM23" s="1198">
        <f t="shared" si="53"/>
        <v>-3</v>
      </c>
      <c r="EN23" s="1198">
        <f t="shared" si="54"/>
        <v>3</v>
      </c>
      <c r="EO23" s="1198">
        <f t="shared" si="55"/>
        <v>3</v>
      </c>
      <c r="EP23" s="1198">
        <f t="shared" si="56"/>
        <v>6</v>
      </c>
      <c r="EQ23" s="1198"/>
      <c r="ER23" s="1198"/>
      <c r="ES23" s="1198">
        <f t="shared" si="57"/>
        <v>-2</v>
      </c>
      <c r="ET23" s="1198"/>
      <c r="EU23" s="1198">
        <f t="shared" si="58"/>
        <v>0</v>
      </c>
      <c r="EV23" s="1198">
        <f>SUM(CT23:CW23)</f>
        <v>0</v>
      </c>
      <c r="EW23" s="1198">
        <f t="shared" si="62"/>
        <v>0</v>
      </c>
      <c r="EX23" s="39"/>
      <c r="EY23" s="39"/>
      <c r="EZ23" s="1567"/>
      <c r="FA23" s="1202"/>
      <c r="FB23" s="1202"/>
      <c r="FC23" s="1202"/>
      <c r="FD23" s="1202"/>
      <c r="FE23" s="1370"/>
      <c r="FF23" s="1370"/>
      <c r="FG23" s="1370"/>
      <c r="FH23" s="1370"/>
      <c r="FI23" s="1382"/>
      <c r="FJ23"/>
      <c r="FK23"/>
      <c r="FL23"/>
      <c r="FM23"/>
      <c r="FN23"/>
      <c r="FO23"/>
      <c r="FP23" s="3"/>
      <c r="FS23" s="1370"/>
      <c r="FT23" s="1370"/>
      <c r="FU23"/>
      <c r="FV23"/>
      <c r="FW23" s="1370"/>
      <c r="FX23" s="1370"/>
      <c r="FY23" s="1370"/>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row>
    <row r="24" spans="1:260" s="4" customFormat="1" hidden="1" outlineLevel="2" x14ac:dyDescent="0.2">
      <c r="A24" s="1207" t="s">
        <v>143</v>
      </c>
      <c r="B24" s="1200"/>
      <c r="C24" s="1200"/>
      <c r="D24" s="1200"/>
      <c r="E24" s="1201"/>
      <c r="F24" s="1200"/>
      <c r="G24" s="1200"/>
      <c r="H24" s="1200"/>
      <c r="I24" s="1201"/>
      <c r="J24" s="1200"/>
      <c r="K24" s="1200"/>
      <c r="L24" s="1200"/>
      <c r="M24" s="1201"/>
      <c r="N24" s="1200"/>
      <c r="O24" s="1206">
        <f t="shared" ref="O24:AO24" si="67">+O15-N15</f>
        <v>2</v>
      </c>
      <c r="P24" s="1206">
        <f t="shared" si="67"/>
        <v>15</v>
      </c>
      <c r="Q24" s="1208">
        <f t="shared" si="67"/>
        <v>1</v>
      </c>
      <c r="R24" s="1206">
        <f t="shared" si="67"/>
        <v>4</v>
      </c>
      <c r="S24" s="1206">
        <f t="shared" si="67"/>
        <v>7</v>
      </c>
      <c r="T24" s="1206">
        <f t="shared" si="67"/>
        <v>7</v>
      </c>
      <c r="U24" s="1208">
        <f t="shared" si="67"/>
        <v>0</v>
      </c>
      <c r="V24" s="1206">
        <f t="shared" si="67"/>
        <v>5</v>
      </c>
      <c r="W24" s="1206">
        <f t="shared" si="67"/>
        <v>0</v>
      </c>
      <c r="X24" s="1206">
        <f t="shared" si="67"/>
        <v>27</v>
      </c>
      <c r="Y24" s="1208">
        <f t="shared" si="67"/>
        <v>0</v>
      </c>
      <c r="Z24" s="1206">
        <f t="shared" si="67"/>
        <v>3</v>
      </c>
      <c r="AA24" s="1206">
        <f t="shared" si="67"/>
        <v>17</v>
      </c>
      <c r="AB24" s="1206">
        <f t="shared" si="67"/>
        <v>29</v>
      </c>
      <c r="AC24" s="1208">
        <f t="shared" si="67"/>
        <v>0</v>
      </c>
      <c r="AD24" s="1206">
        <f t="shared" si="67"/>
        <v>4</v>
      </c>
      <c r="AE24" s="1206">
        <f t="shared" si="67"/>
        <v>6</v>
      </c>
      <c r="AF24" s="1206">
        <f t="shared" si="67"/>
        <v>44</v>
      </c>
      <c r="AG24" s="1208">
        <f t="shared" si="67"/>
        <v>5</v>
      </c>
      <c r="AH24" s="1206">
        <f t="shared" si="67"/>
        <v>5</v>
      </c>
      <c r="AI24" s="1206">
        <f t="shared" si="67"/>
        <v>9</v>
      </c>
      <c r="AJ24" s="1206">
        <f t="shared" si="67"/>
        <v>30</v>
      </c>
      <c r="AK24" s="1208">
        <f t="shared" si="67"/>
        <v>5</v>
      </c>
      <c r="AL24" s="1206">
        <f t="shared" si="67"/>
        <v>6</v>
      </c>
      <c r="AM24" s="1206">
        <f t="shared" si="67"/>
        <v>14</v>
      </c>
      <c r="AN24" s="1206">
        <f t="shared" si="67"/>
        <v>20</v>
      </c>
      <c r="AO24" s="1208">
        <f t="shared" si="67"/>
        <v>0</v>
      </c>
      <c r="AP24" s="1206">
        <v>3</v>
      </c>
      <c r="AQ24" s="1206">
        <v>3</v>
      </c>
      <c r="AR24" s="1206">
        <v>18</v>
      </c>
      <c r="AS24" s="470">
        <v>4</v>
      </c>
      <c r="AT24" s="1206">
        <v>2</v>
      </c>
      <c r="AU24" s="1206">
        <v>5</v>
      </c>
      <c r="AV24" s="1206">
        <v>7</v>
      </c>
      <c r="AW24" s="1208">
        <v>4</v>
      </c>
      <c r="AX24" s="1206">
        <v>3</v>
      </c>
      <c r="AY24" s="1206">
        <v>2</v>
      </c>
      <c r="AZ24" s="1206">
        <v>7</v>
      </c>
      <c r="BA24" s="1208">
        <v>2</v>
      </c>
      <c r="BB24" s="1206">
        <v>3</v>
      </c>
      <c r="BC24" s="1206">
        <v>3</v>
      </c>
      <c r="BD24" s="1206">
        <v>18</v>
      </c>
      <c r="BE24" s="1208">
        <v>2</v>
      </c>
      <c r="BF24" s="1206">
        <v>4</v>
      </c>
      <c r="BG24" s="1198">
        <v>8</v>
      </c>
      <c r="BH24" s="1198">
        <v>13</v>
      </c>
      <c r="BI24" s="1204">
        <v>2</v>
      </c>
      <c r="BJ24" s="1198">
        <v>6</v>
      </c>
      <c r="BK24" s="1198">
        <v>5</v>
      </c>
      <c r="BL24" s="1198">
        <v>2</v>
      </c>
      <c r="BM24" s="1204">
        <v>1</v>
      </c>
      <c r="BN24" s="1198">
        <v>2</v>
      </c>
      <c r="BO24" s="1198">
        <v>2</v>
      </c>
      <c r="BP24" s="1198">
        <v>5</v>
      </c>
      <c r="BQ24" s="1204">
        <f t="shared" si="37"/>
        <v>-1</v>
      </c>
      <c r="BR24" s="1198">
        <f t="shared" si="38"/>
        <v>0</v>
      </c>
      <c r="BS24" s="1198">
        <f t="shared" si="39"/>
        <v>2</v>
      </c>
      <c r="BT24" s="1198">
        <f t="shared" si="39"/>
        <v>2</v>
      </c>
      <c r="BU24" s="1204">
        <f t="shared" si="39"/>
        <v>0</v>
      </c>
      <c r="BV24" s="1198">
        <f t="shared" si="40"/>
        <v>1</v>
      </c>
      <c r="BW24" s="1198">
        <f t="shared" si="41"/>
        <v>1</v>
      </c>
      <c r="BX24" s="1198">
        <f t="shared" si="41"/>
        <v>-1</v>
      </c>
      <c r="BY24" s="1204">
        <f t="shared" si="41"/>
        <v>-3</v>
      </c>
      <c r="BZ24" s="1198"/>
      <c r="CA24" s="1198"/>
      <c r="CB24" s="1198"/>
      <c r="CC24" s="1204"/>
      <c r="CD24" s="1198"/>
      <c r="CE24" s="1198"/>
      <c r="CF24" s="1198"/>
      <c r="CG24" s="1204"/>
      <c r="CH24" s="1198">
        <f t="shared" si="42"/>
        <v>0</v>
      </c>
      <c r="CI24" s="1198">
        <f t="shared" si="43"/>
        <v>-12</v>
      </c>
      <c r="CJ24" s="1198">
        <f t="shared" si="43"/>
        <v>-3</v>
      </c>
      <c r="CK24" s="1204">
        <f t="shared" si="43"/>
        <v>0</v>
      </c>
      <c r="CL24" s="1198"/>
      <c r="CM24" s="1198"/>
      <c r="CN24" s="1198"/>
      <c r="CO24" s="1204"/>
      <c r="CP24" s="1198">
        <f t="shared" si="44"/>
        <v>-1</v>
      </c>
      <c r="CQ24" s="1198">
        <f t="shared" si="45"/>
        <v>0</v>
      </c>
      <c r="CR24" s="1198">
        <f t="shared" si="45"/>
        <v>0</v>
      </c>
      <c r="CS24" s="1204">
        <f>CS15-CR15</f>
        <v>0</v>
      </c>
      <c r="CT24" s="1198">
        <v>-2</v>
      </c>
      <c r="CU24" s="1198">
        <v>0</v>
      </c>
      <c r="CV24" s="1198">
        <v>-1</v>
      </c>
      <c r="CW24" s="1204">
        <v>0</v>
      </c>
      <c r="CX24" s="1198">
        <v>0</v>
      </c>
      <c r="CY24" s="1198">
        <f t="shared" si="46"/>
        <v>0</v>
      </c>
      <c r="CZ24" s="1198">
        <f t="shared" si="60"/>
        <v>0</v>
      </c>
      <c r="DA24" s="1204">
        <f t="shared" si="60"/>
        <v>0</v>
      </c>
      <c r="DB24" s="1198">
        <f t="shared" si="60"/>
        <v>0</v>
      </c>
      <c r="DC24" s="1198">
        <f t="shared" si="60"/>
        <v>0</v>
      </c>
      <c r="DD24" s="1198">
        <f t="shared" si="60"/>
        <v>0</v>
      </c>
      <c r="DE24" s="1957">
        <f t="shared" si="60"/>
        <v>0</v>
      </c>
      <c r="DF24" s="1958"/>
      <c r="DG24" s="1958"/>
      <c r="DH24" s="1958"/>
      <c r="DI24" s="1957"/>
      <c r="DJ24" s="2722"/>
      <c r="DK24" s="1958"/>
      <c r="DL24" s="1958"/>
      <c r="DM24" s="1957"/>
      <c r="DO24" s="470"/>
      <c r="DP24" s="1206"/>
      <c r="DQ24" s="1206"/>
      <c r="DR24" s="1206">
        <f t="shared" ref="DR24:EA24" si="68">DR15-DQ15</f>
        <v>0</v>
      </c>
      <c r="DS24" s="1206">
        <f t="shared" si="68"/>
        <v>0</v>
      </c>
      <c r="DT24" s="1206">
        <f t="shared" si="68"/>
        <v>0</v>
      </c>
      <c r="DU24" s="1206">
        <f t="shared" si="68"/>
        <v>0</v>
      </c>
      <c r="DV24" s="1206">
        <f t="shared" si="68"/>
        <v>0</v>
      </c>
      <c r="DW24" s="1206">
        <f t="shared" si="68"/>
        <v>0</v>
      </c>
      <c r="DX24" s="1206">
        <f t="shared" si="68"/>
        <v>31</v>
      </c>
      <c r="DY24" s="1206">
        <f t="shared" si="68"/>
        <v>44</v>
      </c>
      <c r="DZ24" s="1206">
        <f t="shared" si="68"/>
        <v>37</v>
      </c>
      <c r="EA24" s="1206">
        <f t="shared" si="68"/>
        <v>20</v>
      </c>
      <c r="EB24" s="1200">
        <f t="shared" si="48"/>
        <v>18</v>
      </c>
      <c r="EC24" s="1200">
        <f t="shared" si="48"/>
        <v>32</v>
      </c>
      <c r="ED24" s="1200">
        <f t="shared" si="48"/>
        <v>49</v>
      </c>
      <c r="EE24" s="1200">
        <f t="shared" si="48"/>
        <v>59</v>
      </c>
      <c r="EF24" s="1200">
        <f t="shared" si="48"/>
        <v>49</v>
      </c>
      <c r="EG24" s="1200">
        <f t="shared" si="48"/>
        <v>40</v>
      </c>
      <c r="EH24" s="1200">
        <f t="shared" si="49"/>
        <v>28</v>
      </c>
      <c r="EI24" s="1200">
        <f t="shared" si="50"/>
        <v>18</v>
      </c>
      <c r="EJ24" s="1200">
        <f t="shared" si="51"/>
        <v>14</v>
      </c>
      <c r="EK24" s="1202">
        <f t="shared" si="52"/>
        <v>26</v>
      </c>
      <c r="EL24" s="1198">
        <f>SUM(BF24:BI24)</f>
        <v>27</v>
      </c>
      <c r="EM24" s="1198">
        <f t="shared" si="53"/>
        <v>14</v>
      </c>
      <c r="EN24" s="1198">
        <f t="shared" si="54"/>
        <v>8</v>
      </c>
      <c r="EO24" s="1198">
        <f t="shared" si="55"/>
        <v>4</v>
      </c>
      <c r="EP24" s="1198">
        <f t="shared" si="56"/>
        <v>-2</v>
      </c>
      <c r="EQ24" s="1198"/>
      <c r="ER24" s="1198"/>
      <c r="ES24" s="1198">
        <f t="shared" si="57"/>
        <v>-15</v>
      </c>
      <c r="ET24" s="1198"/>
      <c r="EU24" s="1198">
        <f>SUM(CP24:CS24)</f>
        <v>-1</v>
      </c>
      <c r="EV24" s="1198">
        <v>-3</v>
      </c>
      <c r="EW24" s="1198">
        <f t="shared" si="62"/>
        <v>0</v>
      </c>
      <c r="EX24" s="39"/>
      <c r="EY24" s="39"/>
      <c r="EZ24" s="1567"/>
      <c r="FE24" s="3"/>
      <c r="FF24" s="3"/>
      <c r="FG24" s="3"/>
      <c r="FH24" s="3"/>
      <c r="FI24" s="671"/>
      <c r="FJ24"/>
      <c r="FK24"/>
      <c r="FL24"/>
      <c r="FM24"/>
      <c r="FN24"/>
      <c r="FO24"/>
      <c r="FP24" s="3"/>
      <c r="FS24" s="7"/>
      <c r="FT24" s="7"/>
      <c r="FU24"/>
      <c r="FV24"/>
      <c r="FW24" s="7"/>
      <c r="FX24" s="7"/>
      <c r="FY24" s="7"/>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row>
    <row r="25" spans="1:260" s="4" customFormat="1" hidden="1" outlineLevel="2" x14ac:dyDescent="0.2">
      <c r="A25" s="1207" t="s">
        <v>326</v>
      </c>
      <c r="B25" s="1200"/>
      <c r="C25" s="1200"/>
      <c r="D25" s="1200"/>
      <c r="E25" s="1201"/>
      <c r="F25" s="1200"/>
      <c r="G25" s="1200"/>
      <c r="H25" s="1200"/>
      <c r="I25" s="1201"/>
      <c r="J25" s="1200"/>
      <c r="K25" s="1200"/>
      <c r="L25" s="1200"/>
      <c r="M25" s="1201"/>
      <c r="N25" s="1200"/>
      <c r="O25" s="1206">
        <f t="shared" ref="O25:AO25" si="69">+O16-N16</f>
        <v>2</v>
      </c>
      <c r="P25" s="1206">
        <f t="shared" si="69"/>
        <v>1</v>
      </c>
      <c r="Q25" s="1208">
        <f t="shared" si="69"/>
        <v>0</v>
      </c>
      <c r="R25" s="1206">
        <f t="shared" si="69"/>
        <v>0</v>
      </c>
      <c r="S25" s="1206">
        <f t="shared" si="69"/>
        <v>0</v>
      </c>
      <c r="T25" s="1206">
        <f t="shared" si="69"/>
        <v>0</v>
      </c>
      <c r="U25" s="1208">
        <f t="shared" si="69"/>
        <v>0</v>
      </c>
      <c r="V25" s="1206">
        <f t="shared" si="69"/>
        <v>0</v>
      </c>
      <c r="W25" s="1206">
        <f t="shared" si="69"/>
        <v>0</v>
      </c>
      <c r="X25" s="1206">
        <f t="shared" si="69"/>
        <v>0</v>
      </c>
      <c r="Y25" s="1208">
        <f t="shared" si="69"/>
        <v>0</v>
      </c>
      <c r="Z25" s="1206">
        <f t="shared" si="69"/>
        <v>0</v>
      </c>
      <c r="AA25" s="1206">
        <f t="shared" si="69"/>
        <v>0</v>
      </c>
      <c r="AB25" s="1206">
        <f t="shared" si="69"/>
        <v>0</v>
      </c>
      <c r="AC25" s="1208">
        <f t="shared" si="69"/>
        <v>0</v>
      </c>
      <c r="AD25" s="1206">
        <f t="shared" si="69"/>
        <v>0</v>
      </c>
      <c r="AE25" s="1206">
        <f t="shared" si="69"/>
        <v>0</v>
      </c>
      <c r="AF25" s="1206">
        <f t="shared" si="69"/>
        <v>-1</v>
      </c>
      <c r="AG25" s="1208">
        <f t="shared" si="69"/>
        <v>0</v>
      </c>
      <c r="AH25" s="1206">
        <f t="shared" si="69"/>
        <v>1</v>
      </c>
      <c r="AI25" s="1206">
        <f t="shared" si="69"/>
        <v>0</v>
      </c>
      <c r="AJ25" s="1206">
        <f t="shared" si="69"/>
        <v>0</v>
      </c>
      <c r="AK25" s="1208">
        <f t="shared" si="69"/>
        <v>0</v>
      </c>
      <c r="AL25" s="1206">
        <f t="shared" si="69"/>
        <v>0</v>
      </c>
      <c r="AM25" s="1206">
        <f t="shared" si="69"/>
        <v>-1</v>
      </c>
      <c r="AN25" s="1206">
        <f t="shared" si="69"/>
        <v>-1</v>
      </c>
      <c r="AO25" s="1208">
        <f t="shared" si="69"/>
        <v>0</v>
      </c>
      <c r="AP25" s="1206">
        <v>-1</v>
      </c>
      <c r="AQ25" s="1206">
        <v>0</v>
      </c>
      <c r="AR25" s="1206">
        <v>-1</v>
      </c>
      <c r="AS25" s="470">
        <v>0</v>
      </c>
      <c r="AT25" s="1206">
        <v>0</v>
      </c>
      <c r="AU25" s="1206">
        <v>-1</v>
      </c>
      <c r="AV25" s="1206">
        <v>1</v>
      </c>
      <c r="AW25" s="1208">
        <v>-1</v>
      </c>
      <c r="AX25" s="1206">
        <v>-1</v>
      </c>
      <c r="AY25" s="1206">
        <v>0</v>
      </c>
      <c r="AZ25" s="1206">
        <v>1</v>
      </c>
      <c r="BA25" s="1208">
        <v>0</v>
      </c>
      <c r="BB25" s="1206">
        <v>0</v>
      </c>
      <c r="BC25" s="1206">
        <v>0</v>
      </c>
      <c r="BD25" s="1206">
        <v>-2</v>
      </c>
      <c r="BE25" s="1208">
        <v>0</v>
      </c>
      <c r="BF25" s="1206">
        <v>0</v>
      </c>
      <c r="BG25" s="1198">
        <v>0</v>
      </c>
      <c r="BH25" s="1198">
        <v>0</v>
      </c>
      <c r="BI25" s="1204">
        <v>0</v>
      </c>
      <c r="BJ25" s="1198">
        <v>0</v>
      </c>
      <c r="BK25" s="1198">
        <v>0</v>
      </c>
      <c r="BL25" s="1198">
        <v>0</v>
      </c>
      <c r="BM25" s="1204">
        <v>0</v>
      </c>
      <c r="BN25" s="1198">
        <v>0</v>
      </c>
      <c r="BO25" s="1198">
        <v>0</v>
      </c>
      <c r="BP25" s="1198">
        <v>0</v>
      </c>
      <c r="BQ25" s="1204">
        <f t="shared" si="37"/>
        <v>0</v>
      </c>
      <c r="BR25" s="1198">
        <f t="shared" si="38"/>
        <v>0</v>
      </c>
      <c r="BS25" s="1198">
        <f t="shared" si="39"/>
        <v>0</v>
      </c>
      <c r="BT25" s="1198">
        <f t="shared" si="39"/>
        <v>0</v>
      </c>
      <c r="BU25" s="1204">
        <f t="shared" si="39"/>
        <v>0</v>
      </c>
      <c r="BV25" s="1198">
        <f t="shared" si="40"/>
        <v>0</v>
      </c>
      <c r="BW25" s="1198">
        <f t="shared" si="41"/>
        <v>0</v>
      </c>
      <c r="BX25" s="1198">
        <f t="shared" si="41"/>
        <v>0</v>
      </c>
      <c r="BY25" s="1204">
        <f t="shared" si="41"/>
        <v>-2</v>
      </c>
      <c r="BZ25" s="1198"/>
      <c r="CA25" s="1198"/>
      <c r="CB25" s="1198"/>
      <c r="CC25" s="1204"/>
      <c r="CD25" s="1198"/>
      <c r="CE25" s="1198"/>
      <c r="CF25" s="1198"/>
      <c r="CG25" s="1204"/>
      <c r="CH25" s="1198">
        <f t="shared" si="42"/>
        <v>0</v>
      </c>
      <c r="CI25" s="1198">
        <f t="shared" si="43"/>
        <v>0</v>
      </c>
      <c r="CJ25" s="1198">
        <f t="shared" si="43"/>
        <v>0</v>
      </c>
      <c r="CK25" s="1204">
        <f t="shared" si="43"/>
        <v>0</v>
      </c>
      <c r="CL25" s="1198"/>
      <c r="CM25" s="1198"/>
      <c r="CN25" s="1198"/>
      <c r="CO25" s="1204"/>
      <c r="CP25" s="1198">
        <f t="shared" si="44"/>
        <v>0</v>
      </c>
      <c r="CQ25" s="1198">
        <f t="shared" si="45"/>
        <v>0</v>
      </c>
      <c r="CR25" s="1198">
        <f t="shared" si="45"/>
        <v>0</v>
      </c>
      <c r="CS25" s="1204">
        <v>0</v>
      </c>
      <c r="CT25" s="1198">
        <v>0</v>
      </c>
      <c r="CU25" s="1198">
        <v>0</v>
      </c>
      <c r="CV25" s="1198">
        <v>0</v>
      </c>
      <c r="CW25" s="1204">
        <v>0</v>
      </c>
      <c r="CX25" s="1198">
        <v>0</v>
      </c>
      <c r="CY25" s="1198">
        <f t="shared" si="46"/>
        <v>0</v>
      </c>
      <c r="CZ25" s="1198">
        <f t="shared" si="60"/>
        <v>0</v>
      </c>
      <c r="DA25" s="1204">
        <f t="shared" si="60"/>
        <v>0</v>
      </c>
      <c r="DB25" s="1198">
        <f t="shared" si="60"/>
        <v>0</v>
      </c>
      <c r="DC25" s="1198">
        <f t="shared" si="60"/>
        <v>0</v>
      </c>
      <c r="DD25" s="1198">
        <f t="shared" si="60"/>
        <v>0</v>
      </c>
      <c r="DE25" s="1957">
        <f t="shared" si="60"/>
        <v>0</v>
      </c>
      <c r="DF25" s="1958"/>
      <c r="DG25" s="1958"/>
      <c r="DH25" s="1958"/>
      <c r="DI25" s="1957"/>
      <c r="DJ25" s="2722"/>
      <c r="DK25" s="1958"/>
      <c r="DL25" s="1958"/>
      <c r="DM25" s="1957"/>
      <c r="DO25" s="470"/>
      <c r="DP25" s="1206"/>
      <c r="DQ25" s="1206"/>
      <c r="DR25" s="1206">
        <f t="shared" ref="DR25:EA25" si="70">DR16-DQ16</f>
        <v>0</v>
      </c>
      <c r="DS25" s="1206">
        <f t="shared" si="70"/>
        <v>0</v>
      </c>
      <c r="DT25" s="1206">
        <f t="shared" si="70"/>
        <v>0</v>
      </c>
      <c r="DU25" s="1206">
        <f t="shared" si="70"/>
        <v>0</v>
      </c>
      <c r="DV25" s="1206">
        <f t="shared" si="70"/>
        <v>0</v>
      </c>
      <c r="DW25" s="1206">
        <f t="shared" si="70"/>
        <v>0</v>
      </c>
      <c r="DX25" s="1206">
        <f t="shared" si="70"/>
        <v>0</v>
      </c>
      <c r="DY25" s="1206">
        <f t="shared" si="70"/>
        <v>14</v>
      </c>
      <c r="DZ25" s="1206">
        <f t="shared" si="70"/>
        <v>28</v>
      </c>
      <c r="EA25" s="1206">
        <f t="shared" si="70"/>
        <v>10</v>
      </c>
      <c r="EB25" s="1200">
        <f t="shared" si="48"/>
        <v>0</v>
      </c>
      <c r="EC25" s="1200">
        <f t="shared" si="48"/>
        <v>0</v>
      </c>
      <c r="ED25" s="1200">
        <f t="shared" si="48"/>
        <v>0</v>
      </c>
      <c r="EE25" s="1200">
        <f t="shared" si="48"/>
        <v>-1</v>
      </c>
      <c r="EF25" s="1200">
        <f t="shared" si="48"/>
        <v>1</v>
      </c>
      <c r="EG25" s="1200">
        <f t="shared" si="48"/>
        <v>-2</v>
      </c>
      <c r="EH25" s="1200">
        <f t="shared" si="49"/>
        <v>-2</v>
      </c>
      <c r="EI25" s="1200">
        <f t="shared" si="50"/>
        <v>-1</v>
      </c>
      <c r="EJ25" s="1200">
        <f t="shared" si="51"/>
        <v>0</v>
      </c>
      <c r="EK25" s="1200">
        <f t="shared" si="52"/>
        <v>-2</v>
      </c>
      <c r="EL25" s="1206">
        <v>0</v>
      </c>
      <c r="EM25" s="1198">
        <f t="shared" si="53"/>
        <v>0</v>
      </c>
      <c r="EN25" s="1198">
        <f t="shared" si="54"/>
        <v>0</v>
      </c>
      <c r="EO25" s="1198">
        <f t="shared" si="55"/>
        <v>0</v>
      </c>
      <c r="EP25" s="1198">
        <f t="shared" si="56"/>
        <v>-2</v>
      </c>
      <c r="EQ25" s="1198"/>
      <c r="ER25" s="1198"/>
      <c r="ES25" s="1198">
        <f t="shared" si="57"/>
        <v>0</v>
      </c>
      <c r="ET25" s="1198"/>
      <c r="EU25" s="1198">
        <f t="shared" si="58"/>
        <v>0</v>
      </c>
      <c r="EV25" s="1198">
        <f>SUM(CT25:CW25)</f>
        <v>0</v>
      </c>
      <c r="EW25" s="1198">
        <f t="shared" si="62"/>
        <v>0</v>
      </c>
      <c r="EX25" s="39"/>
      <c r="EY25" s="39"/>
      <c r="EZ25" s="1567"/>
      <c r="FA25" s="1202"/>
      <c r="FB25" s="1202"/>
      <c r="FC25" s="1202"/>
      <c r="FD25" s="1202"/>
      <c r="FE25" s="1370"/>
      <c r="FF25" s="1370"/>
      <c r="FG25" s="1370"/>
      <c r="FH25" s="1370"/>
      <c r="FI25" s="1382"/>
      <c r="FJ25"/>
      <c r="FK25"/>
      <c r="FL25"/>
      <c r="FM25"/>
      <c r="FN25"/>
      <c r="FO25"/>
      <c r="FP25" s="3"/>
      <c r="FS25" s="1370"/>
      <c r="FT25" s="1370"/>
      <c r="FU25"/>
      <c r="FV25"/>
      <c r="FW25" s="1370"/>
      <c r="FX25" s="1370"/>
      <c r="FY25" s="1370"/>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row>
    <row r="26" spans="1:260" s="1206" customFormat="1" ht="11.25" hidden="1" customHeight="1" outlineLevel="2" x14ac:dyDescent="0.2">
      <c r="A26" s="1199" t="s">
        <v>328</v>
      </c>
      <c r="B26" s="1200"/>
      <c r="C26" s="1200"/>
      <c r="D26" s="1200"/>
      <c r="E26" s="1201"/>
      <c r="F26" s="1200"/>
      <c r="G26" s="1200"/>
      <c r="H26" s="1200"/>
      <c r="I26" s="1201"/>
      <c r="J26" s="1200"/>
      <c r="K26" s="1200"/>
      <c r="L26" s="1200"/>
      <c r="M26" s="1201"/>
      <c r="N26" s="1200"/>
      <c r="O26" s="1200">
        <f t="shared" ref="O26:AO26" si="71">+O17-N17</f>
        <v>3</v>
      </c>
      <c r="P26" s="1200">
        <f t="shared" si="71"/>
        <v>10</v>
      </c>
      <c r="Q26" s="1201">
        <f t="shared" si="71"/>
        <v>0</v>
      </c>
      <c r="R26" s="1200">
        <f t="shared" si="71"/>
        <v>2</v>
      </c>
      <c r="S26" s="1200">
        <f t="shared" si="71"/>
        <v>6</v>
      </c>
      <c r="T26" s="1200">
        <f t="shared" si="71"/>
        <v>5</v>
      </c>
      <c r="U26" s="1201">
        <f t="shared" si="71"/>
        <v>-1</v>
      </c>
      <c r="V26" s="1200">
        <f t="shared" si="71"/>
        <v>5</v>
      </c>
      <c r="W26" s="1200">
        <f t="shared" si="71"/>
        <v>0</v>
      </c>
      <c r="X26" s="1200">
        <f t="shared" si="71"/>
        <v>23</v>
      </c>
      <c r="Y26" s="1201">
        <f t="shared" si="71"/>
        <v>-1</v>
      </c>
      <c r="Z26" s="1200">
        <f t="shared" si="71"/>
        <v>2</v>
      </c>
      <c r="AA26" s="1200">
        <f t="shared" si="71"/>
        <v>19</v>
      </c>
      <c r="AB26" s="1200">
        <f t="shared" si="71"/>
        <v>22</v>
      </c>
      <c r="AC26" s="1201">
        <f t="shared" si="71"/>
        <v>3</v>
      </c>
      <c r="AD26" s="1200">
        <f t="shared" si="71"/>
        <v>4</v>
      </c>
      <c r="AE26" s="1200">
        <f t="shared" si="71"/>
        <v>12</v>
      </c>
      <c r="AF26" s="1200">
        <f t="shared" si="71"/>
        <v>40</v>
      </c>
      <c r="AG26" s="1201">
        <f t="shared" si="71"/>
        <v>6</v>
      </c>
      <c r="AH26" s="1200">
        <f t="shared" si="71"/>
        <v>11</v>
      </c>
      <c r="AI26" s="1200">
        <f t="shared" si="71"/>
        <v>9</v>
      </c>
      <c r="AJ26" s="1200">
        <f t="shared" si="71"/>
        <v>39</v>
      </c>
      <c r="AK26" s="1201">
        <f t="shared" si="71"/>
        <v>3</v>
      </c>
      <c r="AL26" s="1200">
        <f t="shared" si="71"/>
        <v>12</v>
      </c>
      <c r="AM26" s="1200">
        <f t="shared" si="71"/>
        <v>22</v>
      </c>
      <c r="AN26" s="1200">
        <f t="shared" si="71"/>
        <v>31</v>
      </c>
      <c r="AO26" s="1201">
        <f t="shared" si="71"/>
        <v>2</v>
      </c>
      <c r="AP26" s="1200">
        <f t="shared" ref="AP26:BY26" si="72">SUM(AP20:AP25)</f>
        <v>4</v>
      </c>
      <c r="AQ26" s="1200">
        <f t="shared" si="72"/>
        <v>14</v>
      </c>
      <c r="AR26" s="1200">
        <f t="shared" si="72"/>
        <v>34</v>
      </c>
      <c r="AS26" s="470">
        <f t="shared" si="72"/>
        <v>8</v>
      </c>
      <c r="AT26" s="1200">
        <f t="shared" si="72"/>
        <v>11</v>
      </c>
      <c r="AU26" s="1200">
        <f t="shared" si="72"/>
        <v>9</v>
      </c>
      <c r="AV26" s="1200">
        <f t="shared" si="72"/>
        <v>31</v>
      </c>
      <c r="AW26" s="1201">
        <f t="shared" si="72"/>
        <v>9</v>
      </c>
      <c r="AX26" s="1200">
        <f t="shared" si="72"/>
        <v>11</v>
      </c>
      <c r="AY26" s="1200">
        <f t="shared" si="72"/>
        <v>15</v>
      </c>
      <c r="AZ26" s="1200">
        <f t="shared" si="72"/>
        <v>39</v>
      </c>
      <c r="BA26" s="1201">
        <f t="shared" si="72"/>
        <v>9</v>
      </c>
      <c r="BB26" s="1200">
        <f t="shared" si="72"/>
        <v>12</v>
      </c>
      <c r="BC26" s="1200">
        <f t="shared" si="72"/>
        <v>17</v>
      </c>
      <c r="BD26" s="1200">
        <f t="shared" si="72"/>
        <v>41</v>
      </c>
      <c r="BE26" s="1201">
        <f t="shared" si="72"/>
        <v>10</v>
      </c>
      <c r="BF26" s="1200">
        <f t="shared" si="72"/>
        <v>30</v>
      </c>
      <c r="BG26" s="1202">
        <f t="shared" si="72"/>
        <v>20</v>
      </c>
      <c r="BH26" s="1202">
        <f t="shared" si="72"/>
        <v>45</v>
      </c>
      <c r="BI26" s="1203">
        <f t="shared" si="72"/>
        <v>6</v>
      </c>
      <c r="BJ26" s="1202">
        <f t="shared" si="72"/>
        <v>26</v>
      </c>
      <c r="BK26" s="1202">
        <f t="shared" si="72"/>
        <v>24</v>
      </c>
      <c r="BL26" s="1202">
        <f t="shared" si="72"/>
        <v>37</v>
      </c>
      <c r="BM26" s="1203">
        <f t="shared" si="72"/>
        <v>13</v>
      </c>
      <c r="BN26" s="1202">
        <f t="shared" si="72"/>
        <v>9</v>
      </c>
      <c r="BO26" s="1202">
        <f t="shared" si="72"/>
        <v>12</v>
      </c>
      <c r="BP26" s="1202">
        <f t="shared" si="72"/>
        <v>24</v>
      </c>
      <c r="BQ26" s="1204">
        <f t="shared" si="72"/>
        <v>1</v>
      </c>
      <c r="BR26" s="1198">
        <f t="shared" si="72"/>
        <v>12</v>
      </c>
      <c r="BS26" s="1198">
        <f t="shared" si="72"/>
        <v>10</v>
      </c>
      <c r="BT26" s="1198">
        <f t="shared" si="72"/>
        <v>8</v>
      </c>
      <c r="BU26" s="1204">
        <f t="shared" si="72"/>
        <v>0</v>
      </c>
      <c r="BV26" s="1198">
        <f t="shared" si="72"/>
        <v>3</v>
      </c>
      <c r="BW26" s="1198">
        <f t="shared" si="72"/>
        <v>3</v>
      </c>
      <c r="BX26" s="1198">
        <f t="shared" si="72"/>
        <v>0</v>
      </c>
      <c r="BY26" s="1204">
        <f t="shared" si="72"/>
        <v>-2</v>
      </c>
      <c r="BZ26" s="1198"/>
      <c r="CA26" s="1198"/>
      <c r="CB26" s="1198"/>
      <c r="CC26" s="1204"/>
      <c r="CD26" s="1198"/>
      <c r="CE26" s="1198"/>
      <c r="CF26" s="1198"/>
      <c r="CG26" s="1204"/>
      <c r="CH26" s="1198">
        <f>SUM(CH20:CH25)</f>
        <v>0</v>
      </c>
      <c r="CI26" s="1198">
        <f>SUM(CI20:CI25)</f>
        <v>-41</v>
      </c>
      <c r="CJ26" s="1198">
        <f>SUM(CJ20:CJ25)</f>
        <v>-6</v>
      </c>
      <c r="CK26" s="1204">
        <f>SUM(CK20:CK25)</f>
        <v>0</v>
      </c>
      <c r="CL26" s="1198"/>
      <c r="CM26" s="1198"/>
      <c r="CN26" s="1198"/>
      <c r="CO26" s="1204"/>
      <c r="CP26" s="1198">
        <f t="shared" ref="CP26:CU26" si="73">SUM(CP20:CP25)</f>
        <v>-1</v>
      </c>
      <c r="CQ26" s="1198">
        <f t="shared" si="73"/>
        <v>0</v>
      </c>
      <c r="CR26" s="1198">
        <f t="shared" si="73"/>
        <v>0</v>
      </c>
      <c r="CS26" s="1204">
        <f t="shared" si="73"/>
        <v>0</v>
      </c>
      <c r="CT26" s="1198">
        <f t="shared" si="73"/>
        <v>-2</v>
      </c>
      <c r="CU26" s="1198">
        <f t="shared" si="73"/>
        <v>0</v>
      </c>
      <c r="CV26" s="1198">
        <f>SUM(CV20:CV25)</f>
        <v>-1</v>
      </c>
      <c r="CW26" s="1204">
        <f>SUM(CW20:CW25)</f>
        <v>0</v>
      </c>
      <c r="CX26" s="1198">
        <f>SUM(CX20:CX25)</f>
        <v>0</v>
      </c>
      <c r="CY26" s="1198">
        <f>SUM(CY20:CY25)</f>
        <v>0</v>
      </c>
      <c r="CZ26" s="1198">
        <f t="shared" si="60"/>
        <v>0</v>
      </c>
      <c r="DA26" s="1204">
        <f t="shared" si="60"/>
        <v>0</v>
      </c>
      <c r="DB26" s="1198">
        <f t="shared" si="60"/>
        <v>0</v>
      </c>
      <c r="DC26" s="1198">
        <f t="shared" si="60"/>
        <v>0</v>
      </c>
      <c r="DD26" s="1198">
        <f t="shared" si="60"/>
        <v>0</v>
      </c>
      <c r="DE26" s="1957">
        <f t="shared" si="60"/>
        <v>0</v>
      </c>
      <c r="DF26" s="1958"/>
      <c r="DG26" s="1958"/>
      <c r="DH26" s="1958"/>
      <c r="DI26" s="1957"/>
      <c r="DJ26" s="2722"/>
      <c r="DK26" s="1958"/>
      <c r="DL26" s="1958"/>
      <c r="DM26" s="1957"/>
      <c r="DN26" s="1205"/>
      <c r="DO26" s="1204"/>
      <c r="DR26" s="1206">
        <f t="shared" ref="DR26:EA26" si="74">SUM(DR21:DR25)</f>
        <v>40</v>
      </c>
      <c r="DS26" s="1206">
        <f t="shared" si="74"/>
        <v>1</v>
      </c>
      <c r="DT26" s="1206">
        <f t="shared" si="74"/>
        <v>8</v>
      </c>
      <c r="DU26" s="1206">
        <f t="shared" si="74"/>
        <v>7</v>
      </c>
      <c r="DV26" s="1206">
        <f t="shared" si="74"/>
        <v>17</v>
      </c>
      <c r="DW26" s="1206">
        <f t="shared" si="74"/>
        <v>38</v>
      </c>
      <c r="DX26" s="1206">
        <f t="shared" si="74"/>
        <v>40</v>
      </c>
      <c r="DY26" s="1206">
        <f t="shared" si="74"/>
        <v>53</v>
      </c>
      <c r="DZ26" s="1206">
        <f t="shared" si="74"/>
        <v>47</v>
      </c>
      <c r="EA26" s="1206">
        <f t="shared" si="74"/>
        <v>21</v>
      </c>
      <c r="EB26" s="1200">
        <f t="shared" si="48"/>
        <v>12</v>
      </c>
      <c r="EC26" s="1200">
        <f t="shared" si="48"/>
        <v>27</v>
      </c>
      <c r="ED26" s="1200">
        <f t="shared" si="48"/>
        <v>46</v>
      </c>
      <c r="EE26" s="1200">
        <f t="shared" si="48"/>
        <v>62</v>
      </c>
      <c r="EF26" s="1200">
        <f t="shared" si="48"/>
        <v>62</v>
      </c>
      <c r="EG26" s="1200">
        <f t="shared" si="48"/>
        <v>67</v>
      </c>
      <c r="EH26" s="1200">
        <f t="shared" ref="EH26:EP26" si="75">SUM(EH20:EH25)</f>
        <v>60</v>
      </c>
      <c r="EI26" s="1200">
        <f t="shared" si="75"/>
        <v>60</v>
      </c>
      <c r="EJ26" s="1200">
        <f t="shared" si="75"/>
        <v>74</v>
      </c>
      <c r="EK26" s="1200">
        <f t="shared" si="75"/>
        <v>80</v>
      </c>
      <c r="EL26" s="1206">
        <f t="shared" si="75"/>
        <v>106</v>
      </c>
      <c r="EM26" s="1198">
        <f t="shared" si="75"/>
        <v>100</v>
      </c>
      <c r="EN26" s="1198">
        <f t="shared" si="75"/>
        <v>46</v>
      </c>
      <c r="EO26" s="1198">
        <f t="shared" si="75"/>
        <v>30</v>
      </c>
      <c r="EP26" s="1198">
        <f t="shared" si="75"/>
        <v>4</v>
      </c>
      <c r="EQ26" s="1198"/>
      <c r="ER26" s="1198"/>
      <c r="ES26" s="1198">
        <f>SUM(ES20:ES25)</f>
        <v>-47</v>
      </c>
      <c r="ET26" s="1198"/>
      <c r="EU26" s="1198">
        <f>SUM(EU20:EU25)</f>
        <v>-1</v>
      </c>
      <c r="EV26" s="1198">
        <f>SUM(EV20:EV25)</f>
        <v>-3</v>
      </c>
      <c r="EW26" s="1198">
        <f t="shared" si="62"/>
        <v>0</v>
      </c>
      <c r="EX26" s="39"/>
      <c r="EY26" s="39"/>
      <c r="EZ26" s="1567"/>
      <c r="FA26" s="1202"/>
      <c r="FB26" s="1202"/>
      <c r="FC26" s="1202"/>
      <c r="FD26" s="1202"/>
      <c r="FE26" s="1370"/>
      <c r="FF26" s="1370"/>
      <c r="FG26" s="1370"/>
      <c r="FH26" s="1370"/>
      <c r="FI26" s="1382"/>
      <c r="FJ26"/>
      <c r="FK26"/>
      <c r="FL26"/>
      <c r="FM26"/>
      <c r="FN26"/>
      <c r="FO26"/>
      <c r="FP26" s="1209"/>
      <c r="FS26" s="1370"/>
      <c r="FT26" s="1370"/>
      <c r="FU26"/>
      <c r="FV26"/>
      <c r="FW26" s="1370"/>
      <c r="FX26" s="1370"/>
      <c r="FY26" s="1370"/>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row>
    <row r="27" spans="1:260" s="4" customFormat="1" ht="11.25" hidden="1" customHeight="1" outlineLevel="2" x14ac:dyDescent="0.2">
      <c r="B27" s="41"/>
      <c r="C27" s="41"/>
      <c r="D27" s="41"/>
      <c r="E27" s="820"/>
      <c r="F27" s="41"/>
      <c r="G27" s="41"/>
      <c r="H27" s="41"/>
      <c r="I27" s="820"/>
      <c r="J27" s="41"/>
      <c r="K27" s="41"/>
      <c r="L27" s="41"/>
      <c r="M27" s="820"/>
      <c r="N27" s="41"/>
      <c r="O27" s="41"/>
      <c r="P27" s="41"/>
      <c r="Q27" s="820"/>
      <c r="R27" s="41"/>
      <c r="S27" s="41"/>
      <c r="T27" s="41"/>
      <c r="U27" s="820"/>
      <c r="V27" s="41"/>
      <c r="W27" s="41"/>
      <c r="X27" s="41"/>
      <c r="Y27" s="820"/>
      <c r="Z27" s="41"/>
      <c r="AA27" s="41"/>
      <c r="AB27" s="41"/>
      <c r="AC27" s="820"/>
      <c r="AD27" s="41"/>
      <c r="AE27" s="41"/>
      <c r="AF27" s="41"/>
      <c r="AG27" s="820"/>
      <c r="AH27" s="41"/>
      <c r="AI27" s="41"/>
      <c r="AJ27" s="41"/>
      <c r="AK27" s="820"/>
      <c r="AL27" s="41"/>
      <c r="AM27" s="41"/>
      <c r="AN27" s="41"/>
      <c r="AO27" s="820"/>
      <c r="AP27" s="41"/>
      <c r="AQ27" s="41"/>
      <c r="AR27" s="41"/>
      <c r="AS27" s="470"/>
      <c r="AT27" s="41"/>
      <c r="AU27" s="41"/>
      <c r="AV27" s="41"/>
      <c r="AW27" s="820"/>
      <c r="AX27" s="41"/>
      <c r="AY27" s="41"/>
      <c r="AZ27" s="41"/>
      <c r="BA27" s="820"/>
      <c r="BB27" s="41"/>
      <c r="BC27" s="41"/>
      <c r="BD27" s="41"/>
      <c r="BE27" s="820"/>
      <c r="BF27" s="41"/>
      <c r="BG27" s="821"/>
      <c r="BH27" s="821"/>
      <c r="BI27" s="822"/>
      <c r="BJ27" s="821"/>
      <c r="BK27" s="821"/>
      <c r="BL27" s="821"/>
      <c r="BM27" s="822"/>
      <c r="BN27" s="821"/>
      <c r="BO27" s="821"/>
      <c r="BP27" s="821"/>
      <c r="BQ27" s="822"/>
      <c r="BR27" s="821"/>
      <c r="BS27" s="821"/>
      <c r="BT27" s="821"/>
      <c r="BU27" s="822"/>
      <c r="BV27" s="821"/>
      <c r="BW27" s="821"/>
      <c r="BX27" s="821"/>
      <c r="BY27" s="822"/>
      <c r="BZ27" s="821"/>
      <c r="CA27" s="821"/>
      <c r="CB27" s="821"/>
      <c r="CC27" s="822"/>
      <c r="CD27" s="821"/>
      <c r="CE27" s="821"/>
      <c r="CF27" s="821"/>
      <c r="CG27" s="822"/>
      <c r="CH27" s="821"/>
      <c r="CI27" s="821"/>
      <c r="CJ27" s="821"/>
      <c r="CK27" s="822"/>
      <c r="CL27" s="821"/>
      <c r="CM27" s="821"/>
      <c r="CN27" s="821"/>
      <c r="CO27" s="822"/>
      <c r="CP27" s="821"/>
      <c r="CQ27" s="821"/>
      <c r="CR27" s="821"/>
      <c r="CS27" s="822"/>
      <c r="CT27" s="821"/>
      <c r="CU27" s="821"/>
      <c r="CV27" s="821"/>
      <c r="CW27" s="822"/>
      <c r="CX27" s="821"/>
      <c r="CY27" s="821"/>
      <c r="CZ27" s="821"/>
      <c r="DA27" s="822"/>
      <c r="DB27" s="821"/>
      <c r="DC27" s="821"/>
      <c r="DD27" s="7"/>
      <c r="DE27" s="484"/>
      <c r="DF27" s="7"/>
      <c r="DG27" s="7"/>
      <c r="DH27" s="7"/>
      <c r="DI27" s="484"/>
      <c r="DJ27" s="1671"/>
      <c r="DK27" s="7"/>
      <c r="DL27" s="7"/>
      <c r="DM27" s="484"/>
      <c r="DN27" s="7"/>
      <c r="DO27" s="484"/>
      <c r="DQ27" s="41"/>
      <c r="DR27" s="41"/>
      <c r="DS27" s="41"/>
      <c r="DT27" s="41"/>
      <c r="DU27" s="41"/>
      <c r="DV27" s="41"/>
      <c r="DW27" s="41"/>
      <c r="DX27" s="41"/>
      <c r="DY27" s="41"/>
      <c r="DZ27" s="41"/>
      <c r="EA27" s="41"/>
      <c r="EB27" s="41"/>
      <c r="EC27" s="41"/>
      <c r="ED27" s="41"/>
      <c r="EE27" s="41"/>
      <c r="EF27" s="41"/>
      <c r="EG27" s="41"/>
      <c r="EH27" s="41"/>
      <c r="EI27" s="41"/>
      <c r="EJ27" s="41"/>
      <c r="EK27" s="41"/>
      <c r="EL27" s="821"/>
      <c r="EM27" s="821"/>
      <c r="EN27" s="821"/>
      <c r="EO27" s="41"/>
      <c r="EP27" s="41"/>
      <c r="EQ27" s="41"/>
      <c r="ER27" s="41"/>
      <c r="ES27" s="41"/>
      <c r="ET27" s="41"/>
      <c r="EU27" s="41"/>
      <c r="EV27" s="41"/>
      <c r="EW27" s="41"/>
      <c r="EX27" s="6"/>
      <c r="EY27" s="6"/>
      <c r="EZ27" s="1734"/>
      <c r="FE27" s="3"/>
      <c r="FF27" s="3"/>
      <c r="FG27" s="3"/>
      <c r="FH27" s="3"/>
      <c r="FI27" s="671"/>
      <c r="FJ27"/>
      <c r="FK27"/>
      <c r="FL27"/>
      <c r="FM27"/>
      <c r="FN27"/>
      <c r="FO27"/>
      <c r="FP27" s="3"/>
      <c r="FS27" s="7"/>
      <c r="FT27" s="7"/>
      <c r="FU27"/>
      <c r="FV27"/>
      <c r="FW27" s="7"/>
      <c r="FX27" s="7"/>
      <c r="FY27" s="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row>
    <row r="28" spans="1:260" s="4" customFormat="1" hidden="1" outlineLevel="2" x14ac:dyDescent="0.2">
      <c r="A28" s="13" t="s">
        <v>76</v>
      </c>
      <c r="B28" s="41"/>
      <c r="C28" s="41"/>
      <c r="D28" s="41"/>
      <c r="E28" s="820"/>
      <c r="F28" s="41"/>
      <c r="G28" s="41"/>
      <c r="H28" s="41"/>
      <c r="I28" s="820"/>
      <c r="J28" s="41"/>
      <c r="K28" s="41"/>
      <c r="L28" s="41"/>
      <c r="M28" s="820"/>
      <c r="N28" s="41"/>
      <c r="O28" s="41"/>
      <c r="P28" s="41"/>
      <c r="Q28" s="820"/>
      <c r="R28" s="41"/>
      <c r="S28" s="41"/>
      <c r="T28" s="41"/>
      <c r="U28" s="820"/>
      <c r="V28" s="41"/>
      <c r="W28" s="41"/>
      <c r="X28" s="41"/>
      <c r="Y28" s="820"/>
      <c r="Z28" s="41"/>
      <c r="AA28" s="41"/>
      <c r="AB28" s="41"/>
      <c r="AC28" s="820"/>
      <c r="AD28" s="41"/>
      <c r="AE28" s="41"/>
      <c r="AF28" s="41"/>
      <c r="AG28" s="820"/>
      <c r="AH28" s="41"/>
      <c r="AI28" s="41"/>
      <c r="AJ28" s="41"/>
      <c r="AK28" s="820"/>
      <c r="AL28" s="41"/>
      <c r="AM28" s="41"/>
      <c r="AN28" s="41"/>
      <c r="AO28" s="820"/>
      <c r="AP28" s="41"/>
      <c r="AQ28" s="41"/>
      <c r="AR28" s="41"/>
      <c r="AS28" s="470"/>
      <c r="AT28" s="41"/>
      <c r="AU28" s="41"/>
      <c r="AV28" s="41"/>
      <c r="AW28" s="820"/>
      <c r="AX28" s="41"/>
      <c r="AY28" s="41"/>
      <c r="AZ28" s="41"/>
      <c r="BA28" s="820"/>
      <c r="BB28" s="41"/>
      <c r="BC28" s="41"/>
      <c r="BD28" s="41"/>
      <c r="BE28" s="820"/>
      <c r="BF28" s="41"/>
      <c r="BG28" s="821"/>
      <c r="BH28" s="821"/>
      <c r="BI28" s="822"/>
      <c r="BJ28" s="821"/>
      <c r="BK28" s="821"/>
      <c r="BL28" s="821"/>
      <c r="BM28" s="822"/>
      <c r="BN28" s="821"/>
      <c r="BO28" s="821"/>
      <c r="BP28" s="821"/>
      <c r="BQ28" s="822"/>
      <c r="BR28" s="821"/>
      <c r="BS28" s="821"/>
      <c r="BT28" s="821"/>
      <c r="BU28" s="822"/>
      <c r="BV28" s="821"/>
      <c r="BW28" s="821"/>
      <c r="BX28" s="821"/>
      <c r="BY28" s="822"/>
      <c r="BZ28" s="821"/>
      <c r="CA28" s="821"/>
      <c r="CB28" s="821"/>
      <c r="CC28" s="822"/>
      <c r="CD28" s="821"/>
      <c r="CE28" s="821"/>
      <c r="CF28" s="821"/>
      <c r="CG28" s="822"/>
      <c r="CH28" s="821"/>
      <c r="CI28" s="821"/>
      <c r="CJ28" s="821"/>
      <c r="CK28" s="822"/>
      <c r="CL28" s="821"/>
      <c r="CM28" s="821"/>
      <c r="CN28" s="821"/>
      <c r="CO28" s="822"/>
      <c r="CP28" s="821"/>
      <c r="CQ28" s="821"/>
      <c r="CR28" s="821"/>
      <c r="CS28" s="822"/>
      <c r="CT28" s="821"/>
      <c r="CU28" s="821"/>
      <c r="CV28" s="821"/>
      <c r="CW28" s="822"/>
      <c r="CX28" s="821"/>
      <c r="CY28" s="821"/>
      <c r="CZ28" s="821"/>
      <c r="DA28" s="822"/>
      <c r="DB28" s="821"/>
      <c r="DC28" s="821"/>
      <c r="DD28" s="7"/>
      <c r="DE28" s="484"/>
      <c r="DF28" s="7"/>
      <c r="DG28" s="7"/>
      <c r="DH28" s="7"/>
      <c r="DI28" s="484"/>
      <c r="DJ28" s="1671"/>
      <c r="DK28" s="7"/>
      <c r="DL28" s="7"/>
      <c r="DM28" s="484"/>
      <c r="DN28" s="7"/>
      <c r="DO28" s="484"/>
      <c r="DQ28" s="41"/>
      <c r="DR28" s="41"/>
      <c r="DS28" s="41"/>
      <c r="DT28" s="41"/>
      <c r="DU28" s="41"/>
      <c r="DV28" s="41"/>
      <c r="DW28" s="41"/>
      <c r="DX28" s="41"/>
      <c r="DY28" s="41"/>
      <c r="DZ28" s="41"/>
      <c r="EA28" s="41"/>
      <c r="EB28" s="41"/>
      <c r="EC28" s="41"/>
      <c r="ED28" s="41"/>
      <c r="EE28" s="41"/>
      <c r="EF28" s="41"/>
      <c r="EG28" s="41"/>
      <c r="EH28" s="41"/>
      <c r="EI28" s="41"/>
      <c r="EJ28" s="41"/>
      <c r="EK28" s="41"/>
      <c r="EL28" s="821"/>
      <c r="EM28" s="821"/>
      <c r="EN28" s="821"/>
      <c r="EO28" s="41"/>
      <c r="EP28" s="41"/>
      <c r="EQ28" s="41"/>
      <c r="ER28" s="41"/>
      <c r="ES28" s="41"/>
      <c r="ET28" s="41"/>
      <c r="EU28" s="41"/>
      <c r="EV28" s="41"/>
      <c r="EW28" s="41"/>
      <c r="EX28" s="6"/>
      <c r="EY28" s="6"/>
      <c r="EZ28" s="1734"/>
      <c r="FE28" s="3"/>
      <c r="FF28" s="3"/>
      <c r="FG28" s="3"/>
      <c r="FH28" s="3"/>
      <c r="FI28" s="671"/>
      <c r="FJ28"/>
      <c r="FK28"/>
      <c r="FL28"/>
      <c r="FM28"/>
      <c r="FN28"/>
      <c r="FO28"/>
      <c r="FP28" s="3"/>
      <c r="FS28" s="7"/>
      <c r="FT28" s="7"/>
      <c r="FU28"/>
      <c r="FV28"/>
      <c r="FW28" s="7"/>
      <c r="FX28" s="7"/>
      <c r="FY28" s="7"/>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row>
    <row r="29" spans="1:260" s="4" customFormat="1" hidden="1" outlineLevel="2" x14ac:dyDescent="0.2">
      <c r="A29" s="819">
        <v>20000</v>
      </c>
      <c r="B29" s="41"/>
      <c r="C29" s="41"/>
      <c r="D29" s="41"/>
      <c r="E29" s="820"/>
      <c r="F29" s="41"/>
      <c r="G29" s="41"/>
      <c r="H29" s="41"/>
      <c r="I29" s="820"/>
      <c r="J29" s="41"/>
      <c r="K29" s="41"/>
      <c r="L29" s="41"/>
      <c r="M29" s="820"/>
      <c r="N29" s="41"/>
      <c r="O29" s="41"/>
      <c r="P29" s="41"/>
      <c r="Q29" s="820"/>
      <c r="R29" s="41"/>
      <c r="S29" s="41"/>
      <c r="T29" s="41"/>
      <c r="U29" s="820"/>
      <c r="V29" s="41"/>
      <c r="W29" s="41"/>
      <c r="X29" s="41"/>
      <c r="Y29" s="820"/>
      <c r="Z29" s="41"/>
      <c r="AA29" s="41"/>
      <c r="AB29" s="41"/>
      <c r="AC29" s="820"/>
      <c r="AD29" s="41"/>
      <c r="AE29" s="41"/>
      <c r="AF29" s="41"/>
      <c r="AG29" s="820"/>
      <c r="AH29" s="55">
        <f t="shared" ref="AH29:AH34" si="76">AH38/$AH$44</f>
        <v>0</v>
      </c>
      <c r="AI29" s="55">
        <f t="shared" ref="AI29:AI34" si="77">AI38/$AI$44</f>
        <v>0</v>
      </c>
      <c r="AJ29" s="55">
        <f t="shared" ref="AJ29:AJ34" si="78">AJ38/$AJ$44</f>
        <v>0</v>
      </c>
      <c r="AK29" s="827">
        <f t="shared" ref="AK29:AK34" si="79">AK38/$AK$44</f>
        <v>0</v>
      </c>
      <c r="AL29" s="55">
        <f t="shared" ref="AL29:AL34" si="80">AL38/$AL$44</f>
        <v>0</v>
      </c>
      <c r="AM29" s="55">
        <f t="shared" ref="AM29:AM34" si="81">AM38/$AM$44</f>
        <v>0</v>
      </c>
      <c r="AN29" s="55">
        <f t="shared" ref="AN29:AN34" si="82">AN38/$AN$44</f>
        <v>1.6949870757235477E-3</v>
      </c>
      <c r="AO29" s="827">
        <f t="shared" ref="AO29:AO34" si="83">AO38/$AO$44</f>
        <v>1.6906885329050255E-3</v>
      </c>
      <c r="AP29" s="55">
        <f t="shared" ref="AP29:AP34" si="84">AP38/$AP$44</f>
        <v>1.6813787305590584E-3</v>
      </c>
      <c r="AQ29" s="55">
        <f t="shared" ref="AQ29:AQ34" si="85">AQ38/$AQ$44</f>
        <v>1.6490085336191614E-3</v>
      </c>
      <c r="AR29" s="55">
        <f t="shared" ref="AR29:AR34" si="86">AR38/$AR$44</f>
        <v>4.7090217007416712E-3</v>
      </c>
      <c r="AS29" s="470">
        <f t="shared" ref="AS29:AS34" si="87">AS38/$AS$44</f>
        <v>5.4320412835137544E-3</v>
      </c>
      <c r="AT29" s="55">
        <f t="shared" ref="AT29:AT34" si="88">AT38/$AT$44</f>
        <v>8.4313800636185952E-3</v>
      </c>
      <c r="AU29" s="55">
        <f t="shared" ref="AU29:AU34" si="89">AU38/$AU$44</f>
        <v>1.1376564277588168E-2</v>
      </c>
      <c r="AV29" s="55">
        <f t="shared" ref="AV29:AV34" si="90">AV38/$AV$44</f>
        <v>2.1998166819431713E-2</v>
      </c>
      <c r="AW29" s="827">
        <f t="shared" ref="AW29:AW34" si="91">AW38/$AW$44</f>
        <v>2.469404800813451E-2</v>
      </c>
      <c r="AX29" s="55">
        <f t="shared" ref="AX29:AX34" si="92">AX38/$AX$44</f>
        <v>2.58360843978757E-2</v>
      </c>
      <c r="AY29" s="55">
        <f t="shared" ref="AY29:AY34" si="93">AY38/$AY$44</f>
        <v>2.6834263117011512E-2</v>
      </c>
      <c r="AZ29" s="55">
        <f t="shared" ref="AZ29:AZ34" si="94">AZ38/$AZ$44</f>
        <v>2.9076647394935255E-2</v>
      </c>
      <c r="BA29" s="827">
        <f t="shared" ref="BA29:BA34" si="95">BA38/$BA$44</f>
        <v>3.1504507825853803E-2</v>
      </c>
      <c r="BB29" s="55">
        <f t="shared" ref="BB29:BB34" si="96">BB38/$BB$44</f>
        <v>3.175443238952104E-2</v>
      </c>
      <c r="BC29" s="55">
        <f t="shared" ref="BC29:BC34" si="97">BC38/$BC$44</f>
        <v>3.3163182364990086E-2</v>
      </c>
      <c r="BD29" s="55">
        <f t="shared" ref="BD29:BD34" si="98">BD38/$BD$44</f>
        <v>3.4852964057880818E-2</v>
      </c>
      <c r="BE29" s="827">
        <f t="shared" ref="BE29:BE34" si="99">BE38/$BE$44</f>
        <v>3.4498690897890039E-2</v>
      </c>
      <c r="BF29" s="55">
        <f t="shared" ref="BF29:BY29" si="100">BF38/BF$44</f>
        <v>3.7162465909431473E-2</v>
      </c>
      <c r="BG29" s="55">
        <f t="shared" si="100"/>
        <v>3.698159725279563E-2</v>
      </c>
      <c r="BH29" s="55">
        <f t="shared" si="100"/>
        <v>3.7095323741007193E-2</v>
      </c>
      <c r="BI29" s="827">
        <f t="shared" si="100"/>
        <v>3.7446903644086746E-2</v>
      </c>
      <c r="BJ29" s="56">
        <f t="shared" si="100"/>
        <v>3.6764705882352942E-2</v>
      </c>
      <c r="BK29" s="56">
        <f t="shared" si="100"/>
        <v>3.6528727234775349E-2</v>
      </c>
      <c r="BL29" s="56">
        <f t="shared" si="100"/>
        <v>3.7017317005146926E-2</v>
      </c>
      <c r="BM29" s="828">
        <f t="shared" si="100"/>
        <v>3.7136476551326125E-2</v>
      </c>
      <c r="BN29" s="56">
        <f t="shared" si="100"/>
        <v>3.7363622776864447E-2</v>
      </c>
      <c r="BO29" s="56">
        <f t="shared" si="100"/>
        <v>3.8030325480318074E-2</v>
      </c>
      <c r="BP29" s="56">
        <f t="shared" si="100"/>
        <v>3.8229814416027484E-2</v>
      </c>
      <c r="BQ29" s="828">
        <f t="shared" si="100"/>
        <v>3.8204855401876389E-2</v>
      </c>
      <c r="BR29" s="56">
        <f t="shared" si="100"/>
        <v>3.8384032242587081E-2</v>
      </c>
      <c r="BS29" s="56">
        <f t="shared" si="100"/>
        <v>3.8987281588018542E-2</v>
      </c>
      <c r="BT29" s="56">
        <f t="shared" si="100"/>
        <v>3.873771730914588E-2</v>
      </c>
      <c r="BU29" s="828">
        <f t="shared" si="100"/>
        <v>3.8690195338303292E-2</v>
      </c>
      <c r="BV29" s="56">
        <f t="shared" si="100"/>
        <v>3.8589143273959389E-2</v>
      </c>
      <c r="BW29" s="56">
        <f t="shared" si="100"/>
        <v>3.8488617695376669E-2</v>
      </c>
      <c r="BX29" s="56">
        <f t="shared" si="100"/>
        <v>3.8502171616386902E-2</v>
      </c>
      <c r="BY29" s="828">
        <f t="shared" si="100"/>
        <v>3.8146369030799661E-2</v>
      </c>
      <c r="BZ29" s="56"/>
      <c r="CA29" s="56"/>
      <c r="CB29" s="56"/>
      <c r="CC29" s="828"/>
      <c r="CD29" s="56"/>
      <c r="CE29" s="56"/>
      <c r="CF29" s="56"/>
      <c r="CG29" s="828"/>
      <c r="CH29" s="56">
        <f t="shared" ref="CH29:CK35" si="101">CH38/CH$44</f>
        <v>3.8195836182302594E-2</v>
      </c>
      <c r="CI29" s="56">
        <f t="shared" si="101"/>
        <v>3.7032525277134853E-2</v>
      </c>
      <c r="CJ29" s="56">
        <f t="shared" si="101"/>
        <v>3.723482435941404E-2</v>
      </c>
      <c r="CK29" s="828">
        <f t="shared" si="101"/>
        <v>3.723482435941404E-2</v>
      </c>
      <c r="CL29" s="56"/>
      <c r="CM29" s="56"/>
      <c r="CN29" s="56"/>
      <c r="CO29" s="828"/>
      <c r="CP29" s="56">
        <f t="shared" ref="CP29:CP35" si="102">CP38/CP$44</f>
        <v>3.7275915344434363E-2</v>
      </c>
      <c r="CQ29" s="56">
        <f t="shared" ref="CQ29:CR35" si="103">CQ38/CQ$44</f>
        <v>3.7275915344434363E-2</v>
      </c>
      <c r="CR29" s="56">
        <f t="shared" si="103"/>
        <v>3.7275915344434363E-2</v>
      </c>
      <c r="CS29" s="828">
        <f t="shared" ref="CS29:CU35" si="104">CS38/CS$44</f>
        <v>3.7275915344434363E-2</v>
      </c>
      <c r="CT29" s="56">
        <f t="shared" si="104"/>
        <v>3.7484586929716401E-2</v>
      </c>
      <c r="CU29" s="56">
        <f t="shared" si="104"/>
        <v>3.7484586929716401E-2</v>
      </c>
      <c r="CV29" s="56">
        <f t="shared" ref="CV29:CX35" si="105">CV38/CV$44</f>
        <v>3.7526231329465497E-2</v>
      </c>
      <c r="CW29" s="828">
        <f t="shared" si="105"/>
        <v>3.7526231329465497E-2</v>
      </c>
      <c r="CX29" s="77">
        <f t="shared" si="105"/>
        <v>0</v>
      </c>
      <c r="CY29" s="77">
        <f t="shared" ref="CY29:CY35" si="106">CY38/CY$44</f>
        <v>0</v>
      </c>
      <c r="CZ29" s="77">
        <f t="shared" ref="CZ29:DE29" si="107">CY29</f>
        <v>0</v>
      </c>
      <c r="DA29" s="487">
        <f t="shared" si="107"/>
        <v>0</v>
      </c>
      <c r="DB29" s="77">
        <f t="shared" si="107"/>
        <v>0</v>
      </c>
      <c r="DC29" s="77">
        <f t="shared" si="107"/>
        <v>0</v>
      </c>
      <c r="DD29" s="70">
        <f t="shared" si="107"/>
        <v>0</v>
      </c>
      <c r="DE29" s="487">
        <f t="shared" si="107"/>
        <v>0</v>
      </c>
      <c r="DF29" s="70"/>
      <c r="DG29" s="70"/>
      <c r="DH29" s="70"/>
      <c r="DI29" s="487"/>
      <c r="DJ29" s="1673"/>
      <c r="DK29" s="70"/>
      <c r="DL29" s="70"/>
      <c r="DM29" s="487"/>
      <c r="DN29" s="7"/>
      <c r="DO29" s="484"/>
      <c r="DQ29" s="41"/>
      <c r="DR29" s="41"/>
      <c r="DS29" s="41"/>
      <c r="DT29" s="41"/>
      <c r="DU29" s="41"/>
      <c r="DV29" s="41"/>
      <c r="DW29" s="41"/>
      <c r="DX29" s="41"/>
      <c r="DY29" s="41"/>
      <c r="DZ29" s="41"/>
      <c r="EA29" s="41"/>
      <c r="EB29" s="41"/>
      <c r="EC29" s="41"/>
      <c r="ED29" s="41"/>
      <c r="EE29" s="41"/>
      <c r="EF29" s="41">
        <f t="shared" ref="EF29:EF34" si="108">EF38/$EF$44</f>
        <v>0</v>
      </c>
      <c r="EG29" s="41">
        <f t="shared" ref="EG29:EG34" si="109">EG38/$EG$44</f>
        <v>1.6906885329050255E-3</v>
      </c>
      <c r="EH29" s="41">
        <f t="shared" ref="EH29:EH34" si="110">EH38/$EH$44</f>
        <v>5.4320412835137544E-3</v>
      </c>
      <c r="EI29" s="41">
        <f t="shared" ref="EI29:EI34" si="111">EI38/$EI$44</f>
        <v>2.469404800813451E-2</v>
      </c>
      <c r="EJ29" s="41">
        <f t="shared" ref="EJ29:EJ35" si="112">BA29</f>
        <v>3.1504507825853803E-2</v>
      </c>
      <c r="EK29" s="41">
        <f t="shared" ref="EK29:EK35" si="113">BE29</f>
        <v>3.4498690897890039E-2</v>
      </c>
      <c r="EL29" s="41">
        <f t="shared" ref="EL29:EL35" si="114">BI29</f>
        <v>3.7446903644086746E-2</v>
      </c>
      <c r="EM29" s="821">
        <f t="shared" ref="EM29:EM35" si="115">BM29</f>
        <v>3.7136476551326125E-2</v>
      </c>
      <c r="EN29" s="821">
        <f t="shared" ref="EN29:EN35" si="116">BQ29</f>
        <v>3.8204855401876389E-2</v>
      </c>
      <c r="EO29" s="41">
        <f t="shared" ref="EO29:EP35" si="117">EO38/EO$44</f>
        <v>3.8690195338303292E-2</v>
      </c>
      <c r="EP29" s="41">
        <f t="shared" si="117"/>
        <v>3.8146369030799661E-2</v>
      </c>
      <c r="EQ29" s="41"/>
      <c r="ER29" s="41"/>
      <c r="ES29" s="41">
        <f t="shared" ref="ES29:ES35" si="118">ES38/ES$44</f>
        <v>3.723482435941404E-2</v>
      </c>
      <c r="ET29" s="41"/>
      <c r="EU29" s="15">
        <f t="shared" ref="EU29:EV35" si="119">EU38/EU$44</f>
        <v>3.7275915344434363E-2</v>
      </c>
      <c r="EV29" s="15">
        <f t="shared" si="119"/>
        <v>3.7484586929716401E-2</v>
      </c>
      <c r="EW29" s="15">
        <f t="shared" ref="EW29:EW35" si="120">EW38/EW$44</f>
        <v>3.7484586929716401E-2</v>
      </c>
      <c r="EX29" s="77"/>
      <c r="EY29" s="77"/>
      <c r="EZ29" s="1680"/>
      <c r="FA29" s="341"/>
      <c r="FB29" s="341"/>
      <c r="FC29" s="341"/>
      <c r="FD29" s="341"/>
      <c r="FE29" s="1119"/>
      <c r="FF29" s="1119"/>
      <c r="FG29" s="1119"/>
      <c r="FH29" s="1119"/>
      <c r="FI29" s="596"/>
      <c r="FJ29"/>
      <c r="FK29"/>
      <c r="FL29"/>
      <c r="FM29"/>
      <c r="FN29"/>
      <c r="FO29"/>
      <c r="FP29" s="3"/>
      <c r="FS29"/>
      <c r="FT29"/>
      <c r="FU29"/>
      <c r="FV29"/>
      <c r="FW29" s="2235"/>
      <c r="FX29" s="2235"/>
      <c r="FY29" s="2235"/>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row>
    <row r="30" spans="1:260" s="4" customFormat="1" hidden="1" outlineLevel="2" x14ac:dyDescent="0.2">
      <c r="A30" s="819">
        <v>28000</v>
      </c>
      <c r="B30" s="41"/>
      <c r="C30" s="41"/>
      <c r="D30" s="41"/>
      <c r="E30" s="820"/>
      <c r="F30" s="41"/>
      <c r="G30" s="41"/>
      <c r="H30" s="41"/>
      <c r="I30" s="820"/>
      <c r="J30" s="41"/>
      <c r="K30" s="41"/>
      <c r="L30" s="41"/>
      <c r="M30" s="820"/>
      <c r="N30" s="41"/>
      <c r="O30" s="41"/>
      <c r="P30" s="41"/>
      <c r="Q30" s="820"/>
      <c r="R30" s="41"/>
      <c r="S30" s="41"/>
      <c r="T30" s="41"/>
      <c r="U30" s="820"/>
      <c r="V30" s="41"/>
      <c r="W30" s="41"/>
      <c r="X30" s="41"/>
      <c r="Y30" s="820"/>
      <c r="Z30" s="41"/>
      <c r="AA30" s="41"/>
      <c r="AB30" s="41"/>
      <c r="AC30" s="820"/>
      <c r="AD30" s="41"/>
      <c r="AE30" s="41"/>
      <c r="AF30" s="41"/>
      <c r="AG30" s="820"/>
      <c r="AH30" s="55">
        <f t="shared" si="76"/>
        <v>3.6968576709796676E-2</v>
      </c>
      <c r="AI30" s="55">
        <f t="shared" si="77"/>
        <v>3.4743046220659705E-2</v>
      </c>
      <c r="AJ30" s="55">
        <f t="shared" si="78"/>
        <v>2.8050758515408836E-2</v>
      </c>
      <c r="AK30" s="827">
        <f t="shared" si="79"/>
        <v>2.6511385693320077E-2</v>
      </c>
      <c r="AL30" s="55">
        <f t="shared" si="80"/>
        <v>2.4665028513143863E-2</v>
      </c>
      <c r="AM30" s="55">
        <f t="shared" si="81"/>
        <v>2.1235779611867053E-2</v>
      </c>
      <c r="AN30" s="55">
        <f t="shared" si="82"/>
        <v>1.8983855248103733E-2</v>
      </c>
      <c r="AO30" s="827">
        <f t="shared" si="83"/>
        <v>1.8935711568536285E-2</v>
      </c>
      <c r="AP30" s="55">
        <f t="shared" si="84"/>
        <v>1.8831441782261454E-2</v>
      </c>
      <c r="AQ30" s="55">
        <f t="shared" si="85"/>
        <v>1.7314589603001196E-2</v>
      </c>
      <c r="AR30" s="55">
        <f t="shared" si="86"/>
        <v>1.4284032492249734E-2</v>
      </c>
      <c r="AS30" s="470">
        <f t="shared" si="87"/>
        <v>1.4123307337135762E-2</v>
      </c>
      <c r="AT30" s="55">
        <f t="shared" si="88"/>
        <v>1.3950101559805311E-2</v>
      </c>
      <c r="AU30" s="55">
        <f t="shared" si="89"/>
        <v>1.3803564656806978E-2</v>
      </c>
      <c r="AV30" s="55">
        <f t="shared" si="90"/>
        <v>1.1292392300641612E-2</v>
      </c>
      <c r="AW30" s="827">
        <f t="shared" si="91"/>
        <v>1.1184951156625631E-2</v>
      </c>
      <c r="AX30" s="55">
        <f t="shared" si="92"/>
        <v>9.0426295392564953E-3</v>
      </c>
      <c r="AY30" s="55">
        <f t="shared" si="93"/>
        <v>8.8976767177459219E-3</v>
      </c>
      <c r="AZ30" s="55">
        <f t="shared" si="94"/>
        <v>7.5734523447273218E-3</v>
      </c>
      <c r="BA30" s="827">
        <f t="shared" si="95"/>
        <v>7.5074571840332473E-3</v>
      </c>
      <c r="BB30" s="55">
        <f t="shared" si="96"/>
        <v>7.4093675575549085E-3</v>
      </c>
      <c r="BC30" s="55">
        <f t="shared" si="97"/>
        <v>7.28289495074292E-3</v>
      </c>
      <c r="BD30" s="55">
        <f t="shared" si="98"/>
        <v>6.0992687101291427E-3</v>
      </c>
      <c r="BE30" s="827">
        <f t="shared" si="99"/>
        <v>6.0372709071307559E-3</v>
      </c>
      <c r="BF30" s="55">
        <f t="shared" ref="BF30:BY30" si="121">BF39/BF$44</f>
        <v>5.0349147361165225E-3</v>
      </c>
      <c r="BG30" s="55">
        <f t="shared" si="121"/>
        <v>4.9308796337060841E-3</v>
      </c>
      <c r="BH30" s="55">
        <f t="shared" si="121"/>
        <v>3.1474820143884892E-3</v>
      </c>
      <c r="BI30" s="827">
        <f t="shared" si="121"/>
        <v>3.1298904538341159E-3</v>
      </c>
      <c r="BJ30" s="56">
        <f t="shared" si="121"/>
        <v>2.9838022165387893E-3</v>
      </c>
      <c r="BK30" s="56">
        <f t="shared" si="121"/>
        <v>2.9222981787820281E-3</v>
      </c>
      <c r="BL30" s="56">
        <f t="shared" si="121"/>
        <v>2.8396845921756547E-3</v>
      </c>
      <c r="BM30" s="828">
        <f t="shared" si="121"/>
        <v>2.8103279552354906E-3</v>
      </c>
      <c r="BN30" s="56">
        <f t="shared" si="121"/>
        <v>2.7898171673392119E-3</v>
      </c>
      <c r="BO30" s="56">
        <f t="shared" si="121"/>
        <v>2.7658418531140414E-3</v>
      </c>
      <c r="BP30" s="56">
        <f t="shared" si="121"/>
        <v>2.7099615282247334E-3</v>
      </c>
      <c r="BQ30" s="828">
        <f t="shared" si="121"/>
        <v>2.7081922816519972E-3</v>
      </c>
      <c r="BR30" s="56">
        <f t="shared" si="121"/>
        <v>2.6868822569810959E-3</v>
      </c>
      <c r="BS30" s="56">
        <f t="shared" si="121"/>
        <v>2.6625460596695588E-3</v>
      </c>
      <c r="BT30" s="56">
        <f t="shared" si="121"/>
        <v>2.6455026455026454E-3</v>
      </c>
      <c r="BU30" s="828">
        <f t="shared" si="121"/>
        <v>2.6422572426158348E-3</v>
      </c>
      <c r="BV30" s="56">
        <f t="shared" si="121"/>
        <v>2.635356126026495E-3</v>
      </c>
      <c r="BW30" s="56">
        <f t="shared" si="121"/>
        <v>2.6284909645623092E-3</v>
      </c>
      <c r="BX30" s="56">
        <f t="shared" si="121"/>
        <v>2.629416598192276E-3</v>
      </c>
      <c r="BY30" s="828">
        <f t="shared" si="121"/>
        <v>2.6372798342281247E-3</v>
      </c>
      <c r="BZ30" s="56"/>
      <c r="CA30" s="56"/>
      <c r="CB30" s="56"/>
      <c r="CC30" s="828"/>
      <c r="CD30" s="56"/>
      <c r="CE30" s="56"/>
      <c r="CF30" s="56"/>
      <c r="CG30" s="828"/>
      <c r="CH30" s="56">
        <f t="shared" si="101"/>
        <v>2.6406997854431426E-3</v>
      </c>
      <c r="CI30" s="56">
        <f t="shared" si="101"/>
        <v>1.3643561944207577E-3</v>
      </c>
      <c r="CJ30" s="56">
        <f t="shared" si="101"/>
        <v>6.8590465925236395E-4</v>
      </c>
      <c r="CK30" s="828">
        <f t="shared" si="101"/>
        <v>6.8590465925236395E-4</v>
      </c>
      <c r="CL30" s="56"/>
      <c r="CM30" s="56"/>
      <c r="CN30" s="56"/>
      <c r="CO30" s="828"/>
      <c r="CP30" s="56">
        <f t="shared" si="102"/>
        <v>6.8666159845010672E-4</v>
      </c>
      <c r="CQ30" s="56">
        <f t="shared" si="103"/>
        <v>6.8666159845010672E-4</v>
      </c>
      <c r="CR30" s="56">
        <f t="shared" si="103"/>
        <v>6.8666159845010672E-4</v>
      </c>
      <c r="CS30" s="828">
        <f t="shared" ref="CS30:CS35" si="122">CS39/CS$44</f>
        <v>6.8666159845010672E-4</v>
      </c>
      <c r="CT30" s="56">
        <f t="shared" si="104"/>
        <v>6.9050554870530212E-4</v>
      </c>
      <c r="CU30" s="56">
        <f t="shared" si="104"/>
        <v>6.9050554870530212E-4</v>
      </c>
      <c r="CV30" s="56">
        <f t="shared" si="105"/>
        <v>6.9127268238489072E-4</v>
      </c>
      <c r="CW30" s="828">
        <f t="shared" si="105"/>
        <v>6.9127268238489072E-4</v>
      </c>
      <c r="CX30" s="77">
        <f t="shared" si="105"/>
        <v>0</v>
      </c>
      <c r="CY30" s="77">
        <f t="shared" si="106"/>
        <v>0</v>
      </c>
      <c r="CZ30" s="77">
        <f t="shared" ref="CZ30:DE35" si="123">CY30</f>
        <v>0</v>
      </c>
      <c r="DA30" s="487">
        <f t="shared" si="123"/>
        <v>0</v>
      </c>
      <c r="DB30" s="77">
        <f t="shared" si="123"/>
        <v>0</v>
      </c>
      <c r="DC30" s="77">
        <f t="shared" si="123"/>
        <v>0</v>
      </c>
      <c r="DD30" s="70">
        <f t="shared" si="123"/>
        <v>0</v>
      </c>
      <c r="DE30" s="487">
        <f t="shared" si="123"/>
        <v>0</v>
      </c>
      <c r="DF30" s="70"/>
      <c r="DG30" s="70"/>
      <c r="DH30" s="70"/>
      <c r="DI30" s="487"/>
      <c r="DJ30" s="1673"/>
      <c r="DK30" s="70"/>
      <c r="DL30" s="70"/>
      <c r="DM30" s="487"/>
      <c r="DN30" s="7"/>
      <c r="DO30" s="484"/>
      <c r="DQ30" s="41"/>
      <c r="DR30" s="41"/>
      <c r="DS30" s="41"/>
      <c r="DT30" s="41"/>
      <c r="DU30" s="41"/>
      <c r="DV30" s="41"/>
      <c r="DW30" s="41"/>
      <c r="DX30" s="41"/>
      <c r="DY30" s="41"/>
      <c r="DZ30" s="41"/>
      <c r="EA30" s="41"/>
      <c r="EB30" s="41"/>
      <c r="EC30" s="41"/>
      <c r="ED30" s="41"/>
      <c r="EE30" s="41"/>
      <c r="EF30" s="41">
        <f t="shared" si="108"/>
        <v>2.6511385693320077E-2</v>
      </c>
      <c r="EG30" s="41">
        <f t="shared" si="109"/>
        <v>1.8935711568536285E-2</v>
      </c>
      <c r="EH30" s="41">
        <f t="shared" si="110"/>
        <v>1.4123307337135762E-2</v>
      </c>
      <c r="EI30" s="41">
        <f t="shared" si="111"/>
        <v>1.1184951156625631E-2</v>
      </c>
      <c r="EJ30" s="41">
        <f t="shared" si="112"/>
        <v>7.5074571840332473E-3</v>
      </c>
      <c r="EK30" s="41">
        <f t="shared" si="113"/>
        <v>6.0372709071307559E-3</v>
      </c>
      <c r="EL30" s="41">
        <f t="shared" si="114"/>
        <v>3.1298904538341159E-3</v>
      </c>
      <c r="EM30" s="821">
        <f t="shared" si="115"/>
        <v>2.8103279552354906E-3</v>
      </c>
      <c r="EN30" s="821">
        <f t="shared" si="116"/>
        <v>2.7081922816519972E-3</v>
      </c>
      <c r="EO30" s="41">
        <f t="shared" si="117"/>
        <v>2.6422572426158348E-3</v>
      </c>
      <c r="EP30" s="41">
        <f t="shared" si="117"/>
        <v>2.6372798342281247E-3</v>
      </c>
      <c r="EQ30" s="41"/>
      <c r="ER30" s="41"/>
      <c r="ES30" s="41">
        <f t="shared" si="118"/>
        <v>6.8590465925236395E-4</v>
      </c>
      <c r="ET30" s="41"/>
      <c r="EU30" s="15">
        <f t="shared" si="119"/>
        <v>6.8666159845010672E-4</v>
      </c>
      <c r="EV30" s="15">
        <f t="shared" si="119"/>
        <v>6.9050554870530212E-4</v>
      </c>
      <c r="EW30" s="15">
        <f t="shared" si="120"/>
        <v>6.9050554870530212E-4</v>
      </c>
      <c r="EX30" s="77"/>
      <c r="EY30" s="77"/>
      <c r="EZ30" s="1680"/>
      <c r="FA30" s="341"/>
      <c r="FB30" s="341"/>
      <c r="FC30" s="341"/>
      <c r="FD30" s="341"/>
      <c r="FE30" s="1119"/>
      <c r="FF30" s="1119"/>
      <c r="FG30" s="1119"/>
      <c r="FH30" s="1119"/>
      <c r="FI30" s="596"/>
      <c r="FJ30"/>
      <c r="FK30"/>
      <c r="FL30"/>
      <c r="FM30"/>
      <c r="FN30"/>
      <c r="FO30"/>
      <c r="FP30" s="3"/>
      <c r="FS30"/>
      <c r="FT30"/>
      <c r="FU30"/>
      <c r="FV30"/>
      <c r="FW30" s="2235"/>
      <c r="FX30" s="2235"/>
      <c r="FY30" s="2235"/>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row>
    <row r="31" spans="1:260" s="4" customFormat="1" hidden="1" outlineLevel="2" x14ac:dyDescent="0.2">
      <c r="A31" s="819">
        <v>30000</v>
      </c>
      <c r="B31" s="41"/>
      <c r="C31" s="41"/>
      <c r="D31" s="41"/>
      <c r="E31" s="820"/>
      <c r="F31" s="41"/>
      <c r="G31" s="41"/>
      <c r="H31" s="41"/>
      <c r="I31" s="820"/>
      <c r="J31" s="41"/>
      <c r="K31" s="41"/>
      <c r="L31" s="41"/>
      <c r="M31" s="820"/>
      <c r="N31" s="41"/>
      <c r="O31" s="41"/>
      <c r="P31" s="41"/>
      <c r="Q31" s="820"/>
      <c r="R31" s="41"/>
      <c r="S31" s="41"/>
      <c r="T31" s="41"/>
      <c r="U31" s="820"/>
      <c r="V31" s="41"/>
      <c r="W31" s="41"/>
      <c r="X31" s="41"/>
      <c r="Y31" s="820"/>
      <c r="Z31" s="41"/>
      <c r="AA31" s="41"/>
      <c r="AB31" s="41"/>
      <c r="AC31" s="820"/>
      <c r="AD31" s="41"/>
      <c r="AE31" s="41"/>
      <c r="AF31" s="41"/>
      <c r="AG31" s="820"/>
      <c r="AH31" s="55">
        <f t="shared" si="76"/>
        <v>3.8024821758648006E-2</v>
      </c>
      <c r="AI31" s="55">
        <f t="shared" si="77"/>
        <v>3.8775721228414849E-2</v>
      </c>
      <c r="AJ31" s="55">
        <f t="shared" si="78"/>
        <v>5.438412365232325E-2</v>
      </c>
      <c r="AK31" s="827">
        <f t="shared" si="79"/>
        <v>5.3969606589973018E-2</v>
      </c>
      <c r="AL31" s="55">
        <f t="shared" si="80"/>
        <v>6.3980713060410768E-2</v>
      </c>
      <c r="AM31" s="55">
        <f t="shared" si="81"/>
        <v>7.6288199866161047E-2</v>
      </c>
      <c r="AN31" s="55">
        <f t="shared" si="82"/>
        <v>8.6444340861900934E-2</v>
      </c>
      <c r="AO31" s="827">
        <f t="shared" si="83"/>
        <v>8.8761147977513846E-2</v>
      </c>
      <c r="AP31" s="55">
        <f t="shared" si="84"/>
        <v>9.205548549810845E-2</v>
      </c>
      <c r="AQ31" s="55">
        <f t="shared" si="85"/>
        <v>0.10512429401822154</v>
      </c>
      <c r="AR31" s="55">
        <f t="shared" si="86"/>
        <v>0.11772554251854177</v>
      </c>
      <c r="AS31" s="470">
        <f t="shared" si="87"/>
        <v>0.11989291118612501</v>
      </c>
      <c r="AT31" s="55">
        <f t="shared" si="88"/>
        <v>0.12417123366420113</v>
      </c>
      <c r="AU31" s="55">
        <f t="shared" si="89"/>
        <v>0.12400455062571103</v>
      </c>
      <c r="AV31" s="55">
        <f t="shared" si="90"/>
        <v>0.13308890925756187</v>
      </c>
      <c r="AW31" s="827">
        <f t="shared" si="91"/>
        <v>0.13400152522061226</v>
      </c>
      <c r="AX31" s="55">
        <f t="shared" si="92"/>
        <v>0.14209846418831634</v>
      </c>
      <c r="AY31" s="55">
        <f t="shared" si="93"/>
        <v>0.15253160087564438</v>
      </c>
      <c r="AZ31" s="55">
        <f t="shared" si="94"/>
        <v>0.17344558271629984</v>
      </c>
      <c r="BA31" s="827">
        <f t="shared" si="95"/>
        <v>0.17495056473506049</v>
      </c>
      <c r="BB31" s="55">
        <f t="shared" si="96"/>
        <v>0.1806033342154009</v>
      </c>
      <c r="BC31" s="55">
        <f t="shared" si="97"/>
        <v>0.18824982930714959</v>
      </c>
      <c r="BD31" s="55">
        <f t="shared" si="98"/>
        <v>0.20258285358643224</v>
      </c>
      <c r="BE31" s="827">
        <f t="shared" si="99"/>
        <v>0.20791621746496228</v>
      </c>
      <c r="BF31" s="55">
        <f t="shared" ref="BF31:BY31" si="124">BF40/BF$44</f>
        <v>0.22117661162226152</v>
      </c>
      <c r="BG31" s="55">
        <f t="shared" si="124"/>
        <v>0.22717266883860174</v>
      </c>
      <c r="BH31" s="55">
        <f t="shared" si="124"/>
        <v>0.24449190647482014</v>
      </c>
      <c r="BI31" s="827">
        <f t="shared" si="124"/>
        <v>0.24564050972501678</v>
      </c>
      <c r="BJ31" s="56">
        <f t="shared" si="124"/>
        <v>0.24856138107416881</v>
      </c>
      <c r="BK31" s="56">
        <f t="shared" si="124"/>
        <v>0.25752752700516618</v>
      </c>
      <c r="BL31" s="56">
        <f t="shared" si="124"/>
        <v>0.2753479881341751</v>
      </c>
      <c r="BM31" s="828">
        <f t="shared" si="124"/>
        <v>0.28228740621785059</v>
      </c>
      <c r="BN31" s="56">
        <f t="shared" si="124"/>
        <v>0.28471080555970707</v>
      </c>
      <c r="BO31" s="56">
        <f t="shared" si="124"/>
        <v>0.28819084308786486</v>
      </c>
      <c r="BP31" s="56">
        <f t="shared" si="124"/>
        <v>0.29253066853783055</v>
      </c>
      <c r="BQ31" s="828">
        <f t="shared" si="124"/>
        <v>0.29379050198278361</v>
      </c>
      <c r="BR31" s="56">
        <f t="shared" si="124"/>
        <v>0.29939545149217928</v>
      </c>
      <c r="BS31" s="56">
        <f t="shared" si="124"/>
        <v>0.29882324973255675</v>
      </c>
      <c r="BT31" s="56">
        <f t="shared" si="124"/>
        <v>0.3011621315192744</v>
      </c>
      <c r="BU31" s="828">
        <f t="shared" si="124"/>
        <v>0.30079267717278474</v>
      </c>
      <c r="BV31" s="56">
        <f t="shared" si="124"/>
        <v>0.3007129579519518</v>
      </c>
      <c r="BW31" s="56">
        <f t="shared" si="124"/>
        <v>0.30063365407181414</v>
      </c>
      <c r="BX31" s="56">
        <f t="shared" si="124"/>
        <v>0.30144383143561448</v>
      </c>
      <c r="BY31" s="828">
        <f t="shared" si="124"/>
        <v>0.30234529528115289</v>
      </c>
      <c r="BZ31" s="56"/>
      <c r="CA31" s="56"/>
      <c r="CB31" s="56"/>
      <c r="CC31" s="828"/>
      <c r="CD31" s="56"/>
      <c r="CE31" s="56"/>
      <c r="CF31" s="56"/>
      <c r="CG31" s="828"/>
      <c r="CH31" s="56">
        <f t="shared" si="101"/>
        <v>0.30273736825973169</v>
      </c>
      <c r="CI31" s="56">
        <f t="shared" si="101"/>
        <v>0.29820928249482276</v>
      </c>
      <c r="CJ31" s="56">
        <f t="shared" si="101"/>
        <v>0.29836852677477832</v>
      </c>
      <c r="CK31" s="828">
        <f t="shared" si="101"/>
        <v>0.29836852677477832</v>
      </c>
      <c r="CL31" s="56"/>
      <c r="CM31" s="56"/>
      <c r="CN31" s="56"/>
      <c r="CO31" s="828"/>
      <c r="CP31" s="56">
        <f t="shared" si="102"/>
        <v>0.29869779532579638</v>
      </c>
      <c r="CQ31" s="56">
        <f t="shared" si="103"/>
        <v>0.29869779532579638</v>
      </c>
      <c r="CR31" s="56">
        <f t="shared" si="103"/>
        <v>0.29869779532579638</v>
      </c>
      <c r="CS31" s="828">
        <f t="shared" si="122"/>
        <v>0.29869779532579638</v>
      </c>
      <c r="CT31" s="56">
        <f t="shared" si="104"/>
        <v>0.30036991368680643</v>
      </c>
      <c r="CU31" s="56">
        <f t="shared" si="104"/>
        <v>0.30036991368680643</v>
      </c>
      <c r="CV31" s="56">
        <f t="shared" si="105"/>
        <v>0.30070361683742747</v>
      </c>
      <c r="CW31" s="828">
        <f t="shared" si="105"/>
        <v>0.30070361683742747</v>
      </c>
      <c r="CX31" s="77">
        <f t="shared" si="105"/>
        <v>0</v>
      </c>
      <c r="CY31" s="77">
        <f t="shared" si="106"/>
        <v>0</v>
      </c>
      <c r="CZ31" s="77">
        <f t="shared" si="123"/>
        <v>0</v>
      </c>
      <c r="DA31" s="487">
        <f t="shared" si="123"/>
        <v>0</v>
      </c>
      <c r="DB31" s="77">
        <f t="shared" si="123"/>
        <v>0</v>
      </c>
      <c r="DC31" s="77">
        <f t="shared" si="123"/>
        <v>0</v>
      </c>
      <c r="DD31" s="70">
        <f t="shared" si="123"/>
        <v>0</v>
      </c>
      <c r="DE31" s="487">
        <f t="shared" si="123"/>
        <v>0</v>
      </c>
      <c r="DF31" s="70"/>
      <c r="DG31" s="70"/>
      <c r="DH31" s="70"/>
      <c r="DI31" s="487"/>
      <c r="DJ31" s="1673"/>
      <c r="DK31" s="70"/>
      <c r="DL31" s="70"/>
      <c r="DM31" s="487"/>
      <c r="DN31" s="7"/>
      <c r="DO31" s="484"/>
      <c r="DQ31" s="41"/>
      <c r="DR31" s="41"/>
      <c r="DS31" s="41"/>
      <c r="DT31" s="41"/>
      <c r="DU31" s="41"/>
      <c r="DV31" s="41"/>
      <c r="DW31" s="41"/>
      <c r="DX31" s="41"/>
      <c r="DY31" s="41"/>
      <c r="DZ31" s="41"/>
      <c r="EA31" s="41"/>
      <c r="EB31" s="41"/>
      <c r="EC31" s="41"/>
      <c r="ED31" s="41"/>
      <c r="EE31" s="41"/>
      <c r="EF31" s="41">
        <f t="shared" si="108"/>
        <v>5.3969606589973018E-2</v>
      </c>
      <c r="EG31" s="41">
        <f t="shared" si="109"/>
        <v>8.8761147977513846E-2</v>
      </c>
      <c r="EH31" s="41">
        <f t="shared" si="110"/>
        <v>0.11989291118612501</v>
      </c>
      <c r="EI31" s="41">
        <f t="shared" si="111"/>
        <v>0.13400152522061226</v>
      </c>
      <c r="EJ31" s="41">
        <f t="shared" si="112"/>
        <v>0.17495056473506049</v>
      </c>
      <c r="EK31" s="41">
        <f t="shared" si="113"/>
        <v>0.20791621746496228</v>
      </c>
      <c r="EL31" s="41">
        <f t="shared" si="114"/>
        <v>0.24564050972501678</v>
      </c>
      <c r="EM31" s="821">
        <f t="shared" si="115"/>
        <v>0.28228740621785059</v>
      </c>
      <c r="EN31" s="821">
        <f t="shared" si="116"/>
        <v>0.29379050198278361</v>
      </c>
      <c r="EO31" s="41">
        <f t="shared" si="117"/>
        <v>0.30079267717278474</v>
      </c>
      <c r="EP31" s="41">
        <f t="shared" si="117"/>
        <v>0.30234529528115289</v>
      </c>
      <c r="EQ31" s="41"/>
      <c r="ER31" s="41"/>
      <c r="ES31" s="41">
        <f t="shared" si="118"/>
        <v>0.29836852677477832</v>
      </c>
      <c r="ET31" s="41"/>
      <c r="EU31" s="15">
        <f t="shared" si="119"/>
        <v>0.29869779532579638</v>
      </c>
      <c r="EV31" s="15">
        <f t="shared" si="119"/>
        <v>0.30036991368680643</v>
      </c>
      <c r="EW31" s="15">
        <f t="shared" si="120"/>
        <v>0.30036991368680643</v>
      </c>
      <c r="EX31" s="77"/>
      <c r="EY31" s="77"/>
      <c r="EZ31" s="1680"/>
      <c r="FA31" s="341"/>
      <c r="FB31" s="341"/>
      <c r="FC31" s="341"/>
      <c r="FD31" s="341"/>
      <c r="FE31" s="1119"/>
      <c r="FF31" s="1119"/>
      <c r="FG31" s="1119"/>
      <c r="FH31" s="1119"/>
      <c r="FI31" s="596"/>
      <c r="FJ31"/>
      <c r="FK31"/>
      <c r="FL31"/>
      <c r="FM31"/>
      <c r="FN31"/>
      <c r="FO31"/>
      <c r="FP31" s="3"/>
      <c r="FS31"/>
      <c r="FT31"/>
      <c r="FU31"/>
      <c r="FV31"/>
      <c r="FW31" s="2235"/>
      <c r="FX31" s="2235"/>
      <c r="FY31" s="2235"/>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row>
    <row r="32" spans="1:260" s="4" customFormat="1" hidden="1" outlineLevel="2" x14ac:dyDescent="0.2">
      <c r="A32" s="819">
        <v>36000</v>
      </c>
      <c r="B32" s="41"/>
      <c r="C32" s="41"/>
      <c r="D32" s="41"/>
      <c r="E32" s="820"/>
      <c r="F32" s="41"/>
      <c r="G32" s="41"/>
      <c r="H32" s="41"/>
      <c r="I32" s="820"/>
      <c r="J32" s="41"/>
      <c r="K32" s="41"/>
      <c r="L32" s="41"/>
      <c r="M32" s="820"/>
      <c r="N32" s="41"/>
      <c r="O32" s="41"/>
      <c r="P32" s="41"/>
      <c r="Q32" s="820"/>
      <c r="R32" s="41"/>
      <c r="S32" s="41"/>
      <c r="T32" s="41"/>
      <c r="U32" s="820"/>
      <c r="V32" s="41"/>
      <c r="W32" s="41"/>
      <c r="X32" s="41"/>
      <c r="Y32" s="820"/>
      <c r="Z32" s="41"/>
      <c r="AA32" s="41"/>
      <c r="AB32" s="41"/>
      <c r="AC32" s="820"/>
      <c r="AD32" s="41"/>
      <c r="AE32" s="41"/>
      <c r="AF32" s="41"/>
      <c r="AG32" s="820"/>
      <c r="AH32" s="55">
        <f t="shared" si="76"/>
        <v>6.4642196989701611E-2</v>
      </c>
      <c r="AI32" s="55">
        <f t="shared" si="77"/>
        <v>6.3281977044773036E-2</v>
      </c>
      <c r="AJ32" s="55">
        <f t="shared" si="78"/>
        <v>5.6673981490315807E-2</v>
      </c>
      <c r="AK32" s="827">
        <f t="shared" si="79"/>
        <v>5.4537707711972729E-2</v>
      </c>
      <c r="AL32" s="55">
        <f t="shared" si="80"/>
        <v>5.1740924474940886E-2</v>
      </c>
      <c r="AM32" s="55">
        <f t="shared" si="81"/>
        <v>4.9788088333705106E-2</v>
      </c>
      <c r="AN32" s="55">
        <f t="shared" si="82"/>
        <v>4.7290139412686977E-2</v>
      </c>
      <c r="AO32" s="827">
        <f t="shared" si="83"/>
        <v>4.7170210068050215E-2</v>
      </c>
      <c r="AP32" s="55">
        <f t="shared" si="84"/>
        <v>4.5397225725094581E-2</v>
      </c>
      <c r="AQ32" s="55">
        <f t="shared" si="85"/>
        <v>4.4523230407717357E-2</v>
      </c>
      <c r="AR32" s="55">
        <f t="shared" si="86"/>
        <v>4.2381195306675036E-2</v>
      </c>
      <c r="AS32" s="470">
        <f t="shared" si="87"/>
        <v>4.1904318472820397E-2</v>
      </c>
      <c r="AT32" s="55">
        <f t="shared" si="88"/>
        <v>4.1390411221400372E-2</v>
      </c>
      <c r="AU32" s="55">
        <f t="shared" si="89"/>
        <v>4.0955631399317405E-2</v>
      </c>
      <c r="AV32" s="55">
        <f t="shared" si="90"/>
        <v>3.6956920256645279E-2</v>
      </c>
      <c r="AW32" s="827">
        <f t="shared" si="91"/>
        <v>3.6605294694411157E-2</v>
      </c>
      <c r="AX32" s="55">
        <f t="shared" si="92"/>
        <v>3.6170518157025981E-2</v>
      </c>
      <c r="AY32" s="55">
        <f t="shared" si="93"/>
        <v>3.4319610197019984E-2</v>
      </c>
      <c r="AZ32" s="55">
        <f t="shared" si="94"/>
        <v>3.2863373567298917E-2</v>
      </c>
      <c r="BA32" s="827">
        <f t="shared" si="95"/>
        <v>3.2577001709287123E-2</v>
      </c>
      <c r="BB32" s="55">
        <f t="shared" si="96"/>
        <v>3.215136279439005E-2</v>
      </c>
      <c r="BC32" s="55">
        <f t="shared" si="97"/>
        <v>3.1602562018402315E-2</v>
      </c>
      <c r="BD32" s="55">
        <f t="shared" si="98"/>
        <v>2.6886572273222342E-2</v>
      </c>
      <c r="BE32" s="827">
        <f t="shared" si="99"/>
        <v>2.661327583551517E-2</v>
      </c>
      <c r="BF32" s="55">
        <f t="shared" ref="BF32:BY32" si="125">BF41/BF$44</f>
        <v>2.5893847214313544E-2</v>
      </c>
      <c r="BG32" s="55">
        <f t="shared" si="125"/>
        <v>2.4302192480408557E-2</v>
      </c>
      <c r="BH32" s="55">
        <f t="shared" si="125"/>
        <v>2.2257194244604317E-2</v>
      </c>
      <c r="BI32" s="827">
        <f t="shared" si="125"/>
        <v>2.2132796780684104E-2</v>
      </c>
      <c r="BJ32" s="56">
        <f t="shared" si="125"/>
        <v>2.1099744245524295E-2</v>
      </c>
      <c r="BK32" s="56">
        <f t="shared" si="125"/>
        <v>2.0664822835672912E-2</v>
      </c>
      <c r="BL32" s="56">
        <f t="shared" si="125"/>
        <v>1.9167870997185671E-2</v>
      </c>
      <c r="BM32" s="828">
        <f t="shared" si="125"/>
        <v>1.7163074298045318E-2</v>
      </c>
      <c r="BN32" s="56">
        <f t="shared" si="125"/>
        <v>1.7037811986250186E-2</v>
      </c>
      <c r="BO32" s="56">
        <f t="shared" si="125"/>
        <v>1.6891391317232184E-2</v>
      </c>
      <c r="BP32" s="56">
        <f t="shared" si="125"/>
        <v>1.9163299378160612E-2</v>
      </c>
      <c r="BQ32" s="828">
        <f t="shared" si="125"/>
        <v>1.9150788277396268E-2</v>
      </c>
      <c r="BR32" s="56">
        <f t="shared" si="125"/>
        <v>1.9000095960080607E-2</v>
      </c>
      <c r="BS32" s="56">
        <f t="shared" si="125"/>
        <v>2.1395459408058957E-2</v>
      </c>
      <c r="BT32" s="56">
        <f t="shared" si="125"/>
        <v>2.1258503401360544E-2</v>
      </c>
      <c r="BU32" s="828">
        <f t="shared" si="125"/>
        <v>2.1232424271020098E-2</v>
      </c>
      <c r="BV32" s="56">
        <f t="shared" si="125"/>
        <v>2.2024047624649993E-2</v>
      </c>
      <c r="BW32" s="56">
        <f t="shared" si="125"/>
        <v>2.2811546585308613E-2</v>
      </c>
      <c r="BX32" s="56">
        <f t="shared" si="125"/>
        <v>2.2819579762882968E-2</v>
      </c>
      <c r="BY32" s="828">
        <f t="shared" si="125"/>
        <v>2.6278609776773099E-2</v>
      </c>
      <c r="BZ32" s="56"/>
      <c r="CA32" s="56"/>
      <c r="CB32" s="56"/>
      <c r="CC32" s="828"/>
      <c r="CD32" s="56"/>
      <c r="CE32" s="56"/>
      <c r="CF32" s="56"/>
      <c r="CG32" s="828"/>
      <c r="CH32" s="56">
        <f t="shared" si="101"/>
        <v>2.6312687147808454E-2</v>
      </c>
      <c r="CI32" s="56">
        <f t="shared" si="101"/>
        <v>2.543549762455841E-2</v>
      </c>
      <c r="CJ32" s="56">
        <f t="shared" si="101"/>
        <v>2.5574445152123856E-2</v>
      </c>
      <c r="CK32" s="828">
        <f t="shared" si="101"/>
        <v>2.5574445152123856E-2</v>
      </c>
      <c r="CL32" s="56"/>
      <c r="CM32" s="56"/>
      <c r="CN32" s="56"/>
      <c r="CO32" s="828"/>
      <c r="CP32" s="56">
        <f t="shared" si="102"/>
        <v>2.560266817078255E-2</v>
      </c>
      <c r="CQ32" s="56">
        <f t="shared" si="103"/>
        <v>2.560266817078255E-2</v>
      </c>
      <c r="CR32" s="56">
        <f t="shared" si="103"/>
        <v>2.560266817078255E-2</v>
      </c>
      <c r="CS32" s="828">
        <f t="shared" si="122"/>
        <v>2.560266817078255E-2</v>
      </c>
      <c r="CT32" s="56">
        <f t="shared" si="104"/>
        <v>2.5745992601726265E-2</v>
      </c>
      <c r="CU32" s="56">
        <f t="shared" si="104"/>
        <v>2.5745992601726265E-2</v>
      </c>
      <c r="CV32" s="56">
        <f t="shared" si="105"/>
        <v>2.5774595728922354E-2</v>
      </c>
      <c r="CW32" s="828">
        <f t="shared" si="105"/>
        <v>2.5774595728922354E-2</v>
      </c>
      <c r="CX32" s="77">
        <f t="shared" si="105"/>
        <v>0</v>
      </c>
      <c r="CY32" s="77">
        <f t="shared" si="106"/>
        <v>0</v>
      </c>
      <c r="CZ32" s="77">
        <f t="shared" si="123"/>
        <v>0</v>
      </c>
      <c r="DA32" s="487">
        <f t="shared" si="123"/>
        <v>0</v>
      </c>
      <c r="DB32" s="77">
        <f t="shared" si="123"/>
        <v>0</v>
      </c>
      <c r="DC32" s="77">
        <f t="shared" si="123"/>
        <v>0</v>
      </c>
      <c r="DD32" s="70">
        <f t="shared" si="123"/>
        <v>0</v>
      </c>
      <c r="DE32" s="487">
        <f t="shared" si="123"/>
        <v>0</v>
      </c>
      <c r="DF32" s="70"/>
      <c r="DG32" s="70"/>
      <c r="DH32" s="70"/>
      <c r="DI32" s="487"/>
      <c r="DJ32" s="1673"/>
      <c r="DK32" s="70"/>
      <c r="DL32" s="70"/>
      <c r="DM32" s="487"/>
      <c r="DN32" s="7"/>
      <c r="DO32" s="484"/>
      <c r="DQ32" s="41"/>
      <c r="DR32" s="41"/>
      <c r="DS32" s="41"/>
      <c r="DT32" s="41"/>
      <c r="DU32" s="41"/>
      <c r="DV32" s="41"/>
      <c r="DW32" s="41"/>
      <c r="DX32" s="41"/>
      <c r="DY32" s="41"/>
      <c r="DZ32" s="41"/>
      <c r="EA32" s="41"/>
      <c r="EB32" s="41"/>
      <c r="EC32" s="41"/>
      <c r="ED32" s="41"/>
      <c r="EE32" s="41"/>
      <c r="EF32" s="41">
        <f t="shared" si="108"/>
        <v>5.4537707711972729E-2</v>
      </c>
      <c r="EG32" s="41">
        <f t="shared" si="109"/>
        <v>4.7170210068050215E-2</v>
      </c>
      <c r="EH32" s="41">
        <f t="shared" si="110"/>
        <v>4.1904318472820397E-2</v>
      </c>
      <c r="EI32" s="41">
        <f t="shared" si="111"/>
        <v>3.6605294694411157E-2</v>
      </c>
      <c r="EJ32" s="41">
        <f t="shared" si="112"/>
        <v>3.2577001709287123E-2</v>
      </c>
      <c r="EK32" s="41">
        <f t="shared" si="113"/>
        <v>2.661327583551517E-2</v>
      </c>
      <c r="EL32" s="41">
        <f t="shared" si="114"/>
        <v>2.2132796780684104E-2</v>
      </c>
      <c r="EM32" s="821">
        <f t="shared" si="115"/>
        <v>1.7163074298045318E-2</v>
      </c>
      <c r="EN32" s="821">
        <f t="shared" si="116"/>
        <v>1.9150788277396268E-2</v>
      </c>
      <c r="EO32" s="41">
        <f t="shared" si="117"/>
        <v>2.1232424271020098E-2</v>
      </c>
      <c r="EP32" s="41">
        <f t="shared" si="117"/>
        <v>2.6278609776773099E-2</v>
      </c>
      <c r="EQ32" s="41"/>
      <c r="ER32" s="41"/>
      <c r="ES32" s="41">
        <f t="shared" si="118"/>
        <v>2.5574445152123856E-2</v>
      </c>
      <c r="ET32" s="41"/>
      <c r="EU32" s="15">
        <f t="shared" si="119"/>
        <v>2.560266817078255E-2</v>
      </c>
      <c r="EV32" s="15">
        <f t="shared" si="119"/>
        <v>2.5745992601726265E-2</v>
      </c>
      <c r="EW32" s="15">
        <f t="shared" si="120"/>
        <v>2.5745992601726265E-2</v>
      </c>
      <c r="EX32" s="77"/>
      <c r="EY32" s="77"/>
      <c r="EZ32" s="1680"/>
      <c r="FA32" s="341"/>
      <c r="FB32" s="341"/>
      <c r="FC32" s="341"/>
      <c r="FD32" s="341"/>
      <c r="FE32" s="1119"/>
      <c r="FF32" s="1119"/>
      <c r="FG32" s="1119"/>
      <c r="FH32" s="1119"/>
      <c r="FI32" s="596"/>
      <c r="FJ32"/>
      <c r="FK32"/>
      <c r="FL32"/>
      <c r="FM32"/>
      <c r="FN32"/>
      <c r="FO32"/>
      <c r="FP32" s="3"/>
      <c r="FS32"/>
      <c r="FT32"/>
      <c r="FU32"/>
      <c r="FV32"/>
      <c r="FW32" s="2235"/>
      <c r="FX32" s="2235"/>
      <c r="FY32" s="2235"/>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row>
    <row r="33" spans="1:260" s="4" customFormat="1" hidden="1" outlineLevel="2" x14ac:dyDescent="0.2">
      <c r="A33" s="819">
        <v>45000</v>
      </c>
      <c r="B33" s="41"/>
      <c r="C33" s="41"/>
      <c r="D33" s="41"/>
      <c r="E33" s="820"/>
      <c r="F33" s="41"/>
      <c r="G33" s="41"/>
      <c r="H33" s="41"/>
      <c r="I33" s="820"/>
      <c r="J33" s="41"/>
      <c r="K33" s="41"/>
      <c r="L33" s="41"/>
      <c r="M33" s="820"/>
      <c r="N33" s="41"/>
      <c r="O33" s="41"/>
      <c r="P33" s="41"/>
      <c r="Q33" s="820"/>
      <c r="R33" s="41"/>
      <c r="S33" s="41"/>
      <c r="T33" s="41"/>
      <c r="U33" s="820"/>
      <c r="V33" s="41"/>
      <c r="W33" s="41"/>
      <c r="X33" s="41"/>
      <c r="Y33" s="820"/>
      <c r="Z33" s="41"/>
      <c r="AA33" s="41"/>
      <c r="AB33" s="41"/>
      <c r="AC33" s="820"/>
      <c r="AD33" s="41"/>
      <c r="AE33" s="41"/>
      <c r="AF33" s="41"/>
      <c r="AG33" s="820"/>
      <c r="AH33" s="55">
        <f t="shared" si="76"/>
        <v>0.70108265117507262</v>
      </c>
      <c r="AI33" s="55">
        <f t="shared" si="77"/>
        <v>0.70726915520628686</v>
      </c>
      <c r="AJ33" s="55">
        <f t="shared" si="78"/>
        <v>0.71701173552141972</v>
      </c>
      <c r="AK33" s="827">
        <f t="shared" si="79"/>
        <v>0.72219855134213895</v>
      </c>
      <c r="AL33" s="55">
        <f t="shared" si="80"/>
        <v>0.71978302192962118</v>
      </c>
      <c r="AM33" s="55">
        <f t="shared" si="81"/>
        <v>0.7207227303145215</v>
      </c>
      <c r="AN33" s="55">
        <f t="shared" si="82"/>
        <v>0.72270011441162763</v>
      </c>
      <c r="AO33" s="827">
        <f t="shared" si="83"/>
        <v>0.72086732321738023</v>
      </c>
      <c r="AP33" s="55">
        <f t="shared" si="84"/>
        <v>0.72257250945775531</v>
      </c>
      <c r="AQ33" s="55">
        <f t="shared" si="85"/>
        <v>0.71422682112379932</v>
      </c>
      <c r="AR33" s="55">
        <f t="shared" si="86"/>
        <v>0.71165090452458502</v>
      </c>
      <c r="AS33" s="470">
        <f t="shared" si="87"/>
        <v>0.71062740076824582</v>
      </c>
      <c r="AT33" s="55">
        <f t="shared" si="88"/>
        <v>0.70536159123136477</v>
      </c>
      <c r="AU33" s="55">
        <f t="shared" si="89"/>
        <v>0.70648464163822522</v>
      </c>
      <c r="AV33" s="55">
        <f t="shared" si="90"/>
        <v>0.69459211732355641</v>
      </c>
      <c r="AW33" s="827">
        <f t="shared" si="91"/>
        <v>0.69452010022878308</v>
      </c>
      <c r="AX33" s="55">
        <f t="shared" si="92"/>
        <v>0.69111525764317494</v>
      </c>
      <c r="AY33" s="55">
        <f t="shared" si="93"/>
        <v>0.68321446225549043</v>
      </c>
      <c r="AZ33" s="55">
        <f t="shared" si="94"/>
        <v>0.66487473374581596</v>
      </c>
      <c r="BA33" s="827">
        <f t="shared" si="95"/>
        <v>0.66209739585078931</v>
      </c>
      <c r="BB33" s="55">
        <f t="shared" si="96"/>
        <v>0.65791214607038895</v>
      </c>
      <c r="BC33" s="55">
        <f t="shared" si="97"/>
        <v>0.65107130084208475</v>
      </c>
      <c r="BD33" s="55">
        <f t="shared" si="98"/>
        <v>0.64835848763030968</v>
      </c>
      <c r="BE33" s="827">
        <f t="shared" si="99"/>
        <v>0.64454027414138304</v>
      </c>
      <c r="BF33" s="55">
        <f t="shared" ref="BF33:BY33" si="126">BF42/BF$44</f>
        <v>0.63251116372463811</v>
      </c>
      <c r="BG33" s="55">
        <f t="shared" si="126"/>
        <v>0.63000792462798272</v>
      </c>
      <c r="BH33" s="55">
        <f t="shared" si="126"/>
        <v>0.61966052158273377</v>
      </c>
      <c r="BI33" s="827">
        <f t="shared" si="126"/>
        <v>0.61871227364185111</v>
      </c>
      <c r="BJ33" s="56">
        <f t="shared" si="126"/>
        <v>0.59702685421994883</v>
      </c>
      <c r="BK33" s="56">
        <f t="shared" si="126"/>
        <v>0.59059124354224291</v>
      </c>
      <c r="BL33" s="56">
        <f t="shared" si="126"/>
        <v>0.57617707461778356</v>
      </c>
      <c r="BM33" s="828">
        <f t="shared" si="126"/>
        <v>0.57134971018492964</v>
      </c>
      <c r="BN33" s="56">
        <f t="shared" si="126"/>
        <v>0.56942161111941414</v>
      </c>
      <c r="BO33" s="56">
        <f t="shared" si="126"/>
        <v>0.56675062972292189</v>
      </c>
      <c r="BP33" s="56">
        <f t="shared" si="126"/>
        <v>0.56074427157685891</v>
      </c>
      <c r="BQ33" s="828">
        <f t="shared" si="126"/>
        <v>0.55929006673759551</v>
      </c>
      <c r="BR33" s="56">
        <f t="shared" si="126"/>
        <v>0.55488916610689953</v>
      </c>
      <c r="BS33" s="56">
        <f t="shared" si="126"/>
        <v>0.55200285272792105</v>
      </c>
      <c r="BT33" s="56">
        <f t="shared" si="126"/>
        <v>0.55059523809523814</v>
      </c>
      <c r="BU33" s="828">
        <f t="shared" si="126"/>
        <v>0.54991978861942059</v>
      </c>
      <c r="BV33" s="56">
        <f t="shared" si="126"/>
        <v>0.54954234217275699</v>
      </c>
      <c r="BW33" s="56">
        <f t="shared" si="126"/>
        <v>0.54916686223891109</v>
      </c>
      <c r="BX33" s="56">
        <f t="shared" si="126"/>
        <v>0.54830379152482689</v>
      </c>
      <c r="BY33" s="828">
        <f t="shared" si="126"/>
        <v>0.54676462277479509</v>
      </c>
      <c r="BZ33" s="56"/>
      <c r="CA33" s="56"/>
      <c r="CB33" s="56"/>
      <c r="CC33" s="828"/>
      <c r="CD33" s="56"/>
      <c r="CE33" s="56"/>
      <c r="CF33" s="56"/>
      <c r="CG33" s="828"/>
      <c r="CH33" s="56">
        <f t="shared" si="101"/>
        <v>0.54747365194633724</v>
      </c>
      <c r="CI33" s="56">
        <f t="shared" si="101"/>
        <v>0.55256425874040682</v>
      </c>
      <c r="CJ33" s="56">
        <f t="shared" si="101"/>
        <v>0.55227573367301941</v>
      </c>
      <c r="CK33" s="828">
        <f t="shared" si="101"/>
        <v>0.55227573367301941</v>
      </c>
      <c r="CL33" s="56"/>
      <c r="CM33" s="56"/>
      <c r="CN33" s="56"/>
      <c r="CO33" s="828"/>
      <c r="CP33" s="56">
        <f t="shared" si="102"/>
        <v>0.55178164161169285</v>
      </c>
      <c r="CQ33" s="56">
        <f t="shared" si="103"/>
        <v>0.55178164161169285</v>
      </c>
      <c r="CR33" s="56">
        <f t="shared" si="103"/>
        <v>0.55178164161169285</v>
      </c>
      <c r="CS33" s="828">
        <f t="shared" si="122"/>
        <v>0.55178164161169285</v>
      </c>
      <c r="CT33" s="56">
        <f t="shared" si="104"/>
        <v>0.5526510480887793</v>
      </c>
      <c r="CU33" s="56">
        <f t="shared" si="104"/>
        <v>0.5526510480887793</v>
      </c>
      <c r="CV33" s="56">
        <f t="shared" si="105"/>
        <v>0.5532650290087644</v>
      </c>
      <c r="CW33" s="828">
        <f t="shared" si="105"/>
        <v>0.5532650290087644</v>
      </c>
      <c r="CX33" s="77">
        <f t="shared" si="105"/>
        <v>0</v>
      </c>
      <c r="CY33" s="77">
        <f t="shared" si="106"/>
        <v>0</v>
      </c>
      <c r="CZ33" s="77">
        <f t="shared" si="123"/>
        <v>0</v>
      </c>
      <c r="DA33" s="487">
        <f t="shared" si="123"/>
        <v>0</v>
      </c>
      <c r="DB33" s="77">
        <f t="shared" si="123"/>
        <v>0</v>
      </c>
      <c r="DC33" s="77">
        <f t="shared" si="123"/>
        <v>0</v>
      </c>
      <c r="DD33" s="70">
        <f t="shared" si="123"/>
        <v>0</v>
      </c>
      <c r="DE33" s="487">
        <f t="shared" si="123"/>
        <v>0</v>
      </c>
      <c r="DF33" s="70"/>
      <c r="DG33" s="70"/>
      <c r="DH33" s="70"/>
      <c r="DI33" s="487"/>
      <c r="DJ33" s="1673"/>
      <c r="DK33" s="70"/>
      <c r="DL33" s="70"/>
      <c r="DM33" s="487"/>
      <c r="DN33" s="7"/>
      <c r="DO33" s="484"/>
      <c r="DQ33" s="41"/>
      <c r="DR33" s="41"/>
      <c r="DS33" s="41"/>
      <c r="DT33" s="41"/>
      <c r="DU33" s="41"/>
      <c r="DV33" s="41"/>
      <c r="DW33" s="41"/>
      <c r="DX33" s="41"/>
      <c r="DY33" s="41"/>
      <c r="DZ33" s="41"/>
      <c r="EA33" s="41"/>
      <c r="EB33" s="41"/>
      <c r="EC33" s="41"/>
      <c r="ED33" s="41"/>
      <c r="EE33" s="41"/>
      <c r="EF33" s="41">
        <f t="shared" si="108"/>
        <v>0.72219855134213895</v>
      </c>
      <c r="EG33" s="41">
        <f t="shared" si="109"/>
        <v>0.72086732321738023</v>
      </c>
      <c r="EH33" s="41">
        <f t="shared" si="110"/>
        <v>0.71062740076824582</v>
      </c>
      <c r="EI33" s="41">
        <f t="shared" si="111"/>
        <v>0.69452010022878308</v>
      </c>
      <c r="EJ33" s="41">
        <f t="shared" si="112"/>
        <v>0.66209739585078931</v>
      </c>
      <c r="EK33" s="41">
        <f t="shared" si="113"/>
        <v>0.64454027414138304</v>
      </c>
      <c r="EL33" s="41">
        <f t="shared" si="114"/>
        <v>0.61871227364185111</v>
      </c>
      <c r="EM33" s="821">
        <f t="shared" si="115"/>
        <v>0.57134971018492964</v>
      </c>
      <c r="EN33" s="821">
        <f t="shared" si="116"/>
        <v>0.55929006673759551</v>
      </c>
      <c r="EO33" s="41">
        <f t="shared" si="117"/>
        <v>0.54991978861942059</v>
      </c>
      <c r="EP33" s="41">
        <f t="shared" si="117"/>
        <v>0.54676462277479509</v>
      </c>
      <c r="EQ33" s="41"/>
      <c r="ER33" s="41"/>
      <c r="ES33" s="41">
        <f t="shared" si="118"/>
        <v>0.55227573367301941</v>
      </c>
      <c r="ET33" s="41"/>
      <c r="EU33" s="15">
        <f t="shared" si="119"/>
        <v>0.55178164161169285</v>
      </c>
      <c r="EV33" s="15">
        <f t="shared" si="119"/>
        <v>0.55154130702836002</v>
      </c>
      <c r="EW33" s="15">
        <f t="shared" si="120"/>
        <v>0.55154130702836002</v>
      </c>
      <c r="EX33" s="77"/>
      <c r="EY33" s="77"/>
      <c r="EZ33" s="1680"/>
      <c r="FA33" s="341"/>
      <c r="FB33" s="341"/>
      <c r="FC33" s="341"/>
      <c r="FD33" s="341"/>
      <c r="FE33" s="1119"/>
      <c r="FF33" s="1119"/>
      <c r="FG33" s="1119"/>
      <c r="FH33" s="1119"/>
      <c r="FI33" s="596"/>
      <c r="FJ33"/>
      <c r="FK33"/>
      <c r="FL33"/>
      <c r="FM33"/>
      <c r="FN33"/>
      <c r="FO33"/>
      <c r="FP33" s="3"/>
      <c r="FS33"/>
      <c r="FT33"/>
      <c r="FU33"/>
      <c r="FV33"/>
      <c r="FW33" s="2235"/>
      <c r="FX33" s="2235"/>
      <c r="FY33" s="2235"/>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row>
    <row r="34" spans="1:260" s="4" customFormat="1" hidden="1" outlineLevel="2" x14ac:dyDescent="0.2">
      <c r="A34" s="819">
        <v>58000</v>
      </c>
      <c r="B34" s="41"/>
      <c r="C34" s="41"/>
      <c r="D34" s="41"/>
      <c r="E34" s="820"/>
      <c r="F34" s="41"/>
      <c r="G34" s="41"/>
      <c r="H34" s="41"/>
      <c r="I34" s="820"/>
      <c r="J34" s="41"/>
      <c r="K34" s="41"/>
      <c r="L34" s="41"/>
      <c r="M34" s="820"/>
      <c r="N34" s="41"/>
      <c r="O34" s="41"/>
      <c r="P34" s="41"/>
      <c r="Q34" s="820"/>
      <c r="R34" s="41"/>
      <c r="S34" s="41"/>
      <c r="T34" s="41"/>
      <c r="U34" s="820"/>
      <c r="V34" s="41"/>
      <c r="W34" s="41"/>
      <c r="X34" s="41"/>
      <c r="Y34" s="820"/>
      <c r="Z34" s="41"/>
      <c r="AA34" s="41"/>
      <c r="AB34" s="41"/>
      <c r="AC34" s="820"/>
      <c r="AD34" s="41"/>
      <c r="AE34" s="41"/>
      <c r="AF34" s="41"/>
      <c r="AG34" s="820"/>
      <c r="AH34" s="55">
        <f t="shared" si="76"/>
        <v>0.1592817533667811</v>
      </c>
      <c r="AI34" s="55">
        <f t="shared" si="77"/>
        <v>0.15593010029986556</v>
      </c>
      <c r="AJ34" s="55">
        <f t="shared" si="78"/>
        <v>0.14387940082053238</v>
      </c>
      <c r="AK34" s="827">
        <f t="shared" si="79"/>
        <v>0.14278274866259527</v>
      </c>
      <c r="AL34" s="55">
        <f t="shared" si="80"/>
        <v>0.13983031202188326</v>
      </c>
      <c r="AM34" s="55">
        <f t="shared" si="81"/>
        <v>0.13196520187374525</v>
      </c>
      <c r="AN34" s="55">
        <f t="shared" si="82"/>
        <v>0.1228865629899572</v>
      </c>
      <c r="AO34" s="827">
        <f t="shared" si="83"/>
        <v>0.12257491863561436</v>
      </c>
      <c r="AP34" s="55">
        <f t="shared" si="84"/>
        <v>0.1194619588062211</v>
      </c>
      <c r="AQ34" s="55">
        <f t="shared" si="85"/>
        <v>0.11716205631364142</v>
      </c>
      <c r="AR34" s="55">
        <f t="shared" si="86"/>
        <v>0.10924930345720676</v>
      </c>
      <c r="AS34" s="470">
        <f t="shared" si="87"/>
        <v>0.10802002095215923</v>
      </c>
      <c r="AT34" s="55">
        <f t="shared" si="88"/>
        <v>0.10669528225960986</v>
      </c>
      <c r="AU34" s="55">
        <f t="shared" si="89"/>
        <v>0.10337504740235115</v>
      </c>
      <c r="AV34" s="55">
        <f t="shared" si="90"/>
        <v>0.10207149404216315</v>
      </c>
      <c r="AW34" s="827">
        <f t="shared" si="91"/>
        <v>9.8994080691433339E-2</v>
      </c>
      <c r="AX34" s="55">
        <f t="shared" si="92"/>
        <v>9.5737046074350504E-2</v>
      </c>
      <c r="AY34" s="55">
        <f t="shared" si="93"/>
        <v>9.4202386837087773E-2</v>
      </c>
      <c r="AZ34" s="55">
        <f t="shared" si="94"/>
        <v>9.2166210230922682E-2</v>
      </c>
      <c r="BA34" s="827">
        <f t="shared" si="95"/>
        <v>9.1363072694976039E-2</v>
      </c>
      <c r="BB34" s="55">
        <f t="shared" si="96"/>
        <v>9.0169356972744114E-2</v>
      </c>
      <c r="BC34" s="55">
        <f t="shared" si="97"/>
        <v>8.8630230516630354E-2</v>
      </c>
      <c r="BD34" s="55">
        <f t="shared" si="98"/>
        <v>8.1219853742025824E-2</v>
      </c>
      <c r="BE34" s="827">
        <f t="shared" si="99"/>
        <v>8.0394270753118738E-2</v>
      </c>
      <c r="BF34" s="55">
        <f t="shared" ref="BF34:BY34" si="127">BF43/BF$44</f>
        <v>7.8220996793238823E-2</v>
      </c>
      <c r="BG34" s="55">
        <f t="shared" si="127"/>
        <v>7.6604737166505232E-2</v>
      </c>
      <c r="BH34" s="55">
        <f t="shared" si="127"/>
        <v>7.3347571942446038E-2</v>
      </c>
      <c r="BI34" s="827">
        <f t="shared" si="127"/>
        <v>7.2937625754527169E-2</v>
      </c>
      <c r="BJ34" s="56">
        <f t="shared" si="127"/>
        <v>6.9533248081841428E-2</v>
      </c>
      <c r="BK34" s="56">
        <f t="shared" si="127"/>
        <v>6.809998434483118E-2</v>
      </c>
      <c r="BL34" s="56">
        <f t="shared" si="127"/>
        <v>6.6174792728379103E-2</v>
      </c>
      <c r="BM34" s="828">
        <f t="shared" si="127"/>
        <v>6.5490678242541345E-2</v>
      </c>
      <c r="BN34" s="56">
        <f t="shared" si="127"/>
        <v>6.5012703631744134E-2</v>
      </c>
      <c r="BO34" s="56">
        <f t="shared" si="127"/>
        <v>6.445399318417544E-2</v>
      </c>
      <c r="BP34" s="56">
        <f t="shared" si="127"/>
        <v>6.3151782041665661E-2</v>
      </c>
      <c r="BQ34" s="828">
        <f t="shared" si="127"/>
        <v>6.3110552277783158E-2</v>
      </c>
      <c r="BR34" s="56">
        <f t="shared" si="127"/>
        <v>6.2613952595720182E-2</v>
      </c>
      <c r="BS34" s="56">
        <f t="shared" si="127"/>
        <v>6.2046832283370976E-2</v>
      </c>
      <c r="BT34" s="56">
        <f t="shared" si="127"/>
        <v>6.1649659863945577E-2</v>
      </c>
      <c r="BU34" s="828">
        <f t="shared" si="127"/>
        <v>6.1574030385958288E-2</v>
      </c>
      <c r="BV34" s="56">
        <f t="shared" si="127"/>
        <v>6.1413209722581706E-2</v>
      </c>
      <c r="BW34" s="56">
        <f t="shared" si="127"/>
        <v>6.1253226942032384E-2</v>
      </c>
      <c r="BX34" s="56">
        <f t="shared" si="127"/>
        <v>6.1274797511445003E-2</v>
      </c>
      <c r="BY34" s="828">
        <f t="shared" si="127"/>
        <v>5.8726570594329848E-2</v>
      </c>
      <c r="BZ34" s="56"/>
      <c r="CA34" s="56"/>
      <c r="CB34" s="56"/>
      <c r="CC34" s="828"/>
      <c r="CD34" s="56"/>
      <c r="CE34" s="56"/>
      <c r="CF34" s="56"/>
      <c r="CG34" s="828"/>
      <c r="CH34" s="56">
        <f t="shared" si="101"/>
        <v>5.8802725579421407E-2</v>
      </c>
      <c r="CI34" s="56">
        <f t="shared" si="101"/>
        <v>6.0762577658667313E-2</v>
      </c>
      <c r="CJ34" s="56">
        <f t="shared" si="101"/>
        <v>6.1094507863406984E-2</v>
      </c>
      <c r="CK34" s="828">
        <f t="shared" si="101"/>
        <v>6.1094507863406984E-2</v>
      </c>
      <c r="CL34" s="56"/>
      <c r="CM34" s="56"/>
      <c r="CN34" s="56"/>
      <c r="CO34" s="828"/>
      <c r="CP34" s="56">
        <f t="shared" si="102"/>
        <v>6.1161929519091641E-2</v>
      </c>
      <c r="CQ34" s="56">
        <f t="shared" si="103"/>
        <v>6.1161929519091641E-2</v>
      </c>
      <c r="CR34" s="56">
        <f t="shared" si="103"/>
        <v>6.1161929519091641E-2</v>
      </c>
      <c r="CS34" s="828">
        <f t="shared" si="122"/>
        <v>6.1161929519091641E-2</v>
      </c>
      <c r="CT34" s="56">
        <f t="shared" si="104"/>
        <v>6.1504315659679405E-2</v>
      </c>
      <c r="CU34" s="56">
        <f t="shared" si="104"/>
        <v>6.1504315659679405E-2</v>
      </c>
      <c r="CV34" s="56">
        <f t="shared" si="105"/>
        <v>6.0140723367485494E-2</v>
      </c>
      <c r="CW34" s="828">
        <f t="shared" si="105"/>
        <v>5.7276879397605236E-2</v>
      </c>
      <c r="CX34" s="77">
        <f t="shared" si="105"/>
        <v>0</v>
      </c>
      <c r="CY34" s="77">
        <f t="shared" si="106"/>
        <v>0</v>
      </c>
      <c r="CZ34" s="77">
        <f t="shared" si="123"/>
        <v>0</v>
      </c>
      <c r="DA34" s="487">
        <f t="shared" si="123"/>
        <v>0</v>
      </c>
      <c r="DB34" s="77">
        <f t="shared" si="123"/>
        <v>0</v>
      </c>
      <c r="DC34" s="77">
        <f t="shared" si="123"/>
        <v>0</v>
      </c>
      <c r="DD34" s="70">
        <f t="shared" si="123"/>
        <v>0</v>
      </c>
      <c r="DE34" s="487">
        <f t="shared" si="123"/>
        <v>0</v>
      </c>
      <c r="DF34" s="70"/>
      <c r="DG34" s="70"/>
      <c r="DH34" s="70"/>
      <c r="DI34" s="487"/>
      <c r="DJ34" s="1673"/>
      <c r="DK34" s="70"/>
      <c r="DL34" s="70"/>
      <c r="DM34" s="487"/>
      <c r="DN34" s="7"/>
      <c r="DO34" s="484"/>
      <c r="DQ34" s="41"/>
      <c r="DR34" s="41"/>
      <c r="DS34" s="41"/>
      <c r="DT34" s="41"/>
      <c r="DU34" s="41"/>
      <c r="DV34" s="41"/>
      <c r="DW34" s="41"/>
      <c r="DX34" s="41"/>
      <c r="DY34" s="41"/>
      <c r="DZ34" s="41"/>
      <c r="EA34" s="41"/>
      <c r="EB34" s="41"/>
      <c r="EC34" s="41"/>
      <c r="ED34" s="41"/>
      <c r="EE34" s="41"/>
      <c r="EF34" s="41">
        <f t="shared" si="108"/>
        <v>0.14278274866259527</v>
      </c>
      <c r="EG34" s="41">
        <f t="shared" si="109"/>
        <v>0.12257491863561436</v>
      </c>
      <c r="EH34" s="41">
        <f t="shared" si="110"/>
        <v>0.10802002095215923</v>
      </c>
      <c r="EI34" s="41">
        <f t="shared" si="111"/>
        <v>9.8994080691433339E-2</v>
      </c>
      <c r="EJ34" s="41">
        <f t="shared" si="112"/>
        <v>9.1363072694976039E-2</v>
      </c>
      <c r="EK34" s="41">
        <f t="shared" si="113"/>
        <v>8.0394270753118738E-2</v>
      </c>
      <c r="EL34" s="41">
        <f t="shared" si="114"/>
        <v>7.2937625754527169E-2</v>
      </c>
      <c r="EM34" s="821">
        <f t="shared" si="115"/>
        <v>6.5490678242541345E-2</v>
      </c>
      <c r="EN34" s="821">
        <f t="shared" si="116"/>
        <v>6.3110552277783158E-2</v>
      </c>
      <c r="EO34" s="41">
        <f t="shared" si="117"/>
        <v>6.1574030385958288E-2</v>
      </c>
      <c r="EP34" s="41">
        <f t="shared" si="117"/>
        <v>5.8726570594329848E-2</v>
      </c>
      <c r="EQ34" s="41"/>
      <c r="ER34" s="41"/>
      <c r="ES34" s="41">
        <f t="shared" si="118"/>
        <v>6.1094507863406984E-2</v>
      </c>
      <c r="ET34" s="41"/>
      <c r="EU34" s="15">
        <f t="shared" si="119"/>
        <v>6.1161929519091641E-2</v>
      </c>
      <c r="EV34" s="15">
        <f t="shared" si="119"/>
        <v>6.1504315659679405E-2</v>
      </c>
      <c r="EW34" s="15">
        <f t="shared" si="120"/>
        <v>6.1504315659679405E-2</v>
      </c>
      <c r="EX34" s="77"/>
      <c r="EY34" s="77"/>
      <c r="EZ34" s="1680"/>
      <c r="FA34" s="341"/>
      <c r="FB34" s="341"/>
      <c r="FC34" s="341"/>
      <c r="FD34" s="341"/>
      <c r="FE34" s="1119"/>
      <c r="FF34" s="1119"/>
      <c r="FG34" s="1119"/>
      <c r="FH34" s="1119"/>
      <c r="FI34" s="596"/>
      <c r="FJ34"/>
      <c r="FK34"/>
      <c r="FL34"/>
      <c r="FM34"/>
      <c r="FN34"/>
      <c r="FO34"/>
      <c r="FP34" s="3"/>
      <c r="FS34"/>
      <c r="FT34"/>
      <c r="FU34"/>
      <c r="FV34"/>
      <c r="FW34" s="2235"/>
      <c r="FX34" s="2235"/>
      <c r="FY34" s="2235"/>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row>
    <row r="35" spans="1:260" s="4" customFormat="1" hidden="1" outlineLevel="2" x14ac:dyDescent="0.2">
      <c r="A35" s="4" t="s">
        <v>457</v>
      </c>
      <c r="B35" s="41"/>
      <c r="C35" s="41"/>
      <c r="D35" s="41"/>
      <c r="E35" s="820"/>
      <c r="F35" s="41"/>
      <c r="G35" s="41"/>
      <c r="H35" s="41"/>
      <c r="I35" s="820"/>
      <c r="J35" s="41"/>
      <c r="K35" s="41"/>
      <c r="L35" s="41"/>
      <c r="M35" s="820"/>
      <c r="N35" s="41"/>
      <c r="O35" s="41"/>
      <c r="P35" s="41"/>
      <c r="Q35" s="820"/>
      <c r="R35" s="41"/>
      <c r="S35" s="41"/>
      <c r="T35" s="41"/>
      <c r="U35" s="820"/>
      <c r="V35" s="41"/>
      <c r="W35" s="41"/>
      <c r="X35" s="41"/>
      <c r="Y35" s="820"/>
      <c r="Z35" s="41"/>
      <c r="AA35" s="41"/>
      <c r="AB35" s="41"/>
      <c r="AC35" s="820"/>
      <c r="AD35" s="41"/>
      <c r="AE35" s="41"/>
      <c r="AF35" s="41"/>
      <c r="AG35" s="820"/>
      <c r="AH35" s="41">
        <f t="shared" ref="AH35:BE35" si="128">SUM(AH29:AH34)</f>
        <v>1</v>
      </c>
      <c r="AI35" s="41">
        <f t="shared" si="128"/>
        <v>1</v>
      </c>
      <c r="AJ35" s="41">
        <f t="shared" si="128"/>
        <v>1</v>
      </c>
      <c r="AK35" s="820">
        <f t="shared" si="128"/>
        <v>1</v>
      </c>
      <c r="AL35" s="41">
        <f t="shared" si="128"/>
        <v>0.99999999999999989</v>
      </c>
      <c r="AM35" s="41">
        <f t="shared" si="128"/>
        <v>1</v>
      </c>
      <c r="AN35" s="41">
        <f t="shared" si="128"/>
        <v>1</v>
      </c>
      <c r="AO35" s="820">
        <f t="shared" si="128"/>
        <v>0.99999999999999989</v>
      </c>
      <c r="AP35" s="41">
        <f t="shared" si="128"/>
        <v>1</v>
      </c>
      <c r="AQ35" s="41">
        <f t="shared" si="128"/>
        <v>1</v>
      </c>
      <c r="AR35" s="41">
        <f t="shared" si="128"/>
        <v>0.99999999999999989</v>
      </c>
      <c r="AS35" s="470">
        <f t="shared" si="128"/>
        <v>1</v>
      </c>
      <c r="AT35" s="41">
        <f t="shared" si="128"/>
        <v>1</v>
      </c>
      <c r="AU35" s="41">
        <f t="shared" si="128"/>
        <v>1</v>
      </c>
      <c r="AV35" s="41">
        <f t="shared" si="128"/>
        <v>1</v>
      </c>
      <c r="AW35" s="820">
        <f t="shared" si="128"/>
        <v>1</v>
      </c>
      <c r="AX35" s="41">
        <f t="shared" si="128"/>
        <v>1</v>
      </c>
      <c r="AY35" s="41">
        <f t="shared" si="128"/>
        <v>1</v>
      </c>
      <c r="AZ35" s="41">
        <f t="shared" si="128"/>
        <v>1</v>
      </c>
      <c r="BA35" s="820">
        <f t="shared" si="128"/>
        <v>1</v>
      </c>
      <c r="BB35" s="41">
        <f t="shared" si="128"/>
        <v>0.99999999999999989</v>
      </c>
      <c r="BC35" s="41">
        <f t="shared" si="128"/>
        <v>1</v>
      </c>
      <c r="BD35" s="41">
        <f t="shared" si="128"/>
        <v>1</v>
      </c>
      <c r="BE35" s="820">
        <f t="shared" si="128"/>
        <v>1</v>
      </c>
      <c r="BF35" s="41">
        <f t="shared" ref="BF35:BY35" si="129">BF44/BF$44</f>
        <v>1</v>
      </c>
      <c r="BG35" s="41">
        <f t="shared" si="129"/>
        <v>1</v>
      </c>
      <c r="BH35" s="41">
        <f t="shared" si="129"/>
        <v>1</v>
      </c>
      <c r="BI35" s="820">
        <f t="shared" si="129"/>
        <v>1</v>
      </c>
      <c r="BJ35" s="821">
        <f t="shared" si="129"/>
        <v>1</v>
      </c>
      <c r="BK35" s="821">
        <f t="shared" si="129"/>
        <v>1</v>
      </c>
      <c r="BL35" s="821">
        <f t="shared" si="129"/>
        <v>1</v>
      </c>
      <c r="BM35" s="822">
        <f t="shared" si="129"/>
        <v>1</v>
      </c>
      <c r="BN35" s="821">
        <f t="shared" si="129"/>
        <v>1</v>
      </c>
      <c r="BO35" s="821">
        <f t="shared" si="129"/>
        <v>1</v>
      </c>
      <c r="BP35" s="821">
        <f t="shared" si="129"/>
        <v>1</v>
      </c>
      <c r="BQ35" s="822">
        <f t="shared" si="129"/>
        <v>1</v>
      </c>
      <c r="BR35" s="821">
        <f t="shared" si="129"/>
        <v>1</v>
      </c>
      <c r="BS35" s="821">
        <f t="shared" si="129"/>
        <v>1</v>
      </c>
      <c r="BT35" s="821">
        <f t="shared" si="129"/>
        <v>1</v>
      </c>
      <c r="BU35" s="822">
        <f t="shared" si="129"/>
        <v>1</v>
      </c>
      <c r="BV35" s="821">
        <f t="shared" si="129"/>
        <v>1</v>
      </c>
      <c r="BW35" s="821">
        <f t="shared" si="129"/>
        <v>1</v>
      </c>
      <c r="BX35" s="821">
        <f t="shared" si="129"/>
        <v>1</v>
      </c>
      <c r="BY35" s="822">
        <f t="shared" si="129"/>
        <v>1</v>
      </c>
      <c r="BZ35" s="821"/>
      <c r="CA35" s="821"/>
      <c r="CB35" s="821"/>
      <c r="CC35" s="822"/>
      <c r="CD35" s="821"/>
      <c r="CE35" s="821"/>
      <c r="CF35" s="821"/>
      <c r="CG35" s="822"/>
      <c r="CH35" s="821">
        <f t="shared" si="101"/>
        <v>1</v>
      </c>
      <c r="CI35" s="821">
        <f t="shared" si="101"/>
        <v>1</v>
      </c>
      <c r="CJ35" s="821">
        <f t="shared" si="101"/>
        <v>1</v>
      </c>
      <c r="CK35" s="822">
        <f t="shared" si="101"/>
        <v>1</v>
      </c>
      <c r="CL35" s="821"/>
      <c r="CM35" s="821"/>
      <c r="CN35" s="821"/>
      <c r="CO35" s="822"/>
      <c r="CP35" s="821">
        <f t="shared" si="102"/>
        <v>1</v>
      </c>
      <c r="CQ35" s="821">
        <f t="shared" si="103"/>
        <v>1</v>
      </c>
      <c r="CR35" s="821">
        <f t="shared" si="103"/>
        <v>1</v>
      </c>
      <c r="CS35" s="822">
        <f t="shared" si="122"/>
        <v>1</v>
      </c>
      <c r="CT35" s="821">
        <f t="shared" si="104"/>
        <v>1</v>
      </c>
      <c r="CU35" s="821">
        <f t="shared" si="104"/>
        <v>1</v>
      </c>
      <c r="CV35" s="821">
        <f t="shared" si="105"/>
        <v>1</v>
      </c>
      <c r="CW35" s="822">
        <f t="shared" si="105"/>
        <v>1</v>
      </c>
      <c r="CX35" s="77">
        <f t="shared" si="105"/>
        <v>1</v>
      </c>
      <c r="CY35" s="77">
        <f t="shared" si="106"/>
        <v>1</v>
      </c>
      <c r="CZ35" s="77">
        <f t="shared" si="123"/>
        <v>1</v>
      </c>
      <c r="DA35" s="487">
        <f t="shared" si="123"/>
        <v>1</v>
      </c>
      <c r="DB35" s="77">
        <f t="shared" si="123"/>
        <v>1</v>
      </c>
      <c r="DC35" s="77">
        <f t="shared" si="123"/>
        <v>1</v>
      </c>
      <c r="DD35" s="77">
        <f t="shared" si="123"/>
        <v>1</v>
      </c>
      <c r="DE35" s="487">
        <f t="shared" si="123"/>
        <v>1</v>
      </c>
      <c r="DF35" s="70"/>
      <c r="DG35" s="70"/>
      <c r="DH35" s="70"/>
      <c r="DI35" s="487"/>
      <c r="DJ35" s="1673"/>
      <c r="DK35" s="70"/>
      <c r="DL35" s="70"/>
      <c r="DM35" s="487"/>
      <c r="DN35" s="7"/>
      <c r="DO35" s="484"/>
      <c r="DQ35" s="41"/>
      <c r="DR35" s="41"/>
      <c r="DS35" s="41"/>
      <c r="DT35" s="41"/>
      <c r="DU35" s="41"/>
      <c r="DV35" s="41"/>
      <c r="DW35" s="41"/>
      <c r="DX35" s="41"/>
      <c r="DY35" s="41"/>
      <c r="DZ35" s="41"/>
      <c r="EA35" s="41"/>
      <c r="EB35" s="41"/>
      <c r="EC35" s="41"/>
      <c r="ED35" s="41"/>
      <c r="EE35" s="41"/>
      <c r="EF35" s="41">
        <f>SUM(EF29:EF34)</f>
        <v>1</v>
      </c>
      <c r="EG35" s="41">
        <f>SUM(EG29:EG34)</f>
        <v>0.99999999999999989</v>
      </c>
      <c r="EH35" s="41">
        <f>SUM(EH29:EH34)</f>
        <v>1</v>
      </c>
      <c r="EI35" s="41">
        <f>SUM(EI29:EI34)</f>
        <v>1</v>
      </c>
      <c r="EJ35" s="41">
        <f t="shared" si="112"/>
        <v>1</v>
      </c>
      <c r="EK35" s="41">
        <f t="shared" si="113"/>
        <v>1</v>
      </c>
      <c r="EL35" s="41">
        <f t="shared" si="114"/>
        <v>1</v>
      </c>
      <c r="EM35" s="821">
        <f t="shared" si="115"/>
        <v>1</v>
      </c>
      <c r="EN35" s="821">
        <f t="shared" si="116"/>
        <v>1</v>
      </c>
      <c r="EO35" s="41">
        <f t="shared" si="117"/>
        <v>1</v>
      </c>
      <c r="EP35" s="41">
        <f t="shared" si="117"/>
        <v>1</v>
      </c>
      <c r="EQ35" s="41"/>
      <c r="ER35" s="41"/>
      <c r="ES35" s="41">
        <f t="shared" si="118"/>
        <v>1</v>
      </c>
      <c r="ET35" s="41"/>
      <c r="EU35" s="15">
        <f t="shared" si="119"/>
        <v>1</v>
      </c>
      <c r="EV35" s="15">
        <f t="shared" si="119"/>
        <v>1</v>
      </c>
      <c r="EW35" s="15">
        <f t="shared" si="120"/>
        <v>1</v>
      </c>
      <c r="EX35" s="77"/>
      <c r="EY35" s="77"/>
      <c r="EZ35" s="1680"/>
      <c r="FE35" s="3"/>
      <c r="FF35" s="3"/>
      <c r="FG35" s="3"/>
      <c r="FH35" s="3"/>
      <c r="FI35" s="671"/>
      <c r="FJ35"/>
      <c r="FK35"/>
      <c r="FL35"/>
      <c r="FM35"/>
      <c r="FN35"/>
      <c r="FO35"/>
      <c r="FP35" s="3"/>
      <c r="FS35" s="7"/>
      <c r="FT35" s="7"/>
      <c r="FU35"/>
      <c r="FV35"/>
      <c r="FW35" s="7"/>
      <c r="FX35" s="7"/>
      <c r="FY35" s="7"/>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row>
    <row r="36" spans="1:260" s="4" customFormat="1" ht="11.25" hidden="1" customHeight="1" outlineLevel="2" x14ac:dyDescent="0.2">
      <c r="A36" s="3"/>
      <c r="B36" s="41"/>
      <c r="C36" s="41"/>
      <c r="D36" s="41"/>
      <c r="E36" s="820"/>
      <c r="F36" s="41"/>
      <c r="G36" s="41"/>
      <c r="H36" s="41"/>
      <c r="I36" s="820"/>
      <c r="J36" s="41"/>
      <c r="K36" s="41"/>
      <c r="L36" s="41"/>
      <c r="M36" s="820"/>
      <c r="N36" s="41"/>
      <c r="O36" s="41"/>
      <c r="P36" s="41"/>
      <c r="Q36" s="820"/>
      <c r="R36" s="41"/>
      <c r="S36" s="41"/>
      <c r="T36" s="41"/>
      <c r="U36" s="820"/>
      <c r="V36" s="41"/>
      <c r="W36" s="41"/>
      <c r="X36" s="41"/>
      <c r="Y36" s="820"/>
      <c r="Z36" s="41"/>
      <c r="AA36" s="41"/>
      <c r="AB36" s="41"/>
      <c r="AC36" s="820"/>
      <c r="AD36" s="41"/>
      <c r="AE36" s="41"/>
      <c r="AF36" s="41"/>
      <c r="AG36" s="820"/>
      <c r="AH36" s="41"/>
      <c r="AI36" s="41"/>
      <c r="AJ36" s="41"/>
      <c r="AK36" s="820"/>
      <c r="AL36" s="41"/>
      <c r="AM36" s="41"/>
      <c r="AN36" s="41"/>
      <c r="AO36" s="820"/>
      <c r="AP36" s="41"/>
      <c r="AQ36" s="41"/>
      <c r="AR36" s="41"/>
      <c r="AS36" s="470"/>
      <c r="AT36" s="41"/>
      <c r="AU36" s="41"/>
      <c r="AV36" s="41"/>
      <c r="AW36" s="820"/>
      <c r="AX36" s="41"/>
      <c r="AY36" s="41"/>
      <c r="AZ36" s="41"/>
      <c r="BA36" s="820"/>
      <c r="BB36" s="41"/>
      <c r="BC36" s="41"/>
      <c r="BD36" s="41"/>
      <c r="BE36" s="820"/>
      <c r="BF36" s="41"/>
      <c r="BG36" s="821"/>
      <c r="BH36" s="821"/>
      <c r="BI36" s="822"/>
      <c r="BJ36" s="821"/>
      <c r="BK36" s="821"/>
      <c r="BL36" s="821"/>
      <c r="BM36" s="822"/>
      <c r="BN36" s="821"/>
      <c r="BO36" s="821"/>
      <c r="BP36" s="821"/>
      <c r="BQ36" s="822"/>
      <c r="BR36" s="821"/>
      <c r="BS36" s="821"/>
      <c r="BT36" s="821"/>
      <c r="BU36" s="822"/>
      <c r="BV36" s="821"/>
      <c r="BW36" s="821"/>
      <c r="BX36" s="821"/>
      <c r="BY36" s="822"/>
      <c r="BZ36" s="821"/>
      <c r="CA36" s="821"/>
      <c r="CB36" s="821"/>
      <c r="CC36" s="822"/>
      <c r="CD36" s="821"/>
      <c r="CE36" s="821"/>
      <c r="CF36" s="821"/>
      <c r="CG36" s="822"/>
      <c r="CH36" s="821"/>
      <c r="CI36" s="821"/>
      <c r="CJ36" s="821"/>
      <c r="CK36" s="822"/>
      <c r="CL36" s="821"/>
      <c r="CM36" s="821"/>
      <c r="CN36" s="821"/>
      <c r="CO36" s="822"/>
      <c r="CP36" s="821"/>
      <c r="CQ36" s="821"/>
      <c r="CR36" s="821"/>
      <c r="CS36" s="822"/>
      <c r="CT36" s="821"/>
      <c r="CU36" s="821"/>
      <c r="CV36" s="821"/>
      <c r="CW36" s="822"/>
      <c r="CX36" s="821"/>
      <c r="CY36" s="821"/>
      <c r="CZ36" s="821"/>
      <c r="DA36" s="822"/>
      <c r="DB36" s="821"/>
      <c r="DC36" s="821"/>
      <c r="DD36" s="7"/>
      <c r="DE36" s="484"/>
      <c r="DF36" s="7"/>
      <c r="DG36" s="7"/>
      <c r="DH36" s="7"/>
      <c r="DI36" s="484"/>
      <c r="DJ36" s="1671"/>
      <c r="DK36" s="7"/>
      <c r="DL36" s="7"/>
      <c r="DM36" s="484"/>
      <c r="DN36" s="7"/>
      <c r="DO36" s="484"/>
      <c r="DQ36" s="41"/>
      <c r="DR36" s="41"/>
      <c r="DS36" s="41"/>
      <c r="DT36" s="41"/>
      <c r="DU36" s="41"/>
      <c r="DV36" s="41"/>
      <c r="DW36" s="41"/>
      <c r="DX36" s="41"/>
      <c r="DY36" s="41"/>
      <c r="DZ36" s="41"/>
      <c r="EA36" s="41"/>
      <c r="EB36" s="41"/>
      <c r="EC36" s="41"/>
      <c r="ED36" s="41"/>
      <c r="EE36" s="41"/>
      <c r="EF36" s="41"/>
      <c r="EG36" s="41"/>
      <c r="EH36" s="41"/>
      <c r="EI36" s="41"/>
      <c r="EJ36" s="41"/>
      <c r="EK36" s="41"/>
      <c r="EL36" s="41"/>
      <c r="EM36" s="837"/>
      <c r="EN36" s="837"/>
      <c r="EO36" s="41"/>
      <c r="EP36" s="41"/>
      <c r="EQ36" s="41"/>
      <c r="ER36" s="41"/>
      <c r="ES36" s="41"/>
      <c r="ET36" s="41"/>
      <c r="EU36" s="41"/>
      <c r="EV36" s="41"/>
      <c r="EW36" s="41"/>
      <c r="EX36" s="6"/>
      <c r="EY36" s="6"/>
      <c r="EZ36" s="1734"/>
      <c r="FE36" s="3"/>
      <c r="FF36" s="3"/>
      <c r="FG36" s="3"/>
      <c r="FH36" s="3"/>
      <c r="FI36" s="671"/>
      <c r="FJ36"/>
      <c r="FK36"/>
      <c r="FL36"/>
      <c r="FM36"/>
      <c r="FN36"/>
      <c r="FO36"/>
      <c r="FP36" s="3"/>
      <c r="FS36" s="7"/>
      <c r="FT36" s="7"/>
      <c r="FU36"/>
      <c r="FV36"/>
      <c r="FW36" s="7"/>
      <c r="FX36" s="7"/>
      <c r="FY36" s="7"/>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row>
    <row r="37" spans="1:260" s="4" customFormat="1" ht="11.25" hidden="1" customHeight="1" outlineLevel="2" x14ac:dyDescent="0.2">
      <c r="A37" s="13" t="s">
        <v>113</v>
      </c>
      <c r="B37" s="41"/>
      <c r="C37" s="41"/>
      <c r="D37" s="41"/>
      <c r="E37" s="820"/>
      <c r="F37" s="41"/>
      <c r="G37" s="41"/>
      <c r="H37" s="41"/>
      <c r="I37" s="820"/>
      <c r="J37" s="41"/>
      <c r="K37" s="41"/>
      <c r="L37" s="41"/>
      <c r="M37" s="820"/>
      <c r="N37" s="41"/>
      <c r="O37" s="41"/>
      <c r="P37" s="41"/>
      <c r="Q37" s="820"/>
      <c r="R37" s="41"/>
      <c r="S37" s="41"/>
      <c r="T37" s="41"/>
      <c r="U37" s="820"/>
      <c r="V37" s="41"/>
      <c r="W37" s="41"/>
      <c r="X37" s="41"/>
      <c r="Y37" s="820"/>
      <c r="Z37" s="41"/>
      <c r="AA37" s="41"/>
      <c r="AB37" s="41"/>
      <c r="AC37" s="820"/>
      <c r="AD37" s="41"/>
      <c r="AE37" s="41"/>
      <c r="AF37" s="41"/>
      <c r="AG37" s="820"/>
      <c r="AH37" s="41"/>
      <c r="AI37" s="41"/>
      <c r="AJ37" s="41"/>
      <c r="AK37" s="820"/>
      <c r="AL37" s="41"/>
      <c r="AM37" s="41"/>
      <c r="AN37" s="41"/>
      <c r="AO37" s="820"/>
      <c r="AP37" s="41"/>
      <c r="AQ37" s="41"/>
      <c r="AR37" s="41"/>
      <c r="AS37" s="470"/>
      <c r="AT37" s="41"/>
      <c r="AU37" s="41"/>
      <c r="AV37" s="41"/>
      <c r="AW37" s="820"/>
      <c r="AX37" s="41"/>
      <c r="AY37" s="41"/>
      <c r="AZ37" s="41"/>
      <c r="BA37" s="820"/>
      <c r="BB37" s="41"/>
      <c r="BC37" s="41"/>
      <c r="BD37" s="41"/>
      <c r="BE37" s="820"/>
      <c r="BF37" s="41"/>
      <c r="BG37" s="821"/>
      <c r="BH37" s="821"/>
      <c r="BI37" s="822"/>
      <c r="BJ37" s="821"/>
      <c r="BK37" s="821"/>
      <c r="BL37" s="821"/>
      <c r="BM37" s="822"/>
      <c r="BN37" s="821"/>
      <c r="BO37" s="821"/>
      <c r="BP37" s="821"/>
      <c r="BQ37" s="822"/>
      <c r="BR37" s="821"/>
      <c r="BS37" s="821"/>
      <c r="BT37" s="821"/>
      <c r="BU37" s="822"/>
      <c r="BV37" s="821"/>
      <c r="BW37" s="821"/>
      <c r="BX37" s="821"/>
      <c r="BY37" s="822"/>
      <c r="BZ37" s="821"/>
      <c r="CA37" s="821"/>
      <c r="CB37" s="821"/>
      <c r="CC37" s="822"/>
      <c r="CD37" s="821"/>
      <c r="CE37" s="821"/>
      <c r="CF37" s="821"/>
      <c r="CG37" s="822"/>
      <c r="CH37" s="821"/>
      <c r="CI37" s="821"/>
      <c r="CJ37" s="821"/>
      <c r="CK37" s="822"/>
      <c r="CL37" s="821"/>
      <c r="CM37" s="821"/>
      <c r="CN37" s="821"/>
      <c r="CO37" s="822"/>
      <c r="CP37" s="821"/>
      <c r="CQ37" s="821"/>
      <c r="CR37" s="821"/>
      <c r="CS37" s="822"/>
      <c r="CT37" s="821"/>
      <c r="CU37" s="821"/>
      <c r="CV37" s="821"/>
      <c r="CW37" s="822"/>
      <c r="CX37" s="821"/>
      <c r="CY37" s="821"/>
      <c r="CZ37" s="821"/>
      <c r="DA37" s="822"/>
      <c r="DB37" s="821"/>
      <c r="DC37" s="821"/>
      <c r="DD37" s="7"/>
      <c r="DE37" s="484"/>
      <c r="DF37" s="7"/>
      <c r="DG37" s="7"/>
      <c r="DH37" s="7"/>
      <c r="DI37" s="484"/>
      <c r="DJ37" s="1671"/>
      <c r="DK37" s="7"/>
      <c r="DL37" s="7"/>
      <c r="DM37" s="484"/>
      <c r="DN37" s="7"/>
      <c r="DO37" s="484"/>
      <c r="DQ37" s="41"/>
      <c r="DR37" s="41"/>
      <c r="DS37" s="41"/>
      <c r="DT37" s="41"/>
      <c r="DU37" s="41"/>
      <c r="DV37" s="41"/>
      <c r="DW37" s="41"/>
      <c r="DX37" s="41"/>
      <c r="DY37" s="41"/>
      <c r="DZ37" s="41"/>
      <c r="EA37" s="41"/>
      <c r="EB37" s="41"/>
      <c r="EC37" s="41"/>
      <c r="ED37" s="41"/>
      <c r="EE37" s="41"/>
      <c r="EF37" s="41"/>
      <c r="EG37" s="41"/>
      <c r="EH37" s="41"/>
      <c r="EI37" s="41"/>
      <c r="EJ37" s="41"/>
      <c r="EK37" s="41"/>
      <c r="EL37" s="41"/>
      <c r="EM37" s="821"/>
      <c r="EN37" s="821"/>
      <c r="EO37" s="41"/>
      <c r="EP37" s="41"/>
      <c r="EQ37" s="41"/>
      <c r="ER37" s="41"/>
      <c r="ES37" s="41"/>
      <c r="ET37" s="41"/>
      <c r="EU37" s="41"/>
      <c r="EV37" s="41"/>
      <c r="EW37" s="41"/>
      <c r="EX37" s="6"/>
      <c r="EY37" s="6"/>
      <c r="EZ37" s="1734"/>
      <c r="FE37" s="3"/>
      <c r="FF37" s="3"/>
      <c r="FG37" s="3"/>
      <c r="FH37" s="3"/>
      <c r="FI37" s="671"/>
      <c r="FJ37"/>
      <c r="FK37"/>
      <c r="FL37"/>
      <c r="FM37"/>
      <c r="FN37"/>
      <c r="FO37"/>
      <c r="FP37" s="3"/>
      <c r="FS37" s="7"/>
      <c r="FT37" s="7"/>
      <c r="FU37"/>
      <c r="FV37"/>
      <c r="FW37" s="7"/>
      <c r="FX37" s="7"/>
      <c r="FY37" s="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row>
    <row r="38" spans="1:260" s="4" customFormat="1" ht="11.25" hidden="1" customHeight="1" outlineLevel="2" x14ac:dyDescent="0.2">
      <c r="A38" s="601" t="s">
        <v>89</v>
      </c>
      <c r="B38" s="55"/>
      <c r="C38" s="55"/>
      <c r="D38" s="55"/>
      <c r="E38" s="827"/>
      <c r="F38" s="55"/>
      <c r="G38" s="55"/>
      <c r="H38" s="55"/>
      <c r="I38" s="827"/>
      <c r="J38" s="55"/>
      <c r="K38" s="55"/>
      <c r="L38" s="55"/>
      <c r="M38" s="827"/>
      <c r="N38" s="55">
        <f t="shared" ref="N38:AS38" si="130">N11*20</f>
        <v>0</v>
      </c>
      <c r="O38" s="55">
        <f t="shared" si="130"/>
        <v>0</v>
      </c>
      <c r="P38" s="55">
        <f t="shared" si="130"/>
        <v>0</v>
      </c>
      <c r="Q38" s="827">
        <f t="shared" si="130"/>
        <v>0</v>
      </c>
      <c r="R38" s="55">
        <f t="shared" si="130"/>
        <v>0</v>
      </c>
      <c r="S38" s="55">
        <f t="shared" si="130"/>
        <v>0</v>
      </c>
      <c r="T38" s="55">
        <f t="shared" si="130"/>
        <v>0</v>
      </c>
      <c r="U38" s="827">
        <f t="shared" si="130"/>
        <v>0</v>
      </c>
      <c r="V38" s="55">
        <f t="shared" si="130"/>
        <v>0</v>
      </c>
      <c r="W38" s="55">
        <f t="shared" si="130"/>
        <v>0</v>
      </c>
      <c r="X38" s="55">
        <f t="shared" si="130"/>
        <v>0</v>
      </c>
      <c r="Y38" s="827">
        <f t="shared" si="130"/>
        <v>0</v>
      </c>
      <c r="Z38" s="55">
        <f t="shared" si="130"/>
        <v>0</v>
      </c>
      <c r="AA38" s="55">
        <f t="shared" si="130"/>
        <v>0</v>
      </c>
      <c r="AB38" s="55">
        <f t="shared" si="130"/>
        <v>0</v>
      </c>
      <c r="AC38" s="827">
        <f t="shared" si="130"/>
        <v>0</v>
      </c>
      <c r="AD38" s="55">
        <f t="shared" si="130"/>
        <v>0</v>
      </c>
      <c r="AE38" s="55">
        <f t="shared" si="130"/>
        <v>0</v>
      </c>
      <c r="AF38" s="55">
        <f t="shared" si="130"/>
        <v>0</v>
      </c>
      <c r="AG38" s="827">
        <f t="shared" si="130"/>
        <v>0</v>
      </c>
      <c r="AH38" s="55">
        <f t="shared" si="130"/>
        <v>0</v>
      </c>
      <c r="AI38" s="55">
        <f t="shared" si="130"/>
        <v>0</v>
      </c>
      <c r="AJ38" s="55">
        <f t="shared" si="130"/>
        <v>0</v>
      </c>
      <c r="AK38" s="827">
        <f t="shared" si="130"/>
        <v>0</v>
      </c>
      <c r="AL38" s="55">
        <f t="shared" si="130"/>
        <v>0</v>
      </c>
      <c r="AM38" s="55">
        <f t="shared" si="130"/>
        <v>0</v>
      </c>
      <c r="AN38" s="55">
        <f t="shared" si="130"/>
        <v>40</v>
      </c>
      <c r="AO38" s="827">
        <f t="shared" si="130"/>
        <v>40</v>
      </c>
      <c r="AP38" s="55">
        <f t="shared" si="130"/>
        <v>40</v>
      </c>
      <c r="AQ38" s="55">
        <f t="shared" si="130"/>
        <v>40</v>
      </c>
      <c r="AR38" s="55">
        <f t="shared" si="130"/>
        <v>120</v>
      </c>
      <c r="AS38" s="470">
        <f t="shared" si="130"/>
        <v>140</v>
      </c>
      <c r="AT38" s="55">
        <f t="shared" ref="AT38:BY38" si="131">AT11*20</f>
        <v>220</v>
      </c>
      <c r="AU38" s="55">
        <f t="shared" si="131"/>
        <v>300</v>
      </c>
      <c r="AV38" s="55">
        <f t="shared" si="131"/>
        <v>600</v>
      </c>
      <c r="AW38" s="827">
        <f t="shared" si="131"/>
        <v>680</v>
      </c>
      <c r="AX38" s="55">
        <f t="shared" si="131"/>
        <v>720</v>
      </c>
      <c r="AY38" s="55">
        <f t="shared" si="131"/>
        <v>760</v>
      </c>
      <c r="AZ38" s="55">
        <f t="shared" si="131"/>
        <v>860</v>
      </c>
      <c r="BA38" s="827">
        <f t="shared" si="131"/>
        <v>940</v>
      </c>
      <c r="BB38" s="55">
        <f t="shared" si="131"/>
        <v>960</v>
      </c>
      <c r="BC38" s="55">
        <f t="shared" si="131"/>
        <v>1020</v>
      </c>
      <c r="BD38" s="55">
        <f t="shared" si="131"/>
        <v>1120</v>
      </c>
      <c r="BE38" s="827">
        <f t="shared" si="131"/>
        <v>1120</v>
      </c>
      <c r="BF38" s="55">
        <f t="shared" si="131"/>
        <v>1240</v>
      </c>
      <c r="BG38" s="56">
        <f t="shared" si="131"/>
        <v>1260</v>
      </c>
      <c r="BH38" s="56">
        <f t="shared" si="131"/>
        <v>1320</v>
      </c>
      <c r="BI38" s="828">
        <f t="shared" si="131"/>
        <v>1340</v>
      </c>
      <c r="BJ38" s="56">
        <f t="shared" si="131"/>
        <v>1380</v>
      </c>
      <c r="BK38" s="56">
        <f t="shared" si="131"/>
        <v>1400</v>
      </c>
      <c r="BL38" s="56">
        <f t="shared" si="131"/>
        <v>1460</v>
      </c>
      <c r="BM38" s="828">
        <f t="shared" si="131"/>
        <v>1480</v>
      </c>
      <c r="BN38" s="56">
        <f t="shared" si="131"/>
        <v>1500</v>
      </c>
      <c r="BO38" s="56">
        <f t="shared" si="131"/>
        <v>1540</v>
      </c>
      <c r="BP38" s="56">
        <f t="shared" si="131"/>
        <v>1580</v>
      </c>
      <c r="BQ38" s="828">
        <f t="shared" si="131"/>
        <v>1580</v>
      </c>
      <c r="BR38" s="56">
        <f t="shared" si="131"/>
        <v>1600</v>
      </c>
      <c r="BS38" s="56">
        <f t="shared" si="131"/>
        <v>1640</v>
      </c>
      <c r="BT38" s="56">
        <f t="shared" si="131"/>
        <v>1640</v>
      </c>
      <c r="BU38" s="828">
        <f t="shared" si="131"/>
        <v>1640</v>
      </c>
      <c r="BV38" s="56">
        <f t="shared" si="131"/>
        <v>1640</v>
      </c>
      <c r="BW38" s="56">
        <f t="shared" si="131"/>
        <v>1640</v>
      </c>
      <c r="BX38" s="56">
        <f t="shared" si="131"/>
        <v>1640</v>
      </c>
      <c r="BY38" s="828">
        <f t="shared" si="131"/>
        <v>1620</v>
      </c>
      <c r="BZ38" s="56"/>
      <c r="CA38" s="56"/>
      <c r="CB38" s="56"/>
      <c r="CC38" s="828"/>
      <c r="CD38" s="56"/>
      <c r="CE38" s="56"/>
      <c r="CF38" s="56"/>
      <c r="CG38" s="828"/>
      <c r="CH38" s="56">
        <f>CH11*20</f>
        <v>1620</v>
      </c>
      <c r="CI38" s="56">
        <f>CI11*20</f>
        <v>1520</v>
      </c>
      <c r="CJ38" s="56">
        <f>CJ11*20</f>
        <v>1520</v>
      </c>
      <c r="CK38" s="828">
        <f>CK11*20</f>
        <v>1520</v>
      </c>
      <c r="CL38" s="56"/>
      <c r="CM38" s="56"/>
      <c r="CN38" s="56"/>
      <c r="CO38" s="828"/>
      <c r="CP38" s="56">
        <f t="shared" ref="CP38:DA38" si="132">CP11*20</f>
        <v>1520</v>
      </c>
      <c r="CQ38" s="56">
        <f t="shared" si="132"/>
        <v>1520</v>
      </c>
      <c r="CR38" s="56">
        <f t="shared" si="132"/>
        <v>1520</v>
      </c>
      <c r="CS38" s="828">
        <f t="shared" si="132"/>
        <v>1520</v>
      </c>
      <c r="CT38" s="56">
        <f t="shared" si="132"/>
        <v>1520</v>
      </c>
      <c r="CU38" s="56">
        <f t="shared" si="132"/>
        <v>1520</v>
      </c>
      <c r="CV38" s="56">
        <f t="shared" si="132"/>
        <v>1520</v>
      </c>
      <c r="CW38" s="828">
        <f t="shared" si="132"/>
        <v>1520</v>
      </c>
      <c r="CX38" s="1974">
        <f t="shared" si="132"/>
        <v>0</v>
      </c>
      <c r="CY38" s="1974">
        <f t="shared" si="132"/>
        <v>0</v>
      </c>
      <c r="CZ38" s="1974">
        <f t="shared" si="132"/>
        <v>0</v>
      </c>
      <c r="DA38" s="1976">
        <f t="shared" si="132"/>
        <v>0</v>
      </c>
      <c r="DB38" s="1974">
        <f>DB11*20</f>
        <v>0</v>
      </c>
      <c r="DC38" s="1974">
        <f>DC11*20</f>
        <v>0</v>
      </c>
      <c r="DD38" s="1966">
        <f>DD11*20</f>
        <v>0</v>
      </c>
      <c r="DE38" s="1976">
        <f>DE11*20</f>
        <v>0</v>
      </c>
      <c r="DF38" s="1975"/>
      <c r="DG38" s="1975"/>
      <c r="DH38" s="1975"/>
      <c r="DI38" s="1976"/>
      <c r="DJ38" s="2723"/>
      <c r="DK38" s="1975"/>
      <c r="DL38" s="1975"/>
      <c r="DM38" s="1976"/>
      <c r="DN38" s="1966"/>
      <c r="DO38" s="1962"/>
      <c r="DP38" s="1967"/>
      <c r="DQ38" s="1967"/>
      <c r="DR38" s="1967"/>
      <c r="DS38" s="1967"/>
      <c r="DT38" s="1967"/>
      <c r="DU38" s="1967"/>
      <c r="DV38" s="1967"/>
      <c r="DW38" s="1967"/>
      <c r="DX38" s="1960"/>
      <c r="DY38" s="1960"/>
      <c r="DZ38" s="1960"/>
      <c r="EA38" s="1960">
        <f t="shared" ref="EA38:EH38" si="133">EA11*20</f>
        <v>0</v>
      </c>
      <c r="EB38" s="1960">
        <f t="shared" si="133"/>
        <v>0</v>
      </c>
      <c r="EC38" s="1960">
        <f t="shared" si="133"/>
        <v>0</v>
      </c>
      <c r="ED38" s="1960">
        <f t="shared" si="133"/>
        <v>0</v>
      </c>
      <c r="EE38" s="1960">
        <f t="shared" si="133"/>
        <v>0</v>
      </c>
      <c r="EF38" s="1960">
        <f t="shared" si="133"/>
        <v>0</v>
      </c>
      <c r="EG38" s="1960">
        <f t="shared" si="133"/>
        <v>40</v>
      </c>
      <c r="EH38" s="1960">
        <f t="shared" si="133"/>
        <v>140</v>
      </c>
      <c r="EI38" s="1960">
        <f t="shared" ref="EI38:EI45" si="134">AW38</f>
        <v>680</v>
      </c>
      <c r="EJ38" s="1960">
        <f t="shared" ref="EJ38:EJ45" si="135">BA38</f>
        <v>940</v>
      </c>
      <c r="EK38" s="1960">
        <f t="shared" ref="EK38:EK44" si="136">BE38</f>
        <v>1120</v>
      </c>
      <c r="EL38" s="1960">
        <f>EL11*20</f>
        <v>1340</v>
      </c>
      <c r="EM38" s="1974">
        <f>EM11*20</f>
        <v>1480</v>
      </c>
      <c r="EN38" s="1974">
        <f>EN11*20</f>
        <v>1580</v>
      </c>
      <c r="EO38" s="1960">
        <f>EO11*20</f>
        <v>1640</v>
      </c>
      <c r="EP38" s="1960">
        <f>EP11*20</f>
        <v>1620</v>
      </c>
      <c r="EQ38" s="1960"/>
      <c r="ER38" s="1960"/>
      <c r="ES38" s="1960">
        <f>ES11*20</f>
        <v>1520</v>
      </c>
      <c r="ET38" s="1960"/>
      <c r="EU38" s="1960">
        <f>EU11*20</f>
        <v>1520</v>
      </c>
      <c r="EV38" s="1960">
        <f>EV11*20</f>
        <v>1520</v>
      </c>
      <c r="EW38" s="1960">
        <f>EW11*20</f>
        <v>1520</v>
      </c>
      <c r="EX38" s="1959"/>
      <c r="EY38" s="1959"/>
      <c r="EZ38" s="1968"/>
      <c r="FA38" s="1960"/>
      <c r="FB38" s="1960"/>
      <c r="FC38" s="1960"/>
      <c r="FD38" s="1960"/>
      <c r="FE38" s="1984"/>
      <c r="FF38" s="1984"/>
      <c r="FG38" s="1984"/>
      <c r="FH38" s="1984"/>
      <c r="FI38" s="1985"/>
      <c r="FJ38"/>
      <c r="FK38"/>
      <c r="FL38"/>
      <c r="FM38"/>
      <c r="FN38"/>
      <c r="FO38"/>
      <c r="FP38" s="1964"/>
      <c r="FS38" s="1161"/>
      <c r="FT38" s="1161"/>
      <c r="FU38"/>
      <c r="FV38"/>
      <c r="FW38" s="1975"/>
      <c r="FX38" s="1975"/>
      <c r="FY38" s="1975"/>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row>
    <row r="39" spans="1:260" s="4" customFormat="1" ht="11.25" hidden="1" customHeight="1" outlineLevel="2" x14ac:dyDescent="0.2">
      <c r="A39" s="601" t="s">
        <v>110</v>
      </c>
      <c r="B39" s="55"/>
      <c r="C39" s="55"/>
      <c r="D39" s="55"/>
      <c r="E39" s="827"/>
      <c r="F39" s="55"/>
      <c r="G39" s="55"/>
      <c r="H39" s="55"/>
      <c r="I39" s="827"/>
      <c r="J39" s="55"/>
      <c r="K39" s="55"/>
      <c r="L39" s="55"/>
      <c r="M39" s="827"/>
      <c r="N39" s="55">
        <f t="shared" ref="N39:AS39" si="137">N12*28</f>
        <v>1708</v>
      </c>
      <c r="O39" s="55">
        <f t="shared" si="137"/>
        <v>1680</v>
      </c>
      <c r="P39" s="55">
        <f t="shared" si="137"/>
        <v>1512</v>
      </c>
      <c r="Q39" s="827">
        <f t="shared" si="137"/>
        <v>1512</v>
      </c>
      <c r="R39" s="55">
        <f t="shared" si="137"/>
        <v>1456</v>
      </c>
      <c r="S39" s="55">
        <f t="shared" si="137"/>
        <v>1428</v>
      </c>
      <c r="T39" s="55">
        <f t="shared" si="137"/>
        <v>1372</v>
      </c>
      <c r="U39" s="827">
        <f t="shared" si="137"/>
        <v>1344</v>
      </c>
      <c r="V39" s="55">
        <f t="shared" si="137"/>
        <v>1344</v>
      </c>
      <c r="W39" s="55">
        <f t="shared" si="137"/>
        <v>1316</v>
      </c>
      <c r="X39" s="55">
        <f t="shared" si="137"/>
        <v>1232</v>
      </c>
      <c r="Y39" s="827">
        <f t="shared" si="137"/>
        <v>1204</v>
      </c>
      <c r="Z39" s="55">
        <f t="shared" si="137"/>
        <v>1148</v>
      </c>
      <c r="AA39" s="55">
        <f t="shared" si="137"/>
        <v>1120</v>
      </c>
      <c r="AB39" s="55">
        <f t="shared" si="137"/>
        <v>868</v>
      </c>
      <c r="AC39" s="827">
        <f t="shared" si="137"/>
        <v>868</v>
      </c>
      <c r="AD39" s="55">
        <f t="shared" si="137"/>
        <v>840</v>
      </c>
      <c r="AE39" s="55">
        <f t="shared" si="137"/>
        <v>840</v>
      </c>
      <c r="AF39" s="55">
        <f t="shared" si="137"/>
        <v>700</v>
      </c>
      <c r="AG39" s="827">
        <f t="shared" si="137"/>
        <v>700</v>
      </c>
      <c r="AH39" s="55">
        <f t="shared" si="137"/>
        <v>700</v>
      </c>
      <c r="AI39" s="55">
        <f t="shared" si="137"/>
        <v>672</v>
      </c>
      <c r="AJ39" s="55">
        <f t="shared" si="137"/>
        <v>588</v>
      </c>
      <c r="AK39" s="827">
        <f t="shared" si="137"/>
        <v>560</v>
      </c>
      <c r="AL39" s="55">
        <f t="shared" si="137"/>
        <v>532</v>
      </c>
      <c r="AM39" s="55">
        <f t="shared" si="137"/>
        <v>476</v>
      </c>
      <c r="AN39" s="55">
        <f t="shared" si="137"/>
        <v>448</v>
      </c>
      <c r="AO39" s="827">
        <f t="shared" si="137"/>
        <v>448</v>
      </c>
      <c r="AP39" s="55">
        <f t="shared" si="137"/>
        <v>448</v>
      </c>
      <c r="AQ39" s="55">
        <f t="shared" si="137"/>
        <v>420</v>
      </c>
      <c r="AR39" s="55">
        <f t="shared" si="137"/>
        <v>364</v>
      </c>
      <c r="AS39" s="470">
        <f t="shared" si="137"/>
        <v>364</v>
      </c>
      <c r="AT39" s="55">
        <f t="shared" ref="AT39:BY39" si="138">AT12*28</f>
        <v>364</v>
      </c>
      <c r="AU39" s="55">
        <f t="shared" si="138"/>
        <v>364</v>
      </c>
      <c r="AV39" s="55">
        <f t="shared" si="138"/>
        <v>308</v>
      </c>
      <c r="AW39" s="827">
        <f t="shared" si="138"/>
        <v>308</v>
      </c>
      <c r="AX39" s="55">
        <f t="shared" si="138"/>
        <v>252</v>
      </c>
      <c r="AY39" s="55">
        <f t="shared" si="138"/>
        <v>252</v>
      </c>
      <c r="AZ39" s="55">
        <f t="shared" si="138"/>
        <v>224</v>
      </c>
      <c r="BA39" s="827">
        <f t="shared" si="138"/>
        <v>224</v>
      </c>
      <c r="BB39" s="55">
        <f t="shared" si="138"/>
        <v>224</v>
      </c>
      <c r="BC39" s="55">
        <f t="shared" si="138"/>
        <v>224</v>
      </c>
      <c r="BD39" s="55">
        <f t="shared" si="138"/>
        <v>196</v>
      </c>
      <c r="BE39" s="827">
        <f t="shared" si="138"/>
        <v>196</v>
      </c>
      <c r="BF39" s="55">
        <f t="shared" si="138"/>
        <v>168</v>
      </c>
      <c r="BG39" s="56">
        <f t="shared" si="138"/>
        <v>168</v>
      </c>
      <c r="BH39" s="56">
        <f t="shared" si="138"/>
        <v>112</v>
      </c>
      <c r="BI39" s="828">
        <f t="shared" si="138"/>
        <v>112</v>
      </c>
      <c r="BJ39" s="56">
        <f t="shared" si="138"/>
        <v>112</v>
      </c>
      <c r="BK39" s="56">
        <f t="shared" si="138"/>
        <v>112</v>
      </c>
      <c r="BL39" s="56">
        <f t="shared" si="138"/>
        <v>112</v>
      </c>
      <c r="BM39" s="828">
        <f t="shared" si="138"/>
        <v>112</v>
      </c>
      <c r="BN39" s="56">
        <f t="shared" si="138"/>
        <v>112</v>
      </c>
      <c r="BO39" s="56">
        <f t="shared" si="138"/>
        <v>112</v>
      </c>
      <c r="BP39" s="56">
        <f t="shared" si="138"/>
        <v>112</v>
      </c>
      <c r="BQ39" s="828">
        <f t="shared" si="138"/>
        <v>112</v>
      </c>
      <c r="BR39" s="56">
        <f t="shared" si="138"/>
        <v>112</v>
      </c>
      <c r="BS39" s="56">
        <f t="shared" si="138"/>
        <v>112</v>
      </c>
      <c r="BT39" s="56">
        <f t="shared" si="138"/>
        <v>112</v>
      </c>
      <c r="BU39" s="828">
        <f t="shared" si="138"/>
        <v>112</v>
      </c>
      <c r="BV39" s="56">
        <f t="shared" si="138"/>
        <v>112</v>
      </c>
      <c r="BW39" s="56">
        <f t="shared" si="138"/>
        <v>112</v>
      </c>
      <c r="BX39" s="56">
        <f t="shared" si="138"/>
        <v>112</v>
      </c>
      <c r="BY39" s="828">
        <f t="shared" si="138"/>
        <v>112</v>
      </c>
      <c r="BZ39" s="56"/>
      <c r="CA39" s="56"/>
      <c r="CB39" s="56"/>
      <c r="CC39" s="828"/>
      <c r="CD39" s="56"/>
      <c r="CE39" s="56"/>
      <c r="CF39" s="56"/>
      <c r="CG39" s="828"/>
      <c r="CH39" s="56">
        <f>CH12*28</f>
        <v>112</v>
      </c>
      <c r="CI39" s="56">
        <f>CI12*28</f>
        <v>56</v>
      </c>
      <c r="CJ39" s="56">
        <f>CJ12*28</f>
        <v>28</v>
      </c>
      <c r="CK39" s="828">
        <f>CK12*28</f>
        <v>28</v>
      </c>
      <c r="CL39" s="56"/>
      <c r="CM39" s="56"/>
      <c r="CN39" s="56"/>
      <c r="CO39" s="828"/>
      <c r="CP39" s="56">
        <f t="shared" ref="CP39:DA39" si="139">CP12*28</f>
        <v>28</v>
      </c>
      <c r="CQ39" s="56">
        <f t="shared" si="139"/>
        <v>28</v>
      </c>
      <c r="CR39" s="56">
        <f t="shared" si="139"/>
        <v>28</v>
      </c>
      <c r="CS39" s="828">
        <f t="shared" si="139"/>
        <v>28</v>
      </c>
      <c r="CT39" s="56">
        <f t="shared" si="139"/>
        <v>28</v>
      </c>
      <c r="CU39" s="56">
        <f t="shared" si="139"/>
        <v>28</v>
      </c>
      <c r="CV39" s="56">
        <f t="shared" si="139"/>
        <v>28</v>
      </c>
      <c r="CW39" s="828">
        <f t="shared" si="139"/>
        <v>28</v>
      </c>
      <c r="CX39" s="1974">
        <f t="shared" si="139"/>
        <v>0</v>
      </c>
      <c r="CY39" s="1974">
        <f t="shared" si="139"/>
        <v>0</v>
      </c>
      <c r="CZ39" s="1974">
        <f t="shared" si="139"/>
        <v>0</v>
      </c>
      <c r="DA39" s="1976">
        <f t="shared" si="139"/>
        <v>0</v>
      </c>
      <c r="DB39" s="1974">
        <f>DB12*28</f>
        <v>0</v>
      </c>
      <c r="DC39" s="1974">
        <f>DC12*28</f>
        <v>0</v>
      </c>
      <c r="DD39" s="1966">
        <f>DD12*28</f>
        <v>0</v>
      </c>
      <c r="DE39" s="1976">
        <f>DE12*28</f>
        <v>0</v>
      </c>
      <c r="DF39" s="1975"/>
      <c r="DG39" s="1975"/>
      <c r="DH39" s="1975"/>
      <c r="DI39" s="1976"/>
      <c r="DJ39" s="2723"/>
      <c r="DK39" s="1975"/>
      <c r="DL39" s="1975"/>
      <c r="DM39" s="1976"/>
      <c r="DN39" s="1966"/>
      <c r="DO39" s="1962"/>
      <c r="DP39" s="1960"/>
      <c r="DQ39" s="1960"/>
      <c r="DR39" s="1960">
        <f t="shared" ref="DR39:DZ39" si="140">DR12*28</f>
        <v>1120</v>
      </c>
      <c r="DS39" s="1960">
        <f t="shared" si="140"/>
        <v>1148</v>
      </c>
      <c r="DT39" s="1960">
        <f t="shared" si="140"/>
        <v>1372</v>
      </c>
      <c r="DU39" s="1960">
        <f t="shared" si="140"/>
        <v>1568</v>
      </c>
      <c r="DV39" s="1960">
        <f t="shared" si="140"/>
        <v>2044</v>
      </c>
      <c r="DW39" s="1960">
        <f t="shared" si="140"/>
        <v>2016</v>
      </c>
      <c r="DX39" s="1960">
        <f t="shared" si="140"/>
        <v>1960</v>
      </c>
      <c r="DY39" s="1960">
        <f t="shared" si="140"/>
        <v>1876</v>
      </c>
      <c r="DZ39" s="1960">
        <f t="shared" si="140"/>
        <v>1708</v>
      </c>
      <c r="EA39" s="1960">
        <f>Q39</f>
        <v>1512</v>
      </c>
      <c r="EB39" s="1960">
        <f>U39</f>
        <v>1344</v>
      </c>
      <c r="EC39" s="1960">
        <f>Y39</f>
        <v>1204</v>
      </c>
      <c r="ED39" s="1960">
        <f>AC39</f>
        <v>868</v>
      </c>
      <c r="EE39" s="1960">
        <f>AG39</f>
        <v>700</v>
      </c>
      <c r="EF39" s="1960">
        <f>AK39</f>
        <v>560</v>
      </c>
      <c r="EG39" s="1960">
        <f>AO39</f>
        <v>448</v>
      </c>
      <c r="EH39" s="1960">
        <f>AS39</f>
        <v>364</v>
      </c>
      <c r="EI39" s="1960">
        <f t="shared" si="134"/>
        <v>308</v>
      </c>
      <c r="EJ39" s="1960">
        <f t="shared" si="135"/>
        <v>224</v>
      </c>
      <c r="EK39" s="1960">
        <f t="shared" si="136"/>
        <v>196</v>
      </c>
      <c r="EL39" s="1960">
        <f>EL12*28</f>
        <v>112</v>
      </c>
      <c r="EM39" s="1974">
        <f>EM12*28</f>
        <v>112</v>
      </c>
      <c r="EN39" s="1974">
        <f>EN12*28</f>
        <v>112</v>
      </c>
      <c r="EO39" s="1960">
        <f>EO12*28</f>
        <v>112</v>
      </c>
      <c r="EP39" s="1960">
        <f>EP12*28</f>
        <v>112</v>
      </c>
      <c r="EQ39" s="1960"/>
      <c r="ER39" s="1960"/>
      <c r="ES39" s="1960">
        <f>ES12*28</f>
        <v>28</v>
      </c>
      <c r="ET39" s="1960"/>
      <c r="EU39" s="1960">
        <f>EU12*28</f>
        <v>28</v>
      </c>
      <c r="EV39" s="1960">
        <f>EV12*28</f>
        <v>28</v>
      </c>
      <c r="EW39" s="1960">
        <f>EW12*28</f>
        <v>28</v>
      </c>
      <c r="EX39" s="1959"/>
      <c r="EY39" s="1959"/>
      <c r="EZ39" s="1968"/>
      <c r="FA39" s="1960"/>
      <c r="FB39" s="1960"/>
      <c r="FC39" s="1960"/>
      <c r="FD39" s="1960"/>
      <c r="FE39" s="1984"/>
      <c r="FF39" s="1984"/>
      <c r="FG39" s="1984"/>
      <c r="FH39" s="1984"/>
      <c r="FI39" s="1985"/>
      <c r="FJ39"/>
      <c r="FK39"/>
      <c r="FL39"/>
      <c r="FM39"/>
      <c r="FN39"/>
      <c r="FO39"/>
      <c r="FP39" s="1964"/>
      <c r="FS39" s="1161"/>
      <c r="FT39" s="1161"/>
      <c r="FU39"/>
      <c r="FV39"/>
      <c r="FW39" s="1975"/>
      <c r="FX39" s="1975"/>
      <c r="FY39" s="1975"/>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row>
    <row r="40" spans="1:260" s="4" customFormat="1" ht="11.25" hidden="1" customHeight="1" outlineLevel="2" x14ac:dyDescent="0.2">
      <c r="A40" s="601" t="s">
        <v>111</v>
      </c>
      <c r="B40" s="55"/>
      <c r="C40" s="55"/>
      <c r="D40" s="55"/>
      <c r="E40" s="827"/>
      <c r="F40" s="55"/>
      <c r="G40" s="55"/>
      <c r="H40" s="55"/>
      <c r="I40" s="827"/>
      <c r="J40" s="55"/>
      <c r="K40" s="55"/>
      <c r="L40" s="55"/>
      <c r="M40" s="827"/>
      <c r="N40" s="55">
        <f t="shared" ref="N40:AS40" si="141">N13*30</f>
        <v>0</v>
      </c>
      <c r="O40" s="55">
        <f t="shared" si="141"/>
        <v>0</v>
      </c>
      <c r="P40" s="55">
        <f t="shared" si="141"/>
        <v>0</v>
      </c>
      <c r="Q40" s="827">
        <f t="shared" si="141"/>
        <v>0</v>
      </c>
      <c r="R40" s="55">
        <f t="shared" si="141"/>
        <v>0</v>
      </c>
      <c r="S40" s="55">
        <f t="shared" si="141"/>
        <v>0</v>
      </c>
      <c r="T40" s="55">
        <f t="shared" si="141"/>
        <v>0</v>
      </c>
      <c r="U40" s="827">
        <f t="shared" si="141"/>
        <v>0</v>
      </c>
      <c r="V40" s="55">
        <f t="shared" si="141"/>
        <v>0</v>
      </c>
      <c r="W40" s="55">
        <f t="shared" si="141"/>
        <v>0</v>
      </c>
      <c r="X40" s="55">
        <f t="shared" si="141"/>
        <v>0</v>
      </c>
      <c r="Y40" s="827">
        <f t="shared" si="141"/>
        <v>0</v>
      </c>
      <c r="Z40" s="55">
        <f t="shared" si="141"/>
        <v>0</v>
      </c>
      <c r="AA40" s="55">
        <f t="shared" si="141"/>
        <v>90</v>
      </c>
      <c r="AB40" s="55">
        <f t="shared" si="141"/>
        <v>180</v>
      </c>
      <c r="AC40" s="827">
        <f t="shared" si="141"/>
        <v>270</v>
      </c>
      <c r="AD40" s="55">
        <f t="shared" si="141"/>
        <v>270</v>
      </c>
      <c r="AE40" s="55">
        <f t="shared" si="141"/>
        <v>450</v>
      </c>
      <c r="AF40" s="55">
        <f t="shared" si="141"/>
        <v>540</v>
      </c>
      <c r="AG40" s="827">
        <f t="shared" si="141"/>
        <v>600</v>
      </c>
      <c r="AH40" s="55">
        <f t="shared" si="141"/>
        <v>720</v>
      </c>
      <c r="AI40" s="55">
        <f t="shared" si="141"/>
        <v>750</v>
      </c>
      <c r="AJ40" s="55">
        <f t="shared" si="141"/>
        <v>1140</v>
      </c>
      <c r="AK40" s="827">
        <f t="shared" si="141"/>
        <v>1140</v>
      </c>
      <c r="AL40" s="55">
        <f t="shared" si="141"/>
        <v>1380</v>
      </c>
      <c r="AM40" s="55">
        <f t="shared" si="141"/>
        <v>1710</v>
      </c>
      <c r="AN40" s="55">
        <f t="shared" si="141"/>
        <v>2040</v>
      </c>
      <c r="AO40" s="827">
        <f t="shared" si="141"/>
        <v>2100</v>
      </c>
      <c r="AP40" s="55">
        <f t="shared" si="141"/>
        <v>2190</v>
      </c>
      <c r="AQ40" s="55">
        <f t="shared" si="141"/>
        <v>2550</v>
      </c>
      <c r="AR40" s="55">
        <f t="shared" si="141"/>
        <v>3000</v>
      </c>
      <c r="AS40" s="470">
        <f t="shared" si="141"/>
        <v>3090</v>
      </c>
      <c r="AT40" s="55">
        <f t="shared" ref="AT40:BY40" si="142">AT13*30</f>
        <v>3240</v>
      </c>
      <c r="AU40" s="55">
        <f t="shared" si="142"/>
        <v>3270</v>
      </c>
      <c r="AV40" s="55">
        <f t="shared" si="142"/>
        <v>3630</v>
      </c>
      <c r="AW40" s="827">
        <f t="shared" si="142"/>
        <v>3690</v>
      </c>
      <c r="AX40" s="55">
        <f t="shared" si="142"/>
        <v>3960</v>
      </c>
      <c r="AY40" s="55">
        <f t="shared" si="142"/>
        <v>4320</v>
      </c>
      <c r="AZ40" s="55">
        <f t="shared" si="142"/>
        <v>5130</v>
      </c>
      <c r="BA40" s="827">
        <f t="shared" si="142"/>
        <v>5220</v>
      </c>
      <c r="BB40" s="55">
        <f t="shared" si="142"/>
        <v>5460</v>
      </c>
      <c r="BC40" s="55">
        <f t="shared" si="142"/>
        <v>5790</v>
      </c>
      <c r="BD40" s="55">
        <f t="shared" si="142"/>
        <v>6510</v>
      </c>
      <c r="BE40" s="827">
        <f t="shared" si="142"/>
        <v>6750</v>
      </c>
      <c r="BF40" s="55">
        <f t="shared" si="142"/>
        <v>7380</v>
      </c>
      <c r="BG40" s="56">
        <f t="shared" si="142"/>
        <v>7740</v>
      </c>
      <c r="BH40" s="56">
        <f t="shared" si="142"/>
        <v>8700</v>
      </c>
      <c r="BI40" s="828">
        <f t="shared" si="142"/>
        <v>8790</v>
      </c>
      <c r="BJ40" s="56">
        <f t="shared" si="142"/>
        <v>9330</v>
      </c>
      <c r="BK40" s="56">
        <f t="shared" si="142"/>
        <v>9870</v>
      </c>
      <c r="BL40" s="56">
        <f t="shared" si="142"/>
        <v>10860</v>
      </c>
      <c r="BM40" s="828">
        <f t="shared" si="142"/>
        <v>11250</v>
      </c>
      <c r="BN40" s="56">
        <f t="shared" si="142"/>
        <v>11430</v>
      </c>
      <c r="BO40" s="56">
        <f t="shared" si="142"/>
        <v>11670</v>
      </c>
      <c r="BP40" s="56">
        <f t="shared" si="142"/>
        <v>12090</v>
      </c>
      <c r="BQ40" s="828">
        <f t="shared" si="142"/>
        <v>12150</v>
      </c>
      <c r="BR40" s="56">
        <f t="shared" si="142"/>
        <v>12480</v>
      </c>
      <c r="BS40" s="56">
        <f t="shared" si="142"/>
        <v>12570</v>
      </c>
      <c r="BT40" s="56">
        <f t="shared" si="142"/>
        <v>12750</v>
      </c>
      <c r="BU40" s="828">
        <f t="shared" si="142"/>
        <v>12750</v>
      </c>
      <c r="BV40" s="56">
        <f t="shared" si="142"/>
        <v>12780</v>
      </c>
      <c r="BW40" s="56">
        <f t="shared" si="142"/>
        <v>12810</v>
      </c>
      <c r="BX40" s="56">
        <f t="shared" si="142"/>
        <v>12840</v>
      </c>
      <c r="BY40" s="828">
        <f t="shared" si="142"/>
        <v>12840</v>
      </c>
      <c r="BZ40" s="56"/>
      <c r="CA40" s="56"/>
      <c r="CB40" s="56"/>
      <c r="CC40" s="828"/>
      <c r="CD40" s="56"/>
      <c r="CE40" s="56"/>
      <c r="CF40" s="56"/>
      <c r="CG40" s="828"/>
      <c r="CH40" s="56">
        <f>CH13*30</f>
        <v>12840</v>
      </c>
      <c r="CI40" s="56">
        <f>CI13*30</f>
        <v>12240</v>
      </c>
      <c r="CJ40" s="56">
        <f>CJ13*30</f>
        <v>12180</v>
      </c>
      <c r="CK40" s="828">
        <f>CK13*30</f>
        <v>12180</v>
      </c>
      <c r="CL40" s="56"/>
      <c r="CM40" s="56"/>
      <c r="CN40" s="56"/>
      <c r="CO40" s="828"/>
      <c r="CP40" s="56">
        <f t="shared" ref="CP40:DA40" si="143">CP13*30</f>
        <v>12180</v>
      </c>
      <c r="CQ40" s="56">
        <f t="shared" si="143"/>
        <v>12180</v>
      </c>
      <c r="CR40" s="56">
        <f t="shared" si="143"/>
        <v>12180</v>
      </c>
      <c r="CS40" s="828">
        <f t="shared" si="143"/>
        <v>12180</v>
      </c>
      <c r="CT40" s="56">
        <f t="shared" si="143"/>
        <v>12180</v>
      </c>
      <c r="CU40" s="56">
        <f t="shared" si="143"/>
        <v>12180</v>
      </c>
      <c r="CV40" s="56">
        <f t="shared" si="143"/>
        <v>12180</v>
      </c>
      <c r="CW40" s="828">
        <f t="shared" si="143"/>
        <v>12180</v>
      </c>
      <c r="CX40" s="1974">
        <f t="shared" si="143"/>
        <v>0</v>
      </c>
      <c r="CY40" s="1974">
        <f t="shared" si="143"/>
        <v>0</v>
      </c>
      <c r="CZ40" s="1974">
        <f t="shared" si="143"/>
        <v>0</v>
      </c>
      <c r="DA40" s="1976">
        <f t="shared" si="143"/>
        <v>0</v>
      </c>
      <c r="DB40" s="1974">
        <f>DB13*30</f>
        <v>0</v>
      </c>
      <c r="DC40" s="1974">
        <f>DC13*30</f>
        <v>0</v>
      </c>
      <c r="DD40" s="1966">
        <f>DD13*30</f>
        <v>0</v>
      </c>
      <c r="DE40" s="1976">
        <f>DE13*30</f>
        <v>0</v>
      </c>
      <c r="DF40" s="1975"/>
      <c r="DG40" s="1975"/>
      <c r="DH40" s="1975"/>
      <c r="DI40" s="1976"/>
      <c r="DJ40" s="2723"/>
      <c r="DK40" s="1975"/>
      <c r="DL40" s="1975"/>
      <c r="DM40" s="1976"/>
      <c r="DN40" s="1966"/>
      <c r="DO40" s="1962"/>
      <c r="DP40" s="1960"/>
      <c r="DQ40" s="1960"/>
      <c r="DR40" s="1960">
        <f t="shared" ref="DR40:DZ40" si="144">DR13*30</f>
        <v>0</v>
      </c>
      <c r="DS40" s="1960">
        <f t="shared" si="144"/>
        <v>0</v>
      </c>
      <c r="DT40" s="1960">
        <f t="shared" si="144"/>
        <v>0</v>
      </c>
      <c r="DU40" s="1960">
        <f t="shared" si="144"/>
        <v>0</v>
      </c>
      <c r="DV40" s="1960">
        <f t="shared" si="144"/>
        <v>0</v>
      </c>
      <c r="DW40" s="1960">
        <f t="shared" si="144"/>
        <v>0</v>
      </c>
      <c r="DX40" s="1960">
        <f t="shared" si="144"/>
        <v>0</v>
      </c>
      <c r="DY40" s="1960">
        <f t="shared" si="144"/>
        <v>0</v>
      </c>
      <c r="DZ40" s="1960">
        <f t="shared" si="144"/>
        <v>0</v>
      </c>
      <c r="EA40" s="1960">
        <f>Q40</f>
        <v>0</v>
      </c>
      <c r="EB40" s="1960">
        <f>U40</f>
        <v>0</v>
      </c>
      <c r="EC40" s="1960">
        <f>Y40</f>
        <v>0</v>
      </c>
      <c r="ED40" s="1960">
        <f>AC40</f>
        <v>270</v>
      </c>
      <c r="EE40" s="1960">
        <f>AG40</f>
        <v>600</v>
      </c>
      <c r="EF40" s="1960">
        <f>AK40</f>
        <v>1140</v>
      </c>
      <c r="EG40" s="1960">
        <f>AO40</f>
        <v>2100</v>
      </c>
      <c r="EH40" s="1960">
        <f>AS40</f>
        <v>3090</v>
      </c>
      <c r="EI40" s="1960">
        <f t="shared" si="134"/>
        <v>3690</v>
      </c>
      <c r="EJ40" s="1960">
        <f t="shared" si="135"/>
        <v>5220</v>
      </c>
      <c r="EK40" s="1960">
        <f t="shared" si="136"/>
        <v>6750</v>
      </c>
      <c r="EL40" s="1960">
        <f>EL13*30</f>
        <v>8790</v>
      </c>
      <c r="EM40" s="1974">
        <f>EM13*30</f>
        <v>11250</v>
      </c>
      <c r="EN40" s="1974">
        <f>EN13*30</f>
        <v>12150</v>
      </c>
      <c r="EO40" s="1960">
        <f>EO13*30</f>
        <v>12750</v>
      </c>
      <c r="EP40" s="1960">
        <f>EP13*30</f>
        <v>12840</v>
      </c>
      <c r="EQ40" s="1960"/>
      <c r="ER40" s="1960"/>
      <c r="ES40" s="1960">
        <f>ES13*30</f>
        <v>12180</v>
      </c>
      <c r="ET40" s="1960"/>
      <c r="EU40" s="1960">
        <f>EU13*30</f>
        <v>12180</v>
      </c>
      <c r="EV40" s="1960">
        <f>EV13*30</f>
        <v>12180</v>
      </c>
      <c r="EW40" s="1960">
        <f>EW13*30</f>
        <v>12180</v>
      </c>
      <c r="EX40" s="1959"/>
      <c r="EY40" s="1959"/>
      <c r="EZ40" s="1968"/>
      <c r="FA40" s="1960"/>
      <c r="FB40" s="1960"/>
      <c r="FC40" s="1960"/>
      <c r="FD40" s="1960"/>
      <c r="FE40" s="1984"/>
      <c r="FF40" s="1984"/>
      <c r="FG40" s="1984"/>
      <c r="FH40" s="1984"/>
      <c r="FI40" s="1985"/>
      <c r="FJ40"/>
      <c r="FK40"/>
      <c r="FL40"/>
      <c r="FM40"/>
      <c r="FN40"/>
      <c r="FO40"/>
      <c r="FP40" s="1964"/>
      <c r="FS40" s="1161"/>
      <c r="FT40" s="1161"/>
      <c r="FU40"/>
      <c r="FV40"/>
      <c r="FW40" s="1975"/>
      <c r="FX40" s="1975"/>
      <c r="FY40" s="1975"/>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row>
    <row r="41" spans="1:260" s="4" customFormat="1" ht="11.25" hidden="1" customHeight="1" outlineLevel="2" x14ac:dyDescent="0.2">
      <c r="A41" s="601" t="s">
        <v>112</v>
      </c>
      <c r="B41" s="55"/>
      <c r="C41" s="55"/>
      <c r="D41" s="55"/>
      <c r="E41" s="827"/>
      <c r="F41" s="55"/>
      <c r="G41" s="55"/>
      <c r="H41" s="55"/>
      <c r="I41" s="827"/>
      <c r="J41" s="55"/>
      <c r="K41" s="55"/>
      <c r="L41" s="55"/>
      <c r="M41" s="827"/>
      <c r="N41" s="55">
        <f t="shared" ref="N41:AS41" si="145">N14*36</f>
        <v>1260</v>
      </c>
      <c r="O41" s="55">
        <f t="shared" si="145"/>
        <v>1260</v>
      </c>
      <c r="P41" s="55">
        <f t="shared" si="145"/>
        <v>1260</v>
      </c>
      <c r="Q41" s="827">
        <f t="shared" si="145"/>
        <v>1224</v>
      </c>
      <c r="R41" s="55">
        <f t="shared" si="145"/>
        <v>1224</v>
      </c>
      <c r="S41" s="55">
        <f t="shared" si="145"/>
        <v>1224</v>
      </c>
      <c r="T41" s="55">
        <f t="shared" si="145"/>
        <v>1224</v>
      </c>
      <c r="U41" s="827">
        <f t="shared" si="145"/>
        <v>1224</v>
      </c>
      <c r="V41" s="55">
        <f t="shared" si="145"/>
        <v>1224</v>
      </c>
      <c r="W41" s="55">
        <f t="shared" si="145"/>
        <v>1260</v>
      </c>
      <c r="X41" s="55">
        <f t="shared" si="145"/>
        <v>1224</v>
      </c>
      <c r="Y41" s="827">
        <f t="shared" si="145"/>
        <v>1224</v>
      </c>
      <c r="Z41" s="55">
        <f t="shared" si="145"/>
        <v>1260</v>
      </c>
      <c r="AA41" s="55">
        <f t="shared" si="145"/>
        <v>1260</v>
      </c>
      <c r="AB41" s="55">
        <f t="shared" si="145"/>
        <v>1224</v>
      </c>
      <c r="AC41" s="827">
        <f t="shared" si="145"/>
        <v>1224</v>
      </c>
      <c r="AD41" s="55">
        <f t="shared" si="145"/>
        <v>1260</v>
      </c>
      <c r="AE41" s="55">
        <f t="shared" si="145"/>
        <v>1260</v>
      </c>
      <c r="AF41" s="55">
        <f t="shared" si="145"/>
        <v>1224</v>
      </c>
      <c r="AG41" s="827">
        <f t="shared" si="145"/>
        <v>1188</v>
      </c>
      <c r="AH41" s="55">
        <f t="shared" si="145"/>
        <v>1224</v>
      </c>
      <c r="AI41" s="55">
        <f t="shared" si="145"/>
        <v>1224</v>
      </c>
      <c r="AJ41" s="55">
        <f t="shared" si="145"/>
        <v>1188</v>
      </c>
      <c r="AK41" s="827">
        <f t="shared" si="145"/>
        <v>1152</v>
      </c>
      <c r="AL41" s="55">
        <f t="shared" si="145"/>
        <v>1116</v>
      </c>
      <c r="AM41" s="55">
        <f t="shared" si="145"/>
        <v>1116</v>
      </c>
      <c r="AN41" s="55">
        <f t="shared" si="145"/>
        <v>1116</v>
      </c>
      <c r="AO41" s="827">
        <f t="shared" si="145"/>
        <v>1116</v>
      </c>
      <c r="AP41" s="55">
        <f t="shared" si="145"/>
        <v>1080</v>
      </c>
      <c r="AQ41" s="55">
        <f t="shared" si="145"/>
        <v>1080</v>
      </c>
      <c r="AR41" s="55">
        <f t="shared" si="145"/>
        <v>1080</v>
      </c>
      <c r="AS41" s="470">
        <f t="shared" si="145"/>
        <v>1080</v>
      </c>
      <c r="AT41" s="55">
        <f t="shared" ref="AT41:BY41" si="146">AT14*36</f>
        <v>1080</v>
      </c>
      <c r="AU41" s="55">
        <f t="shared" si="146"/>
        <v>1080</v>
      </c>
      <c r="AV41" s="55">
        <f t="shared" si="146"/>
        <v>1008</v>
      </c>
      <c r="AW41" s="827">
        <f t="shared" si="146"/>
        <v>1008</v>
      </c>
      <c r="AX41" s="55">
        <f t="shared" si="146"/>
        <v>1008</v>
      </c>
      <c r="AY41" s="55">
        <f t="shared" si="146"/>
        <v>972</v>
      </c>
      <c r="AZ41" s="55">
        <f t="shared" si="146"/>
        <v>972</v>
      </c>
      <c r="BA41" s="827">
        <f t="shared" si="146"/>
        <v>972</v>
      </c>
      <c r="BB41" s="55">
        <f t="shared" si="146"/>
        <v>972</v>
      </c>
      <c r="BC41" s="55">
        <f t="shared" si="146"/>
        <v>972</v>
      </c>
      <c r="BD41" s="55">
        <f t="shared" si="146"/>
        <v>864</v>
      </c>
      <c r="BE41" s="827">
        <f t="shared" si="146"/>
        <v>864</v>
      </c>
      <c r="BF41" s="55">
        <f t="shared" si="146"/>
        <v>864</v>
      </c>
      <c r="BG41" s="56">
        <f t="shared" si="146"/>
        <v>828</v>
      </c>
      <c r="BH41" s="56">
        <f t="shared" si="146"/>
        <v>792</v>
      </c>
      <c r="BI41" s="828">
        <f t="shared" si="146"/>
        <v>792</v>
      </c>
      <c r="BJ41" s="56">
        <f t="shared" si="146"/>
        <v>792</v>
      </c>
      <c r="BK41" s="56">
        <f t="shared" si="146"/>
        <v>792</v>
      </c>
      <c r="BL41" s="56">
        <f t="shared" si="146"/>
        <v>756</v>
      </c>
      <c r="BM41" s="828">
        <f t="shared" si="146"/>
        <v>684</v>
      </c>
      <c r="BN41" s="56">
        <f t="shared" si="146"/>
        <v>684</v>
      </c>
      <c r="BO41" s="56">
        <f t="shared" si="146"/>
        <v>684</v>
      </c>
      <c r="BP41" s="56">
        <f t="shared" si="146"/>
        <v>792</v>
      </c>
      <c r="BQ41" s="828">
        <f t="shared" si="146"/>
        <v>792</v>
      </c>
      <c r="BR41" s="56">
        <f t="shared" si="146"/>
        <v>792</v>
      </c>
      <c r="BS41" s="56">
        <f t="shared" si="146"/>
        <v>900</v>
      </c>
      <c r="BT41" s="56">
        <f t="shared" si="146"/>
        <v>900</v>
      </c>
      <c r="BU41" s="828">
        <f t="shared" si="146"/>
        <v>900</v>
      </c>
      <c r="BV41" s="56">
        <f t="shared" si="146"/>
        <v>936</v>
      </c>
      <c r="BW41" s="56">
        <f t="shared" si="146"/>
        <v>972</v>
      </c>
      <c r="BX41" s="56">
        <f t="shared" si="146"/>
        <v>972</v>
      </c>
      <c r="BY41" s="828">
        <f t="shared" si="146"/>
        <v>1116</v>
      </c>
      <c r="BZ41" s="56"/>
      <c r="CA41" s="56"/>
      <c r="CB41" s="56"/>
      <c r="CC41" s="828"/>
      <c r="CD41" s="56"/>
      <c r="CE41" s="56"/>
      <c r="CF41" s="56"/>
      <c r="CG41" s="828"/>
      <c r="CH41" s="56">
        <f>CH14*36</f>
        <v>1116</v>
      </c>
      <c r="CI41" s="56">
        <f>CI14*36</f>
        <v>1044</v>
      </c>
      <c r="CJ41" s="56">
        <f>CJ14*36</f>
        <v>1044</v>
      </c>
      <c r="CK41" s="828">
        <f>CK14*36</f>
        <v>1044</v>
      </c>
      <c r="CL41" s="56"/>
      <c r="CM41" s="56"/>
      <c r="CN41" s="56"/>
      <c r="CO41" s="828"/>
      <c r="CP41" s="56">
        <f t="shared" ref="CP41:DA41" si="147">CP14*36</f>
        <v>1044</v>
      </c>
      <c r="CQ41" s="56">
        <f t="shared" si="147"/>
        <v>1044</v>
      </c>
      <c r="CR41" s="56">
        <f t="shared" si="147"/>
        <v>1044</v>
      </c>
      <c r="CS41" s="828">
        <f t="shared" si="147"/>
        <v>1044</v>
      </c>
      <c r="CT41" s="56">
        <f t="shared" si="147"/>
        <v>1044</v>
      </c>
      <c r="CU41" s="56">
        <f t="shared" si="147"/>
        <v>1044</v>
      </c>
      <c r="CV41" s="56">
        <f t="shared" si="147"/>
        <v>1044</v>
      </c>
      <c r="CW41" s="828">
        <f t="shared" si="147"/>
        <v>1044</v>
      </c>
      <c r="CX41" s="1974">
        <f t="shared" si="147"/>
        <v>0</v>
      </c>
      <c r="CY41" s="1974">
        <f t="shared" si="147"/>
        <v>0</v>
      </c>
      <c r="CZ41" s="1974">
        <f t="shared" si="147"/>
        <v>0</v>
      </c>
      <c r="DA41" s="1976">
        <f t="shared" si="147"/>
        <v>0</v>
      </c>
      <c r="DB41" s="1974">
        <f>DB14*36</f>
        <v>0</v>
      </c>
      <c r="DC41" s="1974">
        <f>DC14*36</f>
        <v>0</v>
      </c>
      <c r="DD41" s="1966">
        <f>DD14*36</f>
        <v>0</v>
      </c>
      <c r="DE41" s="1976">
        <f>DE14*36</f>
        <v>0</v>
      </c>
      <c r="DF41" s="1975"/>
      <c r="DG41" s="1975"/>
      <c r="DH41" s="1975"/>
      <c r="DI41" s="1976"/>
      <c r="DJ41" s="2723"/>
      <c r="DK41" s="1975"/>
      <c r="DL41" s="1975"/>
      <c r="DM41" s="1976"/>
      <c r="DN41" s="1966"/>
      <c r="DO41" s="1962"/>
      <c r="DP41" s="1960"/>
      <c r="DQ41" s="1960"/>
      <c r="DR41" s="1960">
        <f t="shared" ref="DR41:DZ41" si="148">DR14*36</f>
        <v>0</v>
      </c>
      <c r="DS41" s="1960">
        <f t="shared" si="148"/>
        <v>0</v>
      </c>
      <c r="DT41" s="1960">
        <f t="shared" si="148"/>
        <v>0</v>
      </c>
      <c r="DU41" s="1960">
        <f t="shared" si="148"/>
        <v>0</v>
      </c>
      <c r="DV41" s="1960">
        <f t="shared" si="148"/>
        <v>0</v>
      </c>
      <c r="DW41" s="1960">
        <f t="shared" si="148"/>
        <v>1404</v>
      </c>
      <c r="DX41" s="1960">
        <f t="shared" si="148"/>
        <v>1800</v>
      </c>
      <c r="DY41" s="1960">
        <f t="shared" si="148"/>
        <v>1728</v>
      </c>
      <c r="DZ41" s="1960">
        <f t="shared" si="148"/>
        <v>1296</v>
      </c>
      <c r="EA41" s="1960">
        <f>Q41</f>
        <v>1224</v>
      </c>
      <c r="EB41" s="1960">
        <f>U41</f>
        <v>1224</v>
      </c>
      <c r="EC41" s="1960">
        <f>Y41</f>
        <v>1224</v>
      </c>
      <c r="ED41" s="1960">
        <f>AC41</f>
        <v>1224</v>
      </c>
      <c r="EE41" s="1960">
        <f>AG41</f>
        <v>1188</v>
      </c>
      <c r="EF41" s="1960">
        <f>AK41</f>
        <v>1152</v>
      </c>
      <c r="EG41" s="1960">
        <f>AO41</f>
        <v>1116</v>
      </c>
      <c r="EH41" s="1960">
        <f>AS41</f>
        <v>1080</v>
      </c>
      <c r="EI41" s="1960">
        <f t="shared" si="134"/>
        <v>1008</v>
      </c>
      <c r="EJ41" s="1960">
        <f t="shared" si="135"/>
        <v>972</v>
      </c>
      <c r="EK41" s="1960">
        <f t="shared" si="136"/>
        <v>864</v>
      </c>
      <c r="EL41" s="1960">
        <f>EL14*36</f>
        <v>792</v>
      </c>
      <c r="EM41" s="1974">
        <f>EM14*36</f>
        <v>684</v>
      </c>
      <c r="EN41" s="1974">
        <f>EN14*36</f>
        <v>792</v>
      </c>
      <c r="EO41" s="1960">
        <f>EO14*36</f>
        <v>900</v>
      </c>
      <c r="EP41" s="1960">
        <f>EP14*36</f>
        <v>1116</v>
      </c>
      <c r="EQ41" s="1960"/>
      <c r="ER41" s="1960"/>
      <c r="ES41" s="1960">
        <f>ES14*36</f>
        <v>1044</v>
      </c>
      <c r="ET41" s="1960"/>
      <c r="EU41" s="1960">
        <f>EU14*36</f>
        <v>1044</v>
      </c>
      <c r="EV41" s="1960">
        <f>EV14*36</f>
        <v>1044</v>
      </c>
      <c r="EW41" s="1960">
        <f>EW14*36</f>
        <v>1044</v>
      </c>
      <c r="EX41" s="1959"/>
      <c r="EY41" s="1959"/>
      <c r="EZ41" s="1968"/>
      <c r="FA41" s="1960"/>
      <c r="FB41" s="1960"/>
      <c r="FC41" s="1960"/>
      <c r="FD41" s="1960"/>
      <c r="FE41" s="1984"/>
      <c r="FF41" s="1984"/>
      <c r="FG41" s="1984"/>
      <c r="FH41" s="1984"/>
      <c r="FI41" s="1985"/>
      <c r="FJ41"/>
      <c r="FK41"/>
      <c r="FL41"/>
      <c r="FM41"/>
      <c r="FN41"/>
      <c r="FO41"/>
      <c r="FP41" s="1964"/>
      <c r="FS41" s="1161"/>
      <c r="FT41" s="1161"/>
      <c r="FU41"/>
      <c r="FV41"/>
      <c r="FW41" s="1975"/>
      <c r="FX41" s="1975"/>
      <c r="FY41" s="1975"/>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row>
    <row r="42" spans="1:260" s="4" customFormat="1" ht="11.25" hidden="1" customHeight="1" outlineLevel="2" x14ac:dyDescent="0.2">
      <c r="A42" s="601" t="s">
        <v>143</v>
      </c>
      <c r="B42" s="55"/>
      <c r="C42" s="55"/>
      <c r="D42" s="55"/>
      <c r="E42" s="827"/>
      <c r="F42" s="55"/>
      <c r="G42" s="55"/>
      <c r="H42" s="55"/>
      <c r="I42" s="827"/>
      <c r="J42" s="55"/>
      <c r="K42" s="55"/>
      <c r="L42" s="55"/>
      <c r="M42" s="827"/>
      <c r="N42" s="55">
        <f t="shared" ref="N42:AS42" si="149">N15*45</f>
        <v>5130</v>
      </c>
      <c r="O42" s="55">
        <f t="shared" si="149"/>
        <v>5220</v>
      </c>
      <c r="P42" s="55">
        <f t="shared" si="149"/>
        <v>5895</v>
      </c>
      <c r="Q42" s="827">
        <f t="shared" si="149"/>
        <v>5940</v>
      </c>
      <c r="R42" s="55">
        <f t="shared" si="149"/>
        <v>6120</v>
      </c>
      <c r="S42" s="55">
        <f t="shared" si="149"/>
        <v>6435</v>
      </c>
      <c r="T42" s="55">
        <f t="shared" si="149"/>
        <v>6750</v>
      </c>
      <c r="U42" s="827">
        <f t="shared" si="149"/>
        <v>6750</v>
      </c>
      <c r="V42" s="55">
        <f t="shared" si="149"/>
        <v>6975</v>
      </c>
      <c r="W42" s="55">
        <f t="shared" si="149"/>
        <v>6975</v>
      </c>
      <c r="X42" s="55">
        <f t="shared" si="149"/>
        <v>8190</v>
      </c>
      <c r="Y42" s="827">
        <f t="shared" si="149"/>
        <v>8190</v>
      </c>
      <c r="Z42" s="55">
        <f t="shared" si="149"/>
        <v>8325</v>
      </c>
      <c r="AA42" s="55">
        <f t="shared" si="149"/>
        <v>9090</v>
      </c>
      <c r="AB42" s="55">
        <f t="shared" si="149"/>
        <v>10395</v>
      </c>
      <c r="AC42" s="827">
        <f t="shared" si="149"/>
        <v>10395</v>
      </c>
      <c r="AD42" s="55">
        <f t="shared" si="149"/>
        <v>10575</v>
      </c>
      <c r="AE42" s="55">
        <f t="shared" si="149"/>
        <v>10845</v>
      </c>
      <c r="AF42" s="55">
        <f t="shared" si="149"/>
        <v>12825</v>
      </c>
      <c r="AG42" s="827">
        <f t="shared" si="149"/>
        <v>13050</v>
      </c>
      <c r="AH42" s="55">
        <f t="shared" si="149"/>
        <v>13275</v>
      </c>
      <c r="AI42" s="55">
        <f t="shared" si="149"/>
        <v>13680</v>
      </c>
      <c r="AJ42" s="55">
        <f t="shared" si="149"/>
        <v>15030</v>
      </c>
      <c r="AK42" s="827">
        <f t="shared" si="149"/>
        <v>15255</v>
      </c>
      <c r="AL42" s="55">
        <f t="shared" si="149"/>
        <v>15525</v>
      </c>
      <c r="AM42" s="55">
        <f t="shared" si="149"/>
        <v>16155</v>
      </c>
      <c r="AN42" s="55">
        <f t="shared" si="149"/>
        <v>17055</v>
      </c>
      <c r="AO42" s="827">
        <f t="shared" si="149"/>
        <v>17055</v>
      </c>
      <c r="AP42" s="55">
        <f t="shared" si="149"/>
        <v>17190</v>
      </c>
      <c r="AQ42" s="55">
        <f t="shared" si="149"/>
        <v>17325</v>
      </c>
      <c r="AR42" s="55">
        <f t="shared" si="149"/>
        <v>18135</v>
      </c>
      <c r="AS42" s="470">
        <f t="shared" si="149"/>
        <v>18315</v>
      </c>
      <c r="AT42" s="55">
        <f t="shared" ref="AT42:BY42" si="150">AT15*45</f>
        <v>18405</v>
      </c>
      <c r="AU42" s="55">
        <f t="shared" si="150"/>
        <v>18630</v>
      </c>
      <c r="AV42" s="55">
        <f t="shared" si="150"/>
        <v>18945</v>
      </c>
      <c r="AW42" s="827">
        <f t="shared" si="150"/>
        <v>19125</v>
      </c>
      <c r="AX42" s="55">
        <f t="shared" si="150"/>
        <v>19260</v>
      </c>
      <c r="AY42" s="55">
        <f t="shared" si="150"/>
        <v>19350</v>
      </c>
      <c r="AZ42" s="55">
        <f t="shared" si="150"/>
        <v>19665</v>
      </c>
      <c r="BA42" s="827">
        <f t="shared" si="150"/>
        <v>19755</v>
      </c>
      <c r="BB42" s="55">
        <f t="shared" si="150"/>
        <v>19890</v>
      </c>
      <c r="BC42" s="55">
        <f t="shared" si="150"/>
        <v>20025</v>
      </c>
      <c r="BD42" s="55">
        <f t="shared" si="150"/>
        <v>20835</v>
      </c>
      <c r="BE42" s="827">
        <f t="shared" si="150"/>
        <v>20925</v>
      </c>
      <c r="BF42" s="55">
        <f t="shared" si="150"/>
        <v>21105</v>
      </c>
      <c r="BG42" s="56">
        <f t="shared" si="150"/>
        <v>21465</v>
      </c>
      <c r="BH42" s="56">
        <f t="shared" si="150"/>
        <v>22050</v>
      </c>
      <c r="BI42" s="828">
        <f t="shared" si="150"/>
        <v>22140</v>
      </c>
      <c r="BJ42" s="56">
        <f t="shared" si="150"/>
        <v>22410</v>
      </c>
      <c r="BK42" s="56">
        <f t="shared" si="150"/>
        <v>22635</v>
      </c>
      <c r="BL42" s="56">
        <f t="shared" si="150"/>
        <v>22725</v>
      </c>
      <c r="BM42" s="828">
        <f t="shared" si="150"/>
        <v>22770</v>
      </c>
      <c r="BN42" s="56">
        <f t="shared" si="150"/>
        <v>22860</v>
      </c>
      <c r="BO42" s="56">
        <f t="shared" si="150"/>
        <v>22950</v>
      </c>
      <c r="BP42" s="56">
        <f t="shared" si="150"/>
        <v>23175</v>
      </c>
      <c r="BQ42" s="828">
        <f t="shared" si="150"/>
        <v>23130</v>
      </c>
      <c r="BR42" s="56">
        <f t="shared" si="150"/>
        <v>23130</v>
      </c>
      <c r="BS42" s="56">
        <f t="shared" si="150"/>
        <v>23220</v>
      </c>
      <c r="BT42" s="56">
        <f t="shared" si="150"/>
        <v>23310</v>
      </c>
      <c r="BU42" s="828">
        <f t="shared" si="150"/>
        <v>23310</v>
      </c>
      <c r="BV42" s="56">
        <f t="shared" si="150"/>
        <v>23355</v>
      </c>
      <c r="BW42" s="56">
        <f t="shared" si="150"/>
        <v>23400</v>
      </c>
      <c r="BX42" s="56">
        <f t="shared" si="150"/>
        <v>23355</v>
      </c>
      <c r="BY42" s="828">
        <f t="shared" si="150"/>
        <v>23220</v>
      </c>
      <c r="BZ42" s="56"/>
      <c r="CA42" s="56"/>
      <c r="CB42" s="56"/>
      <c r="CC42" s="828"/>
      <c r="CD42" s="56"/>
      <c r="CE42" s="56"/>
      <c r="CF42" s="56"/>
      <c r="CG42" s="828"/>
      <c r="CH42" s="56">
        <f>CH15*45</f>
        <v>23220</v>
      </c>
      <c r="CI42" s="56">
        <f>CI15*45</f>
        <v>22680</v>
      </c>
      <c r="CJ42" s="56">
        <f>CJ15*45</f>
        <v>22545</v>
      </c>
      <c r="CK42" s="828">
        <f>CK15*45</f>
        <v>22545</v>
      </c>
      <c r="CL42" s="56"/>
      <c r="CM42" s="56"/>
      <c r="CN42" s="56"/>
      <c r="CO42" s="828"/>
      <c r="CP42" s="56">
        <f t="shared" ref="CP42:DA42" si="151">CP15*45</f>
        <v>22500</v>
      </c>
      <c r="CQ42" s="56">
        <f t="shared" si="151"/>
        <v>22500</v>
      </c>
      <c r="CR42" s="56">
        <f t="shared" si="151"/>
        <v>22500</v>
      </c>
      <c r="CS42" s="828">
        <f t="shared" si="151"/>
        <v>22500</v>
      </c>
      <c r="CT42" s="56">
        <f t="shared" si="151"/>
        <v>22410</v>
      </c>
      <c r="CU42" s="56">
        <f t="shared" si="151"/>
        <v>22410</v>
      </c>
      <c r="CV42" s="56">
        <f t="shared" si="151"/>
        <v>22410</v>
      </c>
      <c r="CW42" s="828">
        <f t="shared" si="151"/>
        <v>22410</v>
      </c>
      <c r="CX42" s="1974">
        <f t="shared" si="151"/>
        <v>0</v>
      </c>
      <c r="CY42" s="1974">
        <f t="shared" si="151"/>
        <v>0</v>
      </c>
      <c r="CZ42" s="1974">
        <f t="shared" si="151"/>
        <v>0</v>
      </c>
      <c r="DA42" s="1976">
        <f t="shared" si="151"/>
        <v>0</v>
      </c>
      <c r="DB42" s="1974">
        <f>DB15*45</f>
        <v>0</v>
      </c>
      <c r="DC42" s="1974">
        <f>DC15*45</f>
        <v>0</v>
      </c>
      <c r="DD42" s="1966">
        <f>DD15*45</f>
        <v>0</v>
      </c>
      <c r="DE42" s="1976">
        <f>DE15*45</f>
        <v>0</v>
      </c>
      <c r="DF42" s="1975"/>
      <c r="DG42" s="1975"/>
      <c r="DH42" s="1975"/>
      <c r="DI42" s="1976"/>
      <c r="DJ42" s="2723"/>
      <c r="DK42" s="1975"/>
      <c r="DL42" s="1975"/>
      <c r="DM42" s="1976"/>
      <c r="DN42" s="1966"/>
      <c r="DO42" s="1962"/>
      <c r="DP42" s="1960"/>
      <c r="DQ42" s="1960"/>
      <c r="DR42" s="1960">
        <f t="shared" ref="DR42:DZ42" si="152">DR15*45</f>
        <v>0</v>
      </c>
      <c r="DS42" s="1960">
        <f t="shared" si="152"/>
        <v>0</v>
      </c>
      <c r="DT42" s="1960">
        <f t="shared" si="152"/>
        <v>0</v>
      </c>
      <c r="DU42" s="1960">
        <f t="shared" si="152"/>
        <v>0</v>
      </c>
      <c r="DV42" s="1960">
        <f t="shared" si="152"/>
        <v>0</v>
      </c>
      <c r="DW42" s="1960">
        <f t="shared" si="152"/>
        <v>0</v>
      </c>
      <c r="DX42" s="1960">
        <f t="shared" si="152"/>
        <v>1395</v>
      </c>
      <c r="DY42" s="1960">
        <f t="shared" si="152"/>
        <v>3375</v>
      </c>
      <c r="DZ42" s="1960">
        <f t="shared" si="152"/>
        <v>5040</v>
      </c>
      <c r="EA42" s="1960">
        <f>Q42</f>
        <v>5940</v>
      </c>
      <c r="EB42" s="1960">
        <f>U42</f>
        <v>6750</v>
      </c>
      <c r="EC42" s="1960">
        <f>Y42</f>
        <v>8190</v>
      </c>
      <c r="ED42" s="1960">
        <f>AC42</f>
        <v>10395</v>
      </c>
      <c r="EE42" s="1960">
        <f>AG42</f>
        <v>13050</v>
      </c>
      <c r="EF42" s="1960">
        <f>AK42</f>
        <v>15255</v>
      </c>
      <c r="EG42" s="1960">
        <f>AO42</f>
        <v>17055</v>
      </c>
      <c r="EH42" s="1960">
        <f>AS42</f>
        <v>18315</v>
      </c>
      <c r="EI42" s="1960">
        <f t="shared" si="134"/>
        <v>19125</v>
      </c>
      <c r="EJ42" s="1960">
        <f t="shared" si="135"/>
        <v>19755</v>
      </c>
      <c r="EK42" s="1960">
        <f t="shared" si="136"/>
        <v>20925</v>
      </c>
      <c r="EL42" s="1960">
        <f>EL15*45</f>
        <v>22140</v>
      </c>
      <c r="EM42" s="1974">
        <f>EM15*45</f>
        <v>22770</v>
      </c>
      <c r="EN42" s="1974">
        <f>EN15*45</f>
        <v>23130</v>
      </c>
      <c r="EO42" s="1960">
        <f>EO15*45</f>
        <v>23310</v>
      </c>
      <c r="EP42" s="1960">
        <f>EP15*45</f>
        <v>23220</v>
      </c>
      <c r="EQ42" s="1960"/>
      <c r="ER42" s="1960"/>
      <c r="ES42" s="1960">
        <f>ES15*45</f>
        <v>22545</v>
      </c>
      <c r="ET42" s="1960"/>
      <c r="EU42" s="1960">
        <f>EU15*45</f>
        <v>22500</v>
      </c>
      <c r="EV42" s="1960">
        <f>EV15*45</f>
        <v>22365</v>
      </c>
      <c r="EW42" s="1960">
        <f>EW15*45</f>
        <v>22365</v>
      </c>
      <c r="EX42" s="1959"/>
      <c r="EY42" s="1959"/>
      <c r="EZ42" s="1968"/>
      <c r="FA42" s="1960"/>
      <c r="FB42" s="1960"/>
      <c r="FC42" s="1960"/>
      <c r="FD42" s="1960"/>
      <c r="FE42" s="1984"/>
      <c r="FF42" s="1984"/>
      <c r="FG42" s="1984"/>
      <c r="FH42" s="1984"/>
      <c r="FI42" s="1985"/>
      <c r="FJ42"/>
      <c r="FK42"/>
      <c r="FL42"/>
      <c r="FM42"/>
      <c r="FN42"/>
      <c r="FO42"/>
      <c r="FP42" s="1964"/>
      <c r="FS42" s="1161"/>
      <c r="FT42" s="1161"/>
      <c r="FU42"/>
      <c r="FV42"/>
      <c r="FW42" s="1975"/>
      <c r="FX42" s="1975"/>
      <c r="FY42" s="1975"/>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row>
    <row r="43" spans="1:260" s="4" customFormat="1" ht="11.25" hidden="1" customHeight="1" outlineLevel="2" x14ac:dyDescent="0.2">
      <c r="A43" s="241" t="s">
        <v>326</v>
      </c>
      <c r="B43" s="829"/>
      <c r="C43" s="829"/>
      <c r="D43" s="829"/>
      <c r="E43" s="827"/>
      <c r="F43" s="829"/>
      <c r="G43" s="829"/>
      <c r="H43" s="829"/>
      <c r="I43" s="827"/>
      <c r="J43" s="829"/>
      <c r="K43" s="829"/>
      <c r="L43" s="829"/>
      <c r="M43" s="827"/>
      <c r="N43" s="829">
        <f t="shared" ref="N43:AS43" si="153">N16*58</f>
        <v>2842</v>
      </c>
      <c r="O43" s="829">
        <f t="shared" si="153"/>
        <v>2958</v>
      </c>
      <c r="P43" s="829">
        <f t="shared" si="153"/>
        <v>3016</v>
      </c>
      <c r="Q43" s="827">
        <f t="shared" si="153"/>
        <v>3016</v>
      </c>
      <c r="R43" s="829">
        <f t="shared" si="153"/>
        <v>3016</v>
      </c>
      <c r="S43" s="829">
        <f t="shared" si="153"/>
        <v>3016</v>
      </c>
      <c r="T43" s="829">
        <f t="shared" si="153"/>
        <v>3016</v>
      </c>
      <c r="U43" s="827">
        <f t="shared" si="153"/>
        <v>3016</v>
      </c>
      <c r="V43" s="829">
        <f t="shared" si="153"/>
        <v>3016</v>
      </c>
      <c r="W43" s="829">
        <f t="shared" si="153"/>
        <v>3016</v>
      </c>
      <c r="X43" s="829">
        <f t="shared" si="153"/>
        <v>3016</v>
      </c>
      <c r="Y43" s="827">
        <f t="shared" si="153"/>
        <v>3016</v>
      </c>
      <c r="Z43" s="829">
        <f t="shared" si="153"/>
        <v>3016</v>
      </c>
      <c r="AA43" s="829">
        <f t="shared" si="153"/>
        <v>3016</v>
      </c>
      <c r="AB43" s="829">
        <f t="shared" si="153"/>
        <v>3016</v>
      </c>
      <c r="AC43" s="827">
        <f t="shared" si="153"/>
        <v>3016</v>
      </c>
      <c r="AD43" s="829">
        <f t="shared" si="153"/>
        <v>3016</v>
      </c>
      <c r="AE43" s="829">
        <f t="shared" si="153"/>
        <v>3016</v>
      </c>
      <c r="AF43" s="829">
        <f t="shared" si="153"/>
        <v>2958</v>
      </c>
      <c r="AG43" s="827">
        <f t="shared" si="153"/>
        <v>2958</v>
      </c>
      <c r="AH43" s="829">
        <f t="shared" si="153"/>
        <v>3016</v>
      </c>
      <c r="AI43" s="829">
        <f t="shared" si="153"/>
        <v>3016</v>
      </c>
      <c r="AJ43" s="829">
        <f t="shared" si="153"/>
        <v>3016</v>
      </c>
      <c r="AK43" s="827">
        <f t="shared" si="153"/>
        <v>3016</v>
      </c>
      <c r="AL43" s="829">
        <f t="shared" si="153"/>
        <v>3016</v>
      </c>
      <c r="AM43" s="829">
        <f t="shared" si="153"/>
        <v>2958</v>
      </c>
      <c r="AN43" s="829">
        <f t="shared" si="153"/>
        <v>2900</v>
      </c>
      <c r="AO43" s="827">
        <f t="shared" si="153"/>
        <v>2900</v>
      </c>
      <c r="AP43" s="829">
        <f t="shared" si="153"/>
        <v>2842</v>
      </c>
      <c r="AQ43" s="829">
        <f t="shared" si="153"/>
        <v>2842</v>
      </c>
      <c r="AR43" s="829">
        <f t="shared" si="153"/>
        <v>2784</v>
      </c>
      <c r="AS43" s="470">
        <f t="shared" si="153"/>
        <v>2784</v>
      </c>
      <c r="AT43" s="829">
        <f t="shared" ref="AT43:BY43" si="154">AT16*58</f>
        <v>2784</v>
      </c>
      <c r="AU43" s="829">
        <f t="shared" si="154"/>
        <v>2726</v>
      </c>
      <c r="AV43" s="829">
        <f t="shared" si="154"/>
        <v>2784</v>
      </c>
      <c r="AW43" s="827">
        <f t="shared" si="154"/>
        <v>2726</v>
      </c>
      <c r="AX43" s="829">
        <f t="shared" si="154"/>
        <v>2668</v>
      </c>
      <c r="AY43" s="829">
        <f t="shared" si="154"/>
        <v>2668</v>
      </c>
      <c r="AZ43" s="829">
        <f t="shared" si="154"/>
        <v>2726</v>
      </c>
      <c r="BA43" s="827">
        <f t="shared" si="154"/>
        <v>2726</v>
      </c>
      <c r="BB43" s="829">
        <f t="shared" si="154"/>
        <v>2726</v>
      </c>
      <c r="BC43" s="829">
        <f t="shared" si="154"/>
        <v>2726</v>
      </c>
      <c r="BD43" s="829">
        <f t="shared" si="154"/>
        <v>2610</v>
      </c>
      <c r="BE43" s="827">
        <f t="shared" si="154"/>
        <v>2610</v>
      </c>
      <c r="BF43" s="829">
        <f t="shared" si="154"/>
        <v>2610</v>
      </c>
      <c r="BG43" s="830">
        <f t="shared" si="154"/>
        <v>2610</v>
      </c>
      <c r="BH43" s="830">
        <f t="shared" si="154"/>
        <v>2610</v>
      </c>
      <c r="BI43" s="828">
        <f t="shared" si="154"/>
        <v>2610</v>
      </c>
      <c r="BJ43" s="830">
        <f t="shared" si="154"/>
        <v>2610</v>
      </c>
      <c r="BK43" s="830">
        <f t="shared" si="154"/>
        <v>2610</v>
      </c>
      <c r="BL43" s="830">
        <f t="shared" si="154"/>
        <v>2610</v>
      </c>
      <c r="BM43" s="828">
        <f t="shared" si="154"/>
        <v>2610</v>
      </c>
      <c r="BN43" s="830">
        <f t="shared" si="154"/>
        <v>2610</v>
      </c>
      <c r="BO43" s="830">
        <f t="shared" si="154"/>
        <v>2610</v>
      </c>
      <c r="BP43" s="830">
        <f t="shared" si="154"/>
        <v>2610</v>
      </c>
      <c r="BQ43" s="828">
        <f t="shared" si="154"/>
        <v>2610</v>
      </c>
      <c r="BR43" s="830">
        <f t="shared" si="154"/>
        <v>2610</v>
      </c>
      <c r="BS43" s="830">
        <f t="shared" si="154"/>
        <v>2610</v>
      </c>
      <c r="BT43" s="830">
        <f t="shared" si="154"/>
        <v>2610</v>
      </c>
      <c r="BU43" s="828">
        <f t="shared" si="154"/>
        <v>2610</v>
      </c>
      <c r="BV43" s="830">
        <f t="shared" si="154"/>
        <v>2610</v>
      </c>
      <c r="BW43" s="830">
        <f t="shared" si="154"/>
        <v>2610</v>
      </c>
      <c r="BX43" s="830">
        <f t="shared" si="154"/>
        <v>2610</v>
      </c>
      <c r="BY43" s="828">
        <f t="shared" si="154"/>
        <v>2494</v>
      </c>
      <c r="BZ43" s="830"/>
      <c r="CA43" s="830"/>
      <c r="CB43" s="830"/>
      <c r="CC43" s="828"/>
      <c r="CD43" s="830"/>
      <c r="CE43" s="830"/>
      <c r="CF43" s="830"/>
      <c r="CG43" s="828"/>
      <c r="CH43" s="830">
        <f>CH16*58</f>
        <v>2494</v>
      </c>
      <c r="CI43" s="830">
        <f>CI16*58</f>
        <v>2494</v>
      </c>
      <c r="CJ43" s="830">
        <f>CJ16*58</f>
        <v>2494</v>
      </c>
      <c r="CK43" s="828">
        <f>CK16*58</f>
        <v>2494</v>
      </c>
      <c r="CL43" s="830"/>
      <c r="CM43" s="830"/>
      <c r="CN43" s="830"/>
      <c r="CO43" s="828"/>
      <c r="CP43" s="830">
        <f t="shared" ref="CP43:DA43" si="155">CP16*58</f>
        <v>2494</v>
      </c>
      <c r="CQ43" s="830">
        <f t="shared" si="155"/>
        <v>2494</v>
      </c>
      <c r="CR43" s="830">
        <f t="shared" si="155"/>
        <v>2494</v>
      </c>
      <c r="CS43" s="828">
        <f t="shared" si="155"/>
        <v>2494</v>
      </c>
      <c r="CT43" s="830">
        <f t="shared" si="155"/>
        <v>2494</v>
      </c>
      <c r="CU43" s="830">
        <f t="shared" si="155"/>
        <v>2494</v>
      </c>
      <c r="CV43" s="830">
        <f t="shared" si="155"/>
        <v>2436</v>
      </c>
      <c r="CW43" s="828">
        <f t="shared" si="155"/>
        <v>2320</v>
      </c>
      <c r="CX43" s="1975">
        <f t="shared" si="155"/>
        <v>0</v>
      </c>
      <c r="CY43" s="1975">
        <f t="shared" si="155"/>
        <v>0</v>
      </c>
      <c r="CZ43" s="1975">
        <f t="shared" si="155"/>
        <v>0</v>
      </c>
      <c r="DA43" s="1976">
        <f t="shared" si="155"/>
        <v>0</v>
      </c>
      <c r="DB43" s="1975">
        <f>DB16*58</f>
        <v>0</v>
      </c>
      <c r="DC43" s="1975">
        <f>DC16*58</f>
        <v>0</v>
      </c>
      <c r="DD43" s="1966">
        <f>DD16*58</f>
        <v>0</v>
      </c>
      <c r="DE43" s="1976">
        <f>DE16*58</f>
        <v>0</v>
      </c>
      <c r="DF43" s="1975"/>
      <c r="DG43" s="1975"/>
      <c r="DH43" s="1975"/>
      <c r="DI43" s="1976"/>
      <c r="DJ43" s="2723"/>
      <c r="DK43" s="1975"/>
      <c r="DL43" s="1975"/>
      <c r="DM43" s="1976"/>
      <c r="DN43" s="1966"/>
      <c r="DO43" s="1962"/>
      <c r="DP43" s="1960"/>
      <c r="DQ43" s="1960"/>
      <c r="DR43" s="1984">
        <f t="shared" ref="DR43:DZ43" si="156">DR16*58</f>
        <v>0</v>
      </c>
      <c r="DS43" s="1984">
        <f t="shared" si="156"/>
        <v>0</v>
      </c>
      <c r="DT43" s="1984">
        <f t="shared" si="156"/>
        <v>0</v>
      </c>
      <c r="DU43" s="1984">
        <f t="shared" si="156"/>
        <v>0</v>
      </c>
      <c r="DV43" s="1984">
        <f t="shared" si="156"/>
        <v>0</v>
      </c>
      <c r="DW43" s="1984">
        <f t="shared" si="156"/>
        <v>0</v>
      </c>
      <c r="DX43" s="1984">
        <f t="shared" si="156"/>
        <v>0</v>
      </c>
      <c r="DY43" s="1984">
        <f t="shared" si="156"/>
        <v>812</v>
      </c>
      <c r="DZ43" s="1984">
        <f t="shared" si="156"/>
        <v>2436</v>
      </c>
      <c r="EA43" s="1984">
        <f>Q43</f>
        <v>3016</v>
      </c>
      <c r="EB43" s="1984">
        <f>U43</f>
        <v>3016</v>
      </c>
      <c r="EC43" s="1984">
        <f>Y43</f>
        <v>3016</v>
      </c>
      <c r="ED43" s="1984">
        <f>AC43</f>
        <v>3016</v>
      </c>
      <c r="EE43" s="1984">
        <f>AG43</f>
        <v>2958</v>
      </c>
      <c r="EF43" s="1984">
        <f>AK43</f>
        <v>3016</v>
      </c>
      <c r="EG43" s="1984">
        <f>AO43</f>
        <v>2900</v>
      </c>
      <c r="EH43" s="1984">
        <f>AS43</f>
        <v>2784</v>
      </c>
      <c r="EI43" s="1984">
        <f t="shared" si="134"/>
        <v>2726</v>
      </c>
      <c r="EJ43" s="1984">
        <f t="shared" si="135"/>
        <v>2726</v>
      </c>
      <c r="EK43" s="1984">
        <f t="shared" si="136"/>
        <v>2610</v>
      </c>
      <c r="EL43" s="1984">
        <f>EL16*58</f>
        <v>2610</v>
      </c>
      <c r="EM43" s="1975">
        <f>EM16*58</f>
        <v>2610</v>
      </c>
      <c r="EN43" s="1975">
        <f>EN16*58</f>
        <v>2610</v>
      </c>
      <c r="EO43" s="1984">
        <f>EO16*58</f>
        <v>2610</v>
      </c>
      <c r="EP43" s="1984">
        <f>EP16*58</f>
        <v>2494</v>
      </c>
      <c r="EQ43" s="1984"/>
      <c r="ER43" s="1984"/>
      <c r="ES43" s="1984">
        <f>ES16*58</f>
        <v>2494</v>
      </c>
      <c r="ET43" s="1984"/>
      <c r="EU43" s="1984">
        <f>EU16*58</f>
        <v>2494</v>
      </c>
      <c r="EV43" s="1984">
        <f>EV16*58</f>
        <v>2494</v>
      </c>
      <c r="EW43" s="1984">
        <f>EW16*58</f>
        <v>2494</v>
      </c>
      <c r="EX43" s="1959"/>
      <c r="EY43" s="1959"/>
      <c r="EZ43" s="1968"/>
      <c r="FA43" s="1984"/>
      <c r="FB43" s="1984"/>
      <c r="FC43" s="1984"/>
      <c r="FD43" s="1984"/>
      <c r="FE43" s="1984"/>
      <c r="FF43" s="1984"/>
      <c r="FG43" s="1984"/>
      <c r="FH43" s="1984"/>
      <c r="FI43" s="1985"/>
      <c r="FJ43"/>
      <c r="FK43"/>
      <c r="FL43"/>
      <c r="FM43"/>
      <c r="FN43"/>
      <c r="FO43"/>
      <c r="FP43" s="1964"/>
      <c r="FS43" s="1161"/>
      <c r="FT43" s="1161"/>
      <c r="FU43"/>
      <c r="FV43"/>
      <c r="FW43" s="1975"/>
      <c r="FX43" s="1975"/>
      <c r="FY43" s="1975"/>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row>
    <row r="44" spans="1:260" s="4" customFormat="1" ht="11.25" hidden="1" customHeight="1" outlineLevel="2" x14ac:dyDescent="0.2">
      <c r="A44" s="760" t="s">
        <v>78</v>
      </c>
      <c r="B44" s="41"/>
      <c r="C44" s="41"/>
      <c r="D44" s="41"/>
      <c r="E44" s="820"/>
      <c r="F44" s="41"/>
      <c r="G44" s="41"/>
      <c r="H44" s="41"/>
      <c r="I44" s="820"/>
      <c r="J44" s="41"/>
      <c r="K44" s="41"/>
      <c r="L44" s="41"/>
      <c r="M44" s="820"/>
      <c r="N44" s="41">
        <f t="shared" ref="N44:BI44" si="157">SUM(N38:N43)</f>
        <v>10940</v>
      </c>
      <c r="O44" s="41">
        <f t="shared" si="157"/>
        <v>11118</v>
      </c>
      <c r="P44" s="41">
        <f t="shared" si="157"/>
        <v>11683</v>
      </c>
      <c r="Q44" s="820">
        <f t="shared" si="157"/>
        <v>11692</v>
      </c>
      <c r="R44" s="41">
        <f t="shared" si="157"/>
        <v>11816</v>
      </c>
      <c r="S44" s="41">
        <f t="shared" si="157"/>
        <v>12103</v>
      </c>
      <c r="T44" s="41">
        <f t="shared" si="157"/>
        <v>12362</v>
      </c>
      <c r="U44" s="820">
        <f t="shared" si="157"/>
        <v>12334</v>
      </c>
      <c r="V44" s="41">
        <f t="shared" si="157"/>
        <v>12559</v>
      </c>
      <c r="W44" s="41">
        <f t="shared" si="157"/>
        <v>12567</v>
      </c>
      <c r="X44" s="41">
        <f t="shared" si="157"/>
        <v>13662</v>
      </c>
      <c r="Y44" s="820">
        <f t="shared" si="157"/>
        <v>13634</v>
      </c>
      <c r="Z44" s="41">
        <f t="shared" si="157"/>
        <v>13749</v>
      </c>
      <c r="AA44" s="41">
        <f t="shared" si="157"/>
        <v>14576</v>
      </c>
      <c r="AB44" s="41">
        <f t="shared" si="157"/>
        <v>15683</v>
      </c>
      <c r="AC44" s="820">
        <f t="shared" si="157"/>
        <v>15773</v>
      </c>
      <c r="AD44" s="41">
        <f t="shared" si="157"/>
        <v>15961</v>
      </c>
      <c r="AE44" s="41">
        <f t="shared" si="157"/>
        <v>16411</v>
      </c>
      <c r="AF44" s="41">
        <f t="shared" si="157"/>
        <v>18247</v>
      </c>
      <c r="AG44" s="820">
        <f t="shared" si="157"/>
        <v>18496</v>
      </c>
      <c r="AH44" s="41">
        <f t="shared" si="157"/>
        <v>18935</v>
      </c>
      <c r="AI44" s="41">
        <f t="shared" si="157"/>
        <v>19342</v>
      </c>
      <c r="AJ44" s="41">
        <f t="shared" si="157"/>
        <v>20962</v>
      </c>
      <c r="AK44" s="820">
        <f t="shared" si="157"/>
        <v>21123</v>
      </c>
      <c r="AL44" s="41">
        <f t="shared" si="157"/>
        <v>21569</v>
      </c>
      <c r="AM44" s="41">
        <f t="shared" si="157"/>
        <v>22415</v>
      </c>
      <c r="AN44" s="41">
        <f t="shared" si="157"/>
        <v>23599</v>
      </c>
      <c r="AO44" s="820">
        <f t="shared" si="157"/>
        <v>23659</v>
      </c>
      <c r="AP44" s="41">
        <f t="shared" si="157"/>
        <v>23790</v>
      </c>
      <c r="AQ44" s="41">
        <f t="shared" si="157"/>
        <v>24257</v>
      </c>
      <c r="AR44" s="41">
        <f t="shared" si="157"/>
        <v>25483</v>
      </c>
      <c r="AS44" s="470">
        <f t="shared" si="157"/>
        <v>25773</v>
      </c>
      <c r="AT44" s="41">
        <f t="shared" si="157"/>
        <v>26093</v>
      </c>
      <c r="AU44" s="41">
        <f t="shared" si="157"/>
        <v>26370</v>
      </c>
      <c r="AV44" s="41">
        <f t="shared" si="157"/>
        <v>27275</v>
      </c>
      <c r="AW44" s="820">
        <f t="shared" si="157"/>
        <v>27537</v>
      </c>
      <c r="AX44" s="41">
        <f t="shared" si="157"/>
        <v>27868</v>
      </c>
      <c r="AY44" s="41">
        <f t="shared" si="157"/>
        <v>28322</v>
      </c>
      <c r="AZ44" s="41">
        <f t="shared" si="157"/>
        <v>29577</v>
      </c>
      <c r="BA44" s="820">
        <f t="shared" si="157"/>
        <v>29837</v>
      </c>
      <c r="BB44" s="41">
        <f t="shared" si="157"/>
        <v>30232</v>
      </c>
      <c r="BC44" s="41">
        <f t="shared" si="157"/>
        <v>30757</v>
      </c>
      <c r="BD44" s="41">
        <f t="shared" si="157"/>
        <v>32135</v>
      </c>
      <c r="BE44" s="820">
        <f t="shared" si="157"/>
        <v>32465</v>
      </c>
      <c r="BF44" s="41">
        <f t="shared" si="157"/>
        <v>33367</v>
      </c>
      <c r="BG44" s="821">
        <f t="shared" si="157"/>
        <v>34071</v>
      </c>
      <c r="BH44" s="821">
        <f t="shared" si="157"/>
        <v>35584</v>
      </c>
      <c r="BI44" s="822">
        <f t="shared" si="157"/>
        <v>35784</v>
      </c>
      <c r="BJ44" s="821">
        <f>EL45+BJ20*20+BJ21*28+BJ22*30+BJ23*36+BJ24*45+BJ25*58</f>
        <v>37536</v>
      </c>
      <c r="BK44" s="821">
        <f>BJ45+BK20*20+BK21*28+BK22*30+BK23*36+BK24*45+BK25*58</f>
        <v>38326</v>
      </c>
      <c r="BL44" s="821">
        <f>BK45+BL20*20+BL21*28+BL22*30+BL23*36+BL24*45+BL25*58</f>
        <v>39441</v>
      </c>
      <c r="BM44" s="822">
        <f>BL45+BM20*20+BM21*28+BM22*30+BM23*36+BM24*45+BM25*58</f>
        <v>39853</v>
      </c>
      <c r="BN44" s="821">
        <f>EM45+BN20*20+BN21*28+BN22*30+BN23*36+BN24*45+BN25*58</f>
        <v>40146</v>
      </c>
      <c r="BO44" s="821">
        <f>BN45+BO20*20+BO21*28+BO22*30+BO23*36+BO24*45+BO25*58</f>
        <v>40494</v>
      </c>
      <c r="BP44" s="821">
        <f>BO45+BP20*20+BP21*28+BP22*30+BP23*36+BP24*45+BP25*58</f>
        <v>41329</v>
      </c>
      <c r="BQ44" s="822">
        <f>BP45+BQ20*20+BQ21*28+BQ22*30+BQ23*36+BQ24*45+BQ25*58</f>
        <v>41356</v>
      </c>
      <c r="BR44" s="821">
        <f>EN45+BR20*20+BR21*28+BR22*30+BR23*36+BR24*45+BR25*58</f>
        <v>41684</v>
      </c>
      <c r="BS44" s="821">
        <f>BR45+BS20*20+BS21*28+BS22*30+BS23*36+BS24*45+BS25*58</f>
        <v>42065</v>
      </c>
      <c r="BT44" s="821">
        <f>BS45+BT20*20+BT21*28+BT22*30+BT23*36+BT24*45+BT25*58</f>
        <v>42336</v>
      </c>
      <c r="BU44" s="822">
        <f>BT45+BU20*20+BU21*28+BU22*30+BU23*36+BU24*45+BU25*58</f>
        <v>42388</v>
      </c>
      <c r="BV44" s="821">
        <f>EO45+BV20*20+BV21*28+BV22*30+BV23*36+BV24*45+BV25*58</f>
        <v>42499</v>
      </c>
      <c r="BW44" s="821">
        <f>BV44+BW20*20+BW21*28+BW22*30+BW23*36+BW24*45+BW25*58</f>
        <v>42610</v>
      </c>
      <c r="BX44" s="821">
        <f>BW44+BX20*20+BX21*28+BX22*30+BX23*36+BX24*45+BX25*58</f>
        <v>42595</v>
      </c>
      <c r="BY44" s="822">
        <f>BX44+BY20*20+BY21*28+BY22*30+BY23*36+BY24*45+BY25*58</f>
        <v>42468</v>
      </c>
      <c r="BZ44" s="821"/>
      <c r="CA44" s="821"/>
      <c r="CB44" s="821"/>
      <c r="CC44" s="822"/>
      <c r="CD44" s="821"/>
      <c r="CE44" s="821"/>
      <c r="CF44" s="821"/>
      <c r="CG44" s="822"/>
      <c r="CH44" s="821">
        <f>EP45+CH20*20+CH21*28+CH22*30+CH23*36+CH24*45+CH25*58</f>
        <v>42413</v>
      </c>
      <c r="CI44" s="821">
        <f>CH44+CI20*20+CI21*28+CI22*30+CI23*36+CI24*45+CI25*58</f>
        <v>41045</v>
      </c>
      <c r="CJ44" s="821">
        <f>CI44+CJ20*20+CJ21*28+CJ22*30+CJ23*36+CJ24*45+CJ25*58</f>
        <v>40822</v>
      </c>
      <c r="CK44" s="822">
        <f>CJ44+CK20*20+CK21*28+CK22*30+CK23*36+CK24*45+CK25*58</f>
        <v>40822</v>
      </c>
      <c r="CL44" s="821"/>
      <c r="CM44" s="821"/>
      <c r="CN44" s="821"/>
      <c r="CO44" s="822"/>
      <c r="CP44" s="821">
        <f>CK44+CP20*20+CP21*28+CP22*30+CP23*36+CP24*45+CP25*58</f>
        <v>40777</v>
      </c>
      <c r="CQ44" s="821">
        <f>CP44+CQ20*20+CQ21*28+CQ22*30+CQ23*36+CQ24*45+CQ25*58</f>
        <v>40777</v>
      </c>
      <c r="CR44" s="821">
        <f>CQ44+CR20*20+CR21*28+CR22*30+CR23*36+CR24*45+CR25*58</f>
        <v>40777</v>
      </c>
      <c r="CS44" s="822">
        <f>CR44+CS20*20+CS21*28+CS22*30+CS23*36+CS24*45+CS25*58</f>
        <v>40777</v>
      </c>
      <c r="CT44" s="821">
        <f>CS45+CT20*20+CT21*28+CT22*30+CT23*36+CT24*45+CT25*58</f>
        <v>40550</v>
      </c>
      <c r="CU44" s="821">
        <f t="shared" ref="CU44:DE44" si="158">CT44+CU20*20+CU21*28+CU22*30+CU23*36+CU24*45+CU25*58</f>
        <v>40550</v>
      </c>
      <c r="CV44" s="821">
        <f t="shared" si="158"/>
        <v>40505</v>
      </c>
      <c r="CW44" s="822">
        <f t="shared" si="158"/>
        <v>40505</v>
      </c>
      <c r="CX44" s="1959">
        <f t="shared" si="158"/>
        <v>40505</v>
      </c>
      <c r="CY44" s="1959">
        <f t="shared" si="158"/>
        <v>40505</v>
      </c>
      <c r="CZ44" s="1959">
        <f t="shared" si="158"/>
        <v>40505</v>
      </c>
      <c r="DA44" s="1962">
        <f t="shared" si="158"/>
        <v>40505</v>
      </c>
      <c r="DB44" s="1959">
        <f t="shared" si="158"/>
        <v>40505</v>
      </c>
      <c r="DC44" s="1959">
        <f t="shared" si="158"/>
        <v>40505</v>
      </c>
      <c r="DD44" s="1959">
        <f t="shared" si="158"/>
        <v>40505</v>
      </c>
      <c r="DE44" s="1962">
        <f t="shared" si="158"/>
        <v>40505</v>
      </c>
      <c r="DF44" s="1966"/>
      <c r="DG44" s="1966"/>
      <c r="DH44" s="1966"/>
      <c r="DI44" s="1962"/>
      <c r="DJ44" s="1963"/>
      <c r="DK44" s="1966"/>
      <c r="DL44" s="1966"/>
      <c r="DM44" s="1962"/>
      <c r="DN44" s="2016"/>
      <c r="DO44" s="2017"/>
      <c r="DP44" s="1967"/>
      <c r="DQ44" s="1967"/>
      <c r="DR44" s="1967">
        <f t="shared" ref="DR44:DZ44" si="159">SUM(DR39:DR43)</f>
        <v>1120</v>
      </c>
      <c r="DS44" s="1967">
        <f t="shared" si="159"/>
        <v>1148</v>
      </c>
      <c r="DT44" s="1967">
        <f t="shared" si="159"/>
        <v>1372</v>
      </c>
      <c r="DU44" s="1967">
        <f t="shared" si="159"/>
        <v>1568</v>
      </c>
      <c r="DV44" s="1967">
        <f t="shared" si="159"/>
        <v>2044</v>
      </c>
      <c r="DW44" s="1967">
        <f t="shared" si="159"/>
        <v>3420</v>
      </c>
      <c r="DX44" s="1967">
        <f t="shared" si="159"/>
        <v>5155</v>
      </c>
      <c r="DY44" s="1967">
        <f t="shared" si="159"/>
        <v>7791</v>
      </c>
      <c r="DZ44" s="1967">
        <f t="shared" si="159"/>
        <v>10480</v>
      </c>
      <c r="EA44" s="1967">
        <f t="shared" ref="EA44:EH44" si="160">SUM(EA38:EA43)</f>
        <v>11692</v>
      </c>
      <c r="EB44" s="1967">
        <f t="shared" si="160"/>
        <v>12334</v>
      </c>
      <c r="EC44" s="1967">
        <f t="shared" si="160"/>
        <v>13634</v>
      </c>
      <c r="ED44" s="1967">
        <f t="shared" si="160"/>
        <v>15773</v>
      </c>
      <c r="EE44" s="1967">
        <f t="shared" si="160"/>
        <v>18496</v>
      </c>
      <c r="EF44" s="1967">
        <f t="shared" si="160"/>
        <v>21123</v>
      </c>
      <c r="EG44" s="1967">
        <f t="shared" si="160"/>
        <v>23659</v>
      </c>
      <c r="EH44" s="1967">
        <f t="shared" si="160"/>
        <v>25773</v>
      </c>
      <c r="EI44" s="1967">
        <f t="shared" si="134"/>
        <v>27537</v>
      </c>
      <c r="EJ44" s="1967">
        <f t="shared" si="135"/>
        <v>29837</v>
      </c>
      <c r="EK44" s="1967">
        <f t="shared" si="136"/>
        <v>32465</v>
      </c>
      <c r="EL44" s="1967">
        <f>SUM(EL38:EL43)</f>
        <v>35784</v>
      </c>
      <c r="EM44" s="1967">
        <f>SUM(EM38:EM43)</f>
        <v>38906</v>
      </c>
      <c r="EN44" s="1967">
        <f>BQ44</f>
        <v>41356</v>
      </c>
      <c r="EO44" s="1967">
        <f>BU44</f>
        <v>42388</v>
      </c>
      <c r="EP44" s="1967">
        <f>BY44</f>
        <v>42468</v>
      </c>
      <c r="EQ44" s="1967"/>
      <c r="ER44" s="1967"/>
      <c r="ES44" s="1967">
        <f>CK44</f>
        <v>40822</v>
      </c>
      <c r="ET44" s="1967"/>
      <c r="EU44" s="1967">
        <f>CS44</f>
        <v>40777</v>
      </c>
      <c r="EV44" s="1967">
        <f>CT44</f>
        <v>40550</v>
      </c>
      <c r="EW44" s="1967">
        <f>CU44</f>
        <v>40550</v>
      </c>
      <c r="EX44" s="1959"/>
      <c r="EY44" s="1959"/>
      <c r="EZ44" s="1968"/>
      <c r="FA44" s="1959"/>
      <c r="FB44" s="1959"/>
      <c r="FC44" s="1959"/>
      <c r="FD44" s="1959"/>
      <c r="FE44" s="1966"/>
      <c r="FF44" s="1966"/>
      <c r="FG44" s="1966"/>
      <c r="FH44" s="1966"/>
      <c r="FI44" s="1969"/>
      <c r="FJ44"/>
      <c r="FK44"/>
      <c r="FL44"/>
      <c r="FM44"/>
      <c r="FN44"/>
      <c r="FO44"/>
      <c r="FP44" s="1964"/>
      <c r="FS44" s="428"/>
      <c r="FT44" s="428"/>
      <c r="FU44"/>
      <c r="FV44"/>
      <c r="FW44" s="1966"/>
      <c r="FX44" s="1966"/>
      <c r="FY44" s="1966"/>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row>
    <row r="45" spans="1:260" s="4" customFormat="1" ht="11.25" hidden="1" customHeight="1" outlineLevel="1" collapsed="1" x14ac:dyDescent="0.2">
      <c r="A45" s="2061" t="s">
        <v>77</v>
      </c>
      <c r="B45" s="831"/>
      <c r="C45" s="831"/>
      <c r="D45" s="831"/>
      <c r="E45" s="832"/>
      <c r="F45" s="831"/>
      <c r="G45" s="831"/>
      <c r="H45" s="831"/>
      <c r="I45" s="832"/>
      <c r="J45" s="831"/>
      <c r="K45" s="831"/>
      <c r="L45" s="831"/>
      <c r="M45" s="832"/>
      <c r="N45" s="831"/>
      <c r="O45" s="831"/>
      <c r="P45" s="831"/>
      <c r="Q45" s="832"/>
      <c r="R45" s="831"/>
      <c r="S45" s="831"/>
      <c r="T45" s="831"/>
      <c r="U45" s="832"/>
      <c r="V45" s="831"/>
      <c r="W45" s="831"/>
      <c r="X45" s="831"/>
      <c r="Y45" s="832"/>
      <c r="Z45" s="831"/>
      <c r="AA45" s="831"/>
      <c r="AB45" s="831"/>
      <c r="AC45" s="832"/>
      <c r="AD45" s="831"/>
      <c r="AE45" s="831"/>
      <c r="AF45" s="831"/>
      <c r="AG45" s="832"/>
      <c r="AH45" s="831">
        <v>19389</v>
      </c>
      <c r="AI45" s="831">
        <v>19812</v>
      </c>
      <c r="AJ45" s="831">
        <v>21435</v>
      </c>
      <c r="AK45" s="832">
        <v>21599</v>
      </c>
      <c r="AL45" s="831">
        <v>22061</v>
      </c>
      <c r="AM45" s="831">
        <v>22950</v>
      </c>
      <c r="AN45" s="831">
        <v>24169</v>
      </c>
      <c r="AO45" s="832">
        <v>24243</v>
      </c>
      <c r="AP45" s="831">
        <v>24408</v>
      </c>
      <c r="AQ45" s="831">
        <v>24896</v>
      </c>
      <c r="AR45" s="831">
        <v>26131</v>
      </c>
      <c r="AS45" s="470">
        <v>26421</v>
      </c>
      <c r="AT45" s="831">
        <v>26768</v>
      </c>
      <c r="AU45" s="831">
        <v>27045</v>
      </c>
      <c r="AV45" s="831">
        <v>27949</v>
      </c>
      <c r="AW45" s="832">
        <v>28260</v>
      </c>
      <c r="AX45" s="831">
        <v>28610</v>
      </c>
      <c r="AY45" s="831">
        <v>29078</v>
      </c>
      <c r="AZ45" s="831">
        <v>30339</v>
      </c>
      <c r="BA45" s="832">
        <v>30610</v>
      </c>
      <c r="BB45" s="831">
        <v>31015</v>
      </c>
      <c r="BC45" s="831">
        <v>31559</v>
      </c>
      <c r="BD45" s="831">
        <v>32969</v>
      </c>
      <c r="BE45" s="832">
        <v>33319</v>
      </c>
      <c r="BF45" s="831">
        <v>34204</v>
      </c>
      <c r="BG45" s="833">
        <v>34960</v>
      </c>
      <c r="BH45" s="833">
        <v>36467</v>
      </c>
      <c r="BI45" s="834">
        <v>36686</v>
      </c>
      <c r="BJ45" s="833">
        <v>37541</v>
      </c>
      <c r="BK45" s="833">
        <v>38337</v>
      </c>
      <c r="BL45" s="833">
        <v>39470</v>
      </c>
      <c r="BM45" s="834">
        <v>39856</v>
      </c>
      <c r="BN45" s="833">
        <v>40124</v>
      </c>
      <c r="BO45" s="833">
        <v>40536</v>
      </c>
      <c r="BP45" s="833">
        <v>41341</v>
      </c>
      <c r="BQ45" s="834">
        <v>41334</v>
      </c>
      <c r="BR45" s="833">
        <v>41737</v>
      </c>
      <c r="BS45" s="833">
        <v>42066</v>
      </c>
      <c r="BT45" s="833">
        <v>42388</v>
      </c>
      <c r="BU45" s="834">
        <v>42388</v>
      </c>
      <c r="BV45" s="833">
        <v>42505</v>
      </c>
      <c r="BW45" s="833">
        <v>42562</v>
      </c>
      <c r="BX45" s="833">
        <v>42543</v>
      </c>
      <c r="BY45" s="834">
        <v>42413</v>
      </c>
      <c r="BZ45" s="833"/>
      <c r="CA45" s="833"/>
      <c r="CB45" s="833"/>
      <c r="CC45" s="834"/>
      <c r="CD45" s="833"/>
      <c r="CE45" s="833"/>
      <c r="CF45" s="833"/>
      <c r="CG45" s="834"/>
      <c r="CH45" s="833">
        <v>42413</v>
      </c>
      <c r="CI45" s="833">
        <v>40978</v>
      </c>
      <c r="CJ45" s="833">
        <v>40722</v>
      </c>
      <c r="CK45" s="834">
        <v>40704</v>
      </c>
      <c r="CL45" s="833"/>
      <c r="CM45" s="833"/>
      <c r="CN45" s="833"/>
      <c r="CO45" s="834"/>
      <c r="CP45" s="833">
        <v>40664</v>
      </c>
      <c r="CQ45" s="833">
        <v>40659</v>
      </c>
      <c r="CR45" s="833">
        <v>40640</v>
      </c>
      <c r="CS45" s="834">
        <v>40640</v>
      </c>
      <c r="CT45" s="833">
        <v>40539</v>
      </c>
      <c r="CU45" s="833">
        <v>40524</v>
      </c>
      <c r="CV45" s="833">
        <v>40494</v>
      </c>
      <c r="CW45" s="834">
        <v>40426</v>
      </c>
      <c r="CX45" s="2018">
        <v>40409</v>
      </c>
      <c r="CY45" s="2018">
        <v>40354</v>
      </c>
      <c r="CZ45" s="2018">
        <v>40352</v>
      </c>
      <c r="DA45" s="2019">
        <v>39999</v>
      </c>
      <c r="DB45" s="2018">
        <v>39954</v>
      </c>
      <c r="DC45" s="2018">
        <v>39919</v>
      </c>
      <c r="DD45" s="2018">
        <v>39662</v>
      </c>
      <c r="DE45" s="2019">
        <v>39662</v>
      </c>
      <c r="DF45" s="2018">
        <v>39605</v>
      </c>
      <c r="DG45" s="2018">
        <v>39606</v>
      </c>
      <c r="DH45" s="2018">
        <v>39072</v>
      </c>
      <c r="DI45" s="2019">
        <v>39082</v>
      </c>
      <c r="DJ45" s="2020">
        <f>+IFERROR(DJ92-DJ80-DJ73-DJ66-DJ59,"NA")</f>
        <v>38633</v>
      </c>
      <c r="DK45" s="2021">
        <f t="shared" ref="DK45" si="161">+IFERROR(DK92-DK80-DK73-DK66-DK59,"NA")</f>
        <v>38516.339999999997</v>
      </c>
      <c r="DL45" s="2021">
        <f t="shared" ref="DL45:DM45" si="162">+IFERROR(DL92-DL80-DL73-DL66-DL59,"NA")</f>
        <v>38399.989168000007</v>
      </c>
      <c r="DM45" s="2022">
        <f t="shared" si="162"/>
        <v>38459.883868540004</v>
      </c>
      <c r="DN45" s="1966"/>
      <c r="DO45" s="1962"/>
      <c r="DP45" s="2023"/>
      <c r="DQ45" s="2023"/>
      <c r="DR45" s="2023"/>
      <c r="DS45" s="2023"/>
      <c r="DT45" s="2023"/>
      <c r="DU45" s="2023"/>
      <c r="DV45" s="2023"/>
      <c r="DW45" s="2023"/>
      <c r="DX45" s="2023"/>
      <c r="DY45" s="2023"/>
      <c r="DZ45" s="2023"/>
      <c r="EA45" s="2023"/>
      <c r="EB45" s="2023"/>
      <c r="EC45" s="2023"/>
      <c r="ED45" s="2023"/>
      <c r="EE45" s="2023"/>
      <c r="EF45" s="2023">
        <f>AK45</f>
        <v>21599</v>
      </c>
      <c r="EG45" s="2023">
        <f>AO45</f>
        <v>24243</v>
      </c>
      <c r="EH45" s="2023">
        <f>AS45</f>
        <v>26421</v>
      </c>
      <c r="EI45" s="2023">
        <f t="shared" si="134"/>
        <v>28260</v>
      </c>
      <c r="EJ45" s="2023">
        <f t="shared" si="135"/>
        <v>30610</v>
      </c>
      <c r="EK45" s="2024">
        <v>33319</v>
      </c>
      <c r="EL45" s="2021">
        <f>BI45</f>
        <v>36686</v>
      </c>
      <c r="EM45" s="2021">
        <f>BM45</f>
        <v>39856</v>
      </c>
      <c r="EN45" s="2021">
        <f>BQ45</f>
        <v>41334</v>
      </c>
      <c r="EO45" s="2021">
        <f>BU45</f>
        <v>42388</v>
      </c>
      <c r="EP45" s="2021">
        <f>BY45</f>
        <v>42413</v>
      </c>
      <c r="EQ45" s="2021"/>
      <c r="ER45" s="2021"/>
      <c r="ES45" s="2021">
        <f>CK45</f>
        <v>40704</v>
      </c>
      <c r="ET45" s="2021"/>
      <c r="EU45" s="2021">
        <f>CS45</f>
        <v>40640</v>
      </c>
      <c r="EV45" s="2021">
        <f>+CW45</f>
        <v>40426</v>
      </c>
      <c r="EW45" s="2021">
        <f>CU45</f>
        <v>40524</v>
      </c>
      <c r="EX45" s="2021">
        <f>+DE45</f>
        <v>39662</v>
      </c>
      <c r="EY45" s="2021">
        <f>+DI45</f>
        <v>39082</v>
      </c>
      <c r="EZ45" s="2020">
        <f>+DM45</f>
        <v>38459.883868540004</v>
      </c>
      <c r="FA45" s="2021" t="str">
        <f>+IFERROR(FA92-FA80-FA73-FA66-FA59,"NA")</f>
        <v>NA</v>
      </c>
      <c r="FB45" s="2021" t="str">
        <f t="shared" ref="FB45:FH45" si="163">+IFERROR(FB92-FB80-FB73-FB66-FB59,"NA")</f>
        <v>NA</v>
      </c>
      <c r="FC45" s="2021" t="str">
        <f t="shared" si="163"/>
        <v>NA</v>
      </c>
      <c r="FD45" s="2021" t="str">
        <f t="shared" si="163"/>
        <v>NA</v>
      </c>
      <c r="FE45" s="2021" t="str">
        <f t="shared" si="163"/>
        <v>NA</v>
      </c>
      <c r="FF45" s="2021" t="str">
        <f t="shared" si="163"/>
        <v>NA</v>
      </c>
      <c r="FG45" s="2021" t="str">
        <f t="shared" si="163"/>
        <v>NA</v>
      </c>
      <c r="FH45" s="2021" t="str">
        <f t="shared" si="163"/>
        <v>NA</v>
      </c>
      <c r="FI45" s="2025"/>
      <c r="FJ45"/>
      <c r="FK45"/>
      <c r="FL45"/>
      <c r="FM45"/>
      <c r="FN45"/>
      <c r="FO45"/>
      <c r="FP45" s="1964"/>
      <c r="FS45"/>
      <c r="FT45"/>
      <c r="FU45"/>
      <c r="FV45"/>
      <c r="FW45" s="2641"/>
      <c r="FX45" s="2641"/>
      <c r="FY45" s="2641"/>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row>
    <row r="46" spans="1:260" s="4" customFormat="1" ht="11.25" hidden="1" customHeight="1" outlineLevel="1" x14ac:dyDescent="0.2">
      <c r="A46" s="108" t="s">
        <v>556</v>
      </c>
      <c r="B46" s="111"/>
      <c r="C46" s="111"/>
      <c r="D46" s="111"/>
      <c r="E46" s="747"/>
      <c r="F46" s="111"/>
      <c r="G46" s="111"/>
      <c r="H46" s="111"/>
      <c r="I46" s="747"/>
      <c r="J46" s="111"/>
      <c r="K46" s="111"/>
      <c r="L46" s="111"/>
      <c r="M46" s="747"/>
      <c r="N46" s="111"/>
      <c r="O46" s="111"/>
      <c r="P46" s="111"/>
      <c r="Q46" s="747"/>
      <c r="R46" s="111"/>
      <c r="S46" s="111"/>
      <c r="T46" s="111"/>
      <c r="U46" s="747"/>
      <c r="V46" s="111"/>
      <c r="W46" s="111"/>
      <c r="X46" s="111"/>
      <c r="Y46" s="747"/>
      <c r="Z46" s="111"/>
      <c r="AA46" s="111"/>
      <c r="AB46" s="111"/>
      <c r="AC46" s="747"/>
      <c r="AD46" s="111"/>
      <c r="AE46" s="111"/>
      <c r="AF46" s="111"/>
      <c r="AG46" s="747"/>
      <c r="AH46" s="111"/>
      <c r="AI46" s="111"/>
      <c r="AJ46" s="111"/>
      <c r="AK46" s="747"/>
      <c r="AL46" s="111">
        <f t="shared" ref="AL46:BY46" si="164">AL45/AH45-1</f>
        <v>0.13781009850946413</v>
      </c>
      <c r="AM46" s="111">
        <f t="shared" si="164"/>
        <v>0.15838885523924895</v>
      </c>
      <c r="AN46" s="111">
        <f t="shared" si="164"/>
        <v>0.12754840214602292</v>
      </c>
      <c r="AO46" s="747">
        <f t="shared" si="164"/>
        <v>0.12241307467938323</v>
      </c>
      <c r="AP46" s="111">
        <f t="shared" si="164"/>
        <v>0.10638683649879876</v>
      </c>
      <c r="AQ46" s="111">
        <f t="shared" si="164"/>
        <v>8.4793028322440067E-2</v>
      </c>
      <c r="AR46" s="111">
        <f t="shared" si="164"/>
        <v>8.1178368985063587E-2</v>
      </c>
      <c r="AS46" s="470">
        <f t="shared" si="164"/>
        <v>8.9840366291300544E-2</v>
      </c>
      <c r="AT46" s="111">
        <f t="shared" si="164"/>
        <v>9.6689609963946266E-2</v>
      </c>
      <c r="AU46" s="111">
        <f t="shared" si="164"/>
        <v>8.631908740359906E-2</v>
      </c>
      <c r="AV46" s="111">
        <f t="shared" si="164"/>
        <v>6.9572538364394809E-2</v>
      </c>
      <c r="AW46" s="747">
        <f t="shared" si="164"/>
        <v>6.9603724310207893E-2</v>
      </c>
      <c r="AX46" s="111">
        <f t="shared" si="164"/>
        <v>6.8813508667065149E-2</v>
      </c>
      <c r="AY46" s="111">
        <f t="shared" si="164"/>
        <v>7.5171011277500366E-2</v>
      </c>
      <c r="AZ46" s="111">
        <f t="shared" si="164"/>
        <v>8.5512898493684819E-2</v>
      </c>
      <c r="BA46" s="747">
        <f t="shared" si="164"/>
        <v>8.3156404812455786E-2</v>
      </c>
      <c r="BB46" s="111">
        <f t="shared" si="164"/>
        <v>8.4061516952114612E-2</v>
      </c>
      <c r="BC46" s="111">
        <f t="shared" si="164"/>
        <v>8.5322236742554569E-2</v>
      </c>
      <c r="BD46" s="111">
        <f t="shared" si="164"/>
        <v>8.6687102409439998E-2</v>
      </c>
      <c r="BE46" s="747">
        <f t="shared" si="164"/>
        <v>8.8500490035936075E-2</v>
      </c>
      <c r="BF46" s="111">
        <f t="shared" si="164"/>
        <v>0.10282121554086743</v>
      </c>
      <c r="BG46" s="111">
        <f t="shared" si="164"/>
        <v>0.1077664057796508</v>
      </c>
      <c r="BH46" s="111">
        <f t="shared" si="164"/>
        <v>0.10609966938639337</v>
      </c>
      <c r="BI46" s="747">
        <f t="shared" si="164"/>
        <v>0.10105345298478352</v>
      </c>
      <c r="BJ46" s="111">
        <f t="shared" si="164"/>
        <v>9.7561688691381043E-2</v>
      </c>
      <c r="BK46" s="111">
        <f t="shared" si="164"/>
        <v>9.6596109839816924E-2</v>
      </c>
      <c r="BL46" s="111">
        <f t="shared" si="164"/>
        <v>8.2348424603065684E-2</v>
      </c>
      <c r="BM46" s="747">
        <f t="shared" si="164"/>
        <v>8.6408984353704366E-2</v>
      </c>
      <c r="BN46" s="111">
        <f t="shared" si="164"/>
        <v>6.8804773447697087E-2</v>
      </c>
      <c r="BO46" s="111">
        <f t="shared" si="164"/>
        <v>5.7359730808357545E-2</v>
      </c>
      <c r="BP46" s="111">
        <f t="shared" si="164"/>
        <v>4.7403090955155713E-2</v>
      </c>
      <c r="BQ46" s="747">
        <f t="shared" si="164"/>
        <v>3.7083500602167696E-2</v>
      </c>
      <c r="BR46" s="111">
        <f t="shared" si="164"/>
        <v>4.0200378825640426E-2</v>
      </c>
      <c r="BS46" s="111">
        <f t="shared" si="164"/>
        <v>3.7744227353463611E-2</v>
      </c>
      <c r="BT46" s="111">
        <f t="shared" si="164"/>
        <v>2.5325947606492427E-2</v>
      </c>
      <c r="BU46" s="747">
        <f t="shared" si="164"/>
        <v>2.5499588716310972E-2</v>
      </c>
      <c r="BV46" s="111">
        <f t="shared" si="164"/>
        <v>1.8400939214605838E-2</v>
      </c>
      <c r="BW46" s="111">
        <f t="shared" si="164"/>
        <v>1.1790995102933577E-2</v>
      </c>
      <c r="BX46" s="111">
        <f t="shared" si="164"/>
        <v>3.6566952911201156E-3</v>
      </c>
      <c r="BY46" s="747">
        <f t="shared" si="164"/>
        <v>5.8978956308397557E-4</v>
      </c>
      <c r="BZ46" s="111"/>
      <c r="CA46" s="111"/>
      <c r="CB46" s="111"/>
      <c r="CC46" s="747"/>
      <c r="CD46" s="111"/>
      <c r="CE46" s="111"/>
      <c r="CF46" s="111"/>
      <c r="CG46" s="747"/>
      <c r="CH46" s="111">
        <f>CH45/BV45-1</f>
        <v>-2.164451241030485E-3</v>
      </c>
      <c r="CI46" s="111">
        <f>CI45/BW45-1</f>
        <v>-3.72162962266811E-2</v>
      </c>
      <c r="CJ46" s="111">
        <f>CJ45/BX45-1</f>
        <v>-4.2803751498483922E-2</v>
      </c>
      <c r="CK46" s="747">
        <f>CK45/BY45-1</f>
        <v>-4.029424940466364E-2</v>
      </c>
      <c r="CL46" s="111"/>
      <c r="CM46" s="111"/>
      <c r="CN46" s="111"/>
      <c r="CO46" s="747"/>
      <c r="CP46" s="110">
        <f>CP45/CH45-1</f>
        <v>-4.1237356470893327E-2</v>
      </c>
      <c r="CQ46" s="111">
        <f>CQ45/CI45-1</f>
        <v>-7.7846649421641212E-3</v>
      </c>
      <c r="CR46" s="111">
        <f>CR45/CJ45-1</f>
        <v>-2.013653553361805E-3</v>
      </c>
      <c r="CS46" s="747">
        <f>CS45/CK45-1</f>
        <v>-1.5723270440252124E-3</v>
      </c>
      <c r="CT46" s="110">
        <f t="shared" ref="CT46:DD46" si="165">CT45/CP45-1</f>
        <v>-3.0739720637419365E-3</v>
      </c>
      <c r="CU46" s="111">
        <f t="shared" si="165"/>
        <v>-3.3202980889840417E-3</v>
      </c>
      <c r="CV46" s="110">
        <f t="shared" si="165"/>
        <v>-3.5925196850393748E-3</v>
      </c>
      <c r="CW46" s="1210">
        <f t="shared" si="165"/>
        <v>-5.2657480314960425E-3</v>
      </c>
      <c r="CX46" s="111">
        <f t="shared" si="165"/>
        <v>-3.2067885246306327E-3</v>
      </c>
      <c r="CY46" s="111">
        <f t="shared" si="165"/>
        <v>-4.1950449116573418E-3</v>
      </c>
      <c r="CZ46" s="110">
        <f t="shared" si="165"/>
        <v>-3.5066923494838642E-3</v>
      </c>
      <c r="DA46" s="1210">
        <f t="shared" si="165"/>
        <v>-1.0562509276208387E-2</v>
      </c>
      <c r="DB46" s="110">
        <f t="shared" si="165"/>
        <v>-1.1259867851221239E-2</v>
      </c>
      <c r="DC46" s="110">
        <f t="shared" si="165"/>
        <v>-1.0779600535262945E-2</v>
      </c>
      <c r="DD46" s="110">
        <f t="shared" si="165"/>
        <v>-1.7099524187153103E-2</v>
      </c>
      <c r="DE46" s="1210">
        <f>IFERROR(DE45/DA45-1,"NA")</f>
        <v>-8.4252106302658003E-3</v>
      </c>
      <c r="DF46" s="110">
        <f t="shared" ref="DF46:DM46" si="166">IFERROR(DF45/DB45-1,"NA")</f>
        <v>-8.735045302097455E-3</v>
      </c>
      <c r="DG46" s="110">
        <f t="shared" si="166"/>
        <v>-7.8408777774994221E-3</v>
      </c>
      <c r="DH46" s="110">
        <f t="shared" si="166"/>
        <v>-1.4875699662145081E-2</v>
      </c>
      <c r="DI46" s="1210">
        <f t="shared" si="166"/>
        <v>-1.4623569159396888E-2</v>
      </c>
      <c r="DJ46" s="2724">
        <f t="shared" si="166"/>
        <v>-2.4542355763161217E-2</v>
      </c>
      <c r="DK46" s="110">
        <f t="shared" si="166"/>
        <v>-2.7512498106347594E-2</v>
      </c>
      <c r="DL46" s="110">
        <f t="shared" si="166"/>
        <v>-1.7199294430794265E-2</v>
      </c>
      <c r="DM46" s="747">
        <f t="shared" si="166"/>
        <v>-1.5918226586663864E-2</v>
      </c>
      <c r="DN46" s="7"/>
      <c r="DO46" s="484"/>
      <c r="DP46" s="109"/>
      <c r="DQ46" s="109"/>
      <c r="DR46" s="109"/>
      <c r="DS46" s="100"/>
      <c r="DT46" s="100"/>
      <c r="DU46" s="100"/>
      <c r="DV46" s="100"/>
      <c r="DW46" s="100"/>
      <c r="DX46" s="111"/>
      <c r="DY46" s="111"/>
      <c r="DZ46" s="111"/>
      <c r="EA46" s="111"/>
      <c r="EB46" s="111"/>
      <c r="EC46" s="111"/>
      <c r="ED46" s="111"/>
      <c r="EE46" s="111"/>
      <c r="EF46" s="111"/>
      <c r="EG46" s="111">
        <f t="shared" ref="EG46:EP46" si="167">EG45/EF45-1</f>
        <v>0.12241307467938323</v>
      </c>
      <c r="EH46" s="111">
        <f t="shared" si="167"/>
        <v>8.9840366291300544E-2</v>
      </c>
      <c r="EI46" s="111">
        <f t="shared" si="167"/>
        <v>6.9603724310207893E-2</v>
      </c>
      <c r="EJ46" s="111">
        <f t="shared" si="167"/>
        <v>8.3156404812455786E-2</v>
      </c>
      <c r="EK46" s="111">
        <f t="shared" si="167"/>
        <v>8.8500490035936075E-2</v>
      </c>
      <c r="EL46" s="111">
        <f t="shared" si="167"/>
        <v>0.10105345298478352</v>
      </c>
      <c r="EM46" s="111">
        <f t="shared" si="167"/>
        <v>8.6408984353704366E-2</v>
      </c>
      <c r="EN46" s="111">
        <f t="shared" si="167"/>
        <v>3.7083500602167696E-2</v>
      </c>
      <c r="EO46" s="111">
        <f t="shared" si="167"/>
        <v>2.5499588716310972E-2</v>
      </c>
      <c r="EP46" s="111">
        <f t="shared" si="167"/>
        <v>5.8978956308397557E-4</v>
      </c>
      <c r="EQ46" s="111"/>
      <c r="ER46" s="111"/>
      <c r="ES46" s="111">
        <f>ES45/EP45-1</f>
        <v>-4.029424940466364E-2</v>
      </c>
      <c r="ET46" s="111"/>
      <c r="EU46" s="111"/>
      <c r="EV46" s="111">
        <f>+IFERROR(EV45/EU45-1,"NA")</f>
        <v>-5.2657480314960425E-3</v>
      </c>
      <c r="EW46" s="111">
        <f>+IFERROR(EW45/EV45-1,"NA")</f>
        <v>2.4241824568347337E-3</v>
      </c>
      <c r="EX46" s="1550">
        <f>+IFERROR(EX45/EW45-1,"NA")</f>
        <v>-2.1271345375579953E-2</v>
      </c>
      <c r="EY46" s="1550">
        <f t="shared" ref="EY46:FA46" si="168">+IFERROR(EY45/EX45-1,"NA")</f>
        <v>-1.4623569159396888E-2</v>
      </c>
      <c r="EZ46" s="1777">
        <f t="shared" si="168"/>
        <v>-1.5918226586663864E-2</v>
      </c>
      <c r="FA46" s="1353" t="str">
        <f t="shared" si="168"/>
        <v>NA</v>
      </c>
      <c r="FB46" s="1353" t="str">
        <f t="shared" ref="FB46" si="169">+IFERROR(FB45/FA45-1,"NA")</f>
        <v>NA</v>
      </c>
      <c r="FC46" s="1353" t="str">
        <f t="shared" ref="FC46" si="170">+IFERROR(FC45/FB45-1,"NA")</f>
        <v>NA</v>
      </c>
      <c r="FD46" s="1353" t="str">
        <f t="shared" ref="FD46" si="171">+IFERROR(FD45/FC45-1,"NA")</f>
        <v>NA</v>
      </c>
      <c r="FE46" s="1353" t="str">
        <f t="shared" ref="FE46" si="172">+IFERROR(FE45/FD45-1,"NA")</f>
        <v>NA</v>
      </c>
      <c r="FF46" s="1353" t="str">
        <f t="shared" ref="FF46" si="173">+IFERROR(FF45/FE45-1,"NA")</f>
        <v>NA</v>
      </c>
      <c r="FG46" s="1353" t="str">
        <f t="shared" ref="FG46" si="174">+IFERROR(FG45/FF45-1,"NA")</f>
        <v>NA</v>
      </c>
      <c r="FH46" s="1353" t="str">
        <f t="shared" ref="FH46" si="175">+IFERROR(FH45/FG45-1,"NA")</f>
        <v>NA</v>
      </c>
      <c r="FI46" s="1860"/>
      <c r="FJ46"/>
      <c r="FK46"/>
      <c r="FL46"/>
      <c r="FM46"/>
      <c r="FN46"/>
      <c r="FO46"/>
      <c r="FP46" s="2011"/>
      <c r="FQ46" s="1867"/>
      <c r="FR46" s="1867"/>
      <c r="FS46" s="1353"/>
      <c r="FT46" s="110"/>
      <c r="FU46"/>
      <c r="FV46"/>
      <c r="FW46" s="1353"/>
      <c r="FX46" s="1353"/>
      <c r="FY46" s="1353"/>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row>
    <row r="47" spans="1:260" s="4" customFormat="1" ht="11.25" hidden="1" customHeight="1" outlineLevel="1" x14ac:dyDescent="0.2">
      <c r="A47" s="100"/>
      <c r="B47" s="100"/>
      <c r="C47" s="100"/>
      <c r="D47" s="100"/>
      <c r="E47" s="614"/>
      <c r="F47" s="100"/>
      <c r="G47" s="100"/>
      <c r="H47" s="100"/>
      <c r="I47" s="614"/>
      <c r="J47" s="100"/>
      <c r="K47" s="100"/>
      <c r="L47" s="100"/>
      <c r="M47" s="614"/>
      <c r="N47" s="100"/>
      <c r="O47" s="100"/>
      <c r="P47" s="100"/>
      <c r="Q47" s="614"/>
      <c r="R47" s="100"/>
      <c r="S47" s="100"/>
      <c r="T47" s="100"/>
      <c r="U47" s="614"/>
      <c r="V47" s="100"/>
      <c r="W47" s="100"/>
      <c r="X47" s="100"/>
      <c r="Y47" s="614"/>
      <c r="Z47" s="100"/>
      <c r="AA47" s="100"/>
      <c r="AB47" s="100"/>
      <c r="AC47" s="614"/>
      <c r="AD47" s="100"/>
      <c r="AE47" s="100"/>
      <c r="AF47" s="100"/>
      <c r="AG47" s="614"/>
      <c r="AH47" s="100"/>
      <c r="AI47" s="100"/>
      <c r="AJ47" s="100"/>
      <c r="AK47" s="614"/>
      <c r="AL47" s="100"/>
      <c r="AM47" s="100"/>
      <c r="AN47" s="100"/>
      <c r="AO47" s="614"/>
      <c r="AP47" s="100"/>
      <c r="AQ47" s="100"/>
      <c r="AR47" s="100"/>
      <c r="AS47" s="470"/>
      <c r="AT47" s="100"/>
      <c r="AU47" s="100"/>
      <c r="AV47" s="100"/>
      <c r="AW47" s="614"/>
      <c r="AX47" s="100"/>
      <c r="AY47" s="100"/>
      <c r="AZ47" s="100"/>
      <c r="BA47" s="614"/>
      <c r="BB47" s="100"/>
      <c r="BC47" s="100"/>
      <c r="BD47" s="100"/>
      <c r="BE47" s="614"/>
      <c r="BF47" s="100"/>
      <c r="BG47" s="101"/>
      <c r="BH47" s="101"/>
      <c r="BI47" s="493"/>
      <c r="BJ47" s="100"/>
      <c r="BK47" s="101"/>
      <c r="BL47" s="101"/>
      <c r="BM47" s="493"/>
      <c r="BN47" s="100"/>
      <c r="BO47" s="101"/>
      <c r="BP47" s="101"/>
      <c r="BQ47" s="493"/>
      <c r="BR47" s="101"/>
      <c r="BS47" s="101"/>
      <c r="BT47" s="101"/>
      <c r="BU47" s="493"/>
      <c r="BV47" s="101"/>
      <c r="BW47" s="101"/>
      <c r="BX47" s="101"/>
      <c r="BY47" s="493"/>
      <c r="BZ47" s="101"/>
      <c r="CA47" s="101"/>
      <c r="CB47" s="101"/>
      <c r="CC47" s="493"/>
      <c r="CD47" s="101"/>
      <c r="CE47" s="101"/>
      <c r="CF47" s="101"/>
      <c r="CG47" s="493"/>
      <c r="CH47" s="101"/>
      <c r="CI47" s="101"/>
      <c r="CJ47" s="101"/>
      <c r="CK47" s="493"/>
      <c r="CL47" s="101"/>
      <c r="CM47" s="101"/>
      <c r="CN47" s="101"/>
      <c r="CO47" s="493"/>
      <c r="CP47" s="101"/>
      <c r="CQ47" s="101"/>
      <c r="CR47" s="101"/>
      <c r="CS47" s="493"/>
      <c r="CT47" s="101"/>
      <c r="CU47" s="101"/>
      <c r="CV47" s="101"/>
      <c r="CW47" s="493"/>
      <c r="CX47" s="101"/>
      <c r="CY47" s="101"/>
      <c r="CZ47" s="101"/>
      <c r="DA47" s="493"/>
      <c r="DB47" s="101"/>
      <c r="DC47" s="101"/>
      <c r="DD47" s="113"/>
      <c r="DE47" s="493"/>
      <c r="DF47" s="113"/>
      <c r="DG47" s="113"/>
      <c r="DH47" s="113"/>
      <c r="DI47" s="493"/>
      <c r="DJ47" s="1724"/>
      <c r="DK47" s="113"/>
      <c r="DL47" s="113"/>
      <c r="DM47" s="493"/>
      <c r="DN47" s="7"/>
      <c r="DO47" s="484"/>
      <c r="DP47" s="109"/>
      <c r="DQ47" s="109"/>
      <c r="DR47" s="109"/>
      <c r="DS47" s="100"/>
      <c r="DT47" s="100"/>
      <c r="DU47" s="100"/>
      <c r="DV47" s="100"/>
      <c r="DW47" s="100"/>
      <c r="DX47" s="100"/>
      <c r="DY47" s="100"/>
      <c r="DZ47" s="100"/>
      <c r="EA47" s="100"/>
      <c r="EB47" s="100"/>
      <c r="EC47" s="100"/>
      <c r="ED47" s="100"/>
      <c r="EE47" s="100"/>
      <c r="EF47" s="100"/>
      <c r="EG47" s="100"/>
      <c r="EH47" s="100"/>
      <c r="EI47" s="100"/>
      <c r="EJ47" s="100"/>
      <c r="EK47" s="101"/>
      <c r="EL47" s="101"/>
      <c r="EM47" s="101"/>
      <c r="EN47" s="101"/>
      <c r="EO47" s="101"/>
      <c r="EP47" s="101"/>
      <c r="EQ47" s="101"/>
      <c r="ER47" s="101"/>
      <c r="ES47" s="101"/>
      <c r="ET47" s="101"/>
      <c r="EU47" s="101"/>
      <c r="EV47" s="101"/>
      <c r="EW47" s="101"/>
      <c r="EX47" s="6"/>
      <c r="EY47" s="6"/>
      <c r="EZ47" s="1734"/>
      <c r="FA47" s="101"/>
      <c r="FB47" s="101"/>
      <c r="FC47" s="101"/>
      <c r="FD47" s="101"/>
      <c r="FE47" s="113"/>
      <c r="FF47" s="113"/>
      <c r="FG47" s="113"/>
      <c r="FH47" s="113"/>
      <c r="FI47" s="940"/>
      <c r="FJ47"/>
      <c r="FK47"/>
      <c r="FL47"/>
      <c r="FM47"/>
      <c r="FN47"/>
      <c r="FO47"/>
      <c r="FP47" s="3"/>
      <c r="FS47" s="113"/>
      <c r="FT47" s="113"/>
      <c r="FU47"/>
      <c r="FV47"/>
      <c r="FW47" s="113"/>
      <c r="FX47" s="113"/>
      <c r="FY47" s="113"/>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row>
    <row r="48" spans="1:260" s="4" customFormat="1" ht="11.25" hidden="1" customHeight="1" outlineLevel="1" x14ac:dyDescent="0.2">
      <c r="A48" s="6" t="s">
        <v>107</v>
      </c>
      <c r="B48" s="41">
        <v>116</v>
      </c>
      <c r="C48" s="41">
        <v>124</v>
      </c>
      <c r="D48" s="41">
        <v>149</v>
      </c>
      <c r="E48" s="820">
        <v>151</v>
      </c>
      <c r="F48" s="41">
        <v>153</v>
      </c>
      <c r="G48" s="41">
        <v>168</v>
      </c>
      <c r="H48" s="41">
        <v>202</v>
      </c>
      <c r="I48" s="820">
        <v>204</v>
      </c>
      <c r="J48" s="41">
        <v>213</v>
      </c>
      <c r="K48" s="41">
        <v>224</v>
      </c>
      <c r="L48" s="41">
        <v>251</v>
      </c>
      <c r="M48" s="820">
        <v>251</v>
      </c>
      <c r="N48" s="41">
        <v>259</v>
      </c>
      <c r="O48" s="41">
        <f t="shared" ref="O48:AT48" si="176">+O17</f>
        <v>262</v>
      </c>
      <c r="P48" s="41">
        <f t="shared" si="176"/>
        <v>272</v>
      </c>
      <c r="Q48" s="820">
        <f t="shared" si="176"/>
        <v>272</v>
      </c>
      <c r="R48" s="41">
        <f t="shared" si="176"/>
        <v>274</v>
      </c>
      <c r="S48" s="41">
        <f t="shared" si="176"/>
        <v>280</v>
      </c>
      <c r="T48" s="41">
        <f t="shared" si="176"/>
        <v>285</v>
      </c>
      <c r="U48" s="820">
        <f t="shared" si="176"/>
        <v>284</v>
      </c>
      <c r="V48" s="41">
        <f t="shared" si="176"/>
        <v>289</v>
      </c>
      <c r="W48" s="41">
        <f t="shared" si="176"/>
        <v>289</v>
      </c>
      <c r="X48" s="41">
        <f t="shared" si="176"/>
        <v>312</v>
      </c>
      <c r="Y48" s="820">
        <f t="shared" si="176"/>
        <v>311</v>
      </c>
      <c r="Z48" s="41">
        <f t="shared" si="176"/>
        <v>313</v>
      </c>
      <c r="AA48" s="41">
        <f t="shared" si="176"/>
        <v>332</v>
      </c>
      <c r="AB48" s="41">
        <f t="shared" si="176"/>
        <v>354</v>
      </c>
      <c r="AC48" s="820">
        <f t="shared" si="176"/>
        <v>357</v>
      </c>
      <c r="AD48" s="41">
        <f t="shared" si="176"/>
        <v>361</v>
      </c>
      <c r="AE48" s="41">
        <f t="shared" si="176"/>
        <v>373</v>
      </c>
      <c r="AF48" s="41">
        <f t="shared" si="176"/>
        <v>413</v>
      </c>
      <c r="AG48" s="820">
        <f t="shared" si="176"/>
        <v>419</v>
      </c>
      <c r="AH48" s="41">
        <f t="shared" si="176"/>
        <v>430</v>
      </c>
      <c r="AI48" s="41">
        <f t="shared" si="176"/>
        <v>439</v>
      </c>
      <c r="AJ48" s="41">
        <f t="shared" si="176"/>
        <v>478</v>
      </c>
      <c r="AK48" s="820">
        <f t="shared" si="176"/>
        <v>481</v>
      </c>
      <c r="AL48" s="41">
        <f t="shared" si="176"/>
        <v>493</v>
      </c>
      <c r="AM48" s="41">
        <f t="shared" si="176"/>
        <v>515</v>
      </c>
      <c r="AN48" s="41">
        <f t="shared" si="176"/>
        <v>546</v>
      </c>
      <c r="AO48" s="820">
        <f t="shared" si="176"/>
        <v>548</v>
      </c>
      <c r="AP48" s="41">
        <f t="shared" si="176"/>
        <v>552</v>
      </c>
      <c r="AQ48" s="41">
        <f t="shared" si="176"/>
        <v>566</v>
      </c>
      <c r="AR48" s="41">
        <f t="shared" si="176"/>
        <v>600</v>
      </c>
      <c r="AS48" s="470">
        <f t="shared" si="176"/>
        <v>608</v>
      </c>
      <c r="AT48" s="41">
        <f t="shared" si="176"/>
        <v>619</v>
      </c>
      <c r="AU48" s="41">
        <f t="shared" ref="AU48:BY48" si="177">+AU17</f>
        <v>628</v>
      </c>
      <c r="AV48" s="41">
        <f t="shared" si="177"/>
        <v>659</v>
      </c>
      <c r="AW48" s="820">
        <f t="shared" si="177"/>
        <v>668</v>
      </c>
      <c r="AX48" s="41">
        <f t="shared" si="177"/>
        <v>679</v>
      </c>
      <c r="AY48" s="41">
        <f t="shared" si="177"/>
        <v>694</v>
      </c>
      <c r="AZ48" s="41">
        <f t="shared" si="177"/>
        <v>733</v>
      </c>
      <c r="BA48" s="820">
        <f t="shared" si="177"/>
        <v>742</v>
      </c>
      <c r="BB48" s="41">
        <f t="shared" si="177"/>
        <v>754</v>
      </c>
      <c r="BC48" s="41">
        <f t="shared" si="177"/>
        <v>771</v>
      </c>
      <c r="BD48" s="41">
        <f t="shared" si="177"/>
        <v>812</v>
      </c>
      <c r="BE48" s="820">
        <f t="shared" si="177"/>
        <v>822</v>
      </c>
      <c r="BF48" s="41">
        <f t="shared" si="177"/>
        <v>852</v>
      </c>
      <c r="BG48" s="821">
        <f t="shared" si="177"/>
        <v>872</v>
      </c>
      <c r="BH48" s="821">
        <f t="shared" si="177"/>
        <v>917</v>
      </c>
      <c r="BI48" s="822">
        <f t="shared" si="177"/>
        <v>923</v>
      </c>
      <c r="BJ48" s="821">
        <f t="shared" si="177"/>
        <v>949</v>
      </c>
      <c r="BK48" s="821">
        <f t="shared" si="177"/>
        <v>973</v>
      </c>
      <c r="BL48" s="821">
        <f t="shared" si="177"/>
        <v>1010</v>
      </c>
      <c r="BM48" s="822">
        <f t="shared" si="177"/>
        <v>1023</v>
      </c>
      <c r="BN48" s="821">
        <f t="shared" si="177"/>
        <v>1032</v>
      </c>
      <c r="BO48" s="821">
        <f t="shared" si="177"/>
        <v>1044</v>
      </c>
      <c r="BP48" s="821">
        <f t="shared" si="177"/>
        <v>1068</v>
      </c>
      <c r="BQ48" s="822">
        <f t="shared" si="177"/>
        <v>1069</v>
      </c>
      <c r="BR48" s="821">
        <f t="shared" si="177"/>
        <v>1081</v>
      </c>
      <c r="BS48" s="821">
        <f t="shared" si="177"/>
        <v>1091</v>
      </c>
      <c r="BT48" s="821">
        <f t="shared" si="177"/>
        <v>1099</v>
      </c>
      <c r="BU48" s="822">
        <f t="shared" si="177"/>
        <v>1099</v>
      </c>
      <c r="BV48" s="821">
        <f t="shared" si="177"/>
        <v>1102</v>
      </c>
      <c r="BW48" s="821">
        <f t="shared" si="177"/>
        <v>1105</v>
      </c>
      <c r="BX48" s="821">
        <f t="shared" si="177"/>
        <v>1105</v>
      </c>
      <c r="BY48" s="822">
        <f t="shared" si="177"/>
        <v>1103</v>
      </c>
      <c r="BZ48" s="821"/>
      <c r="CA48" s="821"/>
      <c r="CB48" s="821"/>
      <c r="CC48" s="822"/>
      <c r="CD48" s="821"/>
      <c r="CE48" s="821"/>
      <c r="CF48" s="821"/>
      <c r="CG48" s="822"/>
      <c r="CH48" s="821">
        <f>+CH17</f>
        <v>1103</v>
      </c>
      <c r="CI48" s="821">
        <f>+CI17</f>
        <v>1062</v>
      </c>
      <c r="CJ48" s="821">
        <f>+CJ17</f>
        <v>1056</v>
      </c>
      <c r="CK48" s="822">
        <f>+CK17</f>
        <v>1056</v>
      </c>
      <c r="CL48" s="821"/>
      <c r="CM48" s="821"/>
      <c r="CN48" s="821"/>
      <c r="CO48" s="822"/>
      <c r="CP48" s="821">
        <f t="shared" ref="CP48:DA48" si="178">+CP17</f>
        <v>1055</v>
      </c>
      <c r="CQ48" s="821">
        <f t="shared" si="178"/>
        <v>1055</v>
      </c>
      <c r="CR48" s="821">
        <f t="shared" si="178"/>
        <v>1055</v>
      </c>
      <c r="CS48" s="822">
        <f t="shared" si="178"/>
        <v>1055</v>
      </c>
      <c r="CT48" s="821">
        <f t="shared" si="178"/>
        <v>1053</v>
      </c>
      <c r="CU48" s="821">
        <f t="shared" si="178"/>
        <v>1053</v>
      </c>
      <c r="CV48" s="821">
        <f t="shared" si="178"/>
        <v>1052</v>
      </c>
      <c r="CW48" s="822">
        <f t="shared" si="178"/>
        <v>1050</v>
      </c>
      <c r="CX48" s="1959">
        <f t="shared" si="178"/>
        <v>1049</v>
      </c>
      <c r="CY48" s="1959">
        <f t="shared" si="178"/>
        <v>1047</v>
      </c>
      <c r="CZ48" s="1959">
        <f t="shared" si="178"/>
        <v>1047</v>
      </c>
      <c r="DA48" s="1962">
        <f t="shared" si="178"/>
        <v>1037</v>
      </c>
      <c r="DB48" s="1959">
        <f>+DB17</f>
        <v>1036</v>
      </c>
      <c r="DC48" s="1959">
        <f>+DC17</f>
        <v>1035</v>
      </c>
      <c r="DD48" s="1959">
        <f>+DD17</f>
        <v>1026</v>
      </c>
      <c r="DE48" s="1962">
        <f>+DE17</f>
        <v>1026</v>
      </c>
      <c r="DF48" s="1966">
        <f t="shared" ref="DF48:DI48" si="179">+DF17</f>
        <v>1024</v>
      </c>
      <c r="DG48" s="1966">
        <f t="shared" ref="DG48" si="180">+DG17</f>
        <v>1024</v>
      </c>
      <c r="DH48" s="1966">
        <f t="shared" si="179"/>
        <v>1008</v>
      </c>
      <c r="DI48" s="1962">
        <f t="shared" si="179"/>
        <v>1008</v>
      </c>
      <c r="DJ48" s="1963">
        <f>+DJ17</f>
        <v>1008</v>
      </c>
      <c r="DK48" s="1966">
        <f t="shared" ref="DK48" si="181">+DK17</f>
        <v>1007</v>
      </c>
      <c r="DL48" s="1966">
        <f t="shared" ref="DL48:DM48" si="182">+DL17</f>
        <v>1006</v>
      </c>
      <c r="DM48" s="1962">
        <f t="shared" si="182"/>
        <v>1005</v>
      </c>
      <c r="DN48" s="1966"/>
      <c r="DO48" s="1962"/>
      <c r="DP48" s="1967"/>
      <c r="DQ48" s="1967"/>
      <c r="DR48" s="1967"/>
      <c r="DS48" s="1967"/>
      <c r="DT48" s="1967"/>
      <c r="DU48" s="1967">
        <v>56</v>
      </c>
      <c r="DV48" s="1967">
        <v>73</v>
      </c>
      <c r="DW48" s="1967">
        <v>111</v>
      </c>
      <c r="DX48" s="1967">
        <v>151</v>
      </c>
      <c r="DY48" s="1967">
        <v>204</v>
      </c>
      <c r="DZ48" s="1967">
        <v>251</v>
      </c>
      <c r="EA48" s="1967">
        <f t="shared" ref="EA48:EP48" si="183">+EA17</f>
        <v>272</v>
      </c>
      <c r="EB48" s="1967">
        <f t="shared" si="183"/>
        <v>284</v>
      </c>
      <c r="EC48" s="1967">
        <f t="shared" si="183"/>
        <v>311</v>
      </c>
      <c r="ED48" s="1967">
        <f t="shared" si="183"/>
        <v>357</v>
      </c>
      <c r="EE48" s="1967">
        <f t="shared" si="183"/>
        <v>419</v>
      </c>
      <c r="EF48" s="1967">
        <f t="shared" si="183"/>
        <v>481</v>
      </c>
      <c r="EG48" s="1967">
        <f t="shared" si="183"/>
        <v>548</v>
      </c>
      <c r="EH48" s="1967">
        <f t="shared" si="183"/>
        <v>608</v>
      </c>
      <c r="EI48" s="1967">
        <f t="shared" si="183"/>
        <v>668</v>
      </c>
      <c r="EJ48" s="1967">
        <f t="shared" si="183"/>
        <v>742</v>
      </c>
      <c r="EK48" s="1959">
        <f t="shared" si="183"/>
        <v>822</v>
      </c>
      <c r="EL48" s="1959">
        <f t="shared" si="183"/>
        <v>923</v>
      </c>
      <c r="EM48" s="1959">
        <f t="shared" si="183"/>
        <v>1023</v>
      </c>
      <c r="EN48" s="1959">
        <f t="shared" si="183"/>
        <v>1069</v>
      </c>
      <c r="EO48" s="1959">
        <f t="shared" si="183"/>
        <v>1099</v>
      </c>
      <c r="EP48" s="1959">
        <f t="shared" si="183"/>
        <v>1103</v>
      </c>
      <c r="EQ48" s="1959"/>
      <c r="ER48" s="1959"/>
      <c r="ES48" s="1959">
        <f>+ES17</f>
        <v>1056</v>
      </c>
      <c r="ET48" s="1959"/>
      <c r="EU48" s="1959">
        <f>+EU17</f>
        <v>1055</v>
      </c>
      <c r="EV48" s="1959">
        <f>+CW48</f>
        <v>1050</v>
      </c>
      <c r="EW48" s="1959">
        <f>+DA48</f>
        <v>1037</v>
      </c>
      <c r="EX48" s="1959">
        <f t="shared" ref="EX48:FH48" si="184">+EX17</f>
        <v>1026</v>
      </c>
      <c r="EY48" s="1959">
        <f t="shared" si="184"/>
        <v>1008</v>
      </c>
      <c r="EZ48" s="1968">
        <f t="shared" ref="EZ48" si="185">+EZ17</f>
        <v>1005</v>
      </c>
      <c r="FA48" s="1959">
        <f t="shared" si="184"/>
        <v>1006</v>
      </c>
      <c r="FB48" s="1959">
        <f t="shared" si="184"/>
        <v>1008</v>
      </c>
      <c r="FC48" s="1959">
        <f t="shared" si="184"/>
        <v>1013</v>
      </c>
      <c r="FD48" s="1959">
        <f t="shared" si="184"/>
        <v>1018</v>
      </c>
      <c r="FE48" s="1959">
        <f t="shared" si="184"/>
        <v>1023</v>
      </c>
      <c r="FF48" s="1959">
        <f t="shared" si="184"/>
        <v>1028</v>
      </c>
      <c r="FG48" s="1959">
        <f t="shared" si="184"/>
        <v>1033</v>
      </c>
      <c r="FH48" s="1959">
        <f t="shared" si="184"/>
        <v>1038</v>
      </c>
      <c r="FI48" s="1969"/>
      <c r="FJ48"/>
      <c r="FK48"/>
      <c r="FL48"/>
      <c r="FM48"/>
      <c r="FN48"/>
      <c r="FO48"/>
      <c r="FP48" s="1964"/>
      <c r="FQ48" s="1967"/>
      <c r="FR48" s="1967"/>
      <c r="FS48" s="1966"/>
      <c r="FT48" s="428"/>
      <c r="FU48"/>
      <c r="FV48"/>
      <c r="FW48" s="1966"/>
      <c r="FX48" s="1966"/>
      <c r="FY48" s="1966"/>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row>
    <row r="49" spans="1:260" s="4" customFormat="1" ht="11.25" hidden="1" customHeight="1" outlineLevel="1" x14ac:dyDescent="0.2">
      <c r="A49" s="4" t="s">
        <v>105</v>
      </c>
      <c r="C49" s="4">
        <f t="shared" ref="C49:AH49" si="186">+C48-B48</f>
        <v>8</v>
      </c>
      <c r="D49" s="4">
        <f t="shared" si="186"/>
        <v>25</v>
      </c>
      <c r="E49" s="4">
        <f t="shared" si="186"/>
        <v>2</v>
      </c>
      <c r="F49" s="4">
        <f t="shared" si="186"/>
        <v>2</v>
      </c>
      <c r="G49" s="4">
        <f t="shared" si="186"/>
        <v>15</v>
      </c>
      <c r="H49" s="4">
        <f t="shared" si="186"/>
        <v>34</v>
      </c>
      <c r="I49" s="4">
        <f t="shared" si="186"/>
        <v>2</v>
      </c>
      <c r="J49" s="4">
        <f t="shared" si="186"/>
        <v>9</v>
      </c>
      <c r="K49" s="4">
        <f t="shared" si="186"/>
        <v>11</v>
      </c>
      <c r="L49" s="4">
        <f t="shared" si="186"/>
        <v>27</v>
      </c>
      <c r="M49" s="4">
        <f t="shared" si="186"/>
        <v>0</v>
      </c>
      <c r="N49" s="4">
        <f t="shared" si="186"/>
        <v>8</v>
      </c>
      <c r="O49" s="4">
        <f t="shared" si="186"/>
        <v>3</v>
      </c>
      <c r="P49" s="4">
        <f t="shared" si="186"/>
        <v>10</v>
      </c>
      <c r="Q49" s="4">
        <f t="shared" si="186"/>
        <v>0</v>
      </c>
      <c r="R49" s="4">
        <f t="shared" si="186"/>
        <v>2</v>
      </c>
      <c r="S49" s="4">
        <f t="shared" si="186"/>
        <v>6</v>
      </c>
      <c r="T49" s="4">
        <f t="shared" si="186"/>
        <v>5</v>
      </c>
      <c r="U49" s="4">
        <f t="shared" si="186"/>
        <v>-1</v>
      </c>
      <c r="V49" s="4">
        <f t="shared" si="186"/>
        <v>5</v>
      </c>
      <c r="W49" s="4">
        <f t="shared" si="186"/>
        <v>0</v>
      </c>
      <c r="X49" s="4">
        <f t="shared" si="186"/>
        <v>23</v>
      </c>
      <c r="Y49" s="4">
        <f t="shared" si="186"/>
        <v>-1</v>
      </c>
      <c r="Z49" s="4">
        <f t="shared" si="186"/>
        <v>2</v>
      </c>
      <c r="AA49" s="4">
        <f t="shared" si="186"/>
        <v>19</v>
      </c>
      <c r="AB49" s="4">
        <f t="shared" si="186"/>
        <v>22</v>
      </c>
      <c r="AC49" s="4">
        <f t="shared" si="186"/>
        <v>3</v>
      </c>
      <c r="AD49" s="4">
        <f t="shared" si="186"/>
        <v>4</v>
      </c>
      <c r="AE49" s="4">
        <f t="shared" si="186"/>
        <v>12</v>
      </c>
      <c r="AF49" s="4">
        <f t="shared" si="186"/>
        <v>40</v>
      </c>
      <c r="AG49" s="4">
        <f t="shared" si="186"/>
        <v>6</v>
      </c>
      <c r="AH49" s="4">
        <f t="shared" si="186"/>
        <v>11</v>
      </c>
      <c r="AI49" s="4">
        <f t="shared" ref="AI49:BM49" si="187">+AI48-AH48</f>
        <v>9</v>
      </c>
      <c r="AJ49" s="4">
        <f t="shared" si="187"/>
        <v>39</v>
      </c>
      <c r="AK49" s="4">
        <f t="shared" si="187"/>
        <v>3</v>
      </c>
      <c r="AL49" s="4">
        <f t="shared" si="187"/>
        <v>12</v>
      </c>
      <c r="AM49" s="4">
        <f t="shared" si="187"/>
        <v>22</v>
      </c>
      <c r="AN49" s="4">
        <f t="shared" si="187"/>
        <v>31</v>
      </c>
      <c r="AO49" s="4">
        <f t="shared" si="187"/>
        <v>2</v>
      </c>
      <c r="AP49" s="4">
        <f t="shared" si="187"/>
        <v>4</v>
      </c>
      <c r="AQ49" s="4">
        <f t="shared" si="187"/>
        <v>14</v>
      </c>
      <c r="AR49" s="4">
        <f t="shared" si="187"/>
        <v>34</v>
      </c>
      <c r="AS49" s="470">
        <f t="shared" si="187"/>
        <v>8</v>
      </c>
      <c r="AT49" s="4">
        <f t="shared" si="187"/>
        <v>11</v>
      </c>
      <c r="AU49" s="4">
        <f t="shared" si="187"/>
        <v>9</v>
      </c>
      <c r="AV49" s="4">
        <f t="shared" si="187"/>
        <v>31</v>
      </c>
      <c r="AW49" s="4">
        <f t="shared" si="187"/>
        <v>9</v>
      </c>
      <c r="AX49" s="4">
        <f t="shared" si="187"/>
        <v>11</v>
      </c>
      <c r="AY49" s="4">
        <f t="shared" si="187"/>
        <v>15</v>
      </c>
      <c r="AZ49" s="4">
        <f t="shared" si="187"/>
        <v>39</v>
      </c>
      <c r="BA49" s="4">
        <f t="shared" si="187"/>
        <v>9</v>
      </c>
      <c r="BB49" s="4">
        <f t="shared" si="187"/>
        <v>12</v>
      </c>
      <c r="BC49" s="4">
        <f t="shared" si="187"/>
        <v>17</v>
      </c>
      <c r="BD49" s="4">
        <f t="shared" si="187"/>
        <v>41</v>
      </c>
      <c r="BE49" s="4">
        <f t="shared" si="187"/>
        <v>10</v>
      </c>
      <c r="BF49" s="4">
        <f t="shared" si="187"/>
        <v>30</v>
      </c>
      <c r="BG49" s="4">
        <f t="shared" si="187"/>
        <v>20</v>
      </c>
      <c r="BH49" s="4">
        <f t="shared" si="187"/>
        <v>45</v>
      </c>
      <c r="BI49" s="4">
        <f t="shared" si="187"/>
        <v>6</v>
      </c>
      <c r="BJ49" s="4">
        <f t="shared" si="187"/>
        <v>26</v>
      </c>
      <c r="BK49" s="4">
        <f t="shared" si="187"/>
        <v>24</v>
      </c>
      <c r="BL49" s="4">
        <f t="shared" si="187"/>
        <v>37</v>
      </c>
      <c r="BM49" s="4">
        <f t="shared" si="187"/>
        <v>13</v>
      </c>
      <c r="BN49" s="4">
        <f>+BN48-EM48</f>
        <v>9</v>
      </c>
      <c r="BO49" s="4">
        <f>+BO48-BN48</f>
        <v>12</v>
      </c>
      <c r="BP49" s="4">
        <f>+BP48-BO48</f>
        <v>24</v>
      </c>
      <c r="BQ49" s="4">
        <f>+BQ48-BP48</f>
        <v>1</v>
      </c>
      <c r="BR49" s="4">
        <f>+BR48-EN48</f>
        <v>12</v>
      </c>
      <c r="BS49" s="4">
        <f>+BS48-BR48</f>
        <v>10</v>
      </c>
      <c r="BT49" s="4">
        <f>+BT48-BS48</f>
        <v>8</v>
      </c>
      <c r="BU49" s="4">
        <f>+BU48-BT48</f>
        <v>0</v>
      </c>
      <c r="BV49" s="4">
        <f>+BV48-EO48</f>
        <v>3</v>
      </c>
      <c r="BW49" s="4">
        <f>+BW48-BV48</f>
        <v>3</v>
      </c>
      <c r="BX49" s="4">
        <f>+BX48-BW48</f>
        <v>0</v>
      </c>
      <c r="BY49" s="4">
        <f>+BY48-BX48</f>
        <v>-2</v>
      </c>
      <c r="CH49" s="4">
        <f>+CH48-EP48</f>
        <v>0</v>
      </c>
      <c r="CI49" s="4">
        <f>+CI48-CH48</f>
        <v>-41</v>
      </c>
      <c r="CJ49" s="4">
        <f>+CJ48-CI48</f>
        <v>-6</v>
      </c>
      <c r="CK49" s="4">
        <f>+CK48-CJ48</f>
        <v>0</v>
      </c>
      <c r="CP49" s="4">
        <f>+CP48-ES48</f>
        <v>-1</v>
      </c>
      <c r="CQ49" s="4">
        <f>+CQ48-CP48</f>
        <v>0</v>
      </c>
      <c r="CR49" s="4">
        <f>+CR48-CQ48</f>
        <v>0</v>
      </c>
      <c r="CS49" s="470">
        <f>+CS48-CR48</f>
        <v>0</v>
      </c>
      <c r="CT49" s="4">
        <f>+CT48-EU48</f>
        <v>-2</v>
      </c>
      <c r="CU49" s="4">
        <f t="shared" ref="CU49:DE49" si="188">+CU48-CT48</f>
        <v>0</v>
      </c>
      <c r="CV49" s="4">
        <f t="shared" si="188"/>
        <v>-1</v>
      </c>
      <c r="CW49" s="820">
        <f t="shared" si="188"/>
        <v>-2</v>
      </c>
      <c r="CX49" s="1967">
        <f t="shared" si="188"/>
        <v>-1</v>
      </c>
      <c r="CY49" s="1967">
        <f t="shared" si="188"/>
        <v>-2</v>
      </c>
      <c r="CZ49" s="1967">
        <f t="shared" si="188"/>
        <v>0</v>
      </c>
      <c r="DA49" s="1965">
        <f t="shared" si="188"/>
        <v>-10</v>
      </c>
      <c r="DB49" s="1967">
        <f t="shared" si="188"/>
        <v>-1</v>
      </c>
      <c r="DC49" s="1959">
        <f t="shared" si="188"/>
        <v>-1</v>
      </c>
      <c r="DD49" s="1959">
        <f t="shared" si="188"/>
        <v>-9</v>
      </c>
      <c r="DE49" s="1962">
        <f t="shared" si="188"/>
        <v>0</v>
      </c>
      <c r="DF49" s="1966">
        <f t="shared" ref="DF49:DG49" si="189">+DF48-DE48</f>
        <v>-2</v>
      </c>
      <c r="DG49" s="1966">
        <f t="shared" si="189"/>
        <v>0</v>
      </c>
      <c r="DH49" s="1966">
        <f t="shared" ref="DH49:DM49" si="190">+DH48-DG48</f>
        <v>-16</v>
      </c>
      <c r="DI49" s="1962">
        <f t="shared" ref="DI49" si="191">+DI48-DH48</f>
        <v>0</v>
      </c>
      <c r="DJ49" s="1963">
        <f t="shared" si="190"/>
        <v>0</v>
      </c>
      <c r="DK49" s="1964">
        <f t="shared" si="190"/>
        <v>-1</v>
      </c>
      <c r="DL49" s="1964">
        <f t="shared" si="190"/>
        <v>-1</v>
      </c>
      <c r="DM49" s="1965">
        <f t="shared" si="190"/>
        <v>-1</v>
      </c>
      <c r="DN49" s="1964"/>
      <c r="DO49" s="1965"/>
      <c r="DP49" s="1967"/>
      <c r="DQ49" s="1967"/>
      <c r="DR49" s="1967"/>
      <c r="DS49" s="1967"/>
      <c r="DT49" s="1967"/>
      <c r="DU49" s="1967"/>
      <c r="DV49" s="1967">
        <f t="shared" ref="DV49:EM49" si="192">+DV48-DU48</f>
        <v>17</v>
      </c>
      <c r="DW49" s="1967">
        <f t="shared" si="192"/>
        <v>38</v>
      </c>
      <c r="DX49" s="1967">
        <f t="shared" si="192"/>
        <v>40</v>
      </c>
      <c r="DY49" s="1967">
        <f t="shared" si="192"/>
        <v>53</v>
      </c>
      <c r="DZ49" s="1967">
        <f t="shared" si="192"/>
        <v>47</v>
      </c>
      <c r="EA49" s="1967">
        <f t="shared" si="192"/>
        <v>21</v>
      </c>
      <c r="EB49" s="1967">
        <f t="shared" si="192"/>
        <v>12</v>
      </c>
      <c r="EC49" s="1967">
        <f t="shared" si="192"/>
        <v>27</v>
      </c>
      <c r="ED49" s="1967">
        <f t="shared" si="192"/>
        <v>46</v>
      </c>
      <c r="EE49" s="1967">
        <f t="shared" si="192"/>
        <v>62</v>
      </c>
      <c r="EF49" s="1967">
        <f t="shared" si="192"/>
        <v>62</v>
      </c>
      <c r="EG49" s="1967">
        <f t="shared" si="192"/>
        <v>67</v>
      </c>
      <c r="EH49" s="1967">
        <f t="shared" si="192"/>
        <v>60</v>
      </c>
      <c r="EI49" s="1967">
        <f t="shared" si="192"/>
        <v>60</v>
      </c>
      <c r="EJ49" s="1967">
        <f t="shared" si="192"/>
        <v>74</v>
      </c>
      <c r="EK49" s="1967">
        <f t="shared" si="192"/>
        <v>80</v>
      </c>
      <c r="EL49" s="1967">
        <f t="shared" si="192"/>
        <v>101</v>
      </c>
      <c r="EM49" s="1967">
        <f t="shared" si="192"/>
        <v>100</v>
      </c>
      <c r="EN49" s="1967">
        <f>+EN48-BM48</f>
        <v>46</v>
      </c>
      <c r="EO49" s="1967">
        <f>+EO48-EN48</f>
        <v>30</v>
      </c>
      <c r="EP49" s="1967">
        <f>+EP48-EO48</f>
        <v>4</v>
      </c>
      <c r="EQ49" s="1967"/>
      <c r="ER49" s="1967"/>
      <c r="ES49" s="1967">
        <f>+ES48-EP48</f>
        <v>-47</v>
      </c>
      <c r="ET49" s="1967"/>
      <c r="EU49" s="1967">
        <f>+EU48-ES48</f>
        <v>-1</v>
      </c>
      <c r="EV49" s="1967">
        <f>+EV48-EU48</f>
        <v>-5</v>
      </c>
      <c r="EW49" s="1967">
        <f>+EW48-EV48</f>
        <v>-13</v>
      </c>
      <c r="EX49" s="1959">
        <f t="shared" ref="EX49:FA49" si="193">+EX48-EW48</f>
        <v>-11</v>
      </c>
      <c r="EY49" s="1959">
        <f t="shared" si="193"/>
        <v>-18</v>
      </c>
      <c r="EZ49" s="1968">
        <f t="shared" si="193"/>
        <v>-3</v>
      </c>
      <c r="FA49" s="1967">
        <f t="shared" si="193"/>
        <v>1</v>
      </c>
      <c r="FB49" s="1967">
        <f t="shared" ref="FB49" si="194">+FB48-FA48</f>
        <v>2</v>
      </c>
      <c r="FC49" s="1967">
        <f t="shared" ref="FC49" si="195">+FC48-FB48</f>
        <v>5</v>
      </c>
      <c r="FD49" s="1967">
        <f t="shared" ref="FD49" si="196">+FD48-FC48</f>
        <v>5</v>
      </c>
      <c r="FE49" s="1967">
        <f t="shared" ref="FE49" si="197">+FE48-FD48</f>
        <v>5</v>
      </c>
      <c r="FF49" s="1967">
        <f t="shared" ref="FF49" si="198">+FF48-FE48</f>
        <v>5</v>
      </c>
      <c r="FG49" s="1967">
        <f t="shared" ref="FG49" si="199">+FG48-FF48</f>
        <v>5</v>
      </c>
      <c r="FH49" s="1967">
        <f t="shared" ref="FH49" si="200">+FH48-FG48</f>
        <v>5</v>
      </c>
      <c r="FI49" s="1969"/>
      <c r="FJ49"/>
      <c r="FK49"/>
      <c r="FL49"/>
      <c r="FM49"/>
      <c r="FN49"/>
      <c r="FO49"/>
      <c r="FP49" s="1964"/>
      <c r="FQ49" s="1967"/>
      <c r="FR49" s="1967"/>
      <c r="FS49" s="1966"/>
      <c r="FT49" s="7"/>
      <c r="FU49"/>
      <c r="FV49"/>
      <c r="FW49" s="1966"/>
      <c r="FX49" s="1966"/>
      <c r="FY49" s="1966"/>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row>
    <row r="50" spans="1:260" s="4" customFormat="1" ht="11.25" hidden="1" customHeight="1" outlineLevel="1" x14ac:dyDescent="0.2">
      <c r="A50" s="4" t="s">
        <v>554</v>
      </c>
      <c r="B50" s="41"/>
      <c r="C50" s="41"/>
      <c r="D50" s="41"/>
      <c r="E50" s="820"/>
      <c r="F50" s="41"/>
      <c r="G50" s="41"/>
      <c r="H50" s="41"/>
      <c r="I50" s="820"/>
      <c r="J50" s="41"/>
      <c r="K50" s="41"/>
      <c r="L50" s="41"/>
      <c r="M50" s="820"/>
      <c r="N50" s="41">
        <f>AVERAGE(N44,M44)</f>
        <v>10940</v>
      </c>
      <c r="O50" s="41">
        <f>AVERAGE(N44:O44)</f>
        <v>11029</v>
      </c>
      <c r="P50" s="41">
        <f>AVERAGE(O44:P44)</f>
        <v>11400.5</v>
      </c>
      <c r="Q50" s="820">
        <f>AVERAGE(P44:Q44)</f>
        <v>11687.5</v>
      </c>
      <c r="R50" s="41">
        <f>AVERAGE(R44,Q44)</f>
        <v>11754</v>
      </c>
      <c r="S50" s="41">
        <f>AVERAGE(R44:S44)</f>
        <v>11959.5</v>
      </c>
      <c r="T50" s="41">
        <f>AVERAGE(S44:T44)</f>
        <v>12232.5</v>
      </c>
      <c r="U50" s="820">
        <f>AVERAGE(T44:U44)</f>
        <v>12348</v>
      </c>
      <c r="V50" s="41">
        <f>AVERAGE(V44,U44)</f>
        <v>12446.5</v>
      </c>
      <c r="W50" s="41">
        <f>AVERAGE(V44:W44)</f>
        <v>12563</v>
      </c>
      <c r="X50" s="41">
        <f>AVERAGE(W44:X44)</f>
        <v>13114.5</v>
      </c>
      <c r="Y50" s="820">
        <f>AVERAGE(X44:Y44)</f>
        <v>13648</v>
      </c>
      <c r="Z50" s="41">
        <f>AVERAGE(Z44,Y44)</f>
        <v>13691.5</v>
      </c>
      <c r="AA50" s="41">
        <f>AVERAGE(Z44:AA44)</f>
        <v>14162.5</v>
      </c>
      <c r="AB50" s="41">
        <f>AVERAGE(AA44:AB44)</f>
        <v>15129.5</v>
      </c>
      <c r="AC50" s="820">
        <f>AVERAGE(AB44:AC44)</f>
        <v>15728</v>
      </c>
      <c r="AD50" s="41">
        <f>AVERAGE(AD44,AC44)</f>
        <v>15867</v>
      </c>
      <c r="AE50" s="41">
        <f>AVERAGE(AD44:AE44)</f>
        <v>16186</v>
      </c>
      <c r="AF50" s="41">
        <f>AVERAGE(AE44:AF44)</f>
        <v>17329</v>
      </c>
      <c r="AG50" s="820">
        <f>AVERAGE(AF44:AG44)</f>
        <v>18371.5</v>
      </c>
      <c r="AH50" s="41">
        <f>AVERAGE(AH44,AG44)</f>
        <v>18715.5</v>
      </c>
      <c r="AI50" s="41">
        <f>AVERAGE(AH44:AI44)</f>
        <v>19138.5</v>
      </c>
      <c r="AJ50" s="41">
        <f>AVERAGE(AI44:AJ44)</f>
        <v>20152</v>
      </c>
      <c r="AK50" s="820">
        <f>AVERAGE(AJ44:AK44)</f>
        <v>21042.5</v>
      </c>
      <c r="AL50" s="41">
        <f>AVERAGE(AL44,AK44)</f>
        <v>21346</v>
      </c>
      <c r="AM50" s="41">
        <f>AVERAGE(AL44:AM44)</f>
        <v>21992</v>
      </c>
      <c r="AN50" s="41">
        <f>AVERAGE(AM44:AN44)</f>
        <v>23007</v>
      </c>
      <c r="AO50" s="820">
        <f>AVERAGE(AN44:AO44)</f>
        <v>23629</v>
      </c>
      <c r="AP50" s="41">
        <f>AVERAGE(AP44,AO44)</f>
        <v>23724.5</v>
      </c>
      <c r="AQ50" s="41">
        <f>AVERAGE(AP44:AQ44)</f>
        <v>24023.5</v>
      </c>
      <c r="AR50" s="41">
        <f>AVERAGE(AQ44:AR44)</f>
        <v>24870</v>
      </c>
      <c r="AS50" s="470">
        <f>AVERAGE(AR44:AS44)</f>
        <v>25628</v>
      </c>
      <c r="AT50" s="41">
        <f>AVERAGE(AT44,AS44)</f>
        <v>25933</v>
      </c>
      <c r="AU50" s="41">
        <f>AVERAGE(AT44:AU44)</f>
        <v>26231.5</v>
      </c>
      <c r="AV50" s="41">
        <f>AVERAGE(AU44:AV44)</f>
        <v>26822.5</v>
      </c>
      <c r="AW50" s="820">
        <f>AVERAGE(AV44:AW44)</f>
        <v>27406</v>
      </c>
      <c r="AX50" s="41">
        <f>AVERAGE(AX44,AW44)</f>
        <v>27702.5</v>
      </c>
      <c r="AY50" s="41">
        <f>AVERAGE(AX44:AY44)</f>
        <v>28095</v>
      </c>
      <c r="AZ50" s="41">
        <f>AVERAGE(AY44:AZ44)</f>
        <v>28949.5</v>
      </c>
      <c r="BA50" s="820">
        <f>AVERAGE(AZ44:BA44)</f>
        <v>29707</v>
      </c>
      <c r="BB50" s="41">
        <f>AVERAGE(BB44,BA44)</f>
        <v>30034.5</v>
      </c>
      <c r="BC50" s="41">
        <f>AVERAGE(BB44:BC44)</f>
        <v>30494.5</v>
      </c>
      <c r="BD50" s="41">
        <f>AVERAGE(BC44:BD44)</f>
        <v>31446</v>
      </c>
      <c r="BE50" s="820">
        <f>AVERAGE(BD44:BE44)</f>
        <v>32300</v>
      </c>
      <c r="BF50" s="41">
        <f>AVERAGE(BF45,BE45)</f>
        <v>33761.5</v>
      </c>
      <c r="BG50" s="821">
        <f>AVERAGE(BF45:BG45)</f>
        <v>34582</v>
      </c>
      <c r="BH50" s="821">
        <f>AVERAGE(BG45:BH45)</f>
        <v>35713.5</v>
      </c>
      <c r="BI50" s="822">
        <f>AVERAGE(BH45:BI45)</f>
        <v>36576.5</v>
      </c>
      <c r="BJ50" s="41">
        <f>AVERAGE(BJ45,BI45)</f>
        <v>37113.5</v>
      </c>
      <c r="BK50" s="821">
        <f>AVERAGE(BJ45:BK45)</f>
        <v>37939</v>
      </c>
      <c r="BL50" s="821">
        <f>AVERAGE(BK45:BL45)</f>
        <v>38903.5</v>
      </c>
      <c r="BM50" s="822">
        <f>AVERAGE(BL45:BM45)</f>
        <v>39663</v>
      </c>
      <c r="BN50" s="41">
        <f>AVERAGE(BN45,BM45)</f>
        <v>39990</v>
      </c>
      <c r="BO50" s="821">
        <f>AVERAGE(BN45:BO45)</f>
        <v>40330</v>
      </c>
      <c r="BP50" s="821">
        <f>AVERAGE(BO45:BP45)</f>
        <v>40938.5</v>
      </c>
      <c r="BQ50" s="822">
        <f>AVERAGE(BP45:BQ45)</f>
        <v>41337.5</v>
      </c>
      <c r="BR50" s="41">
        <f>AVERAGE(BR45,BQ45)</f>
        <v>41535.5</v>
      </c>
      <c r="BS50" s="821">
        <f>AVERAGE(BR45:BS45)</f>
        <v>41901.5</v>
      </c>
      <c r="BT50" s="821">
        <f>AVERAGE(BS45:BT45)</f>
        <v>42227</v>
      </c>
      <c r="BU50" s="822">
        <f>AVERAGE(BT45:BU45)</f>
        <v>42388</v>
      </c>
      <c r="BV50" s="41">
        <f>AVERAGE(BV44,BU44)</f>
        <v>42443.5</v>
      </c>
      <c r="BW50" s="821">
        <f>AVERAGE(BV44:BW44)</f>
        <v>42554.5</v>
      </c>
      <c r="BX50" s="821">
        <f>AVERAGE(BW44:BX44)</f>
        <v>42602.5</v>
      </c>
      <c r="BY50" s="822">
        <f>AVERAGE(BX44:BY44)</f>
        <v>42531.5</v>
      </c>
      <c r="BZ50" s="821"/>
      <c r="CA50" s="821"/>
      <c r="CB50" s="821"/>
      <c r="CC50" s="822"/>
      <c r="CD50" s="821"/>
      <c r="CE50" s="821"/>
      <c r="CF50" s="821"/>
      <c r="CG50" s="822"/>
      <c r="CH50" s="41">
        <f>AVERAGE(CH44,BY44)</f>
        <v>42440.5</v>
      </c>
      <c r="CI50" s="821">
        <f>AVERAGE(CH44:CI44)</f>
        <v>41729</v>
      </c>
      <c r="CJ50" s="821">
        <f>AVERAGE(CI44:CJ44)</f>
        <v>40933.5</v>
      </c>
      <c r="CK50" s="822">
        <f>AVERAGE(CJ44:CK44)</f>
        <v>40822</v>
      </c>
      <c r="CL50" s="821"/>
      <c r="CM50" s="821"/>
      <c r="CN50" s="821"/>
      <c r="CO50" s="822"/>
      <c r="CP50" s="821">
        <f>AVERAGE(CP44,CK44)</f>
        <v>40799.5</v>
      </c>
      <c r="CQ50" s="821">
        <f>AVERAGE(CP44:CQ44)</f>
        <v>40777</v>
      </c>
      <c r="CR50" s="821">
        <f>AVERAGE(CQ44:CR44)</f>
        <v>40777</v>
      </c>
      <c r="CS50" s="822">
        <f>AVERAGE(CR44:CS44)</f>
        <v>40777</v>
      </c>
      <c r="CT50" s="821">
        <f>AVERAGE(CT44,CS44)</f>
        <v>40663.5</v>
      </c>
      <c r="CU50" s="821">
        <f>AVERAGE(CT44:CU44)</f>
        <v>40550</v>
      </c>
      <c r="CV50" s="821">
        <f>AVERAGE(CU44:CV44)</f>
        <v>40527.5</v>
      </c>
      <c r="CW50" s="822">
        <f>AVERAGE(CV44:CW44)</f>
        <v>40505</v>
      </c>
      <c r="CX50" s="1959">
        <f t="shared" ref="CX50:DE50" si="201">AVERAGE(CW45:CX45)</f>
        <v>40417.5</v>
      </c>
      <c r="CY50" s="1959">
        <f t="shared" si="201"/>
        <v>40381.5</v>
      </c>
      <c r="CZ50" s="1959">
        <f t="shared" si="201"/>
        <v>40353</v>
      </c>
      <c r="DA50" s="1962">
        <f t="shared" si="201"/>
        <v>40175.5</v>
      </c>
      <c r="DB50" s="1959">
        <f t="shared" si="201"/>
        <v>39976.5</v>
      </c>
      <c r="DC50" s="1959">
        <f t="shared" si="201"/>
        <v>39936.5</v>
      </c>
      <c r="DD50" s="1959">
        <f t="shared" si="201"/>
        <v>39790.5</v>
      </c>
      <c r="DE50" s="1962">
        <f t="shared" si="201"/>
        <v>39662</v>
      </c>
      <c r="DF50" s="1966">
        <f t="shared" ref="DF50:DG50" si="202">AVERAGE(DE45:DF45)</f>
        <v>39633.5</v>
      </c>
      <c r="DG50" s="1966">
        <f t="shared" si="202"/>
        <v>39605.5</v>
      </c>
      <c r="DH50" s="1966">
        <f t="shared" ref="DH50:DM50" si="203">AVERAGE(DG45:DH45)</f>
        <v>39339</v>
      </c>
      <c r="DI50" s="1962">
        <f t="shared" ref="DI50" si="204">AVERAGE(DH45:DI45)</f>
        <v>39077</v>
      </c>
      <c r="DJ50" s="1963">
        <f t="shared" si="203"/>
        <v>38857.5</v>
      </c>
      <c r="DK50" s="1966">
        <f t="shared" si="203"/>
        <v>38574.67</v>
      </c>
      <c r="DL50" s="1966">
        <f t="shared" si="203"/>
        <v>38458.164583999998</v>
      </c>
      <c r="DM50" s="1962">
        <f t="shared" si="203"/>
        <v>38429.936518270006</v>
      </c>
      <c r="DN50" s="1966"/>
      <c r="DO50" s="1962"/>
      <c r="DP50" s="1967"/>
      <c r="DQ50" s="1967"/>
      <c r="DR50" s="1967"/>
      <c r="DS50" s="1967"/>
      <c r="DT50" s="1967"/>
      <c r="DU50" s="1967"/>
      <c r="DV50" s="1967"/>
      <c r="DW50" s="1967"/>
      <c r="DX50" s="1967"/>
      <c r="DY50" s="1967">
        <f>AVERAGE(DY44,DX44)</f>
        <v>6473</v>
      </c>
      <c r="DZ50" s="1967">
        <f>AVERAGE(DZ44,DY44)</f>
        <v>9135.5</v>
      </c>
      <c r="EA50" s="1967">
        <f>AVERAGE(N44:EA44)</f>
        <v>27136.41489361702</v>
      </c>
      <c r="EB50" s="1967">
        <f>AVERAGE(R44:EB44)</f>
        <v>27667.296703296703</v>
      </c>
      <c r="EC50" s="1967">
        <f>AVERAGE(V44:EC44)</f>
        <v>28212.988636363636</v>
      </c>
      <c r="ED50" s="1967">
        <f>AVERAGE(Z44:ED44)</f>
        <v>28777.576470588236</v>
      </c>
      <c r="EE50" s="1967">
        <f>AVERAGE(AD44:EE44)</f>
        <v>29326.939024390245</v>
      </c>
      <c r="EF50" s="1967">
        <f>AVERAGE(AH44:EF44)</f>
        <v>29833.126582278481</v>
      </c>
      <c r="EG50" s="1967">
        <f>AVERAGE(AL44:EG44)</f>
        <v>30264.657894736843</v>
      </c>
      <c r="EH50" s="1967">
        <f>AVERAGE(AP44:EH44)</f>
        <v>30611.575342465752</v>
      </c>
      <c r="EI50" s="1967">
        <f>AVERAGE(AT44:EI44)</f>
        <v>30898.271428571428</v>
      </c>
      <c r="EJ50" s="1967">
        <f>AVERAGE(EI44,EJ44)</f>
        <v>28687</v>
      </c>
      <c r="EK50" s="1967">
        <f>AVERAGE(EJ44,EK44)</f>
        <v>31151</v>
      </c>
      <c r="EL50" s="1967">
        <f>AVERAGE(EK45,EL45)</f>
        <v>35002.5</v>
      </c>
      <c r="EM50" s="1967">
        <f>AVERAGE(BJ50:BM50)</f>
        <v>38404.75</v>
      </c>
      <c r="EN50" s="1967">
        <f>AVERAGE(BN50:BQ50)</f>
        <v>40649</v>
      </c>
      <c r="EO50" s="1967">
        <f>AVERAGE(BR50:BU50)</f>
        <v>42013</v>
      </c>
      <c r="EP50" s="1967">
        <f>AVERAGE(BV50:BY50)</f>
        <v>42533</v>
      </c>
      <c r="EQ50" s="1967"/>
      <c r="ER50" s="1967"/>
      <c r="ES50" s="1967">
        <f>AVERAGE(CH50:CK50)</f>
        <v>41481.25</v>
      </c>
      <c r="ET50" s="1967"/>
      <c r="EU50" s="1967">
        <f>AVERAGE(CP50:CS50)</f>
        <v>40782.625</v>
      </c>
      <c r="EV50" s="1967">
        <f>AVERAGE(CT45:CW45)</f>
        <v>40495.75</v>
      </c>
      <c r="EW50" s="1967">
        <f>AVERAGE(CX45:DA45)</f>
        <v>40278.5</v>
      </c>
      <c r="EX50" s="2059">
        <f>AVERAGE(DB45:DE45)</f>
        <v>39799.25</v>
      </c>
      <c r="EY50" s="2059">
        <f>IFERROR(AVERAGE(DF45:DI45),"NA")</f>
        <v>39341.25</v>
      </c>
      <c r="EZ50" s="2060">
        <f>IFERROR(AVERAGE(DJ45:DM45),"NA")</f>
        <v>38502.303259134998</v>
      </c>
      <c r="FA50" s="1959">
        <f>+IFERROR(AVERAGE(EZ45:FA45),"NA")</f>
        <v>38459.883868540004</v>
      </c>
      <c r="FB50" s="1959" t="str">
        <f t="shared" ref="FB50:FH50" si="205">+IFERROR(AVERAGE(FA45:FB45),"NA")</f>
        <v>NA</v>
      </c>
      <c r="FC50" s="1959" t="str">
        <f t="shared" si="205"/>
        <v>NA</v>
      </c>
      <c r="FD50" s="1959" t="str">
        <f t="shared" si="205"/>
        <v>NA</v>
      </c>
      <c r="FE50" s="1959" t="str">
        <f t="shared" si="205"/>
        <v>NA</v>
      </c>
      <c r="FF50" s="1959" t="str">
        <f t="shared" si="205"/>
        <v>NA</v>
      </c>
      <c r="FG50" s="1959" t="str">
        <f t="shared" si="205"/>
        <v>NA</v>
      </c>
      <c r="FH50" s="1959" t="str">
        <f t="shared" si="205"/>
        <v>NA</v>
      </c>
      <c r="FI50" s="1969"/>
      <c r="FJ50"/>
      <c r="FK50"/>
      <c r="FL50"/>
      <c r="FM50"/>
      <c r="FN50"/>
      <c r="FO50"/>
      <c r="FP50" s="1964"/>
      <c r="FQ50" s="1967"/>
      <c r="FR50" s="1967"/>
      <c r="FS50" s="1966"/>
      <c r="FT50" s="428"/>
      <c r="FU50"/>
      <c r="FV50"/>
      <c r="FW50" s="1966"/>
      <c r="FX50" s="1966"/>
      <c r="FY50" s="1966"/>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row>
    <row r="51" spans="1:260" s="4" customFormat="1" ht="11.25" hidden="1" customHeight="1" outlineLevel="1" x14ac:dyDescent="0.2">
      <c r="A51" s="107" t="s">
        <v>120</v>
      </c>
      <c r="B51" s="100"/>
      <c r="C51" s="100"/>
      <c r="D51" s="100"/>
      <c r="E51" s="614"/>
      <c r="F51" s="100"/>
      <c r="G51" s="100"/>
      <c r="H51" s="100"/>
      <c r="I51" s="614"/>
      <c r="J51" s="100"/>
      <c r="K51" s="100"/>
      <c r="L51" s="100"/>
      <c r="M51" s="614"/>
      <c r="N51" s="100"/>
      <c r="O51" s="100"/>
      <c r="P51" s="100"/>
      <c r="Q51" s="614"/>
      <c r="R51" s="100"/>
      <c r="S51" s="100"/>
      <c r="T51" s="100"/>
      <c r="U51" s="614"/>
      <c r="V51" s="100"/>
      <c r="W51" s="100"/>
      <c r="X51" s="100"/>
      <c r="Y51" s="614"/>
      <c r="Z51" s="100">
        <f t="shared" ref="Z51:BE51" si="206">Z50/V50-1</f>
        <v>0.10002812035511988</v>
      </c>
      <c r="AA51" s="100">
        <f t="shared" si="206"/>
        <v>0.12731831568892771</v>
      </c>
      <c r="AB51" s="100">
        <f t="shared" si="206"/>
        <v>0.15364672690533387</v>
      </c>
      <c r="AC51" s="614">
        <f t="shared" si="206"/>
        <v>0.15240328253223923</v>
      </c>
      <c r="AD51" s="100">
        <f t="shared" si="206"/>
        <v>0.15889420443340763</v>
      </c>
      <c r="AE51" s="100">
        <f t="shared" si="206"/>
        <v>0.14287731685789939</v>
      </c>
      <c r="AF51" s="100">
        <f t="shared" si="206"/>
        <v>0.14537823457483734</v>
      </c>
      <c r="AG51" s="614">
        <f t="shared" si="206"/>
        <v>0.16807604272634791</v>
      </c>
      <c r="AH51" s="100">
        <f t="shared" si="206"/>
        <v>0.17952353942144073</v>
      </c>
      <c r="AI51" s="100">
        <f t="shared" si="206"/>
        <v>0.18241072531817615</v>
      </c>
      <c r="AJ51" s="100">
        <f t="shared" si="206"/>
        <v>0.16290611114317044</v>
      </c>
      <c r="AK51" s="614">
        <f t="shared" si="206"/>
        <v>0.14538823721525196</v>
      </c>
      <c r="AL51" s="100">
        <f t="shared" si="206"/>
        <v>0.14055194891934497</v>
      </c>
      <c r="AM51" s="100">
        <f t="shared" si="206"/>
        <v>0.14909736917731276</v>
      </c>
      <c r="AN51" s="100">
        <f t="shared" si="206"/>
        <v>0.14167328304882898</v>
      </c>
      <c r="AO51" s="614">
        <f t="shared" si="206"/>
        <v>0.12291790424141613</v>
      </c>
      <c r="AP51" s="100">
        <f t="shared" si="206"/>
        <v>0.11142602829569936</v>
      </c>
      <c r="AQ51" s="100">
        <f t="shared" si="206"/>
        <v>9.2374499818115741E-2</v>
      </c>
      <c r="AR51" s="100">
        <f t="shared" si="206"/>
        <v>8.0975355326639686E-2</v>
      </c>
      <c r="AS51" s="470">
        <f t="shared" si="206"/>
        <v>8.4599432900249738E-2</v>
      </c>
      <c r="AT51" s="100">
        <f t="shared" si="206"/>
        <v>9.3089422327130134E-2</v>
      </c>
      <c r="AU51" s="100">
        <f t="shared" si="206"/>
        <v>9.1910004786979416E-2</v>
      </c>
      <c r="AV51" s="100">
        <f t="shared" si="206"/>
        <v>7.8508242862886934E-2</v>
      </c>
      <c r="AW51" s="614">
        <f t="shared" si="206"/>
        <v>6.9377243639769048E-2</v>
      </c>
      <c r="AX51" s="100">
        <f t="shared" si="206"/>
        <v>6.8233524852504557E-2</v>
      </c>
      <c r="AY51" s="100">
        <f t="shared" si="206"/>
        <v>7.104054285877659E-2</v>
      </c>
      <c r="AZ51" s="100">
        <f t="shared" si="206"/>
        <v>7.9299095908285988E-2</v>
      </c>
      <c r="BA51" s="614">
        <f t="shared" si="206"/>
        <v>8.3959716850324773E-2</v>
      </c>
      <c r="BB51" s="100">
        <f t="shared" si="206"/>
        <v>8.4180128147279154E-2</v>
      </c>
      <c r="BC51" s="100">
        <f t="shared" si="206"/>
        <v>8.540665598860997E-2</v>
      </c>
      <c r="BD51" s="100">
        <f t="shared" si="206"/>
        <v>8.6236377139501608E-2</v>
      </c>
      <c r="BE51" s="614">
        <f t="shared" si="206"/>
        <v>8.7285824889756558E-2</v>
      </c>
      <c r="BF51" s="100">
        <f t="shared" ref="BF51:BY51" si="207">BF50/BB50-1</f>
        <v>0.12409062910985691</v>
      </c>
      <c r="BG51" s="101">
        <f t="shared" si="207"/>
        <v>0.13404056469199355</v>
      </c>
      <c r="BH51" s="101">
        <f t="shared" si="207"/>
        <v>0.13570883419194812</v>
      </c>
      <c r="BI51" s="493">
        <f t="shared" si="207"/>
        <v>0.1323993808049535</v>
      </c>
      <c r="BJ51" s="100">
        <f t="shared" si="207"/>
        <v>9.9284688180323766E-2</v>
      </c>
      <c r="BK51" s="101">
        <f t="shared" si="207"/>
        <v>9.7073622115551483E-2</v>
      </c>
      <c r="BL51" s="101">
        <f t="shared" si="207"/>
        <v>8.9321965083231758E-2</v>
      </c>
      <c r="BM51" s="493">
        <f t="shared" si="207"/>
        <v>8.4384782578978301E-2</v>
      </c>
      <c r="BN51" s="101">
        <f t="shared" si="207"/>
        <v>7.7505489916068315E-2</v>
      </c>
      <c r="BO51" s="101">
        <f t="shared" si="207"/>
        <v>6.3022219879279806E-2</v>
      </c>
      <c r="BP51" s="101">
        <f t="shared" si="207"/>
        <v>5.2308918220725698E-2</v>
      </c>
      <c r="BQ51" s="493">
        <f t="shared" si="207"/>
        <v>4.2218188235887411E-2</v>
      </c>
      <c r="BR51" s="101">
        <f t="shared" si="207"/>
        <v>3.8647161790447582E-2</v>
      </c>
      <c r="BS51" s="101">
        <f t="shared" si="207"/>
        <v>3.8966030250433992E-2</v>
      </c>
      <c r="BT51" s="101">
        <f t="shared" si="207"/>
        <v>3.1474040328785868E-2</v>
      </c>
      <c r="BU51" s="493">
        <f t="shared" si="207"/>
        <v>2.5412760810402224E-2</v>
      </c>
      <c r="BV51" s="101">
        <f t="shared" si="207"/>
        <v>2.1860817854606251E-2</v>
      </c>
      <c r="BW51" s="101">
        <f t="shared" si="207"/>
        <v>1.5584167631230494E-2</v>
      </c>
      <c r="BX51" s="101">
        <f t="shared" si="207"/>
        <v>8.8924148056930274E-3</v>
      </c>
      <c r="BY51" s="493">
        <f t="shared" si="207"/>
        <v>3.3853920921016467E-3</v>
      </c>
      <c r="BZ51" s="101"/>
      <c r="CA51" s="101"/>
      <c r="CB51" s="101"/>
      <c r="CC51" s="493"/>
      <c r="CD51" s="101"/>
      <c r="CE51" s="101"/>
      <c r="CF51" s="101"/>
      <c r="CG51" s="493"/>
      <c r="CH51" s="101">
        <f>CH50/BV50-1</f>
        <v>-7.0682201043781312E-5</v>
      </c>
      <c r="CI51" s="101">
        <f>CI50/BW50-1</f>
        <v>-1.9398653491405127E-2</v>
      </c>
      <c r="CJ51" s="101">
        <f>CJ50/BX50-1</f>
        <v>-3.9176104688691926E-2</v>
      </c>
      <c r="CK51" s="493">
        <f>CK50/BY50-1</f>
        <v>-4.0193738758332098E-2</v>
      </c>
      <c r="CL51" s="101"/>
      <c r="CM51" s="101"/>
      <c r="CN51" s="101"/>
      <c r="CO51" s="493"/>
      <c r="CP51" s="101">
        <f>CP50/CH50-1</f>
        <v>-3.8665896961628587E-2</v>
      </c>
      <c r="CQ51" s="101">
        <f>CQ50/CI50-1</f>
        <v>-2.2813870449807094E-2</v>
      </c>
      <c r="CR51" s="101">
        <f>CR50/CJ50-1</f>
        <v>-3.8232743352022425E-3</v>
      </c>
      <c r="CS51" s="493">
        <f>CS50/CK50-1</f>
        <v>-1.1023467737983905E-3</v>
      </c>
      <c r="CT51" s="101">
        <f t="shared" ref="CT51:DE51" si="208">CT50/CP50-1</f>
        <v>-3.3333741835070985E-3</v>
      </c>
      <c r="CU51" s="101">
        <f t="shared" si="208"/>
        <v>-5.5668636731490695E-3</v>
      </c>
      <c r="CV51" s="101">
        <f t="shared" si="208"/>
        <v>-6.1186453147608066E-3</v>
      </c>
      <c r="CW51" s="493">
        <f t="shared" si="208"/>
        <v>-6.6704269563724328E-3</v>
      </c>
      <c r="CX51" s="101">
        <f t="shared" si="208"/>
        <v>-6.0496514072817531E-3</v>
      </c>
      <c r="CY51" s="101">
        <f t="shared" si="208"/>
        <v>-4.1553637484587069E-3</v>
      </c>
      <c r="CZ51" s="101">
        <f t="shared" si="208"/>
        <v>-4.3057183393991894E-3</v>
      </c>
      <c r="DA51" s="493">
        <f t="shared" si="208"/>
        <v>-8.1347981730650609E-3</v>
      </c>
      <c r="DB51" s="101">
        <f t="shared" si="208"/>
        <v>-1.0911115234737423E-2</v>
      </c>
      <c r="DC51" s="101">
        <f t="shared" si="208"/>
        <v>-1.1019897725443539E-2</v>
      </c>
      <c r="DD51" s="101">
        <f t="shared" si="208"/>
        <v>-1.39394840532302E-2</v>
      </c>
      <c r="DE51" s="493">
        <f t="shared" si="208"/>
        <v>-1.2781421513111235E-2</v>
      </c>
      <c r="DF51" s="113">
        <f t="shared" ref="DF51:DG51" si="209">DF50/DB50-1</f>
        <v>-8.5800407739546891E-3</v>
      </c>
      <c r="DG51" s="113">
        <f t="shared" si="209"/>
        <v>-8.2881574499518162E-3</v>
      </c>
      <c r="DH51" s="113">
        <f t="shared" ref="DH51:DM51" si="210">DH50/DD50-1</f>
        <v>-1.1346929543484041E-2</v>
      </c>
      <c r="DI51" s="493">
        <f t="shared" ref="DI51" si="211">DI50/DE50-1</f>
        <v>-1.474963441077104E-2</v>
      </c>
      <c r="DJ51" s="1724">
        <f t="shared" si="210"/>
        <v>-1.957939621784599E-2</v>
      </c>
      <c r="DK51" s="113">
        <f t="shared" si="210"/>
        <v>-2.6027445683049155E-2</v>
      </c>
      <c r="DL51" s="113">
        <f t="shared" si="210"/>
        <v>-2.2390894938864814E-2</v>
      </c>
      <c r="DM51" s="493">
        <f t="shared" si="210"/>
        <v>-1.6558678550809836E-2</v>
      </c>
      <c r="DN51" s="65"/>
      <c r="DO51" s="559"/>
      <c r="DP51" s="107"/>
      <c r="DQ51" s="107"/>
      <c r="DR51" s="107"/>
      <c r="DS51" s="107"/>
      <c r="DT51" s="107"/>
      <c r="DU51" s="107"/>
      <c r="DV51" s="107"/>
      <c r="DW51" s="107"/>
      <c r="DX51" s="100"/>
      <c r="DY51" s="100"/>
      <c r="DZ51" s="100">
        <f>DZ50/DY50-1</f>
        <v>0.411323961069056</v>
      </c>
      <c r="EA51" s="100"/>
      <c r="EB51" s="100"/>
      <c r="EC51" s="100"/>
      <c r="ED51" s="100">
        <f t="shared" ref="ED51:EP51" si="212">ED50/EC50-1</f>
        <v>2.0011628030676132E-2</v>
      </c>
      <c r="EE51" s="100">
        <f t="shared" si="212"/>
        <v>1.9089952010499456E-2</v>
      </c>
      <c r="EF51" s="100">
        <f t="shared" si="212"/>
        <v>1.7260156522549419E-2</v>
      </c>
      <c r="EG51" s="100">
        <f t="shared" si="212"/>
        <v>1.4464836974703799E-2</v>
      </c>
      <c r="EH51" s="100">
        <f t="shared" si="212"/>
        <v>1.1462790986619398E-2</v>
      </c>
      <c r="EI51" s="100">
        <f t="shared" si="212"/>
        <v>9.3656103254495804E-3</v>
      </c>
      <c r="EJ51" s="100">
        <f t="shared" si="212"/>
        <v>-7.1566185625733136E-2</v>
      </c>
      <c r="EK51" s="100">
        <f t="shared" si="212"/>
        <v>8.589256457628891E-2</v>
      </c>
      <c r="EL51" s="100">
        <f t="shared" si="212"/>
        <v>0.12363969053962953</v>
      </c>
      <c r="EM51" s="100">
        <f t="shared" si="212"/>
        <v>9.7200199985715274E-2</v>
      </c>
      <c r="EN51" s="101">
        <f t="shared" si="212"/>
        <v>5.8436781908487889E-2</v>
      </c>
      <c r="EO51" s="100">
        <f t="shared" si="212"/>
        <v>3.3555561022411418E-2</v>
      </c>
      <c r="EP51" s="100">
        <f t="shared" si="212"/>
        <v>1.2377121367195931E-2</v>
      </c>
      <c r="EQ51" s="100"/>
      <c r="ER51" s="100"/>
      <c r="ES51" s="100">
        <f>ES50/EP50-1</f>
        <v>-2.4727858368795985E-2</v>
      </c>
      <c r="ET51" s="100"/>
      <c r="EU51" s="100">
        <f>EU50/ES50-1</f>
        <v>-1.6841946662648821E-2</v>
      </c>
      <c r="EV51" s="100">
        <f t="shared" ref="EV51:EW51" si="213">+IFERROR(EV50/EU50-1,"NA")</f>
        <v>-7.0342455886545086E-3</v>
      </c>
      <c r="EW51" s="100">
        <f t="shared" si="213"/>
        <v>-5.3647604995585851E-3</v>
      </c>
      <c r="EX51" s="100">
        <f>+IFERROR(EX50/EW50-1,"NA")</f>
        <v>-1.1898407338902905E-2</v>
      </c>
      <c r="EY51" s="100">
        <f t="shared" ref="EY51:FA51" si="214">+IFERROR(EY50/EX50-1,"NA")</f>
        <v>-1.1507754543113258E-2</v>
      </c>
      <c r="EZ51" s="1680">
        <f t="shared" si="214"/>
        <v>-2.1324862348425677E-2</v>
      </c>
      <c r="FA51" s="100">
        <f t="shared" si="214"/>
        <v>-1.1017364418304254E-3</v>
      </c>
      <c r="FB51" s="100" t="str">
        <f t="shared" ref="FB51" si="215">+IFERROR(FB50/FA50-1,"NA")</f>
        <v>NA</v>
      </c>
      <c r="FC51" s="100" t="str">
        <f t="shared" ref="FC51" si="216">+IFERROR(FC50/FB50-1,"NA")</f>
        <v>NA</v>
      </c>
      <c r="FD51" s="100" t="str">
        <f t="shared" ref="FD51" si="217">+IFERROR(FD50/FC50-1,"NA")</f>
        <v>NA</v>
      </c>
      <c r="FE51" s="100" t="str">
        <f t="shared" ref="FE51" si="218">+IFERROR(FE50/FD50-1,"NA")</f>
        <v>NA</v>
      </c>
      <c r="FF51" s="100" t="str">
        <f t="shared" ref="FF51" si="219">+IFERROR(FF50/FE50-1,"NA")</f>
        <v>NA</v>
      </c>
      <c r="FG51" s="100" t="str">
        <f t="shared" ref="FG51" si="220">+IFERROR(FG50/FF50-1,"NA")</f>
        <v>NA</v>
      </c>
      <c r="FH51" s="100" t="str">
        <f t="shared" ref="FH51" si="221">+IFERROR(FH50/FG50-1,"NA")</f>
        <v>NA</v>
      </c>
      <c r="FI51" s="940"/>
      <c r="FJ51"/>
      <c r="FK51"/>
      <c r="FL51"/>
      <c r="FM51"/>
      <c r="FN51"/>
      <c r="FO51"/>
      <c r="FP51" s="3"/>
      <c r="FS51" s="113"/>
      <c r="FT51" s="113"/>
      <c r="FU51"/>
      <c r="FV51"/>
      <c r="FW51" s="113"/>
      <c r="FX51" s="113"/>
      <c r="FY51" s="113"/>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row>
    <row r="52" spans="1:260" s="4" customFormat="1" hidden="1" outlineLevel="1" x14ac:dyDescent="0.2">
      <c r="E52" s="470"/>
      <c r="I52" s="470"/>
      <c r="M52" s="470"/>
      <c r="Q52" s="470"/>
      <c r="U52" s="470"/>
      <c r="Y52" s="470"/>
      <c r="AC52" s="470"/>
      <c r="AG52" s="470"/>
      <c r="AK52" s="470"/>
      <c r="AO52" s="470"/>
      <c r="AS52" s="470"/>
      <c r="AW52" s="470"/>
      <c r="BA52" s="470"/>
      <c r="BE52" s="470"/>
      <c r="BI52" s="470"/>
      <c r="BM52" s="470"/>
      <c r="BQ52" s="470"/>
      <c r="BU52" s="470"/>
      <c r="BY52" s="470"/>
      <c r="CC52" s="470"/>
      <c r="CG52" s="470"/>
      <c r="CK52" s="470"/>
      <c r="CO52" s="470"/>
      <c r="CS52" s="470"/>
      <c r="CU52" s="6"/>
      <c r="CV52" s="6"/>
      <c r="CW52" s="484"/>
      <c r="CX52" s="1959"/>
      <c r="CY52" s="1959"/>
      <c r="CZ52" s="1959"/>
      <c r="DA52" s="1962"/>
      <c r="DB52" s="1959"/>
      <c r="DC52" s="1959"/>
      <c r="DD52" s="1966"/>
      <c r="DE52" s="1962"/>
      <c r="DF52" s="1966"/>
      <c r="DG52" s="1966"/>
      <c r="DH52" s="1966"/>
      <c r="DI52" s="1962"/>
      <c r="DJ52" s="1963"/>
      <c r="DK52" s="1964"/>
      <c r="DL52" s="1964"/>
      <c r="DM52" s="1965"/>
      <c r="DN52" s="1966"/>
      <c r="DO52" s="1962"/>
      <c r="DP52" s="1967"/>
      <c r="DQ52" s="1967"/>
      <c r="DR52" s="1967"/>
      <c r="DS52" s="1967"/>
      <c r="DT52" s="1967"/>
      <c r="DU52" s="1967"/>
      <c r="DV52" s="1967"/>
      <c r="DW52" s="1967"/>
      <c r="DX52" s="1967"/>
      <c r="DY52" s="1967"/>
      <c r="DZ52" s="1967"/>
      <c r="EA52" s="1967"/>
      <c r="EB52" s="1967"/>
      <c r="EC52" s="1967"/>
      <c r="ED52" s="1967"/>
      <c r="EE52" s="1967"/>
      <c r="EF52" s="1967"/>
      <c r="EG52" s="1967"/>
      <c r="EH52" s="1967"/>
      <c r="EI52" s="1967"/>
      <c r="EJ52" s="1967"/>
      <c r="EK52" s="1967"/>
      <c r="EL52" s="1967"/>
      <c r="EM52" s="1967"/>
      <c r="EN52" s="1967"/>
      <c r="EO52" s="1967"/>
      <c r="EP52" s="1967"/>
      <c r="EQ52" s="1967"/>
      <c r="ER52" s="1967"/>
      <c r="ES52" s="1967"/>
      <c r="ET52" s="1967"/>
      <c r="EU52" s="1967"/>
      <c r="EV52" s="1967"/>
      <c r="EW52" s="1967"/>
      <c r="EX52" s="1959"/>
      <c r="EY52" s="1959"/>
      <c r="EZ52" s="1968"/>
      <c r="FA52" s="1967"/>
      <c r="FB52" s="1967"/>
      <c r="FC52" s="1967"/>
      <c r="FD52" s="1967"/>
      <c r="FE52" s="1964"/>
      <c r="FF52" s="1964"/>
      <c r="FG52" s="1964"/>
      <c r="FH52" s="1964"/>
      <c r="FI52" s="1969"/>
      <c r="FJ52"/>
      <c r="FK52"/>
      <c r="FL52"/>
      <c r="FM52"/>
      <c r="FN52"/>
      <c r="FO52"/>
      <c r="FP52" s="1964"/>
      <c r="FQ52" s="1967"/>
      <c r="FR52" s="1967"/>
      <c r="FS52" s="1966"/>
      <c r="FT52" s="7"/>
      <c r="FU52"/>
      <c r="FV52"/>
      <c r="FW52" s="1966"/>
      <c r="FX52" s="1966"/>
      <c r="FY52" s="1966"/>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row>
    <row r="53" spans="1:260" s="4" customFormat="1" hidden="1" outlineLevel="1" x14ac:dyDescent="0.2">
      <c r="A53" s="434"/>
      <c r="B53" s="92"/>
      <c r="C53" s="92"/>
      <c r="D53" s="92"/>
      <c r="E53" s="536"/>
      <c r="F53" s="92"/>
      <c r="G53" s="92"/>
      <c r="H53" s="92"/>
      <c r="I53" s="536"/>
      <c r="J53" s="92"/>
      <c r="K53" s="92"/>
      <c r="L53" s="92"/>
      <c r="M53" s="536"/>
      <c r="N53" s="92"/>
      <c r="O53" s="92"/>
      <c r="P53" s="92"/>
      <c r="Q53" s="536"/>
      <c r="R53" s="92"/>
      <c r="S53" s="92"/>
      <c r="T53" s="92"/>
      <c r="U53" s="536"/>
      <c r="V53" s="92"/>
      <c r="W53" s="92"/>
      <c r="X53" s="92"/>
      <c r="Y53" s="536"/>
      <c r="Z53" s="92"/>
      <c r="AA53" s="92"/>
      <c r="AB53" s="92"/>
      <c r="AC53" s="536"/>
      <c r="AD53" s="92"/>
      <c r="AE53" s="92"/>
      <c r="AF53" s="92"/>
      <c r="AG53" s="536"/>
      <c r="AH53" s="92"/>
      <c r="AI53" s="92"/>
      <c r="AJ53" s="92"/>
      <c r="AK53" s="536"/>
      <c r="AL53" s="92"/>
      <c r="AM53" s="92"/>
      <c r="AN53" s="92"/>
      <c r="AO53" s="536"/>
      <c r="AP53" s="92"/>
      <c r="AQ53" s="92"/>
      <c r="AR53" s="92"/>
      <c r="AS53" s="470"/>
      <c r="AT53" s="214"/>
      <c r="AU53" s="214"/>
      <c r="AV53" s="214"/>
      <c r="AW53" s="560"/>
      <c r="AX53" s="214"/>
      <c r="AY53" s="214"/>
      <c r="AZ53" s="214"/>
      <c r="BA53" s="560"/>
      <c r="BB53" s="214"/>
      <c r="BC53" s="214"/>
      <c r="BD53" s="214"/>
      <c r="BE53" s="560"/>
      <c r="BF53" s="214"/>
      <c r="BG53" s="214"/>
      <c r="BH53" s="214"/>
      <c r="BI53" s="560"/>
      <c r="BJ53" s="214"/>
      <c r="BK53" s="214"/>
      <c r="BL53" s="214"/>
      <c r="BM53" s="560"/>
      <c r="BN53" s="214"/>
      <c r="BO53" s="214"/>
      <c r="BP53" s="214"/>
      <c r="BQ53" s="536"/>
      <c r="BR53" s="92"/>
      <c r="BS53" s="92"/>
      <c r="BT53" s="92"/>
      <c r="BU53" s="536"/>
      <c r="BV53" s="92"/>
      <c r="BW53" s="782"/>
      <c r="BX53" s="782"/>
      <c r="BY53" s="536"/>
      <c r="BZ53" s="92"/>
      <c r="CA53" s="92"/>
      <c r="CB53" s="92"/>
      <c r="CC53" s="536"/>
      <c r="CD53" s="92"/>
      <c r="CE53" s="92"/>
      <c r="CF53" s="92"/>
      <c r="CG53" s="536"/>
      <c r="CH53" s="92"/>
      <c r="CI53" s="92"/>
      <c r="CJ53" s="92"/>
      <c r="CK53" s="536"/>
      <c r="CL53" s="92"/>
      <c r="CM53" s="92"/>
      <c r="CN53" s="92"/>
      <c r="CO53" s="536"/>
      <c r="CP53" s="92"/>
      <c r="CQ53" s="92"/>
      <c r="CR53" s="92"/>
      <c r="CS53" s="536"/>
      <c r="CT53" s="214"/>
      <c r="CU53" s="214"/>
      <c r="CV53" s="214"/>
      <c r="CW53" s="560"/>
      <c r="CX53" s="1970"/>
      <c r="CY53" s="1970"/>
      <c r="CZ53" s="1970"/>
      <c r="DA53" s="1971"/>
      <c r="DB53" s="1970"/>
      <c r="DC53" s="1970"/>
      <c r="DD53" s="1972"/>
      <c r="DE53" s="1971"/>
      <c r="DF53" s="1972"/>
      <c r="DG53" s="1972"/>
      <c r="DH53" s="1972"/>
      <c r="DI53" s="1971"/>
      <c r="DJ53" s="2725"/>
      <c r="DK53" s="1972"/>
      <c r="DL53" s="1972"/>
      <c r="DM53" s="1971"/>
      <c r="DN53" s="1972"/>
      <c r="DO53" s="1962"/>
      <c r="DP53" s="1964"/>
      <c r="DQ53" s="1964"/>
      <c r="DR53" s="1973"/>
      <c r="DS53" s="1973"/>
      <c r="DT53" s="1973"/>
      <c r="DU53" s="1973"/>
      <c r="DV53" s="1973"/>
      <c r="DW53" s="1973"/>
      <c r="DX53" s="1974"/>
      <c r="DY53" s="1974"/>
      <c r="DZ53" s="1974"/>
      <c r="EA53" s="1974"/>
      <c r="EB53" s="1974"/>
      <c r="EC53" s="1974"/>
      <c r="ED53" s="1974"/>
      <c r="EE53" s="1974"/>
      <c r="EF53" s="1974"/>
      <c r="EG53" s="1974"/>
      <c r="EH53" s="1974"/>
      <c r="EI53" s="1970"/>
      <c r="EJ53" s="1970"/>
      <c r="EK53" s="1970"/>
      <c r="EL53" s="1970"/>
      <c r="EM53" s="1970"/>
      <c r="EN53" s="1970"/>
      <c r="EO53" s="1974"/>
      <c r="EP53" s="1970"/>
      <c r="EQ53" s="1974"/>
      <c r="ER53" s="1974"/>
      <c r="ES53" s="1970"/>
      <c r="ET53" s="1970"/>
      <c r="EU53" s="1970"/>
      <c r="EV53" s="1970"/>
      <c r="EW53" s="1970"/>
      <c r="EX53" s="1959"/>
      <c r="EY53" s="1959"/>
      <c r="EZ53" s="1968"/>
      <c r="FA53" s="1960"/>
      <c r="FB53" s="1960"/>
      <c r="FC53" s="1960"/>
      <c r="FD53" s="1960"/>
      <c r="FE53" s="1964"/>
      <c r="FF53" s="1967"/>
      <c r="FG53" s="1964"/>
      <c r="FH53" s="1967"/>
      <c r="FI53" s="1969"/>
      <c r="FJ53"/>
      <c r="FK53"/>
      <c r="FL53"/>
      <c r="FM53"/>
      <c r="FN53"/>
      <c r="FO53"/>
      <c r="FP53" s="1964"/>
      <c r="FQ53" s="1967"/>
      <c r="FR53" s="1967"/>
      <c r="FS53" s="1975"/>
      <c r="FT53" s="782"/>
      <c r="FU53"/>
      <c r="FV53"/>
      <c r="FW53" s="1975"/>
      <c r="FX53" s="1975"/>
      <c r="FY53" s="1975"/>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row>
    <row r="54" spans="1:260" s="7" customFormat="1" ht="11.25" hidden="1" customHeight="1" outlineLevel="1" x14ac:dyDescent="0.2">
      <c r="A54" s="53" t="s">
        <v>311</v>
      </c>
      <c r="B54" s="172"/>
      <c r="C54" s="172"/>
      <c r="D54" s="172"/>
      <c r="E54" s="524"/>
      <c r="F54" s="172"/>
      <c r="G54" s="172"/>
      <c r="H54" s="172"/>
      <c r="I54" s="524"/>
      <c r="J54" s="172"/>
      <c r="K54" s="172"/>
      <c r="L54" s="172"/>
      <c r="M54" s="524"/>
      <c r="N54" s="172"/>
      <c r="O54" s="172"/>
      <c r="P54" s="172"/>
      <c r="Q54" s="524"/>
      <c r="R54" s="172"/>
      <c r="S54" s="172"/>
      <c r="T54" s="172"/>
      <c r="U54" s="524"/>
      <c r="V54" s="172"/>
      <c r="W54" s="172"/>
      <c r="X54" s="172"/>
      <c r="Y54" s="524"/>
      <c r="Z54" s="172"/>
      <c r="AA54" s="172"/>
      <c r="AB54" s="172"/>
      <c r="AC54" s="524"/>
      <c r="AD54" s="172"/>
      <c r="AE54" s="172"/>
      <c r="AF54" s="172"/>
      <c r="AG54" s="524"/>
      <c r="AH54" s="172"/>
      <c r="AI54" s="172"/>
      <c r="AJ54" s="172"/>
      <c r="AK54" s="524"/>
      <c r="AL54" s="172"/>
      <c r="AM54" s="172"/>
      <c r="AN54" s="172"/>
      <c r="AO54" s="524"/>
      <c r="AP54" s="172"/>
      <c r="AQ54" s="172"/>
      <c r="AR54" s="172"/>
      <c r="AS54" s="470"/>
      <c r="AT54" s="172"/>
      <c r="AU54" s="172"/>
      <c r="AV54" s="172"/>
      <c r="AW54" s="524"/>
      <c r="AX54" s="172"/>
      <c r="AY54" s="172"/>
      <c r="AZ54" s="172"/>
      <c r="BA54" s="524"/>
      <c r="BB54" s="172"/>
      <c r="BC54" s="172"/>
      <c r="BD54" s="172"/>
      <c r="BE54" s="524"/>
      <c r="BF54" s="172"/>
      <c r="BG54" s="172"/>
      <c r="BH54" s="172"/>
      <c r="BI54" s="524"/>
      <c r="BJ54" s="172"/>
      <c r="BK54" s="172"/>
      <c r="BL54" s="172"/>
      <c r="BM54" s="524"/>
      <c r="BN54" s="172"/>
      <c r="BO54" s="172"/>
      <c r="BP54" s="172"/>
      <c r="BQ54" s="524"/>
      <c r="BR54" s="172"/>
      <c r="BS54" s="172"/>
      <c r="BT54" s="172"/>
      <c r="BU54" s="524"/>
      <c r="BV54" s="172"/>
      <c r="BW54" s="172"/>
      <c r="BX54" s="172"/>
      <c r="BY54" s="524"/>
      <c r="BZ54" s="172"/>
      <c r="CA54" s="172"/>
      <c r="CB54" s="172"/>
      <c r="CC54" s="524"/>
      <c r="CD54" s="172"/>
      <c r="CE54" s="172"/>
      <c r="CF54" s="172"/>
      <c r="CG54" s="524"/>
      <c r="CH54" s="172"/>
      <c r="CI54" s="172"/>
      <c r="CJ54" s="172"/>
      <c r="CK54" s="524"/>
      <c r="CO54" s="484"/>
      <c r="CS54" s="484"/>
      <c r="CU54" s="172"/>
      <c r="CV54" s="172"/>
      <c r="CW54" s="524"/>
      <c r="CX54" s="1975"/>
      <c r="CY54" s="1975"/>
      <c r="CZ54" s="1975"/>
      <c r="DA54" s="1976"/>
      <c r="DB54" s="1975"/>
      <c r="DC54" s="1975"/>
      <c r="DD54" s="1975"/>
      <c r="DE54" s="1976"/>
      <c r="DF54" s="1975"/>
      <c r="DG54" s="1975"/>
      <c r="DH54" s="1975"/>
      <c r="DI54" s="1976"/>
      <c r="DJ54" s="2723"/>
      <c r="DK54" s="1975"/>
      <c r="DL54" s="1975"/>
      <c r="DM54" s="1976"/>
      <c r="DN54" s="1975"/>
      <c r="DO54" s="1976"/>
      <c r="DP54" s="1975"/>
      <c r="DQ54" s="1975"/>
      <c r="DR54" s="1975"/>
      <c r="DS54" s="1975"/>
      <c r="DT54" s="1975"/>
      <c r="DU54" s="1975"/>
      <c r="DV54" s="1975"/>
      <c r="DW54" s="1975"/>
      <c r="DX54" s="1975"/>
      <c r="DY54" s="1975"/>
      <c r="DZ54" s="1975"/>
      <c r="EA54" s="1975"/>
      <c r="EB54" s="1975"/>
      <c r="EC54" s="1975"/>
      <c r="ED54" s="1975"/>
      <c r="EE54" s="1975"/>
      <c r="EF54" s="1975"/>
      <c r="EG54" s="1975"/>
      <c r="EH54" s="1975"/>
      <c r="EI54" s="1975"/>
      <c r="EJ54" s="1975"/>
      <c r="EK54" s="1975"/>
      <c r="EL54" s="1975"/>
      <c r="EM54" s="1975"/>
      <c r="EN54" s="1966"/>
      <c r="EO54" s="1966"/>
      <c r="EP54" s="1966"/>
      <c r="EQ54" s="1966"/>
      <c r="ER54" s="1966"/>
      <c r="ES54" s="1966"/>
      <c r="ET54" s="1966"/>
      <c r="EU54" s="1966"/>
      <c r="EV54" s="1966"/>
      <c r="EW54" s="1966"/>
      <c r="EX54" s="1959"/>
      <c r="EY54" s="1959"/>
      <c r="EZ54" s="1968"/>
      <c r="FA54" s="1966"/>
      <c r="FB54" s="1966"/>
      <c r="FC54" s="1966"/>
      <c r="FD54" s="1966"/>
      <c r="FE54" s="1966"/>
      <c r="FF54" s="1966"/>
      <c r="FG54" s="1966"/>
      <c r="FH54" s="1966"/>
      <c r="FI54" s="1969"/>
      <c r="FJ54"/>
      <c r="FK54"/>
      <c r="FL54"/>
      <c r="FM54"/>
      <c r="FN54"/>
      <c r="FO54"/>
      <c r="FP54" s="1966"/>
      <c r="FQ54" s="1966"/>
      <c r="FR54" s="1966"/>
      <c r="FS54" s="1966"/>
      <c r="FU54"/>
      <c r="FV54"/>
      <c r="FW54" s="1966"/>
      <c r="FX54" s="1966"/>
      <c r="FY54" s="1966"/>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row>
    <row r="55" spans="1:260" s="1206" customFormat="1" ht="11.25" hidden="1" customHeight="1" outlineLevel="1" x14ac:dyDescent="0.2">
      <c r="A55" s="1206" t="s">
        <v>121</v>
      </c>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70"/>
      <c r="AT55" s="4"/>
      <c r="AU55" s="4"/>
      <c r="AV55" s="4"/>
      <c r="AW55" s="4"/>
      <c r="AX55" s="4"/>
      <c r="AY55" s="4"/>
      <c r="AZ55" s="4"/>
      <c r="BA55" s="4"/>
      <c r="BB55" s="4"/>
      <c r="BC55" s="4"/>
      <c r="BD55" s="4">
        <v>5</v>
      </c>
      <c r="BE55" s="4">
        <v>0</v>
      </c>
      <c r="BF55" s="4">
        <v>0</v>
      </c>
      <c r="BG55" s="4">
        <v>0</v>
      </c>
      <c r="BH55" s="4">
        <v>2</v>
      </c>
      <c r="BI55" s="4">
        <v>2</v>
      </c>
      <c r="BJ55" s="4">
        <v>5</v>
      </c>
      <c r="BK55" s="4">
        <v>7</v>
      </c>
      <c r="BL55" s="4">
        <v>18</v>
      </c>
      <c r="BM55" s="4">
        <v>-1</v>
      </c>
      <c r="BN55" s="4">
        <v>1</v>
      </c>
      <c r="BO55" s="4">
        <v>9</v>
      </c>
      <c r="BP55" s="4">
        <v>21</v>
      </c>
      <c r="BQ55" s="4">
        <f>BQ56-BP56</f>
        <v>5</v>
      </c>
      <c r="BR55" s="4">
        <f>BR56-EN56</f>
        <v>6</v>
      </c>
      <c r="BS55" s="4">
        <f>BS56-BR56</f>
        <v>29</v>
      </c>
      <c r="BT55" s="4">
        <f>BT56-BS56</f>
        <v>48</v>
      </c>
      <c r="BU55" s="4">
        <f>BU56-BT56</f>
        <v>20</v>
      </c>
      <c r="BV55" s="4">
        <f>BV56-EO56</f>
        <v>21</v>
      </c>
      <c r="BW55" s="4">
        <f>BW56-BV56</f>
        <v>24</v>
      </c>
      <c r="BX55" s="4">
        <f>BX56-BW56</f>
        <v>59</v>
      </c>
      <c r="BY55" s="4">
        <f>BY56-BX56</f>
        <v>24</v>
      </c>
      <c r="CC55" s="1208"/>
      <c r="CG55" s="1208"/>
      <c r="CH55" s="4">
        <f>CH56-EP56</f>
        <v>21</v>
      </c>
      <c r="CI55" s="4">
        <f>CI56-CH56</f>
        <v>33</v>
      </c>
      <c r="CJ55" s="4">
        <f>CJ56-CI56</f>
        <v>33</v>
      </c>
      <c r="CK55" s="4">
        <f>CK56-CJ56</f>
        <v>17</v>
      </c>
      <c r="CM55" s="4"/>
      <c r="CN55" s="4"/>
      <c r="CO55" s="1208"/>
      <c r="CP55" s="4">
        <f>CP56-ES56</f>
        <v>10</v>
      </c>
      <c r="CQ55" s="4">
        <f>CQ56-CP56</f>
        <v>-3</v>
      </c>
      <c r="CR55" s="4">
        <f>CR56-CQ56</f>
        <v>-1</v>
      </c>
      <c r="CS55" s="470">
        <f>CS56-CR56</f>
        <v>-9</v>
      </c>
      <c r="CT55" s="4">
        <f>1-1</f>
        <v>0</v>
      </c>
      <c r="CU55" s="4">
        <v>-15</v>
      </c>
      <c r="CV55" s="4">
        <f t="shared" ref="CV55:DE55" si="222">CV56-CU56</f>
        <v>-2</v>
      </c>
      <c r="CW55" s="470">
        <f t="shared" si="222"/>
        <v>-22</v>
      </c>
      <c r="CX55" s="1967">
        <f t="shared" si="222"/>
        <v>-5</v>
      </c>
      <c r="CY55" s="1967">
        <f t="shared" si="222"/>
        <v>-6</v>
      </c>
      <c r="CZ55" s="1967">
        <f t="shared" si="222"/>
        <v>-2</v>
      </c>
      <c r="DA55" s="1965">
        <f t="shared" si="222"/>
        <v>-4</v>
      </c>
      <c r="DB55" s="1967">
        <f t="shared" si="222"/>
        <v>-12</v>
      </c>
      <c r="DC55" s="1959">
        <f t="shared" si="222"/>
        <v>-4</v>
      </c>
      <c r="DD55" s="1959">
        <f t="shared" si="222"/>
        <v>-3</v>
      </c>
      <c r="DE55" s="1962">
        <f t="shared" si="222"/>
        <v>-22</v>
      </c>
      <c r="DF55" s="1966">
        <f t="shared" ref="DF55:DG55" si="223">DF56-DE56</f>
        <v>-11</v>
      </c>
      <c r="DG55" s="1966">
        <f t="shared" si="223"/>
        <v>-6</v>
      </c>
      <c r="DH55" s="1966">
        <f t="shared" ref="DH55:DM55" si="224">DH56-DG56</f>
        <v>-5</v>
      </c>
      <c r="DI55" s="1962">
        <f t="shared" ref="DI55" si="225">DI56-DH56</f>
        <v>-30</v>
      </c>
      <c r="DJ55" s="1963">
        <f t="shared" si="224"/>
        <v>-257</v>
      </c>
      <c r="DK55" s="1964">
        <f t="shared" si="224"/>
        <v>0</v>
      </c>
      <c r="DL55" s="1964">
        <f t="shared" si="224"/>
        <v>0</v>
      </c>
      <c r="DM55" s="1965">
        <f t="shared" si="224"/>
        <v>0</v>
      </c>
      <c r="DN55" s="1964"/>
      <c r="DO55" s="1965"/>
      <c r="DP55" s="1967"/>
      <c r="DQ55" s="1967"/>
      <c r="DR55" s="1967"/>
      <c r="DS55" s="1967"/>
      <c r="DT55" s="1967"/>
      <c r="DU55" s="1967"/>
      <c r="DV55" s="1967"/>
      <c r="DW55" s="1967"/>
      <c r="DX55" s="1967"/>
      <c r="DY55" s="1967"/>
      <c r="DZ55" s="1967"/>
      <c r="EA55" s="1967"/>
      <c r="EB55" s="1967"/>
      <c r="EC55" s="1967"/>
      <c r="ED55" s="1967"/>
      <c r="EE55" s="1967"/>
      <c r="EF55" s="1967"/>
      <c r="EG55" s="1967"/>
      <c r="EH55" s="1967"/>
      <c r="EI55" s="1967"/>
      <c r="EJ55" s="1967"/>
      <c r="EK55" s="1967"/>
      <c r="EL55" s="1967">
        <f>SUM(BF55:BI55)</f>
        <v>4</v>
      </c>
      <c r="EM55" s="1967">
        <f>SUM(BJ55:BM55)</f>
        <v>29</v>
      </c>
      <c r="EN55" s="1967">
        <f>SUM(BN55:BQ55)</f>
        <v>36</v>
      </c>
      <c r="EO55" s="1967">
        <f>SUM(BR55:BU55)</f>
        <v>103</v>
      </c>
      <c r="EP55" s="1967">
        <f>SUM(BV55:BY55)</f>
        <v>128</v>
      </c>
      <c r="EQ55" s="1967">
        <f t="shared" ref="EQ55:ER59" si="226">EO55</f>
        <v>103</v>
      </c>
      <c r="ER55" s="1967">
        <f t="shared" si="226"/>
        <v>128</v>
      </c>
      <c r="ES55" s="1967">
        <f>SUM(CH55:CK55)</f>
        <v>104</v>
      </c>
      <c r="ET55" s="1967">
        <f>ES55</f>
        <v>104</v>
      </c>
      <c r="EU55" s="1967">
        <f>SUM(CP55:CS55)</f>
        <v>-3</v>
      </c>
      <c r="EV55" s="1967">
        <f>SUM(CT55:CW55)</f>
        <v>-39</v>
      </c>
      <c r="EW55" s="1959">
        <f>+DA55</f>
        <v>-4</v>
      </c>
      <c r="EX55" s="1959">
        <f>+SUM(DB55:DE55)</f>
        <v>-41</v>
      </c>
      <c r="EY55" s="1959">
        <f>+SUM(DF55:DI55)</f>
        <v>-52</v>
      </c>
      <c r="EZ55" s="1968">
        <f>+SUM(DJ55:DM55)</f>
        <v>-257</v>
      </c>
      <c r="FA55" s="1967">
        <v>0</v>
      </c>
      <c r="FB55" s="1967">
        <f t="shared" ref="FB55:FH55" si="227">+FA55</f>
        <v>0</v>
      </c>
      <c r="FC55" s="1967">
        <f t="shared" si="227"/>
        <v>0</v>
      </c>
      <c r="FD55" s="1967">
        <f t="shared" si="227"/>
        <v>0</v>
      </c>
      <c r="FE55" s="1967">
        <f t="shared" si="227"/>
        <v>0</v>
      </c>
      <c r="FF55" s="1967">
        <f t="shared" si="227"/>
        <v>0</v>
      </c>
      <c r="FG55" s="1967">
        <f t="shared" si="227"/>
        <v>0</v>
      </c>
      <c r="FH55" s="1967">
        <f t="shared" si="227"/>
        <v>0</v>
      </c>
      <c r="FI55" s="1969"/>
      <c r="FJ55"/>
      <c r="FK55"/>
      <c r="FL55"/>
      <c r="FM55"/>
      <c r="FN55"/>
      <c r="FO55"/>
      <c r="FP55" s="1964"/>
      <c r="FQ55" s="1967"/>
      <c r="FR55" s="1967"/>
      <c r="FS55" s="1966"/>
      <c r="FT55" s="7"/>
      <c r="FU55"/>
      <c r="FV55"/>
      <c r="FW55" s="1966"/>
      <c r="FX55" s="1966"/>
      <c r="FY55" s="1966"/>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row>
    <row r="56" spans="1:260" s="4" customFormat="1" ht="11.25" hidden="1" customHeight="1" outlineLevel="1" x14ac:dyDescent="0.2">
      <c r="A56" s="4" t="s">
        <v>38</v>
      </c>
      <c r="B56" s="835"/>
      <c r="C56" s="835"/>
      <c r="D56" s="835"/>
      <c r="E56" s="836"/>
      <c r="F56" s="835"/>
      <c r="G56" s="835"/>
      <c r="H56" s="835"/>
      <c r="I56" s="836"/>
      <c r="J56" s="835"/>
      <c r="K56" s="835"/>
      <c r="L56" s="835"/>
      <c r="M56" s="836"/>
      <c r="N56" s="835"/>
      <c r="O56" s="835"/>
      <c r="P56" s="835"/>
      <c r="Q56" s="836"/>
      <c r="R56" s="835"/>
      <c r="S56" s="835"/>
      <c r="T56" s="835"/>
      <c r="U56" s="836"/>
      <c r="V56" s="835"/>
      <c r="W56" s="835"/>
      <c r="X56" s="835"/>
      <c r="Y56" s="836"/>
      <c r="Z56" s="835"/>
      <c r="AA56" s="835"/>
      <c r="AB56" s="835"/>
      <c r="AC56" s="836"/>
      <c r="AD56" s="835"/>
      <c r="AE56" s="835"/>
      <c r="AF56" s="835"/>
      <c r="AG56" s="836"/>
      <c r="AH56" s="835"/>
      <c r="AI56" s="835"/>
      <c r="AJ56" s="835"/>
      <c r="AK56" s="836"/>
      <c r="AL56" s="835"/>
      <c r="AM56" s="835"/>
      <c r="AN56" s="835"/>
      <c r="AO56" s="836"/>
      <c r="AP56" s="835"/>
      <c r="AQ56" s="835"/>
      <c r="AR56" s="835"/>
      <c r="AS56" s="470"/>
      <c r="AT56" s="835"/>
      <c r="AU56" s="835"/>
      <c r="AV56" s="835"/>
      <c r="AW56" s="836"/>
      <c r="AX56" s="835"/>
      <c r="AY56" s="835"/>
      <c r="AZ56" s="835"/>
      <c r="BA56" s="836"/>
      <c r="BB56" s="835"/>
      <c r="BC56" s="835"/>
      <c r="BD56" s="55">
        <v>5</v>
      </c>
      <c r="BE56" s="827">
        <f t="shared" ref="BE56:BM56" si="228">BD56+BE55</f>
        <v>5</v>
      </c>
      <c r="BF56" s="41">
        <f t="shared" si="228"/>
        <v>5</v>
      </c>
      <c r="BG56" s="41">
        <f t="shared" si="228"/>
        <v>5</v>
      </c>
      <c r="BH56" s="41">
        <f t="shared" si="228"/>
        <v>7</v>
      </c>
      <c r="BI56" s="820">
        <f t="shared" si="228"/>
        <v>9</v>
      </c>
      <c r="BJ56" s="41">
        <f t="shared" si="228"/>
        <v>14</v>
      </c>
      <c r="BK56" s="41">
        <f t="shared" si="228"/>
        <v>21</v>
      </c>
      <c r="BL56" s="41">
        <f t="shared" si="228"/>
        <v>39</v>
      </c>
      <c r="BM56" s="820">
        <f t="shared" si="228"/>
        <v>38</v>
      </c>
      <c r="BN56" s="41">
        <f>EM56+BN55</f>
        <v>39</v>
      </c>
      <c r="BO56" s="41">
        <f>BN56+BO55</f>
        <v>48</v>
      </c>
      <c r="BP56" s="41">
        <f>BO56+BP55</f>
        <v>69</v>
      </c>
      <c r="BQ56" s="820">
        <v>74</v>
      </c>
      <c r="BR56" s="41">
        <v>80</v>
      </c>
      <c r="BS56" s="41">
        <v>109</v>
      </c>
      <c r="BT56" s="41">
        <v>157</v>
      </c>
      <c r="BU56" s="820">
        <v>177</v>
      </c>
      <c r="BV56" s="55">
        <v>198</v>
      </c>
      <c r="BW56" s="838">
        <v>222</v>
      </c>
      <c r="BX56" s="838">
        <v>281</v>
      </c>
      <c r="BY56" s="820">
        <v>305</v>
      </c>
      <c r="BZ56" s="41"/>
      <c r="CA56" s="41"/>
      <c r="CB56" s="41"/>
      <c r="CC56" s="820"/>
      <c r="CD56" s="41"/>
      <c r="CE56" s="41"/>
      <c r="CF56" s="41"/>
      <c r="CG56" s="820"/>
      <c r="CH56" s="55">
        <v>326</v>
      </c>
      <c r="CI56" s="41">
        <v>359</v>
      </c>
      <c r="CJ56" s="41">
        <v>392</v>
      </c>
      <c r="CK56" s="820">
        <v>409</v>
      </c>
      <c r="CL56" s="41"/>
      <c r="CM56" s="838"/>
      <c r="CN56" s="838"/>
      <c r="CO56" s="820"/>
      <c r="CP56" s="55">
        <v>419</v>
      </c>
      <c r="CQ56" s="55">
        <v>416</v>
      </c>
      <c r="CR56" s="55">
        <v>415</v>
      </c>
      <c r="CS56" s="827">
        <v>406</v>
      </c>
      <c r="CT56" s="4">
        <v>406</v>
      </c>
      <c r="CU56" s="4">
        <v>391</v>
      </c>
      <c r="CV56" s="4">
        <v>389</v>
      </c>
      <c r="CW56" s="470">
        <v>367</v>
      </c>
      <c r="CX56" s="1977">
        <v>362</v>
      </c>
      <c r="CY56" s="1978">
        <v>356</v>
      </c>
      <c r="CZ56" s="1977">
        <v>354</v>
      </c>
      <c r="DA56" s="1979">
        <v>350</v>
      </c>
      <c r="DB56" s="1978">
        <v>338</v>
      </c>
      <c r="DC56" s="1978">
        <v>334</v>
      </c>
      <c r="DD56" s="1978">
        <v>331</v>
      </c>
      <c r="DE56" s="1980">
        <v>309</v>
      </c>
      <c r="DF56" s="2490">
        <v>298</v>
      </c>
      <c r="DG56" s="2490">
        <v>292</v>
      </c>
      <c r="DH56" s="2490">
        <v>287</v>
      </c>
      <c r="DI56" s="1980">
        <v>257</v>
      </c>
      <c r="DJ56" s="2726">
        <v>0</v>
      </c>
      <c r="DK56" s="2592">
        <f t="shared" ref="DK56:DM56" si="229">+DJ56</f>
        <v>0</v>
      </c>
      <c r="DL56" s="2592">
        <f t="shared" si="229"/>
        <v>0</v>
      </c>
      <c r="DM56" s="1988">
        <f t="shared" si="229"/>
        <v>0</v>
      </c>
      <c r="DN56" s="1981"/>
      <c r="DO56" s="1982"/>
      <c r="DP56" s="1983"/>
      <c r="DQ56" s="1967"/>
      <c r="DR56" s="1967"/>
      <c r="DS56" s="1967"/>
      <c r="DT56" s="1967"/>
      <c r="DU56" s="1967"/>
      <c r="DV56" s="1967"/>
      <c r="DW56" s="1967"/>
      <c r="DX56" s="1967"/>
      <c r="DY56" s="1967"/>
      <c r="DZ56" s="1967"/>
      <c r="EA56" s="1967"/>
      <c r="EB56" s="1967"/>
      <c r="EC56" s="1967"/>
      <c r="ED56" s="1983"/>
      <c r="EE56" s="1983"/>
      <c r="EF56" s="1983"/>
      <c r="EG56" s="1983"/>
      <c r="EH56" s="1983"/>
      <c r="EI56" s="1983"/>
      <c r="EJ56" s="1983"/>
      <c r="EK56" s="1960"/>
      <c r="EL56" s="1960">
        <f>BI56</f>
        <v>9</v>
      </c>
      <c r="EM56" s="1960">
        <f>BM56</f>
        <v>38</v>
      </c>
      <c r="EN56" s="1960">
        <f>BQ56</f>
        <v>74</v>
      </c>
      <c r="EO56" s="1960">
        <f>BU56</f>
        <v>177</v>
      </c>
      <c r="EP56" s="1960">
        <f>BY56</f>
        <v>305</v>
      </c>
      <c r="EQ56" s="1960">
        <f t="shared" si="226"/>
        <v>177</v>
      </c>
      <c r="ER56" s="1960">
        <f t="shared" si="226"/>
        <v>305</v>
      </c>
      <c r="ES56" s="1960">
        <f>CK56</f>
        <v>409</v>
      </c>
      <c r="ET56" s="1960">
        <f>ES56</f>
        <v>409</v>
      </c>
      <c r="EU56" s="1960">
        <f>CS56</f>
        <v>406</v>
      </c>
      <c r="EV56" s="1959">
        <f>+CW56</f>
        <v>367</v>
      </c>
      <c r="EW56" s="1960">
        <f>+DA56</f>
        <v>350</v>
      </c>
      <c r="EX56" s="1959">
        <f>+EW56+EX55</f>
        <v>309</v>
      </c>
      <c r="EY56" s="1959">
        <f>+EX56+EY55</f>
        <v>257</v>
      </c>
      <c r="EZ56" s="1968">
        <f>+EY56+EZ55</f>
        <v>0</v>
      </c>
      <c r="FA56" s="1960">
        <f t="shared" ref="FA56" si="230">+EZ56+FA55</f>
        <v>0</v>
      </c>
      <c r="FB56" s="1960">
        <f t="shared" ref="FB56" si="231">+FA56+FB55</f>
        <v>0</v>
      </c>
      <c r="FC56" s="1960">
        <f t="shared" ref="FC56" si="232">+FB56+FC55</f>
        <v>0</v>
      </c>
      <c r="FD56" s="1960">
        <f t="shared" ref="FD56" si="233">+FC56+FD55</f>
        <v>0</v>
      </c>
      <c r="FE56" s="1960">
        <f t="shared" ref="FE56" si="234">+FD56+FE55</f>
        <v>0</v>
      </c>
      <c r="FF56" s="1960">
        <f t="shared" ref="FF56" si="235">+FE56+FF55</f>
        <v>0</v>
      </c>
      <c r="FG56" s="1960">
        <f t="shared" ref="FG56" si="236">+FF56+FG55</f>
        <v>0</v>
      </c>
      <c r="FH56" s="1960">
        <f t="shared" ref="FH56" si="237">+FG56+FH55</f>
        <v>0</v>
      </c>
      <c r="FI56" s="1985"/>
      <c r="FJ56"/>
      <c r="FK56"/>
      <c r="FL56"/>
      <c r="FM56"/>
      <c r="FN56"/>
      <c r="FO56"/>
      <c r="FP56" s="1964"/>
      <c r="FQ56" s="1967"/>
      <c r="FR56" s="1967"/>
      <c r="FS56" s="1975"/>
      <c r="FT56" s="167"/>
      <c r="FU56"/>
      <c r="FV56"/>
      <c r="FW56" s="1975"/>
      <c r="FX56" s="1975"/>
      <c r="FY56" s="1975"/>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row>
    <row r="57" spans="1:260" s="4" customFormat="1" ht="11.25" hidden="1" customHeight="1" outlineLevel="1" x14ac:dyDescent="0.2">
      <c r="A57" s="17" t="s">
        <v>39</v>
      </c>
      <c r="B57" s="835"/>
      <c r="C57" s="835"/>
      <c r="D57" s="835"/>
      <c r="E57" s="836"/>
      <c r="F57" s="835"/>
      <c r="G57" s="835"/>
      <c r="H57" s="835"/>
      <c r="I57" s="836"/>
      <c r="J57" s="835"/>
      <c r="K57" s="835"/>
      <c r="L57" s="835"/>
      <c r="M57" s="836"/>
      <c r="N57" s="835"/>
      <c r="O57" s="835"/>
      <c r="P57" s="835"/>
      <c r="Q57" s="836"/>
      <c r="R57" s="835"/>
      <c r="S57" s="835"/>
      <c r="T57" s="835"/>
      <c r="U57" s="836"/>
      <c r="V57" s="835"/>
      <c r="W57" s="835"/>
      <c r="X57" s="835"/>
      <c r="Y57" s="836"/>
      <c r="Z57" s="835"/>
      <c r="AA57" s="835"/>
      <c r="AB57" s="835"/>
      <c r="AC57" s="836"/>
      <c r="AD57" s="835"/>
      <c r="AE57" s="835"/>
      <c r="AF57" s="835"/>
      <c r="AG57" s="836"/>
      <c r="AH57" s="835"/>
      <c r="AI57" s="835"/>
      <c r="AJ57" s="835"/>
      <c r="AK57" s="836"/>
      <c r="AL57" s="835"/>
      <c r="AM57" s="835"/>
      <c r="AN57" s="835"/>
      <c r="AO57" s="836"/>
      <c r="AP57" s="835"/>
      <c r="AQ57" s="835"/>
      <c r="AR57" s="835"/>
      <c r="AS57" s="470"/>
      <c r="AT57" s="835"/>
      <c r="AU57" s="835"/>
      <c r="AV57" s="835"/>
      <c r="AW57" s="836"/>
      <c r="AX57" s="835"/>
      <c r="AY57" s="835"/>
      <c r="AZ57" s="835"/>
      <c r="BA57" s="836"/>
      <c r="BB57" s="835"/>
      <c r="BC57" s="835"/>
      <c r="BD57" s="835"/>
      <c r="BE57" s="836"/>
      <c r="BF57" s="839">
        <f t="shared" ref="BF57:BY57" si="238">(BF56+BE56)/2</f>
        <v>5</v>
      </c>
      <c r="BG57" s="839">
        <f t="shared" si="238"/>
        <v>5</v>
      </c>
      <c r="BH57" s="839">
        <f t="shared" si="238"/>
        <v>6</v>
      </c>
      <c r="BI57" s="840">
        <f t="shared" si="238"/>
        <v>8</v>
      </c>
      <c r="BJ57" s="839">
        <f t="shared" si="238"/>
        <v>11.5</v>
      </c>
      <c r="BK57" s="839">
        <f t="shared" si="238"/>
        <v>17.5</v>
      </c>
      <c r="BL57" s="839">
        <f t="shared" si="238"/>
        <v>30</v>
      </c>
      <c r="BM57" s="840">
        <f t="shared" si="238"/>
        <v>38.5</v>
      </c>
      <c r="BN57" s="839">
        <f t="shared" si="238"/>
        <v>38.5</v>
      </c>
      <c r="BO57" s="839">
        <f t="shared" si="238"/>
        <v>43.5</v>
      </c>
      <c r="BP57" s="839">
        <f t="shared" si="238"/>
        <v>58.5</v>
      </c>
      <c r="BQ57" s="840">
        <f t="shared" si="238"/>
        <v>71.5</v>
      </c>
      <c r="BR57" s="839">
        <f t="shared" si="238"/>
        <v>77</v>
      </c>
      <c r="BS57" s="839">
        <f t="shared" si="238"/>
        <v>94.5</v>
      </c>
      <c r="BT57" s="839">
        <f t="shared" si="238"/>
        <v>133</v>
      </c>
      <c r="BU57" s="840">
        <f t="shared" si="238"/>
        <v>167</v>
      </c>
      <c r="BV57" s="839">
        <f t="shared" si="238"/>
        <v>187.5</v>
      </c>
      <c r="BW57" s="839">
        <f t="shared" si="238"/>
        <v>210</v>
      </c>
      <c r="BX57" s="839">
        <f t="shared" si="238"/>
        <v>251.5</v>
      </c>
      <c r="BY57" s="840">
        <f t="shared" si="238"/>
        <v>293</v>
      </c>
      <c r="BZ57" s="41"/>
      <c r="CA57" s="41"/>
      <c r="CB57" s="41"/>
      <c r="CC57" s="820"/>
      <c r="CD57" s="41"/>
      <c r="CE57" s="41"/>
      <c r="CF57" s="41"/>
      <c r="CG57" s="820"/>
      <c r="CH57" s="839">
        <f>(CH56+BY56)/2</f>
        <v>315.5</v>
      </c>
      <c r="CI57" s="839">
        <f>(CI56+CH56)/2</f>
        <v>342.5</v>
      </c>
      <c r="CJ57" s="839">
        <f>(CJ56+CI56)/2</f>
        <v>375.5</v>
      </c>
      <c r="CK57" s="840">
        <f>(CK56+CJ56)/2</f>
        <v>400.5</v>
      </c>
      <c r="CL57" s="41"/>
      <c r="CM57" s="838"/>
      <c r="CN57" s="838"/>
      <c r="CO57" s="820"/>
      <c r="CP57" s="839">
        <f>(CP56+CK56)/2</f>
        <v>414</v>
      </c>
      <c r="CQ57" s="839">
        <f t="shared" ref="CQ57:CW57" si="239">(CQ56+CP56)/2</f>
        <v>417.5</v>
      </c>
      <c r="CR57" s="839">
        <f t="shared" si="239"/>
        <v>415.5</v>
      </c>
      <c r="CS57" s="828">
        <f t="shared" si="239"/>
        <v>410.5</v>
      </c>
      <c r="CT57" s="4">
        <f t="shared" si="239"/>
        <v>406</v>
      </c>
      <c r="CU57" s="4">
        <f t="shared" si="239"/>
        <v>398.5</v>
      </c>
      <c r="CV57" s="4">
        <f t="shared" si="239"/>
        <v>390</v>
      </c>
      <c r="CW57" s="470">
        <f t="shared" si="239"/>
        <v>378</v>
      </c>
      <c r="CX57" s="1967">
        <f t="shared" ref="CX57:DD57" si="240">+IFERROR(AVERAGE(CW56:CX56),"NA")</f>
        <v>364.5</v>
      </c>
      <c r="CY57" s="1967">
        <f t="shared" si="240"/>
        <v>359</v>
      </c>
      <c r="CZ57" s="1967">
        <f t="shared" si="240"/>
        <v>355</v>
      </c>
      <c r="DA57" s="1965">
        <f t="shared" si="240"/>
        <v>352</v>
      </c>
      <c r="DB57" s="1967">
        <f t="shared" si="240"/>
        <v>344</v>
      </c>
      <c r="DC57" s="1959">
        <f t="shared" si="240"/>
        <v>336</v>
      </c>
      <c r="DD57" s="1959">
        <f t="shared" si="240"/>
        <v>332.5</v>
      </c>
      <c r="DE57" s="1976">
        <f>+IFERROR(AVERAGE(DD56:DE56),"NA")</f>
        <v>320</v>
      </c>
      <c r="DF57" s="1975">
        <f t="shared" ref="DF57:DM57" si="241">+IFERROR(AVERAGE(DE56:DF56),"NA")</f>
        <v>303.5</v>
      </c>
      <c r="DG57" s="1975">
        <f t="shared" si="241"/>
        <v>295</v>
      </c>
      <c r="DH57" s="1975">
        <f t="shared" si="241"/>
        <v>289.5</v>
      </c>
      <c r="DI57" s="1976">
        <f t="shared" si="241"/>
        <v>272</v>
      </c>
      <c r="DJ57" s="2723">
        <f t="shared" si="241"/>
        <v>128.5</v>
      </c>
      <c r="DK57" s="1975">
        <f t="shared" si="241"/>
        <v>0</v>
      </c>
      <c r="DL57" s="1975">
        <f t="shared" si="241"/>
        <v>0</v>
      </c>
      <c r="DM57" s="1976">
        <f t="shared" si="241"/>
        <v>0</v>
      </c>
      <c r="DN57" s="1981"/>
      <c r="DO57" s="1982"/>
      <c r="DP57" s="1983"/>
      <c r="DQ57" s="1967"/>
      <c r="DR57" s="1967"/>
      <c r="DS57" s="1967"/>
      <c r="DT57" s="1967"/>
      <c r="DU57" s="1967"/>
      <c r="DV57" s="1967"/>
      <c r="DW57" s="1967"/>
      <c r="DX57" s="1967"/>
      <c r="DY57" s="1967"/>
      <c r="DZ57" s="1967"/>
      <c r="EA57" s="1967"/>
      <c r="EB57" s="1967"/>
      <c r="EC57" s="1967"/>
      <c r="ED57" s="1983"/>
      <c r="EE57" s="1983"/>
      <c r="EF57" s="1983"/>
      <c r="EG57" s="1983"/>
      <c r="EH57" s="1983"/>
      <c r="EI57" s="1983"/>
      <c r="EJ57" s="1983"/>
      <c r="EK57" s="1986"/>
      <c r="EL57" s="1960">
        <f>AVERAGE(BF57:BI57)</f>
        <v>6</v>
      </c>
      <c r="EM57" s="1960">
        <f>AVERAGE(BJ57:BM57)</f>
        <v>24.375</v>
      </c>
      <c r="EN57" s="1960">
        <f>AVERAGE(BN57:BQ57)</f>
        <v>53</v>
      </c>
      <c r="EO57" s="1960">
        <f>AVERAGE(BR57:BU57)</f>
        <v>117.875</v>
      </c>
      <c r="EP57" s="1960">
        <f>AVERAGE(BV57:BY57)</f>
        <v>235.5</v>
      </c>
      <c r="EQ57" s="1960">
        <f t="shared" si="226"/>
        <v>117.875</v>
      </c>
      <c r="ER57" s="1960">
        <f t="shared" si="226"/>
        <v>235.5</v>
      </c>
      <c r="ES57" s="1960">
        <f>AVERAGE(CH57:CK57)</f>
        <v>358.5</v>
      </c>
      <c r="ET57" s="1960">
        <f>ES57</f>
        <v>358.5</v>
      </c>
      <c r="EU57" s="1960">
        <f>AVERAGE(CP57:CS57)</f>
        <v>414.375</v>
      </c>
      <c r="EV57" s="1960">
        <f>AVERAGE(CT56:CW56)</f>
        <v>388.25</v>
      </c>
      <c r="EW57" s="1960">
        <f>AVERAGE(CX56:DA56)</f>
        <v>355.5</v>
      </c>
      <c r="EX57" s="1960">
        <f>AVERAGE(DB56:DE56)</f>
        <v>328</v>
      </c>
      <c r="EY57" s="1960">
        <f>AVERAGE(DF56:DI56)</f>
        <v>283.5</v>
      </c>
      <c r="EZ57" s="1968">
        <f>AVERAGE(DJ56:DM56)</f>
        <v>0</v>
      </c>
      <c r="FA57" s="1960">
        <f t="shared" ref="FA57" si="242">+IFERROR(AVERAGE(EZ56:FA56),"NA")</f>
        <v>0</v>
      </c>
      <c r="FB57" s="1960">
        <f t="shared" ref="FB57" si="243">+IFERROR(AVERAGE(FA56:FB56),"NA")</f>
        <v>0</v>
      </c>
      <c r="FC57" s="1960">
        <f t="shared" ref="FC57" si="244">+IFERROR(AVERAGE(FB56:FC56),"NA")</f>
        <v>0</v>
      </c>
      <c r="FD57" s="1960">
        <f t="shared" ref="FD57" si="245">+IFERROR(AVERAGE(FC56:FD56),"NA")</f>
        <v>0</v>
      </c>
      <c r="FE57" s="1960">
        <f t="shared" ref="FE57" si="246">+IFERROR(AVERAGE(FD56:FE56),"NA")</f>
        <v>0</v>
      </c>
      <c r="FF57" s="1960">
        <f t="shared" ref="FF57" si="247">+IFERROR(AVERAGE(FE56:FF56),"NA")</f>
        <v>0</v>
      </c>
      <c r="FG57" s="1960">
        <f t="shared" ref="FG57" si="248">+IFERROR(AVERAGE(FF56:FG56),"NA")</f>
        <v>0</v>
      </c>
      <c r="FH57" s="1960">
        <f t="shared" ref="FH57" si="249">+IFERROR(AVERAGE(FG56:FH56),"NA")</f>
        <v>0</v>
      </c>
      <c r="FI57" s="1985"/>
      <c r="FJ57"/>
      <c r="FK57"/>
      <c r="FL57"/>
      <c r="FM57"/>
      <c r="FN57"/>
      <c r="FO57"/>
      <c r="FP57" s="1964"/>
      <c r="FQ57" s="1967"/>
      <c r="FR57" s="1967"/>
      <c r="FS57" s="1975"/>
      <c r="FT57" s="167"/>
      <c r="FU57"/>
      <c r="FV57"/>
      <c r="FW57" s="1975"/>
      <c r="FX57" s="1975"/>
      <c r="FY57" s="1975"/>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row>
    <row r="58" spans="1:260" s="4" customFormat="1" ht="11.25" hidden="1" customHeight="1" outlineLevel="1" x14ac:dyDescent="0.2">
      <c r="A58" s="4" t="s">
        <v>41</v>
      </c>
      <c r="B58" s="835"/>
      <c r="C58" s="835"/>
      <c r="D58" s="835"/>
      <c r="E58" s="836"/>
      <c r="F58" s="835"/>
      <c r="G58" s="835"/>
      <c r="H58" s="835"/>
      <c r="I58" s="836"/>
      <c r="J58" s="835"/>
      <c r="K58" s="835"/>
      <c r="L58" s="835"/>
      <c r="M58" s="836"/>
      <c r="N58" s="835"/>
      <c r="O58" s="835"/>
      <c r="P58" s="835"/>
      <c r="Q58" s="836"/>
      <c r="R58" s="835"/>
      <c r="S58" s="835"/>
      <c r="T58" s="835"/>
      <c r="U58" s="836"/>
      <c r="V58" s="835"/>
      <c r="W58" s="835"/>
      <c r="X58" s="835"/>
      <c r="Y58" s="836"/>
      <c r="Z58" s="835"/>
      <c r="AA58" s="835"/>
      <c r="AB58" s="835"/>
      <c r="AC58" s="836"/>
      <c r="AD58" s="835"/>
      <c r="AE58" s="835"/>
      <c r="AF58" s="835"/>
      <c r="AG58" s="836"/>
      <c r="AH58" s="835"/>
      <c r="AI58" s="835"/>
      <c r="AJ58" s="835"/>
      <c r="AK58" s="836"/>
      <c r="AL58" s="835"/>
      <c r="AM58" s="835"/>
      <c r="AN58" s="835"/>
      <c r="AO58" s="836"/>
      <c r="AP58" s="835"/>
      <c r="AQ58" s="835"/>
      <c r="AR58" s="835"/>
      <c r="AS58" s="470"/>
      <c r="AT58" s="835"/>
      <c r="AU58" s="835"/>
      <c r="AV58" s="835"/>
      <c r="AW58" s="836"/>
      <c r="AX58" s="835"/>
      <c r="AY58" s="835"/>
      <c r="AZ58" s="835"/>
      <c r="BA58" s="836"/>
      <c r="BB58" s="835"/>
      <c r="BC58" s="835"/>
      <c r="BD58" s="835"/>
      <c r="BE58" s="836"/>
      <c r="BF58" s="835"/>
      <c r="BG58" s="837"/>
      <c r="BH58" s="55">
        <f t="shared" ref="BH58:BY58" si="250">(BH59/BH56)*1000</f>
        <v>1428.5714285714287</v>
      </c>
      <c r="BI58" s="827">
        <f t="shared" si="250"/>
        <v>1444.4444444444443</v>
      </c>
      <c r="BJ58" s="55">
        <f t="shared" si="250"/>
        <v>1500</v>
      </c>
      <c r="BK58" s="55">
        <f t="shared" si="250"/>
        <v>1476.1904761904764</v>
      </c>
      <c r="BL58" s="55">
        <f t="shared" si="250"/>
        <v>1641.0256410256409</v>
      </c>
      <c r="BM58" s="827">
        <f t="shared" si="250"/>
        <v>1605.2631578947369</v>
      </c>
      <c r="BN58" s="55">
        <f t="shared" si="250"/>
        <v>1589.7435897435896</v>
      </c>
      <c r="BO58" s="55">
        <f t="shared" si="250"/>
        <v>1541.6666666666667</v>
      </c>
      <c r="BP58" s="55">
        <f t="shared" si="250"/>
        <v>1550.7246376811595</v>
      </c>
      <c r="BQ58" s="827">
        <f t="shared" si="250"/>
        <v>1513.5135135135135</v>
      </c>
      <c r="BR58" s="55">
        <f t="shared" si="250"/>
        <v>1500</v>
      </c>
      <c r="BS58" s="55">
        <f t="shared" si="250"/>
        <v>1495.4128440366972</v>
      </c>
      <c r="BT58" s="55">
        <f t="shared" si="250"/>
        <v>1420.3821656050955</v>
      </c>
      <c r="BU58" s="827">
        <f t="shared" si="250"/>
        <v>1412.4293785310736</v>
      </c>
      <c r="BV58" s="55">
        <f t="shared" si="250"/>
        <v>1409.0909090909092</v>
      </c>
      <c r="BW58" s="829">
        <f t="shared" si="250"/>
        <v>1405.4054054054054</v>
      </c>
      <c r="BX58" s="829">
        <f t="shared" si="250"/>
        <v>1416.3701067615659</v>
      </c>
      <c r="BY58" s="827">
        <f t="shared" si="250"/>
        <v>1403.2786885245903</v>
      </c>
      <c r="BZ58" s="41"/>
      <c r="CA58" s="41"/>
      <c r="CB58" s="41"/>
      <c r="CC58" s="820"/>
      <c r="CD58" s="41"/>
      <c r="CE58" s="41"/>
      <c r="CF58" s="41"/>
      <c r="CG58" s="820"/>
      <c r="CH58" s="55">
        <f>(CH59/CH56)*1000</f>
        <v>1389.5705521472391</v>
      </c>
      <c r="CI58" s="55">
        <f>(CI59/CI56)*1000</f>
        <v>1403.899721448468</v>
      </c>
      <c r="CJ58" s="55">
        <f>(CJ59/CJ56)*1000</f>
        <v>1454.0816326530612</v>
      </c>
      <c r="CK58" s="827">
        <f>(CK59/CK56)*1000</f>
        <v>1459.6577017114914</v>
      </c>
      <c r="CL58" s="41"/>
      <c r="CM58" s="838"/>
      <c r="CN58" s="838"/>
      <c r="CO58" s="820"/>
      <c r="CP58" s="55">
        <f t="shared" ref="CP58:CU58" si="251">(CP59/CP56)*1000</f>
        <v>1460.6205250596659</v>
      </c>
      <c r="CQ58" s="55">
        <f t="shared" si="251"/>
        <v>1454.3269230769231</v>
      </c>
      <c r="CR58" s="55">
        <f t="shared" si="251"/>
        <v>1455.4216867469879</v>
      </c>
      <c r="CS58" s="827">
        <f t="shared" si="251"/>
        <v>1448.2758620689656</v>
      </c>
      <c r="CT58" s="341">
        <f t="shared" si="251"/>
        <v>1448.2758620689656</v>
      </c>
      <c r="CU58" s="341">
        <f t="shared" si="251"/>
        <v>1406.6496163682864</v>
      </c>
      <c r="CV58" s="341">
        <f t="shared" ref="CV58:CW58" si="252">(CV59/CV56)*1000</f>
        <v>1406.1696658097687</v>
      </c>
      <c r="CW58" s="1120">
        <f t="shared" si="252"/>
        <v>1370.5722070844686</v>
      </c>
      <c r="CX58" s="1967">
        <f t="shared" ref="CX58:DB58" si="253">IFERROR((CX59/CX56)*1000,"NA")</f>
        <v>1370.1657458563536</v>
      </c>
      <c r="CY58" s="1967">
        <f t="shared" si="253"/>
        <v>1367.9775280898875</v>
      </c>
      <c r="CZ58" s="1967">
        <f t="shared" si="253"/>
        <v>1370.0564971751412</v>
      </c>
      <c r="DA58" s="1965">
        <f t="shared" si="253"/>
        <v>1371.4285714285713</v>
      </c>
      <c r="DB58" s="1967">
        <f t="shared" si="253"/>
        <v>1381.6568047337278</v>
      </c>
      <c r="DC58" s="1959">
        <f t="shared" ref="DC58:DI58" si="254">IFERROR((DC59/DC56)*1000,"NA")</f>
        <v>1377.245508982036</v>
      </c>
      <c r="DD58" s="1959">
        <f t="shared" si="254"/>
        <v>1377.6435045317221</v>
      </c>
      <c r="DE58" s="1987">
        <f t="shared" si="254"/>
        <v>1388.3495145631068</v>
      </c>
      <c r="DF58" s="2012">
        <f t="shared" si="254"/>
        <v>1399.3288590604027</v>
      </c>
      <c r="DG58" s="2012">
        <f t="shared" si="254"/>
        <v>1404.1095890410959</v>
      </c>
      <c r="DH58" s="2012">
        <f t="shared" si="254"/>
        <v>1411.1498257839721</v>
      </c>
      <c r="DI58" s="1987">
        <f t="shared" si="254"/>
        <v>1408.5603112840467</v>
      </c>
      <c r="DJ58" s="2726">
        <f t="shared" ref="DJ58:DM58" si="255">+DI58</f>
        <v>1408.5603112840467</v>
      </c>
      <c r="DK58" s="2592">
        <f t="shared" si="255"/>
        <v>1408.5603112840467</v>
      </c>
      <c r="DL58" s="2592">
        <f t="shared" si="255"/>
        <v>1408.5603112840467</v>
      </c>
      <c r="DM58" s="1988">
        <f t="shared" si="255"/>
        <v>1408.5603112840467</v>
      </c>
      <c r="DN58" s="1981"/>
      <c r="DO58" s="1982"/>
      <c r="DP58" s="1983"/>
      <c r="DQ58" s="1967"/>
      <c r="DR58" s="1967"/>
      <c r="DS58" s="1967"/>
      <c r="DT58" s="1967"/>
      <c r="DU58" s="1967"/>
      <c r="DV58" s="1967"/>
      <c r="DW58" s="1967"/>
      <c r="DX58" s="1967"/>
      <c r="DY58" s="1967"/>
      <c r="DZ58" s="1967"/>
      <c r="EA58" s="1967"/>
      <c r="EB58" s="1967"/>
      <c r="EC58" s="1967"/>
      <c r="ED58" s="1983"/>
      <c r="EE58" s="1983"/>
      <c r="EF58" s="1983"/>
      <c r="EG58" s="1983"/>
      <c r="EH58" s="1983"/>
      <c r="EI58" s="1983"/>
      <c r="EJ58" s="1983"/>
      <c r="EK58" s="1986"/>
      <c r="EL58" s="1960">
        <f>BI58</f>
        <v>1444.4444444444443</v>
      </c>
      <c r="EM58" s="1960">
        <f>BM58</f>
        <v>1605.2631578947369</v>
      </c>
      <c r="EN58" s="1960">
        <f>(EN59/EN56)*1000</f>
        <v>1513.5135135135135</v>
      </c>
      <c r="EO58" s="1960">
        <f>(EO59/EO56)*1000</f>
        <v>1412.4293785310736</v>
      </c>
      <c r="EP58" s="1960">
        <f>(EP59/EP56)*1000</f>
        <v>1403.2786885245903</v>
      </c>
      <c r="EQ58" s="1960">
        <f t="shared" si="226"/>
        <v>1412.4293785310736</v>
      </c>
      <c r="ER58" s="1960">
        <f t="shared" si="226"/>
        <v>1403.2786885245903</v>
      </c>
      <c r="ES58" s="1960">
        <f>(ES59/ES56)*1000</f>
        <v>1459.6577017114914</v>
      </c>
      <c r="ET58" s="1960">
        <f>ES58</f>
        <v>1459.6577017114914</v>
      </c>
      <c r="EU58" s="1960">
        <f>(EU59/EU56)*1000</f>
        <v>1448.2758620689656</v>
      </c>
      <c r="EV58" s="1960">
        <f>IFERROR((EV59/EV56)*1000,"NA")</f>
        <v>1370.5722070844686</v>
      </c>
      <c r="EW58" s="1960">
        <f>IFERROR((EW59/EW56)*1000,"NA")</f>
        <v>1371.4285714285713</v>
      </c>
      <c r="EX58" s="1959">
        <f t="shared" ref="EX58:EY58" si="256">IFERROR((EX59/EX56)*1000,"NA")</f>
        <v>1388.3495145631068</v>
      </c>
      <c r="EY58" s="1959">
        <f t="shared" si="256"/>
        <v>1408.5603112840467</v>
      </c>
      <c r="EZ58" s="1968" t="str">
        <f t="shared" ref="EZ58" si="257">IFERROR((EZ59/EZ56)*1000,"NA")</f>
        <v>NA</v>
      </c>
      <c r="FA58" s="2014" t="str">
        <f>+EZ58</f>
        <v>NA</v>
      </c>
      <c r="FB58" s="2014" t="str">
        <f t="shared" ref="FB58:FH58" si="258">+FA58</f>
        <v>NA</v>
      </c>
      <c r="FC58" s="2014" t="str">
        <f t="shared" si="258"/>
        <v>NA</v>
      </c>
      <c r="FD58" s="2014" t="str">
        <f t="shared" si="258"/>
        <v>NA</v>
      </c>
      <c r="FE58" s="2014" t="str">
        <f t="shared" si="258"/>
        <v>NA</v>
      </c>
      <c r="FF58" s="2014" t="str">
        <f t="shared" si="258"/>
        <v>NA</v>
      </c>
      <c r="FG58" s="2014" t="str">
        <f t="shared" si="258"/>
        <v>NA</v>
      </c>
      <c r="FH58" s="2014" t="str">
        <f t="shared" si="258"/>
        <v>NA</v>
      </c>
      <c r="FI58" s="2015"/>
      <c r="FJ58"/>
      <c r="FK58"/>
      <c r="FL58"/>
      <c r="FM58"/>
      <c r="FN58"/>
      <c r="FO58"/>
      <c r="FP58" s="1964"/>
      <c r="FQ58" s="1967"/>
      <c r="FR58" s="1967"/>
      <c r="FS58" s="1989"/>
      <c r="FT58" s="1395"/>
      <c r="FU58"/>
      <c r="FV58"/>
      <c r="FW58" s="2642"/>
      <c r="FX58" s="2642"/>
      <c r="FY58" s="2642"/>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row>
    <row r="59" spans="1:260" s="4" customFormat="1" hidden="1" outlineLevel="1" x14ac:dyDescent="0.2">
      <c r="A59" s="4" t="s">
        <v>40</v>
      </c>
      <c r="B59" s="41"/>
      <c r="C59" s="41"/>
      <c r="D59" s="41"/>
      <c r="E59" s="820"/>
      <c r="F59" s="41"/>
      <c r="G59" s="41"/>
      <c r="H59" s="41"/>
      <c r="I59" s="820"/>
      <c r="J59" s="41"/>
      <c r="K59" s="41"/>
      <c r="L59" s="41"/>
      <c r="M59" s="820"/>
      <c r="N59" s="41"/>
      <c r="O59" s="41"/>
      <c r="P59" s="41"/>
      <c r="Q59" s="820"/>
      <c r="R59" s="41"/>
      <c r="S59" s="41"/>
      <c r="T59" s="41"/>
      <c r="U59" s="820"/>
      <c r="V59" s="41"/>
      <c r="W59" s="41"/>
      <c r="X59" s="41"/>
      <c r="Y59" s="820"/>
      <c r="Z59" s="41"/>
      <c r="AA59" s="41"/>
      <c r="AB59" s="41"/>
      <c r="AC59" s="820"/>
      <c r="AD59" s="41"/>
      <c r="AE59" s="41"/>
      <c r="AF59" s="41"/>
      <c r="AG59" s="820"/>
      <c r="AH59" s="41"/>
      <c r="AI59" s="41"/>
      <c r="AJ59" s="41"/>
      <c r="AK59" s="820"/>
      <c r="AL59" s="41"/>
      <c r="AM59" s="41"/>
      <c r="AN59" s="41"/>
      <c r="AO59" s="820"/>
      <c r="AP59" s="41"/>
      <c r="AQ59" s="41"/>
      <c r="AR59" s="41"/>
      <c r="AS59" s="470"/>
      <c r="AT59" s="41"/>
      <c r="AU59" s="41"/>
      <c r="AV59" s="41"/>
      <c r="AW59" s="820"/>
      <c r="AX59" s="41"/>
      <c r="AY59" s="41"/>
      <c r="AZ59" s="41"/>
      <c r="BA59" s="820"/>
      <c r="BB59" s="41"/>
      <c r="BC59" s="41"/>
      <c r="BD59" s="55">
        <v>8</v>
      </c>
      <c r="BE59" s="827">
        <v>8</v>
      </c>
      <c r="BF59" s="55">
        <v>8</v>
      </c>
      <c r="BG59" s="55">
        <v>8</v>
      </c>
      <c r="BH59" s="55">
        <v>10</v>
      </c>
      <c r="BI59" s="827">
        <v>13</v>
      </c>
      <c r="BJ59" s="56">
        <v>21</v>
      </c>
      <c r="BK59" s="56">
        <v>31</v>
      </c>
      <c r="BL59" s="56">
        <v>64</v>
      </c>
      <c r="BM59" s="828">
        <v>61</v>
      </c>
      <c r="BN59" s="56">
        <v>62</v>
      </c>
      <c r="BO59" s="56">
        <v>74</v>
      </c>
      <c r="BP59" s="56">
        <v>107</v>
      </c>
      <c r="BQ59" s="828">
        <v>112</v>
      </c>
      <c r="BR59" s="56">
        <v>120</v>
      </c>
      <c r="BS59" s="56">
        <v>163</v>
      </c>
      <c r="BT59" s="56">
        <v>223</v>
      </c>
      <c r="BU59" s="828">
        <v>250</v>
      </c>
      <c r="BV59" s="56">
        <v>279</v>
      </c>
      <c r="BW59" s="830">
        <v>312</v>
      </c>
      <c r="BX59" s="830">
        <v>398</v>
      </c>
      <c r="BY59" s="828">
        <v>428</v>
      </c>
      <c r="BZ59" s="41"/>
      <c r="CA59" s="41"/>
      <c r="CB59" s="41"/>
      <c r="CC59" s="820"/>
      <c r="CD59" s="41"/>
      <c r="CE59" s="41"/>
      <c r="CF59" s="41"/>
      <c r="CG59" s="820"/>
      <c r="CH59" s="56">
        <v>453</v>
      </c>
      <c r="CI59" s="56">
        <v>504</v>
      </c>
      <c r="CJ59" s="56">
        <v>570</v>
      </c>
      <c r="CK59" s="828">
        <v>597</v>
      </c>
      <c r="CL59" s="41"/>
      <c r="CM59" s="41"/>
      <c r="CN59" s="41"/>
      <c r="CO59" s="820"/>
      <c r="CP59" s="56">
        <v>612</v>
      </c>
      <c r="CQ59" s="56">
        <v>605</v>
      </c>
      <c r="CR59" s="56">
        <v>604</v>
      </c>
      <c r="CS59" s="828">
        <v>588</v>
      </c>
      <c r="CT59" s="57">
        <v>588</v>
      </c>
      <c r="CU59" s="57">
        <v>550</v>
      </c>
      <c r="CV59" s="57">
        <v>547</v>
      </c>
      <c r="CW59" s="537">
        <v>503</v>
      </c>
      <c r="CX59" s="1990">
        <v>496</v>
      </c>
      <c r="CY59" s="1990">
        <v>487</v>
      </c>
      <c r="CZ59" s="1990">
        <v>485</v>
      </c>
      <c r="DA59" s="1980">
        <v>480</v>
      </c>
      <c r="DB59" s="1990">
        <v>467</v>
      </c>
      <c r="DC59" s="1990">
        <v>460</v>
      </c>
      <c r="DD59" s="1990">
        <v>456</v>
      </c>
      <c r="DE59" s="1980">
        <v>429</v>
      </c>
      <c r="DF59" s="2490">
        <v>417</v>
      </c>
      <c r="DG59" s="2490">
        <v>410</v>
      </c>
      <c r="DH59" s="2490">
        <v>405</v>
      </c>
      <c r="DI59" s="1980">
        <v>362</v>
      </c>
      <c r="DJ59" s="2726">
        <f t="shared" ref="DJ59" si="259">+IFERROR(DJ58*DJ56/1000,"NA")</f>
        <v>0</v>
      </c>
      <c r="DK59" s="2012">
        <f t="shared" ref="DK59:DM59" si="260">+IFERROR(DK58*DK56/1000,"NA")</f>
        <v>0</v>
      </c>
      <c r="DL59" s="2012">
        <f t="shared" si="260"/>
        <v>0</v>
      </c>
      <c r="DM59" s="1987">
        <f t="shared" si="260"/>
        <v>0</v>
      </c>
      <c r="DN59" s="1964"/>
      <c r="DO59" s="1965"/>
      <c r="DP59" s="1967"/>
      <c r="DQ59" s="1967"/>
      <c r="DR59" s="1967"/>
      <c r="DS59" s="1967"/>
      <c r="DT59" s="1967"/>
      <c r="DU59" s="1967"/>
      <c r="DV59" s="1967"/>
      <c r="DW59" s="1967"/>
      <c r="DX59" s="1967"/>
      <c r="DY59" s="1967"/>
      <c r="DZ59" s="1967"/>
      <c r="EA59" s="1967"/>
      <c r="EB59" s="1967"/>
      <c r="EC59" s="1967"/>
      <c r="ED59" s="1967"/>
      <c r="EE59" s="1967"/>
      <c r="EF59" s="1967"/>
      <c r="EG59" s="1967"/>
      <c r="EH59" s="1967"/>
      <c r="EI59" s="1967"/>
      <c r="EJ59" s="1967"/>
      <c r="EK59" s="1967"/>
      <c r="EL59" s="1967">
        <f>BI59</f>
        <v>13</v>
      </c>
      <c r="EM59" s="1967">
        <f>BM59</f>
        <v>61</v>
      </c>
      <c r="EN59" s="1967">
        <f>BQ59</f>
        <v>112</v>
      </c>
      <c r="EO59" s="1967">
        <f>BU59</f>
        <v>250</v>
      </c>
      <c r="EP59" s="1967">
        <f>BY59</f>
        <v>428</v>
      </c>
      <c r="EQ59" s="1960">
        <f t="shared" si="226"/>
        <v>250</v>
      </c>
      <c r="ER59" s="1960">
        <f t="shared" si="226"/>
        <v>428</v>
      </c>
      <c r="ES59" s="1967">
        <f>CK59</f>
        <v>597</v>
      </c>
      <c r="ET59" s="1967">
        <f>ES59</f>
        <v>597</v>
      </c>
      <c r="EU59" s="1967">
        <f>CS59</f>
        <v>588</v>
      </c>
      <c r="EV59" s="1967">
        <f>CW59</f>
        <v>503</v>
      </c>
      <c r="EW59" s="1967">
        <f>DA59</f>
        <v>480</v>
      </c>
      <c r="EX59" s="1959">
        <f>+DE59</f>
        <v>429</v>
      </c>
      <c r="EY59" s="1959">
        <f>+DI59</f>
        <v>362</v>
      </c>
      <c r="EZ59" s="1968">
        <f>+DM59</f>
        <v>0</v>
      </c>
      <c r="FA59" s="1974" t="str">
        <f t="shared" ref="FA59:FH59" si="261">+IFERROR(FA58*FA56/1000,"NA")</f>
        <v>NA</v>
      </c>
      <c r="FB59" s="1974" t="str">
        <f t="shared" si="261"/>
        <v>NA</v>
      </c>
      <c r="FC59" s="1974" t="str">
        <f t="shared" si="261"/>
        <v>NA</v>
      </c>
      <c r="FD59" s="1974" t="str">
        <f t="shared" si="261"/>
        <v>NA</v>
      </c>
      <c r="FE59" s="1974" t="str">
        <f t="shared" si="261"/>
        <v>NA</v>
      </c>
      <c r="FF59" s="1974" t="str">
        <f t="shared" si="261"/>
        <v>NA</v>
      </c>
      <c r="FG59" s="1974" t="str">
        <f t="shared" si="261"/>
        <v>NA</v>
      </c>
      <c r="FH59" s="1974" t="str">
        <f t="shared" si="261"/>
        <v>NA</v>
      </c>
      <c r="FI59" s="1985"/>
      <c r="FJ59"/>
      <c r="FK59"/>
      <c r="FL59"/>
      <c r="FM59"/>
      <c r="FN59"/>
      <c r="FO59"/>
      <c r="FP59" s="1964"/>
      <c r="FQ59" s="1967"/>
      <c r="FR59" s="1967"/>
      <c r="FS59" s="1975"/>
      <c r="FT59" s="167"/>
      <c r="FU59"/>
      <c r="FV59"/>
      <c r="FW59" s="1975"/>
      <c r="FX59" s="1975"/>
      <c r="FY59" s="1975"/>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row>
    <row r="60" spans="1:260" s="4" customFormat="1" ht="11.25" hidden="1" customHeight="1" outlineLevel="1" x14ac:dyDescent="0.2">
      <c r="A60" s="16"/>
      <c r="B60" s="16"/>
      <c r="C60" s="16"/>
      <c r="D60" s="16"/>
      <c r="E60" s="698"/>
      <c r="F60" s="16"/>
      <c r="G60" s="16"/>
      <c r="H60" s="16"/>
      <c r="I60" s="698"/>
      <c r="J60" s="16"/>
      <c r="K60" s="16"/>
      <c r="L60" s="16"/>
      <c r="M60" s="698"/>
      <c r="N60" s="16"/>
      <c r="O60" s="16"/>
      <c r="P60" s="16"/>
      <c r="Q60" s="698"/>
      <c r="R60" s="16"/>
      <c r="S60" s="16"/>
      <c r="T60" s="16"/>
      <c r="U60" s="698"/>
      <c r="V60" s="16"/>
      <c r="W60" s="16"/>
      <c r="X60" s="16"/>
      <c r="Y60" s="698"/>
      <c r="Z60" s="16"/>
      <c r="AA60" s="16"/>
      <c r="AB60" s="16"/>
      <c r="AC60" s="698"/>
      <c r="AD60" s="16"/>
      <c r="AE60" s="16"/>
      <c r="AF60" s="16"/>
      <c r="AG60" s="698"/>
      <c r="AH60" s="16"/>
      <c r="AI60" s="16"/>
      <c r="AJ60" s="16"/>
      <c r="AK60" s="698"/>
      <c r="AL60" s="16"/>
      <c r="AM60" s="16"/>
      <c r="AN60" s="16"/>
      <c r="AO60" s="698"/>
      <c r="AP60" s="16"/>
      <c r="AQ60" s="16"/>
      <c r="AR60" s="16"/>
      <c r="AS60" s="470"/>
      <c r="AT60" s="16"/>
      <c r="AU60" s="16"/>
      <c r="AV60" s="16"/>
      <c r="AW60" s="698"/>
      <c r="AX60" s="16"/>
      <c r="AY60" s="16"/>
      <c r="AZ60" s="16"/>
      <c r="BA60" s="698"/>
      <c r="BB60" s="16"/>
      <c r="BC60" s="16"/>
      <c r="BD60" s="9"/>
      <c r="BE60" s="645"/>
      <c r="BF60" s="9"/>
      <c r="BG60" s="10"/>
      <c r="BH60" s="10"/>
      <c r="BI60" s="524"/>
      <c r="BJ60" s="9"/>
      <c r="BK60" s="9"/>
      <c r="BL60" s="9"/>
      <c r="BM60" s="645"/>
      <c r="BN60" s="9"/>
      <c r="BO60" s="9"/>
      <c r="BP60" s="9"/>
      <c r="BQ60" s="645"/>
      <c r="BR60" s="9"/>
      <c r="BS60" s="9"/>
      <c r="BT60" s="9"/>
      <c r="BU60" s="645"/>
      <c r="BV60" s="9"/>
      <c r="BW60" s="93"/>
      <c r="BX60" s="93"/>
      <c r="BY60" s="645"/>
      <c r="CC60" s="470"/>
      <c r="CG60" s="470"/>
      <c r="CH60" s="9"/>
      <c r="CI60" s="9"/>
      <c r="CJ60" s="9"/>
      <c r="CK60" s="645"/>
      <c r="CM60" s="9"/>
      <c r="CN60" s="9"/>
      <c r="CO60" s="645"/>
      <c r="CP60" s="9"/>
      <c r="CQ60" s="9"/>
      <c r="CR60" s="9"/>
      <c r="CS60" s="645"/>
      <c r="CT60" s="9"/>
      <c r="CU60" s="80"/>
      <c r="CV60" s="80"/>
      <c r="CW60" s="990"/>
      <c r="CX60" s="1991"/>
      <c r="CY60" s="1991"/>
      <c r="CZ60" s="1991"/>
      <c r="DA60" s="1992"/>
      <c r="DB60" s="1991"/>
      <c r="DC60" s="1991"/>
      <c r="DD60" s="1997"/>
      <c r="DE60" s="1992"/>
      <c r="DF60" s="1997"/>
      <c r="DG60" s="1997"/>
      <c r="DH60" s="1997"/>
      <c r="DI60" s="1992"/>
      <c r="DJ60" s="2727"/>
      <c r="DK60" s="1993"/>
      <c r="DL60" s="1993"/>
      <c r="DM60" s="1994"/>
      <c r="DN60" s="1993"/>
      <c r="DO60" s="1994"/>
      <c r="DP60" s="1995"/>
      <c r="DQ60" s="1967"/>
      <c r="DR60" s="1967"/>
      <c r="DS60" s="1967"/>
      <c r="DT60" s="1967"/>
      <c r="DU60" s="1967"/>
      <c r="DV60" s="1967"/>
      <c r="DW60" s="1967"/>
      <c r="DX60" s="1967"/>
      <c r="DY60" s="1967"/>
      <c r="DZ60" s="1967"/>
      <c r="EA60" s="1967"/>
      <c r="EB60" s="1967"/>
      <c r="EC60" s="1967"/>
      <c r="ED60" s="1995"/>
      <c r="EE60" s="1995"/>
      <c r="EF60" s="1995"/>
      <c r="EG60" s="1995"/>
      <c r="EH60" s="1995"/>
      <c r="EI60" s="1995"/>
      <c r="EJ60" s="1995"/>
      <c r="EK60" s="1995"/>
      <c r="EL60" s="1995"/>
      <c r="EM60" s="1995"/>
      <c r="EN60" s="1995"/>
      <c r="EO60" s="1995"/>
      <c r="EP60" s="1995"/>
      <c r="EQ60" s="1960"/>
      <c r="ER60" s="1960"/>
      <c r="ES60" s="1995"/>
      <c r="ET60" s="1995"/>
      <c r="EU60" s="1995"/>
      <c r="EV60" s="1995"/>
      <c r="EW60" s="1995"/>
      <c r="EX60" s="1959"/>
      <c r="EY60" s="1959"/>
      <c r="EZ60" s="1968"/>
      <c r="FA60" s="1995"/>
      <c r="FB60" s="1995"/>
      <c r="FC60" s="1995"/>
      <c r="FD60" s="1995"/>
      <c r="FE60" s="1995"/>
      <c r="FF60" s="1995"/>
      <c r="FG60" s="1995"/>
      <c r="FH60" s="1995"/>
      <c r="FI60" s="1996"/>
      <c r="FJ60"/>
      <c r="FK60"/>
      <c r="FL60"/>
      <c r="FM60"/>
      <c r="FN60"/>
      <c r="FO60"/>
      <c r="FP60" s="1964"/>
      <c r="FQ60" s="1967"/>
      <c r="FR60" s="1967"/>
      <c r="FS60" s="1997"/>
      <c r="FT60" s="173"/>
      <c r="FU60"/>
      <c r="FV60"/>
      <c r="FW60" s="1997"/>
      <c r="FX60" s="1997"/>
      <c r="FY60" s="1997"/>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row>
    <row r="61" spans="1:260" s="7" customFormat="1" ht="11.25" hidden="1" customHeight="1" outlineLevel="1" x14ac:dyDescent="0.2">
      <c r="A61" s="53" t="s">
        <v>454</v>
      </c>
      <c r="B61" s="172"/>
      <c r="C61" s="172"/>
      <c r="D61" s="172"/>
      <c r="E61" s="524"/>
      <c r="F61" s="172"/>
      <c r="G61" s="172"/>
      <c r="H61" s="172"/>
      <c r="I61" s="524"/>
      <c r="J61" s="172"/>
      <c r="K61" s="172"/>
      <c r="L61" s="172"/>
      <c r="M61" s="524"/>
      <c r="N61" s="172"/>
      <c r="O61" s="172"/>
      <c r="P61" s="172"/>
      <c r="Q61" s="524"/>
      <c r="R61" s="172"/>
      <c r="S61" s="172"/>
      <c r="T61" s="172"/>
      <c r="U61" s="524"/>
      <c r="V61" s="172"/>
      <c r="W61" s="172"/>
      <c r="X61" s="172"/>
      <c r="Y61" s="524"/>
      <c r="Z61" s="172"/>
      <c r="AA61" s="172"/>
      <c r="AB61" s="172"/>
      <c r="AC61" s="524"/>
      <c r="AD61" s="172"/>
      <c r="AE61" s="172"/>
      <c r="AF61" s="172"/>
      <c r="AG61" s="524"/>
      <c r="AH61" s="172"/>
      <c r="AI61" s="172"/>
      <c r="AJ61" s="172"/>
      <c r="AK61" s="524"/>
      <c r="AL61" s="172"/>
      <c r="AM61" s="172"/>
      <c r="AN61" s="172"/>
      <c r="AO61" s="524"/>
      <c r="AP61" s="172"/>
      <c r="AQ61" s="172"/>
      <c r="AR61" s="172"/>
      <c r="AS61" s="470"/>
      <c r="AT61" s="172"/>
      <c r="AU61" s="172"/>
      <c r="AV61" s="172"/>
      <c r="AW61" s="524"/>
      <c r="AX61" s="172"/>
      <c r="AY61" s="172"/>
      <c r="AZ61" s="172"/>
      <c r="BA61" s="524"/>
      <c r="BB61" s="172"/>
      <c r="BC61" s="172"/>
      <c r="BD61" s="172"/>
      <c r="BE61" s="524"/>
      <c r="BF61" s="172"/>
      <c r="BG61" s="172"/>
      <c r="BH61" s="172"/>
      <c r="BI61" s="524"/>
      <c r="BJ61" s="172"/>
      <c r="BK61" s="172"/>
      <c r="BL61" s="172"/>
      <c r="BM61" s="524"/>
      <c r="BN61" s="172"/>
      <c r="BO61" s="172"/>
      <c r="BP61" s="172"/>
      <c r="BQ61" s="524"/>
      <c r="BR61" s="172"/>
      <c r="BS61" s="172"/>
      <c r="BT61" s="172"/>
      <c r="BU61" s="524"/>
      <c r="BV61" s="172"/>
      <c r="BW61" s="172"/>
      <c r="BX61" s="172"/>
      <c r="BY61" s="524"/>
      <c r="CC61" s="484"/>
      <c r="CG61" s="484"/>
      <c r="CH61" s="172"/>
      <c r="CI61" s="172"/>
      <c r="CJ61" s="172"/>
      <c r="CK61" s="524"/>
      <c r="CO61" s="484"/>
      <c r="CP61" s="172"/>
      <c r="CQ61" s="172"/>
      <c r="CR61" s="172"/>
      <c r="CS61" s="524"/>
      <c r="CT61" s="172"/>
      <c r="CU61" s="172"/>
      <c r="CV61" s="172"/>
      <c r="CW61" s="524"/>
      <c r="CX61" s="1975"/>
      <c r="CY61" s="1975"/>
      <c r="CZ61" s="1975"/>
      <c r="DA61" s="1976"/>
      <c r="DB61" s="1975"/>
      <c r="DC61" s="1975"/>
      <c r="DD61" s="1975"/>
      <c r="DE61" s="1976"/>
      <c r="DF61" s="1975"/>
      <c r="DG61" s="1975"/>
      <c r="DH61" s="1975"/>
      <c r="DI61" s="1976"/>
      <c r="DJ61" s="2723"/>
      <c r="DK61" s="1975"/>
      <c r="DL61" s="1975"/>
      <c r="DM61" s="1976"/>
      <c r="DN61" s="1975"/>
      <c r="DO61" s="1976"/>
      <c r="DP61" s="1975"/>
      <c r="DQ61" s="1966"/>
      <c r="DR61" s="1966"/>
      <c r="DS61" s="1966"/>
      <c r="DT61" s="1966"/>
      <c r="DU61" s="1966"/>
      <c r="DV61" s="1966"/>
      <c r="DW61" s="1966"/>
      <c r="DX61" s="1966"/>
      <c r="DY61" s="1966"/>
      <c r="DZ61" s="1966"/>
      <c r="EA61" s="1966"/>
      <c r="EB61" s="1966"/>
      <c r="EC61" s="1966"/>
      <c r="ED61" s="1975"/>
      <c r="EE61" s="1975"/>
      <c r="EF61" s="1975"/>
      <c r="EG61" s="1975"/>
      <c r="EH61" s="1975"/>
      <c r="EI61" s="1975"/>
      <c r="EJ61" s="1975"/>
      <c r="EK61" s="1975"/>
      <c r="EL61" s="1975"/>
      <c r="EM61" s="1975"/>
      <c r="EN61" s="1975"/>
      <c r="EO61" s="1975"/>
      <c r="EP61" s="1975"/>
      <c r="EQ61" s="1975"/>
      <c r="ER61" s="1975"/>
      <c r="ES61" s="1975"/>
      <c r="ET61" s="1975"/>
      <c r="EU61" s="1975"/>
      <c r="EV61" s="1975"/>
      <c r="EW61" s="1975"/>
      <c r="EX61" s="1959"/>
      <c r="EY61" s="1959"/>
      <c r="EZ61" s="1968"/>
      <c r="FA61" s="1975"/>
      <c r="FB61" s="1975"/>
      <c r="FC61" s="1975"/>
      <c r="FD61" s="1975"/>
      <c r="FE61" s="1975"/>
      <c r="FF61" s="1975"/>
      <c r="FG61" s="1975"/>
      <c r="FH61" s="1975"/>
      <c r="FI61" s="1985"/>
      <c r="FJ61"/>
      <c r="FK61"/>
      <c r="FL61"/>
      <c r="FM61"/>
      <c r="FN61"/>
      <c r="FO61"/>
      <c r="FP61" s="1966"/>
      <c r="FQ61" s="1966"/>
      <c r="FR61" s="1966"/>
      <c r="FS61" s="1975"/>
      <c r="FT61" s="172"/>
      <c r="FU61"/>
      <c r="FV61"/>
      <c r="FW61" s="1975"/>
      <c r="FX61" s="1975"/>
      <c r="FY61" s="1975"/>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row>
    <row r="62" spans="1:260" s="4" customFormat="1" ht="11.25" hidden="1" customHeight="1" outlineLevel="1" x14ac:dyDescent="0.2">
      <c r="A62" s="4" t="s">
        <v>121</v>
      </c>
      <c r="AS62" s="470"/>
      <c r="BB62" s="4">
        <v>14</v>
      </c>
      <c r="BC62" s="4">
        <v>0</v>
      </c>
      <c r="BD62" s="4">
        <v>0</v>
      </c>
      <c r="BE62" s="4">
        <v>0</v>
      </c>
      <c r="BF62" s="4">
        <v>0</v>
      </c>
      <c r="BG62" s="4">
        <v>1</v>
      </c>
      <c r="BH62" s="4">
        <v>2</v>
      </c>
      <c r="BI62" s="4">
        <v>2</v>
      </c>
      <c r="BJ62" s="4">
        <v>1</v>
      </c>
      <c r="BK62" s="4">
        <v>2</v>
      </c>
      <c r="BL62" s="4">
        <v>7</v>
      </c>
      <c r="BM62" s="4">
        <v>5</v>
      </c>
      <c r="BN62" s="4">
        <v>0</v>
      </c>
      <c r="BO62" s="4">
        <v>1</v>
      </c>
      <c r="BP62" s="4">
        <v>0</v>
      </c>
      <c r="BQ62" s="4">
        <f>BQ63-BP63</f>
        <v>0</v>
      </c>
      <c r="BR62" s="4">
        <f>BR63-EN63</f>
        <v>0</v>
      </c>
      <c r="BS62" s="4">
        <f>BS63-BR63</f>
        <v>0</v>
      </c>
      <c r="BT62" s="4">
        <f>BT63-BS63</f>
        <v>0</v>
      </c>
      <c r="BU62" s="4">
        <v>0</v>
      </c>
      <c r="BV62" s="4">
        <f>BV63-EO63</f>
        <v>0</v>
      </c>
      <c r="BW62" s="4">
        <f>BW63-BV63</f>
        <v>0</v>
      </c>
      <c r="BX62" s="4">
        <f>BX63-BW63</f>
        <v>-1</v>
      </c>
      <c r="BY62" s="4">
        <f>BY63-BX63</f>
        <v>0</v>
      </c>
      <c r="CH62" s="4">
        <f>CH63-EP63</f>
        <v>0</v>
      </c>
      <c r="CI62" s="4">
        <f>CI63-CH63</f>
        <v>0</v>
      </c>
      <c r="CJ62" s="4">
        <f>CJ63-CI63</f>
        <v>0</v>
      </c>
      <c r="CK62" s="4">
        <f>CK63-CJ63</f>
        <v>0</v>
      </c>
      <c r="CP62" s="4">
        <f>CP63-ES63</f>
        <v>0</v>
      </c>
      <c r="CQ62" s="4">
        <f>CQ63-CP63</f>
        <v>0</v>
      </c>
      <c r="CR62" s="4">
        <f>CR63-CQ63</f>
        <v>-4</v>
      </c>
      <c r="CS62" s="470">
        <f>CS63-CR63</f>
        <v>0</v>
      </c>
      <c r="CT62" s="4">
        <v>0</v>
      </c>
      <c r="CU62" s="4">
        <v>-1</v>
      </c>
      <c r="CV62" s="4">
        <v>0</v>
      </c>
      <c r="CW62" s="470">
        <v>0</v>
      </c>
      <c r="CX62" s="1967">
        <v>0</v>
      </c>
      <c r="CY62" s="1959">
        <v>0</v>
      </c>
      <c r="CZ62" s="1967">
        <v>0</v>
      </c>
      <c r="DA62" s="1965">
        <v>-1</v>
      </c>
      <c r="DB62" s="1959">
        <v>0</v>
      </c>
      <c r="DC62" s="1959">
        <v>0</v>
      </c>
      <c r="DD62" s="1959">
        <v>0</v>
      </c>
      <c r="DE62" s="1962">
        <v>0</v>
      </c>
      <c r="DF62" s="1966"/>
      <c r="DG62" s="1966"/>
      <c r="DH62" s="1966"/>
      <c r="DI62" s="1962"/>
      <c r="DJ62" s="1963"/>
      <c r="DK62" s="1964"/>
      <c r="DL62" s="1964"/>
      <c r="DM62" s="1965"/>
      <c r="DN62" s="1964"/>
      <c r="DO62" s="1965"/>
      <c r="DP62" s="1967"/>
      <c r="DQ62" s="1967"/>
      <c r="DR62" s="1967"/>
      <c r="DS62" s="1967"/>
      <c r="DT62" s="1967"/>
      <c r="DU62" s="1967"/>
      <c r="DV62" s="1967"/>
      <c r="DW62" s="1967"/>
      <c r="DX62" s="1967"/>
      <c r="DY62" s="1967"/>
      <c r="DZ62" s="1967"/>
      <c r="EA62" s="1967"/>
      <c r="EB62" s="1967"/>
      <c r="EC62" s="1967"/>
      <c r="ED62" s="1967"/>
      <c r="EE62" s="1967"/>
      <c r="EF62" s="1967"/>
      <c r="EG62" s="1967"/>
      <c r="EH62" s="1967"/>
      <c r="EI62" s="1967"/>
      <c r="EJ62" s="1967"/>
      <c r="EK62" s="1967">
        <f>SUM(BB62:BE62)</f>
        <v>14</v>
      </c>
      <c r="EL62" s="1967">
        <f>SUM(BF62:BI62)</f>
        <v>5</v>
      </c>
      <c r="EM62" s="1967">
        <f>SUM(BJ62:BM62)</f>
        <v>15</v>
      </c>
      <c r="EN62" s="1967">
        <f>SUM(BN62:BQ62)</f>
        <v>1</v>
      </c>
      <c r="EO62" s="1967">
        <f>SUM(BR62:BU62)</f>
        <v>0</v>
      </c>
      <c r="EP62" s="1967">
        <f>SUM(BV62:BY62)</f>
        <v>-1</v>
      </c>
      <c r="EQ62" s="1967">
        <f t="shared" ref="EQ62:ER66" si="262">EO62</f>
        <v>0</v>
      </c>
      <c r="ER62" s="1967">
        <f t="shared" si="262"/>
        <v>-1</v>
      </c>
      <c r="ES62" s="1967">
        <f>SUM(CH62:CK62)</f>
        <v>0</v>
      </c>
      <c r="ET62" s="1967">
        <f>ES62</f>
        <v>0</v>
      </c>
      <c r="EU62" s="1967">
        <f>SUM(CP62:CS62)</f>
        <v>-4</v>
      </c>
      <c r="EV62" s="1967">
        <f>SUM(CT62:CW62)</f>
        <v>-1</v>
      </c>
      <c r="EW62" s="1959">
        <f>+DA62</f>
        <v>-1</v>
      </c>
      <c r="EX62" s="1959">
        <f>+SUM(DB62:DE62)</f>
        <v>0</v>
      </c>
      <c r="EY62" s="1959">
        <f>+SUM(DF62:DI62)</f>
        <v>0</v>
      </c>
      <c r="EZ62" s="1968">
        <f>+SUM(DJ62:DM62)</f>
        <v>0</v>
      </c>
      <c r="FA62" s="1967">
        <f>+EZ62</f>
        <v>0</v>
      </c>
      <c r="FB62" s="1967">
        <f t="shared" ref="FB62:FH62" si="263">+FA62</f>
        <v>0</v>
      </c>
      <c r="FC62" s="1967">
        <f t="shared" si="263"/>
        <v>0</v>
      </c>
      <c r="FD62" s="1967">
        <f t="shared" si="263"/>
        <v>0</v>
      </c>
      <c r="FE62" s="1967">
        <f t="shared" si="263"/>
        <v>0</v>
      </c>
      <c r="FF62" s="1967">
        <f t="shared" si="263"/>
        <v>0</v>
      </c>
      <c r="FG62" s="1967">
        <f t="shared" si="263"/>
        <v>0</v>
      </c>
      <c r="FH62" s="1967">
        <f t="shared" si="263"/>
        <v>0</v>
      </c>
      <c r="FI62" s="1969"/>
      <c r="FJ62"/>
      <c r="FK62"/>
      <c r="FL62"/>
      <c r="FM62"/>
      <c r="FN62"/>
      <c r="FO62"/>
      <c r="FP62" s="1964"/>
      <c r="FQ62" s="1967"/>
      <c r="FR62" s="1967"/>
      <c r="FS62" s="1966"/>
      <c r="FT62" s="7"/>
      <c r="FU62"/>
      <c r="FV62"/>
      <c r="FW62" s="1966"/>
      <c r="FX62" s="1966"/>
      <c r="FY62" s="1966"/>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row>
    <row r="63" spans="1:260" s="4" customFormat="1" ht="11.25" hidden="1" customHeight="1" outlineLevel="1" x14ac:dyDescent="0.2">
      <c r="A63" s="4" t="s">
        <v>38</v>
      </c>
      <c r="AS63" s="470"/>
      <c r="BB63" s="4">
        <f>BB62+BA63</f>
        <v>14</v>
      </c>
      <c r="BC63" s="4">
        <f>BC62+BB63</f>
        <v>14</v>
      </c>
      <c r="BD63" s="4">
        <f>BD62+BC63</f>
        <v>14</v>
      </c>
      <c r="BE63" s="4">
        <f>BE62+BD63</f>
        <v>14</v>
      </c>
      <c r="BF63" s="4">
        <f>BF62+EK63</f>
        <v>14</v>
      </c>
      <c r="BG63" s="4">
        <f>BG62+BF63</f>
        <v>15</v>
      </c>
      <c r="BH63" s="4">
        <f>BH62+BG63</f>
        <v>17</v>
      </c>
      <c r="BI63" s="4">
        <f>BI62+BH63</f>
        <v>19</v>
      </c>
      <c r="BJ63" s="4">
        <f>BJ62+EL63</f>
        <v>20</v>
      </c>
      <c r="BK63" s="4">
        <f>BK62+BJ63</f>
        <v>22</v>
      </c>
      <c r="BL63" s="4">
        <f>BL62+BK63</f>
        <v>29</v>
      </c>
      <c r="BM63" s="4">
        <f>BM62+BL63</f>
        <v>34</v>
      </c>
      <c r="BN63" s="4">
        <f>BN62+EM63</f>
        <v>34</v>
      </c>
      <c r="BO63" s="4">
        <f>BO62+BN63</f>
        <v>35</v>
      </c>
      <c r="BP63" s="4">
        <f>BP62+BO63</f>
        <v>35</v>
      </c>
      <c r="BQ63" s="4">
        <v>35</v>
      </c>
      <c r="BR63" s="4">
        <v>35</v>
      </c>
      <c r="BS63" s="4">
        <v>35</v>
      </c>
      <c r="BT63" s="4">
        <v>35</v>
      </c>
      <c r="BU63" s="4">
        <v>35</v>
      </c>
      <c r="BV63" s="4">
        <v>35</v>
      </c>
      <c r="BW63" s="4">
        <v>35</v>
      </c>
      <c r="BX63" s="4">
        <v>34</v>
      </c>
      <c r="BY63" s="4">
        <v>34</v>
      </c>
      <c r="CH63" s="4">
        <v>34</v>
      </c>
      <c r="CI63" s="4">
        <v>34</v>
      </c>
      <c r="CJ63" s="4">
        <v>34</v>
      </c>
      <c r="CK63" s="4">
        <v>34</v>
      </c>
      <c r="CP63" s="4">
        <v>34</v>
      </c>
      <c r="CQ63" s="4">
        <v>34</v>
      </c>
      <c r="CR63" s="4">
        <v>30</v>
      </c>
      <c r="CS63" s="470">
        <v>30</v>
      </c>
      <c r="CT63" s="4">
        <f t="shared" ref="CT63:DD63" si="264">CS63+CT62</f>
        <v>30</v>
      </c>
      <c r="CU63" s="4">
        <f t="shared" si="264"/>
        <v>29</v>
      </c>
      <c r="CV63" s="4">
        <f t="shared" si="264"/>
        <v>29</v>
      </c>
      <c r="CW63" s="470">
        <f t="shared" si="264"/>
        <v>29</v>
      </c>
      <c r="CX63" s="1977">
        <f t="shared" si="264"/>
        <v>29</v>
      </c>
      <c r="CY63" s="1977">
        <f t="shared" si="264"/>
        <v>29</v>
      </c>
      <c r="CZ63" s="1977">
        <f t="shared" si="264"/>
        <v>29</v>
      </c>
      <c r="DA63" s="1979">
        <f t="shared" si="264"/>
        <v>28</v>
      </c>
      <c r="DB63" s="1977">
        <f t="shared" si="264"/>
        <v>28</v>
      </c>
      <c r="DC63" s="1978">
        <f t="shared" si="264"/>
        <v>28</v>
      </c>
      <c r="DD63" s="1978">
        <f t="shared" si="264"/>
        <v>28</v>
      </c>
      <c r="DE63" s="1998">
        <v>28</v>
      </c>
      <c r="DF63" s="2475">
        <v>28</v>
      </c>
      <c r="DG63" s="2475">
        <v>28</v>
      </c>
      <c r="DH63" s="2475">
        <v>28</v>
      </c>
      <c r="DI63" s="1998">
        <v>28</v>
      </c>
      <c r="DJ63" s="2728">
        <f t="shared" ref="DJ63:DM63" si="265">+DI63</f>
        <v>28</v>
      </c>
      <c r="DK63" s="2593">
        <f t="shared" si="265"/>
        <v>28</v>
      </c>
      <c r="DL63" s="2593">
        <f t="shared" si="265"/>
        <v>28</v>
      </c>
      <c r="DM63" s="2013">
        <f t="shared" si="265"/>
        <v>28</v>
      </c>
      <c r="DN63" s="1967"/>
      <c r="DO63" s="1965"/>
      <c r="DP63" s="1967"/>
      <c r="DQ63" s="1967"/>
      <c r="DR63" s="1967"/>
      <c r="DS63" s="1967"/>
      <c r="DT63" s="1967"/>
      <c r="DU63" s="1967"/>
      <c r="DV63" s="1967"/>
      <c r="DW63" s="1967"/>
      <c r="DX63" s="1967"/>
      <c r="DY63" s="1967"/>
      <c r="DZ63" s="1967"/>
      <c r="EA63" s="1967"/>
      <c r="EB63" s="1967"/>
      <c r="EC63" s="1967"/>
      <c r="ED63" s="1967"/>
      <c r="EE63" s="1967"/>
      <c r="EF63" s="1967"/>
      <c r="EG63" s="1967"/>
      <c r="EH63" s="1967"/>
      <c r="EI63" s="1967"/>
      <c r="EJ63" s="1967"/>
      <c r="EK63" s="1967">
        <f>BE63</f>
        <v>14</v>
      </c>
      <c r="EL63" s="1967">
        <f>BI63</f>
        <v>19</v>
      </c>
      <c r="EM63" s="1967">
        <f>BM63</f>
        <v>34</v>
      </c>
      <c r="EN63" s="1967">
        <f>BQ63</f>
        <v>35</v>
      </c>
      <c r="EO63" s="1967">
        <f>BU63</f>
        <v>35</v>
      </c>
      <c r="EP63" s="1967">
        <f>BY63</f>
        <v>34</v>
      </c>
      <c r="EQ63" s="1967">
        <f t="shared" si="262"/>
        <v>35</v>
      </c>
      <c r="ER63" s="1967">
        <f t="shared" si="262"/>
        <v>34</v>
      </c>
      <c r="ES63" s="1967">
        <f>CK63</f>
        <v>34</v>
      </c>
      <c r="ET63" s="1967">
        <f>ES63</f>
        <v>34</v>
      </c>
      <c r="EU63" s="1967">
        <f>CS63</f>
        <v>30</v>
      </c>
      <c r="EV63" s="1967">
        <f>+CW63</f>
        <v>29</v>
      </c>
      <c r="EW63" s="1967">
        <f>+DA63</f>
        <v>28</v>
      </c>
      <c r="EX63" s="1959">
        <f>+EW63+EX62</f>
        <v>28</v>
      </c>
      <c r="EY63" s="1959">
        <f>+EX63+EY62</f>
        <v>28</v>
      </c>
      <c r="EZ63" s="1968">
        <f>+EY63+EZ62</f>
        <v>28</v>
      </c>
      <c r="FA63" s="1967">
        <f t="shared" ref="FA63" si="266">+EZ63+FA62</f>
        <v>28</v>
      </c>
      <c r="FB63" s="1967">
        <f t="shared" ref="FB63" si="267">+FA63+FB62</f>
        <v>28</v>
      </c>
      <c r="FC63" s="1967">
        <f t="shared" ref="FC63" si="268">+FB63+FC62</f>
        <v>28</v>
      </c>
      <c r="FD63" s="1967">
        <f t="shared" ref="FD63" si="269">+FC63+FD62</f>
        <v>28</v>
      </c>
      <c r="FE63" s="1967">
        <f t="shared" ref="FE63" si="270">+FD63+FE62</f>
        <v>28</v>
      </c>
      <c r="FF63" s="1967">
        <f t="shared" ref="FF63" si="271">+FE63+FF62</f>
        <v>28</v>
      </c>
      <c r="FG63" s="1967">
        <f t="shared" ref="FG63" si="272">+FF63+FG62</f>
        <v>28</v>
      </c>
      <c r="FH63" s="1967">
        <f t="shared" ref="FH63" si="273">+FG63+FH62</f>
        <v>28</v>
      </c>
      <c r="FI63" s="1969"/>
      <c r="FJ63"/>
      <c r="FK63"/>
      <c r="FL63"/>
      <c r="FM63"/>
      <c r="FN63"/>
      <c r="FO63"/>
      <c r="FP63" s="1964"/>
      <c r="FQ63" s="1967"/>
      <c r="FR63" s="1967"/>
      <c r="FS63" s="1966"/>
      <c r="FT63" s="7"/>
      <c r="FU63"/>
      <c r="FV63"/>
      <c r="FW63" s="1966"/>
      <c r="FX63" s="1966"/>
      <c r="FY63" s="1966"/>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row>
    <row r="64" spans="1:260" s="4" customFormat="1" ht="11.25" hidden="1" customHeight="1" outlineLevel="1" x14ac:dyDescent="0.2">
      <c r="A64" s="4" t="s">
        <v>39</v>
      </c>
      <c r="AS64" s="470"/>
      <c r="BB64" s="4">
        <f>AVERAGE(BB63,AX63)</f>
        <v>14</v>
      </c>
      <c r="BC64" s="4">
        <f>AVERAGE(BC63,AY63)</f>
        <v>14</v>
      </c>
      <c r="BD64" s="4">
        <f>AVERAGE(BD63,AZ63)</f>
        <v>14</v>
      </c>
      <c r="BE64" s="4">
        <f>AVERAGE(BE63,BA63)</f>
        <v>14</v>
      </c>
      <c r="BF64" s="4">
        <f t="shared" ref="BF64:BY64" si="274">(BF63+BE63)/2</f>
        <v>14</v>
      </c>
      <c r="BG64" s="4">
        <f t="shared" si="274"/>
        <v>14.5</v>
      </c>
      <c r="BH64" s="4">
        <f t="shared" si="274"/>
        <v>16</v>
      </c>
      <c r="BI64" s="4">
        <f t="shared" si="274"/>
        <v>18</v>
      </c>
      <c r="BJ64" s="4">
        <f t="shared" si="274"/>
        <v>19.5</v>
      </c>
      <c r="BK64" s="4">
        <f t="shared" si="274"/>
        <v>21</v>
      </c>
      <c r="BL64" s="4">
        <f t="shared" si="274"/>
        <v>25.5</v>
      </c>
      <c r="BM64" s="4">
        <f t="shared" si="274"/>
        <v>31.5</v>
      </c>
      <c r="BN64" s="4">
        <f t="shared" si="274"/>
        <v>34</v>
      </c>
      <c r="BO64" s="4">
        <f t="shared" si="274"/>
        <v>34.5</v>
      </c>
      <c r="BP64" s="4">
        <f t="shared" si="274"/>
        <v>35</v>
      </c>
      <c r="BQ64" s="4">
        <f t="shared" si="274"/>
        <v>35</v>
      </c>
      <c r="BR64" s="4">
        <f t="shared" si="274"/>
        <v>35</v>
      </c>
      <c r="BS64" s="4">
        <f t="shared" si="274"/>
        <v>35</v>
      </c>
      <c r="BT64" s="4">
        <f t="shared" si="274"/>
        <v>35</v>
      </c>
      <c r="BU64" s="4">
        <f t="shared" si="274"/>
        <v>35</v>
      </c>
      <c r="BV64" s="4">
        <f t="shared" si="274"/>
        <v>35</v>
      </c>
      <c r="BW64" s="4">
        <f t="shared" si="274"/>
        <v>35</v>
      </c>
      <c r="BX64" s="4">
        <f t="shared" si="274"/>
        <v>34.5</v>
      </c>
      <c r="BY64" s="4">
        <f t="shared" si="274"/>
        <v>34</v>
      </c>
      <c r="CH64" s="4">
        <f>(CH63+BY63)/2</f>
        <v>34</v>
      </c>
      <c r="CI64" s="4">
        <f>(CI63+CH63)/2</f>
        <v>34</v>
      </c>
      <c r="CJ64" s="4">
        <f>(CJ63+CI63)/2</f>
        <v>34</v>
      </c>
      <c r="CK64" s="4">
        <f>(CK63+CJ63)/2</f>
        <v>34</v>
      </c>
      <c r="CP64" s="4">
        <f>(CP63+CK63)/2</f>
        <v>34</v>
      </c>
      <c r="CQ64" s="4">
        <f t="shared" ref="CQ64:CW64" si="275">(CQ63+CP63)/2</f>
        <v>34</v>
      </c>
      <c r="CR64" s="4">
        <f t="shared" si="275"/>
        <v>32</v>
      </c>
      <c r="CS64" s="470">
        <f t="shared" si="275"/>
        <v>30</v>
      </c>
      <c r="CT64" s="4">
        <f t="shared" si="275"/>
        <v>30</v>
      </c>
      <c r="CU64" s="4">
        <f t="shared" si="275"/>
        <v>29.5</v>
      </c>
      <c r="CV64" s="4">
        <f t="shared" si="275"/>
        <v>29</v>
      </c>
      <c r="CW64" s="470">
        <f t="shared" si="275"/>
        <v>29</v>
      </c>
      <c r="CX64" s="1967">
        <f t="shared" ref="CX64" si="276">+IFERROR(AVERAGE(CW63:CX63),"NA")</f>
        <v>29</v>
      </c>
      <c r="CY64" s="1967">
        <f t="shared" ref="CY64" si="277">+IFERROR(AVERAGE(CX63:CY63),"NA")</f>
        <v>29</v>
      </c>
      <c r="CZ64" s="1967">
        <f t="shared" ref="CZ64" si="278">+IFERROR(AVERAGE(CY63:CZ63),"NA")</f>
        <v>29</v>
      </c>
      <c r="DA64" s="1965">
        <f t="shared" ref="DA64" si="279">+IFERROR(AVERAGE(CZ63:DA63),"NA")</f>
        <v>28.5</v>
      </c>
      <c r="DB64" s="1967">
        <f t="shared" ref="DB64" si="280">+IFERROR(AVERAGE(DA63:DB63),"NA")</f>
        <v>28</v>
      </c>
      <c r="DC64" s="1959">
        <f t="shared" ref="DC64" si="281">+IFERROR(AVERAGE(DB63:DC63),"NA")</f>
        <v>28</v>
      </c>
      <c r="DD64" s="1959">
        <f t="shared" ref="DD64" si="282">+IFERROR(AVERAGE(DC63:DD63),"NA")</f>
        <v>28</v>
      </c>
      <c r="DE64" s="1962">
        <f>+IFERROR(AVERAGE(DD63:DE63),"NA")</f>
        <v>28</v>
      </c>
      <c r="DF64" s="1966">
        <f t="shared" ref="DF64:DG64" si="283">+IFERROR(AVERAGE(DE63:DF63),"NA")</f>
        <v>28</v>
      </c>
      <c r="DG64" s="1966">
        <f t="shared" si="283"/>
        <v>28</v>
      </c>
      <c r="DH64" s="1966">
        <f t="shared" ref="DH64:DM64" si="284">+IFERROR(AVERAGE(DG63:DH63),"NA")</f>
        <v>28</v>
      </c>
      <c r="DI64" s="1962">
        <f t="shared" ref="DI64" si="285">+IFERROR(AVERAGE(DH63:DI63),"NA")</f>
        <v>28</v>
      </c>
      <c r="DJ64" s="1963">
        <f t="shared" si="284"/>
        <v>28</v>
      </c>
      <c r="DK64" s="1964">
        <f t="shared" si="284"/>
        <v>28</v>
      </c>
      <c r="DL64" s="1964">
        <f t="shared" si="284"/>
        <v>28</v>
      </c>
      <c r="DM64" s="1965">
        <f t="shared" si="284"/>
        <v>28</v>
      </c>
      <c r="DN64" s="1967"/>
      <c r="DO64" s="1965"/>
      <c r="DP64" s="1967"/>
      <c r="DQ64" s="1967"/>
      <c r="DR64" s="1967"/>
      <c r="DS64" s="1967"/>
      <c r="DT64" s="1967"/>
      <c r="DU64" s="1967"/>
      <c r="DV64" s="1967"/>
      <c r="DW64" s="1967"/>
      <c r="DX64" s="1967"/>
      <c r="DY64" s="1967"/>
      <c r="DZ64" s="1967"/>
      <c r="EA64" s="1967"/>
      <c r="EB64" s="1967"/>
      <c r="EC64" s="1967"/>
      <c r="ED64" s="1967"/>
      <c r="EE64" s="1967"/>
      <c r="EF64" s="1967"/>
      <c r="EG64" s="1967"/>
      <c r="EH64" s="1967"/>
      <c r="EI64" s="1967"/>
      <c r="EJ64" s="1967"/>
      <c r="EK64" s="1967">
        <f>AVERAGE(EK63,EJ63)</f>
        <v>14</v>
      </c>
      <c r="EL64" s="1967">
        <f>AVERAGE(BF64:BI64)</f>
        <v>15.625</v>
      </c>
      <c r="EM64" s="1967">
        <f>AVERAGE(BJ64:BM64)</f>
        <v>24.375</v>
      </c>
      <c r="EN64" s="1967">
        <f>AVERAGE(BN64:BQ64)</f>
        <v>34.625</v>
      </c>
      <c r="EO64" s="1967">
        <f>AVERAGE(BR64:BU64)</f>
        <v>35</v>
      </c>
      <c r="EP64" s="1967">
        <f>AVERAGE(BV64:BY64)</f>
        <v>34.625</v>
      </c>
      <c r="EQ64" s="1967">
        <f t="shared" si="262"/>
        <v>35</v>
      </c>
      <c r="ER64" s="1967">
        <f t="shared" si="262"/>
        <v>34.625</v>
      </c>
      <c r="ES64" s="1967">
        <f>AVERAGE(CH64:CK64)</f>
        <v>34</v>
      </c>
      <c r="ET64" s="1967">
        <f>ES64</f>
        <v>34</v>
      </c>
      <c r="EU64" s="1967">
        <f>AVERAGE(CP64:CS64)</f>
        <v>32.5</v>
      </c>
      <c r="EV64" s="1967">
        <f>AVERAGE(CT63:CW63)</f>
        <v>29.25</v>
      </c>
      <c r="EW64" s="1960">
        <f>AVERAGE(CX63:DA63)</f>
        <v>28.75</v>
      </c>
      <c r="EX64" s="1959">
        <f>AVERAGE(DB63:DE63)</f>
        <v>28</v>
      </c>
      <c r="EY64" s="1959">
        <f>AVERAGE(DF63:DI63)</f>
        <v>28</v>
      </c>
      <c r="EZ64" s="1968">
        <f>AVERAGE(DJ63:DM63)</f>
        <v>28</v>
      </c>
      <c r="FA64" s="1967">
        <f t="shared" ref="FA64" si="286">+IFERROR(AVERAGE(EZ63:FA63),"NA")</f>
        <v>28</v>
      </c>
      <c r="FB64" s="1967">
        <f t="shared" ref="FB64" si="287">+IFERROR(AVERAGE(FA63:FB63),"NA")</f>
        <v>28</v>
      </c>
      <c r="FC64" s="1967">
        <f t="shared" ref="FC64" si="288">+IFERROR(AVERAGE(FB63:FC63),"NA")</f>
        <v>28</v>
      </c>
      <c r="FD64" s="1967">
        <f t="shared" ref="FD64" si="289">+IFERROR(AVERAGE(FC63:FD63),"NA")</f>
        <v>28</v>
      </c>
      <c r="FE64" s="1967">
        <f t="shared" ref="FE64" si="290">+IFERROR(AVERAGE(FD63:FE63),"NA")</f>
        <v>28</v>
      </c>
      <c r="FF64" s="1967">
        <f t="shared" ref="FF64" si="291">+IFERROR(AVERAGE(FE63:FF63),"NA")</f>
        <v>28</v>
      </c>
      <c r="FG64" s="1967">
        <f t="shared" ref="FG64" si="292">+IFERROR(AVERAGE(FF63:FG63),"NA")</f>
        <v>28</v>
      </c>
      <c r="FH64" s="1967">
        <f t="shared" ref="FH64" si="293">+IFERROR(AVERAGE(FG63:FH63),"NA")</f>
        <v>28</v>
      </c>
      <c r="FI64" s="1969"/>
      <c r="FJ64"/>
      <c r="FK64"/>
      <c r="FL64"/>
      <c r="FM64"/>
      <c r="FN64"/>
      <c r="FO64"/>
      <c r="FP64" s="1964"/>
      <c r="FQ64" s="1967"/>
      <c r="FR64" s="1967"/>
      <c r="FS64" s="1966"/>
      <c r="FT64" s="7"/>
      <c r="FU64"/>
      <c r="FV64"/>
      <c r="FW64" s="1966"/>
      <c r="FX64" s="1966"/>
      <c r="FY64" s="1966"/>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row>
    <row r="65" spans="1:260" s="4" customFormat="1" ht="11.25" hidden="1" customHeight="1" outlineLevel="1" x14ac:dyDescent="0.2">
      <c r="A65" s="4" t="s">
        <v>41</v>
      </c>
      <c r="AS65" s="470"/>
      <c r="BB65" s="4">
        <f t="shared" ref="BB65:BY65" si="294">(BB66/BB63)*1000</f>
        <v>35857.142857142855</v>
      </c>
      <c r="BC65" s="4">
        <f t="shared" si="294"/>
        <v>35857.142857142855</v>
      </c>
      <c r="BD65" s="4">
        <f t="shared" si="294"/>
        <v>35857.142857142855</v>
      </c>
      <c r="BE65" s="4">
        <f t="shared" si="294"/>
        <v>35857.142857142855</v>
      </c>
      <c r="BF65" s="4">
        <f t="shared" si="294"/>
        <v>35857.142857142855</v>
      </c>
      <c r="BG65" s="4">
        <f t="shared" si="294"/>
        <v>35666.666666666664</v>
      </c>
      <c r="BH65" s="4">
        <f t="shared" si="294"/>
        <v>35176.470588235294</v>
      </c>
      <c r="BI65" s="4">
        <f t="shared" si="294"/>
        <v>34052.631578947367</v>
      </c>
      <c r="BJ65" s="4">
        <f t="shared" si="294"/>
        <v>33500</v>
      </c>
      <c r="BK65" s="4">
        <f t="shared" si="294"/>
        <v>32909.090909090904</v>
      </c>
      <c r="BL65" s="4">
        <f t="shared" si="294"/>
        <v>27413.793103448279</v>
      </c>
      <c r="BM65" s="4">
        <f t="shared" si="294"/>
        <v>26970.588235294115</v>
      </c>
      <c r="BN65" s="4">
        <f t="shared" si="294"/>
        <v>27058.823529411766</v>
      </c>
      <c r="BO65" s="4">
        <f t="shared" si="294"/>
        <v>26971.428571428572</v>
      </c>
      <c r="BP65" s="4">
        <f t="shared" si="294"/>
        <v>26971.428571428572</v>
      </c>
      <c r="BQ65" s="4">
        <f t="shared" si="294"/>
        <v>26971.428571428572</v>
      </c>
      <c r="BR65" s="4">
        <f t="shared" si="294"/>
        <v>26971.428571428572</v>
      </c>
      <c r="BS65" s="4">
        <f t="shared" si="294"/>
        <v>26971.428571428572</v>
      </c>
      <c r="BT65" s="4">
        <f t="shared" si="294"/>
        <v>26971.428571428572</v>
      </c>
      <c r="BU65" s="4">
        <f t="shared" si="294"/>
        <v>26971.428571428572</v>
      </c>
      <c r="BV65" s="4">
        <f t="shared" si="294"/>
        <v>25885.714285714286</v>
      </c>
      <c r="BW65" s="4">
        <f t="shared" si="294"/>
        <v>25885.714285714286</v>
      </c>
      <c r="BX65" s="4">
        <f t="shared" si="294"/>
        <v>25764.705882352941</v>
      </c>
      <c r="BY65" s="4">
        <f t="shared" si="294"/>
        <v>25764.705882352941</v>
      </c>
      <c r="CH65" s="4">
        <f>(CH66/CH63)*1000</f>
        <v>25764.705882352941</v>
      </c>
      <c r="CI65" s="4">
        <f>(CI66/CI63)*1000</f>
        <v>25764.705882352941</v>
      </c>
      <c r="CJ65" s="4">
        <f>(CJ66/CJ63)*1000</f>
        <v>25764.705882352941</v>
      </c>
      <c r="CK65" s="4">
        <f>(CK66/CK63)*1000</f>
        <v>25764.705882352941</v>
      </c>
      <c r="CP65" s="4">
        <f t="shared" ref="CP65:CW65" si="295">(CP66/CP63)*1000</f>
        <v>25764.705882352941</v>
      </c>
      <c r="CQ65" s="4">
        <f t="shared" si="295"/>
        <v>25764.705882352941</v>
      </c>
      <c r="CR65" s="4">
        <f t="shared" si="295"/>
        <v>25733.333333333336</v>
      </c>
      <c r="CS65" s="470">
        <f t="shared" si="295"/>
        <v>25733.333333333336</v>
      </c>
      <c r="CT65" s="1289">
        <f t="shared" si="295"/>
        <v>25733.333333333336</v>
      </c>
      <c r="CU65" s="1289">
        <f t="shared" si="295"/>
        <v>25793.103448275862</v>
      </c>
      <c r="CV65" s="1289">
        <f t="shared" si="295"/>
        <v>25793.103448275862</v>
      </c>
      <c r="CW65" s="1434">
        <f t="shared" si="295"/>
        <v>26448.275862068964</v>
      </c>
      <c r="CX65" s="1967">
        <f t="shared" ref="CX65:DD65" si="296">IFERROR((CX66/CX63)*1000,"NA")</f>
        <v>26448.275862068964</v>
      </c>
      <c r="CY65" s="1967">
        <f t="shared" si="296"/>
        <v>26448.275862068964</v>
      </c>
      <c r="CZ65" s="1967">
        <f t="shared" si="296"/>
        <v>26448.275862068964</v>
      </c>
      <c r="DA65" s="1965">
        <f t="shared" si="296"/>
        <v>26321.428571428572</v>
      </c>
      <c r="DB65" s="1967">
        <f t="shared" si="296"/>
        <v>26321.428571428572</v>
      </c>
      <c r="DC65" s="1959">
        <f t="shared" si="296"/>
        <v>26321.428571428572</v>
      </c>
      <c r="DD65" s="1959">
        <f t="shared" si="296"/>
        <v>26321.428571428572</v>
      </c>
      <c r="DE65" s="1962">
        <f>IFERROR((DE66/DE63)*1000,"NA")</f>
        <v>26321.428571428572</v>
      </c>
      <c r="DF65" s="1966">
        <f>IFERROR((DF66/DF63)*1000,"NA")</f>
        <v>26250</v>
      </c>
      <c r="DG65" s="1966">
        <f>IFERROR((DG66/DG63)*1000,"NA")</f>
        <v>26250</v>
      </c>
      <c r="DH65" s="1966">
        <f>IFERROR((DH66/DH63)*1000,"NA")</f>
        <v>26250</v>
      </c>
      <c r="DI65" s="1962">
        <f>IFERROR((DI66/DI63)*1000,"NA")</f>
        <v>26250</v>
      </c>
      <c r="DJ65" s="1963">
        <f t="shared" ref="DJ65:DM65" si="297">+DI65</f>
        <v>26250</v>
      </c>
      <c r="DK65" s="1964">
        <f t="shared" si="297"/>
        <v>26250</v>
      </c>
      <c r="DL65" s="1964">
        <f t="shared" si="297"/>
        <v>26250</v>
      </c>
      <c r="DM65" s="1965">
        <f t="shared" si="297"/>
        <v>26250</v>
      </c>
      <c r="DN65" s="1967"/>
      <c r="DO65" s="1965"/>
      <c r="DP65" s="1967"/>
      <c r="DQ65" s="1967"/>
      <c r="DR65" s="1967"/>
      <c r="DS65" s="1967"/>
      <c r="DT65" s="1967"/>
      <c r="DU65" s="1967"/>
      <c r="DV65" s="1967"/>
      <c r="DW65" s="1967"/>
      <c r="DX65" s="1967"/>
      <c r="DY65" s="1967"/>
      <c r="DZ65" s="1967"/>
      <c r="EA65" s="1967"/>
      <c r="EB65" s="1967"/>
      <c r="EC65" s="1967"/>
      <c r="ED65" s="1967"/>
      <c r="EE65" s="1967"/>
      <c r="EF65" s="1967"/>
      <c r="EG65" s="1967"/>
      <c r="EH65" s="1967"/>
      <c r="EI65" s="1967"/>
      <c r="EJ65" s="1967"/>
      <c r="EK65" s="1967">
        <f>BE65</f>
        <v>35857.142857142855</v>
      </c>
      <c r="EL65" s="1967">
        <f>BI65</f>
        <v>34052.631578947367</v>
      </c>
      <c r="EM65" s="1967">
        <f>BM65</f>
        <v>26970.588235294115</v>
      </c>
      <c r="EN65" s="1967">
        <f>(EN66/EN63)*1000</f>
        <v>26971.428571428572</v>
      </c>
      <c r="EO65" s="1967">
        <f>(EO66/EO63)*1000</f>
        <v>26971.428571428572</v>
      </c>
      <c r="EP65" s="1967">
        <f>(EP66/EP63)*1000</f>
        <v>25764.705882352941</v>
      </c>
      <c r="EQ65" s="1967">
        <f t="shared" si="262"/>
        <v>26971.428571428572</v>
      </c>
      <c r="ER65" s="1967">
        <f t="shared" si="262"/>
        <v>25764.705882352941</v>
      </c>
      <c r="ES65" s="1967">
        <f>(ES66/ES63)*1000</f>
        <v>25764.705882352941</v>
      </c>
      <c r="ET65" s="1967">
        <f>ES65</f>
        <v>25764.705882352941</v>
      </c>
      <c r="EU65" s="1967">
        <f>(EU66/EU63)*1000</f>
        <v>25733.333333333336</v>
      </c>
      <c r="EV65" s="1967">
        <f>(EV66/EV63)*1000</f>
        <v>26448.275862068964</v>
      </c>
      <c r="EW65" s="1960">
        <f>IFERROR((EW66/EW63)*1000,"NA")</f>
        <v>26321.428571428572</v>
      </c>
      <c r="EX65" s="1959">
        <f t="shared" ref="EX65:EY65" si="298">IFERROR((EX66/EX63)*1000,"NA")</f>
        <v>26321.428571428572</v>
      </c>
      <c r="EY65" s="1959">
        <f t="shared" si="298"/>
        <v>26250</v>
      </c>
      <c r="EZ65" s="1968">
        <f t="shared" ref="EZ65" si="299">IFERROR((EZ66/EZ63)*1000,"NA")</f>
        <v>26250</v>
      </c>
      <c r="FA65" s="1967">
        <f>+EZ65</f>
        <v>26250</v>
      </c>
      <c r="FB65" s="1967">
        <f t="shared" ref="FB65:FH65" si="300">+FA65</f>
        <v>26250</v>
      </c>
      <c r="FC65" s="1967">
        <f t="shared" si="300"/>
        <v>26250</v>
      </c>
      <c r="FD65" s="1967">
        <f t="shared" si="300"/>
        <v>26250</v>
      </c>
      <c r="FE65" s="1967">
        <f t="shared" si="300"/>
        <v>26250</v>
      </c>
      <c r="FF65" s="1967">
        <f t="shared" si="300"/>
        <v>26250</v>
      </c>
      <c r="FG65" s="1967">
        <f t="shared" si="300"/>
        <v>26250</v>
      </c>
      <c r="FH65" s="1967">
        <f t="shared" si="300"/>
        <v>26250</v>
      </c>
      <c r="FI65" s="1969"/>
      <c r="FJ65"/>
      <c r="FK65"/>
      <c r="FL65"/>
      <c r="FM65"/>
      <c r="FN65"/>
      <c r="FO65"/>
      <c r="FP65" s="1964"/>
      <c r="FQ65" s="1967"/>
      <c r="FR65" s="1967"/>
      <c r="FS65" s="1966"/>
      <c r="FT65" s="7"/>
      <c r="FU65"/>
      <c r="FV65"/>
      <c r="FW65" s="1966"/>
      <c r="FX65" s="1966"/>
      <c r="FY65" s="1966"/>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row>
    <row r="66" spans="1:260" s="4" customFormat="1" ht="11.25" hidden="1" customHeight="1" outlineLevel="1" x14ac:dyDescent="0.2">
      <c r="A66" s="4" t="s">
        <v>40</v>
      </c>
      <c r="AS66" s="470"/>
      <c r="BB66" s="4">
        <v>502</v>
      </c>
      <c r="BC66" s="4">
        <v>502</v>
      </c>
      <c r="BD66" s="4">
        <v>502</v>
      </c>
      <c r="BE66" s="4">
        <v>502</v>
      </c>
      <c r="BF66" s="4">
        <v>502</v>
      </c>
      <c r="BG66" s="4">
        <v>535</v>
      </c>
      <c r="BH66" s="4">
        <v>598</v>
      </c>
      <c r="BI66" s="4">
        <v>647</v>
      </c>
      <c r="BJ66" s="4">
        <v>670</v>
      </c>
      <c r="BK66" s="4">
        <v>724</v>
      </c>
      <c r="BL66" s="4">
        <v>795</v>
      </c>
      <c r="BM66" s="4">
        <v>917</v>
      </c>
      <c r="BN66" s="4">
        <v>920</v>
      </c>
      <c r="BO66" s="4">
        <v>944</v>
      </c>
      <c r="BP66" s="4">
        <v>944</v>
      </c>
      <c r="BQ66" s="4">
        <v>944</v>
      </c>
      <c r="BR66" s="4">
        <v>944</v>
      </c>
      <c r="BS66" s="4">
        <v>944</v>
      </c>
      <c r="BT66" s="4">
        <v>944</v>
      </c>
      <c r="BU66" s="4">
        <v>944</v>
      </c>
      <c r="BV66" s="4">
        <v>906</v>
      </c>
      <c r="BW66" s="4">
        <v>906</v>
      </c>
      <c r="BX66" s="4">
        <v>876</v>
      </c>
      <c r="BY66" s="4">
        <v>876</v>
      </c>
      <c r="CH66" s="4">
        <v>876</v>
      </c>
      <c r="CI66" s="4">
        <v>876</v>
      </c>
      <c r="CJ66" s="4">
        <v>876</v>
      </c>
      <c r="CK66" s="4">
        <v>876</v>
      </c>
      <c r="CP66" s="4">
        <v>876</v>
      </c>
      <c r="CQ66" s="4">
        <v>876</v>
      </c>
      <c r="CR66" s="4">
        <v>772</v>
      </c>
      <c r="CS66" s="470">
        <v>772</v>
      </c>
      <c r="CT66" s="341">
        <v>772</v>
      </c>
      <c r="CU66" s="341">
        <v>748</v>
      </c>
      <c r="CV66" s="341">
        <v>748</v>
      </c>
      <c r="CW66" s="1120">
        <v>767</v>
      </c>
      <c r="CX66" s="1977">
        <v>767</v>
      </c>
      <c r="CY66" s="1977">
        <v>767</v>
      </c>
      <c r="CZ66" s="1977">
        <v>767</v>
      </c>
      <c r="DA66" s="1979">
        <v>737</v>
      </c>
      <c r="DB66" s="1978">
        <v>737</v>
      </c>
      <c r="DC66" s="1978">
        <v>737</v>
      </c>
      <c r="DD66" s="1978">
        <v>737</v>
      </c>
      <c r="DE66" s="1998">
        <v>737</v>
      </c>
      <c r="DF66" s="2475">
        <v>735</v>
      </c>
      <c r="DG66" s="2475">
        <v>735</v>
      </c>
      <c r="DH66" s="2475">
        <v>735</v>
      </c>
      <c r="DI66" s="1998">
        <v>735</v>
      </c>
      <c r="DJ66" s="2728">
        <f t="shared" ref="DJ66:DK66" si="301">+IFERROR(DJ65*DJ63/1000,"NA")</f>
        <v>735</v>
      </c>
      <c r="DK66" s="2593">
        <f t="shared" si="301"/>
        <v>735</v>
      </c>
      <c r="DL66" s="2593">
        <f t="shared" ref="DL66:DM66" si="302">+IFERROR(DL65*DL63/1000,"NA")</f>
        <v>735</v>
      </c>
      <c r="DM66" s="2013">
        <f t="shared" si="302"/>
        <v>735</v>
      </c>
      <c r="DN66" s="1967"/>
      <c r="DO66" s="1965"/>
      <c r="DP66" s="1967"/>
      <c r="DQ66" s="1967"/>
      <c r="DR66" s="1967"/>
      <c r="DS66" s="1967"/>
      <c r="DT66" s="1967"/>
      <c r="DU66" s="1967"/>
      <c r="DV66" s="1967"/>
      <c r="DW66" s="1967"/>
      <c r="DX66" s="1967"/>
      <c r="DY66" s="1967"/>
      <c r="DZ66" s="1967"/>
      <c r="EA66" s="1967"/>
      <c r="EB66" s="1967"/>
      <c r="EC66" s="1967"/>
      <c r="ED66" s="1967"/>
      <c r="EE66" s="1967"/>
      <c r="EF66" s="1967"/>
      <c r="EG66" s="1967"/>
      <c r="EH66" s="1967"/>
      <c r="EI66" s="1967"/>
      <c r="EJ66" s="1967"/>
      <c r="EK66" s="1967">
        <f>(EK64*EK65)/1000</f>
        <v>502</v>
      </c>
      <c r="EL66" s="1967">
        <f>BI66</f>
        <v>647</v>
      </c>
      <c r="EM66" s="1967">
        <f>BM66</f>
        <v>917</v>
      </c>
      <c r="EN66" s="1967">
        <f>BQ66</f>
        <v>944</v>
      </c>
      <c r="EO66" s="1967">
        <f>BU66</f>
        <v>944</v>
      </c>
      <c r="EP66" s="1967">
        <f>BY66</f>
        <v>876</v>
      </c>
      <c r="EQ66" s="1967">
        <f t="shared" si="262"/>
        <v>944</v>
      </c>
      <c r="ER66" s="1967">
        <f t="shared" si="262"/>
        <v>876</v>
      </c>
      <c r="ES66" s="1967">
        <f>CK66</f>
        <v>876</v>
      </c>
      <c r="ET66" s="1967">
        <f>ES66</f>
        <v>876</v>
      </c>
      <c r="EU66" s="1967">
        <f>CS66</f>
        <v>772</v>
      </c>
      <c r="EV66" s="1967">
        <f>CW66</f>
        <v>767</v>
      </c>
      <c r="EW66" s="1967">
        <f>DA66</f>
        <v>737</v>
      </c>
      <c r="EX66" s="1959">
        <f>+DE66</f>
        <v>737</v>
      </c>
      <c r="EY66" s="1959">
        <f>+DI66</f>
        <v>735</v>
      </c>
      <c r="EZ66" s="1968">
        <f>+DM66</f>
        <v>735</v>
      </c>
      <c r="FA66" s="1967">
        <f t="shared" ref="FA66:FH66" si="303">+IFERROR(FA65*FA63/1000,"NA")</f>
        <v>735</v>
      </c>
      <c r="FB66" s="1967">
        <f t="shared" si="303"/>
        <v>735</v>
      </c>
      <c r="FC66" s="1967">
        <f t="shared" si="303"/>
        <v>735</v>
      </c>
      <c r="FD66" s="1967">
        <f t="shared" si="303"/>
        <v>735</v>
      </c>
      <c r="FE66" s="1967">
        <f t="shared" si="303"/>
        <v>735</v>
      </c>
      <c r="FF66" s="1967">
        <f t="shared" si="303"/>
        <v>735</v>
      </c>
      <c r="FG66" s="1967">
        <f t="shared" si="303"/>
        <v>735</v>
      </c>
      <c r="FH66" s="1967">
        <f t="shared" si="303"/>
        <v>735</v>
      </c>
      <c r="FI66" s="1969"/>
      <c r="FJ66"/>
      <c r="FK66"/>
      <c r="FL66"/>
      <c r="FM66"/>
      <c r="FN66"/>
      <c r="FO66"/>
      <c r="FP66" s="1964"/>
      <c r="FQ66" s="1967"/>
      <c r="FR66" s="1967"/>
      <c r="FS66" s="1966"/>
      <c r="FT66" s="7"/>
      <c r="FU66"/>
      <c r="FV66"/>
      <c r="FW66" s="1966"/>
      <c r="FX66" s="1966"/>
      <c r="FY66" s="19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row>
    <row r="67" spans="1:260" s="4" customFormat="1" ht="11.25" hidden="1" customHeight="1" outlineLevel="1" x14ac:dyDescent="0.2">
      <c r="AS67" s="470"/>
      <c r="CS67" s="470"/>
      <c r="CW67" s="470"/>
      <c r="CX67" s="1967"/>
      <c r="CY67" s="1967"/>
      <c r="CZ67" s="1967"/>
      <c r="DA67" s="1965"/>
      <c r="DB67" s="1967"/>
      <c r="DC67" s="1959"/>
      <c r="DD67" s="1966"/>
      <c r="DE67" s="1962"/>
      <c r="DF67" s="1966"/>
      <c r="DG67" s="1966"/>
      <c r="DH67" s="1966"/>
      <c r="DI67" s="1962"/>
      <c r="DJ67" s="1963"/>
      <c r="DK67" s="1964"/>
      <c r="DL67" s="1964"/>
      <c r="DM67" s="1965"/>
      <c r="DN67" s="1967"/>
      <c r="DO67" s="1965"/>
      <c r="DP67" s="1967"/>
      <c r="DQ67" s="1967"/>
      <c r="DR67" s="1967"/>
      <c r="DS67" s="1967"/>
      <c r="DT67" s="1967"/>
      <c r="DU67" s="1967"/>
      <c r="DV67" s="1967"/>
      <c r="DW67" s="1967"/>
      <c r="DX67" s="1967"/>
      <c r="DY67" s="1967"/>
      <c r="DZ67" s="1967"/>
      <c r="EA67" s="1967"/>
      <c r="EB67" s="1967"/>
      <c r="EC67" s="1967"/>
      <c r="ED67" s="1967"/>
      <c r="EE67" s="1967"/>
      <c r="EF67" s="1967"/>
      <c r="EG67" s="1967"/>
      <c r="EH67" s="1967"/>
      <c r="EI67" s="1967"/>
      <c r="EJ67" s="1967"/>
      <c r="EK67" s="1967"/>
      <c r="EL67" s="1967"/>
      <c r="EM67" s="1967"/>
      <c r="EN67" s="1967"/>
      <c r="EO67" s="1967"/>
      <c r="EP67" s="1967"/>
      <c r="EQ67" s="1967"/>
      <c r="ER67" s="1967"/>
      <c r="ES67" s="1967"/>
      <c r="ET67" s="1967"/>
      <c r="EU67" s="1967"/>
      <c r="EV67" s="1967"/>
      <c r="EW67" s="1995"/>
      <c r="EX67" s="1959"/>
      <c r="EY67" s="1959"/>
      <c r="EZ67" s="1968"/>
      <c r="FA67" s="1967"/>
      <c r="FB67" s="1967"/>
      <c r="FC67" s="1967"/>
      <c r="FD67" s="1967"/>
      <c r="FE67" s="1964"/>
      <c r="FF67" s="1964"/>
      <c r="FG67" s="1964"/>
      <c r="FH67" s="1964"/>
      <c r="FI67" s="1969"/>
      <c r="FJ67"/>
      <c r="FK67"/>
      <c r="FL67"/>
      <c r="FM67"/>
      <c r="FN67"/>
      <c r="FO67"/>
      <c r="FP67" s="1964"/>
      <c r="FQ67" s="1967"/>
      <c r="FR67" s="1967"/>
      <c r="FS67" s="1966"/>
      <c r="FT67" s="7"/>
      <c r="FU67"/>
      <c r="FV67"/>
      <c r="FW67" s="1966"/>
      <c r="FX67" s="1966"/>
      <c r="FY67" s="1966"/>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row>
    <row r="68" spans="1:260" s="4" customFormat="1" ht="11.25" hidden="1" customHeight="1" outlineLevel="1" x14ac:dyDescent="0.2">
      <c r="A68" s="19" t="s">
        <v>455</v>
      </c>
      <c r="AS68" s="470"/>
      <c r="CS68" s="470"/>
      <c r="CW68" s="470"/>
      <c r="CX68" s="1967"/>
      <c r="CY68" s="1967"/>
      <c r="CZ68" s="1967"/>
      <c r="DA68" s="1965"/>
      <c r="DB68" s="1967"/>
      <c r="DC68" s="1959"/>
      <c r="DD68" s="1966"/>
      <c r="DE68" s="1962"/>
      <c r="DF68" s="1966"/>
      <c r="DG68" s="1966"/>
      <c r="DH68" s="1966"/>
      <c r="DI68" s="1962"/>
      <c r="DJ68" s="1963"/>
      <c r="DK68" s="1964"/>
      <c r="DL68" s="1964"/>
      <c r="DM68" s="1965"/>
      <c r="DN68" s="1967"/>
      <c r="DO68" s="1965"/>
      <c r="DP68" s="1967"/>
      <c r="DQ68" s="1967"/>
      <c r="DR68" s="1967"/>
      <c r="DS68" s="1967"/>
      <c r="DT68" s="1967"/>
      <c r="DU68" s="1967"/>
      <c r="DV68" s="1967"/>
      <c r="DW68" s="1967"/>
      <c r="DX68" s="1967"/>
      <c r="DY68" s="1967"/>
      <c r="DZ68" s="1967"/>
      <c r="EA68" s="1967"/>
      <c r="EB68" s="1967"/>
      <c r="EC68" s="1967"/>
      <c r="ED68" s="1967"/>
      <c r="EE68" s="1967"/>
      <c r="EF68" s="1967"/>
      <c r="EG68" s="1967"/>
      <c r="EH68" s="1967"/>
      <c r="EI68" s="1967"/>
      <c r="EJ68" s="1967"/>
      <c r="EK68" s="1967"/>
      <c r="EL68" s="1967"/>
      <c r="EM68" s="1967"/>
      <c r="EN68" s="1967"/>
      <c r="EO68" s="1967"/>
      <c r="EP68" s="1967"/>
      <c r="EQ68" s="1967"/>
      <c r="ER68" s="1967"/>
      <c r="ES68" s="1967"/>
      <c r="ET68" s="1967"/>
      <c r="EU68" s="1967"/>
      <c r="EV68" s="1967"/>
      <c r="EW68" s="1975"/>
      <c r="EX68" s="1959"/>
      <c r="EY68" s="1959"/>
      <c r="EZ68" s="1968"/>
      <c r="FA68" s="1967"/>
      <c r="FB68" s="1967"/>
      <c r="FC68" s="1967"/>
      <c r="FD68" s="1967"/>
      <c r="FE68" s="1964"/>
      <c r="FF68" s="1964"/>
      <c r="FG68" s="1964"/>
      <c r="FH68" s="1964"/>
      <c r="FI68" s="1969"/>
      <c r="FJ68"/>
      <c r="FK68"/>
      <c r="FL68"/>
      <c r="FM68"/>
      <c r="FN68"/>
      <c r="FO68"/>
      <c r="FP68" s="1964"/>
      <c r="FQ68" s="1967"/>
      <c r="FR68" s="1967"/>
      <c r="FS68" s="1966"/>
      <c r="FT68" s="7"/>
      <c r="FU68"/>
      <c r="FV68"/>
      <c r="FW68" s="1966"/>
      <c r="FX68" s="1966"/>
      <c r="FY68" s="1966"/>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row>
    <row r="69" spans="1:260" s="4" customFormat="1" ht="11.25" hidden="1" customHeight="1" outlineLevel="1" x14ac:dyDescent="0.2">
      <c r="A69" s="4" t="s">
        <v>121</v>
      </c>
      <c r="AH69" s="4">
        <v>0</v>
      </c>
      <c r="AI69" s="4">
        <v>0</v>
      </c>
      <c r="AJ69" s="4">
        <v>0</v>
      </c>
      <c r="AK69" s="4">
        <v>0</v>
      </c>
      <c r="AL69" s="4">
        <v>3</v>
      </c>
      <c r="AM69" s="4">
        <v>0</v>
      </c>
      <c r="AN69" s="4">
        <v>3</v>
      </c>
      <c r="AO69" s="4">
        <v>0</v>
      </c>
      <c r="AP69" s="4">
        <v>0</v>
      </c>
      <c r="AQ69" s="4">
        <v>1</v>
      </c>
      <c r="AR69" s="4">
        <v>2</v>
      </c>
      <c r="AS69" s="470">
        <v>0</v>
      </c>
      <c r="AT69" s="4">
        <v>0</v>
      </c>
      <c r="AU69" s="4">
        <v>0</v>
      </c>
      <c r="AV69" s="4">
        <v>0</v>
      </c>
      <c r="AW69" s="4">
        <v>-2</v>
      </c>
      <c r="AX69" s="4">
        <v>0</v>
      </c>
      <c r="AY69" s="4">
        <v>0</v>
      </c>
      <c r="AZ69" s="4">
        <v>0</v>
      </c>
      <c r="BA69" s="4">
        <v>0</v>
      </c>
      <c r="BB69" s="4">
        <v>0</v>
      </c>
      <c r="BC69" s="4">
        <v>0</v>
      </c>
      <c r="BD69" s="4">
        <v>0</v>
      </c>
      <c r="BE69" s="4">
        <v>0</v>
      </c>
      <c r="BF69" s="4">
        <v>-1</v>
      </c>
      <c r="BG69" s="4">
        <v>-6</v>
      </c>
      <c r="BH69" s="4">
        <v>0</v>
      </c>
      <c r="BI69" s="4">
        <v>0</v>
      </c>
      <c r="BJ69" s="4">
        <v>0</v>
      </c>
      <c r="BK69" s="4">
        <v>0</v>
      </c>
      <c r="BL69" s="4">
        <v>0</v>
      </c>
      <c r="BM69" s="4">
        <v>-7</v>
      </c>
      <c r="BN69" s="4">
        <v>0</v>
      </c>
      <c r="BO69" s="4">
        <v>0</v>
      </c>
      <c r="BP69" s="4">
        <v>0</v>
      </c>
      <c r="BQ69" s="4">
        <f>BQ70-BP70</f>
        <v>0</v>
      </c>
      <c r="BR69" s="4">
        <f>BR70-EN70</f>
        <v>0</v>
      </c>
      <c r="BS69" s="4">
        <f>BS70-BR70</f>
        <v>0</v>
      </c>
      <c r="BT69" s="4">
        <f>BT70-BS70</f>
        <v>0</v>
      </c>
      <c r="BU69" s="4">
        <v>0</v>
      </c>
      <c r="BV69" s="4">
        <f>BV70-EO70</f>
        <v>-1</v>
      </c>
      <c r="BW69" s="4">
        <f>BW70-BV70</f>
        <v>0</v>
      </c>
      <c r="BX69" s="4">
        <f>BX70-BW70</f>
        <v>0</v>
      </c>
      <c r="BY69" s="4">
        <f>BY70-BX70</f>
        <v>0</v>
      </c>
      <c r="CH69" s="4">
        <f>CH70-EP70</f>
        <v>0</v>
      </c>
      <c r="CI69" s="4">
        <f>CI70-CH70</f>
        <v>0</v>
      </c>
      <c r="CJ69" s="4">
        <f>CJ70-CI70</f>
        <v>-1</v>
      </c>
      <c r="CK69" s="4">
        <f>CK70-CJ70</f>
        <v>0</v>
      </c>
      <c r="CP69" s="4">
        <f>CP70-ES70</f>
        <v>0</v>
      </c>
      <c r="CQ69" s="4">
        <f>CQ70-CP70</f>
        <v>0</v>
      </c>
      <c r="CR69" s="4">
        <f>CR70-CQ70</f>
        <v>0</v>
      </c>
      <c r="CS69" s="470">
        <f>CS70-CR70</f>
        <v>0</v>
      </c>
      <c r="CT69" s="4">
        <v>0</v>
      </c>
      <c r="CU69" s="4">
        <v>0</v>
      </c>
      <c r="CV69" s="4">
        <v>-1</v>
      </c>
      <c r="CW69" s="470">
        <v>-1</v>
      </c>
      <c r="CX69" s="1967">
        <v>0</v>
      </c>
      <c r="CY69" s="1959">
        <v>-1</v>
      </c>
      <c r="CZ69" s="1967">
        <v>0</v>
      </c>
      <c r="DA69" s="1965">
        <v>-1</v>
      </c>
      <c r="DB69" s="1959">
        <v>0</v>
      </c>
      <c r="DC69" s="1959">
        <v>0</v>
      </c>
      <c r="DD69" s="1959">
        <v>0</v>
      </c>
      <c r="DE69" s="1962">
        <v>0</v>
      </c>
      <c r="DF69" s="1966"/>
      <c r="DG69" s="1966"/>
      <c r="DH69" s="1966"/>
      <c r="DI69" s="1962"/>
      <c r="DJ69" s="1963"/>
      <c r="DK69" s="1964"/>
      <c r="DL69" s="1964"/>
      <c r="DM69" s="1965"/>
      <c r="DN69" s="1967"/>
      <c r="DO69" s="1965"/>
      <c r="DP69" s="1967"/>
      <c r="DQ69" s="1967"/>
      <c r="DR69" s="1967"/>
      <c r="DS69" s="1967"/>
      <c r="DT69" s="1967"/>
      <c r="DU69" s="1967"/>
      <c r="DV69" s="1967"/>
      <c r="DW69" s="1967"/>
      <c r="DX69" s="1967"/>
      <c r="DY69" s="1967"/>
      <c r="DZ69" s="1967"/>
      <c r="EA69" s="1967"/>
      <c r="EB69" s="1967"/>
      <c r="EC69" s="1967"/>
      <c r="ED69" s="1967"/>
      <c r="EE69" s="1967"/>
      <c r="EF69" s="1967">
        <f>SUM(AH69:AK69)</f>
        <v>0</v>
      </c>
      <c r="EG69" s="1967">
        <f>SUM(AL69:AO69)</f>
        <v>6</v>
      </c>
      <c r="EH69" s="1967">
        <f>SUM(AP69:AS69)</f>
        <v>3</v>
      </c>
      <c r="EI69" s="1967">
        <f>SUM(AT69:AW69)</f>
        <v>-2</v>
      </c>
      <c r="EJ69" s="1967">
        <f>SUM(AX69:BA69)</f>
        <v>0</v>
      </c>
      <c r="EK69" s="1967">
        <f>SUM(BB69:BE69)</f>
        <v>0</v>
      </c>
      <c r="EL69" s="1967">
        <f>SUM(BF69:BI69)</f>
        <v>-7</v>
      </c>
      <c r="EM69" s="1967">
        <f>SUM(BJ69:BM69)</f>
        <v>-7</v>
      </c>
      <c r="EN69" s="1967">
        <f>SUM(BN69:BQ69)</f>
        <v>0</v>
      </c>
      <c r="EO69" s="1967">
        <f>SUM(BR69:BU69)</f>
        <v>0</v>
      </c>
      <c r="EP69" s="1967">
        <f>SUM(BV69:BY69)</f>
        <v>-1</v>
      </c>
      <c r="EQ69" s="1967">
        <f>EO69</f>
        <v>0</v>
      </c>
      <c r="ER69" s="1967">
        <f>EP69</f>
        <v>-1</v>
      </c>
      <c r="ES69" s="1967">
        <f>SUM(CH69:CK69)</f>
        <v>-1</v>
      </c>
      <c r="ET69" s="1967">
        <f t="shared" ref="ET69:ET81" si="304">ES69</f>
        <v>-1</v>
      </c>
      <c r="EU69" s="1967">
        <f>SUM(CP69:CS69)</f>
        <v>0</v>
      </c>
      <c r="EV69" s="1967">
        <f>SUM(CT69:CW69)</f>
        <v>-2</v>
      </c>
      <c r="EW69" s="1959">
        <f>+DA69</f>
        <v>-1</v>
      </c>
      <c r="EX69" s="1959">
        <f>+SUM(DB69:DE69)</f>
        <v>0</v>
      </c>
      <c r="EY69" s="1959">
        <f>+SUM(DF69:DI69)</f>
        <v>0</v>
      </c>
      <c r="EZ69" s="1968"/>
      <c r="FA69" s="1967"/>
      <c r="FB69" s="1967"/>
      <c r="FC69" s="1967"/>
      <c r="FD69" s="1967"/>
      <c r="FE69" s="1964"/>
      <c r="FF69" s="1964"/>
      <c r="FG69" s="1964"/>
      <c r="FH69" s="1964"/>
      <c r="FI69" s="1969"/>
      <c r="FJ69"/>
      <c r="FK69"/>
      <c r="FL69"/>
      <c r="FM69"/>
      <c r="FN69"/>
      <c r="FO69"/>
      <c r="FP69" s="1964"/>
      <c r="FQ69" s="1967"/>
      <c r="FR69" s="1967"/>
      <c r="FS69" s="1966"/>
      <c r="FT69" s="7"/>
      <c r="FU69"/>
      <c r="FV69"/>
      <c r="FW69" s="1966"/>
      <c r="FX69" s="1966"/>
      <c r="FY69" s="1966"/>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row>
    <row r="70" spans="1:260" s="4" customFormat="1" ht="11.25" hidden="1" customHeight="1" outlineLevel="1" x14ac:dyDescent="0.2">
      <c r="A70" s="4" t="s">
        <v>38</v>
      </c>
      <c r="AG70" s="4">
        <v>13</v>
      </c>
      <c r="AH70" s="4">
        <f>EE70+AH69</f>
        <v>13</v>
      </c>
      <c r="AI70" s="4">
        <f>AH70+AI69</f>
        <v>13</v>
      </c>
      <c r="AJ70" s="4">
        <f>AI70+AJ69</f>
        <v>13</v>
      </c>
      <c r="AK70" s="4">
        <f>AJ70+AK69</f>
        <v>13</v>
      </c>
      <c r="AL70" s="4">
        <f>AL69+EF70</f>
        <v>16</v>
      </c>
      <c r="AM70" s="4">
        <f>AM69+AL70</f>
        <v>16</v>
      </c>
      <c r="AN70" s="4">
        <f>AN69+AM70</f>
        <v>19</v>
      </c>
      <c r="AO70" s="4">
        <f>AO69+AN70</f>
        <v>19</v>
      </c>
      <c r="AP70" s="4">
        <f>AP69+EG70</f>
        <v>19</v>
      </c>
      <c r="AQ70" s="4">
        <f>AQ69+AP70</f>
        <v>20</v>
      </c>
      <c r="AR70" s="4">
        <f>AR69+AQ70</f>
        <v>22</v>
      </c>
      <c r="AS70" s="470">
        <f>AS69+AR70</f>
        <v>22</v>
      </c>
      <c r="AT70" s="4">
        <f>AT69+EH70</f>
        <v>22</v>
      </c>
      <c r="AU70" s="4">
        <f>AU69+AT70</f>
        <v>22</v>
      </c>
      <c r="AV70" s="4">
        <f>AV69+AU70</f>
        <v>22</v>
      </c>
      <c r="AW70" s="4">
        <f>AW69+AV70</f>
        <v>20</v>
      </c>
      <c r="AX70" s="4">
        <f>AX69+EI70</f>
        <v>20</v>
      </c>
      <c r="AY70" s="4">
        <f>AY69+AX70</f>
        <v>20</v>
      </c>
      <c r="AZ70" s="4">
        <f>AZ69+AY70</f>
        <v>20</v>
      </c>
      <c r="BA70" s="4">
        <f>BA69+AZ70</f>
        <v>20</v>
      </c>
      <c r="BB70" s="4">
        <f>BB69+EJ70</f>
        <v>20</v>
      </c>
      <c r="BC70" s="4">
        <f>BC69+BB70</f>
        <v>20</v>
      </c>
      <c r="BD70" s="4">
        <f>BD69+BC70</f>
        <v>20</v>
      </c>
      <c r="BE70" s="4">
        <f>BE69+BD70</f>
        <v>20</v>
      </c>
      <c r="BF70" s="4">
        <f>BF69+EK70</f>
        <v>19</v>
      </c>
      <c r="BG70" s="4">
        <f>BG69+BF70</f>
        <v>13</v>
      </c>
      <c r="BH70" s="4">
        <f>BH69+BG70</f>
        <v>13</v>
      </c>
      <c r="BI70" s="4">
        <f>BI69+BH70</f>
        <v>13</v>
      </c>
      <c r="BJ70" s="4">
        <f>BJ69+EL70</f>
        <v>13</v>
      </c>
      <c r="BK70" s="4">
        <f>BK69+BJ70</f>
        <v>13</v>
      </c>
      <c r="BL70" s="4">
        <f>BL69+BK70</f>
        <v>13</v>
      </c>
      <c r="BM70" s="4">
        <f>BM69+BL70</f>
        <v>6</v>
      </c>
      <c r="BN70" s="4">
        <f>BN69+EM70</f>
        <v>6</v>
      </c>
      <c r="BO70" s="4">
        <f>BO69+BN70</f>
        <v>6</v>
      </c>
      <c r="BP70" s="4">
        <f>BP69+BO70</f>
        <v>6</v>
      </c>
      <c r="BQ70" s="4">
        <v>6</v>
      </c>
      <c r="BR70" s="4">
        <v>6</v>
      </c>
      <c r="BS70" s="4">
        <v>6</v>
      </c>
      <c r="BT70" s="4">
        <v>6</v>
      </c>
      <c r="BU70" s="4">
        <v>6</v>
      </c>
      <c r="BV70" s="4">
        <v>5</v>
      </c>
      <c r="BW70" s="4">
        <v>5</v>
      </c>
      <c r="BX70" s="4">
        <v>5</v>
      </c>
      <c r="BY70" s="4">
        <v>5</v>
      </c>
      <c r="CH70" s="4">
        <v>5</v>
      </c>
      <c r="CI70" s="4">
        <v>5</v>
      </c>
      <c r="CJ70" s="4">
        <v>4</v>
      </c>
      <c r="CK70" s="4">
        <v>4</v>
      </c>
      <c r="CP70" s="4">
        <v>4</v>
      </c>
      <c r="CQ70" s="4">
        <v>4</v>
      </c>
      <c r="CR70" s="4">
        <v>4</v>
      </c>
      <c r="CS70" s="470">
        <v>4</v>
      </c>
      <c r="CT70" s="4">
        <f t="shared" ref="CT70:DD70" si="305">CS70+CT69</f>
        <v>4</v>
      </c>
      <c r="CU70" s="4">
        <f t="shared" si="305"/>
        <v>4</v>
      </c>
      <c r="CV70" s="4">
        <f t="shared" si="305"/>
        <v>3</v>
      </c>
      <c r="CW70" s="470">
        <f t="shared" si="305"/>
        <v>2</v>
      </c>
      <c r="CX70" s="1967">
        <f t="shared" si="305"/>
        <v>2</v>
      </c>
      <c r="CY70" s="1967">
        <f t="shared" si="305"/>
        <v>1</v>
      </c>
      <c r="CZ70" s="1967">
        <f t="shared" si="305"/>
        <v>1</v>
      </c>
      <c r="DA70" s="1965">
        <f t="shared" si="305"/>
        <v>0</v>
      </c>
      <c r="DB70" s="1967">
        <f t="shared" si="305"/>
        <v>0</v>
      </c>
      <c r="DC70" s="1959">
        <f t="shared" si="305"/>
        <v>0</v>
      </c>
      <c r="DD70" s="1959">
        <f t="shared" si="305"/>
        <v>0</v>
      </c>
      <c r="DE70" s="1962">
        <v>0</v>
      </c>
      <c r="DF70" s="1966">
        <f>+DE70</f>
        <v>0</v>
      </c>
      <c r="DG70" s="1966">
        <f>+DF70</f>
        <v>0</v>
      </c>
      <c r="DH70" s="1966">
        <f t="shared" ref="DH70:DM70" si="306">+DG70</f>
        <v>0</v>
      </c>
      <c r="DI70" s="1962">
        <f t="shared" si="306"/>
        <v>0</v>
      </c>
      <c r="DJ70" s="1963">
        <f t="shared" si="306"/>
        <v>0</v>
      </c>
      <c r="DK70" s="1964">
        <f t="shared" si="306"/>
        <v>0</v>
      </c>
      <c r="DL70" s="1964">
        <f t="shared" si="306"/>
        <v>0</v>
      </c>
      <c r="DM70" s="1965">
        <f t="shared" si="306"/>
        <v>0</v>
      </c>
      <c r="DN70" s="1967"/>
      <c r="DO70" s="1965"/>
      <c r="DP70" s="1967"/>
      <c r="DQ70" s="1967"/>
      <c r="DR70" s="1967"/>
      <c r="DS70" s="1967"/>
      <c r="DT70" s="1967"/>
      <c r="DU70" s="1967"/>
      <c r="DV70" s="1967"/>
      <c r="DW70" s="1967"/>
      <c r="DX70" s="1967"/>
      <c r="DY70" s="1967"/>
      <c r="DZ70" s="1967"/>
      <c r="EA70" s="1967"/>
      <c r="EB70" s="1967"/>
      <c r="EC70" s="1967"/>
      <c r="ED70" s="1967"/>
      <c r="EE70" s="1967">
        <v>13</v>
      </c>
      <c r="EF70" s="1967">
        <f>AK70</f>
        <v>13</v>
      </c>
      <c r="EG70" s="1967">
        <f>AO70</f>
        <v>19</v>
      </c>
      <c r="EH70" s="1967">
        <f>AS70</f>
        <v>22</v>
      </c>
      <c r="EI70" s="1967">
        <f>AW70</f>
        <v>20</v>
      </c>
      <c r="EJ70" s="1967">
        <f>BA70</f>
        <v>20</v>
      </c>
      <c r="EK70" s="1967">
        <f>EK69+EJ70</f>
        <v>20</v>
      </c>
      <c r="EL70" s="1967">
        <f>BI70</f>
        <v>13</v>
      </c>
      <c r="EM70" s="1967">
        <f>BM70</f>
        <v>6</v>
      </c>
      <c r="EN70" s="1967">
        <f>BQ70</f>
        <v>6</v>
      </c>
      <c r="EO70" s="1967">
        <f>BU70</f>
        <v>6</v>
      </c>
      <c r="EP70" s="1967">
        <f>BY70</f>
        <v>5</v>
      </c>
      <c r="EQ70" s="1967">
        <f t="shared" ref="EQ70:EQ81" si="307">EO70</f>
        <v>6</v>
      </c>
      <c r="ER70" s="1967">
        <f t="shared" ref="ER70:ER81" si="308">EP70</f>
        <v>5</v>
      </c>
      <c r="ES70" s="1967">
        <f>CK70</f>
        <v>4</v>
      </c>
      <c r="ET70" s="1967">
        <f t="shared" si="304"/>
        <v>4</v>
      </c>
      <c r="EU70" s="1967">
        <f>CS70</f>
        <v>4</v>
      </c>
      <c r="EV70" s="1959">
        <f>+CW70</f>
        <v>2</v>
      </c>
      <c r="EW70" s="1960">
        <f>+DA70</f>
        <v>0</v>
      </c>
      <c r="EX70" s="1959">
        <f>+EW70+EX69</f>
        <v>0</v>
      </c>
      <c r="EY70" s="1959">
        <f>+EX70+EY69</f>
        <v>0</v>
      </c>
      <c r="EZ70" s="1968"/>
      <c r="FA70" s="1967"/>
      <c r="FB70" s="1967"/>
      <c r="FC70" s="1967"/>
      <c r="FD70" s="1967"/>
      <c r="FE70" s="1964"/>
      <c r="FF70" s="1964"/>
      <c r="FG70" s="1964"/>
      <c r="FH70" s="1964"/>
      <c r="FI70" s="1969"/>
      <c r="FJ70"/>
      <c r="FK70"/>
      <c r="FL70"/>
      <c r="FM70"/>
      <c r="FN70"/>
      <c r="FO70"/>
      <c r="FP70" s="1964"/>
      <c r="FQ70" s="1967"/>
      <c r="FR70" s="1967"/>
      <c r="FS70" s="1966"/>
      <c r="FT70" s="7"/>
      <c r="FU70"/>
      <c r="FV70"/>
      <c r="FW70" s="1966"/>
      <c r="FX70" s="1966"/>
      <c r="FY70" s="1966"/>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row>
    <row r="71" spans="1:260" s="4" customFormat="1" ht="11.25" hidden="1" customHeight="1" outlineLevel="1" x14ac:dyDescent="0.2">
      <c r="A71" s="4" t="s">
        <v>39</v>
      </c>
      <c r="AG71" s="4">
        <v>13</v>
      </c>
      <c r="AH71" s="4">
        <v>13</v>
      </c>
      <c r="AI71" s="4">
        <v>13</v>
      </c>
      <c r="AJ71" s="4">
        <v>13</v>
      </c>
      <c r="AK71" s="4">
        <v>13</v>
      </c>
      <c r="AL71" s="4">
        <f t="shared" ref="AL71:BE71" si="309">AVERAGE(AL70,AH70)</f>
        <v>14.5</v>
      </c>
      <c r="AM71" s="4">
        <f t="shared" si="309"/>
        <v>14.5</v>
      </c>
      <c r="AN71" s="4">
        <f t="shared" si="309"/>
        <v>16</v>
      </c>
      <c r="AO71" s="4">
        <f t="shared" si="309"/>
        <v>16</v>
      </c>
      <c r="AP71" s="4">
        <f t="shared" si="309"/>
        <v>17.5</v>
      </c>
      <c r="AQ71" s="4">
        <f t="shared" si="309"/>
        <v>18</v>
      </c>
      <c r="AR71" s="4">
        <f t="shared" si="309"/>
        <v>20.5</v>
      </c>
      <c r="AS71" s="470">
        <f t="shared" si="309"/>
        <v>20.5</v>
      </c>
      <c r="AT71" s="4">
        <f t="shared" si="309"/>
        <v>20.5</v>
      </c>
      <c r="AU71" s="4">
        <f t="shared" si="309"/>
        <v>21</v>
      </c>
      <c r="AV71" s="4">
        <f t="shared" si="309"/>
        <v>22</v>
      </c>
      <c r="AW71" s="4">
        <f t="shared" si="309"/>
        <v>21</v>
      </c>
      <c r="AX71" s="4">
        <f t="shared" si="309"/>
        <v>21</v>
      </c>
      <c r="AY71" s="4">
        <f t="shared" si="309"/>
        <v>21</v>
      </c>
      <c r="AZ71" s="4">
        <f t="shared" si="309"/>
        <v>21</v>
      </c>
      <c r="BA71" s="4">
        <f t="shared" si="309"/>
        <v>20</v>
      </c>
      <c r="BB71" s="4">
        <f t="shared" si="309"/>
        <v>20</v>
      </c>
      <c r="BC71" s="4">
        <f t="shared" si="309"/>
        <v>20</v>
      </c>
      <c r="BD71" s="4">
        <f t="shared" si="309"/>
        <v>20</v>
      </c>
      <c r="BE71" s="4">
        <f t="shared" si="309"/>
        <v>20</v>
      </c>
      <c r="BF71" s="4">
        <f t="shared" ref="BF71:BY71" si="310">(BF70+BE70)/2</f>
        <v>19.5</v>
      </c>
      <c r="BG71" s="4">
        <f t="shared" si="310"/>
        <v>16</v>
      </c>
      <c r="BH71" s="4">
        <f t="shared" si="310"/>
        <v>13</v>
      </c>
      <c r="BI71" s="4">
        <f t="shared" si="310"/>
        <v>13</v>
      </c>
      <c r="BJ71" s="4">
        <f t="shared" si="310"/>
        <v>13</v>
      </c>
      <c r="BK71" s="4">
        <f t="shared" si="310"/>
        <v>13</v>
      </c>
      <c r="BL71" s="4">
        <f t="shared" si="310"/>
        <v>13</v>
      </c>
      <c r="BM71" s="4">
        <f t="shared" si="310"/>
        <v>9.5</v>
      </c>
      <c r="BN71" s="4">
        <f t="shared" si="310"/>
        <v>6</v>
      </c>
      <c r="BO71" s="4">
        <f t="shared" si="310"/>
        <v>6</v>
      </c>
      <c r="BP71" s="4">
        <f t="shared" si="310"/>
        <v>6</v>
      </c>
      <c r="BQ71" s="4">
        <f t="shared" si="310"/>
        <v>6</v>
      </c>
      <c r="BR71" s="4">
        <f t="shared" si="310"/>
        <v>6</v>
      </c>
      <c r="BS71" s="4">
        <f t="shared" si="310"/>
        <v>6</v>
      </c>
      <c r="BT71" s="4">
        <f t="shared" si="310"/>
        <v>6</v>
      </c>
      <c r="BU71" s="4">
        <f t="shared" si="310"/>
        <v>6</v>
      </c>
      <c r="BV71" s="4">
        <f t="shared" si="310"/>
        <v>5.5</v>
      </c>
      <c r="BW71" s="4">
        <f t="shared" si="310"/>
        <v>5</v>
      </c>
      <c r="BX71" s="4">
        <f t="shared" si="310"/>
        <v>5</v>
      </c>
      <c r="BY71" s="4">
        <f t="shared" si="310"/>
        <v>5</v>
      </c>
      <c r="CH71" s="4">
        <f>(CH70+BY70)/2</f>
        <v>5</v>
      </c>
      <c r="CI71" s="4">
        <f>(CI70+CH70)/2</f>
        <v>5</v>
      </c>
      <c r="CJ71" s="4">
        <f>(CJ70+CI70)/2</f>
        <v>4.5</v>
      </c>
      <c r="CK71" s="4">
        <f>(CK70+CJ70)/2</f>
        <v>4</v>
      </c>
      <c r="CP71" s="4">
        <f>(CP70+CK70)/2</f>
        <v>4</v>
      </c>
      <c r="CQ71" s="4">
        <f t="shared" ref="CQ71:CW71" si="311">(CQ70+CP70)/2</f>
        <v>4</v>
      </c>
      <c r="CR71" s="4">
        <f t="shared" si="311"/>
        <v>4</v>
      </c>
      <c r="CS71" s="470">
        <f t="shared" si="311"/>
        <v>4</v>
      </c>
      <c r="CT71" s="4">
        <f t="shared" si="311"/>
        <v>4</v>
      </c>
      <c r="CU71" s="4">
        <f t="shared" si="311"/>
        <v>4</v>
      </c>
      <c r="CV71" s="4">
        <f t="shared" si="311"/>
        <v>3.5</v>
      </c>
      <c r="CW71" s="470">
        <f t="shared" si="311"/>
        <v>2.5</v>
      </c>
      <c r="CX71" s="1967">
        <f t="shared" ref="CX71" si="312">+IFERROR(AVERAGE(CW70:CX70),"NA")</f>
        <v>2</v>
      </c>
      <c r="CY71" s="1967">
        <f t="shared" ref="CY71" si="313">+IFERROR(AVERAGE(CX70:CY70),"NA")</f>
        <v>1.5</v>
      </c>
      <c r="CZ71" s="1967">
        <f t="shared" ref="CZ71" si="314">+IFERROR(AVERAGE(CY70:CZ70),"NA")</f>
        <v>1</v>
      </c>
      <c r="DA71" s="1965">
        <f t="shared" ref="DA71" si="315">+IFERROR(AVERAGE(CZ70:DA70),"NA")</f>
        <v>0.5</v>
      </c>
      <c r="DB71" s="1967">
        <f t="shared" ref="DB71" si="316">+IFERROR(AVERAGE(DA70:DB70),"NA")</f>
        <v>0</v>
      </c>
      <c r="DC71" s="1959">
        <f t="shared" ref="DC71" si="317">+IFERROR(AVERAGE(DB70:DC70),"NA")</f>
        <v>0</v>
      </c>
      <c r="DD71" s="1959">
        <f t="shared" ref="DD71" si="318">+IFERROR(AVERAGE(DC70:DD70),"NA")</f>
        <v>0</v>
      </c>
      <c r="DE71" s="1962">
        <f>+IFERROR(AVERAGE(DD70:DE70),"NA")</f>
        <v>0</v>
      </c>
      <c r="DF71" s="1966">
        <f t="shared" ref="DF71:DG71" si="319">+IFERROR(AVERAGE(DE70:DF70),"NA")</f>
        <v>0</v>
      </c>
      <c r="DG71" s="1966">
        <f t="shared" si="319"/>
        <v>0</v>
      </c>
      <c r="DH71" s="1966">
        <f t="shared" ref="DH71:DM71" si="320">+IFERROR(AVERAGE(DG70:DH70),"NA")</f>
        <v>0</v>
      </c>
      <c r="DI71" s="1962">
        <f t="shared" ref="DI71" si="321">+IFERROR(AVERAGE(DH70:DI70),"NA")</f>
        <v>0</v>
      </c>
      <c r="DJ71" s="1963">
        <f t="shared" si="320"/>
        <v>0</v>
      </c>
      <c r="DK71" s="1964">
        <f t="shared" si="320"/>
        <v>0</v>
      </c>
      <c r="DL71" s="1964">
        <f t="shared" si="320"/>
        <v>0</v>
      </c>
      <c r="DM71" s="1965">
        <f t="shared" si="320"/>
        <v>0</v>
      </c>
      <c r="DN71" s="1967"/>
      <c r="DO71" s="1965"/>
      <c r="DP71" s="1967"/>
      <c r="DQ71" s="1967"/>
      <c r="DR71" s="1967"/>
      <c r="DS71" s="1967"/>
      <c r="DT71" s="1967"/>
      <c r="DU71" s="1967"/>
      <c r="DV71" s="1967"/>
      <c r="DW71" s="1967"/>
      <c r="DX71" s="1967"/>
      <c r="DY71" s="1967"/>
      <c r="DZ71" s="1967"/>
      <c r="EA71" s="1967"/>
      <c r="EB71" s="1967"/>
      <c r="EC71" s="1967"/>
      <c r="ED71" s="1967"/>
      <c r="EE71" s="1967">
        <v>13</v>
      </c>
      <c r="EF71" s="1967">
        <v>13</v>
      </c>
      <c r="EG71" s="1967">
        <f>AVERAGE(EG70,EF70)</f>
        <v>16</v>
      </c>
      <c r="EH71" s="1967">
        <f>AVERAGE(EH70,EG70)</f>
        <v>20.5</v>
      </c>
      <c r="EI71" s="1967">
        <f>AVERAGE(EI70,EH70)</f>
        <v>21</v>
      </c>
      <c r="EJ71" s="1967">
        <f>AVERAGE(EJ70,EI70)</f>
        <v>20</v>
      </c>
      <c r="EK71" s="1967">
        <f>AVERAGE(EK70,EJ70)</f>
        <v>20</v>
      </c>
      <c r="EL71" s="1967">
        <f>AVERAGE(BF71:BI71)</f>
        <v>15.375</v>
      </c>
      <c r="EM71" s="1967">
        <f>AVERAGE(BJ71:BM71)</f>
        <v>12.125</v>
      </c>
      <c r="EN71" s="1967">
        <f>AVERAGE(BN71:BQ71)</f>
        <v>6</v>
      </c>
      <c r="EO71" s="1967">
        <f>AVERAGE(BR71:BU71)</f>
        <v>6</v>
      </c>
      <c r="EP71" s="1967">
        <f>AVERAGE(BV71:BY71)</f>
        <v>5.125</v>
      </c>
      <c r="EQ71" s="1967">
        <f t="shared" si="307"/>
        <v>6</v>
      </c>
      <c r="ER71" s="1967">
        <f t="shared" si="308"/>
        <v>5.125</v>
      </c>
      <c r="ES71" s="1967">
        <f>AVERAGE(CH71:CK71)</f>
        <v>4.625</v>
      </c>
      <c r="ET71" s="1967">
        <f t="shared" si="304"/>
        <v>4.625</v>
      </c>
      <c r="EU71" s="1967">
        <f>AVERAGE(CP71:CS71)</f>
        <v>4</v>
      </c>
      <c r="EV71" s="1967">
        <f>AVERAGE(CT70:CW70)</f>
        <v>3.25</v>
      </c>
      <c r="EW71" s="1960">
        <f>AVERAGE(CX70:DA70)</f>
        <v>1</v>
      </c>
      <c r="EX71" s="1959">
        <f>AVERAGE(DB70:DE70)</f>
        <v>0</v>
      </c>
      <c r="EY71" s="1959">
        <f>AVERAGE(DF70:DI70)</f>
        <v>0</v>
      </c>
      <c r="EZ71" s="1968"/>
      <c r="FA71" s="1967"/>
      <c r="FB71" s="1967"/>
      <c r="FC71" s="1967"/>
      <c r="FD71" s="1967"/>
      <c r="FE71" s="1964"/>
      <c r="FF71" s="1964"/>
      <c r="FG71" s="1964"/>
      <c r="FH71" s="1964"/>
      <c r="FI71" s="1969"/>
      <c r="FJ71"/>
      <c r="FK71"/>
      <c r="FL71"/>
      <c r="FM71"/>
      <c r="FN71"/>
      <c r="FO71"/>
      <c r="FP71" s="1964"/>
      <c r="FQ71" s="1967"/>
      <c r="FR71" s="1967"/>
      <c r="FS71" s="1966"/>
      <c r="FT71" s="7"/>
      <c r="FU71"/>
      <c r="FV71"/>
      <c r="FW71" s="1966"/>
      <c r="FX71" s="1966"/>
      <c r="FY71" s="1966"/>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row>
    <row r="72" spans="1:260" s="4" customFormat="1" ht="11.25" hidden="1" customHeight="1" outlineLevel="1" x14ac:dyDescent="0.2">
      <c r="A72" s="4" t="s">
        <v>41</v>
      </c>
      <c r="AG72" s="4">
        <v>10200</v>
      </c>
      <c r="AH72" s="4">
        <f>EE72</f>
        <v>10200</v>
      </c>
      <c r="AI72" s="4">
        <f>AH72</f>
        <v>10200</v>
      </c>
      <c r="AJ72" s="4">
        <f>AI72</f>
        <v>10200</v>
      </c>
      <c r="AK72" s="4">
        <f>AJ72</f>
        <v>10200</v>
      </c>
      <c r="AL72" s="4">
        <f t="shared" ref="AL72:AZ72" si="322">(AL73/AL70)*1000</f>
        <v>12937.5</v>
      </c>
      <c r="AM72" s="4">
        <f t="shared" si="322"/>
        <v>12937.5</v>
      </c>
      <c r="AN72" s="4">
        <f t="shared" si="322"/>
        <v>12526.315789473685</v>
      </c>
      <c r="AO72" s="4">
        <f t="shared" si="322"/>
        <v>12526.315789473685</v>
      </c>
      <c r="AP72" s="4">
        <f t="shared" si="322"/>
        <v>12526.315789473685</v>
      </c>
      <c r="AQ72" s="4">
        <f t="shared" si="322"/>
        <v>12550</v>
      </c>
      <c r="AR72" s="4">
        <f t="shared" si="322"/>
        <v>12590.909090909092</v>
      </c>
      <c r="AS72" s="470">
        <f t="shared" si="322"/>
        <v>12590.909090909092</v>
      </c>
      <c r="AT72" s="4">
        <f t="shared" si="322"/>
        <v>12590.909090909092</v>
      </c>
      <c r="AU72" s="4">
        <f t="shared" si="322"/>
        <v>12590.909090909092</v>
      </c>
      <c r="AV72" s="4">
        <f t="shared" si="322"/>
        <v>12590.909090909092</v>
      </c>
      <c r="AW72" s="4">
        <f t="shared" si="322"/>
        <v>12100</v>
      </c>
      <c r="AX72" s="4">
        <f t="shared" si="322"/>
        <v>12100</v>
      </c>
      <c r="AY72" s="4">
        <f t="shared" si="322"/>
        <v>12100</v>
      </c>
      <c r="AZ72" s="4">
        <f t="shared" si="322"/>
        <v>12100</v>
      </c>
      <c r="BA72" s="4">
        <f t="shared" ref="BA72:BY72" si="323">BA73*1000/BA70</f>
        <v>12100</v>
      </c>
      <c r="BB72" s="4">
        <f t="shared" si="323"/>
        <v>12100</v>
      </c>
      <c r="BC72" s="4">
        <f t="shared" si="323"/>
        <v>12100</v>
      </c>
      <c r="BD72" s="4">
        <f t="shared" si="323"/>
        <v>12100</v>
      </c>
      <c r="BE72" s="4">
        <f t="shared" si="323"/>
        <v>12100</v>
      </c>
      <c r="BF72" s="4">
        <f t="shared" si="323"/>
        <v>11947.368421052632</v>
      </c>
      <c r="BG72" s="4">
        <f t="shared" si="323"/>
        <v>11615.384615384615</v>
      </c>
      <c r="BH72" s="4">
        <f t="shared" si="323"/>
        <v>11615.384615384615</v>
      </c>
      <c r="BI72" s="4">
        <f t="shared" si="323"/>
        <v>11615.384615384615</v>
      </c>
      <c r="BJ72" s="4">
        <f t="shared" si="323"/>
        <v>11615.384615384615</v>
      </c>
      <c r="BK72" s="4">
        <f t="shared" si="323"/>
        <v>11615.384615384615</v>
      </c>
      <c r="BL72" s="4">
        <f t="shared" si="323"/>
        <v>12076.923076923076</v>
      </c>
      <c r="BM72" s="4">
        <f t="shared" si="323"/>
        <v>13000</v>
      </c>
      <c r="BN72" s="4">
        <f t="shared" si="323"/>
        <v>13000</v>
      </c>
      <c r="BO72" s="4">
        <f t="shared" si="323"/>
        <v>13000</v>
      </c>
      <c r="BP72" s="4">
        <f t="shared" si="323"/>
        <v>13000</v>
      </c>
      <c r="BQ72" s="4">
        <f t="shared" si="323"/>
        <v>13000</v>
      </c>
      <c r="BR72" s="4">
        <f t="shared" si="323"/>
        <v>13000</v>
      </c>
      <c r="BS72" s="4">
        <f t="shared" si="323"/>
        <v>13000</v>
      </c>
      <c r="BT72" s="4">
        <f t="shared" si="323"/>
        <v>13000</v>
      </c>
      <c r="BU72" s="4">
        <f t="shared" si="323"/>
        <v>13000</v>
      </c>
      <c r="BV72" s="4">
        <f t="shared" si="323"/>
        <v>13600</v>
      </c>
      <c r="BW72" s="4">
        <f t="shared" si="323"/>
        <v>13600</v>
      </c>
      <c r="BX72" s="4">
        <f t="shared" si="323"/>
        <v>13600</v>
      </c>
      <c r="BY72" s="4">
        <f t="shared" si="323"/>
        <v>13600</v>
      </c>
      <c r="CH72" s="4">
        <f>CH73*1000/CH70</f>
        <v>13600</v>
      </c>
      <c r="CI72" s="4">
        <f>CI73*1000/CI70</f>
        <v>13600</v>
      </c>
      <c r="CJ72" s="4">
        <f>CJ73*1000/CJ70</f>
        <v>13750</v>
      </c>
      <c r="CK72" s="4">
        <f>CK73*1000/CK70</f>
        <v>13750</v>
      </c>
      <c r="CP72" s="4">
        <f>CP73*1000/CP70</f>
        <v>13750</v>
      </c>
      <c r="CQ72" s="4">
        <f>CQ73*1000/CQ70</f>
        <v>13750</v>
      </c>
      <c r="CR72" s="4">
        <f>CR73*1000/CR70</f>
        <v>13750</v>
      </c>
      <c r="CS72" s="470">
        <f>CS73*1000/CS70</f>
        <v>12750</v>
      </c>
      <c r="CT72" s="1289">
        <f t="shared" ref="CT72:CZ72" si="324">(CT73/CT70)*1000</f>
        <v>12750</v>
      </c>
      <c r="CU72" s="1289">
        <f t="shared" si="324"/>
        <v>12750</v>
      </c>
      <c r="CV72" s="1289">
        <f t="shared" si="324"/>
        <v>12333.333333333334</v>
      </c>
      <c r="CW72" s="1434">
        <f t="shared" si="324"/>
        <v>10000</v>
      </c>
      <c r="CX72" s="1967">
        <f t="shared" si="324"/>
        <v>10000</v>
      </c>
      <c r="CY72" s="1967">
        <f t="shared" si="324"/>
        <v>12000</v>
      </c>
      <c r="CZ72" s="1967">
        <f t="shared" si="324"/>
        <v>12000</v>
      </c>
      <c r="DA72" s="1965">
        <v>0</v>
      </c>
      <c r="DB72" s="1967">
        <v>0</v>
      </c>
      <c r="DC72" s="2059">
        <v>0</v>
      </c>
      <c r="DD72" s="2059">
        <v>0</v>
      </c>
      <c r="DE72" s="1962">
        <v>0</v>
      </c>
      <c r="DF72" s="1966"/>
      <c r="DG72" s="1966"/>
      <c r="DH72" s="1966"/>
      <c r="DI72" s="1962"/>
      <c r="DJ72" s="1963"/>
      <c r="DK72" s="1964"/>
      <c r="DL72" s="1964"/>
      <c r="DM72" s="1965"/>
      <c r="DN72" s="1967"/>
      <c r="DO72" s="1965"/>
      <c r="DP72" s="1967"/>
      <c r="DQ72" s="1967"/>
      <c r="DR72" s="1967"/>
      <c r="DS72" s="1967"/>
      <c r="DT72" s="1967"/>
      <c r="DU72" s="1967"/>
      <c r="DV72" s="1967"/>
      <c r="DW72" s="1967"/>
      <c r="DX72" s="1967"/>
      <c r="DY72" s="1967"/>
      <c r="DZ72" s="1967"/>
      <c r="EA72" s="1967"/>
      <c r="EB72" s="1967"/>
      <c r="EC72" s="1967"/>
      <c r="ED72" s="1967"/>
      <c r="EE72" s="1967">
        <v>10200</v>
      </c>
      <c r="EF72" s="1967">
        <f>AK72</f>
        <v>10200</v>
      </c>
      <c r="EG72" s="1967">
        <f>(EG73/EG70)*1000</f>
        <v>12526.315789473685</v>
      </c>
      <c r="EH72" s="1967">
        <f>(EH73/EH70)*1000</f>
        <v>12590.909090909092</v>
      </c>
      <c r="EI72" s="1967">
        <f>(EI73/EI70)*1000</f>
        <v>12100</v>
      </c>
      <c r="EJ72" s="1967">
        <f>(EJ73/EJ70)*1000</f>
        <v>12100</v>
      </c>
      <c r="EK72" s="1967">
        <f>BE72</f>
        <v>12100</v>
      </c>
      <c r="EL72" s="1967">
        <f>EL73*1000/EL70</f>
        <v>11615.384615384615</v>
      </c>
      <c r="EM72" s="1967">
        <f>BM72</f>
        <v>13000</v>
      </c>
      <c r="EN72" s="1967">
        <f>EN73*1000/EN70</f>
        <v>13000</v>
      </c>
      <c r="EO72" s="1967">
        <f>EO73*1000/EO70</f>
        <v>13000</v>
      </c>
      <c r="EP72" s="1967">
        <f>EP73*1000/EP70</f>
        <v>13600</v>
      </c>
      <c r="EQ72" s="1967">
        <f t="shared" si="307"/>
        <v>13000</v>
      </c>
      <c r="ER72" s="1967">
        <f t="shared" si="308"/>
        <v>13600</v>
      </c>
      <c r="ES72" s="1967">
        <f>ES73*1000/ES70</f>
        <v>13750</v>
      </c>
      <c r="ET72" s="1967">
        <f t="shared" si="304"/>
        <v>13750</v>
      </c>
      <c r="EU72" s="1967">
        <f>(EU73/EU70)*1000</f>
        <v>12750</v>
      </c>
      <c r="EV72" s="1967">
        <f>(EV73/EV70)*1000</f>
        <v>10000</v>
      </c>
      <c r="EW72" s="1960" t="str">
        <f>IFERROR((EW73/EW70)*1000,"NA")</f>
        <v>NA</v>
      </c>
      <c r="EX72" s="1960" t="str">
        <f>IFERROR((EX73/EX70)*1000,"NA")</f>
        <v>NA</v>
      </c>
      <c r="EY72" s="1960"/>
      <c r="EZ72" s="1968"/>
      <c r="FA72" s="1967"/>
      <c r="FB72" s="1967"/>
      <c r="FC72" s="1967"/>
      <c r="FD72" s="1967"/>
      <c r="FE72" s="1964"/>
      <c r="FF72" s="1964"/>
      <c r="FG72" s="1964"/>
      <c r="FH72" s="1964"/>
      <c r="FI72" s="1969"/>
      <c r="FJ72"/>
      <c r="FK72"/>
      <c r="FL72"/>
      <c r="FM72"/>
      <c r="FN72"/>
      <c r="FO72"/>
      <c r="FP72" s="1964"/>
      <c r="FQ72" s="1967"/>
      <c r="FR72" s="1967"/>
      <c r="FS72" s="1966"/>
      <c r="FT72" s="7"/>
      <c r="FU72"/>
      <c r="FV72"/>
      <c r="FW72" s="1966"/>
      <c r="FX72" s="1966"/>
      <c r="FY72" s="1966"/>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row>
    <row r="73" spans="1:260" s="4" customFormat="1" ht="11.25" hidden="1" customHeight="1" outlineLevel="1" x14ac:dyDescent="0.2">
      <c r="A73" s="4" t="s">
        <v>40</v>
      </c>
      <c r="AG73" s="4">
        <f>(AG72*AG70)/1000</f>
        <v>132.6</v>
      </c>
      <c r="AH73" s="4">
        <v>168</v>
      </c>
      <c r="AI73" s="4">
        <v>168</v>
      </c>
      <c r="AJ73" s="4">
        <v>168</v>
      </c>
      <c r="AK73" s="4">
        <v>168</v>
      </c>
      <c r="AL73" s="4">
        <v>207</v>
      </c>
      <c r="AM73" s="4">
        <v>207</v>
      </c>
      <c r="AN73" s="4">
        <v>238</v>
      </c>
      <c r="AO73" s="4">
        <v>238</v>
      </c>
      <c r="AP73" s="4">
        <v>238</v>
      </c>
      <c r="AQ73" s="4">
        <v>251</v>
      </c>
      <c r="AR73" s="4">
        <v>277</v>
      </c>
      <c r="AS73" s="470">
        <v>277</v>
      </c>
      <c r="AT73" s="4">
        <v>277</v>
      </c>
      <c r="AU73" s="4">
        <v>277</v>
      </c>
      <c r="AV73" s="4">
        <v>277</v>
      </c>
      <c r="AW73" s="4">
        <v>242</v>
      </c>
      <c r="AX73" s="4">
        <v>242</v>
      </c>
      <c r="AY73" s="4">
        <v>242</v>
      </c>
      <c r="AZ73" s="4">
        <v>242</v>
      </c>
      <c r="BA73" s="4">
        <v>242</v>
      </c>
      <c r="BB73" s="4">
        <v>242</v>
      </c>
      <c r="BC73" s="4">
        <v>242</v>
      </c>
      <c r="BD73" s="4">
        <v>242</v>
      </c>
      <c r="BE73" s="4">
        <v>242</v>
      </c>
      <c r="BF73" s="4">
        <v>227</v>
      </c>
      <c r="BG73" s="4">
        <v>151</v>
      </c>
      <c r="BH73" s="4">
        <v>151</v>
      </c>
      <c r="BI73" s="4">
        <v>151</v>
      </c>
      <c r="BJ73" s="4">
        <v>151</v>
      </c>
      <c r="BK73" s="4">
        <v>151</v>
      </c>
      <c r="BL73" s="4">
        <v>157</v>
      </c>
      <c r="BM73" s="4">
        <v>78</v>
      </c>
      <c r="BN73" s="4">
        <v>78</v>
      </c>
      <c r="BO73" s="4">
        <v>78</v>
      </c>
      <c r="BP73" s="4">
        <v>78</v>
      </c>
      <c r="BQ73" s="4">
        <v>78</v>
      </c>
      <c r="BR73" s="4">
        <v>78</v>
      </c>
      <c r="BS73" s="4">
        <v>78</v>
      </c>
      <c r="BT73" s="4">
        <v>78</v>
      </c>
      <c r="BU73" s="4">
        <v>78</v>
      </c>
      <c r="BV73" s="4">
        <v>68</v>
      </c>
      <c r="BW73" s="4">
        <v>68</v>
      </c>
      <c r="BX73" s="4">
        <v>68</v>
      </c>
      <c r="BY73" s="4">
        <v>68</v>
      </c>
      <c r="CH73" s="4">
        <v>68</v>
      </c>
      <c r="CI73" s="4">
        <v>68</v>
      </c>
      <c r="CJ73" s="4">
        <v>55</v>
      </c>
      <c r="CK73" s="4">
        <v>55</v>
      </c>
      <c r="CP73" s="4">
        <v>55</v>
      </c>
      <c r="CQ73" s="4">
        <v>55</v>
      </c>
      <c r="CR73" s="4">
        <v>55</v>
      </c>
      <c r="CS73" s="470">
        <v>51</v>
      </c>
      <c r="CT73" s="4">
        <v>51</v>
      </c>
      <c r="CU73" s="4">
        <v>51</v>
      </c>
      <c r="CV73" s="4">
        <v>37</v>
      </c>
      <c r="CW73" s="470">
        <v>20</v>
      </c>
      <c r="CX73" s="1977">
        <v>20</v>
      </c>
      <c r="CY73" s="1977">
        <v>12</v>
      </c>
      <c r="CZ73" s="1977">
        <v>12</v>
      </c>
      <c r="DA73" s="1979">
        <v>0</v>
      </c>
      <c r="DB73" s="1977">
        <v>0</v>
      </c>
      <c r="DC73" s="1978">
        <v>0</v>
      </c>
      <c r="DD73" s="1978">
        <v>0</v>
      </c>
      <c r="DE73" s="1998">
        <v>0</v>
      </c>
      <c r="DF73" s="2475"/>
      <c r="DG73" s="2475"/>
      <c r="DH73" s="2475"/>
      <c r="DI73" s="1998"/>
      <c r="DJ73" s="2729"/>
      <c r="DK73" s="2594"/>
      <c r="DL73" s="2594"/>
      <c r="DM73" s="1979"/>
      <c r="DN73" s="1967"/>
      <c r="DO73" s="1965"/>
      <c r="DP73" s="1967"/>
      <c r="DQ73" s="1967"/>
      <c r="DR73" s="1967"/>
      <c r="DS73" s="1967"/>
      <c r="DT73" s="1967"/>
      <c r="DU73" s="1967"/>
      <c r="DV73" s="1967"/>
      <c r="DW73" s="1967"/>
      <c r="DX73" s="1967"/>
      <c r="DY73" s="1967"/>
      <c r="DZ73" s="1967"/>
      <c r="EA73" s="1967"/>
      <c r="EB73" s="1967"/>
      <c r="EC73" s="1967"/>
      <c r="ED73" s="1967"/>
      <c r="EE73" s="1967">
        <f>(EE72*EE70)/1000</f>
        <v>132.6</v>
      </c>
      <c r="EF73" s="1967">
        <f>AK73</f>
        <v>168</v>
      </c>
      <c r="EG73" s="1967">
        <f>AO73</f>
        <v>238</v>
      </c>
      <c r="EH73" s="1967">
        <f>AS73</f>
        <v>277</v>
      </c>
      <c r="EI73" s="1967">
        <f>AW73</f>
        <v>242</v>
      </c>
      <c r="EJ73" s="1967">
        <f>BA73</f>
        <v>242</v>
      </c>
      <c r="EK73" s="1967">
        <f>(EK72*EK70)/1000</f>
        <v>242</v>
      </c>
      <c r="EL73" s="1967">
        <f>BI73</f>
        <v>151</v>
      </c>
      <c r="EM73" s="1967">
        <f>(EM72*EM70)/1000</f>
        <v>78</v>
      </c>
      <c r="EN73" s="1967">
        <f>BQ73</f>
        <v>78</v>
      </c>
      <c r="EO73" s="1967">
        <f>BU73</f>
        <v>78</v>
      </c>
      <c r="EP73" s="1967">
        <f>BY73</f>
        <v>68</v>
      </c>
      <c r="EQ73" s="1967">
        <f t="shared" si="307"/>
        <v>78</v>
      </c>
      <c r="ER73" s="1967">
        <f t="shared" si="308"/>
        <v>68</v>
      </c>
      <c r="ES73" s="1967">
        <f>CK73</f>
        <v>55</v>
      </c>
      <c r="ET73" s="1967">
        <f t="shared" si="304"/>
        <v>55</v>
      </c>
      <c r="EU73" s="1967">
        <f>CS73</f>
        <v>51</v>
      </c>
      <c r="EV73" s="1967">
        <f>CW73</f>
        <v>20</v>
      </c>
      <c r="EW73" s="1967">
        <f>DA73</f>
        <v>0</v>
      </c>
      <c r="EX73" s="1959">
        <f>+DE73</f>
        <v>0</v>
      </c>
      <c r="EY73" s="1959">
        <f>+DI73</f>
        <v>0</v>
      </c>
      <c r="EZ73" s="1968"/>
      <c r="FA73" s="1967"/>
      <c r="FB73" s="1967"/>
      <c r="FC73" s="1967"/>
      <c r="FD73" s="1967"/>
      <c r="FE73" s="1964"/>
      <c r="FF73" s="1964"/>
      <c r="FG73" s="1964"/>
      <c r="FH73" s="1964"/>
      <c r="FI73" s="1969"/>
      <c r="FJ73"/>
      <c r="FK73"/>
      <c r="FL73"/>
      <c r="FM73"/>
      <c r="FN73"/>
      <c r="FO73"/>
      <c r="FP73" s="1964"/>
      <c r="FQ73" s="1967"/>
      <c r="FR73" s="1967"/>
      <c r="FS73" s="1966"/>
      <c r="FT73" s="7"/>
      <c r="FU73"/>
      <c r="FV73"/>
      <c r="FW73" s="1966"/>
      <c r="FX73" s="1966"/>
      <c r="FY73" s="1966"/>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row>
    <row r="74" spans="1:260" s="4" customFormat="1" ht="11.25" hidden="1" customHeight="1" outlineLevel="1" x14ac:dyDescent="0.2">
      <c r="AS74" s="470"/>
      <c r="CS74" s="470"/>
      <c r="CW74" s="470"/>
      <c r="CX74" s="1967"/>
      <c r="CY74" s="1967"/>
      <c r="CZ74" s="1967"/>
      <c r="DA74" s="1965"/>
      <c r="DB74" s="1967"/>
      <c r="DC74" s="1959"/>
      <c r="DD74" s="1966"/>
      <c r="DE74" s="1962"/>
      <c r="DF74" s="1966"/>
      <c r="DG74" s="1966"/>
      <c r="DH74" s="1966"/>
      <c r="DI74" s="1962"/>
      <c r="DJ74" s="1963"/>
      <c r="DK74" s="1964"/>
      <c r="DL74" s="1964"/>
      <c r="DM74" s="1965"/>
      <c r="DN74" s="1967"/>
      <c r="DO74" s="1965"/>
      <c r="DP74" s="1967"/>
      <c r="DQ74" s="1967"/>
      <c r="DR74" s="1967"/>
      <c r="DS74" s="1967"/>
      <c r="DT74" s="1967"/>
      <c r="DU74" s="1967"/>
      <c r="DV74" s="1967"/>
      <c r="DW74" s="1967"/>
      <c r="DX74" s="1967"/>
      <c r="DY74" s="1967"/>
      <c r="DZ74" s="1967"/>
      <c r="EA74" s="1967"/>
      <c r="EB74" s="1967"/>
      <c r="EC74" s="1967"/>
      <c r="ED74" s="1967"/>
      <c r="EE74" s="1967"/>
      <c r="EF74" s="1967"/>
      <c r="EG74" s="1967"/>
      <c r="EH74" s="1967"/>
      <c r="EI74" s="1967"/>
      <c r="EJ74" s="1967"/>
      <c r="EK74" s="1967"/>
      <c r="EL74" s="1967"/>
      <c r="EM74" s="1967"/>
      <c r="EN74" s="1967"/>
      <c r="EO74" s="1967"/>
      <c r="EP74" s="1967"/>
      <c r="EQ74" s="1967">
        <f t="shared" si="307"/>
        <v>0</v>
      </c>
      <c r="ER74" s="1967">
        <f t="shared" si="308"/>
        <v>0</v>
      </c>
      <c r="ES74" s="1967"/>
      <c r="ET74" s="1967">
        <f t="shared" si="304"/>
        <v>0</v>
      </c>
      <c r="EU74" s="1967"/>
      <c r="EV74" s="1967"/>
      <c r="EW74" s="1995"/>
      <c r="EX74" s="1959"/>
      <c r="EY74" s="1959"/>
      <c r="EZ74" s="1968"/>
      <c r="FA74" s="1967"/>
      <c r="FB74" s="1967"/>
      <c r="FC74" s="1967"/>
      <c r="FD74" s="1967"/>
      <c r="FE74" s="1964"/>
      <c r="FF74" s="1964"/>
      <c r="FG74" s="1964"/>
      <c r="FH74" s="1964"/>
      <c r="FI74" s="1969"/>
      <c r="FJ74"/>
      <c r="FK74"/>
      <c r="FL74"/>
      <c r="FM74"/>
      <c r="FN74"/>
      <c r="FO74"/>
      <c r="FP74" s="1964"/>
      <c r="FQ74" s="1967"/>
      <c r="FR74" s="1967"/>
      <c r="FS74" s="1966"/>
      <c r="FT74" s="7"/>
      <c r="FU74"/>
      <c r="FV74"/>
      <c r="FW74" s="1966"/>
      <c r="FX74" s="1966"/>
      <c r="FY74" s="1966"/>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row>
    <row r="75" spans="1:260" s="4" customFormat="1" ht="11.25" hidden="1" customHeight="1" outlineLevel="1" x14ac:dyDescent="0.2">
      <c r="A75" s="19" t="s">
        <v>456</v>
      </c>
      <c r="AS75" s="470"/>
      <c r="CS75" s="470"/>
      <c r="CW75" s="470"/>
      <c r="CX75" s="1967"/>
      <c r="CY75" s="1967"/>
      <c r="CZ75" s="1967"/>
      <c r="DA75" s="1965"/>
      <c r="DB75" s="1967"/>
      <c r="DC75" s="1959"/>
      <c r="DD75" s="1966"/>
      <c r="DE75" s="1962"/>
      <c r="DF75" s="1966"/>
      <c r="DG75" s="1966"/>
      <c r="DH75" s="1966"/>
      <c r="DI75" s="1962"/>
      <c r="DJ75" s="1963"/>
      <c r="DK75" s="1964"/>
      <c r="DL75" s="1964"/>
      <c r="DM75" s="1965"/>
      <c r="DN75" s="1967"/>
      <c r="DO75" s="1965"/>
      <c r="DP75" s="1967"/>
      <c r="DQ75" s="1967"/>
      <c r="DR75" s="1967"/>
      <c r="DS75" s="1967"/>
      <c r="DT75" s="1967"/>
      <c r="DU75" s="1967"/>
      <c r="DV75" s="1967"/>
      <c r="DW75" s="1967"/>
      <c r="DX75" s="1967"/>
      <c r="DY75" s="1967"/>
      <c r="DZ75" s="1967"/>
      <c r="EA75" s="1967"/>
      <c r="EB75" s="1967"/>
      <c r="EC75" s="1967"/>
      <c r="ED75" s="1967"/>
      <c r="EE75" s="1967"/>
      <c r="EF75" s="1967"/>
      <c r="EG75" s="1967"/>
      <c r="EH75" s="1967"/>
      <c r="EI75" s="1967"/>
      <c r="EJ75" s="1967"/>
      <c r="EK75" s="1967"/>
      <c r="EL75" s="1967"/>
      <c r="EM75" s="1967"/>
      <c r="EN75" s="1967"/>
      <c r="EO75" s="1967"/>
      <c r="EP75" s="1967"/>
      <c r="EQ75" s="1967">
        <f t="shared" si="307"/>
        <v>0</v>
      </c>
      <c r="ER75" s="1967">
        <f t="shared" si="308"/>
        <v>0</v>
      </c>
      <c r="ES75" s="1967"/>
      <c r="ET75" s="1967">
        <f t="shared" si="304"/>
        <v>0</v>
      </c>
      <c r="EU75" s="1967"/>
      <c r="EV75" s="1967"/>
      <c r="EW75" s="1975"/>
      <c r="EX75" s="1959"/>
      <c r="EY75" s="1959"/>
      <c r="EZ75" s="1968"/>
      <c r="FA75" s="1967"/>
      <c r="FB75" s="1967"/>
      <c r="FC75" s="1967"/>
      <c r="FD75" s="1967"/>
      <c r="FE75" s="1964"/>
      <c r="FF75" s="1964"/>
      <c r="FG75" s="1964"/>
      <c r="FH75" s="1964"/>
      <c r="FI75" s="1969"/>
      <c r="FJ75"/>
      <c r="FK75"/>
      <c r="FL75"/>
      <c r="FM75"/>
      <c r="FN75"/>
      <c r="FO75"/>
      <c r="FP75" s="1964"/>
      <c r="FQ75" s="1967"/>
      <c r="FR75" s="1967"/>
      <c r="FS75" s="1966"/>
      <c r="FT75" s="7"/>
      <c r="FU75"/>
      <c r="FV75"/>
      <c r="FW75" s="1966"/>
      <c r="FX75" s="1966"/>
      <c r="FY75" s="1966"/>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row>
    <row r="76" spans="1:260" s="4" customFormat="1" ht="11.25" hidden="1" customHeight="1" outlineLevel="1" x14ac:dyDescent="0.2">
      <c r="A76" s="4" t="s">
        <v>121</v>
      </c>
      <c r="AS76" s="470">
        <v>1</v>
      </c>
      <c r="AT76" s="4">
        <v>0</v>
      </c>
      <c r="AU76" s="4">
        <v>0</v>
      </c>
      <c r="AV76" s="4">
        <v>3</v>
      </c>
      <c r="AW76" s="4">
        <v>2</v>
      </c>
      <c r="AX76" s="4">
        <v>0</v>
      </c>
      <c r="AY76" s="4">
        <v>4</v>
      </c>
      <c r="AZ76" s="4">
        <v>3</v>
      </c>
      <c r="BA76" s="4">
        <v>-1</v>
      </c>
      <c r="BB76" s="4">
        <v>0</v>
      </c>
      <c r="BC76" s="4">
        <v>0</v>
      </c>
      <c r="BD76" s="4">
        <v>0</v>
      </c>
      <c r="BE76" s="4">
        <v>0</v>
      </c>
      <c r="BF76" s="4">
        <v>-5</v>
      </c>
      <c r="BG76" s="4">
        <v>0</v>
      </c>
      <c r="BH76" s="4">
        <v>0</v>
      </c>
      <c r="BI76" s="4">
        <v>0</v>
      </c>
      <c r="BJ76" s="4">
        <v>0</v>
      </c>
      <c r="BK76" s="4">
        <v>0</v>
      </c>
      <c r="BL76" s="4">
        <v>0</v>
      </c>
      <c r="BM76" s="4">
        <v>-1</v>
      </c>
      <c r="BN76" s="4">
        <v>0</v>
      </c>
      <c r="BO76" s="4">
        <v>0</v>
      </c>
      <c r="BP76" s="4">
        <v>0</v>
      </c>
      <c r="BQ76" s="4">
        <f>BQ77-BP77</f>
        <v>0</v>
      </c>
      <c r="BR76" s="4">
        <f>BR77-EN77</f>
        <v>-1</v>
      </c>
      <c r="BS76" s="4">
        <f>BS77-BR77</f>
        <v>0</v>
      </c>
      <c r="BT76" s="4">
        <f>BT77-BS77</f>
        <v>-5</v>
      </c>
      <c r="BU76" s="4">
        <v>0</v>
      </c>
      <c r="BV76" s="4">
        <v>0</v>
      </c>
      <c r="BW76" s="4">
        <v>0</v>
      </c>
      <c r="BX76" s="4">
        <v>0</v>
      </c>
      <c r="BY76" s="4">
        <v>0</v>
      </c>
      <c r="CH76" s="4">
        <v>0</v>
      </c>
      <c r="CI76" s="4">
        <v>0</v>
      </c>
      <c r="CJ76" s="4">
        <v>0</v>
      </c>
      <c r="CK76" s="4">
        <v>0</v>
      </c>
      <c r="CP76" s="4">
        <v>0</v>
      </c>
      <c r="CQ76" s="4">
        <v>0</v>
      </c>
      <c r="CR76" s="4">
        <v>0</v>
      </c>
      <c r="CS76" s="470">
        <v>0</v>
      </c>
      <c r="CT76" s="4">
        <v>0</v>
      </c>
      <c r="CU76" s="4">
        <v>0</v>
      </c>
      <c r="CV76" s="4">
        <v>0</v>
      </c>
      <c r="CW76" s="470">
        <v>0</v>
      </c>
      <c r="CX76" s="1967">
        <v>0</v>
      </c>
      <c r="CY76" s="1959">
        <f t="shared" ref="CY76:DD76" si="325">CX76</f>
        <v>0</v>
      </c>
      <c r="CZ76" s="1967">
        <f t="shared" si="325"/>
        <v>0</v>
      </c>
      <c r="DA76" s="1965">
        <f t="shared" si="325"/>
        <v>0</v>
      </c>
      <c r="DB76" s="1967">
        <f t="shared" si="325"/>
        <v>0</v>
      </c>
      <c r="DC76" s="1959">
        <f t="shared" si="325"/>
        <v>0</v>
      </c>
      <c r="DD76" s="1959">
        <f t="shared" si="325"/>
        <v>0</v>
      </c>
      <c r="DE76" s="1962">
        <v>0</v>
      </c>
      <c r="DF76" s="1966"/>
      <c r="DG76" s="1966"/>
      <c r="DH76" s="1966"/>
      <c r="DI76" s="1962"/>
      <c r="DJ76" s="1963"/>
      <c r="DK76" s="1964"/>
      <c r="DL76" s="1964"/>
      <c r="DM76" s="1965"/>
      <c r="DN76" s="1967"/>
      <c r="DO76" s="1965"/>
      <c r="DP76" s="1967"/>
      <c r="DQ76" s="1967"/>
      <c r="DR76" s="1967"/>
      <c r="DS76" s="1967"/>
      <c r="DT76" s="1967"/>
      <c r="DU76" s="1967"/>
      <c r="DV76" s="1967"/>
      <c r="DW76" s="1967"/>
      <c r="DX76" s="1967"/>
      <c r="DY76" s="1967"/>
      <c r="DZ76" s="1967"/>
      <c r="EA76" s="1967"/>
      <c r="EB76" s="1967"/>
      <c r="EC76" s="1967"/>
      <c r="ED76" s="1967"/>
      <c r="EE76" s="1967"/>
      <c r="EF76" s="1967"/>
      <c r="EG76" s="1967"/>
      <c r="EH76" s="1967">
        <f>SUM(AP76:AS76)</f>
        <v>1</v>
      </c>
      <c r="EI76" s="1967">
        <f>SUM(AT76:AW76)</f>
        <v>5</v>
      </c>
      <c r="EJ76" s="1967">
        <f>SUM(AX76:BA76)</f>
        <v>6</v>
      </c>
      <c r="EK76" s="1967">
        <f>SUM(BB76:BE76)</f>
        <v>0</v>
      </c>
      <c r="EL76" s="1967">
        <f>SUM(BF76:BI76)</f>
        <v>-5</v>
      </c>
      <c r="EM76" s="1967">
        <f>SUM(BJ76:BM76)</f>
        <v>-1</v>
      </c>
      <c r="EN76" s="1967">
        <f>SUM(BN76:BQ76)</f>
        <v>0</v>
      </c>
      <c r="EO76" s="1967">
        <f>SUM(BR76:BU76)</f>
        <v>-6</v>
      </c>
      <c r="EP76" s="1967">
        <f>SUM(BV76:BY76)</f>
        <v>0</v>
      </c>
      <c r="EQ76" s="1967">
        <f t="shared" si="307"/>
        <v>-6</v>
      </c>
      <c r="ER76" s="1967">
        <f t="shared" si="308"/>
        <v>0</v>
      </c>
      <c r="ES76" s="1967">
        <f>SUM(CH76:CK76)</f>
        <v>0</v>
      </c>
      <c r="ET76" s="1967">
        <f t="shared" si="304"/>
        <v>0</v>
      </c>
      <c r="EU76" s="1967">
        <v>0</v>
      </c>
      <c r="EV76" s="1967">
        <v>0</v>
      </c>
      <c r="EW76" s="1959">
        <f>+DA76</f>
        <v>0</v>
      </c>
      <c r="EX76" s="1959"/>
      <c r="EY76" s="1959"/>
      <c r="EZ76" s="1968"/>
      <c r="FA76" s="1967"/>
      <c r="FB76" s="1967"/>
      <c r="FC76" s="1967"/>
      <c r="FD76" s="1967"/>
      <c r="FE76" s="1964"/>
      <c r="FF76" s="1964"/>
      <c r="FG76" s="1964"/>
      <c r="FH76" s="1964"/>
      <c r="FI76" s="1969"/>
      <c r="FJ76"/>
      <c r="FK76"/>
      <c r="FL76"/>
      <c r="FM76"/>
      <c r="FN76"/>
      <c r="FO76"/>
      <c r="FP76" s="1964"/>
      <c r="FQ76" s="1967"/>
      <c r="FR76" s="1967"/>
      <c r="FS76" s="1966"/>
      <c r="FT76" s="7"/>
      <c r="FU76"/>
      <c r="FV76"/>
      <c r="FW76" s="1966"/>
      <c r="FX76" s="1966"/>
      <c r="FY76" s="196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row>
    <row r="77" spans="1:260" s="4" customFormat="1" ht="11.25" hidden="1" customHeight="1" outlineLevel="1" x14ac:dyDescent="0.2">
      <c r="A77" s="4" t="s">
        <v>38</v>
      </c>
      <c r="AP77" s="4">
        <f>AP76+EG77</f>
        <v>0</v>
      </c>
      <c r="AQ77" s="4">
        <f>AQ76+AP77</f>
        <v>0</v>
      </c>
      <c r="AR77" s="4">
        <f>AR76+AQ77</f>
        <v>0</v>
      </c>
      <c r="AS77" s="470">
        <f>AS76+AR77</f>
        <v>1</v>
      </c>
      <c r="AT77" s="4">
        <f>AT76+EH77</f>
        <v>1</v>
      </c>
      <c r="AU77" s="4">
        <f>AU76+AT77</f>
        <v>1</v>
      </c>
      <c r="AV77" s="4">
        <f>AV76+AU77</f>
        <v>4</v>
      </c>
      <c r="AW77" s="4">
        <f>AW76+AV77</f>
        <v>6</v>
      </c>
      <c r="AX77" s="4">
        <f>AX76+EI77</f>
        <v>6</v>
      </c>
      <c r="AY77" s="4">
        <f>AY76+AX77</f>
        <v>10</v>
      </c>
      <c r="AZ77" s="4">
        <f>AZ76+AY77</f>
        <v>13</v>
      </c>
      <c r="BA77" s="4">
        <f>BA76+AZ77</f>
        <v>12</v>
      </c>
      <c r="BB77" s="4">
        <f>BB76+EJ77</f>
        <v>12</v>
      </c>
      <c r="BC77" s="4">
        <f>BC76+BB77</f>
        <v>12</v>
      </c>
      <c r="BD77" s="4">
        <f>BD76+BC77</f>
        <v>12</v>
      </c>
      <c r="BE77" s="4">
        <f>BE76+BD77</f>
        <v>12</v>
      </c>
      <c r="BF77" s="4">
        <f>BF76+EK77</f>
        <v>7</v>
      </c>
      <c r="BG77" s="4">
        <f>BG76+BF77</f>
        <v>7</v>
      </c>
      <c r="BH77" s="4">
        <f>BH76+BG77</f>
        <v>7</v>
      </c>
      <c r="BI77" s="4">
        <f>BI76+BH77</f>
        <v>7</v>
      </c>
      <c r="BJ77" s="4">
        <f>BJ76+EL77</f>
        <v>7</v>
      </c>
      <c r="BK77" s="4">
        <f>BK76+BJ77</f>
        <v>7</v>
      </c>
      <c r="BL77" s="4">
        <f>BL76+BK77</f>
        <v>7</v>
      </c>
      <c r="BM77" s="4">
        <f>BM76+BL77</f>
        <v>6</v>
      </c>
      <c r="BN77" s="4">
        <f>BN76+EM77</f>
        <v>6</v>
      </c>
      <c r="BO77" s="4">
        <f>BO76+BN77</f>
        <v>6</v>
      </c>
      <c r="BP77" s="4">
        <f>BP76+BO77</f>
        <v>6</v>
      </c>
      <c r="BQ77" s="4">
        <v>6</v>
      </c>
      <c r="BR77" s="4">
        <v>5</v>
      </c>
      <c r="BS77" s="4">
        <v>5</v>
      </c>
      <c r="BT77" s="4">
        <v>0</v>
      </c>
      <c r="BU77" s="4">
        <f>BU76+BT77</f>
        <v>0</v>
      </c>
      <c r="BV77" s="4">
        <f>BU77+BV76</f>
        <v>0</v>
      </c>
      <c r="BW77" s="4">
        <f>BV77+BW76</f>
        <v>0</v>
      </c>
      <c r="BX77" s="4">
        <f>BW77+BX76</f>
        <v>0</v>
      </c>
      <c r="BY77" s="4">
        <f>BX77+BY76</f>
        <v>0</v>
      </c>
      <c r="CH77" s="4">
        <f>EP77+CH76</f>
        <v>0</v>
      </c>
      <c r="CI77" s="4">
        <f>CH77+CI76</f>
        <v>0</v>
      </c>
      <c r="CJ77" s="4">
        <f>CI77+CJ76</f>
        <v>0</v>
      </c>
      <c r="CK77" s="4">
        <f>CJ77+CK76</f>
        <v>0</v>
      </c>
      <c r="CP77" s="4">
        <f>CK77+CP76</f>
        <v>0</v>
      </c>
      <c r="CQ77" s="4">
        <f>CP77+CQ76</f>
        <v>0</v>
      </c>
      <c r="CR77" s="4">
        <f>CQ77+CR76</f>
        <v>0</v>
      </c>
      <c r="CS77" s="470">
        <f>CR77+CS76</f>
        <v>0</v>
      </c>
      <c r="CT77" s="4">
        <f>CO77+CT76</f>
        <v>0</v>
      </c>
      <c r="CU77" s="4">
        <f t="shared" ref="CU77:DD77" si="326">CT77+CU76</f>
        <v>0</v>
      </c>
      <c r="CV77" s="4">
        <f t="shared" si="326"/>
        <v>0</v>
      </c>
      <c r="CW77" s="470">
        <f t="shared" si="326"/>
        <v>0</v>
      </c>
      <c r="CX77" s="1967">
        <f t="shared" si="326"/>
        <v>0</v>
      </c>
      <c r="CY77" s="1967">
        <f t="shared" si="326"/>
        <v>0</v>
      </c>
      <c r="CZ77" s="1967">
        <f t="shared" si="326"/>
        <v>0</v>
      </c>
      <c r="DA77" s="1965">
        <f t="shared" si="326"/>
        <v>0</v>
      </c>
      <c r="DB77" s="1967">
        <f t="shared" si="326"/>
        <v>0</v>
      </c>
      <c r="DC77" s="1959">
        <f t="shared" si="326"/>
        <v>0</v>
      </c>
      <c r="DD77" s="1959">
        <f t="shared" si="326"/>
        <v>0</v>
      </c>
      <c r="DE77" s="1962">
        <v>0</v>
      </c>
      <c r="DF77" s="1966"/>
      <c r="DG77" s="1966"/>
      <c r="DH77" s="1966"/>
      <c r="DI77" s="1962"/>
      <c r="DJ77" s="2730"/>
      <c r="DK77" s="2595"/>
      <c r="DL77" s="2595"/>
      <c r="DM77" s="2158"/>
      <c r="DN77" s="1967"/>
      <c r="DO77" s="1965"/>
      <c r="DP77" s="1967"/>
      <c r="DQ77" s="1967"/>
      <c r="DR77" s="1967"/>
      <c r="DS77" s="1967"/>
      <c r="DT77" s="1967"/>
      <c r="DU77" s="1967"/>
      <c r="DV77" s="1967"/>
      <c r="DW77" s="1967"/>
      <c r="DX77" s="1967"/>
      <c r="DY77" s="1967"/>
      <c r="DZ77" s="1967"/>
      <c r="EA77" s="1967"/>
      <c r="EB77" s="1967"/>
      <c r="EC77" s="1967"/>
      <c r="ED77" s="1967"/>
      <c r="EE77" s="1967"/>
      <c r="EF77" s="1967"/>
      <c r="EG77" s="1967"/>
      <c r="EH77" s="1967">
        <f>AS77</f>
        <v>1</v>
      </c>
      <c r="EI77" s="1967">
        <f>AW77</f>
        <v>6</v>
      </c>
      <c r="EJ77" s="1967">
        <f>BA77</f>
        <v>12</v>
      </c>
      <c r="EK77" s="1967">
        <f>EK76+EJ77</f>
        <v>12</v>
      </c>
      <c r="EL77" s="1967">
        <f>BI77</f>
        <v>7</v>
      </c>
      <c r="EM77" s="1967">
        <f>BM77</f>
        <v>6</v>
      </c>
      <c r="EN77" s="1967">
        <f>BQ77</f>
        <v>6</v>
      </c>
      <c r="EO77" s="1967">
        <f>BU77</f>
        <v>0</v>
      </c>
      <c r="EP77" s="1967">
        <f>BY77</f>
        <v>0</v>
      </c>
      <c r="EQ77" s="1967">
        <f t="shared" si="307"/>
        <v>0</v>
      </c>
      <c r="ER77" s="1967">
        <f t="shared" si="308"/>
        <v>0</v>
      </c>
      <c r="ES77" s="1967">
        <f>CK77</f>
        <v>0</v>
      </c>
      <c r="ET77" s="1967">
        <f t="shared" si="304"/>
        <v>0</v>
      </c>
      <c r="EU77" s="1967">
        <f>CS77+EU76</f>
        <v>0</v>
      </c>
      <c r="EV77" s="1967">
        <f>CW77+EV76</f>
        <v>0</v>
      </c>
      <c r="EW77" s="1960">
        <f>+DA77</f>
        <v>0</v>
      </c>
      <c r="EX77" s="1959"/>
      <c r="EY77" s="1959"/>
      <c r="EZ77" s="1968"/>
      <c r="FA77" s="1967"/>
      <c r="FB77" s="1967"/>
      <c r="FC77" s="1967"/>
      <c r="FD77" s="1967"/>
      <c r="FE77" s="1964"/>
      <c r="FF77" s="1964"/>
      <c r="FG77" s="1964"/>
      <c r="FH77" s="1964"/>
      <c r="FI77" s="1969"/>
      <c r="FJ77"/>
      <c r="FK77"/>
      <c r="FL77"/>
      <c r="FM77"/>
      <c r="FN77"/>
      <c r="FO77"/>
      <c r="FP77" s="1964"/>
      <c r="FQ77" s="1967"/>
      <c r="FR77" s="1967"/>
      <c r="FS77" s="1966"/>
      <c r="FT77" s="7"/>
      <c r="FU77"/>
      <c r="FV77"/>
      <c r="FW77" s="1966"/>
      <c r="FX77" s="1966"/>
      <c r="FY77" s="1966"/>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row>
    <row r="78" spans="1:260" s="4" customFormat="1" ht="11.25" hidden="1" customHeight="1" outlineLevel="1" x14ac:dyDescent="0.2">
      <c r="A78" s="4" t="s">
        <v>39</v>
      </c>
      <c r="AP78" s="4">
        <f t="shared" ref="AP78:BE78" si="327">AVERAGE(AP77,AL77)</f>
        <v>0</v>
      </c>
      <c r="AQ78" s="4">
        <f t="shared" si="327"/>
        <v>0</v>
      </c>
      <c r="AR78" s="4">
        <f t="shared" si="327"/>
        <v>0</v>
      </c>
      <c r="AS78" s="470">
        <f t="shared" si="327"/>
        <v>1</v>
      </c>
      <c r="AT78" s="4">
        <f t="shared" si="327"/>
        <v>0.5</v>
      </c>
      <c r="AU78" s="4">
        <f t="shared" si="327"/>
        <v>0.5</v>
      </c>
      <c r="AV78" s="4">
        <f t="shared" si="327"/>
        <v>2</v>
      </c>
      <c r="AW78" s="4">
        <f t="shared" si="327"/>
        <v>3.5</v>
      </c>
      <c r="AX78" s="4">
        <f t="shared" si="327"/>
        <v>3.5</v>
      </c>
      <c r="AY78" s="4">
        <f t="shared" si="327"/>
        <v>5.5</v>
      </c>
      <c r="AZ78" s="4">
        <f t="shared" si="327"/>
        <v>8.5</v>
      </c>
      <c r="BA78" s="4">
        <f t="shared" si="327"/>
        <v>9</v>
      </c>
      <c r="BB78" s="4">
        <f t="shared" si="327"/>
        <v>9</v>
      </c>
      <c r="BC78" s="4">
        <f t="shared" si="327"/>
        <v>11</v>
      </c>
      <c r="BD78" s="4">
        <f t="shared" si="327"/>
        <v>12.5</v>
      </c>
      <c r="BE78" s="4">
        <f t="shared" si="327"/>
        <v>12</v>
      </c>
      <c r="BF78" s="4">
        <f t="shared" ref="BF78:BY78" si="328">(BF77+BE77)/2</f>
        <v>9.5</v>
      </c>
      <c r="BG78" s="4">
        <f t="shared" si="328"/>
        <v>7</v>
      </c>
      <c r="BH78" s="4">
        <f t="shared" si="328"/>
        <v>7</v>
      </c>
      <c r="BI78" s="4">
        <f t="shared" si="328"/>
        <v>7</v>
      </c>
      <c r="BJ78" s="4">
        <f t="shared" si="328"/>
        <v>7</v>
      </c>
      <c r="BK78" s="4">
        <f t="shared" si="328"/>
        <v>7</v>
      </c>
      <c r="BL78" s="4">
        <f t="shared" si="328"/>
        <v>7</v>
      </c>
      <c r="BM78" s="4">
        <f t="shared" si="328"/>
        <v>6.5</v>
      </c>
      <c r="BN78" s="4">
        <f t="shared" si="328"/>
        <v>6</v>
      </c>
      <c r="BO78" s="4">
        <f t="shared" si="328"/>
        <v>6</v>
      </c>
      <c r="BP78" s="4">
        <f t="shared" si="328"/>
        <v>6</v>
      </c>
      <c r="BQ78" s="4">
        <f t="shared" si="328"/>
        <v>6</v>
      </c>
      <c r="BR78" s="4">
        <f t="shared" si="328"/>
        <v>5.5</v>
      </c>
      <c r="BS78" s="4">
        <f t="shared" si="328"/>
        <v>5</v>
      </c>
      <c r="BT78" s="4">
        <f t="shared" si="328"/>
        <v>2.5</v>
      </c>
      <c r="BU78" s="4">
        <f t="shared" si="328"/>
        <v>0</v>
      </c>
      <c r="BV78" s="4">
        <f t="shared" si="328"/>
        <v>0</v>
      </c>
      <c r="BW78" s="4">
        <f t="shared" si="328"/>
        <v>0</v>
      </c>
      <c r="BX78" s="4">
        <f t="shared" si="328"/>
        <v>0</v>
      </c>
      <c r="BY78" s="4">
        <f t="shared" si="328"/>
        <v>0</v>
      </c>
      <c r="CH78" s="4">
        <f>(CH77+EP77)/2</f>
        <v>0</v>
      </c>
      <c r="CI78" s="4">
        <f>(CI77+CH77)/2</f>
        <v>0</v>
      </c>
      <c r="CJ78" s="4">
        <f>(CJ77+CI77)/2</f>
        <v>0</v>
      </c>
      <c r="CK78" s="4">
        <f>(CK77+CJ77)/2</f>
        <v>0</v>
      </c>
      <c r="CP78" s="4">
        <f>(CP77+CK77)/2</f>
        <v>0</v>
      </c>
      <c r="CQ78" s="4">
        <f>(CQ77+CP77)/2</f>
        <v>0</v>
      </c>
      <c r="CR78" s="4">
        <f>(CR77+CQ77)/2</f>
        <v>0</v>
      </c>
      <c r="CS78" s="470">
        <f>(CS77+CR77)/2</f>
        <v>0</v>
      </c>
      <c r="CT78" s="4">
        <f>(CT77+CO77)/2</f>
        <v>0</v>
      </c>
      <c r="CU78" s="4">
        <f t="shared" ref="CU78:DD78" si="329">(CU77+CT77)/2</f>
        <v>0</v>
      </c>
      <c r="CV78" s="4">
        <f t="shared" si="329"/>
        <v>0</v>
      </c>
      <c r="CW78" s="470">
        <f t="shared" si="329"/>
        <v>0</v>
      </c>
      <c r="CX78" s="1967">
        <f t="shared" si="329"/>
        <v>0</v>
      </c>
      <c r="CY78" s="1967">
        <f t="shared" si="329"/>
        <v>0</v>
      </c>
      <c r="CZ78" s="1967">
        <f t="shared" si="329"/>
        <v>0</v>
      </c>
      <c r="DA78" s="1965">
        <f t="shared" si="329"/>
        <v>0</v>
      </c>
      <c r="DB78" s="1967">
        <f t="shared" si="329"/>
        <v>0</v>
      </c>
      <c r="DC78" s="1959">
        <f t="shared" si="329"/>
        <v>0</v>
      </c>
      <c r="DD78" s="1959">
        <f t="shared" si="329"/>
        <v>0</v>
      </c>
      <c r="DE78" s="1962">
        <v>0</v>
      </c>
      <c r="DF78" s="1966"/>
      <c r="DG78" s="1966"/>
      <c r="DH78" s="1966"/>
      <c r="DI78" s="1962"/>
      <c r="DJ78" s="1963"/>
      <c r="DK78" s="1964"/>
      <c r="DL78" s="1964"/>
      <c r="DM78" s="1965"/>
      <c r="DN78" s="1967"/>
      <c r="DO78" s="1965"/>
      <c r="DP78" s="1967"/>
      <c r="DQ78" s="1967"/>
      <c r="DR78" s="1967"/>
      <c r="DS78" s="1967"/>
      <c r="DT78" s="1967"/>
      <c r="DU78" s="1967"/>
      <c r="DV78" s="1967"/>
      <c r="DW78" s="1967"/>
      <c r="DX78" s="1967"/>
      <c r="DY78" s="1967"/>
      <c r="DZ78" s="1967"/>
      <c r="EA78" s="1967"/>
      <c r="EB78" s="1967"/>
      <c r="EC78" s="1967"/>
      <c r="ED78" s="1967"/>
      <c r="EE78" s="1967"/>
      <c r="EF78" s="1967"/>
      <c r="EG78" s="1967"/>
      <c r="EH78" s="1967">
        <f>AVERAGE(EH77,EG77)</f>
        <v>1</v>
      </c>
      <c r="EI78" s="1967">
        <f>AVERAGE(EI77,EH77)</f>
        <v>3.5</v>
      </c>
      <c r="EJ78" s="1967">
        <f>AVERAGE(EJ77,EI77)</f>
        <v>9</v>
      </c>
      <c r="EK78" s="1967">
        <f>AVERAGE(EK77,EJ77)</f>
        <v>12</v>
      </c>
      <c r="EL78" s="1967">
        <f>AVERAGE(BF78:BI78)</f>
        <v>7.625</v>
      </c>
      <c r="EM78" s="1967">
        <f>AVERAGE(BJ78:BM78)</f>
        <v>6.875</v>
      </c>
      <c r="EN78" s="1967">
        <f>AVERAGE(BN78:BQ78)</f>
        <v>6</v>
      </c>
      <c r="EO78" s="1967">
        <f>AVERAGE(BR78:BU78)</f>
        <v>3.25</v>
      </c>
      <c r="EP78" s="1967">
        <f>AVERAGE(BV78:BY78)</f>
        <v>0</v>
      </c>
      <c r="EQ78" s="1967">
        <f t="shared" si="307"/>
        <v>3.25</v>
      </c>
      <c r="ER78" s="1967">
        <f t="shared" si="308"/>
        <v>0</v>
      </c>
      <c r="ES78" s="1967">
        <f>AVERAGE(CH78:CK78)</f>
        <v>0</v>
      </c>
      <c r="ET78" s="1967">
        <f t="shared" si="304"/>
        <v>0</v>
      </c>
      <c r="EU78" s="1967">
        <f>(EU77+CS77)/2</f>
        <v>0</v>
      </c>
      <c r="EV78" s="1967">
        <f>(EV77+CW77)/2</f>
        <v>0</v>
      </c>
      <c r="EW78" s="1960">
        <f>AVERAGE(CX78:DA78)</f>
        <v>0</v>
      </c>
      <c r="EX78" s="1959"/>
      <c r="EY78" s="1959"/>
      <c r="EZ78" s="1968"/>
      <c r="FA78" s="1967"/>
      <c r="FB78" s="1967"/>
      <c r="FC78" s="1967"/>
      <c r="FD78" s="1967"/>
      <c r="FE78" s="1964"/>
      <c r="FF78" s="1964"/>
      <c r="FG78" s="1964"/>
      <c r="FH78" s="1964"/>
      <c r="FI78" s="1969"/>
      <c r="FJ78"/>
      <c r="FK78"/>
      <c r="FL78"/>
      <c r="FM78"/>
      <c r="FN78"/>
      <c r="FO78"/>
      <c r="FP78" s="1964"/>
      <c r="FQ78" s="1967"/>
      <c r="FR78" s="1967"/>
      <c r="FS78" s="1966"/>
      <c r="FT78" s="7"/>
      <c r="FU78"/>
      <c r="FV78"/>
      <c r="FW78" s="1966"/>
      <c r="FX78" s="1966"/>
      <c r="FY78" s="1966"/>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row>
    <row r="79" spans="1:260" s="4" customFormat="1" ht="11.25" hidden="1" customHeight="1" outlineLevel="1" x14ac:dyDescent="0.2">
      <c r="A79" s="4" t="s">
        <v>41</v>
      </c>
      <c r="AP79" s="4">
        <v>1833</v>
      </c>
      <c r="AQ79" s="4">
        <f>AP79</f>
        <v>1833</v>
      </c>
      <c r="AR79" s="4">
        <f>AQ79</f>
        <v>1833</v>
      </c>
      <c r="AS79" s="470">
        <f t="shared" ref="AS79:BA79" si="330">AS80/AS77*1000</f>
        <v>1000</v>
      </c>
      <c r="AT79" s="4">
        <f t="shared" si="330"/>
        <v>1000</v>
      </c>
      <c r="AU79" s="4">
        <f t="shared" si="330"/>
        <v>1000</v>
      </c>
      <c r="AV79" s="4">
        <f t="shared" si="330"/>
        <v>1750</v>
      </c>
      <c r="AW79" s="4">
        <f t="shared" si="330"/>
        <v>1833.3333333333333</v>
      </c>
      <c r="AX79" s="4">
        <f t="shared" si="330"/>
        <v>1833.3333333333333</v>
      </c>
      <c r="AY79" s="4">
        <f t="shared" si="330"/>
        <v>1900</v>
      </c>
      <c r="AZ79" s="4">
        <f t="shared" si="330"/>
        <v>1769.2307692307691</v>
      </c>
      <c r="BA79" s="4">
        <f t="shared" si="330"/>
        <v>1833.3333333333333</v>
      </c>
      <c r="BB79" s="4">
        <v>1833</v>
      </c>
      <c r="BC79" s="4">
        <f t="shared" ref="BC79:BS79" si="331">BC80*1000/BC77</f>
        <v>1833.3333333333333</v>
      </c>
      <c r="BD79" s="4">
        <f t="shared" si="331"/>
        <v>1833.3333333333333</v>
      </c>
      <c r="BE79" s="4">
        <f t="shared" si="331"/>
        <v>1833.3333333333333</v>
      </c>
      <c r="BF79" s="4">
        <f t="shared" si="331"/>
        <v>2000</v>
      </c>
      <c r="BG79" s="4">
        <f t="shared" si="331"/>
        <v>2000</v>
      </c>
      <c r="BH79" s="4">
        <f t="shared" si="331"/>
        <v>2000</v>
      </c>
      <c r="BI79" s="4">
        <f t="shared" si="331"/>
        <v>2000</v>
      </c>
      <c r="BJ79" s="4">
        <f t="shared" si="331"/>
        <v>2000</v>
      </c>
      <c r="BK79" s="4">
        <f t="shared" si="331"/>
        <v>2000</v>
      </c>
      <c r="BL79" s="4">
        <f t="shared" si="331"/>
        <v>2000</v>
      </c>
      <c r="BM79" s="4">
        <f t="shared" si="331"/>
        <v>2000</v>
      </c>
      <c r="BN79" s="4">
        <f t="shared" si="331"/>
        <v>2000</v>
      </c>
      <c r="BO79" s="4">
        <f t="shared" si="331"/>
        <v>2000</v>
      </c>
      <c r="BP79" s="4">
        <f t="shared" si="331"/>
        <v>2000</v>
      </c>
      <c r="BQ79" s="4">
        <f t="shared" si="331"/>
        <v>2000</v>
      </c>
      <c r="BR79" s="4">
        <f t="shared" si="331"/>
        <v>1800</v>
      </c>
      <c r="BS79" s="4">
        <f t="shared" si="331"/>
        <v>1800</v>
      </c>
      <c r="BT79" s="4">
        <f>BS79</f>
        <v>1800</v>
      </c>
      <c r="BU79" s="4">
        <f>BT79</f>
        <v>1800</v>
      </c>
      <c r="BV79" s="4">
        <v>0</v>
      </c>
      <c r="BW79" s="4">
        <f t="shared" ref="BW79:BY80" si="332">BV79</f>
        <v>0</v>
      </c>
      <c r="BX79" s="4">
        <f t="shared" si="332"/>
        <v>0</v>
      </c>
      <c r="BY79" s="4">
        <f t="shared" si="332"/>
        <v>0</v>
      </c>
      <c r="CH79" s="4">
        <f>BY79</f>
        <v>0</v>
      </c>
      <c r="CI79" s="4">
        <f>CH79</f>
        <v>0</v>
      </c>
      <c r="CJ79" s="4">
        <f>CI79</f>
        <v>0</v>
      </c>
      <c r="CK79" s="4">
        <f>CJ79</f>
        <v>0</v>
      </c>
      <c r="CP79" s="4">
        <f>CK79</f>
        <v>0</v>
      </c>
      <c r="CQ79" s="4">
        <f>CP79</f>
        <v>0</v>
      </c>
      <c r="CR79" s="4">
        <f>CQ79</f>
        <v>0</v>
      </c>
      <c r="CS79" s="470">
        <f>CR79</f>
        <v>0</v>
      </c>
      <c r="CT79" s="4">
        <f>CO79</f>
        <v>0</v>
      </c>
      <c r="CU79" s="4">
        <f t="shared" ref="CU79:DD79" si="333">CT79</f>
        <v>0</v>
      </c>
      <c r="CV79" s="4">
        <f t="shared" si="333"/>
        <v>0</v>
      </c>
      <c r="CW79" s="470">
        <f t="shared" si="333"/>
        <v>0</v>
      </c>
      <c r="CX79" s="1967">
        <f t="shared" si="333"/>
        <v>0</v>
      </c>
      <c r="CY79" s="1967">
        <f t="shared" si="333"/>
        <v>0</v>
      </c>
      <c r="CZ79" s="1967">
        <f t="shared" si="333"/>
        <v>0</v>
      </c>
      <c r="DA79" s="1965">
        <f t="shared" si="333"/>
        <v>0</v>
      </c>
      <c r="DB79" s="1967">
        <f t="shared" si="333"/>
        <v>0</v>
      </c>
      <c r="DC79" s="1959">
        <f t="shared" si="333"/>
        <v>0</v>
      </c>
      <c r="DD79" s="1959">
        <f t="shared" si="333"/>
        <v>0</v>
      </c>
      <c r="DE79" s="1962">
        <v>0</v>
      </c>
      <c r="DF79" s="1966"/>
      <c r="DG79" s="1966"/>
      <c r="DH79" s="1966"/>
      <c r="DI79" s="1962"/>
      <c r="DJ79" s="1963"/>
      <c r="DK79" s="1964"/>
      <c r="DL79" s="1964"/>
      <c r="DM79" s="1965"/>
      <c r="DN79" s="1967"/>
      <c r="DO79" s="1965"/>
      <c r="DP79" s="1967"/>
      <c r="DQ79" s="1967"/>
      <c r="DR79" s="1967"/>
      <c r="DS79" s="1967"/>
      <c r="DT79" s="1967"/>
      <c r="DU79" s="1967"/>
      <c r="DV79" s="1967"/>
      <c r="DW79" s="1967"/>
      <c r="DX79" s="1967"/>
      <c r="DY79" s="1967"/>
      <c r="DZ79" s="1967"/>
      <c r="EA79" s="1967"/>
      <c r="EB79" s="1967"/>
      <c r="EC79" s="1967"/>
      <c r="ED79" s="1967"/>
      <c r="EE79" s="1967"/>
      <c r="EF79" s="1967"/>
      <c r="EG79" s="1967"/>
      <c r="EH79" s="1967">
        <f>EH80/EH77*1000</f>
        <v>1000</v>
      </c>
      <c r="EI79" s="1967">
        <f>EI80/EI77*1000</f>
        <v>1833</v>
      </c>
      <c r="EJ79" s="1967">
        <f>EJ80/EJ77*1000</f>
        <v>1833.3333333333333</v>
      </c>
      <c r="EK79" s="1967">
        <f>BE79</f>
        <v>1833.3333333333333</v>
      </c>
      <c r="EL79" s="1967">
        <f>BI79</f>
        <v>2000</v>
      </c>
      <c r="EM79" s="1967">
        <f>BM79</f>
        <v>2000</v>
      </c>
      <c r="EN79" s="1967">
        <f>EN80*1000/EN77</f>
        <v>2000</v>
      </c>
      <c r="EO79" s="1967">
        <f>BU79</f>
        <v>1800</v>
      </c>
      <c r="EP79" s="1967">
        <f>BY79</f>
        <v>0</v>
      </c>
      <c r="EQ79" s="1967">
        <f t="shared" si="307"/>
        <v>1800</v>
      </c>
      <c r="ER79" s="1967">
        <f t="shared" si="308"/>
        <v>0</v>
      </c>
      <c r="ES79" s="1967">
        <v>0</v>
      </c>
      <c r="ET79" s="1967">
        <f t="shared" si="304"/>
        <v>0</v>
      </c>
      <c r="EU79" s="1967">
        <f>CS79</f>
        <v>0</v>
      </c>
      <c r="EV79" s="1967">
        <f>CW79</f>
        <v>0</v>
      </c>
      <c r="EW79" s="1960">
        <v>0</v>
      </c>
      <c r="EX79" s="1959"/>
      <c r="EY79" s="1959"/>
      <c r="EZ79" s="1968"/>
      <c r="FA79" s="1967"/>
      <c r="FB79" s="1967"/>
      <c r="FC79" s="1967"/>
      <c r="FD79" s="1967"/>
      <c r="FE79" s="1964"/>
      <c r="FF79" s="1964"/>
      <c r="FG79" s="1964"/>
      <c r="FH79" s="1964"/>
      <c r="FI79" s="1969"/>
      <c r="FJ79"/>
      <c r="FK79"/>
      <c r="FL79"/>
      <c r="FM79"/>
      <c r="FN79"/>
      <c r="FO79"/>
      <c r="FP79" s="1964"/>
      <c r="FQ79" s="1967"/>
      <c r="FR79" s="1967"/>
      <c r="FS79" s="1966"/>
      <c r="FT79" s="7"/>
      <c r="FU79"/>
      <c r="FV79"/>
      <c r="FW79" s="1966"/>
      <c r="FX79" s="1966"/>
      <c r="FY79" s="1966"/>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row>
    <row r="80" spans="1:260" s="4" customFormat="1" ht="11.25" hidden="1" customHeight="1" outlineLevel="1" x14ac:dyDescent="0.2">
      <c r="A80" s="4" t="s">
        <v>40</v>
      </c>
      <c r="AP80" s="4">
        <f>(AP79*AP77)/1000</f>
        <v>0</v>
      </c>
      <c r="AQ80" s="4">
        <f>(AQ79*AQ77)/1000</f>
        <v>0</v>
      </c>
      <c r="AR80" s="4">
        <f>(AR79*AR77)/1000</f>
        <v>0</v>
      </c>
      <c r="AS80" s="470">
        <v>1</v>
      </c>
      <c r="AT80" s="4">
        <v>1</v>
      </c>
      <c r="AU80" s="4">
        <v>1</v>
      </c>
      <c r="AV80" s="4">
        <v>7</v>
      </c>
      <c r="AW80" s="4">
        <v>11</v>
      </c>
      <c r="AX80" s="4">
        <v>11</v>
      </c>
      <c r="AY80" s="4">
        <v>19</v>
      </c>
      <c r="AZ80" s="4">
        <v>23</v>
      </c>
      <c r="BA80" s="4">
        <v>22</v>
      </c>
      <c r="BB80" s="4">
        <v>22</v>
      </c>
      <c r="BC80" s="4">
        <v>22</v>
      </c>
      <c r="BD80" s="4">
        <v>22</v>
      </c>
      <c r="BE80" s="4">
        <v>22</v>
      </c>
      <c r="BF80" s="4">
        <v>14</v>
      </c>
      <c r="BG80" s="4">
        <v>14</v>
      </c>
      <c r="BH80" s="4">
        <v>14</v>
      </c>
      <c r="BI80" s="4">
        <v>14</v>
      </c>
      <c r="BJ80" s="4">
        <v>14</v>
      </c>
      <c r="BK80" s="4">
        <v>14</v>
      </c>
      <c r="BL80" s="4">
        <v>14</v>
      </c>
      <c r="BM80" s="4">
        <v>12</v>
      </c>
      <c r="BN80" s="4">
        <v>12</v>
      </c>
      <c r="BO80" s="4">
        <v>12</v>
      </c>
      <c r="BP80" s="4">
        <v>12</v>
      </c>
      <c r="BQ80" s="4">
        <v>12</v>
      </c>
      <c r="BR80" s="4">
        <v>9</v>
      </c>
      <c r="BS80" s="4">
        <v>9</v>
      </c>
      <c r="BT80" s="4">
        <v>0</v>
      </c>
      <c r="BU80" s="4">
        <f>(BU79*BU77)/1000</f>
        <v>0</v>
      </c>
      <c r="BV80" s="4">
        <v>0</v>
      </c>
      <c r="BW80" s="4">
        <f t="shared" si="332"/>
        <v>0</v>
      </c>
      <c r="BX80" s="4">
        <f t="shared" si="332"/>
        <v>0</v>
      </c>
      <c r="BY80" s="4">
        <f t="shared" si="332"/>
        <v>0</v>
      </c>
      <c r="CH80" s="4">
        <f>(CH77*CH79)/1000</f>
        <v>0</v>
      </c>
      <c r="CI80" s="4">
        <f>(CI77*CI79)/1000</f>
        <v>0</v>
      </c>
      <c r="CJ80" s="4">
        <f>(CJ77*CJ79)/1000</f>
        <v>0</v>
      </c>
      <c r="CK80" s="4">
        <f>(CK77*CK79)/1000</f>
        <v>0</v>
      </c>
      <c r="CP80" s="4">
        <f t="shared" ref="CP80:CU80" si="334">(CP77*CP79)/1000</f>
        <v>0</v>
      </c>
      <c r="CQ80" s="4">
        <f t="shared" si="334"/>
        <v>0</v>
      </c>
      <c r="CR80" s="4">
        <f t="shared" si="334"/>
        <v>0</v>
      </c>
      <c r="CS80" s="470">
        <f t="shared" si="334"/>
        <v>0</v>
      </c>
      <c r="CT80" s="4">
        <f t="shared" si="334"/>
        <v>0</v>
      </c>
      <c r="CU80" s="4">
        <f t="shared" si="334"/>
        <v>0</v>
      </c>
      <c r="CV80" s="4">
        <f t="shared" ref="CV80:DA80" si="335">(CV77*CV79)/1000</f>
        <v>0</v>
      </c>
      <c r="CW80" s="470">
        <f t="shared" si="335"/>
        <v>0</v>
      </c>
      <c r="CX80" s="1977">
        <f t="shared" si="335"/>
        <v>0</v>
      </c>
      <c r="CY80" s="1977">
        <f t="shared" si="335"/>
        <v>0</v>
      </c>
      <c r="CZ80" s="1977">
        <f t="shared" si="335"/>
        <v>0</v>
      </c>
      <c r="DA80" s="1979">
        <f t="shared" si="335"/>
        <v>0</v>
      </c>
      <c r="DB80" s="1977">
        <f>(DB77*DB79)/1000</f>
        <v>0</v>
      </c>
      <c r="DC80" s="1978">
        <f>(DC77*DC79)/1000</f>
        <v>0</v>
      </c>
      <c r="DD80" s="1978">
        <f>(DD77*DD79)/1000</f>
        <v>0</v>
      </c>
      <c r="DE80" s="1998">
        <v>0</v>
      </c>
      <c r="DF80" s="2475"/>
      <c r="DG80" s="2475"/>
      <c r="DH80" s="2475"/>
      <c r="DI80" s="1998"/>
      <c r="DJ80" s="2729"/>
      <c r="DK80" s="2594"/>
      <c r="DL80" s="2594"/>
      <c r="DM80" s="1979"/>
      <c r="DN80" s="1967"/>
      <c r="DO80" s="1965"/>
      <c r="DP80" s="1967"/>
      <c r="DQ80" s="1967"/>
      <c r="DR80" s="1967"/>
      <c r="DS80" s="1967"/>
      <c r="DT80" s="1967"/>
      <c r="DU80" s="1967"/>
      <c r="DV80" s="1967"/>
      <c r="DW80" s="1967"/>
      <c r="DX80" s="1967"/>
      <c r="DY80" s="1967"/>
      <c r="DZ80" s="1967"/>
      <c r="EA80" s="1967"/>
      <c r="EB80" s="1967"/>
      <c r="EC80" s="1967"/>
      <c r="ED80" s="1967"/>
      <c r="EE80" s="1967"/>
      <c r="EF80" s="1967"/>
      <c r="EG80" s="1967"/>
      <c r="EH80" s="1967">
        <v>1</v>
      </c>
      <c r="EI80" s="1967">
        <v>10.997999999999999</v>
      </c>
      <c r="EJ80" s="1967">
        <v>22</v>
      </c>
      <c r="EK80" s="1967">
        <f>(EK79*EK77)/1000</f>
        <v>22</v>
      </c>
      <c r="EL80" s="1967">
        <f>BI80</f>
        <v>14</v>
      </c>
      <c r="EM80" s="1967">
        <f>(EM79*EM77)/1000</f>
        <v>12</v>
      </c>
      <c r="EN80" s="1967">
        <f>BQ80</f>
        <v>12</v>
      </c>
      <c r="EO80" s="1967">
        <f>(EO79*EO77)/1000</f>
        <v>0</v>
      </c>
      <c r="EP80" s="1967">
        <f>(EP79*EP77)/1000</f>
        <v>0</v>
      </c>
      <c r="EQ80" s="1967">
        <f t="shared" si="307"/>
        <v>0</v>
      </c>
      <c r="ER80" s="1967">
        <f t="shared" si="308"/>
        <v>0</v>
      </c>
      <c r="ES80" s="1967">
        <f>CK80</f>
        <v>0</v>
      </c>
      <c r="ET80" s="1967">
        <f t="shared" si="304"/>
        <v>0</v>
      </c>
      <c r="EU80" s="1967">
        <f>(EU77*EU79)/1000</f>
        <v>0</v>
      </c>
      <c r="EV80" s="1967">
        <f>(EV77*EV79)/1000</f>
        <v>0</v>
      </c>
      <c r="EW80" s="1967">
        <f>DA80</f>
        <v>0</v>
      </c>
      <c r="EX80" s="1959"/>
      <c r="EY80" s="1959"/>
      <c r="EZ80" s="1968"/>
      <c r="FA80" s="1967"/>
      <c r="FB80" s="1967"/>
      <c r="FC80" s="1967"/>
      <c r="FD80" s="1967"/>
      <c r="FE80" s="1964"/>
      <c r="FF80" s="1964"/>
      <c r="FG80" s="1964"/>
      <c r="FH80" s="1964"/>
      <c r="FI80" s="1969"/>
      <c r="FJ80"/>
      <c r="FK80"/>
      <c r="FL80"/>
      <c r="FM80"/>
      <c r="FN80"/>
      <c r="FO80"/>
      <c r="FP80" s="1964"/>
      <c r="FQ80" s="1967"/>
      <c r="FR80" s="1967"/>
      <c r="FS80" s="1966"/>
      <c r="FT80" s="7"/>
      <c r="FU80"/>
      <c r="FV80"/>
      <c r="FW80" s="1966"/>
      <c r="FX80" s="1966"/>
      <c r="FY80" s="1966"/>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row>
    <row r="81" spans="1:260" s="4" customFormat="1" ht="11.25" customHeight="1" collapsed="1" x14ac:dyDescent="0.2">
      <c r="E81" s="470"/>
      <c r="I81" s="470"/>
      <c r="M81" s="470"/>
      <c r="Q81" s="470"/>
      <c r="U81" s="470"/>
      <c r="Y81" s="470"/>
      <c r="AC81" s="470"/>
      <c r="AG81" s="470"/>
      <c r="AK81" s="470"/>
      <c r="AO81" s="470"/>
      <c r="AS81" s="470"/>
      <c r="AW81" s="470"/>
      <c r="BA81" s="470"/>
      <c r="BE81" s="470"/>
      <c r="BI81" s="470"/>
      <c r="BM81" s="470"/>
      <c r="BQ81" s="470"/>
      <c r="BU81" s="470"/>
      <c r="BY81" s="470"/>
      <c r="CC81" s="470"/>
      <c r="CG81" s="470"/>
      <c r="CK81" s="470"/>
      <c r="CO81" s="470"/>
      <c r="CS81" s="470"/>
      <c r="CW81" s="470"/>
      <c r="CX81" s="1967"/>
      <c r="CY81" s="1967"/>
      <c r="CZ81" s="1967"/>
      <c r="DA81" s="1965"/>
      <c r="DB81" s="1967"/>
      <c r="DC81" s="1959"/>
      <c r="DD81" s="1966"/>
      <c r="DE81" s="1962"/>
      <c r="DF81" s="1966"/>
      <c r="DG81" s="1966"/>
      <c r="DH81" s="1966"/>
      <c r="DI81" s="1962"/>
      <c r="DJ81" s="1963"/>
      <c r="DK81" s="1966"/>
      <c r="DL81" s="1966"/>
      <c r="DM81" s="1965"/>
      <c r="DN81" s="1967"/>
      <c r="DO81" s="1965"/>
      <c r="DP81" s="1967"/>
      <c r="DQ81" s="1967"/>
      <c r="DR81" s="1967"/>
      <c r="DS81" s="1967"/>
      <c r="DT81" s="1967"/>
      <c r="DU81" s="1967"/>
      <c r="DV81" s="1967"/>
      <c r="DW81" s="1967"/>
      <c r="DX81" s="1967"/>
      <c r="DY81" s="1967"/>
      <c r="DZ81" s="1967"/>
      <c r="EA81" s="1967"/>
      <c r="EB81" s="1967"/>
      <c r="EC81" s="1967"/>
      <c r="ED81" s="1967"/>
      <c r="EE81" s="1967"/>
      <c r="EF81" s="1967"/>
      <c r="EG81" s="1967"/>
      <c r="EH81" s="1967"/>
      <c r="EI81" s="1967"/>
      <c r="EJ81" s="1967"/>
      <c r="EK81" s="1967"/>
      <c r="EL81" s="1967"/>
      <c r="EM81" s="1967"/>
      <c r="EN81" s="1967"/>
      <c r="EO81" s="1967"/>
      <c r="EP81" s="1967"/>
      <c r="EQ81" s="1967">
        <f t="shared" si="307"/>
        <v>0</v>
      </c>
      <c r="ER81" s="1967">
        <f t="shared" si="308"/>
        <v>0</v>
      </c>
      <c r="ES81" s="1967"/>
      <c r="ET81" s="1967">
        <f t="shared" si="304"/>
        <v>0</v>
      </c>
      <c r="EU81" s="1967"/>
      <c r="EV81" s="1967"/>
      <c r="EW81" s="1967"/>
      <c r="EX81" s="1959"/>
      <c r="EY81" s="1959"/>
      <c r="EZ81" s="1968"/>
      <c r="FA81" s="1967"/>
      <c r="FB81" s="1967"/>
      <c r="FC81" s="1967"/>
      <c r="FD81" s="1967"/>
      <c r="FE81" s="1964"/>
      <c r="FF81" s="1964"/>
      <c r="FG81" s="1964"/>
      <c r="FH81" s="1964"/>
      <c r="FI81" s="1969"/>
      <c r="FJ81"/>
      <c r="FK81"/>
      <c r="FL81"/>
      <c r="FM81"/>
      <c r="FN81"/>
      <c r="FO81"/>
      <c r="FP81" s="1964"/>
      <c r="FQ81" s="1967"/>
      <c r="FR81" s="1967"/>
      <c r="FS81" s="1966"/>
      <c r="FT81" s="7"/>
      <c r="FU81"/>
      <c r="FV81"/>
      <c r="FW81" s="1966"/>
      <c r="FX81" s="1966"/>
      <c r="FY81" s="1966"/>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row>
    <row r="82" spans="1:260" s="4" customFormat="1" ht="11.25" customHeight="1" x14ac:dyDescent="0.2">
      <c r="A82" s="2083" t="s">
        <v>461</v>
      </c>
      <c r="B82" s="2083"/>
      <c r="C82" s="2083"/>
      <c r="D82" s="2083"/>
      <c r="E82" s="2068"/>
      <c r="F82" s="2083"/>
      <c r="G82" s="2083"/>
      <c r="H82" s="2083"/>
      <c r="I82" s="2068"/>
      <c r="J82" s="2083"/>
      <c r="K82" s="2083"/>
      <c r="L82" s="2083"/>
      <c r="M82" s="2068"/>
      <c r="N82" s="2083"/>
      <c r="O82" s="2083"/>
      <c r="P82" s="2083"/>
      <c r="Q82" s="2068"/>
      <c r="R82" s="2083"/>
      <c r="S82" s="2083"/>
      <c r="T82" s="2083"/>
      <c r="U82" s="2068"/>
      <c r="V82" s="2083"/>
      <c r="W82" s="2083"/>
      <c r="X82" s="2083"/>
      <c r="Y82" s="2068"/>
      <c r="Z82" s="2083"/>
      <c r="AA82" s="2083"/>
      <c r="AB82" s="2083"/>
      <c r="AC82" s="2068"/>
      <c r="AD82" s="2083"/>
      <c r="AE82" s="2083"/>
      <c r="AF82" s="2083"/>
      <c r="AG82" s="2068"/>
      <c r="AH82" s="2083"/>
      <c r="AI82" s="2083"/>
      <c r="AJ82" s="2083"/>
      <c r="AK82" s="2068"/>
      <c r="AL82" s="2083"/>
      <c r="AM82" s="2083"/>
      <c r="AN82" s="2083"/>
      <c r="AO82" s="2068"/>
      <c r="AP82" s="2083"/>
      <c r="AQ82" s="2083"/>
      <c r="AR82" s="2083"/>
      <c r="AS82" s="2068"/>
      <c r="AT82" s="2083"/>
      <c r="AU82" s="2083"/>
      <c r="AV82" s="2083"/>
      <c r="AW82" s="2068"/>
      <c r="AX82" s="2083">
        <f t="shared" ref="AX82:BC82" si="336">AX48+AX63+AX70+AX77</f>
        <v>705</v>
      </c>
      <c r="AY82" s="2083">
        <f t="shared" si="336"/>
        <v>724</v>
      </c>
      <c r="AZ82" s="2083">
        <f t="shared" si="336"/>
        <v>766</v>
      </c>
      <c r="BA82" s="2068">
        <f t="shared" si="336"/>
        <v>774</v>
      </c>
      <c r="BB82" s="2083">
        <f t="shared" si="336"/>
        <v>800</v>
      </c>
      <c r="BC82" s="2083">
        <f t="shared" si="336"/>
        <v>817</v>
      </c>
      <c r="BD82" s="2083">
        <f t="shared" ref="BD82:BY82" si="337">BD48+BD63+BD70+BD77+BD56</f>
        <v>863</v>
      </c>
      <c r="BE82" s="2068">
        <f t="shared" si="337"/>
        <v>873</v>
      </c>
      <c r="BF82" s="2083">
        <f t="shared" si="337"/>
        <v>897</v>
      </c>
      <c r="BG82" s="2083">
        <f t="shared" si="337"/>
        <v>912</v>
      </c>
      <c r="BH82" s="2083">
        <f t="shared" si="337"/>
        <v>961</v>
      </c>
      <c r="BI82" s="2068">
        <f t="shared" si="337"/>
        <v>971</v>
      </c>
      <c r="BJ82" s="2083">
        <f t="shared" si="337"/>
        <v>1003</v>
      </c>
      <c r="BK82" s="2083">
        <f t="shared" si="337"/>
        <v>1036</v>
      </c>
      <c r="BL82" s="2083">
        <f t="shared" si="337"/>
        <v>1098</v>
      </c>
      <c r="BM82" s="2068">
        <f t="shared" si="337"/>
        <v>1107</v>
      </c>
      <c r="BN82" s="2083">
        <f t="shared" si="337"/>
        <v>1117</v>
      </c>
      <c r="BO82" s="2083">
        <f t="shared" si="337"/>
        <v>1139</v>
      </c>
      <c r="BP82" s="2083">
        <f t="shared" si="337"/>
        <v>1184</v>
      </c>
      <c r="BQ82" s="2068">
        <f t="shared" si="337"/>
        <v>1190</v>
      </c>
      <c r="BR82" s="2083">
        <f t="shared" si="337"/>
        <v>1207</v>
      </c>
      <c r="BS82" s="2083">
        <f t="shared" si="337"/>
        <v>1246</v>
      </c>
      <c r="BT82" s="2083">
        <f t="shared" si="337"/>
        <v>1297</v>
      </c>
      <c r="BU82" s="2068">
        <f t="shared" si="337"/>
        <v>1317</v>
      </c>
      <c r="BV82" s="2083">
        <f t="shared" si="337"/>
        <v>1340</v>
      </c>
      <c r="BW82" s="2083">
        <f t="shared" si="337"/>
        <v>1367</v>
      </c>
      <c r="BX82" s="2083">
        <f t="shared" si="337"/>
        <v>1425</v>
      </c>
      <c r="BY82" s="2068">
        <f t="shared" si="337"/>
        <v>1447</v>
      </c>
      <c r="BZ82" s="2083"/>
      <c r="CA82" s="2083"/>
      <c r="CB82" s="2083"/>
      <c r="CC82" s="2068"/>
      <c r="CD82" s="2083"/>
      <c r="CE82" s="2083"/>
      <c r="CF82" s="2083"/>
      <c r="CG82" s="2068"/>
      <c r="CH82" s="2083">
        <f>CH48+CH63+CH70+CH77+CH56</f>
        <v>1468</v>
      </c>
      <c r="CI82" s="2083">
        <f>CI48+CI63+CI70+CI77+CI56</f>
        <v>1460</v>
      </c>
      <c r="CJ82" s="2083">
        <f>CJ48+CJ63+CJ70+CJ77+CJ56</f>
        <v>1486</v>
      </c>
      <c r="CK82" s="2068">
        <f>CK48+CK63+CK70+CK77+CK56</f>
        <v>1503</v>
      </c>
      <c r="CL82" s="2083"/>
      <c r="CM82" s="2083"/>
      <c r="CN82" s="2083"/>
      <c r="CO82" s="2068"/>
      <c r="CP82" s="2083">
        <f t="shared" ref="CP82:CV82" si="338">CP48+CP63+CP70+CP77+CP56</f>
        <v>1512</v>
      </c>
      <c r="CQ82" s="2083">
        <f t="shared" si="338"/>
        <v>1509</v>
      </c>
      <c r="CR82" s="2083">
        <f t="shared" si="338"/>
        <v>1504</v>
      </c>
      <c r="CS82" s="2068">
        <f t="shared" si="338"/>
        <v>1495</v>
      </c>
      <c r="CT82" s="2083">
        <f t="shared" si="338"/>
        <v>1493</v>
      </c>
      <c r="CU82" s="2083">
        <f t="shared" si="338"/>
        <v>1477</v>
      </c>
      <c r="CV82" s="2083">
        <f t="shared" si="338"/>
        <v>1473</v>
      </c>
      <c r="CW82" s="2084">
        <f t="shared" ref="CW82:DE82" si="339">CW48+CW63+CW70+CW77+CW56</f>
        <v>1448</v>
      </c>
      <c r="CX82" s="2085">
        <f t="shared" si="339"/>
        <v>1442</v>
      </c>
      <c r="CY82" s="2085">
        <f t="shared" si="339"/>
        <v>1433</v>
      </c>
      <c r="CZ82" s="2085">
        <f t="shared" si="339"/>
        <v>1431</v>
      </c>
      <c r="DA82" s="2077">
        <f t="shared" si="339"/>
        <v>1415</v>
      </c>
      <c r="DB82" s="2085">
        <f t="shared" si="339"/>
        <v>1402</v>
      </c>
      <c r="DC82" s="2076">
        <f t="shared" si="339"/>
        <v>1397</v>
      </c>
      <c r="DD82" s="2076">
        <f t="shared" si="339"/>
        <v>1385</v>
      </c>
      <c r="DE82" s="2086">
        <f t="shared" si="339"/>
        <v>1363</v>
      </c>
      <c r="DF82" s="2076">
        <f t="shared" ref="DF82:DH82" si="340">DF48+DF63+DF70+DF77+DF56</f>
        <v>1350</v>
      </c>
      <c r="DG82" s="2076">
        <f t="shared" si="340"/>
        <v>1344</v>
      </c>
      <c r="DH82" s="2076">
        <f t="shared" si="340"/>
        <v>1323</v>
      </c>
      <c r="DI82" s="2086">
        <f t="shared" ref="DI82:DM82" si="341">DH82+DI83</f>
        <v>1293</v>
      </c>
      <c r="DJ82" s="2087">
        <f t="shared" si="341"/>
        <v>1036</v>
      </c>
      <c r="DK82" s="2076">
        <f t="shared" si="341"/>
        <v>1035</v>
      </c>
      <c r="DL82" s="2076">
        <f t="shared" si="341"/>
        <v>1034</v>
      </c>
      <c r="DM82" s="2077">
        <f t="shared" si="341"/>
        <v>1033</v>
      </c>
      <c r="DN82" s="2088"/>
      <c r="DO82" s="2082"/>
      <c r="DP82" s="2085">
        <f t="shared" ref="DP82:EC82" si="342">DP48+DP63+DP70+DP77</f>
        <v>0</v>
      </c>
      <c r="DQ82" s="2085">
        <f t="shared" si="342"/>
        <v>0</v>
      </c>
      <c r="DR82" s="2085">
        <f t="shared" si="342"/>
        <v>0</v>
      </c>
      <c r="DS82" s="2085">
        <f t="shared" si="342"/>
        <v>0</v>
      </c>
      <c r="DT82" s="2085">
        <f t="shared" si="342"/>
        <v>0</v>
      </c>
      <c r="DU82" s="2085">
        <f t="shared" si="342"/>
        <v>56</v>
      </c>
      <c r="DV82" s="2085">
        <f t="shared" si="342"/>
        <v>73</v>
      </c>
      <c r="DW82" s="2085">
        <f t="shared" si="342"/>
        <v>111</v>
      </c>
      <c r="DX82" s="2085">
        <f t="shared" si="342"/>
        <v>151</v>
      </c>
      <c r="DY82" s="2085">
        <f t="shared" si="342"/>
        <v>204</v>
      </c>
      <c r="DZ82" s="2085">
        <f t="shared" si="342"/>
        <v>251</v>
      </c>
      <c r="EA82" s="2085">
        <f t="shared" si="342"/>
        <v>272</v>
      </c>
      <c r="EB82" s="2085">
        <f t="shared" si="342"/>
        <v>284</v>
      </c>
      <c r="EC82" s="2085">
        <f t="shared" si="342"/>
        <v>311</v>
      </c>
      <c r="ED82" s="2085">
        <f t="shared" ref="ED82:EJ82" si="343">ED48+ED63+ED70+ED77</f>
        <v>357</v>
      </c>
      <c r="EE82" s="2085">
        <f t="shared" si="343"/>
        <v>432</v>
      </c>
      <c r="EF82" s="2085">
        <f t="shared" si="343"/>
        <v>494</v>
      </c>
      <c r="EG82" s="2085">
        <f t="shared" si="343"/>
        <v>567</v>
      </c>
      <c r="EH82" s="2085">
        <f t="shared" si="343"/>
        <v>631</v>
      </c>
      <c r="EI82" s="2085">
        <f t="shared" si="343"/>
        <v>694</v>
      </c>
      <c r="EJ82" s="2085">
        <f t="shared" si="343"/>
        <v>774</v>
      </c>
      <c r="EK82" s="2085">
        <f t="shared" ref="EK82:EP82" si="344">EK48+EK63+EK70+EK77+EK56</f>
        <v>868</v>
      </c>
      <c r="EL82" s="2085">
        <f t="shared" si="344"/>
        <v>971</v>
      </c>
      <c r="EM82" s="2085">
        <f t="shared" si="344"/>
        <v>1107</v>
      </c>
      <c r="EN82" s="2085">
        <f t="shared" si="344"/>
        <v>1190</v>
      </c>
      <c r="EO82" s="2085">
        <f t="shared" si="344"/>
        <v>1317</v>
      </c>
      <c r="EP82" s="2085">
        <f t="shared" si="344"/>
        <v>1447</v>
      </c>
      <c r="EQ82" s="2085">
        <f>EO82</f>
        <v>1317</v>
      </c>
      <c r="ER82" s="2085">
        <f>EP82</f>
        <v>1447</v>
      </c>
      <c r="ES82" s="2085">
        <f>ES48+ES63+ES70+ES77+ES56</f>
        <v>1503</v>
      </c>
      <c r="ET82" s="2085">
        <f>ES82</f>
        <v>1503</v>
      </c>
      <c r="EU82" s="2085">
        <f>EU48+EU63+EU70+EU77+EU56</f>
        <v>1495</v>
      </c>
      <c r="EV82" s="2085">
        <f>EV48+EV63+EV70+EV77+EV56</f>
        <v>1448</v>
      </c>
      <c r="EW82" s="2085">
        <f>EW48+EW63+EW70+EW77+EW56</f>
        <v>1415</v>
      </c>
      <c r="EX82" s="2076">
        <f>DE82</f>
        <v>1363</v>
      </c>
      <c r="EY82" s="2076">
        <f>DI82</f>
        <v>1293</v>
      </c>
      <c r="EZ82" s="2087">
        <f>DM82</f>
        <v>1033</v>
      </c>
      <c r="FA82" s="2085">
        <f t="shared" ref="FA82:FH82" si="345">EZ82+FA83</f>
        <v>1034</v>
      </c>
      <c r="FB82" s="2085">
        <f t="shared" si="345"/>
        <v>1036</v>
      </c>
      <c r="FC82" s="2085">
        <f t="shared" si="345"/>
        <v>1041</v>
      </c>
      <c r="FD82" s="2085">
        <f t="shared" si="345"/>
        <v>1046</v>
      </c>
      <c r="FE82" s="2085">
        <f t="shared" si="345"/>
        <v>1051</v>
      </c>
      <c r="FF82" s="2085">
        <f t="shared" si="345"/>
        <v>1056</v>
      </c>
      <c r="FG82" s="2085">
        <f t="shared" si="345"/>
        <v>1061</v>
      </c>
      <c r="FH82" s="2085">
        <f t="shared" si="345"/>
        <v>1066</v>
      </c>
      <c r="FI82" s="2025"/>
      <c r="FJ82"/>
      <c r="FK82"/>
      <c r="FL82"/>
      <c r="FM82"/>
      <c r="FN82"/>
      <c r="FO82"/>
      <c r="FP82" s="1964"/>
      <c r="FQ82" s="1967"/>
      <c r="FR82" s="1967"/>
      <c r="FS82" s="1966"/>
      <c r="FT82" s="7"/>
      <c r="FU82"/>
      <c r="FV82"/>
      <c r="FW82" s="2641"/>
      <c r="FX82" s="2641"/>
      <c r="FY82" s="2641"/>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row>
    <row r="83" spans="1:260" s="4" customFormat="1" ht="11.25" customHeight="1" x14ac:dyDescent="0.2">
      <c r="A83" s="4" t="s">
        <v>121</v>
      </c>
      <c r="E83" s="470"/>
      <c r="I83" s="470"/>
      <c r="M83" s="470"/>
      <c r="Q83" s="470"/>
      <c r="U83" s="470"/>
      <c r="Y83" s="470"/>
      <c r="Z83" s="4">
        <f t="shared" ref="Z83:BE83" si="346">+Z49+Z55+Z62+Z69+Z76</f>
        <v>2</v>
      </c>
      <c r="AA83" s="4">
        <f t="shared" si="346"/>
        <v>19</v>
      </c>
      <c r="AB83" s="4">
        <f t="shared" si="346"/>
        <v>22</v>
      </c>
      <c r="AC83" s="470">
        <f t="shared" si="346"/>
        <v>3</v>
      </c>
      <c r="AD83" s="4">
        <f t="shared" si="346"/>
        <v>4</v>
      </c>
      <c r="AE83" s="4">
        <f t="shared" si="346"/>
        <v>12</v>
      </c>
      <c r="AF83" s="4">
        <f t="shared" si="346"/>
        <v>40</v>
      </c>
      <c r="AG83" s="470">
        <f t="shared" si="346"/>
        <v>6</v>
      </c>
      <c r="AH83" s="4">
        <f t="shared" si="346"/>
        <v>11</v>
      </c>
      <c r="AI83" s="4">
        <f t="shared" si="346"/>
        <v>9</v>
      </c>
      <c r="AJ83" s="4">
        <f t="shared" si="346"/>
        <v>39</v>
      </c>
      <c r="AK83" s="470">
        <f t="shared" si="346"/>
        <v>3</v>
      </c>
      <c r="AL83" s="4">
        <f t="shared" si="346"/>
        <v>15</v>
      </c>
      <c r="AM83" s="4">
        <f t="shared" si="346"/>
        <v>22</v>
      </c>
      <c r="AN83" s="4">
        <f t="shared" si="346"/>
        <v>34</v>
      </c>
      <c r="AO83" s="470">
        <f t="shared" si="346"/>
        <v>2</v>
      </c>
      <c r="AP83" s="4">
        <f t="shared" si="346"/>
        <v>4</v>
      </c>
      <c r="AQ83" s="4">
        <f t="shared" si="346"/>
        <v>15</v>
      </c>
      <c r="AR83" s="4">
        <f t="shared" si="346"/>
        <v>36</v>
      </c>
      <c r="AS83" s="470">
        <f t="shared" si="346"/>
        <v>9</v>
      </c>
      <c r="AT83" s="4">
        <f t="shared" si="346"/>
        <v>11</v>
      </c>
      <c r="AU83" s="4">
        <f t="shared" si="346"/>
        <v>9</v>
      </c>
      <c r="AV83" s="4">
        <f t="shared" si="346"/>
        <v>34</v>
      </c>
      <c r="AW83" s="470">
        <f t="shared" si="346"/>
        <v>9</v>
      </c>
      <c r="AX83" s="4">
        <f t="shared" si="346"/>
        <v>11</v>
      </c>
      <c r="AY83" s="4">
        <f t="shared" si="346"/>
        <v>19</v>
      </c>
      <c r="AZ83" s="4">
        <f t="shared" si="346"/>
        <v>42</v>
      </c>
      <c r="BA83" s="470">
        <f t="shared" si="346"/>
        <v>8</v>
      </c>
      <c r="BB83" s="4">
        <f t="shared" si="346"/>
        <v>26</v>
      </c>
      <c r="BC83" s="4">
        <f t="shared" si="346"/>
        <v>17</v>
      </c>
      <c r="BD83" s="4">
        <f t="shared" si="346"/>
        <v>46</v>
      </c>
      <c r="BE83" s="470">
        <f t="shared" si="346"/>
        <v>10</v>
      </c>
      <c r="BF83" s="4">
        <f t="shared" ref="BF83:BY83" si="347">+BF49+BF55+BF62+BF69+BF76</f>
        <v>24</v>
      </c>
      <c r="BG83" s="4">
        <f t="shared" si="347"/>
        <v>15</v>
      </c>
      <c r="BH83" s="4">
        <f t="shared" si="347"/>
        <v>49</v>
      </c>
      <c r="BI83" s="470">
        <f t="shared" si="347"/>
        <v>10</v>
      </c>
      <c r="BJ83" s="4">
        <f t="shared" si="347"/>
        <v>32</v>
      </c>
      <c r="BK83" s="4">
        <f t="shared" si="347"/>
        <v>33</v>
      </c>
      <c r="BL83" s="4">
        <f t="shared" si="347"/>
        <v>62</v>
      </c>
      <c r="BM83" s="470">
        <f t="shared" si="347"/>
        <v>9</v>
      </c>
      <c r="BN83" s="4">
        <f t="shared" si="347"/>
        <v>10</v>
      </c>
      <c r="BO83" s="4">
        <f t="shared" si="347"/>
        <v>22</v>
      </c>
      <c r="BP83" s="4">
        <f t="shared" si="347"/>
        <v>45</v>
      </c>
      <c r="BQ83" s="470">
        <f t="shared" si="347"/>
        <v>6</v>
      </c>
      <c r="BR83" s="4">
        <f t="shared" si="347"/>
        <v>17</v>
      </c>
      <c r="BS83" s="4">
        <f t="shared" si="347"/>
        <v>39</v>
      </c>
      <c r="BT83" s="4">
        <f t="shared" si="347"/>
        <v>51</v>
      </c>
      <c r="BU83" s="470">
        <f t="shared" si="347"/>
        <v>20</v>
      </c>
      <c r="BV83" s="4">
        <f t="shared" si="347"/>
        <v>23</v>
      </c>
      <c r="BW83" s="4">
        <f t="shared" si="347"/>
        <v>27</v>
      </c>
      <c r="BX83" s="4">
        <f t="shared" si="347"/>
        <v>58</v>
      </c>
      <c r="BY83" s="470">
        <f t="shared" si="347"/>
        <v>22</v>
      </c>
      <c r="CC83" s="470"/>
      <c r="CG83" s="470"/>
      <c r="CH83" s="4">
        <f>+CH49+CH55+CH62+CH69+CH76</f>
        <v>21</v>
      </c>
      <c r="CI83" s="4">
        <f>+CI49+CI55+CI62+CI69+CI76</f>
        <v>-8</v>
      </c>
      <c r="CJ83" s="4">
        <f>+CJ49+CJ55+CJ62+CJ69+CJ76</f>
        <v>26</v>
      </c>
      <c r="CK83" s="470">
        <f>+CK49+CK55+CK62+CK69+CK76</f>
        <v>17</v>
      </c>
      <c r="CO83" s="470"/>
      <c r="CP83" s="4">
        <f t="shared" ref="CP83:CU83" si="348">+CP49+CP55+CP62+CP69+CP76</f>
        <v>9</v>
      </c>
      <c r="CQ83" s="4">
        <f t="shared" si="348"/>
        <v>-3</v>
      </c>
      <c r="CR83" s="4">
        <f t="shared" si="348"/>
        <v>-5</v>
      </c>
      <c r="CS83" s="470">
        <f t="shared" si="348"/>
        <v>-9</v>
      </c>
      <c r="CT83" s="4">
        <f t="shared" si="348"/>
        <v>-2</v>
      </c>
      <c r="CU83" s="4">
        <f t="shared" si="348"/>
        <v>-16</v>
      </c>
      <c r="CV83" s="4">
        <f t="shared" ref="CV83:DA83" si="349">+CV49+CV55+CV62+CV69+CV76</f>
        <v>-4</v>
      </c>
      <c r="CW83" s="470">
        <f t="shared" si="349"/>
        <v>-25</v>
      </c>
      <c r="CX83" s="1967">
        <f t="shared" si="349"/>
        <v>-6</v>
      </c>
      <c r="CY83" s="1967">
        <f t="shared" si="349"/>
        <v>-9</v>
      </c>
      <c r="CZ83" s="1959">
        <f t="shared" si="349"/>
        <v>-2</v>
      </c>
      <c r="DA83" s="1962">
        <f t="shared" si="349"/>
        <v>-16</v>
      </c>
      <c r="DB83" s="1967">
        <f t="shared" ref="DB83:DJ83" si="350">+DB49+DB55+DB62+DB69+DB76</f>
        <v>-13</v>
      </c>
      <c r="DC83" s="1959">
        <f t="shared" si="350"/>
        <v>-5</v>
      </c>
      <c r="DD83" s="1959">
        <f t="shared" si="350"/>
        <v>-12</v>
      </c>
      <c r="DE83" s="1999">
        <f t="shared" si="350"/>
        <v>-22</v>
      </c>
      <c r="DF83" s="2491">
        <f t="shared" si="350"/>
        <v>-13</v>
      </c>
      <c r="DG83" s="2491">
        <f t="shared" si="350"/>
        <v>-6</v>
      </c>
      <c r="DH83" s="2491">
        <f t="shared" si="350"/>
        <v>-21</v>
      </c>
      <c r="DI83" s="1999">
        <f t="shared" si="350"/>
        <v>-30</v>
      </c>
      <c r="DJ83" s="2729">
        <v>-257</v>
      </c>
      <c r="DK83" s="2594">
        <v>-1</v>
      </c>
      <c r="DL83" s="2594">
        <v>-1</v>
      </c>
      <c r="DM83" s="1979">
        <v>-1</v>
      </c>
      <c r="DN83" s="1967"/>
      <c r="DO83" s="1965"/>
      <c r="DP83" s="1967">
        <f t="shared" ref="DP83:EC83" si="351">+DP49+DP55+DP62+DP69+DP76</f>
        <v>0</v>
      </c>
      <c r="DQ83" s="1967">
        <f t="shared" si="351"/>
        <v>0</v>
      </c>
      <c r="DR83" s="1967">
        <f t="shared" si="351"/>
        <v>0</v>
      </c>
      <c r="DS83" s="1967">
        <f t="shared" si="351"/>
        <v>0</v>
      </c>
      <c r="DT83" s="1967">
        <f t="shared" si="351"/>
        <v>0</v>
      </c>
      <c r="DU83" s="1967">
        <f t="shared" si="351"/>
        <v>0</v>
      </c>
      <c r="DV83" s="1967">
        <f t="shared" si="351"/>
        <v>17</v>
      </c>
      <c r="DW83" s="1967">
        <f t="shared" si="351"/>
        <v>38</v>
      </c>
      <c r="DX83" s="1967">
        <f t="shared" si="351"/>
        <v>40</v>
      </c>
      <c r="DY83" s="1967">
        <f t="shared" si="351"/>
        <v>53</v>
      </c>
      <c r="DZ83" s="1967">
        <f t="shared" si="351"/>
        <v>47</v>
      </c>
      <c r="EA83" s="1967">
        <f t="shared" si="351"/>
        <v>21</v>
      </c>
      <c r="EB83" s="1967">
        <f t="shared" si="351"/>
        <v>12</v>
      </c>
      <c r="EC83" s="1967">
        <f t="shared" si="351"/>
        <v>27</v>
      </c>
      <c r="ED83" s="1967">
        <f t="shared" ref="ED83:EP83" si="352">+ED49+ED55+ED62+ED69+ED76</f>
        <v>46</v>
      </c>
      <c r="EE83" s="1967">
        <f t="shared" si="352"/>
        <v>62</v>
      </c>
      <c r="EF83" s="1967">
        <f t="shared" si="352"/>
        <v>62</v>
      </c>
      <c r="EG83" s="1967">
        <f t="shared" si="352"/>
        <v>73</v>
      </c>
      <c r="EH83" s="1967">
        <f t="shared" si="352"/>
        <v>64</v>
      </c>
      <c r="EI83" s="1967">
        <f t="shared" si="352"/>
        <v>63</v>
      </c>
      <c r="EJ83" s="1967">
        <f t="shared" si="352"/>
        <v>80</v>
      </c>
      <c r="EK83" s="1967">
        <f t="shared" si="352"/>
        <v>94</v>
      </c>
      <c r="EL83" s="1967">
        <f t="shared" si="352"/>
        <v>98</v>
      </c>
      <c r="EM83" s="1967">
        <f t="shared" si="352"/>
        <v>136</v>
      </c>
      <c r="EN83" s="1967">
        <f t="shared" si="352"/>
        <v>83</v>
      </c>
      <c r="EO83" s="1967">
        <f t="shared" si="352"/>
        <v>127</v>
      </c>
      <c r="EP83" s="1967">
        <f t="shared" si="352"/>
        <v>130</v>
      </c>
      <c r="EQ83" s="1967">
        <f>EO83</f>
        <v>127</v>
      </c>
      <c r="ER83" s="1967">
        <f>EP83</f>
        <v>130</v>
      </c>
      <c r="ES83" s="1967">
        <f>+ES49+ES55+ES62+ES69+ES76</f>
        <v>56</v>
      </c>
      <c r="ET83" s="1967">
        <f>ES83</f>
        <v>56</v>
      </c>
      <c r="EU83" s="1967">
        <f>+EU82-ET82</f>
        <v>-8</v>
      </c>
      <c r="EV83" s="1967">
        <f>+EV82-EU82</f>
        <v>-47</v>
      </c>
      <c r="EW83" s="1967">
        <f>+EW82-EV82</f>
        <v>-33</v>
      </c>
      <c r="EX83" s="1959">
        <f>SUM(DB83:DE83)</f>
        <v>-52</v>
      </c>
      <c r="EY83" s="1959">
        <f>SUM(DF83:DI83)</f>
        <v>-70</v>
      </c>
      <c r="EZ83" s="1968">
        <f>SUM(DJ83:DM83)</f>
        <v>-260</v>
      </c>
      <c r="FA83" s="1977">
        <v>1</v>
      </c>
      <c r="FB83" s="1977">
        <v>2</v>
      </c>
      <c r="FC83" s="1977">
        <v>5</v>
      </c>
      <c r="FD83" s="1977">
        <v>5</v>
      </c>
      <c r="FE83" s="1977">
        <v>5</v>
      </c>
      <c r="FF83" s="1977">
        <v>5</v>
      </c>
      <c r="FG83" s="1977">
        <v>5</v>
      </c>
      <c r="FH83" s="1977">
        <v>5</v>
      </c>
      <c r="FI83" s="1969"/>
      <c r="FJ83"/>
      <c r="FK83"/>
      <c r="FL83"/>
      <c r="FM83"/>
      <c r="FN83"/>
      <c r="FO83"/>
      <c r="FP83" s="1964"/>
      <c r="FQ83" s="1967"/>
      <c r="FR83" s="1967"/>
      <c r="FS83" s="1966"/>
      <c r="FT83" s="7"/>
      <c r="FU83"/>
      <c r="FV83"/>
      <c r="FW83" s="2475"/>
      <c r="FX83" s="2475"/>
      <c r="FY83" s="2475"/>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row>
    <row r="84" spans="1:260" s="4" customFormat="1" ht="11.25" customHeight="1" x14ac:dyDescent="0.2">
      <c r="B84" s="55"/>
      <c r="C84" s="55"/>
      <c r="D84" s="55"/>
      <c r="E84" s="827"/>
      <c r="F84" s="55"/>
      <c r="G84" s="55"/>
      <c r="H84" s="55"/>
      <c r="I84" s="827"/>
      <c r="J84" s="55"/>
      <c r="K84" s="55"/>
      <c r="L84" s="55"/>
      <c r="M84" s="827"/>
      <c r="N84" s="55"/>
      <c r="O84" s="55"/>
      <c r="P84" s="55"/>
      <c r="Q84" s="827"/>
      <c r="R84" s="55"/>
      <c r="S84" s="55"/>
      <c r="T84" s="55"/>
      <c r="U84" s="827"/>
      <c r="V84" s="55"/>
      <c r="W84" s="55"/>
      <c r="X84" s="55"/>
      <c r="Y84" s="827"/>
      <c r="Z84" s="55"/>
      <c r="AA84" s="55"/>
      <c r="AB84" s="55"/>
      <c r="AC84" s="827"/>
      <c r="AD84" s="55"/>
      <c r="AE84" s="55"/>
      <c r="AF84" s="55"/>
      <c r="AG84" s="827"/>
      <c r="AH84" s="55"/>
      <c r="AI84" s="55"/>
      <c r="AJ84" s="55"/>
      <c r="AK84" s="827"/>
      <c r="AL84" s="55"/>
      <c r="AM84" s="55"/>
      <c r="AN84" s="55"/>
      <c r="AO84" s="827"/>
      <c r="AP84" s="55"/>
      <c r="AQ84" s="55"/>
      <c r="AR84" s="55"/>
      <c r="AS84" s="827"/>
      <c r="AT84" s="55"/>
      <c r="AU84" s="55"/>
      <c r="AV84" s="55"/>
      <c r="AW84" s="827"/>
      <c r="AX84" s="55"/>
      <c r="AY84" s="55"/>
      <c r="AZ84" s="55"/>
      <c r="BA84" s="827"/>
      <c r="BB84" s="55"/>
      <c r="BC84" s="55"/>
      <c r="BD84" s="55"/>
      <c r="BE84" s="827"/>
      <c r="BF84" s="55"/>
      <c r="BG84" s="55"/>
      <c r="BH84" s="55"/>
      <c r="BI84" s="827"/>
      <c r="BJ84" s="55"/>
      <c r="BK84" s="55"/>
      <c r="BL84" s="55"/>
      <c r="BM84" s="827"/>
      <c r="BN84" s="55"/>
      <c r="BO84" s="55"/>
      <c r="BP84" s="55"/>
      <c r="BQ84" s="827"/>
      <c r="BR84" s="55"/>
      <c r="BS84" s="55"/>
      <c r="BT84" s="55"/>
      <c r="BU84" s="827"/>
      <c r="BV84" s="55"/>
      <c r="BW84" s="829"/>
      <c r="BX84" s="829"/>
      <c r="BY84" s="827"/>
      <c r="BZ84" s="41"/>
      <c r="CA84" s="41"/>
      <c r="CB84" s="41"/>
      <c r="CC84" s="820"/>
      <c r="CD84" s="41"/>
      <c r="CE84" s="41"/>
      <c r="CF84" s="41"/>
      <c r="CG84" s="820"/>
      <c r="CH84" s="55"/>
      <c r="CI84" s="55"/>
      <c r="CJ84" s="55"/>
      <c r="CK84" s="827"/>
      <c r="CL84" s="41"/>
      <c r="CM84" s="41"/>
      <c r="CN84" s="41"/>
      <c r="CO84" s="820"/>
      <c r="CP84" s="55"/>
      <c r="CQ84" s="55"/>
      <c r="CR84" s="55"/>
      <c r="CS84" s="827"/>
      <c r="CT84" s="9"/>
      <c r="CU84" s="10"/>
      <c r="CV84" s="10"/>
      <c r="CW84" s="721"/>
      <c r="CX84" s="1974"/>
      <c r="CY84" s="1974"/>
      <c r="CZ84" s="1974"/>
      <c r="DA84" s="1976"/>
      <c r="DB84" s="1974"/>
      <c r="DC84" s="1974"/>
      <c r="DD84" s="1975"/>
      <c r="DE84" s="1976"/>
      <c r="DF84" s="1975"/>
      <c r="DG84" s="1975"/>
      <c r="DH84" s="1975"/>
      <c r="DI84" s="1976"/>
      <c r="DJ84" s="2723"/>
      <c r="DK84" s="1984"/>
      <c r="DL84" s="1984"/>
      <c r="DM84" s="2000"/>
      <c r="DN84" s="1984"/>
      <c r="DO84" s="2000"/>
      <c r="DP84" s="1960"/>
      <c r="DQ84" s="1960"/>
      <c r="DR84" s="1960"/>
      <c r="DS84" s="1960"/>
      <c r="DT84" s="1960"/>
      <c r="DU84" s="1960"/>
      <c r="DV84" s="1960"/>
      <c r="DW84" s="1960"/>
      <c r="DX84" s="1960"/>
      <c r="DY84" s="1960"/>
      <c r="DZ84" s="1960"/>
      <c r="EA84" s="1960"/>
      <c r="EB84" s="1960"/>
      <c r="EC84" s="1960"/>
      <c r="ED84" s="1960"/>
      <c r="EE84" s="1960"/>
      <c r="EF84" s="1960"/>
      <c r="EG84" s="1960"/>
      <c r="EH84" s="1960"/>
      <c r="EI84" s="1960"/>
      <c r="EJ84" s="1960"/>
      <c r="EK84" s="1960"/>
      <c r="EL84" s="1960"/>
      <c r="EM84" s="1960"/>
      <c r="EN84" s="1960"/>
      <c r="EO84" s="1960"/>
      <c r="EP84" s="1960"/>
      <c r="EQ84" s="1967"/>
      <c r="ER84" s="1967"/>
      <c r="ES84" s="1960"/>
      <c r="ET84" s="1960"/>
      <c r="EU84" s="1960"/>
      <c r="EV84" s="1960"/>
      <c r="EW84" s="1960"/>
      <c r="EX84" s="1974"/>
      <c r="EY84" s="1974"/>
      <c r="EZ84" s="2001"/>
      <c r="FA84" s="1960"/>
      <c r="FB84" s="1960"/>
      <c r="FC84" s="1960"/>
      <c r="FD84" s="1960"/>
      <c r="FE84" s="1984"/>
      <c r="FF84" s="1984"/>
      <c r="FG84" s="1984"/>
      <c r="FH84" s="1984"/>
      <c r="FI84" s="1985"/>
      <c r="FJ84"/>
      <c r="FK84"/>
      <c r="FL84"/>
      <c r="FM84"/>
      <c r="FN84"/>
      <c r="FO84"/>
      <c r="FP84" s="1964"/>
      <c r="FQ84" s="1967"/>
      <c r="FR84" s="1967"/>
      <c r="FS84" s="1975"/>
      <c r="FT84" s="172"/>
      <c r="FU84"/>
      <c r="FV84"/>
      <c r="FW84" s="1975"/>
      <c r="FX84" s="1975"/>
      <c r="FY84" s="1975"/>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row>
    <row r="85" spans="1:260" s="19" customFormat="1" outlineLevel="1" x14ac:dyDescent="0.2">
      <c r="A85" s="19" t="s">
        <v>52</v>
      </c>
      <c r="B85" s="843"/>
      <c r="C85" s="843"/>
      <c r="D85" s="843"/>
      <c r="E85" s="844"/>
      <c r="F85" s="843"/>
      <c r="G85" s="843"/>
      <c r="H85" s="843"/>
      <c r="I85" s="844"/>
      <c r="J85" s="843"/>
      <c r="K85" s="843"/>
      <c r="L85" s="843"/>
      <c r="M85" s="844"/>
      <c r="N85" s="843"/>
      <c r="O85" s="843"/>
      <c r="P85" s="843"/>
      <c r="Q85" s="844"/>
      <c r="R85" s="843"/>
      <c r="S85" s="843"/>
      <c r="T85" s="843"/>
      <c r="U85" s="844"/>
      <c r="V85" s="843"/>
      <c r="W85" s="843"/>
      <c r="X85" s="843"/>
      <c r="Y85" s="844"/>
      <c r="Z85" s="843"/>
      <c r="AA85" s="843"/>
      <c r="AB85" s="843"/>
      <c r="AC85" s="844"/>
      <c r="AD85" s="843"/>
      <c r="AE85" s="843"/>
      <c r="AF85" s="843"/>
      <c r="AG85" s="844"/>
      <c r="AH85" s="845">
        <f t="shared" ref="AH85:BY85" si="353">AH45+AH59+AH66+AH73+AH80</f>
        <v>19557</v>
      </c>
      <c r="AI85" s="845">
        <f t="shared" si="353"/>
        <v>19980</v>
      </c>
      <c r="AJ85" s="845">
        <f t="shared" si="353"/>
        <v>21603</v>
      </c>
      <c r="AK85" s="846">
        <f t="shared" si="353"/>
        <v>21767</v>
      </c>
      <c r="AL85" s="845">
        <f t="shared" si="353"/>
        <v>22268</v>
      </c>
      <c r="AM85" s="845">
        <f t="shared" si="353"/>
        <v>23157</v>
      </c>
      <c r="AN85" s="845">
        <f t="shared" si="353"/>
        <v>24407</v>
      </c>
      <c r="AO85" s="846">
        <f t="shared" si="353"/>
        <v>24481</v>
      </c>
      <c r="AP85" s="845">
        <f t="shared" si="353"/>
        <v>24646</v>
      </c>
      <c r="AQ85" s="845">
        <f t="shared" si="353"/>
        <v>25147</v>
      </c>
      <c r="AR85" s="845">
        <f t="shared" si="353"/>
        <v>26408</v>
      </c>
      <c r="AS85" s="846">
        <f t="shared" si="353"/>
        <v>26699</v>
      </c>
      <c r="AT85" s="845">
        <f t="shared" si="353"/>
        <v>27046</v>
      </c>
      <c r="AU85" s="845">
        <f t="shared" si="353"/>
        <v>27323</v>
      </c>
      <c r="AV85" s="845">
        <f t="shared" si="353"/>
        <v>28233</v>
      </c>
      <c r="AW85" s="846">
        <f t="shared" si="353"/>
        <v>28513</v>
      </c>
      <c r="AX85" s="845">
        <f t="shared" si="353"/>
        <v>28863</v>
      </c>
      <c r="AY85" s="845">
        <f t="shared" si="353"/>
        <v>29339</v>
      </c>
      <c r="AZ85" s="845">
        <f t="shared" si="353"/>
        <v>30604</v>
      </c>
      <c r="BA85" s="846">
        <f t="shared" si="353"/>
        <v>30874</v>
      </c>
      <c r="BB85" s="845">
        <f t="shared" si="353"/>
        <v>31781</v>
      </c>
      <c r="BC85" s="845">
        <f t="shared" si="353"/>
        <v>32325</v>
      </c>
      <c r="BD85" s="845">
        <f t="shared" si="353"/>
        <v>33743</v>
      </c>
      <c r="BE85" s="846">
        <f t="shared" si="353"/>
        <v>34093</v>
      </c>
      <c r="BF85" s="845">
        <f t="shared" si="353"/>
        <v>34955</v>
      </c>
      <c r="BG85" s="845">
        <f t="shared" si="353"/>
        <v>35668</v>
      </c>
      <c r="BH85" s="845">
        <f t="shared" si="353"/>
        <v>37240</v>
      </c>
      <c r="BI85" s="846">
        <f t="shared" si="353"/>
        <v>37511</v>
      </c>
      <c r="BJ85" s="845">
        <f t="shared" si="353"/>
        <v>38397</v>
      </c>
      <c r="BK85" s="845">
        <f t="shared" si="353"/>
        <v>39257</v>
      </c>
      <c r="BL85" s="845">
        <f t="shared" si="353"/>
        <v>40500</v>
      </c>
      <c r="BM85" s="846">
        <f t="shared" si="353"/>
        <v>40924</v>
      </c>
      <c r="BN85" s="845">
        <f t="shared" si="353"/>
        <v>41196</v>
      </c>
      <c r="BO85" s="845">
        <f t="shared" si="353"/>
        <v>41644</v>
      </c>
      <c r="BP85" s="845">
        <f t="shared" si="353"/>
        <v>42482</v>
      </c>
      <c r="BQ85" s="846">
        <f t="shared" si="353"/>
        <v>42480</v>
      </c>
      <c r="BR85" s="847">
        <f t="shared" si="353"/>
        <v>42888</v>
      </c>
      <c r="BS85" s="847">
        <f t="shared" si="353"/>
        <v>43260</v>
      </c>
      <c r="BT85" s="847">
        <f t="shared" si="353"/>
        <v>43633</v>
      </c>
      <c r="BU85" s="842">
        <f t="shared" si="353"/>
        <v>43660</v>
      </c>
      <c r="BV85" s="847">
        <f t="shared" si="353"/>
        <v>43758</v>
      </c>
      <c r="BW85" s="847">
        <f t="shared" si="353"/>
        <v>43848</v>
      </c>
      <c r="BX85" s="847">
        <f t="shared" si="353"/>
        <v>43885</v>
      </c>
      <c r="BY85" s="842">
        <f t="shared" si="353"/>
        <v>43785</v>
      </c>
      <c r="BZ85" s="847"/>
      <c r="CA85" s="847"/>
      <c r="CB85" s="847"/>
      <c r="CC85" s="842"/>
      <c r="CD85" s="847"/>
      <c r="CE85" s="847"/>
      <c r="CF85" s="847"/>
      <c r="CG85" s="842"/>
      <c r="CH85" s="847">
        <f>CH45+CH59+CH66+CH73+CH80</f>
        <v>43810</v>
      </c>
      <c r="CI85" s="847">
        <f>CI45+CI59+CI66+CI73+CI80</f>
        <v>42426</v>
      </c>
      <c r="CJ85" s="847">
        <f>CJ45+CJ59+CJ66+CJ73+CJ80</f>
        <v>42223</v>
      </c>
      <c r="CK85" s="842">
        <f>CK45+CK59+CK66+CK73+CK80</f>
        <v>42232</v>
      </c>
      <c r="CL85" s="847"/>
      <c r="CM85" s="847"/>
      <c r="CN85" s="847"/>
      <c r="CO85" s="842"/>
      <c r="CP85" s="847">
        <f t="shared" ref="CP85:CY85" si="354">CP45+CP59+CP66+CP73+CP80</f>
        <v>42207</v>
      </c>
      <c r="CQ85" s="847">
        <f t="shared" si="354"/>
        <v>42195</v>
      </c>
      <c r="CR85" s="847">
        <f t="shared" si="354"/>
        <v>42071</v>
      </c>
      <c r="CS85" s="842">
        <f t="shared" si="354"/>
        <v>42051</v>
      </c>
      <c r="CT85" s="85">
        <f t="shared" si="354"/>
        <v>41950</v>
      </c>
      <c r="CU85" s="847">
        <f t="shared" si="354"/>
        <v>41873</v>
      </c>
      <c r="CV85" s="847">
        <f t="shared" si="354"/>
        <v>41826</v>
      </c>
      <c r="CW85" s="842">
        <f t="shared" si="354"/>
        <v>41716</v>
      </c>
      <c r="CX85" s="1961">
        <f t="shared" si="354"/>
        <v>41692</v>
      </c>
      <c r="CY85" s="1961">
        <f t="shared" si="354"/>
        <v>41620</v>
      </c>
      <c r="CZ85" s="1961">
        <f t="shared" ref="CZ85:DE85" si="355">CZ92</f>
        <v>41616</v>
      </c>
      <c r="DA85" s="2002">
        <f>DA92</f>
        <v>41216</v>
      </c>
      <c r="DB85" s="1961">
        <f>DB92</f>
        <v>41158</v>
      </c>
      <c r="DC85" s="1961">
        <f t="shared" si="355"/>
        <v>41116</v>
      </c>
      <c r="DD85" s="2003">
        <f t="shared" si="355"/>
        <v>40855</v>
      </c>
      <c r="DE85" s="2002">
        <f t="shared" si="355"/>
        <v>40828</v>
      </c>
      <c r="DF85" s="2003">
        <f t="shared" ref="DF85:DM85" si="356">DF92</f>
        <v>40757</v>
      </c>
      <c r="DG85" s="2003">
        <f t="shared" si="356"/>
        <v>40751</v>
      </c>
      <c r="DH85" s="2003">
        <f t="shared" si="356"/>
        <v>40212</v>
      </c>
      <c r="DI85" s="2002">
        <f t="shared" si="356"/>
        <v>40179</v>
      </c>
      <c r="DJ85" s="2731">
        <f t="shared" si="356"/>
        <v>39368</v>
      </c>
      <c r="DK85" s="2003">
        <f t="shared" si="356"/>
        <v>39251.339999999997</v>
      </c>
      <c r="DL85" s="2003">
        <f t="shared" si="356"/>
        <v>39134.989168000007</v>
      </c>
      <c r="DM85" s="2002">
        <f t="shared" si="356"/>
        <v>39194.883868540004</v>
      </c>
      <c r="DN85" s="1964"/>
      <c r="DO85" s="1965"/>
      <c r="DP85" s="2004"/>
      <c r="DQ85" s="2004"/>
      <c r="DR85" s="2004"/>
      <c r="DS85" s="2004"/>
      <c r="DT85" s="2004"/>
      <c r="DU85" s="2004"/>
      <c r="DV85" s="2004"/>
      <c r="DW85" s="2004"/>
      <c r="DX85" s="2004"/>
      <c r="DY85" s="2004"/>
      <c r="DZ85" s="2004"/>
      <c r="EA85" s="2004"/>
      <c r="EB85" s="2004"/>
      <c r="EC85" s="2004"/>
      <c r="ED85" s="2004"/>
      <c r="EE85" s="2004"/>
      <c r="EF85" s="2005">
        <f>AK85</f>
        <v>21767</v>
      </c>
      <c r="EG85" s="2005">
        <f>AO85</f>
        <v>24481</v>
      </c>
      <c r="EH85" s="2005">
        <f>AS85</f>
        <v>26699</v>
      </c>
      <c r="EI85" s="2005">
        <f>AW85</f>
        <v>28513</v>
      </c>
      <c r="EJ85" s="2005">
        <f>BA85</f>
        <v>30874</v>
      </c>
      <c r="EK85" s="2005">
        <f>BE85</f>
        <v>34093</v>
      </c>
      <c r="EL85" s="2005">
        <f>BI85</f>
        <v>37511</v>
      </c>
      <c r="EM85" s="2005">
        <f>EM45+EM59+EM66+EM73+EM80</f>
        <v>40924</v>
      </c>
      <c r="EN85" s="2005">
        <f>EN45+EN59+EN66+EN73+EN80</f>
        <v>42480</v>
      </c>
      <c r="EO85" s="1961">
        <f>EO45+EO59+EO66+EO73+EO80</f>
        <v>43660</v>
      </c>
      <c r="EP85" s="1961">
        <f>EP45+EP59+EP66+EP73+EP80</f>
        <v>43785</v>
      </c>
      <c r="EQ85" s="1961" t="s">
        <v>599</v>
      </c>
      <c r="ER85" s="1961" t="s">
        <v>599</v>
      </c>
      <c r="ES85" s="1961">
        <f>ES44+ES59+ES66+ES73+ES80</f>
        <v>42350</v>
      </c>
      <c r="ET85" s="1961" t="s">
        <v>599</v>
      </c>
      <c r="EU85" s="1961">
        <f>EU45+EU59+EU66+EU73+EU80</f>
        <v>42051</v>
      </c>
      <c r="EV85" s="1961">
        <f>EV44+EV59+EV66+EV73+EV80</f>
        <v>41840</v>
      </c>
      <c r="EW85" s="1961">
        <f>EW44+EW59+EW66+EW73+EW80</f>
        <v>41767</v>
      </c>
      <c r="EX85" s="1961">
        <f>DE85</f>
        <v>40828</v>
      </c>
      <c r="EY85" s="1961">
        <f>DI85</f>
        <v>40179</v>
      </c>
      <c r="EZ85" s="2006">
        <f>DM85</f>
        <v>39194.883868540004</v>
      </c>
      <c r="FA85" s="1961">
        <f t="shared" ref="FA85:FG85" si="357">FA92</f>
        <v>38840.498374510804</v>
      </c>
      <c r="FB85" s="1961">
        <f t="shared" si="357"/>
        <v>38526.468813184969</v>
      </c>
      <c r="FC85" s="1961">
        <f t="shared" si="357"/>
        <v>38325.283295540823</v>
      </c>
      <c r="FD85" s="1961">
        <f t="shared" si="357"/>
        <v>38124.268841368248</v>
      </c>
      <c r="FE85" s="2003">
        <f t="shared" si="357"/>
        <v>37923.44214794958</v>
      </c>
      <c r="FF85" s="2003">
        <f t="shared" si="357"/>
        <v>37722.819561515127</v>
      </c>
      <c r="FG85" s="2003">
        <f t="shared" si="357"/>
        <v>37522.417082594584</v>
      </c>
      <c r="FH85" s="2003">
        <f>FH92</f>
        <v>37322.250371296286</v>
      </c>
      <c r="FI85" s="2007"/>
      <c r="FJ85"/>
      <c r="FK85"/>
      <c r="FL85"/>
      <c r="FM85"/>
      <c r="FN85"/>
      <c r="FO85"/>
      <c r="FP85" s="2008"/>
      <c r="FQ85" s="2004"/>
      <c r="FR85" s="2004"/>
      <c r="FS85" s="2003"/>
      <c r="FT85" s="1364"/>
      <c r="FU85"/>
      <c r="FV85"/>
      <c r="FW85" s="2003"/>
      <c r="FX85" s="2003"/>
      <c r="FY85" s="2003"/>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row>
    <row r="86" spans="1:260" s="4" customFormat="1" x14ac:dyDescent="0.2">
      <c r="B86" s="3"/>
      <c r="C86" s="3"/>
      <c r="D86" s="3"/>
      <c r="E86" s="470"/>
      <c r="F86" s="3"/>
      <c r="G86" s="3"/>
      <c r="H86" s="3"/>
      <c r="I86" s="470"/>
      <c r="J86" s="3"/>
      <c r="K86" s="3"/>
      <c r="L86" s="3"/>
      <c r="M86" s="470"/>
      <c r="N86" s="3"/>
      <c r="O86" s="3"/>
      <c r="P86" s="3"/>
      <c r="Q86" s="470"/>
      <c r="R86" s="3"/>
      <c r="S86" s="3"/>
      <c r="T86" s="3"/>
      <c r="U86" s="470"/>
      <c r="V86" s="3"/>
      <c r="W86" s="3"/>
      <c r="X86" s="3"/>
      <c r="Y86" s="470"/>
      <c r="Z86" s="3"/>
      <c r="AA86" s="3"/>
      <c r="AB86" s="3"/>
      <c r="AC86" s="470"/>
      <c r="AD86" s="3"/>
      <c r="AE86" s="3"/>
      <c r="AF86" s="3"/>
      <c r="AG86" s="470"/>
      <c r="AH86" s="93"/>
      <c r="AI86" s="93"/>
      <c r="AJ86" s="93"/>
      <c r="AK86" s="645"/>
      <c r="AL86" s="93"/>
      <c r="AM86" s="93"/>
      <c r="AN86" s="93"/>
      <c r="AO86" s="645"/>
      <c r="AP86" s="93"/>
      <c r="AQ86" s="93"/>
      <c r="AR86" s="93"/>
      <c r="AS86" s="645"/>
      <c r="AT86" s="93"/>
      <c r="AU86" s="93"/>
      <c r="AV86" s="93"/>
      <c r="AW86" s="645"/>
      <c r="AX86" s="93"/>
      <c r="AY86" s="93"/>
      <c r="AZ86" s="93"/>
      <c r="BA86" s="645"/>
      <c r="BB86" s="93"/>
      <c r="BC86" s="93"/>
      <c r="BD86" s="93"/>
      <c r="BE86" s="484"/>
      <c r="BF86" s="93"/>
      <c r="BG86" s="3"/>
      <c r="BH86" s="3"/>
      <c r="BI86" s="470"/>
      <c r="BJ86" s="7"/>
      <c r="BK86" s="7"/>
      <c r="BL86" s="7"/>
      <c r="BM86" s="484"/>
      <c r="BN86" s="147"/>
      <c r="BO86" s="147"/>
      <c r="BP86" s="147"/>
      <c r="BQ86" s="719"/>
      <c r="BR86" s="147"/>
      <c r="BS86" s="147"/>
      <c r="BT86" s="147"/>
      <c r="BU86" s="719"/>
      <c r="BV86" s="147"/>
      <c r="BW86" s="147"/>
      <c r="BX86" s="147"/>
      <c r="BY86" s="719"/>
      <c r="BZ86" s="147"/>
      <c r="CA86" s="147"/>
      <c r="CB86" s="147"/>
      <c r="CC86" s="719"/>
      <c r="CD86" s="147"/>
      <c r="CE86" s="147"/>
      <c r="CF86" s="147"/>
      <c r="CG86" s="719"/>
      <c r="CH86" s="147"/>
      <c r="CI86" s="147"/>
      <c r="CJ86" s="147"/>
      <c r="CK86" s="719"/>
      <c r="CL86" s="147"/>
      <c r="CM86" s="147"/>
      <c r="CN86" s="147"/>
      <c r="CO86" s="719"/>
      <c r="CP86" s="147"/>
      <c r="CQ86" s="147"/>
      <c r="CR86" s="428"/>
      <c r="CS86" s="719"/>
      <c r="CT86" s="147"/>
      <c r="CU86" s="428"/>
      <c r="CV86" s="428"/>
      <c r="CW86" s="721"/>
      <c r="CX86" s="1966"/>
      <c r="CY86" s="1966"/>
      <c r="CZ86" s="1966"/>
      <c r="DA86" s="1962"/>
      <c r="DB86" s="1966"/>
      <c r="DC86" s="1966"/>
      <c r="DD86" s="1966"/>
      <c r="DE86" s="1962"/>
      <c r="DF86" s="1966"/>
      <c r="DG86" s="1966"/>
      <c r="DH86" s="1966"/>
      <c r="DI86" s="1962"/>
      <c r="DJ86" s="1963"/>
      <c r="DK86" s="1964"/>
      <c r="DL86" s="1964"/>
      <c r="DM86" s="1965"/>
      <c r="DN86" s="1964"/>
      <c r="DO86" s="1965"/>
      <c r="DP86" s="1964"/>
      <c r="DQ86" s="1964"/>
      <c r="DR86" s="1964"/>
      <c r="DS86" s="1964"/>
      <c r="DT86" s="1964"/>
      <c r="DU86" s="1964"/>
      <c r="DV86" s="1964"/>
      <c r="DW86" s="1964"/>
      <c r="DX86" s="1964"/>
      <c r="DY86" s="1964"/>
      <c r="DZ86" s="1964"/>
      <c r="EA86" s="1964"/>
      <c r="EB86" s="1964"/>
      <c r="EC86" s="1964"/>
      <c r="ED86" s="1964"/>
      <c r="EE86" s="1964"/>
      <c r="EF86" s="1984"/>
      <c r="EG86" s="1984"/>
      <c r="EH86" s="1984"/>
      <c r="EI86" s="1984"/>
      <c r="EJ86" s="1966"/>
      <c r="EK86" s="1966"/>
      <c r="EL86" s="1966"/>
      <c r="EM86" s="1966"/>
      <c r="EN86" s="1964"/>
      <c r="EO86" s="1964"/>
      <c r="EP86" s="1964"/>
      <c r="EQ86" s="1964"/>
      <c r="ER86" s="1964"/>
      <c r="ES86" s="1964"/>
      <c r="ET86" s="1964"/>
      <c r="EU86" s="1964"/>
      <c r="EV86" s="1964"/>
      <c r="EW86" s="1964"/>
      <c r="EX86" s="1966"/>
      <c r="EY86" s="1966"/>
      <c r="EZ86" s="1963"/>
      <c r="FA86" s="1964"/>
      <c r="FB86" s="1964"/>
      <c r="FC86" s="1964"/>
      <c r="FD86" s="1964"/>
      <c r="FE86" s="1964"/>
      <c r="FF86" s="1964"/>
      <c r="FG86" s="1964"/>
      <c r="FH86" s="1964"/>
      <c r="FI86" s="1969"/>
      <c r="FJ86"/>
      <c r="FK86"/>
      <c r="FL86"/>
      <c r="FM86"/>
      <c r="FN86"/>
      <c r="FO86"/>
      <c r="FP86" s="1964"/>
      <c r="FQ86" s="1967"/>
      <c r="FR86" s="1967"/>
      <c r="FS86" s="1966"/>
      <c r="FT86" s="428"/>
      <c r="FU86"/>
      <c r="FV86"/>
      <c r="FW86" s="1966"/>
      <c r="FX86" s="1966"/>
      <c r="FY86" s="196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row>
    <row r="87" spans="1:260" s="4" customFormat="1" x14ac:dyDescent="0.2">
      <c r="A87" s="392" t="s">
        <v>118</v>
      </c>
      <c r="B87" s="848">
        <v>116</v>
      </c>
      <c r="C87" s="848">
        <v>124</v>
      </c>
      <c r="D87" s="848">
        <v>149</v>
      </c>
      <c r="E87" s="849">
        <v>151</v>
      </c>
      <c r="F87" s="848">
        <v>153</v>
      </c>
      <c r="G87" s="848">
        <v>168</v>
      </c>
      <c r="H87" s="848">
        <v>202</v>
      </c>
      <c r="I87" s="849">
        <v>204</v>
      </c>
      <c r="J87" s="848">
        <v>213</v>
      </c>
      <c r="K87" s="848">
        <v>224</v>
      </c>
      <c r="L87" s="848">
        <v>251</v>
      </c>
      <c r="M87" s="849">
        <v>251</v>
      </c>
      <c r="N87" s="848">
        <f t="shared" ref="N87:AO87" si="358">M87+N90</f>
        <v>259</v>
      </c>
      <c r="O87" s="848">
        <f t="shared" si="358"/>
        <v>262</v>
      </c>
      <c r="P87" s="848">
        <f t="shared" si="358"/>
        <v>272</v>
      </c>
      <c r="Q87" s="849">
        <f t="shared" si="358"/>
        <v>272</v>
      </c>
      <c r="R87" s="848">
        <f t="shared" si="358"/>
        <v>274</v>
      </c>
      <c r="S87" s="848">
        <f t="shared" si="358"/>
        <v>280</v>
      </c>
      <c r="T87" s="848">
        <f t="shared" si="358"/>
        <v>285</v>
      </c>
      <c r="U87" s="849">
        <f t="shared" si="358"/>
        <v>285</v>
      </c>
      <c r="V87" s="848">
        <f t="shared" si="358"/>
        <v>290</v>
      </c>
      <c r="W87" s="848">
        <f t="shared" si="358"/>
        <v>289</v>
      </c>
      <c r="X87" s="848">
        <f t="shared" si="358"/>
        <v>312</v>
      </c>
      <c r="Y87" s="849">
        <f t="shared" si="358"/>
        <v>311</v>
      </c>
      <c r="Z87" s="848">
        <f t="shared" si="358"/>
        <v>313</v>
      </c>
      <c r="AA87" s="848">
        <f t="shared" si="358"/>
        <v>332</v>
      </c>
      <c r="AB87" s="848">
        <f t="shared" si="358"/>
        <v>354</v>
      </c>
      <c r="AC87" s="849">
        <f t="shared" si="358"/>
        <v>357</v>
      </c>
      <c r="AD87" s="848">
        <f t="shared" si="358"/>
        <v>361</v>
      </c>
      <c r="AE87" s="848">
        <f t="shared" si="358"/>
        <v>373</v>
      </c>
      <c r="AF87" s="848">
        <f t="shared" si="358"/>
        <v>413</v>
      </c>
      <c r="AG87" s="849">
        <f t="shared" si="358"/>
        <v>419</v>
      </c>
      <c r="AH87" s="848">
        <f t="shared" si="358"/>
        <v>430</v>
      </c>
      <c r="AI87" s="848">
        <f t="shared" si="358"/>
        <v>439</v>
      </c>
      <c r="AJ87" s="848">
        <f t="shared" si="358"/>
        <v>478</v>
      </c>
      <c r="AK87" s="849">
        <f t="shared" si="358"/>
        <v>481</v>
      </c>
      <c r="AL87" s="848">
        <f t="shared" si="358"/>
        <v>496</v>
      </c>
      <c r="AM87" s="848">
        <f t="shared" si="358"/>
        <v>518</v>
      </c>
      <c r="AN87" s="848">
        <f t="shared" si="358"/>
        <v>552</v>
      </c>
      <c r="AO87" s="849">
        <f t="shared" si="358"/>
        <v>554</v>
      </c>
      <c r="AP87" s="848">
        <f t="shared" ref="AP87:BC87" si="359">AP48+AP63+AP70+AP77</f>
        <v>571</v>
      </c>
      <c r="AQ87" s="848">
        <f t="shared" si="359"/>
        <v>586</v>
      </c>
      <c r="AR87" s="848">
        <f t="shared" si="359"/>
        <v>622</v>
      </c>
      <c r="AS87" s="849">
        <f t="shared" si="359"/>
        <v>631</v>
      </c>
      <c r="AT87" s="848">
        <f t="shared" si="359"/>
        <v>642</v>
      </c>
      <c r="AU87" s="848">
        <f t="shared" si="359"/>
        <v>651</v>
      </c>
      <c r="AV87" s="848">
        <f t="shared" si="359"/>
        <v>685</v>
      </c>
      <c r="AW87" s="849">
        <f t="shared" si="359"/>
        <v>694</v>
      </c>
      <c r="AX87" s="848">
        <f t="shared" si="359"/>
        <v>705</v>
      </c>
      <c r="AY87" s="848">
        <f t="shared" si="359"/>
        <v>724</v>
      </c>
      <c r="AZ87" s="848">
        <f t="shared" si="359"/>
        <v>766</v>
      </c>
      <c r="BA87" s="849">
        <f t="shared" si="359"/>
        <v>774</v>
      </c>
      <c r="BB87" s="848">
        <f t="shared" si="359"/>
        <v>800</v>
      </c>
      <c r="BC87" s="848">
        <f t="shared" si="359"/>
        <v>817</v>
      </c>
      <c r="BD87" s="848">
        <f t="shared" ref="BD87:BI87" si="360">BD48+BD63+BD70+BD77+BD56</f>
        <v>863</v>
      </c>
      <c r="BE87" s="849">
        <f t="shared" si="360"/>
        <v>873</v>
      </c>
      <c r="BF87" s="848">
        <f t="shared" si="360"/>
        <v>897</v>
      </c>
      <c r="BG87" s="848">
        <f t="shared" si="360"/>
        <v>912</v>
      </c>
      <c r="BH87" s="848">
        <f t="shared" si="360"/>
        <v>961</v>
      </c>
      <c r="BI87" s="849">
        <f t="shared" si="360"/>
        <v>971</v>
      </c>
      <c r="BJ87" s="848">
        <f t="shared" ref="BJ87:BY87" si="361">BJ82</f>
        <v>1003</v>
      </c>
      <c r="BK87" s="848">
        <f t="shared" si="361"/>
        <v>1036</v>
      </c>
      <c r="BL87" s="848">
        <f t="shared" si="361"/>
        <v>1098</v>
      </c>
      <c r="BM87" s="849">
        <f t="shared" si="361"/>
        <v>1107</v>
      </c>
      <c r="BN87" s="848">
        <f t="shared" si="361"/>
        <v>1117</v>
      </c>
      <c r="BO87" s="848">
        <f t="shared" si="361"/>
        <v>1139</v>
      </c>
      <c r="BP87" s="848">
        <f t="shared" si="361"/>
        <v>1184</v>
      </c>
      <c r="BQ87" s="849">
        <f t="shared" si="361"/>
        <v>1190</v>
      </c>
      <c r="BR87" s="848">
        <f t="shared" si="361"/>
        <v>1207</v>
      </c>
      <c r="BS87" s="848">
        <f t="shared" si="361"/>
        <v>1246</v>
      </c>
      <c r="BT87" s="848">
        <f t="shared" si="361"/>
        <v>1297</v>
      </c>
      <c r="BU87" s="849">
        <f t="shared" si="361"/>
        <v>1317</v>
      </c>
      <c r="BV87" s="848">
        <f t="shared" si="361"/>
        <v>1340</v>
      </c>
      <c r="BW87" s="850">
        <f t="shared" si="361"/>
        <v>1367</v>
      </c>
      <c r="BX87" s="850">
        <f t="shared" si="361"/>
        <v>1425</v>
      </c>
      <c r="BY87" s="849">
        <f t="shared" si="361"/>
        <v>1447</v>
      </c>
      <c r="BZ87" s="848">
        <f t="shared" ref="BZ87:CG87" si="362">BR87</f>
        <v>1207</v>
      </c>
      <c r="CA87" s="848">
        <f t="shared" si="362"/>
        <v>1246</v>
      </c>
      <c r="CB87" s="848">
        <f t="shared" si="362"/>
        <v>1297</v>
      </c>
      <c r="CC87" s="849">
        <f t="shared" si="362"/>
        <v>1317</v>
      </c>
      <c r="CD87" s="848">
        <f t="shared" si="362"/>
        <v>1340</v>
      </c>
      <c r="CE87" s="848">
        <f t="shared" si="362"/>
        <v>1367</v>
      </c>
      <c r="CF87" s="848">
        <f t="shared" si="362"/>
        <v>1425</v>
      </c>
      <c r="CG87" s="849">
        <f t="shared" si="362"/>
        <v>1447</v>
      </c>
      <c r="CH87" s="848">
        <f>CH82</f>
        <v>1468</v>
      </c>
      <c r="CI87" s="848">
        <f>CI82</f>
        <v>1460</v>
      </c>
      <c r="CJ87" s="848">
        <f>CJ82</f>
        <v>1486</v>
      </c>
      <c r="CK87" s="849">
        <f>CK82</f>
        <v>1503</v>
      </c>
      <c r="CL87" s="848">
        <f>CH87</f>
        <v>1468</v>
      </c>
      <c r="CM87" s="848">
        <f>CI87</f>
        <v>1460</v>
      </c>
      <c r="CN87" s="848">
        <f>CJ87</f>
        <v>1486</v>
      </c>
      <c r="CO87" s="849">
        <f>CK87</f>
        <v>1503</v>
      </c>
      <c r="CP87" s="848">
        <f>CP82</f>
        <v>1512</v>
      </c>
      <c r="CQ87" s="848">
        <f>CQ82</f>
        <v>1509</v>
      </c>
      <c r="CR87" s="848">
        <f>CR82</f>
        <v>1504</v>
      </c>
      <c r="CS87" s="849">
        <f>CS82</f>
        <v>1495</v>
      </c>
      <c r="CT87" s="848">
        <f t="shared" ref="CT87:CY87" si="363">+CT82</f>
        <v>1493</v>
      </c>
      <c r="CU87" s="848">
        <f t="shared" si="363"/>
        <v>1477</v>
      </c>
      <c r="CV87" s="848">
        <f t="shared" si="363"/>
        <v>1473</v>
      </c>
      <c r="CW87" s="849">
        <f>+CW82</f>
        <v>1448</v>
      </c>
      <c r="CX87" s="1974">
        <f>+CX82</f>
        <v>1442</v>
      </c>
      <c r="CY87" s="1974">
        <f t="shared" si="363"/>
        <v>1433</v>
      </c>
      <c r="CZ87" s="1974">
        <f t="shared" ref="CZ87:DE87" si="364">+CZ82</f>
        <v>1431</v>
      </c>
      <c r="DA87" s="1976">
        <f t="shared" si="364"/>
        <v>1415</v>
      </c>
      <c r="DB87" s="1974">
        <f>+DB82</f>
        <v>1402</v>
      </c>
      <c r="DC87" s="1974">
        <f t="shared" si="364"/>
        <v>1397</v>
      </c>
      <c r="DD87" s="1975">
        <f t="shared" si="364"/>
        <v>1385</v>
      </c>
      <c r="DE87" s="1976">
        <f t="shared" si="364"/>
        <v>1363</v>
      </c>
      <c r="DF87" s="1975">
        <f t="shared" ref="DF87:DM87" si="365">+DF82</f>
        <v>1350</v>
      </c>
      <c r="DG87" s="1975">
        <f t="shared" si="365"/>
        <v>1344</v>
      </c>
      <c r="DH87" s="1975">
        <f t="shared" si="365"/>
        <v>1323</v>
      </c>
      <c r="DI87" s="1976">
        <f t="shared" si="365"/>
        <v>1293</v>
      </c>
      <c r="DJ87" s="2723">
        <f>+DJ82</f>
        <v>1036</v>
      </c>
      <c r="DK87" s="1975">
        <f t="shared" si="365"/>
        <v>1035</v>
      </c>
      <c r="DL87" s="1975">
        <f t="shared" si="365"/>
        <v>1034</v>
      </c>
      <c r="DM87" s="1976">
        <f t="shared" si="365"/>
        <v>1033</v>
      </c>
      <c r="DN87" s="1972"/>
      <c r="DO87" s="1962"/>
      <c r="DP87" s="1964"/>
      <c r="DQ87" s="1964"/>
      <c r="DR87" s="2009">
        <v>40</v>
      </c>
      <c r="DS87" s="2009">
        <v>41</v>
      </c>
      <c r="DT87" s="2009">
        <v>49</v>
      </c>
      <c r="DU87" s="2009">
        <v>56</v>
      </c>
      <c r="DV87" s="2009">
        <v>73</v>
      </c>
      <c r="DW87" s="2009">
        <v>111</v>
      </c>
      <c r="DX87" s="1974">
        <f>E87</f>
        <v>151</v>
      </c>
      <c r="DY87" s="1974">
        <f>I87</f>
        <v>204</v>
      </c>
      <c r="DZ87" s="1974">
        <f>M87</f>
        <v>251</v>
      </c>
      <c r="EA87" s="1974">
        <f>Q87</f>
        <v>272</v>
      </c>
      <c r="EB87" s="1974">
        <f>U87</f>
        <v>285</v>
      </c>
      <c r="EC87" s="1974">
        <f>Y87</f>
        <v>311</v>
      </c>
      <c r="ED87" s="1974">
        <f>AC87</f>
        <v>357</v>
      </c>
      <c r="EE87" s="1974">
        <f>AG87</f>
        <v>419</v>
      </c>
      <c r="EF87" s="1974">
        <f>+AK87</f>
        <v>481</v>
      </c>
      <c r="EG87" s="1974">
        <f>+AO87</f>
        <v>554</v>
      </c>
      <c r="EH87" s="1974">
        <f>EH48+EH63+EH70+EH77</f>
        <v>631</v>
      </c>
      <c r="EI87" s="1974">
        <f>EI48+EI63+EI70+EI77</f>
        <v>694</v>
      </c>
      <c r="EJ87" s="1974">
        <f>EJ48+EJ63+EJ70+EJ77</f>
        <v>774</v>
      </c>
      <c r="EK87" s="1974">
        <f>EK48+EK63+EK70+EK77</f>
        <v>868</v>
      </c>
      <c r="EL87" s="1974">
        <f>BI87</f>
        <v>971</v>
      </c>
      <c r="EM87" s="1974">
        <f>BM87</f>
        <v>1107</v>
      </c>
      <c r="EN87" s="1974">
        <f>BQ87</f>
        <v>1190</v>
      </c>
      <c r="EO87" s="1974">
        <f>BU87</f>
        <v>1317</v>
      </c>
      <c r="EP87" s="1974">
        <f>EP82</f>
        <v>1447</v>
      </c>
      <c r="EQ87" s="1974">
        <f>CC87</f>
        <v>1317</v>
      </c>
      <c r="ER87" s="1974">
        <f>CG87</f>
        <v>1447</v>
      </c>
      <c r="ES87" s="1974">
        <f>ES82</f>
        <v>1503</v>
      </c>
      <c r="ET87" s="1974">
        <f>ES82</f>
        <v>1503</v>
      </c>
      <c r="EU87" s="1974">
        <f>EU82</f>
        <v>1495</v>
      </c>
      <c r="EV87" s="1974">
        <f>+EV82</f>
        <v>1448</v>
      </c>
      <c r="EW87" s="1974">
        <f>+EW82</f>
        <v>1415</v>
      </c>
      <c r="EX87" s="1974">
        <f>DE87</f>
        <v>1363</v>
      </c>
      <c r="EY87" s="1974">
        <f>DI87</f>
        <v>1293</v>
      </c>
      <c r="EZ87" s="2001">
        <f>DM87</f>
        <v>1033</v>
      </c>
      <c r="FA87" s="1960">
        <f t="shared" ref="FA87:FH87" si="366">EZ87+FA90</f>
        <v>1034</v>
      </c>
      <c r="FB87" s="1960">
        <f t="shared" si="366"/>
        <v>1036</v>
      </c>
      <c r="FC87" s="1960">
        <f t="shared" si="366"/>
        <v>1041</v>
      </c>
      <c r="FD87" s="1960">
        <f t="shared" si="366"/>
        <v>1046</v>
      </c>
      <c r="FE87" s="1964">
        <f t="shared" si="366"/>
        <v>1051</v>
      </c>
      <c r="FF87" s="1967">
        <f t="shared" si="366"/>
        <v>1056</v>
      </c>
      <c r="FG87" s="1964">
        <f t="shared" si="366"/>
        <v>1061</v>
      </c>
      <c r="FH87" s="1967">
        <f t="shared" si="366"/>
        <v>1066</v>
      </c>
      <c r="FI87" s="1969"/>
      <c r="FJ87"/>
      <c r="FK87"/>
      <c r="FL87"/>
      <c r="FM87"/>
      <c r="FN87"/>
      <c r="FO87"/>
      <c r="FP87" s="1964"/>
      <c r="FQ87" s="1967"/>
      <c r="FR87" s="1967"/>
      <c r="FS87" s="1975"/>
      <c r="FT87" s="782"/>
      <c r="FU87"/>
      <c r="FV87"/>
      <c r="FW87" s="1975"/>
      <c r="FX87" s="1975"/>
      <c r="FY87" s="1975"/>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row>
    <row r="88" spans="1:260" s="4" customFormat="1" x14ac:dyDescent="0.2">
      <c r="A88" s="287" t="s">
        <v>44</v>
      </c>
      <c r="B88" s="383" t="s">
        <v>483</v>
      </c>
      <c r="C88" s="383" t="s">
        <v>483</v>
      </c>
      <c r="D88" s="383" t="s">
        <v>483</v>
      </c>
      <c r="E88" s="549" t="s">
        <v>483</v>
      </c>
      <c r="F88" s="15">
        <f t="shared" ref="F88:AK88" si="367">F87/B87-1</f>
        <v>0.31896551724137923</v>
      </c>
      <c r="G88" s="15">
        <f t="shared" si="367"/>
        <v>0.35483870967741926</v>
      </c>
      <c r="H88" s="15">
        <f t="shared" si="367"/>
        <v>0.35570469798657722</v>
      </c>
      <c r="I88" s="518">
        <f t="shared" si="367"/>
        <v>0.35099337748344372</v>
      </c>
      <c r="J88" s="15">
        <f t="shared" si="367"/>
        <v>0.39215686274509798</v>
      </c>
      <c r="K88" s="15">
        <f t="shared" si="367"/>
        <v>0.33333333333333326</v>
      </c>
      <c r="L88" s="15">
        <f t="shared" si="367"/>
        <v>0.24257425742574257</v>
      </c>
      <c r="M88" s="518">
        <f t="shared" si="367"/>
        <v>0.23039215686274517</v>
      </c>
      <c r="N88" s="15">
        <f t="shared" si="367"/>
        <v>0.215962441314554</v>
      </c>
      <c r="O88" s="15">
        <f t="shared" si="367"/>
        <v>0.16964285714285721</v>
      </c>
      <c r="P88" s="15">
        <f t="shared" si="367"/>
        <v>8.3665338645418252E-2</v>
      </c>
      <c r="Q88" s="518">
        <f t="shared" si="367"/>
        <v>8.3665338645418252E-2</v>
      </c>
      <c r="R88" s="15">
        <f t="shared" si="367"/>
        <v>5.7915057915058021E-2</v>
      </c>
      <c r="S88" s="15">
        <f t="shared" si="367"/>
        <v>6.8702290076335881E-2</v>
      </c>
      <c r="T88" s="15">
        <f t="shared" si="367"/>
        <v>4.7794117647058876E-2</v>
      </c>
      <c r="U88" s="518">
        <f t="shared" si="367"/>
        <v>4.7794117647058876E-2</v>
      </c>
      <c r="V88" s="15">
        <f t="shared" si="367"/>
        <v>5.8394160583941535E-2</v>
      </c>
      <c r="W88" s="15">
        <f t="shared" si="367"/>
        <v>3.2142857142857251E-2</v>
      </c>
      <c r="X88" s="15">
        <f t="shared" si="367"/>
        <v>9.473684210526323E-2</v>
      </c>
      <c r="Y88" s="518">
        <f t="shared" si="367"/>
        <v>9.1228070175438658E-2</v>
      </c>
      <c r="Z88" s="15">
        <f t="shared" si="367"/>
        <v>7.9310344827586254E-2</v>
      </c>
      <c r="AA88" s="15">
        <f t="shared" si="367"/>
        <v>0.1487889273356402</v>
      </c>
      <c r="AB88" s="15">
        <f t="shared" si="367"/>
        <v>0.13461538461538458</v>
      </c>
      <c r="AC88" s="518">
        <f t="shared" si="367"/>
        <v>0.14790996784565924</v>
      </c>
      <c r="AD88" s="15">
        <f t="shared" si="367"/>
        <v>0.15335463258785942</v>
      </c>
      <c r="AE88" s="15">
        <f t="shared" si="367"/>
        <v>0.12349397590361444</v>
      </c>
      <c r="AF88" s="15">
        <f t="shared" si="367"/>
        <v>0.16666666666666674</v>
      </c>
      <c r="AG88" s="518">
        <f t="shared" si="367"/>
        <v>0.1736694677871149</v>
      </c>
      <c r="AH88" s="15">
        <f t="shared" si="367"/>
        <v>0.19113573407202211</v>
      </c>
      <c r="AI88" s="15">
        <f t="shared" si="367"/>
        <v>0.17694369973190338</v>
      </c>
      <c r="AJ88" s="15">
        <f t="shared" si="367"/>
        <v>0.15738498789346256</v>
      </c>
      <c r="AK88" s="518">
        <f t="shared" si="367"/>
        <v>0.14797136038186154</v>
      </c>
      <c r="AL88" s="15">
        <f t="shared" ref="AL88:BQ88" si="368">AL87/AH87-1</f>
        <v>0.15348837209302335</v>
      </c>
      <c r="AM88" s="15">
        <f t="shared" si="368"/>
        <v>0.17995444191343957</v>
      </c>
      <c r="AN88" s="15">
        <f t="shared" si="368"/>
        <v>0.15481171548117145</v>
      </c>
      <c r="AO88" s="518">
        <f t="shared" si="368"/>
        <v>0.15176715176715172</v>
      </c>
      <c r="AP88" s="15">
        <f t="shared" si="368"/>
        <v>0.15120967741935476</v>
      </c>
      <c r="AQ88" s="15">
        <f t="shared" si="368"/>
        <v>0.13127413127413123</v>
      </c>
      <c r="AR88" s="15">
        <f t="shared" si="368"/>
        <v>0.12681159420289845</v>
      </c>
      <c r="AS88" s="518">
        <f t="shared" si="368"/>
        <v>0.13898916967509023</v>
      </c>
      <c r="AT88" s="15">
        <f t="shared" si="368"/>
        <v>0.12434325744308228</v>
      </c>
      <c r="AU88" s="15">
        <f t="shared" si="368"/>
        <v>0.11092150170648463</v>
      </c>
      <c r="AV88" s="15">
        <f t="shared" si="368"/>
        <v>0.1012861736334405</v>
      </c>
      <c r="AW88" s="518">
        <f t="shared" si="368"/>
        <v>9.9841521394611776E-2</v>
      </c>
      <c r="AX88" s="15">
        <f t="shared" si="368"/>
        <v>9.8130841121495394E-2</v>
      </c>
      <c r="AY88" s="15">
        <f t="shared" si="368"/>
        <v>0.11213517665130568</v>
      </c>
      <c r="AZ88" s="15">
        <f t="shared" si="368"/>
        <v>0.11824817518248176</v>
      </c>
      <c r="BA88" s="518">
        <f t="shared" si="368"/>
        <v>0.11527377521613835</v>
      </c>
      <c r="BB88" s="15">
        <f t="shared" si="368"/>
        <v>0.13475177304964547</v>
      </c>
      <c r="BC88" s="15">
        <f t="shared" si="368"/>
        <v>0.12845303867403324</v>
      </c>
      <c r="BD88" s="15">
        <f t="shared" si="368"/>
        <v>0.12663185378590081</v>
      </c>
      <c r="BE88" s="518">
        <f t="shared" si="368"/>
        <v>0.12790697674418605</v>
      </c>
      <c r="BF88" s="15">
        <f t="shared" si="368"/>
        <v>0.12125000000000008</v>
      </c>
      <c r="BG88" s="15">
        <f t="shared" si="368"/>
        <v>0.11627906976744184</v>
      </c>
      <c r="BH88" s="15">
        <f t="shared" si="368"/>
        <v>0.11355735805330247</v>
      </c>
      <c r="BI88" s="518">
        <f t="shared" si="368"/>
        <v>0.11225658648339065</v>
      </c>
      <c r="BJ88" s="15">
        <f t="shared" si="368"/>
        <v>0.11817168338907469</v>
      </c>
      <c r="BK88" s="15">
        <f t="shared" si="368"/>
        <v>0.13596491228070184</v>
      </c>
      <c r="BL88" s="15">
        <f t="shared" si="368"/>
        <v>0.14255983350676371</v>
      </c>
      <c r="BM88" s="518">
        <f t="shared" si="368"/>
        <v>0.14006179196704438</v>
      </c>
      <c r="BN88" s="15">
        <f t="shared" si="368"/>
        <v>0.11365902293120644</v>
      </c>
      <c r="BO88" s="15">
        <f t="shared" si="368"/>
        <v>9.94208494208495E-2</v>
      </c>
      <c r="BP88" s="15">
        <f t="shared" si="368"/>
        <v>7.8324225865209485E-2</v>
      </c>
      <c r="BQ88" s="518">
        <f t="shared" si="368"/>
        <v>7.4977416440831002E-2</v>
      </c>
      <c r="BR88" s="15">
        <f t="shared" ref="BR88:CK88" si="369">BR87/BN87-1</f>
        <v>8.0572963294538891E-2</v>
      </c>
      <c r="BS88" s="15">
        <f t="shared" si="369"/>
        <v>9.3942054433713729E-2</v>
      </c>
      <c r="BT88" s="15">
        <f t="shared" si="369"/>
        <v>9.5439189189189255E-2</v>
      </c>
      <c r="BU88" s="518">
        <f t="shared" si="369"/>
        <v>0.10672268907563032</v>
      </c>
      <c r="BV88" s="15">
        <f t="shared" si="369"/>
        <v>0.11019055509527753</v>
      </c>
      <c r="BW88" s="15">
        <f t="shared" si="369"/>
        <v>9.71107544141252E-2</v>
      </c>
      <c r="BX88" s="15">
        <f t="shared" si="369"/>
        <v>9.8689282960678471E-2</v>
      </c>
      <c r="BY88" s="518">
        <f t="shared" si="369"/>
        <v>9.870918754745639E-2</v>
      </c>
      <c r="BZ88" s="15">
        <f t="shared" si="369"/>
        <v>-9.9253731343283635E-2</v>
      </c>
      <c r="CA88" s="15">
        <f t="shared" si="369"/>
        <v>-8.851499634235549E-2</v>
      </c>
      <c r="CB88" s="15">
        <f t="shared" si="369"/>
        <v>-8.9824561403508807E-2</v>
      </c>
      <c r="CC88" s="518">
        <f t="shared" si="369"/>
        <v>-8.9841050449205206E-2</v>
      </c>
      <c r="CD88" s="15">
        <f t="shared" si="369"/>
        <v>0.11019055509527753</v>
      </c>
      <c r="CE88" s="15">
        <f t="shared" si="369"/>
        <v>9.71107544141252E-2</v>
      </c>
      <c r="CF88" s="15">
        <f t="shared" si="369"/>
        <v>9.8689282960678471E-2</v>
      </c>
      <c r="CG88" s="518">
        <f t="shared" si="369"/>
        <v>9.870918754745639E-2</v>
      </c>
      <c r="CH88" s="15">
        <f t="shared" si="369"/>
        <v>9.5522388059701591E-2</v>
      </c>
      <c r="CI88" s="15">
        <f t="shared" si="369"/>
        <v>6.8032187271397149E-2</v>
      </c>
      <c r="CJ88" s="15">
        <f t="shared" si="369"/>
        <v>4.2807017543859738E-2</v>
      </c>
      <c r="CK88" s="518">
        <f t="shared" si="369"/>
        <v>3.870076019350388E-2</v>
      </c>
      <c r="CL88" s="77">
        <f>CL87/CD87-1</f>
        <v>9.5522388059701591E-2</v>
      </c>
      <c r="CM88" s="77">
        <f>CM87/CE87-1</f>
        <v>6.8032187271397149E-2</v>
      </c>
      <c r="CN88" s="77">
        <f>CN87/CF87-1</f>
        <v>4.2807017543859738E-2</v>
      </c>
      <c r="CO88" s="487">
        <f>CO87/CG87-1</f>
        <v>3.870076019350388E-2</v>
      </c>
      <c r="CP88" s="77">
        <f>CP87/CH87-1</f>
        <v>2.997275204359684E-2</v>
      </c>
      <c r="CQ88" s="77">
        <f>CQ87/CM87-1</f>
        <v>3.3561643835616328E-2</v>
      </c>
      <c r="CR88" s="77">
        <f>CR87/CN87-1</f>
        <v>1.211305518169592E-2</v>
      </c>
      <c r="CS88" s="487">
        <f>CS87/CO87-1</f>
        <v>-5.322687957418526E-3</v>
      </c>
      <c r="CT88" s="77">
        <f t="shared" ref="CT88:DB88" si="370">+CT87/CP87-1</f>
        <v>-1.2566137566137559E-2</v>
      </c>
      <c r="CU88" s="77">
        <f t="shared" si="370"/>
        <v>-2.1206096752816483E-2</v>
      </c>
      <c r="CV88" s="77">
        <f t="shared" si="370"/>
        <v>-2.0611702127659615E-2</v>
      </c>
      <c r="CW88" s="487">
        <f t="shared" si="370"/>
        <v>-3.1438127090301027E-2</v>
      </c>
      <c r="CX88" s="77">
        <f t="shared" si="370"/>
        <v>-3.4159410582719318E-2</v>
      </c>
      <c r="CY88" s="77">
        <f t="shared" si="370"/>
        <v>-2.9790115098171976E-2</v>
      </c>
      <c r="CZ88" s="77">
        <f t="shared" si="370"/>
        <v>-2.8513238289205711E-2</v>
      </c>
      <c r="DA88" s="487">
        <f t="shared" si="370"/>
        <v>-2.2790055248618768E-2</v>
      </c>
      <c r="DB88" s="77">
        <f t="shared" si="370"/>
        <v>-2.7739251040221902E-2</v>
      </c>
      <c r="DC88" s="77">
        <f t="shared" ref="DC88:DM88" si="371">+DC87/CY87-1</f>
        <v>-2.512212142358683E-2</v>
      </c>
      <c r="DD88" s="70">
        <f t="shared" si="371"/>
        <v>-3.2145352900069923E-2</v>
      </c>
      <c r="DE88" s="487">
        <f t="shared" si="371"/>
        <v>-3.6749116607773802E-2</v>
      </c>
      <c r="DF88" s="70">
        <f t="shared" si="371"/>
        <v>-3.708987161198285E-2</v>
      </c>
      <c r="DG88" s="70">
        <f t="shared" si="371"/>
        <v>-3.7938439513242717E-2</v>
      </c>
      <c r="DH88" s="70">
        <f t="shared" si="371"/>
        <v>-4.4765342960288779E-2</v>
      </c>
      <c r="DI88" s="487">
        <f t="shared" si="371"/>
        <v>-5.1357300073367584E-2</v>
      </c>
      <c r="DJ88" s="1673">
        <f t="shared" si="371"/>
        <v>-0.23259259259259257</v>
      </c>
      <c r="DK88" s="70">
        <f t="shared" si="371"/>
        <v>-0.2299107142857143</v>
      </c>
      <c r="DL88" s="70">
        <f t="shared" si="371"/>
        <v>-0.21844293272864701</v>
      </c>
      <c r="DM88" s="487">
        <f t="shared" si="371"/>
        <v>-0.20108275328692959</v>
      </c>
      <c r="DN88" s="70"/>
      <c r="DO88" s="487"/>
      <c r="DP88" s="3"/>
      <c r="DQ88" s="3"/>
      <c r="DR88" s="3"/>
      <c r="DS88" s="161">
        <f t="shared" ref="DS88:EP88" si="372">DS87/DR87-1</f>
        <v>2.4999999999999911E-2</v>
      </c>
      <c r="DT88" s="161">
        <f t="shared" si="372"/>
        <v>0.19512195121951215</v>
      </c>
      <c r="DU88" s="161">
        <f t="shared" si="372"/>
        <v>0.14285714285714279</v>
      </c>
      <c r="DV88" s="161">
        <f t="shared" si="372"/>
        <v>0.3035714285714286</v>
      </c>
      <c r="DW88" s="161">
        <f t="shared" si="372"/>
        <v>0.52054794520547953</v>
      </c>
      <c r="DX88" s="161">
        <f t="shared" si="372"/>
        <v>0.36036036036036045</v>
      </c>
      <c r="DY88" s="15">
        <f t="shared" si="372"/>
        <v>0.35099337748344372</v>
      </c>
      <c r="DZ88" s="15">
        <f t="shared" si="372"/>
        <v>0.23039215686274517</v>
      </c>
      <c r="EA88" s="15">
        <f t="shared" si="372"/>
        <v>8.3665338645418252E-2</v>
      </c>
      <c r="EB88" s="15">
        <f t="shared" si="372"/>
        <v>4.7794117647058876E-2</v>
      </c>
      <c r="EC88" s="15">
        <f t="shared" si="372"/>
        <v>9.1228070175438658E-2</v>
      </c>
      <c r="ED88" s="15">
        <f t="shared" si="372"/>
        <v>0.14790996784565924</v>
      </c>
      <c r="EE88" s="15">
        <f t="shared" si="372"/>
        <v>0.1736694677871149</v>
      </c>
      <c r="EF88" s="15">
        <f t="shared" si="372"/>
        <v>0.14797136038186154</v>
      </c>
      <c r="EG88" s="15">
        <f t="shared" si="372"/>
        <v>0.15176715176715172</v>
      </c>
      <c r="EH88" s="15">
        <f t="shared" si="372"/>
        <v>0.13898916967509023</v>
      </c>
      <c r="EI88" s="15">
        <f t="shared" si="372"/>
        <v>9.9841521394611776E-2</v>
      </c>
      <c r="EJ88" s="15">
        <f t="shared" si="372"/>
        <v>0.11527377521613835</v>
      </c>
      <c r="EK88" s="15">
        <f t="shared" si="372"/>
        <v>0.12144702842377253</v>
      </c>
      <c r="EL88" s="15">
        <f t="shared" si="372"/>
        <v>0.11866359447004604</v>
      </c>
      <c r="EM88" s="15">
        <f t="shared" si="372"/>
        <v>0.14006179196704438</v>
      </c>
      <c r="EN88" s="15">
        <f t="shared" si="372"/>
        <v>7.4977416440831002E-2</v>
      </c>
      <c r="EO88" s="15">
        <f t="shared" si="372"/>
        <v>0.10672268907563032</v>
      </c>
      <c r="EP88" s="15">
        <f t="shared" si="372"/>
        <v>9.870918754745639E-2</v>
      </c>
      <c r="EQ88" s="15">
        <f>EQ87/EN87-1</f>
        <v>0.10672268907563032</v>
      </c>
      <c r="ER88" s="15">
        <f>ER87/EQ87-1</f>
        <v>9.870918754745639E-2</v>
      </c>
      <c r="ES88" s="15">
        <f>ES87/ER87-1</f>
        <v>3.870076019350388E-2</v>
      </c>
      <c r="ET88" s="77">
        <f>ET87/ER87-1</f>
        <v>3.870076019350388E-2</v>
      </c>
      <c r="EU88" s="15">
        <f>EU87/ES87-1</f>
        <v>-5.322687957418526E-3</v>
      </c>
      <c r="EV88" s="15">
        <f>+EV87/EU87-1</f>
        <v>-3.1438127090301027E-2</v>
      </c>
      <c r="EW88" s="15">
        <f>+EW87/EV87-1</f>
        <v>-2.2790055248618768E-2</v>
      </c>
      <c r="EX88" s="77">
        <f>+EX87/EW87-1</f>
        <v>-3.6749116607773802E-2</v>
      </c>
      <c r="EY88" s="77">
        <f>+EY87/EX87-1</f>
        <v>-5.1357300073367584E-2</v>
      </c>
      <c r="EZ88" s="1680">
        <f>+EZ87/EY87-1</f>
        <v>-0.20108275328692959</v>
      </c>
      <c r="FA88" s="15">
        <f t="shared" ref="FA88:FH88" si="373">FA87/EZ87-1</f>
        <v>9.6805421103574041E-4</v>
      </c>
      <c r="FB88" s="15">
        <f t="shared" si="373"/>
        <v>1.9342359767891004E-3</v>
      </c>
      <c r="FC88" s="15">
        <f t="shared" si="373"/>
        <v>4.8262548262547611E-3</v>
      </c>
      <c r="FD88" s="15">
        <f t="shared" si="373"/>
        <v>4.8030739673390332E-3</v>
      </c>
      <c r="FE88" s="161">
        <f t="shared" si="373"/>
        <v>4.7801147227533036E-3</v>
      </c>
      <c r="FF88" s="161">
        <f t="shared" si="373"/>
        <v>4.7573739295909689E-3</v>
      </c>
      <c r="FG88" s="161">
        <f t="shared" si="373"/>
        <v>4.7348484848483974E-3</v>
      </c>
      <c r="FH88" s="161">
        <f t="shared" si="373"/>
        <v>4.7125353440151674E-3</v>
      </c>
      <c r="FI88" s="580"/>
      <c r="FJ88"/>
      <c r="FK88"/>
      <c r="FL88"/>
      <c r="FM88"/>
      <c r="FN88"/>
      <c r="FO88"/>
      <c r="FP88" s="3"/>
      <c r="FS88" s="70"/>
      <c r="FT88" s="70"/>
      <c r="FU88"/>
      <c r="FV88"/>
      <c r="FW88" s="70"/>
      <c r="FX88" s="70"/>
      <c r="FY88" s="70"/>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row>
    <row r="89" spans="1:260" s="4" customFormat="1" x14ac:dyDescent="0.2">
      <c r="A89" s="392" t="s">
        <v>119</v>
      </c>
      <c r="B89" s="848">
        <f>(B87+DW87)/2</f>
        <v>113.5</v>
      </c>
      <c r="C89" s="848">
        <f t="shared" ref="C89:AH89" si="374">(C87+B87)/2</f>
        <v>120</v>
      </c>
      <c r="D89" s="848">
        <f t="shared" si="374"/>
        <v>136.5</v>
      </c>
      <c r="E89" s="849">
        <f t="shared" si="374"/>
        <v>150</v>
      </c>
      <c r="F89" s="848">
        <f t="shared" si="374"/>
        <v>152</v>
      </c>
      <c r="G89" s="848">
        <f t="shared" si="374"/>
        <v>160.5</v>
      </c>
      <c r="H89" s="848">
        <f t="shared" si="374"/>
        <v>185</v>
      </c>
      <c r="I89" s="849">
        <f t="shared" si="374"/>
        <v>203</v>
      </c>
      <c r="J89" s="848">
        <f t="shared" si="374"/>
        <v>208.5</v>
      </c>
      <c r="K89" s="848">
        <f t="shared" si="374"/>
        <v>218.5</v>
      </c>
      <c r="L89" s="848">
        <f t="shared" si="374"/>
        <v>237.5</v>
      </c>
      <c r="M89" s="849">
        <f t="shared" si="374"/>
        <v>251</v>
      </c>
      <c r="N89" s="848">
        <f t="shared" si="374"/>
        <v>255</v>
      </c>
      <c r="O89" s="848">
        <f t="shared" si="374"/>
        <v>260.5</v>
      </c>
      <c r="P89" s="848">
        <f t="shared" si="374"/>
        <v>267</v>
      </c>
      <c r="Q89" s="849">
        <f t="shared" si="374"/>
        <v>272</v>
      </c>
      <c r="R89" s="848">
        <f t="shared" si="374"/>
        <v>273</v>
      </c>
      <c r="S89" s="848">
        <f t="shared" si="374"/>
        <v>277</v>
      </c>
      <c r="T89" s="848">
        <f t="shared" si="374"/>
        <v>282.5</v>
      </c>
      <c r="U89" s="849">
        <f t="shared" si="374"/>
        <v>285</v>
      </c>
      <c r="V89" s="848">
        <f t="shared" si="374"/>
        <v>287.5</v>
      </c>
      <c r="W89" s="848">
        <f t="shared" si="374"/>
        <v>289.5</v>
      </c>
      <c r="X89" s="848">
        <f t="shared" si="374"/>
        <v>300.5</v>
      </c>
      <c r="Y89" s="849">
        <f t="shared" si="374"/>
        <v>311.5</v>
      </c>
      <c r="Z89" s="848">
        <f t="shared" si="374"/>
        <v>312</v>
      </c>
      <c r="AA89" s="848">
        <f t="shared" si="374"/>
        <v>322.5</v>
      </c>
      <c r="AB89" s="848">
        <f t="shared" si="374"/>
        <v>343</v>
      </c>
      <c r="AC89" s="849">
        <f t="shared" si="374"/>
        <v>355.5</v>
      </c>
      <c r="AD89" s="848">
        <f t="shared" si="374"/>
        <v>359</v>
      </c>
      <c r="AE89" s="848">
        <f t="shared" si="374"/>
        <v>367</v>
      </c>
      <c r="AF89" s="848">
        <f t="shared" si="374"/>
        <v>393</v>
      </c>
      <c r="AG89" s="849">
        <f t="shared" si="374"/>
        <v>416</v>
      </c>
      <c r="AH89" s="848">
        <f t="shared" si="374"/>
        <v>424.5</v>
      </c>
      <c r="AI89" s="848">
        <f t="shared" ref="AI89:BQ89" si="375">(AI87+AH87)/2</f>
        <v>434.5</v>
      </c>
      <c r="AJ89" s="848">
        <f t="shared" si="375"/>
        <v>458.5</v>
      </c>
      <c r="AK89" s="849">
        <f t="shared" si="375"/>
        <v>479.5</v>
      </c>
      <c r="AL89" s="848">
        <f t="shared" si="375"/>
        <v>488.5</v>
      </c>
      <c r="AM89" s="848">
        <f t="shared" si="375"/>
        <v>507</v>
      </c>
      <c r="AN89" s="848">
        <f t="shared" si="375"/>
        <v>535</v>
      </c>
      <c r="AO89" s="849">
        <f t="shared" si="375"/>
        <v>553</v>
      </c>
      <c r="AP89" s="848">
        <f t="shared" si="375"/>
        <v>562.5</v>
      </c>
      <c r="AQ89" s="848">
        <f t="shared" si="375"/>
        <v>578.5</v>
      </c>
      <c r="AR89" s="848">
        <f t="shared" si="375"/>
        <v>604</v>
      </c>
      <c r="AS89" s="849">
        <f t="shared" si="375"/>
        <v>626.5</v>
      </c>
      <c r="AT89" s="56">
        <f t="shared" si="375"/>
        <v>636.5</v>
      </c>
      <c r="AU89" s="56">
        <f t="shared" si="375"/>
        <v>646.5</v>
      </c>
      <c r="AV89" s="56">
        <f t="shared" si="375"/>
        <v>668</v>
      </c>
      <c r="AW89" s="828">
        <f t="shared" si="375"/>
        <v>689.5</v>
      </c>
      <c r="AX89" s="56">
        <f t="shared" si="375"/>
        <v>699.5</v>
      </c>
      <c r="AY89" s="56">
        <f t="shared" si="375"/>
        <v>714.5</v>
      </c>
      <c r="AZ89" s="56">
        <f t="shared" si="375"/>
        <v>745</v>
      </c>
      <c r="BA89" s="828">
        <f t="shared" si="375"/>
        <v>770</v>
      </c>
      <c r="BB89" s="56">
        <f t="shared" si="375"/>
        <v>787</v>
      </c>
      <c r="BC89" s="56">
        <f t="shared" si="375"/>
        <v>808.5</v>
      </c>
      <c r="BD89" s="56">
        <f t="shared" si="375"/>
        <v>840</v>
      </c>
      <c r="BE89" s="828">
        <f t="shared" si="375"/>
        <v>868</v>
      </c>
      <c r="BF89" s="56">
        <f t="shared" si="375"/>
        <v>885</v>
      </c>
      <c r="BG89" s="56">
        <f t="shared" si="375"/>
        <v>904.5</v>
      </c>
      <c r="BH89" s="56">
        <f t="shared" si="375"/>
        <v>936.5</v>
      </c>
      <c r="BI89" s="828">
        <f t="shared" si="375"/>
        <v>966</v>
      </c>
      <c r="BJ89" s="56">
        <f t="shared" si="375"/>
        <v>987</v>
      </c>
      <c r="BK89" s="56">
        <f t="shared" si="375"/>
        <v>1019.5</v>
      </c>
      <c r="BL89" s="56">
        <f t="shared" si="375"/>
        <v>1067</v>
      </c>
      <c r="BM89" s="828">
        <f t="shared" si="375"/>
        <v>1102.5</v>
      </c>
      <c r="BN89" s="56">
        <f t="shared" si="375"/>
        <v>1112</v>
      </c>
      <c r="BO89" s="56">
        <f t="shared" si="375"/>
        <v>1128</v>
      </c>
      <c r="BP89" s="56">
        <f t="shared" si="375"/>
        <v>1161.5</v>
      </c>
      <c r="BQ89" s="828">
        <f t="shared" si="375"/>
        <v>1187</v>
      </c>
      <c r="BR89" s="56">
        <f>(BR87+EN87)/2</f>
        <v>1198.5</v>
      </c>
      <c r="BS89" s="56">
        <f t="shared" ref="BS89:BY89" si="376">(BS87+BR87)/2</f>
        <v>1226.5</v>
      </c>
      <c r="BT89" s="56">
        <f t="shared" si="376"/>
        <v>1271.5</v>
      </c>
      <c r="BU89" s="828">
        <f t="shared" si="376"/>
        <v>1307</v>
      </c>
      <c r="BV89" s="56">
        <f t="shared" si="376"/>
        <v>1328.5</v>
      </c>
      <c r="BW89" s="56">
        <f t="shared" si="376"/>
        <v>1353.5</v>
      </c>
      <c r="BX89" s="56">
        <f t="shared" si="376"/>
        <v>1396</v>
      </c>
      <c r="BY89" s="828">
        <f t="shared" si="376"/>
        <v>1436</v>
      </c>
      <c r="BZ89" s="56">
        <f>(BZ87+EN87)/2</f>
        <v>1198.5</v>
      </c>
      <c r="CA89" s="56">
        <f t="shared" ref="CA89:CK89" si="377">(CA87+BZ87)/2</f>
        <v>1226.5</v>
      </c>
      <c r="CB89" s="56">
        <f t="shared" si="377"/>
        <v>1271.5</v>
      </c>
      <c r="CC89" s="828">
        <f t="shared" si="377"/>
        <v>1307</v>
      </c>
      <c r="CD89" s="56">
        <f t="shared" si="377"/>
        <v>1328.5</v>
      </c>
      <c r="CE89" s="56">
        <f t="shared" si="377"/>
        <v>1353.5</v>
      </c>
      <c r="CF89" s="56">
        <f t="shared" si="377"/>
        <v>1396</v>
      </c>
      <c r="CG89" s="828">
        <f t="shared" si="377"/>
        <v>1436</v>
      </c>
      <c r="CH89" s="56">
        <f t="shared" si="377"/>
        <v>1457.5</v>
      </c>
      <c r="CI89" s="56">
        <f t="shared" si="377"/>
        <v>1464</v>
      </c>
      <c r="CJ89" s="56">
        <f t="shared" si="377"/>
        <v>1473</v>
      </c>
      <c r="CK89" s="828">
        <f t="shared" si="377"/>
        <v>1494.5</v>
      </c>
      <c r="CL89" s="56">
        <f>(CL87+CG87)/2</f>
        <v>1457.5</v>
      </c>
      <c r="CM89" s="56">
        <f>(CM87+CL87)/2</f>
        <v>1464</v>
      </c>
      <c r="CN89" s="56">
        <f>(CN87+CM87)/2</f>
        <v>1473</v>
      </c>
      <c r="CO89" s="828">
        <f>(CO87+CN87)/2</f>
        <v>1494.5</v>
      </c>
      <c r="CP89" s="56">
        <f>(CP87+CK87)/2</f>
        <v>1507.5</v>
      </c>
      <c r="CQ89" s="56">
        <f t="shared" ref="CQ89:CX89" si="378">(CQ87+CP87)/2</f>
        <v>1510.5</v>
      </c>
      <c r="CR89" s="56">
        <f t="shared" si="378"/>
        <v>1506.5</v>
      </c>
      <c r="CS89" s="828">
        <f t="shared" si="378"/>
        <v>1499.5</v>
      </c>
      <c r="CT89" s="56">
        <f t="shared" si="378"/>
        <v>1494</v>
      </c>
      <c r="CU89" s="56">
        <f t="shared" si="378"/>
        <v>1485</v>
      </c>
      <c r="CV89" s="56">
        <f t="shared" si="378"/>
        <v>1475</v>
      </c>
      <c r="CW89" s="828">
        <f t="shared" si="378"/>
        <v>1460.5</v>
      </c>
      <c r="CX89" s="56">
        <f t="shared" si="378"/>
        <v>1445</v>
      </c>
      <c r="CY89" s="56">
        <f t="shared" ref="CY89:DE89" si="379">(CY87+CX87)/2</f>
        <v>1437.5</v>
      </c>
      <c r="CZ89" s="56">
        <f t="shared" si="379"/>
        <v>1432</v>
      </c>
      <c r="DA89" s="828">
        <f t="shared" si="379"/>
        <v>1423</v>
      </c>
      <c r="DB89" s="56">
        <f t="shared" si="379"/>
        <v>1408.5</v>
      </c>
      <c r="DC89" s="56">
        <f t="shared" si="379"/>
        <v>1399.5</v>
      </c>
      <c r="DD89" s="830">
        <f t="shared" si="379"/>
        <v>1391</v>
      </c>
      <c r="DE89" s="828">
        <f t="shared" si="379"/>
        <v>1374</v>
      </c>
      <c r="DF89" s="830">
        <f t="shared" ref="DF89:DM89" si="380">(DF87+DE87)/2</f>
        <v>1356.5</v>
      </c>
      <c r="DG89" s="830">
        <f t="shared" si="380"/>
        <v>1347</v>
      </c>
      <c r="DH89" s="830">
        <f t="shared" si="380"/>
        <v>1333.5</v>
      </c>
      <c r="DI89" s="828">
        <f t="shared" si="380"/>
        <v>1308</v>
      </c>
      <c r="DJ89" s="1698">
        <f t="shared" si="380"/>
        <v>1164.5</v>
      </c>
      <c r="DK89" s="830">
        <f t="shared" si="380"/>
        <v>1035.5</v>
      </c>
      <c r="DL89" s="830">
        <f t="shared" si="380"/>
        <v>1034.5</v>
      </c>
      <c r="DM89" s="828">
        <f t="shared" si="380"/>
        <v>1033.5</v>
      </c>
      <c r="DN89" s="167"/>
      <c r="DO89" s="655"/>
      <c r="DP89" s="3"/>
      <c r="DQ89" s="3"/>
      <c r="DR89" s="861">
        <f>DR87</f>
        <v>40</v>
      </c>
      <c r="DS89" s="861">
        <f>(DS87+DR87)/2</f>
        <v>40.5</v>
      </c>
      <c r="DT89" s="861">
        <f>(DT87+DS87)/2</f>
        <v>45</v>
      </c>
      <c r="DU89" s="861">
        <f>(DU87+DT87)/2</f>
        <v>52.5</v>
      </c>
      <c r="DV89" s="861">
        <f>(DV87+DU87)/2</f>
        <v>64.5</v>
      </c>
      <c r="DW89" s="861">
        <f>(DW87+DV87)/2</f>
        <v>92</v>
      </c>
      <c r="DX89" s="848">
        <f>+(DX87+DW87)/2</f>
        <v>131</v>
      </c>
      <c r="DY89" s="848">
        <f t="shared" ref="DY89:EK89" si="381">(DY87+DX87)/2</f>
        <v>177.5</v>
      </c>
      <c r="DZ89" s="848">
        <f t="shared" si="381"/>
        <v>227.5</v>
      </c>
      <c r="EA89" s="848">
        <f t="shared" si="381"/>
        <v>261.5</v>
      </c>
      <c r="EB89" s="848">
        <f t="shared" si="381"/>
        <v>278.5</v>
      </c>
      <c r="EC89" s="848">
        <f t="shared" si="381"/>
        <v>298</v>
      </c>
      <c r="ED89" s="848">
        <f t="shared" si="381"/>
        <v>334</v>
      </c>
      <c r="EE89" s="848">
        <f t="shared" si="381"/>
        <v>388</v>
      </c>
      <c r="EF89" s="848">
        <f t="shared" si="381"/>
        <v>450</v>
      </c>
      <c r="EG89" s="848">
        <f t="shared" si="381"/>
        <v>517.5</v>
      </c>
      <c r="EH89" s="848">
        <f t="shared" si="381"/>
        <v>592.5</v>
      </c>
      <c r="EI89" s="56">
        <f t="shared" si="381"/>
        <v>662.5</v>
      </c>
      <c r="EJ89" s="56">
        <f t="shared" si="381"/>
        <v>734</v>
      </c>
      <c r="EK89" s="56">
        <f t="shared" si="381"/>
        <v>821</v>
      </c>
      <c r="EL89" s="56">
        <f>AVERAGE(EL87,EK87)</f>
        <v>919.5</v>
      </c>
      <c r="EM89" s="56">
        <f>AVERAGE(EM87,EL87)</f>
        <v>1039</v>
      </c>
      <c r="EN89" s="56">
        <f>AVERAGE(EN87,EM87)</f>
        <v>1148.5</v>
      </c>
      <c r="EO89" s="56">
        <f>AVERAGE(EO87,EN87)</f>
        <v>1253.5</v>
      </c>
      <c r="EP89" s="56">
        <f>AVERAGE(EP87,EO87)</f>
        <v>1382</v>
      </c>
      <c r="EQ89" s="56">
        <f>(EQ87+EN87)/2</f>
        <v>1253.5</v>
      </c>
      <c r="ER89" s="56">
        <f>(ER87+EQ87)/2</f>
        <v>1382</v>
      </c>
      <c r="ES89" s="56">
        <f>(ES87+ER87)/2</f>
        <v>1475</v>
      </c>
      <c r="ET89" s="56">
        <f>(ET87+ER87)/2</f>
        <v>1475</v>
      </c>
      <c r="EU89" s="56">
        <f>(EU87+ES87)/2</f>
        <v>1499</v>
      </c>
      <c r="EV89" s="56">
        <f>(EV87+EU87)/2</f>
        <v>1471.5</v>
      </c>
      <c r="EW89" s="56">
        <f>(EW87+EV87)/2</f>
        <v>1431.5</v>
      </c>
      <c r="EX89" s="56">
        <f>(EX87+EW87)/2</f>
        <v>1389</v>
      </c>
      <c r="EY89" s="56">
        <f>(EY87+EX87)/2</f>
        <v>1328</v>
      </c>
      <c r="EZ89" s="1696">
        <f>(EZ87+EY87)/2</f>
        <v>1163</v>
      </c>
      <c r="FA89" s="23">
        <f t="shared" ref="FA89:FH89" si="382">AVERAGE(EZ87:FA87)</f>
        <v>1033.5</v>
      </c>
      <c r="FB89" s="23">
        <f t="shared" si="382"/>
        <v>1035</v>
      </c>
      <c r="FC89" s="23">
        <f t="shared" si="382"/>
        <v>1038.5</v>
      </c>
      <c r="FD89" s="23">
        <f t="shared" si="382"/>
        <v>1043.5</v>
      </c>
      <c r="FE89" s="3">
        <f t="shared" si="382"/>
        <v>1048.5</v>
      </c>
      <c r="FF89" s="4">
        <f t="shared" si="382"/>
        <v>1053.5</v>
      </c>
      <c r="FG89" s="3">
        <f t="shared" si="382"/>
        <v>1058.5</v>
      </c>
      <c r="FH89" s="4">
        <f t="shared" si="382"/>
        <v>1063.5</v>
      </c>
      <c r="FI89" s="671"/>
      <c r="FJ89"/>
      <c r="FK89"/>
      <c r="FL89"/>
      <c r="FM89"/>
      <c r="FN89"/>
      <c r="FO89"/>
      <c r="FP89" s="3"/>
      <c r="FS89" s="782"/>
      <c r="FT89" s="782"/>
      <c r="FU89"/>
      <c r="FV89"/>
      <c r="FW89" s="782"/>
      <c r="FX89" s="782"/>
      <c r="FY89" s="782"/>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row>
    <row r="90" spans="1:260" s="4" customFormat="1" x14ac:dyDescent="0.2">
      <c r="A90" s="4" t="s">
        <v>99</v>
      </c>
      <c r="B90" s="4">
        <f>B87-DW87</f>
        <v>5</v>
      </c>
      <c r="C90" s="4">
        <f>C87-B87</f>
        <v>8</v>
      </c>
      <c r="D90" s="4">
        <f>D87-C87</f>
        <v>25</v>
      </c>
      <c r="E90" s="470">
        <f>E87-D87</f>
        <v>2</v>
      </c>
      <c r="F90" s="4">
        <f>F87-DX87</f>
        <v>2</v>
      </c>
      <c r="G90" s="4">
        <f>G87-F87</f>
        <v>15</v>
      </c>
      <c r="H90" s="4">
        <f>H87-G87</f>
        <v>34</v>
      </c>
      <c r="I90" s="470">
        <f>I87-H87</f>
        <v>2</v>
      </c>
      <c r="J90" s="4">
        <f>J87-DY87</f>
        <v>9</v>
      </c>
      <c r="K90" s="4">
        <f>K87-J87</f>
        <v>11</v>
      </c>
      <c r="L90" s="4">
        <f>L87-K87</f>
        <v>27</v>
      </c>
      <c r="M90" s="470">
        <f>M87-L87</f>
        <v>0</v>
      </c>
      <c r="N90" s="4">
        <v>8</v>
      </c>
      <c r="O90" s="4">
        <v>3</v>
      </c>
      <c r="P90" s="4">
        <v>10</v>
      </c>
      <c r="Q90" s="470">
        <v>0</v>
      </c>
      <c r="R90" s="4">
        <v>2</v>
      </c>
      <c r="S90" s="4">
        <v>6</v>
      </c>
      <c r="T90" s="4">
        <v>5</v>
      </c>
      <c r="U90" s="470">
        <v>0</v>
      </c>
      <c r="V90" s="4">
        <v>5</v>
      </c>
      <c r="W90" s="4">
        <v>-1</v>
      </c>
      <c r="X90" s="4">
        <v>23</v>
      </c>
      <c r="Y90" s="470">
        <v>-1</v>
      </c>
      <c r="Z90" s="4">
        <f>+Z26</f>
        <v>2</v>
      </c>
      <c r="AA90" s="4">
        <f>+AA26</f>
        <v>19</v>
      </c>
      <c r="AB90" s="4">
        <f>+AB26</f>
        <v>22</v>
      </c>
      <c r="AC90" s="470">
        <f>+AC26</f>
        <v>3</v>
      </c>
      <c r="AD90" s="4">
        <f t="shared" ref="AD90:AO90" si="383">+AD49+AD62+AD69+AD76</f>
        <v>4</v>
      </c>
      <c r="AE90" s="4">
        <f t="shared" si="383"/>
        <v>12</v>
      </c>
      <c r="AF90" s="4">
        <f t="shared" si="383"/>
        <v>40</v>
      </c>
      <c r="AG90" s="470">
        <f t="shared" si="383"/>
        <v>6</v>
      </c>
      <c r="AH90" s="4">
        <f t="shared" si="383"/>
        <v>11</v>
      </c>
      <c r="AI90" s="4">
        <f t="shared" si="383"/>
        <v>9</v>
      </c>
      <c r="AJ90" s="4">
        <f t="shared" si="383"/>
        <v>39</v>
      </c>
      <c r="AK90" s="470">
        <f t="shared" si="383"/>
        <v>3</v>
      </c>
      <c r="AL90" s="4">
        <f t="shared" si="383"/>
        <v>15</v>
      </c>
      <c r="AM90" s="4">
        <f t="shared" si="383"/>
        <v>22</v>
      </c>
      <c r="AN90" s="4">
        <f t="shared" si="383"/>
        <v>34</v>
      </c>
      <c r="AO90" s="470">
        <f t="shared" si="383"/>
        <v>2</v>
      </c>
      <c r="AP90" s="4">
        <f t="shared" ref="AP90:BE90" si="384">AP49+AP62+AP69+AP76</f>
        <v>4</v>
      </c>
      <c r="AQ90" s="4">
        <f t="shared" si="384"/>
        <v>15</v>
      </c>
      <c r="AR90" s="4">
        <f t="shared" si="384"/>
        <v>36</v>
      </c>
      <c r="AS90" s="470">
        <f t="shared" si="384"/>
        <v>9</v>
      </c>
      <c r="AT90" s="4">
        <f t="shared" si="384"/>
        <v>11</v>
      </c>
      <c r="AU90" s="4">
        <f t="shared" si="384"/>
        <v>9</v>
      </c>
      <c r="AV90" s="4">
        <f t="shared" si="384"/>
        <v>34</v>
      </c>
      <c r="AW90" s="470">
        <f t="shared" si="384"/>
        <v>9</v>
      </c>
      <c r="AX90" s="4">
        <f t="shared" si="384"/>
        <v>11</v>
      </c>
      <c r="AY90" s="4">
        <f t="shared" si="384"/>
        <v>19</v>
      </c>
      <c r="AZ90" s="4">
        <f t="shared" si="384"/>
        <v>42</v>
      </c>
      <c r="BA90" s="470">
        <f t="shared" si="384"/>
        <v>8</v>
      </c>
      <c r="BB90" s="4">
        <f t="shared" si="384"/>
        <v>26</v>
      </c>
      <c r="BC90" s="4">
        <f t="shared" si="384"/>
        <v>17</v>
      </c>
      <c r="BD90" s="4">
        <f t="shared" si="384"/>
        <v>41</v>
      </c>
      <c r="BE90" s="470">
        <f t="shared" si="384"/>
        <v>10</v>
      </c>
      <c r="BF90" s="4">
        <f>BF49+BF55+BF62+BF69+BF76</f>
        <v>24</v>
      </c>
      <c r="BG90" s="4">
        <f>BG49+BG62+BG69+BG76</f>
        <v>15</v>
      </c>
      <c r="BH90" s="4">
        <f>BH49+BH62+BH69+BH76</f>
        <v>47</v>
      </c>
      <c r="BI90" s="470">
        <f>BI49+BI62+BI69+BI76</f>
        <v>8</v>
      </c>
      <c r="BJ90" s="4">
        <f>BJ49+BJ55+BJ62+BJ69+BJ76</f>
        <v>32</v>
      </c>
      <c r="BK90" s="4">
        <f>BK49+BK55+BK62+BK69+BK76</f>
        <v>33</v>
      </c>
      <c r="BL90" s="4">
        <f>BL49+BL55+BL62+BL69+BL76</f>
        <v>62</v>
      </c>
      <c r="BM90" s="470">
        <f>BM49+BM55+BM62+BM69+BM76</f>
        <v>9</v>
      </c>
      <c r="BN90" s="4">
        <f t="shared" ref="BN90:BY90" si="385">BN83</f>
        <v>10</v>
      </c>
      <c r="BO90" s="4">
        <f t="shared" si="385"/>
        <v>22</v>
      </c>
      <c r="BP90" s="4">
        <f t="shared" si="385"/>
        <v>45</v>
      </c>
      <c r="BQ90" s="470">
        <f t="shared" si="385"/>
        <v>6</v>
      </c>
      <c r="BR90" s="4">
        <f t="shared" si="385"/>
        <v>17</v>
      </c>
      <c r="BS90" s="4">
        <f t="shared" si="385"/>
        <v>39</v>
      </c>
      <c r="BT90" s="4">
        <f t="shared" si="385"/>
        <v>51</v>
      </c>
      <c r="BU90" s="470">
        <f t="shared" si="385"/>
        <v>20</v>
      </c>
      <c r="BV90" s="4">
        <f t="shared" si="385"/>
        <v>23</v>
      </c>
      <c r="BW90" s="4">
        <f t="shared" si="385"/>
        <v>27</v>
      </c>
      <c r="BX90" s="4">
        <f t="shared" si="385"/>
        <v>58</v>
      </c>
      <c r="BY90" s="470">
        <f t="shared" si="385"/>
        <v>22</v>
      </c>
      <c r="BZ90" s="4">
        <f t="shared" ref="BZ90:CG90" si="386">BR83</f>
        <v>17</v>
      </c>
      <c r="CA90" s="4">
        <f t="shared" si="386"/>
        <v>39</v>
      </c>
      <c r="CB90" s="4">
        <f t="shared" si="386"/>
        <v>51</v>
      </c>
      <c r="CC90" s="470">
        <f t="shared" si="386"/>
        <v>20</v>
      </c>
      <c r="CD90" s="4">
        <f t="shared" si="386"/>
        <v>23</v>
      </c>
      <c r="CE90" s="4">
        <f t="shared" si="386"/>
        <v>27</v>
      </c>
      <c r="CF90" s="4">
        <f t="shared" si="386"/>
        <v>58</v>
      </c>
      <c r="CG90" s="470">
        <f t="shared" si="386"/>
        <v>22</v>
      </c>
      <c r="CH90" s="4">
        <f>CH83</f>
        <v>21</v>
      </c>
      <c r="CI90" s="4">
        <f>CI83</f>
        <v>-8</v>
      </c>
      <c r="CJ90" s="4">
        <f>CJ83</f>
        <v>26</v>
      </c>
      <c r="CK90" s="470">
        <f>CK83</f>
        <v>17</v>
      </c>
      <c r="CL90" s="4">
        <f>CH83</f>
        <v>21</v>
      </c>
      <c r="CM90" s="4">
        <f>CI83</f>
        <v>-8</v>
      </c>
      <c r="CN90" s="4">
        <f>CJ83</f>
        <v>26</v>
      </c>
      <c r="CO90" s="470">
        <f>CK83</f>
        <v>17</v>
      </c>
      <c r="CP90" s="4">
        <f t="shared" ref="CP90:CV90" si="387">CP83</f>
        <v>9</v>
      </c>
      <c r="CQ90" s="4">
        <f t="shared" si="387"/>
        <v>-3</v>
      </c>
      <c r="CR90" s="4">
        <f t="shared" si="387"/>
        <v>-5</v>
      </c>
      <c r="CS90" s="470">
        <f t="shared" si="387"/>
        <v>-9</v>
      </c>
      <c r="CT90" s="4">
        <f t="shared" si="387"/>
        <v>-2</v>
      </c>
      <c r="CU90" s="4">
        <f t="shared" si="387"/>
        <v>-16</v>
      </c>
      <c r="CV90" s="4">
        <f t="shared" si="387"/>
        <v>-4</v>
      </c>
      <c r="CW90" s="470">
        <f t="shared" ref="CW90:DI90" si="388">CW83</f>
        <v>-25</v>
      </c>
      <c r="CX90" s="4">
        <f t="shared" si="388"/>
        <v>-6</v>
      </c>
      <c r="CY90" s="4">
        <f t="shared" si="388"/>
        <v>-9</v>
      </c>
      <c r="CZ90" s="4">
        <f t="shared" si="388"/>
        <v>-2</v>
      </c>
      <c r="DA90" s="470">
        <f t="shared" si="388"/>
        <v>-16</v>
      </c>
      <c r="DB90" s="4">
        <f t="shared" si="388"/>
        <v>-13</v>
      </c>
      <c r="DC90" s="6">
        <f t="shared" si="388"/>
        <v>-5</v>
      </c>
      <c r="DD90" s="6">
        <f t="shared" si="388"/>
        <v>-12</v>
      </c>
      <c r="DE90" s="484">
        <f t="shared" si="388"/>
        <v>-22</v>
      </c>
      <c r="DF90" s="7">
        <f t="shared" si="388"/>
        <v>-13</v>
      </c>
      <c r="DG90" s="7">
        <f t="shared" ref="DG90" si="389">DG83</f>
        <v>-6</v>
      </c>
      <c r="DH90" s="7">
        <f t="shared" si="388"/>
        <v>-21</v>
      </c>
      <c r="DI90" s="484">
        <f t="shared" si="388"/>
        <v>-30</v>
      </c>
      <c r="DJ90" s="1671">
        <f t="shared" ref="DJ90:DK90" si="390">DJ83</f>
        <v>-257</v>
      </c>
      <c r="DK90" s="3">
        <f t="shared" si="390"/>
        <v>-1</v>
      </c>
      <c r="DL90" s="3">
        <f t="shared" ref="DL90:DM90" si="391">DL83</f>
        <v>-1</v>
      </c>
      <c r="DM90" s="470">
        <f t="shared" si="391"/>
        <v>-1</v>
      </c>
      <c r="DO90" s="470"/>
      <c r="DS90" s="4">
        <f>+DS87-DR87</f>
        <v>1</v>
      </c>
      <c r="DT90" s="4">
        <f>+DT87-DS87</f>
        <v>8</v>
      </c>
      <c r="DU90" s="4">
        <f>+DU87-DT87</f>
        <v>7</v>
      </c>
      <c r="DV90" s="4">
        <f>+DV87-DU87</f>
        <v>17</v>
      </c>
      <c r="DW90" s="4">
        <f>+DW87-DV87</f>
        <v>38</v>
      </c>
      <c r="DX90" s="4">
        <f>+(DX87-DW87)</f>
        <v>40</v>
      </c>
      <c r="DY90" s="4">
        <f>DY87-DX87</f>
        <v>53</v>
      </c>
      <c r="DZ90" s="4">
        <f>SUM(J90:M90)</f>
        <v>47</v>
      </c>
      <c r="EA90" s="4">
        <f>SUM(N90:Q90)</f>
        <v>21</v>
      </c>
      <c r="EB90" s="4">
        <f>SUM(R90:U90)</f>
        <v>13</v>
      </c>
      <c r="EC90" s="4">
        <f>SUM(V90:Y90)</f>
        <v>26</v>
      </c>
      <c r="ED90" s="4">
        <f>+Z90+AA90+AB90+AC90</f>
        <v>46</v>
      </c>
      <c r="EE90" s="4">
        <f>+AD90+AE90+AF90+AG90</f>
        <v>62</v>
      </c>
      <c r="EF90" s="4">
        <f>+AH90+AI90+AJ90+AK90</f>
        <v>62</v>
      </c>
      <c r="EG90" s="4">
        <f>+AL90+AM90+AN90+AO90</f>
        <v>73</v>
      </c>
      <c r="EH90" s="4">
        <f>EH49+EH62+EH69+EH76</f>
        <v>64</v>
      </c>
      <c r="EI90" s="4">
        <f>EI49+EI62+EI69+EI76</f>
        <v>63</v>
      </c>
      <c r="EJ90" s="4">
        <f>EJ49+EJ62+EJ69+EJ76</f>
        <v>80</v>
      </c>
      <c r="EK90" s="4">
        <f>EK49+EK62+EK69+EK76</f>
        <v>94</v>
      </c>
      <c r="EL90" s="4">
        <f>SUM(BF90:BI90)</f>
        <v>94</v>
      </c>
      <c r="EM90" s="4">
        <f>SUM(BJ90:BM90)</f>
        <v>136</v>
      </c>
      <c r="EN90" s="4">
        <f>EN83</f>
        <v>83</v>
      </c>
      <c r="EO90" s="4">
        <f>EO83</f>
        <v>127</v>
      </c>
      <c r="EP90" s="4">
        <f>EP83</f>
        <v>130</v>
      </c>
      <c r="EQ90" s="4">
        <f>EO83</f>
        <v>127</v>
      </c>
      <c r="ER90" s="4">
        <f>EP83</f>
        <v>130</v>
      </c>
      <c r="ES90" s="4">
        <f>ES83</f>
        <v>56</v>
      </c>
      <c r="ET90" s="4">
        <f>ES83</f>
        <v>56</v>
      </c>
      <c r="EU90" s="4">
        <f t="shared" ref="EU90:FE90" si="392">EU83</f>
        <v>-8</v>
      </c>
      <c r="EV90" s="4">
        <f t="shared" si="392"/>
        <v>-47</v>
      </c>
      <c r="EW90" s="4">
        <f>EW83</f>
        <v>-33</v>
      </c>
      <c r="EX90" s="6">
        <f>EX83</f>
        <v>-52</v>
      </c>
      <c r="EY90" s="6">
        <f>EY83</f>
        <v>-70</v>
      </c>
      <c r="EZ90" s="1734">
        <f>EZ83</f>
        <v>-260</v>
      </c>
      <c r="FA90" s="4">
        <f t="shared" si="392"/>
        <v>1</v>
      </c>
      <c r="FB90" s="4">
        <f t="shared" si="392"/>
        <v>2</v>
      </c>
      <c r="FC90" s="4">
        <f t="shared" si="392"/>
        <v>5</v>
      </c>
      <c r="FD90" s="4">
        <f t="shared" si="392"/>
        <v>5</v>
      </c>
      <c r="FE90" s="3">
        <f t="shared" si="392"/>
        <v>5</v>
      </c>
      <c r="FF90" s="3">
        <f>FF83</f>
        <v>5</v>
      </c>
      <c r="FG90" s="3">
        <f>FG83</f>
        <v>5</v>
      </c>
      <c r="FH90" s="3">
        <f>FH83</f>
        <v>5</v>
      </c>
      <c r="FI90" s="671"/>
      <c r="FJ90"/>
      <c r="FK90"/>
      <c r="FL90"/>
      <c r="FM90"/>
      <c r="FN90"/>
      <c r="FO90"/>
      <c r="FP90" s="3"/>
      <c r="FS90" s="7"/>
      <c r="FT90" s="7"/>
      <c r="FU90"/>
      <c r="FV90"/>
      <c r="FW90" s="7"/>
      <c r="FX90" s="7"/>
      <c r="FY90" s="7"/>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row>
    <row r="91" spans="1:260" s="4" customFormat="1" x14ac:dyDescent="0.2">
      <c r="A91" s="393"/>
      <c r="E91" s="470"/>
      <c r="I91" s="470"/>
      <c r="M91" s="470"/>
      <c r="Q91" s="470"/>
      <c r="U91" s="470"/>
      <c r="Y91" s="470"/>
      <c r="AC91" s="470"/>
      <c r="AG91" s="470"/>
      <c r="AK91" s="470"/>
      <c r="AO91" s="470"/>
      <c r="AS91" s="470"/>
      <c r="AW91" s="470"/>
      <c r="BA91" s="470"/>
      <c r="BE91" s="470"/>
      <c r="BI91" s="470"/>
      <c r="BM91" s="470"/>
      <c r="BQ91" s="470"/>
      <c r="BU91" s="470"/>
      <c r="BY91" s="470"/>
      <c r="CC91" s="470"/>
      <c r="CG91" s="470"/>
      <c r="CK91" s="470"/>
      <c r="CL91" s="6"/>
      <c r="CM91" s="6"/>
      <c r="CN91" s="6"/>
      <c r="CO91" s="484"/>
      <c r="CP91" s="6"/>
      <c r="CQ91" s="6"/>
      <c r="CR91" s="6"/>
      <c r="CS91" s="484"/>
      <c r="CT91" s="6"/>
      <c r="CU91" s="6"/>
      <c r="CV91" s="6"/>
      <c r="CW91" s="484"/>
      <c r="CX91" s="6"/>
      <c r="CY91" s="6"/>
      <c r="CZ91" s="6"/>
      <c r="DA91" s="484"/>
      <c r="DB91" s="6"/>
      <c r="DC91" s="6"/>
      <c r="DD91" s="7"/>
      <c r="DE91" s="484"/>
      <c r="DF91" s="7"/>
      <c r="DG91" s="7"/>
      <c r="DH91" s="7"/>
      <c r="DI91" s="484"/>
      <c r="DJ91" s="1671"/>
      <c r="DK91" s="7"/>
      <c r="DL91" s="7"/>
      <c r="DM91" s="484"/>
      <c r="DN91" s="7"/>
      <c r="DO91" s="655"/>
      <c r="DP91" s="3"/>
      <c r="DQ91" s="3"/>
      <c r="DR91" s="3"/>
      <c r="DS91" s="3"/>
      <c r="DT91" s="3"/>
      <c r="DU91" s="3"/>
      <c r="DV91" s="3"/>
      <c r="DW91" s="3"/>
      <c r="ET91" s="6"/>
      <c r="EX91" s="6"/>
      <c r="EY91" s="6"/>
      <c r="EZ91" s="1734"/>
      <c r="FE91" s="3"/>
      <c r="FG91" s="3"/>
      <c r="FI91" s="671"/>
      <c r="FJ91"/>
      <c r="FK91"/>
      <c r="FL91"/>
      <c r="FM91"/>
      <c r="FN91"/>
      <c r="FO91"/>
      <c r="FP91" s="3"/>
      <c r="FS91" s="7"/>
      <c r="FT91" s="7"/>
      <c r="FU91"/>
      <c r="FV91"/>
      <c r="FW91" s="7"/>
      <c r="FX91" s="7"/>
      <c r="FY91" s="7"/>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row>
    <row r="92" spans="1:260" s="4" customFormat="1" x14ac:dyDescent="0.2">
      <c r="A92" s="393" t="s">
        <v>374</v>
      </c>
      <c r="B92" s="848">
        <f>C92-45*B90</f>
        <v>3445</v>
      </c>
      <c r="C92" s="848">
        <f>D92-45*C90</f>
        <v>3670</v>
      </c>
      <c r="D92" s="848">
        <f>E92-45*D90</f>
        <v>4030</v>
      </c>
      <c r="E92" s="849">
        <f>DX92</f>
        <v>5155</v>
      </c>
      <c r="F92" s="848">
        <f>DX92+F90*45</f>
        <v>5245</v>
      </c>
      <c r="G92" s="848">
        <f>F92+G90*45</f>
        <v>5920</v>
      </c>
      <c r="H92" s="848">
        <f>G92+H90*45</f>
        <v>7450</v>
      </c>
      <c r="I92" s="849">
        <f>DY92</f>
        <v>7791</v>
      </c>
      <c r="J92" s="848">
        <f>DY92+J90*45</f>
        <v>8196</v>
      </c>
      <c r="K92" s="848">
        <f>J92+K90*45</f>
        <v>8691</v>
      </c>
      <c r="L92" s="848">
        <f>K92+L90*45</f>
        <v>9906</v>
      </c>
      <c r="M92" s="849">
        <f>DZ92</f>
        <v>10400</v>
      </c>
      <c r="N92" s="848">
        <f t="shared" ref="N92:AG92" si="393">+N44</f>
        <v>10940</v>
      </c>
      <c r="O92" s="848">
        <f t="shared" si="393"/>
        <v>11118</v>
      </c>
      <c r="P92" s="848">
        <f t="shared" si="393"/>
        <v>11683</v>
      </c>
      <c r="Q92" s="849">
        <f t="shared" si="393"/>
        <v>11692</v>
      </c>
      <c r="R92" s="848">
        <f t="shared" si="393"/>
        <v>11816</v>
      </c>
      <c r="S92" s="848">
        <f t="shared" si="393"/>
        <v>12103</v>
      </c>
      <c r="T92" s="848">
        <f t="shared" si="393"/>
        <v>12362</v>
      </c>
      <c r="U92" s="849">
        <f t="shared" si="393"/>
        <v>12334</v>
      </c>
      <c r="V92" s="848">
        <f t="shared" si="393"/>
        <v>12559</v>
      </c>
      <c r="W92" s="848">
        <f t="shared" si="393"/>
        <v>12567</v>
      </c>
      <c r="X92" s="848">
        <f t="shared" si="393"/>
        <v>13662</v>
      </c>
      <c r="Y92" s="849">
        <f t="shared" si="393"/>
        <v>13634</v>
      </c>
      <c r="Z92" s="848">
        <f t="shared" si="393"/>
        <v>13749</v>
      </c>
      <c r="AA92" s="848">
        <f t="shared" si="393"/>
        <v>14576</v>
      </c>
      <c r="AB92" s="848">
        <f t="shared" si="393"/>
        <v>15683</v>
      </c>
      <c r="AC92" s="849">
        <f t="shared" si="393"/>
        <v>15773</v>
      </c>
      <c r="AD92" s="848">
        <f t="shared" si="393"/>
        <v>15961</v>
      </c>
      <c r="AE92" s="848">
        <f t="shared" si="393"/>
        <v>16411</v>
      </c>
      <c r="AF92" s="848">
        <f t="shared" si="393"/>
        <v>18247</v>
      </c>
      <c r="AG92" s="849">
        <f t="shared" si="393"/>
        <v>18496</v>
      </c>
      <c r="AH92" s="848">
        <f t="shared" ref="AH92:BM92" si="394">+AH85</f>
        <v>19557</v>
      </c>
      <c r="AI92" s="848">
        <f t="shared" si="394"/>
        <v>19980</v>
      </c>
      <c r="AJ92" s="848">
        <f t="shared" si="394"/>
        <v>21603</v>
      </c>
      <c r="AK92" s="849">
        <f t="shared" si="394"/>
        <v>21767</v>
      </c>
      <c r="AL92" s="848">
        <f t="shared" si="394"/>
        <v>22268</v>
      </c>
      <c r="AM92" s="848">
        <f t="shared" si="394"/>
        <v>23157</v>
      </c>
      <c r="AN92" s="848">
        <f t="shared" si="394"/>
        <v>24407</v>
      </c>
      <c r="AO92" s="849">
        <f t="shared" si="394"/>
        <v>24481</v>
      </c>
      <c r="AP92" s="848">
        <f t="shared" si="394"/>
        <v>24646</v>
      </c>
      <c r="AQ92" s="848">
        <f t="shared" si="394"/>
        <v>25147</v>
      </c>
      <c r="AR92" s="848">
        <f t="shared" si="394"/>
        <v>26408</v>
      </c>
      <c r="AS92" s="849">
        <f t="shared" si="394"/>
        <v>26699</v>
      </c>
      <c r="AT92" s="56">
        <f t="shared" si="394"/>
        <v>27046</v>
      </c>
      <c r="AU92" s="56">
        <f t="shared" si="394"/>
        <v>27323</v>
      </c>
      <c r="AV92" s="56">
        <f t="shared" si="394"/>
        <v>28233</v>
      </c>
      <c r="AW92" s="828">
        <f t="shared" si="394"/>
        <v>28513</v>
      </c>
      <c r="AX92" s="56">
        <f t="shared" si="394"/>
        <v>28863</v>
      </c>
      <c r="AY92" s="56">
        <f t="shared" si="394"/>
        <v>29339</v>
      </c>
      <c r="AZ92" s="56">
        <f t="shared" si="394"/>
        <v>30604</v>
      </c>
      <c r="BA92" s="828">
        <f t="shared" si="394"/>
        <v>30874</v>
      </c>
      <c r="BB92" s="56">
        <f t="shared" si="394"/>
        <v>31781</v>
      </c>
      <c r="BC92" s="56">
        <f t="shared" si="394"/>
        <v>32325</v>
      </c>
      <c r="BD92" s="56">
        <f t="shared" si="394"/>
        <v>33743</v>
      </c>
      <c r="BE92" s="828">
        <f t="shared" si="394"/>
        <v>34093</v>
      </c>
      <c r="BF92" s="56">
        <f t="shared" si="394"/>
        <v>34955</v>
      </c>
      <c r="BG92" s="56">
        <f t="shared" si="394"/>
        <v>35668</v>
      </c>
      <c r="BH92" s="56">
        <f t="shared" si="394"/>
        <v>37240</v>
      </c>
      <c r="BI92" s="828">
        <f t="shared" si="394"/>
        <v>37511</v>
      </c>
      <c r="BJ92" s="56">
        <f t="shared" si="394"/>
        <v>38397</v>
      </c>
      <c r="BK92" s="56">
        <f t="shared" si="394"/>
        <v>39257</v>
      </c>
      <c r="BL92" s="56">
        <f t="shared" si="394"/>
        <v>40500</v>
      </c>
      <c r="BM92" s="828">
        <f t="shared" si="394"/>
        <v>40924</v>
      </c>
      <c r="BN92" s="56">
        <f>BN85</f>
        <v>41196</v>
      </c>
      <c r="BO92" s="56">
        <f>BO85</f>
        <v>41644</v>
      </c>
      <c r="BP92" s="56">
        <f>BP85</f>
        <v>42482</v>
      </c>
      <c r="BQ92" s="828">
        <f t="shared" ref="BQ92:BY92" si="395">BQ44+BQ59+BQ66+BQ73+BQ80</f>
        <v>42502</v>
      </c>
      <c r="BR92" s="56">
        <f t="shared" si="395"/>
        <v>42835</v>
      </c>
      <c r="BS92" s="56">
        <f t="shared" si="395"/>
        <v>43259</v>
      </c>
      <c r="BT92" s="56">
        <f t="shared" si="395"/>
        <v>43581</v>
      </c>
      <c r="BU92" s="828">
        <f t="shared" si="395"/>
        <v>43660</v>
      </c>
      <c r="BV92" s="56">
        <f t="shared" si="395"/>
        <v>43752</v>
      </c>
      <c r="BW92" s="56">
        <f t="shared" si="395"/>
        <v>43896</v>
      </c>
      <c r="BX92" s="56">
        <f t="shared" si="395"/>
        <v>43937</v>
      </c>
      <c r="BY92" s="828">
        <f t="shared" si="395"/>
        <v>43840</v>
      </c>
      <c r="BZ92" s="56">
        <f t="shared" ref="BZ92:CG92" si="396">BR44+BR59+BR66+BR73+BR80</f>
        <v>42835</v>
      </c>
      <c r="CA92" s="56">
        <f t="shared" si="396"/>
        <v>43259</v>
      </c>
      <c r="CB92" s="56">
        <f t="shared" si="396"/>
        <v>43581</v>
      </c>
      <c r="CC92" s="828">
        <f t="shared" si="396"/>
        <v>43660</v>
      </c>
      <c r="CD92" s="56">
        <f t="shared" si="396"/>
        <v>43752</v>
      </c>
      <c r="CE92" s="56">
        <f t="shared" si="396"/>
        <v>43896</v>
      </c>
      <c r="CF92" s="56">
        <f t="shared" si="396"/>
        <v>43937</v>
      </c>
      <c r="CG92" s="828">
        <f t="shared" si="396"/>
        <v>43840</v>
      </c>
      <c r="CH92" s="56">
        <f>CH44+CH59+CH66+CH73+CH80</f>
        <v>43810</v>
      </c>
      <c r="CI92" s="56">
        <f>CI44+CI59+CI66+CI73+CI80</f>
        <v>42493</v>
      </c>
      <c r="CJ92" s="56">
        <f>CJ44+CJ59+CJ66+CJ73+CJ80</f>
        <v>42323</v>
      </c>
      <c r="CK92" s="828">
        <f>CK44+CK59+CK66+CK73+CK80</f>
        <v>42350</v>
      </c>
      <c r="CL92" s="56">
        <f>CH44+CH59+CH66+CH73+CH80</f>
        <v>43810</v>
      </c>
      <c r="CM92" s="56">
        <f>CI44+CI59+CI66+CI73+CI80</f>
        <v>42493</v>
      </c>
      <c r="CN92" s="56">
        <f>CJ44+CJ59+CJ66+CJ73+CJ80</f>
        <v>42323</v>
      </c>
      <c r="CO92" s="828">
        <f>CK44+CK59+CK66+CK73+CK80</f>
        <v>42350</v>
      </c>
      <c r="CP92" s="56">
        <f>CP44+CP59+CP66+CP73+CP80</f>
        <v>42320</v>
      </c>
      <c r="CQ92" s="56">
        <f>CQ44+CQ59+CQ66+CQ73+CQ80</f>
        <v>42313</v>
      </c>
      <c r="CR92" s="56">
        <f>CR44+CR59+CR66+CR73+CR80</f>
        <v>42208</v>
      </c>
      <c r="CS92" s="828">
        <f>CS44+CS59+CS66+CS73+CS80</f>
        <v>42188</v>
      </c>
      <c r="CT92" s="56">
        <f t="shared" ref="CT92:DB92" si="397">CT45+CT59+CT66+CT73+CT80</f>
        <v>41950</v>
      </c>
      <c r="CU92" s="56">
        <f t="shared" si="397"/>
        <v>41873</v>
      </c>
      <c r="CV92" s="56">
        <f t="shared" si="397"/>
        <v>41826</v>
      </c>
      <c r="CW92" s="828">
        <f t="shared" si="397"/>
        <v>41716</v>
      </c>
      <c r="CX92" s="1612">
        <f t="shared" si="397"/>
        <v>41692</v>
      </c>
      <c r="CY92" s="1612">
        <f t="shared" si="397"/>
        <v>41620</v>
      </c>
      <c r="CZ92" s="1612">
        <f t="shared" si="397"/>
        <v>41616</v>
      </c>
      <c r="DA92" s="1611">
        <f t="shared" si="397"/>
        <v>41216</v>
      </c>
      <c r="DB92" s="1612">
        <f t="shared" si="397"/>
        <v>41158</v>
      </c>
      <c r="DC92" s="1612">
        <v>41116</v>
      </c>
      <c r="DD92" s="1653">
        <v>40855</v>
      </c>
      <c r="DE92" s="1611">
        <v>40828</v>
      </c>
      <c r="DF92" s="1612">
        <v>40757</v>
      </c>
      <c r="DG92" s="1612">
        <v>40751</v>
      </c>
      <c r="DH92" s="1612">
        <v>40212</v>
      </c>
      <c r="DI92" s="1611">
        <v>40179</v>
      </c>
      <c r="DJ92" s="1698">
        <f t="shared" ref="DJ92:DM92" si="398">DJ87*DJ98/1000</f>
        <v>39368</v>
      </c>
      <c r="DK92" s="830">
        <f t="shared" si="398"/>
        <v>39251.339999999997</v>
      </c>
      <c r="DL92" s="830">
        <f t="shared" si="398"/>
        <v>39134.989168000007</v>
      </c>
      <c r="DM92" s="828">
        <f t="shared" si="398"/>
        <v>39194.883868540004</v>
      </c>
      <c r="DN92" s="237"/>
      <c r="DO92" s="655"/>
      <c r="DP92" s="3"/>
      <c r="DQ92" s="3"/>
      <c r="DR92" s="829">
        <f t="shared" ref="DR92:DY92" si="399">+DR44</f>
        <v>1120</v>
      </c>
      <c r="DS92" s="829">
        <f t="shared" si="399"/>
        <v>1148</v>
      </c>
      <c r="DT92" s="829">
        <f t="shared" si="399"/>
        <v>1372</v>
      </c>
      <c r="DU92" s="829">
        <f t="shared" si="399"/>
        <v>1568</v>
      </c>
      <c r="DV92" s="829">
        <f t="shared" si="399"/>
        <v>2044</v>
      </c>
      <c r="DW92" s="829">
        <f t="shared" si="399"/>
        <v>3420</v>
      </c>
      <c r="DX92" s="829">
        <f t="shared" si="399"/>
        <v>5155</v>
      </c>
      <c r="DY92" s="829">
        <f t="shared" si="399"/>
        <v>7791</v>
      </c>
      <c r="DZ92" s="848">
        <v>10400</v>
      </c>
      <c r="EA92" s="848">
        <f>+EA44</f>
        <v>11692</v>
      </c>
      <c r="EB92" s="848">
        <f>+EB44</f>
        <v>12334</v>
      </c>
      <c r="EC92" s="848">
        <f>+EC44</f>
        <v>13634</v>
      </c>
      <c r="ED92" s="848">
        <f>+ED44</f>
        <v>15773</v>
      </c>
      <c r="EE92" s="848">
        <f>+EE44</f>
        <v>18496</v>
      </c>
      <c r="EF92" s="848">
        <f t="shared" ref="EF92:EM92" si="400">+EF85</f>
        <v>21767</v>
      </c>
      <c r="EG92" s="848">
        <f t="shared" si="400"/>
        <v>24481</v>
      </c>
      <c r="EH92" s="848">
        <f t="shared" si="400"/>
        <v>26699</v>
      </c>
      <c r="EI92" s="56">
        <f t="shared" si="400"/>
        <v>28513</v>
      </c>
      <c r="EJ92" s="56">
        <f t="shared" si="400"/>
        <v>30874</v>
      </c>
      <c r="EK92" s="56">
        <f t="shared" si="400"/>
        <v>34093</v>
      </c>
      <c r="EL92" s="56">
        <f t="shared" si="400"/>
        <v>37511</v>
      </c>
      <c r="EM92" s="56">
        <f t="shared" si="400"/>
        <v>40924</v>
      </c>
      <c r="EN92" s="56">
        <f>EN44+EN59+EN66+EN73+EN80</f>
        <v>42502</v>
      </c>
      <c r="EO92" s="56">
        <f>EO44+EO59+EO66+EO73+EO80</f>
        <v>43660</v>
      </c>
      <c r="EP92" s="56">
        <f>EP44+EP59+EP66+EP73+EP80</f>
        <v>43840</v>
      </c>
      <c r="EQ92" s="56">
        <f>EO44+EO59+EO66+EO73+EO80</f>
        <v>43660</v>
      </c>
      <c r="ER92" s="56">
        <f>EP44+EP59+EP66+EP73+EP80</f>
        <v>43840</v>
      </c>
      <c r="ES92" s="56">
        <f>ES44+ES59+ES66+ES73+ES80</f>
        <v>42350</v>
      </c>
      <c r="ET92" s="56">
        <f>ES44+ES59+ES66+ES73+ES80</f>
        <v>42350</v>
      </c>
      <c r="EU92" s="56">
        <f>EU44+EU59+EU66+EU73+EU80</f>
        <v>42188</v>
      </c>
      <c r="EV92" s="56">
        <f>EV98*EV87/1000</f>
        <v>41231.098878695215</v>
      </c>
      <c r="EW92" s="56">
        <f>EW98*EW87/1000</f>
        <v>41327.093957387355</v>
      </c>
      <c r="EX92" s="56">
        <f>DE92</f>
        <v>40828</v>
      </c>
      <c r="EY92" s="56">
        <f>DI92</f>
        <v>40179</v>
      </c>
      <c r="EZ92" s="1696">
        <f>DM92</f>
        <v>39194.883868540004</v>
      </c>
      <c r="FA92" s="92">
        <f t="shared" ref="FA92:FF92" si="401">FA98*FA87/1000</f>
        <v>38840.498374510804</v>
      </c>
      <c r="FB92" s="92">
        <f t="shared" si="401"/>
        <v>38526.468813184969</v>
      </c>
      <c r="FC92" s="92">
        <f t="shared" si="401"/>
        <v>38325.283295540823</v>
      </c>
      <c r="FD92" s="92">
        <f t="shared" si="401"/>
        <v>38124.268841368248</v>
      </c>
      <c r="FE92" s="92">
        <f t="shared" si="401"/>
        <v>37923.44214794958</v>
      </c>
      <c r="FF92" s="92">
        <f t="shared" si="401"/>
        <v>37722.819561515127</v>
      </c>
      <c r="FG92" s="92">
        <f>FG98*FG87/1000</f>
        <v>37522.417082594584</v>
      </c>
      <c r="FH92" s="92">
        <f>FH98*FH87/1000</f>
        <v>37322.250371296286</v>
      </c>
      <c r="FI92" s="1383"/>
      <c r="FJ92"/>
      <c r="FK92"/>
      <c r="FL92"/>
      <c r="FM92"/>
      <c r="FN92"/>
      <c r="FO92"/>
      <c r="FP92" s="3"/>
      <c r="FS92" s="782"/>
      <c r="FT92" s="782"/>
      <c r="FU92"/>
      <c r="FV92"/>
      <c r="FW92" s="782"/>
      <c r="FX92" s="782"/>
      <c r="FY92" s="78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row>
    <row r="93" spans="1:260" s="4" customFormat="1" x14ac:dyDescent="0.2">
      <c r="A93" s="287" t="s">
        <v>44</v>
      </c>
      <c r="B93" s="383" t="s">
        <v>483</v>
      </c>
      <c r="C93" s="383" t="s">
        <v>483</v>
      </c>
      <c r="D93" s="383" t="s">
        <v>483</v>
      </c>
      <c r="E93" s="549" t="s">
        <v>483</v>
      </c>
      <c r="F93" s="15">
        <f t="shared" ref="F93:AK93" si="402">F92/B92-1</f>
        <v>0.52249637155297535</v>
      </c>
      <c r="G93" s="15">
        <f t="shared" si="402"/>
        <v>0.61307901907356954</v>
      </c>
      <c r="H93" s="15">
        <f t="shared" si="402"/>
        <v>0.84863523573200994</v>
      </c>
      <c r="I93" s="518">
        <f t="shared" si="402"/>
        <v>0.51134820562560623</v>
      </c>
      <c r="J93" s="15">
        <f t="shared" si="402"/>
        <v>0.56263107721639649</v>
      </c>
      <c r="K93" s="15">
        <f t="shared" si="402"/>
        <v>0.46807432432432439</v>
      </c>
      <c r="L93" s="15">
        <f t="shared" si="402"/>
        <v>0.32966442953020136</v>
      </c>
      <c r="M93" s="518">
        <f t="shared" si="402"/>
        <v>0.33487357207033752</v>
      </c>
      <c r="N93" s="15">
        <f t="shared" si="402"/>
        <v>0.33479746217667161</v>
      </c>
      <c r="O93" s="15">
        <f t="shared" si="402"/>
        <v>0.27925440110459099</v>
      </c>
      <c r="P93" s="15">
        <f t="shared" si="402"/>
        <v>0.17938623056733283</v>
      </c>
      <c r="Q93" s="518">
        <f t="shared" si="402"/>
        <v>0.12423076923076914</v>
      </c>
      <c r="R93" s="15">
        <f t="shared" si="402"/>
        <v>8.0073126142595985E-2</v>
      </c>
      <c r="S93" s="15">
        <f t="shared" si="402"/>
        <v>8.8595071055945329E-2</v>
      </c>
      <c r="T93" s="15">
        <f t="shared" si="402"/>
        <v>5.8118633912522366E-2</v>
      </c>
      <c r="U93" s="518">
        <f t="shared" si="402"/>
        <v>5.490933971946621E-2</v>
      </c>
      <c r="V93" s="15">
        <f t="shared" si="402"/>
        <v>6.2880839539607214E-2</v>
      </c>
      <c r="W93" s="15">
        <f t="shared" si="402"/>
        <v>3.8337602247376701E-2</v>
      </c>
      <c r="X93" s="15">
        <f t="shared" si="402"/>
        <v>0.1051609771881572</v>
      </c>
      <c r="Y93" s="518">
        <f t="shared" si="402"/>
        <v>0.10539970812388511</v>
      </c>
      <c r="Z93" s="15">
        <f t="shared" si="402"/>
        <v>9.4752766940042976E-2</v>
      </c>
      <c r="AA93" s="15">
        <f t="shared" si="402"/>
        <v>0.15986313360388316</v>
      </c>
      <c r="AB93" s="15">
        <f t="shared" si="402"/>
        <v>0.14792856097203932</v>
      </c>
      <c r="AC93" s="518">
        <f t="shared" si="402"/>
        <v>0.15688719378025517</v>
      </c>
      <c r="AD93" s="15">
        <f t="shared" si="402"/>
        <v>0.16088442795839697</v>
      </c>
      <c r="AE93" s="15">
        <f t="shared" si="402"/>
        <v>0.12589187705817784</v>
      </c>
      <c r="AF93" s="15">
        <f t="shared" si="402"/>
        <v>0.16348912835554419</v>
      </c>
      <c r="AG93" s="518">
        <f t="shared" si="402"/>
        <v>0.17263678437836805</v>
      </c>
      <c r="AH93" s="15">
        <f t="shared" si="402"/>
        <v>0.22529916671887729</v>
      </c>
      <c r="AI93" s="15">
        <f t="shared" si="402"/>
        <v>0.21747608311498379</v>
      </c>
      <c r="AJ93" s="15">
        <f t="shared" si="402"/>
        <v>0.18392064448950518</v>
      </c>
      <c r="AK93" s="518">
        <f t="shared" si="402"/>
        <v>0.17684904844290661</v>
      </c>
      <c r="AL93" s="15">
        <f t="shared" ref="AL93:BQ93" si="403">AL92/AH92-1</f>
        <v>0.13862044280820163</v>
      </c>
      <c r="AM93" s="15">
        <f t="shared" si="403"/>
        <v>0.15900900900900905</v>
      </c>
      <c r="AN93" s="15">
        <f t="shared" si="403"/>
        <v>0.12979678748321999</v>
      </c>
      <c r="AO93" s="518">
        <f t="shared" si="403"/>
        <v>0.12468415491340101</v>
      </c>
      <c r="AP93" s="15">
        <f t="shared" si="403"/>
        <v>0.10679001257409726</v>
      </c>
      <c r="AQ93" s="15">
        <f t="shared" si="403"/>
        <v>8.5935138403074651E-2</v>
      </c>
      <c r="AR93" s="15">
        <f t="shared" si="403"/>
        <v>8.1984676527225853E-2</v>
      </c>
      <c r="AS93" s="518">
        <f t="shared" si="403"/>
        <v>9.0600874147297894E-2</v>
      </c>
      <c r="AT93" s="15">
        <f t="shared" si="403"/>
        <v>9.7378885011766725E-2</v>
      </c>
      <c r="AU93" s="15">
        <f t="shared" si="403"/>
        <v>8.6531196564202384E-2</v>
      </c>
      <c r="AV93" s="15">
        <f t="shared" si="403"/>
        <v>6.9107846107240301E-2</v>
      </c>
      <c r="AW93" s="518">
        <f t="shared" si="403"/>
        <v>6.7942619573766905E-2</v>
      </c>
      <c r="AX93" s="15">
        <f t="shared" si="403"/>
        <v>6.7181838349478662E-2</v>
      </c>
      <c r="AY93" s="15">
        <f t="shared" si="403"/>
        <v>7.378399150898507E-2</v>
      </c>
      <c r="AZ93" s="15">
        <f t="shared" si="403"/>
        <v>8.3979740020543314E-2</v>
      </c>
      <c r="BA93" s="518">
        <f t="shared" si="403"/>
        <v>8.2804334864798435E-2</v>
      </c>
      <c r="BB93" s="15">
        <f t="shared" si="403"/>
        <v>0.10109829193084563</v>
      </c>
      <c r="BC93" s="15">
        <f t="shared" si="403"/>
        <v>0.10177579331265552</v>
      </c>
      <c r="BD93" s="15">
        <f t="shared" si="403"/>
        <v>0.10256829172657178</v>
      </c>
      <c r="BE93" s="518">
        <f t="shared" si="403"/>
        <v>0.10426248623437195</v>
      </c>
      <c r="BF93" s="15">
        <f t="shared" si="403"/>
        <v>9.9870992102199407E-2</v>
      </c>
      <c r="BG93" s="15">
        <f t="shared" si="403"/>
        <v>0.10341840680587788</v>
      </c>
      <c r="BH93" s="15">
        <f t="shared" si="403"/>
        <v>0.10363630975313409</v>
      </c>
      <c r="BI93" s="518">
        <f t="shared" si="403"/>
        <v>0.10025518434869318</v>
      </c>
      <c r="BJ93" s="15">
        <f t="shared" si="403"/>
        <v>9.8469460735230996E-2</v>
      </c>
      <c r="BK93" s="15">
        <f t="shared" si="403"/>
        <v>0.10062240663900424</v>
      </c>
      <c r="BL93" s="15">
        <f t="shared" si="403"/>
        <v>8.7540279269602506E-2</v>
      </c>
      <c r="BM93" s="518">
        <f t="shared" si="403"/>
        <v>9.0986643917784216E-2</v>
      </c>
      <c r="BN93" s="15">
        <f t="shared" si="403"/>
        <v>7.2896320025001904E-2</v>
      </c>
      <c r="BO93" s="15">
        <f t="shared" si="403"/>
        <v>6.0804442519805324E-2</v>
      </c>
      <c r="BP93" s="15">
        <f t="shared" si="403"/>
        <v>4.8938271604938244E-2</v>
      </c>
      <c r="BQ93" s="518">
        <f t="shared" si="403"/>
        <v>3.8559280617730396E-2</v>
      </c>
      <c r="BR93" s="15">
        <f t="shared" ref="BR93:BY93" si="404">BR92/BN92-1</f>
        <v>3.9785416059811674E-2</v>
      </c>
      <c r="BS93" s="15">
        <f t="shared" si="404"/>
        <v>3.8781096916722602E-2</v>
      </c>
      <c r="BT93" s="15">
        <f t="shared" si="404"/>
        <v>2.5869780142177889E-2</v>
      </c>
      <c r="BU93" s="518">
        <f t="shared" si="404"/>
        <v>2.7245776669333255E-2</v>
      </c>
      <c r="BV93" s="15">
        <f t="shared" si="404"/>
        <v>2.1407727325784887E-2</v>
      </c>
      <c r="BW93" s="15">
        <f t="shared" si="404"/>
        <v>1.4725259483575615E-2</v>
      </c>
      <c r="BX93" s="15">
        <f t="shared" si="404"/>
        <v>8.1686973681192043E-3</v>
      </c>
      <c r="BY93" s="518">
        <f t="shared" si="404"/>
        <v>4.1227668346313084E-3</v>
      </c>
      <c r="BZ93" s="15">
        <f>BZ92/BN92-1</f>
        <v>3.9785416059811674E-2</v>
      </c>
      <c r="CA93" s="15">
        <f>CA92/BO92-1</f>
        <v>3.8781096916722602E-2</v>
      </c>
      <c r="CB93" s="15">
        <f>CB92/BP92-1</f>
        <v>2.5869780142177889E-2</v>
      </c>
      <c r="CC93" s="518">
        <f>CC92/BQ92-1</f>
        <v>2.7245776669333255E-2</v>
      </c>
      <c r="CD93" s="15">
        <f t="shared" ref="CD93:CK93" si="405">CD92/BZ92-1</f>
        <v>2.1407727325784887E-2</v>
      </c>
      <c r="CE93" s="15">
        <f t="shared" si="405"/>
        <v>1.4725259483575615E-2</v>
      </c>
      <c r="CF93" s="15">
        <f t="shared" si="405"/>
        <v>8.1686973681192043E-3</v>
      </c>
      <c r="CG93" s="518">
        <f t="shared" si="405"/>
        <v>4.1227668346313084E-3</v>
      </c>
      <c r="CH93" s="15">
        <f t="shared" si="405"/>
        <v>1.325653684403072E-3</v>
      </c>
      <c r="CI93" s="15">
        <f t="shared" si="405"/>
        <v>-3.196190996901771E-2</v>
      </c>
      <c r="CJ93" s="15">
        <f t="shared" si="405"/>
        <v>-3.673441518537901E-2</v>
      </c>
      <c r="CK93" s="518">
        <f t="shared" si="405"/>
        <v>-3.3987226277372273E-2</v>
      </c>
      <c r="CL93" s="77">
        <f>CL92/CD92-1</f>
        <v>1.325653684403072E-3</v>
      </c>
      <c r="CM93" s="77">
        <f>CM92/CE92-1</f>
        <v>-3.196190996901771E-2</v>
      </c>
      <c r="CN93" s="77">
        <f>CN92/CF92-1</f>
        <v>-3.673441518537901E-2</v>
      </c>
      <c r="CO93" s="487">
        <f>CO92/CG92-1</f>
        <v>-3.3987226277372273E-2</v>
      </c>
      <c r="CP93" s="77">
        <f>CP92/CH92-1</f>
        <v>-3.4010499885870793E-2</v>
      </c>
      <c r="CQ93" s="77">
        <f t="shared" ref="CQ93:CW93" si="406">CQ92/CM92-1</f>
        <v>-4.2359918104157845E-3</v>
      </c>
      <c r="CR93" s="77">
        <f t="shared" si="406"/>
        <v>-2.7171986862934983E-3</v>
      </c>
      <c r="CS93" s="487">
        <f t="shared" si="406"/>
        <v>-3.8252656434474286E-3</v>
      </c>
      <c r="CT93" s="77">
        <f t="shared" si="406"/>
        <v>-8.7429111531190928E-3</v>
      </c>
      <c r="CU93" s="77">
        <f t="shared" si="406"/>
        <v>-1.0398695436390715E-2</v>
      </c>
      <c r="CV93" s="77">
        <f t="shared" si="406"/>
        <v>-9.0504169825625924E-3</v>
      </c>
      <c r="CW93" s="487">
        <f t="shared" si="406"/>
        <v>-1.1188015549445374E-2</v>
      </c>
      <c r="CX93" s="77">
        <f t="shared" ref="CX93:DE93" si="407">CX92/CT92-1</f>
        <v>-6.1501787842669353E-3</v>
      </c>
      <c r="CY93" s="77">
        <f t="shared" si="407"/>
        <v>-6.0420796217133255E-3</v>
      </c>
      <c r="CZ93" s="77">
        <f t="shared" si="407"/>
        <v>-5.0208004590446276E-3</v>
      </c>
      <c r="DA93" s="487">
        <f t="shared" si="407"/>
        <v>-1.1985808802377984E-2</v>
      </c>
      <c r="DB93" s="77">
        <f t="shared" si="407"/>
        <v>-1.2808212606735148E-2</v>
      </c>
      <c r="DC93" s="77">
        <f t="shared" si="407"/>
        <v>-1.2109562710235444E-2</v>
      </c>
      <c r="DD93" s="70">
        <f t="shared" si="407"/>
        <v>-1.8286236063052685E-2</v>
      </c>
      <c r="DE93" s="487">
        <f t="shared" si="407"/>
        <v>-9.4138198757763858E-3</v>
      </c>
      <c r="DF93" s="77">
        <f t="shared" ref="DF93:DM93" si="408">DF92/DB92-1</f>
        <v>-9.7429418339083362E-3</v>
      </c>
      <c r="DG93" s="77">
        <f t="shared" si="408"/>
        <v>-8.8773226967603369E-3</v>
      </c>
      <c r="DH93" s="77">
        <f t="shared" si="408"/>
        <v>-1.5738587688165495E-2</v>
      </c>
      <c r="DI93" s="487">
        <f t="shared" si="408"/>
        <v>-1.5895953757225412E-2</v>
      </c>
      <c r="DJ93" s="1673">
        <f t="shared" si="408"/>
        <v>-3.4080035331354175E-2</v>
      </c>
      <c r="DK93" s="70">
        <f t="shared" si="408"/>
        <v>-3.6800569311182585E-2</v>
      </c>
      <c r="DL93" s="70">
        <f t="shared" si="408"/>
        <v>-2.6783319208196321E-2</v>
      </c>
      <c r="DM93" s="487">
        <f t="shared" si="408"/>
        <v>-2.4493295787849312E-2</v>
      </c>
      <c r="DN93" s="70"/>
      <c r="DO93" s="487"/>
      <c r="DP93" s="3"/>
      <c r="DQ93" s="3"/>
      <c r="DR93" s="3"/>
      <c r="DS93" s="161">
        <f t="shared" ref="DS93:EP93" si="409">DS92/DR92-1</f>
        <v>2.4999999999999911E-2</v>
      </c>
      <c r="DT93" s="161">
        <f t="shared" si="409"/>
        <v>0.19512195121951215</v>
      </c>
      <c r="DU93" s="161">
        <f t="shared" si="409"/>
        <v>0.14285714285714279</v>
      </c>
      <c r="DV93" s="161">
        <f t="shared" si="409"/>
        <v>0.3035714285714286</v>
      </c>
      <c r="DW93" s="161">
        <f t="shared" si="409"/>
        <v>0.67318982387475534</v>
      </c>
      <c r="DX93" s="161">
        <f t="shared" si="409"/>
        <v>0.50730994152046782</v>
      </c>
      <c r="DY93" s="15">
        <f t="shared" si="409"/>
        <v>0.51134820562560623</v>
      </c>
      <c r="DZ93" s="15">
        <f t="shared" si="409"/>
        <v>0.33487357207033752</v>
      </c>
      <c r="EA93" s="15">
        <f t="shared" si="409"/>
        <v>0.12423076923076914</v>
      </c>
      <c r="EB93" s="15">
        <f t="shared" si="409"/>
        <v>5.490933971946621E-2</v>
      </c>
      <c r="EC93" s="15">
        <f t="shared" si="409"/>
        <v>0.10539970812388511</v>
      </c>
      <c r="ED93" s="15">
        <f t="shared" si="409"/>
        <v>0.15688719378025517</v>
      </c>
      <c r="EE93" s="15">
        <f t="shared" si="409"/>
        <v>0.17263678437836805</v>
      </c>
      <c r="EF93" s="15">
        <f t="shared" si="409"/>
        <v>0.17684904844290661</v>
      </c>
      <c r="EG93" s="15">
        <f t="shared" si="409"/>
        <v>0.12468415491340101</v>
      </c>
      <c r="EH93" s="15">
        <f t="shared" si="409"/>
        <v>9.0600874147297894E-2</v>
      </c>
      <c r="EI93" s="15">
        <f t="shared" si="409"/>
        <v>6.7942619573766905E-2</v>
      </c>
      <c r="EJ93" s="15">
        <f t="shared" si="409"/>
        <v>8.2804334864798435E-2</v>
      </c>
      <c r="EK93" s="15">
        <f t="shared" si="409"/>
        <v>0.10426248623437195</v>
      </c>
      <c r="EL93" s="15">
        <f t="shared" si="409"/>
        <v>0.10025518434869318</v>
      </c>
      <c r="EM93" s="15">
        <f t="shared" si="409"/>
        <v>9.0986643917784216E-2</v>
      </c>
      <c r="EN93" s="15">
        <f t="shared" si="409"/>
        <v>3.8559280617730396E-2</v>
      </c>
      <c r="EO93" s="15">
        <f t="shared" si="409"/>
        <v>2.7245776669333255E-2</v>
      </c>
      <c r="EP93" s="15">
        <f t="shared" si="409"/>
        <v>4.1227668346313084E-3</v>
      </c>
      <c r="EQ93" s="15">
        <f>EQ92/EN92-1</f>
        <v>2.7245776669333255E-2</v>
      </c>
      <c r="ER93" s="15">
        <f>ER92/EQ92-1</f>
        <v>4.1227668346313084E-3</v>
      </c>
      <c r="ES93" s="15">
        <f>ES92/ER92-1</f>
        <v>-3.3987226277372273E-2</v>
      </c>
      <c r="ET93" s="77">
        <f>ET92/ER92-1</f>
        <v>-3.3987226277372273E-2</v>
      </c>
      <c r="EU93" s="15">
        <f>EU92/ES92-1</f>
        <v>-3.8252656434474286E-3</v>
      </c>
      <c r="EV93" s="15">
        <f t="shared" ref="EV93:FC93" si="410">EV92/EU92-1</f>
        <v>-2.2681831831439903E-2</v>
      </c>
      <c r="EW93" s="15">
        <f t="shared" si="410"/>
        <v>2.3282202343082314E-3</v>
      </c>
      <c r="EX93" s="77">
        <f t="shared" si="410"/>
        <v>-1.2076676814052667E-2</v>
      </c>
      <c r="EY93" s="77">
        <f t="shared" si="410"/>
        <v>-1.5895953757225412E-2</v>
      </c>
      <c r="EZ93" s="1680">
        <f t="shared" si="410"/>
        <v>-2.4493295787849312E-2</v>
      </c>
      <c r="FA93" s="15">
        <f t="shared" si="410"/>
        <v>-9.041626331074526E-3</v>
      </c>
      <c r="FB93" s="15">
        <f t="shared" si="410"/>
        <v>-8.0851063829787684E-3</v>
      </c>
      <c r="FC93" s="15">
        <f t="shared" si="410"/>
        <v>-5.2220077220078709E-3</v>
      </c>
      <c r="FD93" s="15">
        <f>FD92/FC92-1</f>
        <v>-5.2449567723342749E-3</v>
      </c>
      <c r="FE93" s="15">
        <f>FE92/FD92-1</f>
        <v>-5.2676864244738386E-3</v>
      </c>
      <c r="FF93" s="15">
        <f>FF92/FE92-1</f>
        <v>-5.2901998097052427E-3</v>
      </c>
      <c r="FG93" s="15">
        <f>FG92/FF92-1</f>
        <v>-5.3124999999998312E-3</v>
      </c>
      <c r="FH93" s="15">
        <f>FH92/FG92-1</f>
        <v>-5.3345900094252663E-3</v>
      </c>
      <c r="FI93" s="580"/>
      <c r="FJ93"/>
      <c r="FK93"/>
      <c r="FL93"/>
      <c r="FM93"/>
      <c r="FN93"/>
      <c r="FO93"/>
      <c r="FP93" s="3"/>
      <c r="FS93" s="70"/>
      <c r="FT93" s="70"/>
      <c r="FU93"/>
      <c r="FV93"/>
      <c r="FW93" s="70"/>
      <c r="FX93" s="70"/>
      <c r="FY93" s="70"/>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row>
    <row r="94" spans="1:260" s="4" customFormat="1" x14ac:dyDescent="0.2">
      <c r="A94" s="393" t="s">
        <v>336</v>
      </c>
      <c r="B94" s="848">
        <f>((B92-5*45)+3290)/2</f>
        <v>3255</v>
      </c>
      <c r="C94" s="848">
        <f t="shared" ref="C94:Q94" si="411">(C92+B92)/2</f>
        <v>3557.5</v>
      </c>
      <c r="D94" s="848">
        <f t="shared" si="411"/>
        <v>3850</v>
      </c>
      <c r="E94" s="849">
        <f t="shared" si="411"/>
        <v>4592.5</v>
      </c>
      <c r="F94" s="848">
        <f t="shared" si="411"/>
        <v>5200</v>
      </c>
      <c r="G94" s="848">
        <f t="shared" si="411"/>
        <v>5582.5</v>
      </c>
      <c r="H94" s="848">
        <f t="shared" si="411"/>
        <v>6685</v>
      </c>
      <c r="I94" s="849">
        <f t="shared" si="411"/>
        <v>7620.5</v>
      </c>
      <c r="J94" s="848">
        <f t="shared" si="411"/>
        <v>7993.5</v>
      </c>
      <c r="K94" s="848">
        <f t="shared" si="411"/>
        <v>8443.5</v>
      </c>
      <c r="L94" s="848">
        <f t="shared" si="411"/>
        <v>9298.5</v>
      </c>
      <c r="M94" s="849">
        <f t="shared" si="411"/>
        <v>10153</v>
      </c>
      <c r="N94" s="848">
        <f t="shared" si="411"/>
        <v>10670</v>
      </c>
      <c r="O94" s="848">
        <f t="shared" si="411"/>
        <v>11029</v>
      </c>
      <c r="P94" s="848">
        <f t="shared" si="411"/>
        <v>11400.5</v>
      </c>
      <c r="Q94" s="849">
        <f t="shared" si="411"/>
        <v>11687.5</v>
      </c>
      <c r="R94" s="848">
        <f>(11600+R92)/2</f>
        <v>11708</v>
      </c>
      <c r="S94" s="848">
        <f t="shared" ref="S94:BM94" si="412">(S92+R92)/2</f>
        <v>11959.5</v>
      </c>
      <c r="T94" s="848">
        <f t="shared" si="412"/>
        <v>12232.5</v>
      </c>
      <c r="U94" s="849">
        <f t="shared" si="412"/>
        <v>12348</v>
      </c>
      <c r="V94" s="848">
        <f t="shared" si="412"/>
        <v>12446.5</v>
      </c>
      <c r="W94" s="848">
        <f t="shared" si="412"/>
        <v>12563</v>
      </c>
      <c r="X94" s="848">
        <f t="shared" si="412"/>
        <v>13114.5</v>
      </c>
      <c r="Y94" s="849">
        <f t="shared" si="412"/>
        <v>13648</v>
      </c>
      <c r="Z94" s="848">
        <f t="shared" si="412"/>
        <v>13691.5</v>
      </c>
      <c r="AA94" s="848">
        <f t="shared" si="412"/>
        <v>14162.5</v>
      </c>
      <c r="AB94" s="848">
        <f t="shared" si="412"/>
        <v>15129.5</v>
      </c>
      <c r="AC94" s="849">
        <f t="shared" si="412"/>
        <v>15728</v>
      </c>
      <c r="AD94" s="848">
        <f t="shared" si="412"/>
        <v>15867</v>
      </c>
      <c r="AE94" s="848">
        <f t="shared" si="412"/>
        <v>16186</v>
      </c>
      <c r="AF94" s="848">
        <f t="shared" si="412"/>
        <v>17329</v>
      </c>
      <c r="AG94" s="849">
        <f t="shared" si="412"/>
        <v>18371.5</v>
      </c>
      <c r="AH94" s="848">
        <f t="shared" si="412"/>
        <v>19026.5</v>
      </c>
      <c r="AI94" s="848">
        <f t="shared" si="412"/>
        <v>19768.5</v>
      </c>
      <c r="AJ94" s="848">
        <f t="shared" si="412"/>
        <v>20791.5</v>
      </c>
      <c r="AK94" s="849">
        <f t="shared" si="412"/>
        <v>21685</v>
      </c>
      <c r="AL94" s="848">
        <f t="shared" si="412"/>
        <v>22017.5</v>
      </c>
      <c r="AM94" s="848">
        <f t="shared" si="412"/>
        <v>22712.5</v>
      </c>
      <c r="AN94" s="848">
        <f t="shared" si="412"/>
        <v>23782</v>
      </c>
      <c r="AO94" s="849">
        <f t="shared" si="412"/>
        <v>24444</v>
      </c>
      <c r="AP94" s="848">
        <f t="shared" si="412"/>
        <v>24563.5</v>
      </c>
      <c r="AQ94" s="848">
        <f t="shared" si="412"/>
        <v>24896.5</v>
      </c>
      <c r="AR94" s="848">
        <f t="shared" si="412"/>
        <v>25777.5</v>
      </c>
      <c r="AS94" s="849">
        <f t="shared" si="412"/>
        <v>26553.5</v>
      </c>
      <c r="AT94" s="848">
        <f t="shared" si="412"/>
        <v>26872.5</v>
      </c>
      <c r="AU94" s="848">
        <f t="shared" si="412"/>
        <v>27184.5</v>
      </c>
      <c r="AV94" s="848">
        <f t="shared" si="412"/>
        <v>27778</v>
      </c>
      <c r="AW94" s="849">
        <f t="shared" si="412"/>
        <v>28373</v>
      </c>
      <c r="AX94" s="848">
        <f t="shared" si="412"/>
        <v>28688</v>
      </c>
      <c r="AY94" s="848">
        <f t="shared" si="412"/>
        <v>29101</v>
      </c>
      <c r="AZ94" s="848">
        <f t="shared" si="412"/>
        <v>29971.5</v>
      </c>
      <c r="BA94" s="849">
        <f t="shared" si="412"/>
        <v>30739</v>
      </c>
      <c r="BB94" s="848">
        <f t="shared" si="412"/>
        <v>31327.5</v>
      </c>
      <c r="BC94" s="848">
        <f t="shared" si="412"/>
        <v>32053</v>
      </c>
      <c r="BD94" s="848">
        <f t="shared" si="412"/>
        <v>33034</v>
      </c>
      <c r="BE94" s="849">
        <f t="shared" si="412"/>
        <v>33918</v>
      </c>
      <c r="BF94" s="848">
        <f t="shared" si="412"/>
        <v>34524</v>
      </c>
      <c r="BG94" s="848">
        <f t="shared" si="412"/>
        <v>35311.5</v>
      </c>
      <c r="BH94" s="848">
        <f t="shared" si="412"/>
        <v>36454</v>
      </c>
      <c r="BI94" s="849">
        <f t="shared" si="412"/>
        <v>37375.5</v>
      </c>
      <c r="BJ94" s="848">
        <f t="shared" si="412"/>
        <v>37954</v>
      </c>
      <c r="BK94" s="848">
        <f t="shared" si="412"/>
        <v>38827</v>
      </c>
      <c r="BL94" s="848">
        <f t="shared" si="412"/>
        <v>39878.5</v>
      </c>
      <c r="BM94" s="849">
        <f t="shared" si="412"/>
        <v>40712</v>
      </c>
      <c r="BN94" s="56">
        <f>(BN92+EM92)/2</f>
        <v>41060</v>
      </c>
      <c r="BO94" s="56">
        <f>(BO92+BN92)/2</f>
        <v>41420</v>
      </c>
      <c r="BP94" s="56">
        <f>(BP92+BO92)/2</f>
        <v>42063</v>
      </c>
      <c r="BQ94" s="828">
        <f>(BQ92+BP92)/2</f>
        <v>42492</v>
      </c>
      <c r="BR94" s="56">
        <f>(BR92+EN92)/2</f>
        <v>42668.5</v>
      </c>
      <c r="BS94" s="56">
        <f t="shared" ref="BS94:BY94" si="413">(BS92+BR92)/2</f>
        <v>43047</v>
      </c>
      <c r="BT94" s="56">
        <f t="shared" si="413"/>
        <v>43420</v>
      </c>
      <c r="BU94" s="828">
        <f t="shared" si="413"/>
        <v>43620.5</v>
      </c>
      <c r="BV94" s="56">
        <f t="shared" si="413"/>
        <v>43706</v>
      </c>
      <c r="BW94" s="56">
        <f t="shared" si="413"/>
        <v>43824</v>
      </c>
      <c r="BX94" s="56">
        <f t="shared" si="413"/>
        <v>43916.5</v>
      </c>
      <c r="BY94" s="828">
        <f t="shared" si="413"/>
        <v>43888.5</v>
      </c>
      <c r="BZ94" s="56">
        <f>(BZ92+EN92)/2</f>
        <v>42668.5</v>
      </c>
      <c r="CA94" s="56">
        <f>(CA92+BZ92)/2</f>
        <v>43047</v>
      </c>
      <c r="CB94" s="56">
        <f>(CB92+CA92)/2</f>
        <v>43420</v>
      </c>
      <c r="CC94" s="828">
        <f>(CC92+CB92)/2</f>
        <v>43620.5</v>
      </c>
      <c r="CD94" s="56">
        <f>(CD92+EQ92)/2</f>
        <v>43706</v>
      </c>
      <c r="CE94" s="56">
        <f>(CE92+CD92)/2</f>
        <v>43824</v>
      </c>
      <c r="CF94" s="56">
        <f>(CF92+CE92)/2</f>
        <v>43916.5</v>
      </c>
      <c r="CG94" s="828">
        <f>(CG92+CF92)/2</f>
        <v>43888.5</v>
      </c>
      <c r="CH94" s="56">
        <f>(CH92+ER92)/2</f>
        <v>43825</v>
      </c>
      <c r="CI94" s="56">
        <f>(CI92+CH92)/2</f>
        <v>43151.5</v>
      </c>
      <c r="CJ94" s="56">
        <f>(CJ92+CI92)/2</f>
        <v>42408</v>
      </c>
      <c r="CK94" s="828">
        <f>(CK92+CJ92)/2</f>
        <v>42336.5</v>
      </c>
      <c r="CL94" s="56">
        <f>(CL92+CG92)/2</f>
        <v>43825</v>
      </c>
      <c r="CM94" s="56">
        <f>(CM92+CL92)/2</f>
        <v>43151.5</v>
      </c>
      <c r="CN94" s="56">
        <f>(CN92+CM92)/2</f>
        <v>42408</v>
      </c>
      <c r="CO94" s="828">
        <f>(CO92+CN92)/2</f>
        <v>42336.5</v>
      </c>
      <c r="CP94" s="56">
        <f>(CP92+ES92)/2</f>
        <v>42335</v>
      </c>
      <c r="CQ94" s="56">
        <f>(CQ92+CP92)/2</f>
        <v>42316.5</v>
      </c>
      <c r="CR94" s="56">
        <f>(CR92+CQ92)/2</f>
        <v>42260.5</v>
      </c>
      <c r="CS94" s="828">
        <f>(CS92+CR92)/2</f>
        <v>42198</v>
      </c>
      <c r="CT94" s="56">
        <f t="shared" ref="CT94:DB94" si="414">+(CT92+CS92)/2</f>
        <v>42069</v>
      </c>
      <c r="CU94" s="56">
        <f t="shared" si="414"/>
        <v>41911.5</v>
      </c>
      <c r="CV94" s="56">
        <f t="shared" si="414"/>
        <v>41849.5</v>
      </c>
      <c r="CW94" s="828">
        <f t="shared" si="414"/>
        <v>41771</v>
      </c>
      <c r="CX94" s="56">
        <f t="shared" si="414"/>
        <v>41704</v>
      </c>
      <c r="CY94" s="56">
        <f t="shared" si="414"/>
        <v>41656</v>
      </c>
      <c r="CZ94" s="56">
        <f t="shared" si="414"/>
        <v>41618</v>
      </c>
      <c r="DA94" s="828">
        <f t="shared" si="414"/>
        <v>41416</v>
      </c>
      <c r="DB94" s="56">
        <f t="shared" si="414"/>
        <v>41187</v>
      </c>
      <c r="DC94" s="56">
        <f t="shared" ref="DC94:DM94" si="415">+(DC92+DB92)/2</f>
        <v>41137</v>
      </c>
      <c r="DD94" s="830">
        <f t="shared" si="415"/>
        <v>40985.5</v>
      </c>
      <c r="DE94" s="828">
        <f t="shared" si="415"/>
        <v>40841.5</v>
      </c>
      <c r="DF94" s="56">
        <f t="shared" si="415"/>
        <v>40792.5</v>
      </c>
      <c r="DG94" s="56">
        <f t="shared" si="415"/>
        <v>40754</v>
      </c>
      <c r="DH94" s="56">
        <f t="shared" si="415"/>
        <v>40481.5</v>
      </c>
      <c r="DI94" s="828">
        <f t="shared" si="415"/>
        <v>40195.5</v>
      </c>
      <c r="DJ94" s="1698">
        <f t="shared" si="415"/>
        <v>39773.5</v>
      </c>
      <c r="DK94" s="830">
        <f t="shared" si="415"/>
        <v>39309.67</v>
      </c>
      <c r="DL94" s="830">
        <f t="shared" si="415"/>
        <v>39193.164583999998</v>
      </c>
      <c r="DM94" s="828">
        <f t="shared" si="415"/>
        <v>39164.936518270006</v>
      </c>
      <c r="DN94" s="167"/>
      <c r="DO94" s="655"/>
      <c r="DP94" s="3"/>
      <c r="DQ94" s="3"/>
      <c r="DR94" s="154"/>
      <c r="DS94" s="861">
        <f t="shared" ref="DS94:DX94" si="416">+AVERAGE(DR92:DS92)</f>
        <v>1134</v>
      </c>
      <c r="DT94" s="861">
        <f t="shared" si="416"/>
        <v>1260</v>
      </c>
      <c r="DU94" s="861">
        <f t="shared" si="416"/>
        <v>1470</v>
      </c>
      <c r="DV94" s="861">
        <f t="shared" si="416"/>
        <v>1806</v>
      </c>
      <c r="DW94" s="861">
        <f t="shared" si="416"/>
        <v>2732</v>
      </c>
      <c r="DX94" s="861">
        <f t="shared" si="416"/>
        <v>4287.5</v>
      </c>
      <c r="DY94" s="56">
        <f>AVERAGE(F94:I94)</f>
        <v>6272</v>
      </c>
      <c r="DZ94" s="56">
        <f>AVERAGE(J94:M94)</f>
        <v>8972.125</v>
      </c>
      <c r="EA94" s="56">
        <f>AVERAGE(N94:Q94)</f>
        <v>11196.75</v>
      </c>
      <c r="EB94" s="56">
        <f>AVERAGE(R94:U94)</f>
        <v>12062</v>
      </c>
      <c r="EC94" s="56">
        <f>AVERAGE(V94:Y94)</f>
        <v>12943</v>
      </c>
      <c r="ED94" s="56">
        <f>AVERAGE(Z94:AC94)</f>
        <v>14677.875</v>
      </c>
      <c r="EE94" s="56">
        <f>AVERAGE(AD94:AG94)</f>
        <v>16938.375</v>
      </c>
      <c r="EF94" s="56">
        <f>AVERAGE(AH94:AK94)</f>
        <v>20317.875</v>
      </c>
      <c r="EG94" s="56">
        <f>AVERAGE(AL94:AO94)</f>
        <v>23239</v>
      </c>
      <c r="EH94" s="56">
        <f>AVERAGE(AP94:AS94)</f>
        <v>25447.75</v>
      </c>
      <c r="EI94" s="56">
        <f>AVERAGE(AT94:AW94)</f>
        <v>27552</v>
      </c>
      <c r="EJ94" s="56">
        <f>AVERAGE(AX94:BA94)</f>
        <v>29624.875</v>
      </c>
      <c r="EK94" s="56">
        <f>AVERAGE(BB94:BE94)</f>
        <v>32583.125</v>
      </c>
      <c r="EL94" s="56">
        <f>AVERAGE(BF94:BI94)</f>
        <v>35916.25</v>
      </c>
      <c r="EM94" s="56">
        <f>AVERAGE(BJ94:BM94)</f>
        <v>39342.875</v>
      </c>
      <c r="EN94" s="56">
        <f>AVERAGE(BN94:BQ94)</f>
        <v>41758.75</v>
      </c>
      <c r="EO94" s="56">
        <f>AVERAGE(BR94:BU94)</f>
        <v>43189</v>
      </c>
      <c r="EP94" s="56">
        <f>AVERAGE(BV94:BY94)</f>
        <v>43833.75</v>
      </c>
      <c r="EQ94" s="56">
        <f>AVERAGE(BZ94:CC94)</f>
        <v>43189</v>
      </c>
      <c r="ER94" s="56">
        <f>AVERAGE(CD94:CG94)</f>
        <v>43833.75</v>
      </c>
      <c r="ES94" s="56">
        <f>AVERAGE(CH94:CK94)</f>
        <v>42930.25</v>
      </c>
      <c r="ET94" s="56">
        <f>AVERAGE(CL94:CO94)</f>
        <v>42930.25</v>
      </c>
      <c r="EU94" s="56">
        <f>AVERAGE(CP94:CS94)</f>
        <v>42277.5</v>
      </c>
      <c r="EV94" s="56">
        <f>AVERAGE(CT94:CW94)</f>
        <v>41900.25</v>
      </c>
      <c r="EW94" s="56">
        <f>AVERAGE(CU94:CX94)</f>
        <v>41809</v>
      </c>
      <c r="EX94" s="56">
        <f>AVERAGE(DB94:DE94)</f>
        <v>41037.75</v>
      </c>
      <c r="EY94" s="56">
        <f>AVERAGE(DF94:DI94)</f>
        <v>40555.875</v>
      </c>
      <c r="EZ94" s="1696">
        <f>AVERAGE(DJ94:DM94)</f>
        <v>39360.317775567499</v>
      </c>
      <c r="FA94" s="23">
        <f t="shared" ref="FA94:FH94" si="417">AVERAGE(EZ92:FA92)</f>
        <v>39017.691121525408</v>
      </c>
      <c r="FB94" s="23">
        <f t="shared" si="417"/>
        <v>38683.483593847886</v>
      </c>
      <c r="FC94" s="23">
        <f t="shared" si="417"/>
        <v>38425.876054362896</v>
      </c>
      <c r="FD94" s="23">
        <f t="shared" si="417"/>
        <v>38224.776068454536</v>
      </c>
      <c r="FE94" s="23">
        <f t="shared" si="417"/>
        <v>38023.855494658914</v>
      </c>
      <c r="FF94" s="23">
        <f t="shared" si="417"/>
        <v>37823.130854732357</v>
      </c>
      <c r="FG94" s="23">
        <f t="shared" si="417"/>
        <v>37622.618322054856</v>
      </c>
      <c r="FH94" s="23">
        <f t="shared" si="417"/>
        <v>37422.333726945435</v>
      </c>
      <c r="FI94" s="1383"/>
      <c r="FJ94"/>
      <c r="FK94"/>
      <c r="FL94"/>
      <c r="FM94"/>
      <c r="FN94"/>
      <c r="FO94"/>
      <c r="FP94" s="3"/>
      <c r="FS94" s="782"/>
      <c r="FT94" s="782"/>
      <c r="FU94"/>
      <c r="FV94"/>
      <c r="FW94" s="782"/>
      <c r="FX94" s="782"/>
      <c r="FY94" s="782"/>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row>
    <row r="95" spans="1:260" s="4" customFormat="1" x14ac:dyDescent="0.2">
      <c r="A95" s="287" t="s">
        <v>44</v>
      </c>
      <c r="B95" s="383" t="s">
        <v>483</v>
      </c>
      <c r="C95" s="383" t="s">
        <v>483</v>
      </c>
      <c r="D95" s="383" t="s">
        <v>483</v>
      </c>
      <c r="E95" s="549" t="s">
        <v>483</v>
      </c>
      <c r="F95" s="15">
        <f t="shared" ref="F95:AK95" si="418">F94/B94-1</f>
        <v>0.59754224270353307</v>
      </c>
      <c r="G95" s="15">
        <f t="shared" si="418"/>
        <v>0.56921995783555879</v>
      </c>
      <c r="H95" s="15">
        <f t="shared" si="418"/>
        <v>0.73636363636363633</v>
      </c>
      <c r="I95" s="518">
        <f t="shared" si="418"/>
        <v>0.65933587370713109</v>
      </c>
      <c r="J95" s="15">
        <f t="shared" si="418"/>
        <v>0.53721153846153835</v>
      </c>
      <c r="K95" s="15">
        <f t="shared" si="418"/>
        <v>0.51249440214957453</v>
      </c>
      <c r="L95" s="15">
        <f t="shared" si="418"/>
        <v>0.39094988780852646</v>
      </c>
      <c r="M95" s="518">
        <f t="shared" si="418"/>
        <v>0.33232727511318161</v>
      </c>
      <c r="N95" s="15">
        <f t="shared" si="418"/>
        <v>0.33483455307437282</v>
      </c>
      <c r="O95" s="15">
        <f t="shared" si="418"/>
        <v>0.3062118789601469</v>
      </c>
      <c r="P95" s="15">
        <f t="shared" si="418"/>
        <v>0.22605796633865682</v>
      </c>
      <c r="Q95" s="518">
        <f t="shared" si="418"/>
        <v>0.15113759479956657</v>
      </c>
      <c r="R95" s="15">
        <f t="shared" si="418"/>
        <v>9.7282099343954931E-2</v>
      </c>
      <c r="S95" s="15">
        <f t="shared" si="418"/>
        <v>8.4368483090035307E-2</v>
      </c>
      <c r="T95" s="15">
        <f t="shared" si="418"/>
        <v>7.2979255295820389E-2</v>
      </c>
      <c r="U95" s="518">
        <f t="shared" si="418"/>
        <v>5.6513368983957202E-2</v>
      </c>
      <c r="V95" s="15">
        <f t="shared" si="418"/>
        <v>6.3076528869149273E-2</v>
      </c>
      <c r="W95" s="15">
        <f t="shared" si="418"/>
        <v>5.046197583511014E-2</v>
      </c>
      <c r="X95" s="15">
        <f t="shared" si="418"/>
        <v>7.2103004291845574E-2</v>
      </c>
      <c r="Y95" s="518">
        <f t="shared" si="418"/>
        <v>0.10528020732102372</v>
      </c>
      <c r="Z95" s="15">
        <f t="shared" si="418"/>
        <v>0.10002812035511988</v>
      </c>
      <c r="AA95" s="15">
        <f t="shared" si="418"/>
        <v>0.12731831568892771</v>
      </c>
      <c r="AB95" s="15">
        <f t="shared" si="418"/>
        <v>0.15364672690533387</v>
      </c>
      <c r="AC95" s="518">
        <f t="shared" si="418"/>
        <v>0.15240328253223923</v>
      </c>
      <c r="AD95" s="15">
        <f t="shared" si="418"/>
        <v>0.15889420443340763</v>
      </c>
      <c r="AE95" s="15">
        <f t="shared" si="418"/>
        <v>0.14287731685789939</v>
      </c>
      <c r="AF95" s="15">
        <f t="shared" si="418"/>
        <v>0.14537823457483734</v>
      </c>
      <c r="AG95" s="518">
        <f t="shared" si="418"/>
        <v>0.16807604272634791</v>
      </c>
      <c r="AH95" s="15">
        <f t="shared" si="418"/>
        <v>0.19912396798386589</v>
      </c>
      <c r="AI95" s="15">
        <f t="shared" si="418"/>
        <v>0.2213332509576178</v>
      </c>
      <c r="AJ95" s="15">
        <f t="shared" si="418"/>
        <v>0.19980956777655945</v>
      </c>
      <c r="AK95" s="518">
        <f t="shared" si="418"/>
        <v>0.18036088506654324</v>
      </c>
      <c r="AL95" s="15">
        <f t="shared" ref="AL95:BQ95" si="419">AL94/AH94-1</f>
        <v>0.15720179749297025</v>
      </c>
      <c r="AM95" s="15">
        <f t="shared" si="419"/>
        <v>0.1489237929028504</v>
      </c>
      <c r="AN95" s="15">
        <f t="shared" si="419"/>
        <v>0.14383281629512057</v>
      </c>
      <c r="AO95" s="518">
        <f t="shared" si="419"/>
        <v>0.12723080470371229</v>
      </c>
      <c r="AP95" s="15">
        <f t="shared" si="419"/>
        <v>0.11563529011013962</v>
      </c>
      <c r="AQ95" s="15">
        <f t="shared" si="419"/>
        <v>9.6158503026967601E-2</v>
      </c>
      <c r="AR95" s="15">
        <f t="shared" si="419"/>
        <v>8.3907997645277899E-2</v>
      </c>
      <c r="AS95" s="518">
        <f t="shared" si="419"/>
        <v>8.6299296350842658E-2</v>
      </c>
      <c r="AT95" s="15">
        <f t="shared" si="419"/>
        <v>9.4001262035133371E-2</v>
      </c>
      <c r="AU95" s="15">
        <f t="shared" si="419"/>
        <v>9.1900467937260366E-2</v>
      </c>
      <c r="AV95" s="15">
        <f t="shared" si="419"/>
        <v>7.7606439724565934E-2</v>
      </c>
      <c r="AW95" s="518">
        <f t="shared" si="419"/>
        <v>6.8522040408985685E-2</v>
      </c>
      <c r="AX95" s="15">
        <f t="shared" si="419"/>
        <v>6.7559773002139778E-2</v>
      </c>
      <c r="AY95" s="15">
        <f t="shared" si="419"/>
        <v>7.0499733303904799E-2</v>
      </c>
      <c r="AZ95" s="15">
        <f t="shared" si="419"/>
        <v>7.8965368277053694E-2</v>
      </c>
      <c r="BA95" s="518">
        <f t="shared" si="419"/>
        <v>8.3389137560356597E-2</v>
      </c>
      <c r="BB95" s="15">
        <f t="shared" si="419"/>
        <v>9.2007110987172291E-2</v>
      </c>
      <c r="BC95" s="15">
        <f t="shared" si="419"/>
        <v>0.10143981306484307</v>
      </c>
      <c r="BD95" s="15">
        <f t="shared" si="419"/>
        <v>0.1021804047178152</v>
      </c>
      <c r="BE95" s="518">
        <f t="shared" si="419"/>
        <v>0.10341910927486264</v>
      </c>
      <c r="BF95" s="15">
        <f t="shared" si="419"/>
        <v>0.10203495331577694</v>
      </c>
      <c r="BG95" s="15">
        <f t="shared" si="419"/>
        <v>0.10165975103734448</v>
      </c>
      <c r="BH95" s="15">
        <f t="shared" si="419"/>
        <v>0.10352969667615186</v>
      </c>
      <c r="BI95" s="518">
        <f t="shared" si="419"/>
        <v>0.1019370245887139</v>
      </c>
      <c r="BJ95" s="15">
        <f t="shared" si="419"/>
        <v>9.9351175993511731E-2</v>
      </c>
      <c r="BK95" s="15">
        <f t="shared" si="419"/>
        <v>9.9556801608541079E-2</v>
      </c>
      <c r="BL95" s="15">
        <f t="shared" si="419"/>
        <v>9.3940308333790634E-2</v>
      </c>
      <c r="BM95" s="518">
        <f t="shared" si="419"/>
        <v>8.9269708766437805E-2</v>
      </c>
      <c r="BN95" s="15">
        <f t="shared" si="419"/>
        <v>8.1835906623807686E-2</v>
      </c>
      <c r="BO95" s="15">
        <f t="shared" si="419"/>
        <v>6.6783423906044748E-2</v>
      </c>
      <c r="BP95" s="15">
        <f t="shared" si="419"/>
        <v>5.4778890881051145E-2</v>
      </c>
      <c r="BQ95" s="518">
        <f t="shared" si="419"/>
        <v>4.3721752800157221E-2</v>
      </c>
      <c r="BR95" s="15">
        <f t="shared" ref="BR95:BY95" si="420">BR94/BN94-1</f>
        <v>3.9174378957623102E-2</v>
      </c>
      <c r="BS95" s="15">
        <f t="shared" si="420"/>
        <v>3.9280540801545083E-2</v>
      </c>
      <c r="BT95" s="15">
        <f t="shared" si="420"/>
        <v>3.2261132111356838E-2</v>
      </c>
      <c r="BU95" s="518">
        <f t="shared" si="420"/>
        <v>2.6557940318177486E-2</v>
      </c>
      <c r="BV95" s="15">
        <f t="shared" si="420"/>
        <v>2.4315361449312789E-2</v>
      </c>
      <c r="BW95" s="15">
        <f t="shared" si="420"/>
        <v>1.8050038330197138E-2</v>
      </c>
      <c r="BX95" s="15">
        <f t="shared" si="420"/>
        <v>1.1434822662367505E-2</v>
      </c>
      <c r="BY95" s="518">
        <f t="shared" si="420"/>
        <v>6.1439002303962376E-3</v>
      </c>
      <c r="BZ95" s="15">
        <f>BZ94/BN94-1</f>
        <v>3.9174378957623102E-2</v>
      </c>
      <c r="CA95" s="15">
        <f>CA94/BO94-1</f>
        <v>3.9280540801545083E-2</v>
      </c>
      <c r="CB95" s="15">
        <f>CB94/BP94-1</f>
        <v>3.2261132111356838E-2</v>
      </c>
      <c r="CC95" s="518">
        <f>CC94/BQ94-1</f>
        <v>2.6557940318177486E-2</v>
      </c>
      <c r="CD95" s="15">
        <f t="shared" ref="CD95:CK95" si="421">CD94/BZ94-1</f>
        <v>2.4315361449312789E-2</v>
      </c>
      <c r="CE95" s="15">
        <f t="shared" si="421"/>
        <v>1.8050038330197138E-2</v>
      </c>
      <c r="CF95" s="15">
        <f t="shared" si="421"/>
        <v>1.1434822662367505E-2</v>
      </c>
      <c r="CG95" s="518">
        <f t="shared" si="421"/>
        <v>6.1439002303962376E-3</v>
      </c>
      <c r="CH95" s="15">
        <f t="shared" si="421"/>
        <v>2.7227382968013636E-3</v>
      </c>
      <c r="CI95" s="15">
        <f t="shared" si="421"/>
        <v>-1.5345472800292081E-2</v>
      </c>
      <c r="CJ95" s="15">
        <f t="shared" si="421"/>
        <v>-3.434927646784236E-2</v>
      </c>
      <c r="CK95" s="518">
        <f t="shared" si="421"/>
        <v>-3.5362338653633585E-2</v>
      </c>
      <c r="CL95" s="77">
        <f>CL94/CD94-1</f>
        <v>2.7227382968013636E-3</v>
      </c>
      <c r="CM95" s="77">
        <f>CM94/CE94-1</f>
        <v>-1.5345472800292081E-2</v>
      </c>
      <c r="CN95" s="77">
        <f>CN94/CF94-1</f>
        <v>-3.434927646784236E-2</v>
      </c>
      <c r="CO95" s="487">
        <f>CO94/CG94-1</f>
        <v>-3.5362338653633585E-2</v>
      </c>
      <c r="CP95" s="77">
        <f>CP94/CH94-1</f>
        <v>-3.3998859098687939E-2</v>
      </c>
      <c r="CQ95" s="77">
        <f t="shared" ref="CQ95:CW95" si="422">CQ94/CM94-1</f>
        <v>-1.9350428142706488E-2</v>
      </c>
      <c r="CR95" s="77">
        <f t="shared" si="422"/>
        <v>-3.478117336351616E-3</v>
      </c>
      <c r="CS95" s="487">
        <f t="shared" si="422"/>
        <v>-3.2714088316228018E-3</v>
      </c>
      <c r="CT95" s="77">
        <f t="shared" si="422"/>
        <v>-6.2832171961734185E-3</v>
      </c>
      <c r="CU95" s="77">
        <f t="shared" si="422"/>
        <v>-9.5707348197511255E-3</v>
      </c>
      <c r="CV95" s="77">
        <f t="shared" si="422"/>
        <v>-9.7253936891423809E-3</v>
      </c>
      <c r="CW95" s="487">
        <f t="shared" si="422"/>
        <v>-1.0118962984027702E-2</v>
      </c>
      <c r="CX95" s="77">
        <f t="shared" ref="CX95:DE95" si="423">CX94/CT94-1</f>
        <v>-8.6762223965389795E-3</v>
      </c>
      <c r="CY95" s="77">
        <f t="shared" si="423"/>
        <v>-6.0961788530594641E-3</v>
      </c>
      <c r="CZ95" s="77">
        <f t="shared" si="423"/>
        <v>-5.5317267828767225E-3</v>
      </c>
      <c r="DA95" s="487">
        <f t="shared" si="423"/>
        <v>-8.4987192071054318E-3</v>
      </c>
      <c r="DB95" s="77">
        <f t="shared" si="423"/>
        <v>-1.2396892384423541E-2</v>
      </c>
      <c r="DC95" s="77">
        <f t="shared" si="423"/>
        <v>-1.2459189552525451E-2</v>
      </c>
      <c r="DD95" s="70">
        <f t="shared" si="423"/>
        <v>-1.5197750973136581E-2</v>
      </c>
      <c r="DE95" s="487">
        <f t="shared" si="423"/>
        <v>-1.3871450647092942E-2</v>
      </c>
      <c r="DF95" s="77">
        <f t="shared" ref="DF95:DM95" si="424">DF94/DB94-1</f>
        <v>-9.5782649865249203E-3</v>
      </c>
      <c r="DG95" s="77">
        <f t="shared" si="424"/>
        <v>-9.3103532100056174E-3</v>
      </c>
      <c r="DH95" s="77">
        <f t="shared" si="424"/>
        <v>-1.2297031877127274E-2</v>
      </c>
      <c r="DI95" s="487">
        <f t="shared" si="424"/>
        <v>-1.5817244714322443E-2</v>
      </c>
      <c r="DJ95" s="1673">
        <f t="shared" si="424"/>
        <v>-2.4980082122939229E-2</v>
      </c>
      <c r="DK95" s="70">
        <f t="shared" si="424"/>
        <v>-3.544020218874222E-2</v>
      </c>
      <c r="DL95" s="70">
        <f t="shared" si="424"/>
        <v>-3.1825288489804038E-2</v>
      </c>
      <c r="DM95" s="487">
        <f t="shared" si="424"/>
        <v>-2.563877751813004E-2</v>
      </c>
      <c r="DN95" s="70"/>
      <c r="DO95" s="487"/>
      <c r="DP95" s="3"/>
      <c r="DQ95" s="3"/>
      <c r="DR95" s="3"/>
      <c r="DS95" s="384" t="s">
        <v>483</v>
      </c>
      <c r="DT95" s="161">
        <f t="shared" ref="DT95:EP95" si="425">DT94/DS94-1</f>
        <v>0.11111111111111116</v>
      </c>
      <c r="DU95" s="161">
        <f t="shared" si="425"/>
        <v>0.16666666666666674</v>
      </c>
      <c r="DV95" s="161">
        <f t="shared" si="425"/>
        <v>0.22857142857142865</v>
      </c>
      <c r="DW95" s="161">
        <f t="shared" si="425"/>
        <v>0.51273532668881505</v>
      </c>
      <c r="DX95" s="161">
        <f t="shared" si="425"/>
        <v>0.56936310395314793</v>
      </c>
      <c r="DY95" s="15">
        <f t="shared" si="425"/>
        <v>0.46285714285714286</v>
      </c>
      <c r="DZ95" s="15">
        <f t="shared" si="425"/>
        <v>0.43050462372448983</v>
      </c>
      <c r="EA95" s="15">
        <f t="shared" si="425"/>
        <v>0.24794850718196626</v>
      </c>
      <c r="EB95" s="15">
        <f t="shared" si="425"/>
        <v>7.7276888382789677E-2</v>
      </c>
      <c r="EC95" s="15">
        <f t="shared" si="425"/>
        <v>7.3039296965677236E-2</v>
      </c>
      <c r="ED95" s="15">
        <f t="shared" si="425"/>
        <v>0.13403963532411334</v>
      </c>
      <c r="EE95" s="15">
        <f t="shared" si="425"/>
        <v>0.15400730691602149</v>
      </c>
      <c r="EF95" s="15">
        <f t="shared" si="425"/>
        <v>0.1995173681064446</v>
      </c>
      <c r="EG95" s="15">
        <f t="shared" si="425"/>
        <v>0.14377118670136513</v>
      </c>
      <c r="EH95" s="15">
        <f t="shared" si="425"/>
        <v>9.5044967511510814E-2</v>
      </c>
      <c r="EI95" s="15">
        <f t="shared" si="425"/>
        <v>8.2689039306029111E-2</v>
      </c>
      <c r="EJ95" s="15">
        <f t="shared" si="425"/>
        <v>7.523501016260159E-2</v>
      </c>
      <c r="EK95" s="15">
        <f t="shared" si="425"/>
        <v>9.9856961421778134E-2</v>
      </c>
      <c r="EL95" s="15">
        <f t="shared" si="425"/>
        <v>0.10229605048625623</v>
      </c>
      <c r="EM95" s="15">
        <f t="shared" si="425"/>
        <v>9.5405979187693557E-2</v>
      </c>
      <c r="EN95" s="15">
        <f t="shared" si="425"/>
        <v>6.1405654772306306E-2</v>
      </c>
      <c r="EO95" s="15">
        <f t="shared" si="425"/>
        <v>3.4250306821923537E-2</v>
      </c>
      <c r="EP95" s="15">
        <f t="shared" si="425"/>
        <v>1.4928569774711242E-2</v>
      </c>
      <c r="EQ95" s="15">
        <f>EQ94/EN94-1</f>
        <v>3.4250306821923537E-2</v>
      </c>
      <c r="ER95" s="15">
        <f>ER94/EQ94-1</f>
        <v>1.4928569774711242E-2</v>
      </c>
      <c r="ES95" s="15">
        <f>ES94/ER94-1</f>
        <v>-2.0611971369093429E-2</v>
      </c>
      <c r="ET95" s="77">
        <f>ET94/ER94-1</f>
        <v>-2.0611971369093429E-2</v>
      </c>
      <c r="EU95" s="15">
        <f>EU94/ES94-1</f>
        <v>-1.5204896314370386E-2</v>
      </c>
      <c r="EV95" s="15">
        <f t="shared" ref="EV95:FH95" si="426">EV94/EU94-1</f>
        <v>-8.9231860918927985E-3</v>
      </c>
      <c r="EW95" s="15">
        <f t="shared" si="426"/>
        <v>-2.1777913019611628E-3</v>
      </c>
      <c r="EX95" s="77">
        <f t="shared" si="426"/>
        <v>-1.8446985098902191E-2</v>
      </c>
      <c r="EY95" s="77">
        <f t="shared" si="426"/>
        <v>-1.1742237330263028E-2</v>
      </c>
      <c r="EZ95" s="1680">
        <f t="shared" si="426"/>
        <v>-2.9479261005526336E-2</v>
      </c>
      <c r="FA95" s="15">
        <f t="shared" si="426"/>
        <v>-8.7048751993250573E-3</v>
      </c>
      <c r="FB95" s="15">
        <f t="shared" si="426"/>
        <v>-8.5655382999622054E-3</v>
      </c>
      <c r="FC95" s="15">
        <f t="shared" si="426"/>
        <v>-6.6593676564837834E-3</v>
      </c>
      <c r="FD95" s="15">
        <f t="shared" si="426"/>
        <v>-5.2334522087109647E-3</v>
      </c>
      <c r="FE95" s="15">
        <f t="shared" si="426"/>
        <v>-5.2562917160274836E-3</v>
      </c>
      <c r="FF95" s="15">
        <f t="shared" si="426"/>
        <v>-5.2789133904307395E-3</v>
      </c>
      <c r="FG95" s="15">
        <f t="shared" si="426"/>
        <v>-5.3013203335179337E-3</v>
      </c>
      <c r="FH95" s="15">
        <f t="shared" si="426"/>
        <v>-5.3235155882813689E-3</v>
      </c>
      <c r="FI95" s="580"/>
      <c r="FJ95"/>
      <c r="FK95"/>
      <c r="FL95"/>
      <c r="FM95"/>
      <c r="FN95"/>
      <c r="FO95"/>
      <c r="FP95" s="3"/>
      <c r="FS95" s="70"/>
      <c r="FT95" s="70"/>
      <c r="FU95"/>
      <c r="FV95"/>
      <c r="FW95" s="70"/>
      <c r="FX95" s="70"/>
      <c r="FY95" s="70"/>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row>
    <row r="96" spans="1:260" s="4" customFormat="1" x14ac:dyDescent="0.2">
      <c r="A96" s="393" t="s">
        <v>337</v>
      </c>
      <c r="B96" s="848">
        <f t="shared" ref="B96:AG96" si="427">B92/B87*1000</f>
        <v>29698.275862068964</v>
      </c>
      <c r="C96" s="848">
        <f t="shared" si="427"/>
        <v>29596.774193548386</v>
      </c>
      <c r="D96" s="848">
        <f t="shared" si="427"/>
        <v>27046.979865771813</v>
      </c>
      <c r="E96" s="849">
        <f t="shared" si="427"/>
        <v>34139.072847682124</v>
      </c>
      <c r="F96" s="848">
        <f t="shared" si="427"/>
        <v>34281.045751633988</v>
      </c>
      <c r="G96" s="848">
        <f t="shared" si="427"/>
        <v>35238.095238095244</v>
      </c>
      <c r="H96" s="848">
        <f t="shared" si="427"/>
        <v>36881.188118811886</v>
      </c>
      <c r="I96" s="849">
        <f t="shared" si="427"/>
        <v>38191.176470588231</v>
      </c>
      <c r="J96" s="848">
        <f t="shared" si="427"/>
        <v>38478.873239436616</v>
      </c>
      <c r="K96" s="848">
        <f t="shared" si="427"/>
        <v>38799.107142857145</v>
      </c>
      <c r="L96" s="848">
        <f t="shared" si="427"/>
        <v>39466.135458167329</v>
      </c>
      <c r="M96" s="849">
        <f t="shared" si="427"/>
        <v>41434.262948207172</v>
      </c>
      <c r="N96" s="848">
        <f t="shared" si="427"/>
        <v>42239.382239382241</v>
      </c>
      <c r="O96" s="848">
        <f t="shared" si="427"/>
        <v>42435.114503816789</v>
      </c>
      <c r="P96" s="848">
        <f t="shared" si="427"/>
        <v>42952.205882352944</v>
      </c>
      <c r="Q96" s="849">
        <f t="shared" si="427"/>
        <v>42985.294117647056</v>
      </c>
      <c r="R96" s="848">
        <f t="shared" si="427"/>
        <v>43124.087591240874</v>
      </c>
      <c r="S96" s="848">
        <f t="shared" si="427"/>
        <v>43225</v>
      </c>
      <c r="T96" s="848">
        <f t="shared" si="427"/>
        <v>43375.438596491229</v>
      </c>
      <c r="U96" s="849">
        <f t="shared" si="427"/>
        <v>43277.192982456145</v>
      </c>
      <c r="V96" s="848">
        <f t="shared" si="427"/>
        <v>43306.896551724138</v>
      </c>
      <c r="W96" s="848">
        <f t="shared" si="427"/>
        <v>43484.429065743949</v>
      </c>
      <c r="X96" s="848">
        <f t="shared" si="427"/>
        <v>43788.461538461539</v>
      </c>
      <c r="Y96" s="849">
        <f t="shared" si="427"/>
        <v>43839.228295819936</v>
      </c>
      <c r="Z96" s="848">
        <f t="shared" si="427"/>
        <v>43926.517571884986</v>
      </c>
      <c r="AA96" s="848">
        <f t="shared" si="427"/>
        <v>43903.614457831325</v>
      </c>
      <c r="AB96" s="848">
        <f t="shared" si="427"/>
        <v>44302.259887005646</v>
      </c>
      <c r="AC96" s="849">
        <f t="shared" si="427"/>
        <v>44182.072829131655</v>
      </c>
      <c r="AD96" s="848">
        <f t="shared" si="427"/>
        <v>44213.296398891973</v>
      </c>
      <c r="AE96" s="848">
        <f t="shared" si="427"/>
        <v>43997.319034852546</v>
      </c>
      <c r="AF96" s="848">
        <f t="shared" si="427"/>
        <v>44181.598062953992</v>
      </c>
      <c r="AG96" s="849">
        <f t="shared" si="427"/>
        <v>44143.198090692124</v>
      </c>
      <c r="AH96" s="848">
        <f t="shared" ref="AH96:BM96" si="428">AH92/AH87*1000</f>
        <v>45481.395348837214</v>
      </c>
      <c r="AI96" s="848">
        <f t="shared" si="428"/>
        <v>45512.528473804101</v>
      </c>
      <c r="AJ96" s="848">
        <f t="shared" si="428"/>
        <v>45194.56066945607</v>
      </c>
      <c r="AK96" s="849">
        <f t="shared" si="428"/>
        <v>45253.638253638252</v>
      </c>
      <c r="AL96" s="848">
        <f t="shared" si="428"/>
        <v>44895.161290322583</v>
      </c>
      <c r="AM96" s="848">
        <f t="shared" si="428"/>
        <v>44704.633204633203</v>
      </c>
      <c r="AN96" s="848">
        <f t="shared" si="428"/>
        <v>44215.579710144928</v>
      </c>
      <c r="AO96" s="849">
        <f t="shared" si="428"/>
        <v>44189.530685920581</v>
      </c>
      <c r="AP96" s="848">
        <f t="shared" si="428"/>
        <v>43162.87215411559</v>
      </c>
      <c r="AQ96" s="848">
        <f t="shared" si="428"/>
        <v>42912.969283276456</v>
      </c>
      <c r="AR96" s="848">
        <f t="shared" si="428"/>
        <v>42456.591639871382</v>
      </c>
      <c r="AS96" s="849">
        <f t="shared" si="428"/>
        <v>42312.202852614893</v>
      </c>
      <c r="AT96" s="848">
        <f t="shared" si="428"/>
        <v>42127.72585669782</v>
      </c>
      <c r="AU96" s="848">
        <f t="shared" si="428"/>
        <v>41970.81413210446</v>
      </c>
      <c r="AV96" s="848">
        <f t="shared" si="428"/>
        <v>41216.05839416058</v>
      </c>
      <c r="AW96" s="849">
        <f t="shared" si="428"/>
        <v>41085.014409221905</v>
      </c>
      <c r="AX96" s="848">
        <f t="shared" si="428"/>
        <v>40940.425531914887</v>
      </c>
      <c r="AY96" s="848">
        <f t="shared" si="428"/>
        <v>40523.480662983427</v>
      </c>
      <c r="AZ96" s="848">
        <f t="shared" si="428"/>
        <v>39953.002610966061</v>
      </c>
      <c r="BA96" s="849">
        <f t="shared" si="428"/>
        <v>39888.888888888883</v>
      </c>
      <c r="BB96" s="848">
        <f t="shared" si="428"/>
        <v>39726.25</v>
      </c>
      <c r="BC96" s="848">
        <f t="shared" si="428"/>
        <v>39565.483476132191</v>
      </c>
      <c r="BD96" s="848">
        <f t="shared" si="428"/>
        <v>39099.652375434533</v>
      </c>
      <c r="BE96" s="849">
        <f t="shared" si="428"/>
        <v>39052.691867124857</v>
      </c>
      <c r="BF96" s="848">
        <f t="shared" si="428"/>
        <v>38968.784838350053</v>
      </c>
      <c r="BG96" s="848">
        <f t="shared" si="428"/>
        <v>39109.649122807023</v>
      </c>
      <c r="BH96" s="848">
        <f t="shared" si="428"/>
        <v>38751.300728407907</v>
      </c>
      <c r="BI96" s="849">
        <f t="shared" si="428"/>
        <v>38631.307929969102</v>
      </c>
      <c r="BJ96" s="848">
        <f t="shared" si="428"/>
        <v>38282.153539381849</v>
      </c>
      <c r="BK96" s="848">
        <f t="shared" si="428"/>
        <v>37892.857142857145</v>
      </c>
      <c r="BL96" s="848">
        <f t="shared" si="428"/>
        <v>36885.24590163934</v>
      </c>
      <c r="BM96" s="849">
        <f t="shared" si="428"/>
        <v>36968.383017163505</v>
      </c>
      <c r="BN96" s="56">
        <f t="shared" ref="BN96:CV96" si="429">BN92/BN87*1000</f>
        <v>36880.93106535363</v>
      </c>
      <c r="BO96" s="56">
        <f t="shared" si="429"/>
        <v>36561.896400351186</v>
      </c>
      <c r="BP96" s="56">
        <f t="shared" si="429"/>
        <v>35880.067567567567</v>
      </c>
      <c r="BQ96" s="828">
        <f t="shared" si="429"/>
        <v>35715.966386554617</v>
      </c>
      <c r="BR96" s="56">
        <f t="shared" si="429"/>
        <v>35488.815244407626</v>
      </c>
      <c r="BS96" s="56">
        <f t="shared" si="429"/>
        <v>34718.298555377209</v>
      </c>
      <c r="BT96" s="56">
        <f t="shared" si="429"/>
        <v>33601.387818041636</v>
      </c>
      <c r="BU96" s="828">
        <f t="shared" si="429"/>
        <v>33151.100987091872</v>
      </c>
      <c r="BV96" s="56">
        <f t="shared" si="429"/>
        <v>32650.74626865672</v>
      </c>
      <c r="BW96" s="56">
        <f t="shared" si="429"/>
        <v>32111.192392099489</v>
      </c>
      <c r="BX96" s="56">
        <f t="shared" si="429"/>
        <v>30832.982456140351</v>
      </c>
      <c r="BY96" s="828">
        <f t="shared" si="429"/>
        <v>30297.166551485832</v>
      </c>
      <c r="BZ96" s="56">
        <f t="shared" si="429"/>
        <v>35488.815244407626</v>
      </c>
      <c r="CA96" s="56">
        <f t="shared" si="429"/>
        <v>34718.298555377209</v>
      </c>
      <c r="CB96" s="56">
        <f t="shared" si="429"/>
        <v>33601.387818041636</v>
      </c>
      <c r="CC96" s="828">
        <f t="shared" si="429"/>
        <v>33151.100987091872</v>
      </c>
      <c r="CD96" s="56">
        <f t="shared" si="429"/>
        <v>32650.74626865672</v>
      </c>
      <c r="CE96" s="56">
        <f t="shared" si="429"/>
        <v>32111.192392099489</v>
      </c>
      <c r="CF96" s="56">
        <f t="shared" si="429"/>
        <v>30832.982456140351</v>
      </c>
      <c r="CG96" s="828">
        <f t="shared" si="429"/>
        <v>30297.166551485832</v>
      </c>
      <c r="CH96" s="56">
        <f t="shared" si="429"/>
        <v>29843.324250681198</v>
      </c>
      <c r="CI96" s="56">
        <f t="shared" si="429"/>
        <v>29104.794520547945</v>
      </c>
      <c r="CJ96" s="56">
        <f t="shared" si="429"/>
        <v>28481.157469717364</v>
      </c>
      <c r="CK96" s="828">
        <f t="shared" si="429"/>
        <v>28176.979374584163</v>
      </c>
      <c r="CL96" s="56">
        <f t="shared" si="429"/>
        <v>29843.324250681198</v>
      </c>
      <c r="CM96" s="56">
        <f t="shared" si="429"/>
        <v>29104.794520547945</v>
      </c>
      <c r="CN96" s="56">
        <f t="shared" si="429"/>
        <v>28481.157469717364</v>
      </c>
      <c r="CO96" s="828">
        <f t="shared" si="429"/>
        <v>28176.979374584163</v>
      </c>
      <c r="CP96" s="56">
        <f t="shared" si="429"/>
        <v>27989.417989417991</v>
      </c>
      <c r="CQ96" s="56">
        <f t="shared" si="429"/>
        <v>28040.424121935059</v>
      </c>
      <c r="CR96" s="56">
        <f t="shared" si="429"/>
        <v>28063.829787234041</v>
      </c>
      <c r="CS96" s="828">
        <f t="shared" si="429"/>
        <v>28219.397993311039</v>
      </c>
      <c r="CT96" s="56">
        <f t="shared" si="429"/>
        <v>28097.789685197589</v>
      </c>
      <c r="CU96" s="56">
        <f t="shared" si="429"/>
        <v>28350.033852403521</v>
      </c>
      <c r="CV96" s="56">
        <f t="shared" si="429"/>
        <v>28395.112016293278</v>
      </c>
      <c r="CW96" s="828">
        <f t="shared" ref="CW96:DE96" si="430">CW92/CW87*1000</f>
        <v>28809.392265193372</v>
      </c>
      <c r="CX96" s="56">
        <f t="shared" si="430"/>
        <v>28912.6213592233</v>
      </c>
      <c r="CY96" s="56">
        <f t="shared" si="430"/>
        <v>29043.963712491277</v>
      </c>
      <c r="CZ96" s="56">
        <f t="shared" si="430"/>
        <v>29081.761006289307</v>
      </c>
      <c r="DA96" s="828">
        <f>DA92/DA87*1000</f>
        <v>29127.915194346289</v>
      </c>
      <c r="DB96" s="56">
        <f t="shared" si="430"/>
        <v>29356.63338088445</v>
      </c>
      <c r="DC96" s="56">
        <f t="shared" si="430"/>
        <v>29431.639226914816</v>
      </c>
      <c r="DD96" s="830">
        <f t="shared" si="430"/>
        <v>29498.194945848376</v>
      </c>
      <c r="DE96" s="828">
        <f t="shared" si="430"/>
        <v>29954.512105649304</v>
      </c>
      <c r="DF96" s="56">
        <f t="shared" ref="DF96:DM96" si="431">DF92/DF87*1000</f>
        <v>30190.370370370372</v>
      </c>
      <c r="DG96" s="56">
        <f t="shared" si="431"/>
        <v>30320.684523809527</v>
      </c>
      <c r="DH96" s="56">
        <f t="shared" si="431"/>
        <v>30394.557823129249</v>
      </c>
      <c r="DI96" s="828">
        <f t="shared" si="431"/>
        <v>31074.245939675173</v>
      </c>
      <c r="DJ96" s="1698">
        <f t="shared" si="431"/>
        <v>38000</v>
      </c>
      <c r="DK96" s="830">
        <f t="shared" si="431"/>
        <v>37924</v>
      </c>
      <c r="DL96" s="830">
        <f t="shared" si="431"/>
        <v>37848.152000000009</v>
      </c>
      <c r="DM96" s="828">
        <f t="shared" si="431"/>
        <v>37942.772380000002</v>
      </c>
      <c r="DN96" s="167"/>
      <c r="DO96" s="655"/>
      <c r="DP96" s="3"/>
      <c r="DQ96" s="3"/>
      <c r="DR96" s="829">
        <f t="shared" ref="DR96:EU96" si="432">DR92/DR87*1000</f>
        <v>28000</v>
      </c>
      <c r="DS96" s="829">
        <f t="shared" si="432"/>
        <v>28000</v>
      </c>
      <c r="DT96" s="829">
        <f t="shared" si="432"/>
        <v>28000</v>
      </c>
      <c r="DU96" s="829">
        <f t="shared" si="432"/>
        <v>28000</v>
      </c>
      <c r="DV96" s="829">
        <f t="shared" si="432"/>
        <v>28000</v>
      </c>
      <c r="DW96" s="829">
        <f t="shared" si="432"/>
        <v>30810.81081081081</v>
      </c>
      <c r="DX96" s="848">
        <f t="shared" si="432"/>
        <v>34139.072847682124</v>
      </c>
      <c r="DY96" s="848">
        <f t="shared" si="432"/>
        <v>38191.176470588231</v>
      </c>
      <c r="DZ96" s="848">
        <f t="shared" si="432"/>
        <v>41434.262948207172</v>
      </c>
      <c r="EA96" s="848">
        <f t="shared" si="432"/>
        <v>42985.294117647056</v>
      </c>
      <c r="EB96" s="848">
        <f t="shared" si="432"/>
        <v>43277.192982456145</v>
      </c>
      <c r="EC96" s="848">
        <f t="shared" si="432"/>
        <v>43839.228295819936</v>
      </c>
      <c r="ED96" s="848">
        <f t="shared" si="432"/>
        <v>44182.072829131655</v>
      </c>
      <c r="EE96" s="848">
        <f t="shared" si="432"/>
        <v>44143.198090692124</v>
      </c>
      <c r="EF96" s="848">
        <f t="shared" si="432"/>
        <v>45253.638253638252</v>
      </c>
      <c r="EG96" s="848">
        <f t="shared" si="432"/>
        <v>44189.530685920581</v>
      </c>
      <c r="EH96" s="848">
        <f t="shared" si="432"/>
        <v>42312.202852614893</v>
      </c>
      <c r="EI96" s="848">
        <f t="shared" si="432"/>
        <v>41085.014409221905</v>
      </c>
      <c r="EJ96" s="848">
        <f t="shared" si="432"/>
        <v>39888.888888888883</v>
      </c>
      <c r="EK96" s="848">
        <f t="shared" si="432"/>
        <v>39277.649769585252</v>
      </c>
      <c r="EL96" s="848">
        <f t="shared" si="432"/>
        <v>38631.307929969102</v>
      </c>
      <c r="EM96" s="848">
        <f t="shared" si="432"/>
        <v>36968.383017163505</v>
      </c>
      <c r="EN96" s="56">
        <f t="shared" si="432"/>
        <v>35715.966386554617</v>
      </c>
      <c r="EO96" s="56">
        <f t="shared" si="432"/>
        <v>33151.100987091872</v>
      </c>
      <c r="EP96" s="56">
        <f t="shared" si="432"/>
        <v>30297.166551485832</v>
      </c>
      <c r="EQ96" s="56">
        <f t="shared" si="432"/>
        <v>33151.100987091872</v>
      </c>
      <c r="ER96" s="56">
        <f t="shared" si="432"/>
        <v>30297.166551485832</v>
      </c>
      <c r="ES96" s="56">
        <f t="shared" si="432"/>
        <v>28176.979374584163</v>
      </c>
      <c r="ET96" s="56">
        <f t="shared" si="432"/>
        <v>28176.979374584163</v>
      </c>
      <c r="EU96" s="56">
        <f t="shared" si="432"/>
        <v>28219.397993311039</v>
      </c>
      <c r="EV96" s="56">
        <f>CW96</f>
        <v>28809.392265193372</v>
      </c>
      <c r="EW96" s="56">
        <f>CX96</f>
        <v>28912.6213592233</v>
      </c>
      <c r="EX96" s="56">
        <f>DE96</f>
        <v>29954.512105649304</v>
      </c>
      <c r="EY96" s="56">
        <f>DI96</f>
        <v>31074.245939675173</v>
      </c>
      <c r="EZ96" s="1696">
        <f>DM96</f>
        <v>37942.772380000002</v>
      </c>
      <c r="FA96" s="23">
        <f t="shared" ref="FA96:FF96" si="433">FA92/FA87*1000</f>
        <v>37563.344656200003</v>
      </c>
      <c r="FB96" s="23">
        <f t="shared" si="433"/>
        <v>37187.711209638001</v>
      </c>
      <c r="FC96" s="23">
        <f t="shared" si="433"/>
        <v>36815.834097541621</v>
      </c>
      <c r="FD96" s="23">
        <f t="shared" si="433"/>
        <v>36447.675756566205</v>
      </c>
      <c r="FE96" s="23">
        <f t="shared" si="433"/>
        <v>36083.198999000553</v>
      </c>
      <c r="FF96" s="23">
        <f t="shared" si="433"/>
        <v>35722.367009010537</v>
      </c>
      <c r="FG96" s="23">
        <f>FG92/FG87*1000</f>
        <v>35365.143338920439</v>
      </c>
      <c r="FH96" s="23">
        <f>FH92/FH87*1000</f>
        <v>35011.49190553122</v>
      </c>
      <c r="FI96" s="1383"/>
      <c r="FJ96"/>
      <c r="FK96"/>
      <c r="FL96"/>
      <c r="FM96"/>
      <c r="FN96"/>
      <c r="FO96"/>
      <c r="FP96" s="3"/>
      <c r="FS96" s="782"/>
      <c r="FT96" s="782"/>
      <c r="FU96"/>
      <c r="FV96"/>
      <c r="FW96" s="782"/>
      <c r="FX96" s="782"/>
      <c r="FY96" s="782"/>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row>
    <row r="97" spans="1:260" s="4" customFormat="1" x14ac:dyDescent="0.2">
      <c r="A97" s="287" t="s">
        <v>44</v>
      </c>
      <c r="B97" s="383" t="s">
        <v>483</v>
      </c>
      <c r="C97" s="383" t="s">
        <v>483</v>
      </c>
      <c r="D97" s="383" t="s">
        <v>483</v>
      </c>
      <c r="E97" s="549" t="s">
        <v>483</v>
      </c>
      <c r="F97" s="15">
        <f t="shared" ref="F97:AK97" si="434">F96/B96-1</f>
        <v>0.15431097451075271</v>
      </c>
      <c r="G97" s="15">
        <f t="shared" si="434"/>
        <v>0.19060594264953967</v>
      </c>
      <c r="H97" s="15">
        <f t="shared" si="434"/>
        <v>0.3635972778419283</v>
      </c>
      <c r="I97" s="518">
        <f t="shared" si="434"/>
        <v>0.11869401494836507</v>
      </c>
      <c r="J97" s="15">
        <f t="shared" si="434"/>
        <v>0.12245330898642548</v>
      </c>
      <c r="K97" s="15">
        <f t="shared" si="434"/>
        <v>0.10105574324324307</v>
      </c>
      <c r="L97" s="15">
        <f t="shared" si="434"/>
        <v>7.0088505040241555E-2</v>
      </c>
      <c r="M97" s="518">
        <f t="shared" si="434"/>
        <v>8.4917166144816258E-2</v>
      </c>
      <c r="N97" s="15">
        <f t="shared" si="434"/>
        <v>9.7729187041046606E-2</v>
      </c>
      <c r="O97" s="15">
        <f t="shared" si="434"/>
        <v>9.3713686440566102E-2</v>
      </c>
      <c r="P97" s="15">
        <f t="shared" si="434"/>
        <v>8.8330676001472819E-2</v>
      </c>
      <c r="Q97" s="518">
        <f t="shared" si="434"/>
        <v>3.7433540723981862E-2</v>
      </c>
      <c r="R97" s="15">
        <f t="shared" si="434"/>
        <v>2.0945035295373504E-2</v>
      </c>
      <c r="S97" s="15">
        <f t="shared" si="434"/>
        <v>1.8613959345206155E-2</v>
      </c>
      <c r="T97" s="15">
        <f t="shared" si="434"/>
        <v>9.853573418266981E-3</v>
      </c>
      <c r="U97" s="518">
        <f t="shared" si="434"/>
        <v>6.7906680831399946E-3</v>
      </c>
      <c r="V97" s="15">
        <f t="shared" si="434"/>
        <v>4.2391380477668772E-3</v>
      </c>
      <c r="W97" s="15">
        <f t="shared" si="434"/>
        <v>6.0018291670087542E-3</v>
      </c>
      <c r="X97" s="15">
        <f t="shared" si="434"/>
        <v>9.5220464699512508E-3</v>
      </c>
      <c r="Y97" s="518">
        <f t="shared" si="434"/>
        <v>1.2986870788769256E-2</v>
      </c>
      <c r="Z97" s="15">
        <f t="shared" si="434"/>
        <v>1.4307675439656498E-2</v>
      </c>
      <c r="AA97" s="15">
        <f t="shared" si="434"/>
        <v>9.6398964202475401E-3</v>
      </c>
      <c r="AB97" s="15">
        <f t="shared" si="434"/>
        <v>1.1733646958407284E-2</v>
      </c>
      <c r="AC97" s="518">
        <f t="shared" si="434"/>
        <v>7.8204965424633066E-3</v>
      </c>
      <c r="AD97" s="15">
        <f t="shared" si="434"/>
        <v>6.5286037423222254E-3</v>
      </c>
      <c r="AE97" s="15">
        <f t="shared" si="434"/>
        <v>2.1343248882439436E-3</v>
      </c>
      <c r="AF97" s="15">
        <f t="shared" si="434"/>
        <v>-2.7236042666763938E-3</v>
      </c>
      <c r="AG97" s="518">
        <f t="shared" si="434"/>
        <v>-8.79875839910782E-4</v>
      </c>
      <c r="AH97" s="15">
        <f t="shared" si="434"/>
        <v>2.8681393454685233E-2</v>
      </c>
      <c r="AI97" s="15">
        <f t="shared" si="434"/>
        <v>3.443867654188848E-2</v>
      </c>
      <c r="AJ97" s="15">
        <f t="shared" si="434"/>
        <v>2.2927251410388427E-2</v>
      </c>
      <c r="AK97" s="518">
        <f t="shared" si="434"/>
        <v>2.5155408103072485E-2</v>
      </c>
      <c r="AL97" s="15">
        <f t="shared" ref="AL97:BQ97" si="435">AL96/AH96-1</f>
        <v>-1.28895354686962E-2</v>
      </c>
      <c r="AM97" s="15">
        <f t="shared" si="435"/>
        <v>-1.7751052210511764E-2</v>
      </c>
      <c r="AN97" s="15">
        <f t="shared" si="435"/>
        <v>-2.1661477505472648E-2</v>
      </c>
      <c r="AO97" s="518">
        <f t="shared" si="435"/>
        <v>-2.3514298712371873E-2</v>
      </c>
      <c r="AP97" s="15">
        <f t="shared" si="435"/>
        <v>-3.8585207991677195E-2</v>
      </c>
      <c r="AQ97" s="15">
        <f t="shared" si="435"/>
        <v>-4.0077812810933811E-2</v>
      </c>
      <c r="AR97" s="15">
        <f t="shared" si="435"/>
        <v>-3.978208771217262E-2</v>
      </c>
      <c r="AS97" s="518">
        <f t="shared" si="435"/>
        <v>-4.248354314167524E-2</v>
      </c>
      <c r="AT97" s="15">
        <f t="shared" si="435"/>
        <v>-2.3982331243428856E-2</v>
      </c>
      <c r="AU97" s="15">
        <f t="shared" si="435"/>
        <v>-2.1955021218705628E-2</v>
      </c>
      <c r="AV97" s="15">
        <f t="shared" si="435"/>
        <v>-2.921886090700232E-2</v>
      </c>
      <c r="AW97" s="518">
        <f t="shared" si="435"/>
        <v>-2.9003180185811273E-2</v>
      </c>
      <c r="AX97" s="15">
        <f t="shared" si="435"/>
        <v>-2.8183347205155806E-2</v>
      </c>
      <c r="AY97" s="15">
        <f t="shared" si="435"/>
        <v>-3.4484283877970645E-2</v>
      </c>
      <c r="AZ97" s="15">
        <f t="shared" si="435"/>
        <v>-3.0644749459435627E-2</v>
      </c>
      <c r="BA97" s="518">
        <f t="shared" si="435"/>
        <v>-2.9113425844741636E-2</v>
      </c>
      <c r="BB97" s="15">
        <f t="shared" si="435"/>
        <v>-2.9657130235942075E-2</v>
      </c>
      <c r="BC97" s="15">
        <f t="shared" si="435"/>
        <v>-2.3640545461000584E-2</v>
      </c>
      <c r="BD97" s="15">
        <f t="shared" si="435"/>
        <v>-2.1358851144201774E-2</v>
      </c>
      <c r="BE97" s="518">
        <f t="shared" si="435"/>
        <v>-2.0963156534474225E-2</v>
      </c>
      <c r="BF97" s="15">
        <f t="shared" si="435"/>
        <v>-1.9067119641293817E-2</v>
      </c>
      <c r="BG97" s="15">
        <f t="shared" si="435"/>
        <v>-1.1521010569734313E-2</v>
      </c>
      <c r="BH97" s="15">
        <f t="shared" si="435"/>
        <v>-8.9093284943241313E-3</v>
      </c>
      <c r="BI97" s="518">
        <f t="shared" si="435"/>
        <v>-1.0790138067549804E-2</v>
      </c>
      <c r="BJ97" s="15">
        <f t="shared" si="435"/>
        <v>-1.7620033619638931E-2</v>
      </c>
      <c r="BK97" s="15">
        <f t="shared" si="435"/>
        <v>-3.111232156875321E-2</v>
      </c>
      <c r="BL97" s="15">
        <f t="shared" si="435"/>
        <v>-4.8154637178426163E-2</v>
      </c>
      <c r="BM97" s="518">
        <f t="shared" si="435"/>
        <v>-4.304604223652353E-2</v>
      </c>
      <c r="BN97" s="15">
        <f t="shared" si="435"/>
        <v>-3.6602498670476935E-2</v>
      </c>
      <c r="BO97" s="15">
        <f t="shared" si="435"/>
        <v>-3.5124317427112972E-2</v>
      </c>
      <c r="BP97" s="15">
        <f t="shared" si="435"/>
        <v>-2.7251501501501463E-2</v>
      </c>
      <c r="BQ97" s="518">
        <f t="shared" si="435"/>
        <v>-3.3878047358128272E-2</v>
      </c>
      <c r="BR97" s="15">
        <f t="shared" ref="BR97:BY97" si="436">BR96/BN96-1</f>
        <v>-3.7746222254507411E-2</v>
      </c>
      <c r="BS97" s="15">
        <f t="shared" si="436"/>
        <v>-5.0424021357827309E-2</v>
      </c>
      <c r="BT97" s="15">
        <f t="shared" si="436"/>
        <v>-6.3508234627341009E-2</v>
      </c>
      <c r="BU97" s="518">
        <f t="shared" si="436"/>
        <v>-7.1812851756638985E-2</v>
      </c>
      <c r="BV97" s="15">
        <f t="shared" si="436"/>
        <v>-7.9970800834162303E-2</v>
      </c>
      <c r="BW97" s="15">
        <f t="shared" si="436"/>
        <v>-7.5093143148108776E-2</v>
      </c>
      <c r="BX97" s="15">
        <f t="shared" si="436"/>
        <v>-8.2389613693718999E-2</v>
      </c>
      <c r="BY97" s="518">
        <f t="shared" si="436"/>
        <v>-8.6088677317754381E-2</v>
      </c>
      <c r="BZ97" s="15">
        <f>BZ96/BN96-1</f>
        <v>-3.7746222254507411E-2</v>
      </c>
      <c r="CA97" s="15">
        <f>CA96/BO96-1</f>
        <v>-5.0424021357827309E-2</v>
      </c>
      <c r="CB97" s="15">
        <f>CB96/BP96-1</f>
        <v>-6.3508234627341009E-2</v>
      </c>
      <c r="CC97" s="518">
        <f>CC96/BQ96-1</f>
        <v>-7.1812851756638985E-2</v>
      </c>
      <c r="CD97" s="15">
        <f>CD96/BZ96-1</f>
        <v>-7.9970800834162303E-2</v>
      </c>
      <c r="CE97" s="57">
        <f>CE93/CE88*1000</f>
        <v>151.63366377301833</v>
      </c>
      <c r="CF97" s="15">
        <f t="shared" ref="CF97:CK97" si="437">CF96/CB96-1</f>
        <v>-8.2389613693718999E-2</v>
      </c>
      <c r="CG97" s="518">
        <f t="shared" si="437"/>
        <v>-8.6088677317754381E-2</v>
      </c>
      <c r="CH97" s="15">
        <f t="shared" si="437"/>
        <v>-8.5983395138215402E-2</v>
      </c>
      <c r="CI97" s="15">
        <f t="shared" si="437"/>
        <v>-9.3624610224415927E-2</v>
      </c>
      <c r="CJ97" s="15">
        <f t="shared" si="437"/>
        <v>-7.6276272973866188E-2</v>
      </c>
      <c r="CK97" s="518">
        <f t="shared" si="437"/>
        <v>-6.9979718179213335E-2</v>
      </c>
      <c r="CL97" s="77">
        <f>CL96/CD96-1</f>
        <v>-8.5983395138215402E-2</v>
      </c>
      <c r="CM97" s="77">
        <f>CM96/CE96-1</f>
        <v>-9.3624610224415927E-2</v>
      </c>
      <c r="CN97" s="77">
        <f>CN96/CF96-1</f>
        <v>-7.6276272973866188E-2</v>
      </c>
      <c r="CO97" s="487">
        <f>CO96/CG96-1</f>
        <v>-6.9979718179213335E-2</v>
      </c>
      <c r="CP97" s="77">
        <f>CP96/CH96-1</f>
        <v>-6.2121305444747477E-2</v>
      </c>
      <c r="CQ97" s="77">
        <f t="shared" ref="CQ97:CW97" si="438">CQ96/CM96-1</f>
        <v>-3.6570277033271648E-2</v>
      </c>
      <c r="CR97" s="77">
        <f t="shared" si="438"/>
        <v>-1.4652764127548124E-2</v>
      </c>
      <c r="CS97" s="487">
        <f t="shared" si="438"/>
        <v>1.5054352761862955E-3</v>
      </c>
      <c r="CT97" s="77">
        <f t="shared" si="438"/>
        <v>3.8718810023334882E-3</v>
      </c>
      <c r="CU97" s="77">
        <f t="shared" si="438"/>
        <v>1.1041549483064461E-2</v>
      </c>
      <c r="CV97" s="77">
        <f t="shared" si="438"/>
        <v>1.1804598002868927E-2</v>
      </c>
      <c r="CW97" s="487">
        <f t="shared" si="438"/>
        <v>2.0907401072913778E-2</v>
      </c>
      <c r="CX97" s="77">
        <f t="shared" ref="CX97:DE97" si="439">CX96/CT96-1</f>
        <v>2.8999849566636149E-2</v>
      </c>
      <c r="CY97" s="77">
        <f t="shared" si="439"/>
        <v>2.4477214514116774E-2</v>
      </c>
      <c r="CZ97" s="77">
        <f t="shared" si="439"/>
        <v>2.4181943342995948E-2</v>
      </c>
      <c r="DA97" s="487">
        <f t="shared" si="439"/>
        <v>1.1056218271488838E-2</v>
      </c>
      <c r="DB97" s="77">
        <f t="shared" si="439"/>
        <v>1.5357030970818863E-2</v>
      </c>
      <c r="DC97" s="77">
        <f t="shared" si="439"/>
        <v>1.3347885924289482E-2</v>
      </c>
      <c r="DD97" s="70">
        <f t="shared" si="439"/>
        <v>1.4319419634492236E-2</v>
      </c>
      <c r="DE97" s="487">
        <f t="shared" si="439"/>
        <v>2.8378169387950569E-2</v>
      </c>
      <c r="DF97" s="77">
        <f t="shared" ref="DF97:DM97" si="440">DF96/DB96-1</f>
        <v>2.8400292999156029E-2</v>
      </c>
      <c r="DG97" s="77">
        <f t="shared" si="440"/>
        <v>3.0207128119513316E-2</v>
      </c>
      <c r="DH97" s="77">
        <f t="shared" si="440"/>
        <v>3.0387041611406485E-2</v>
      </c>
      <c r="DI97" s="487">
        <f t="shared" si="440"/>
        <v>3.7381140780279765E-2</v>
      </c>
      <c r="DJ97" s="1673">
        <f t="shared" si="440"/>
        <v>0.25867949063964457</v>
      </c>
      <c r="DK97" s="70">
        <f t="shared" si="440"/>
        <v>0.25076331869156565</v>
      </c>
      <c r="DL97" s="70">
        <f t="shared" si="440"/>
        <v>0.24522791942703703</v>
      </c>
      <c r="DM97" s="487">
        <f t="shared" si="440"/>
        <v>0.22103598116777423</v>
      </c>
      <c r="DN97" s="70"/>
      <c r="DO97" s="487"/>
      <c r="DP97" s="3"/>
      <c r="DQ97" s="3"/>
      <c r="DR97" s="3"/>
      <c r="DS97" s="161">
        <f t="shared" ref="DS97:EP97" si="441">DS96/DR96-1</f>
        <v>0</v>
      </c>
      <c r="DT97" s="161">
        <f t="shared" si="441"/>
        <v>0</v>
      </c>
      <c r="DU97" s="161">
        <f t="shared" si="441"/>
        <v>0</v>
      </c>
      <c r="DV97" s="161">
        <f t="shared" si="441"/>
        <v>0</v>
      </c>
      <c r="DW97" s="161">
        <f t="shared" si="441"/>
        <v>0.10038610038610041</v>
      </c>
      <c r="DX97" s="161">
        <f t="shared" si="441"/>
        <v>0.10802253979319176</v>
      </c>
      <c r="DY97" s="15">
        <f t="shared" si="441"/>
        <v>0.11869401494836507</v>
      </c>
      <c r="DZ97" s="15">
        <f t="shared" si="441"/>
        <v>8.4917166144816258E-2</v>
      </c>
      <c r="EA97" s="15">
        <f t="shared" si="441"/>
        <v>3.7433540723981862E-2</v>
      </c>
      <c r="EB97" s="15">
        <f t="shared" si="441"/>
        <v>6.7906680831399946E-3</v>
      </c>
      <c r="EC97" s="15">
        <f t="shared" si="441"/>
        <v>1.2986870788769256E-2</v>
      </c>
      <c r="ED97" s="15">
        <f t="shared" si="441"/>
        <v>7.8204965424633066E-3</v>
      </c>
      <c r="EE97" s="15">
        <f t="shared" si="441"/>
        <v>-8.79875839910782E-4</v>
      </c>
      <c r="EF97" s="15">
        <f t="shared" si="441"/>
        <v>2.5155408103072485E-2</v>
      </c>
      <c r="EG97" s="15">
        <f t="shared" si="441"/>
        <v>-2.3514298712371873E-2</v>
      </c>
      <c r="EH97" s="15">
        <f t="shared" si="441"/>
        <v>-4.248354314167524E-2</v>
      </c>
      <c r="EI97" s="15">
        <f t="shared" si="441"/>
        <v>-2.9003180185811273E-2</v>
      </c>
      <c r="EJ97" s="15">
        <f t="shared" si="441"/>
        <v>-2.9113425844741636E-2</v>
      </c>
      <c r="EK97" s="15">
        <f t="shared" si="441"/>
        <v>-1.5323543380870941E-2</v>
      </c>
      <c r="EL97" s="15">
        <f t="shared" si="441"/>
        <v>-1.6455715741847898E-2</v>
      </c>
      <c r="EM97" s="15">
        <f t="shared" si="441"/>
        <v>-4.304604223652353E-2</v>
      </c>
      <c r="EN97" s="15">
        <f t="shared" si="441"/>
        <v>-3.3878047358128272E-2</v>
      </c>
      <c r="EO97" s="15">
        <f t="shared" si="441"/>
        <v>-7.1812851756638985E-2</v>
      </c>
      <c r="EP97" s="15">
        <f t="shared" si="441"/>
        <v>-8.6088677317754381E-2</v>
      </c>
      <c r="EQ97" s="15">
        <f>EQ96/EN96-1</f>
        <v>-7.1812851756638985E-2</v>
      </c>
      <c r="ER97" s="15">
        <f>ER96/EQ96-1</f>
        <v>-8.6088677317754381E-2</v>
      </c>
      <c r="ES97" s="15">
        <f>ES96/ER96-1</f>
        <v>-6.9979718179213335E-2</v>
      </c>
      <c r="ET97" s="77">
        <f>ET96/ER96-1</f>
        <v>-6.9979718179213335E-2</v>
      </c>
      <c r="EU97" s="15">
        <f>EU96/ES96-1</f>
        <v>1.5054352761862955E-3</v>
      </c>
      <c r="EV97" s="15">
        <f t="shared" ref="EV97:EZ99" si="442">EV96/EU96-1</f>
        <v>2.0907401072913778E-2</v>
      </c>
      <c r="EW97" s="15">
        <f t="shared" si="442"/>
        <v>3.5831749965322679E-3</v>
      </c>
      <c r="EX97" s="77">
        <f t="shared" si="442"/>
        <v>3.6035845158454816E-2</v>
      </c>
      <c r="EY97" s="77">
        <f t="shared" si="442"/>
        <v>3.7381140780279765E-2</v>
      </c>
      <c r="EZ97" s="1680">
        <f t="shared" si="442"/>
        <v>0.22103598116777423</v>
      </c>
      <c r="FA97" s="15">
        <f t="shared" ref="FA97:FH97" si="443">FA96/EZ96-1</f>
        <v>-1.0000000000000009E-2</v>
      </c>
      <c r="FB97" s="15">
        <f t="shared" si="443"/>
        <v>-1.0000000000000009E-2</v>
      </c>
      <c r="FC97" s="15">
        <f t="shared" si="443"/>
        <v>-1.0000000000000009E-2</v>
      </c>
      <c r="FD97" s="15">
        <f t="shared" si="443"/>
        <v>-1.0000000000000009E-2</v>
      </c>
      <c r="FE97" s="15">
        <f t="shared" si="443"/>
        <v>-9.9999999999996758E-3</v>
      </c>
      <c r="FF97" s="15">
        <f t="shared" si="443"/>
        <v>-1.0000000000000342E-2</v>
      </c>
      <c r="FG97" s="15">
        <f t="shared" si="443"/>
        <v>-9.9999999999997868E-3</v>
      </c>
      <c r="FH97" s="15">
        <f t="shared" si="443"/>
        <v>-1.0000000000000453E-2</v>
      </c>
      <c r="FI97" s="580"/>
      <c r="FJ97"/>
      <c r="FK97"/>
      <c r="FL97"/>
      <c r="FM97"/>
      <c r="FN97"/>
      <c r="FO97"/>
      <c r="FP97" s="3"/>
      <c r="FS97" s="70"/>
      <c r="FT97" s="70"/>
      <c r="FU97"/>
      <c r="FV97"/>
      <c r="FW97" s="70"/>
      <c r="FX97" s="70"/>
      <c r="FY97" s="70"/>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row>
    <row r="98" spans="1:260" s="4" customFormat="1" x14ac:dyDescent="0.2">
      <c r="A98" s="393" t="s">
        <v>338</v>
      </c>
      <c r="B98" s="848">
        <f t="shared" ref="B98:AG98" si="444">+B94/B89*1000</f>
        <v>28678.414096916298</v>
      </c>
      <c r="C98" s="848">
        <f t="shared" si="444"/>
        <v>29645.833333333332</v>
      </c>
      <c r="D98" s="848">
        <f t="shared" si="444"/>
        <v>28205.128205128203</v>
      </c>
      <c r="E98" s="849">
        <f t="shared" si="444"/>
        <v>30616.666666666668</v>
      </c>
      <c r="F98" s="848">
        <f t="shared" si="444"/>
        <v>34210.526315789473</v>
      </c>
      <c r="G98" s="848">
        <f t="shared" si="444"/>
        <v>34781.931464174457</v>
      </c>
      <c r="H98" s="848">
        <f t="shared" si="444"/>
        <v>36135.13513513514</v>
      </c>
      <c r="I98" s="849">
        <f t="shared" si="444"/>
        <v>37539.408866995072</v>
      </c>
      <c r="J98" s="848">
        <f t="shared" si="444"/>
        <v>38338.129496402878</v>
      </c>
      <c r="K98" s="848">
        <f t="shared" si="444"/>
        <v>38643.020594965674</v>
      </c>
      <c r="L98" s="848">
        <f t="shared" si="444"/>
        <v>39151.57894736842</v>
      </c>
      <c r="M98" s="849">
        <f t="shared" si="444"/>
        <v>40450.199203187251</v>
      </c>
      <c r="N98" s="848">
        <f t="shared" si="444"/>
        <v>41843.137254901958</v>
      </c>
      <c r="O98" s="848">
        <f t="shared" si="444"/>
        <v>42337.81190019194</v>
      </c>
      <c r="P98" s="848">
        <f t="shared" si="444"/>
        <v>42698.501872659181</v>
      </c>
      <c r="Q98" s="849">
        <f t="shared" si="444"/>
        <v>42968.75</v>
      </c>
      <c r="R98" s="848">
        <f t="shared" si="444"/>
        <v>42886.44688644688</v>
      </c>
      <c r="S98" s="848">
        <f t="shared" si="444"/>
        <v>43175.090252707581</v>
      </c>
      <c r="T98" s="848">
        <f t="shared" si="444"/>
        <v>43300.884955752212</v>
      </c>
      <c r="U98" s="849">
        <f t="shared" si="444"/>
        <v>43326.31578947368</v>
      </c>
      <c r="V98" s="848">
        <f t="shared" si="444"/>
        <v>43292.17391304348</v>
      </c>
      <c r="W98" s="848">
        <f t="shared" si="444"/>
        <v>43395.509499136446</v>
      </c>
      <c r="X98" s="848">
        <f t="shared" si="444"/>
        <v>43642.26289517471</v>
      </c>
      <c r="Y98" s="849">
        <f t="shared" si="444"/>
        <v>43813.804173354736</v>
      </c>
      <c r="Z98" s="848">
        <f t="shared" si="444"/>
        <v>43883.01282051282</v>
      </c>
      <c r="AA98" s="848">
        <f t="shared" si="444"/>
        <v>43914.728682170542</v>
      </c>
      <c r="AB98" s="848">
        <f t="shared" si="444"/>
        <v>44109.329446064141</v>
      </c>
      <c r="AC98" s="849">
        <f t="shared" si="444"/>
        <v>44241.912798874822</v>
      </c>
      <c r="AD98" s="848">
        <f t="shared" si="444"/>
        <v>44197.771587743729</v>
      </c>
      <c r="AE98" s="848">
        <f t="shared" si="444"/>
        <v>44103.542234332424</v>
      </c>
      <c r="AF98" s="848">
        <f t="shared" si="444"/>
        <v>44094.147582697202</v>
      </c>
      <c r="AG98" s="849">
        <f t="shared" si="444"/>
        <v>44162.25961538461</v>
      </c>
      <c r="AH98" s="848">
        <f t="shared" ref="AH98:BM98" si="445">+AH94/AH89*1000</f>
        <v>44820.965842167258</v>
      </c>
      <c r="AI98" s="848">
        <f t="shared" si="445"/>
        <v>45497.123130034524</v>
      </c>
      <c r="AJ98" s="848">
        <f t="shared" si="445"/>
        <v>45346.782988004365</v>
      </c>
      <c r="AK98" s="849">
        <f t="shared" si="445"/>
        <v>45224.191866527632</v>
      </c>
      <c r="AL98" s="848">
        <f t="shared" si="445"/>
        <v>45071.64790174002</v>
      </c>
      <c r="AM98" s="848">
        <f t="shared" si="445"/>
        <v>44797.830374753452</v>
      </c>
      <c r="AN98" s="848">
        <f t="shared" si="445"/>
        <v>44452.336448598129</v>
      </c>
      <c r="AO98" s="849">
        <f t="shared" si="445"/>
        <v>44202.531645569623</v>
      </c>
      <c r="AP98" s="848">
        <f t="shared" si="445"/>
        <v>43668.444444444445</v>
      </c>
      <c r="AQ98" s="848">
        <f t="shared" si="445"/>
        <v>43036.30077787381</v>
      </c>
      <c r="AR98" s="848">
        <f t="shared" si="445"/>
        <v>42677.980132450328</v>
      </c>
      <c r="AS98" s="849">
        <f t="shared" si="445"/>
        <v>42383.878691141261</v>
      </c>
      <c r="AT98" s="848">
        <f t="shared" si="445"/>
        <v>42219.167321288296</v>
      </c>
      <c r="AU98" s="848">
        <f t="shared" si="445"/>
        <v>42048.723897911834</v>
      </c>
      <c r="AV98" s="848">
        <f t="shared" si="445"/>
        <v>41583.832335329338</v>
      </c>
      <c r="AW98" s="849">
        <f t="shared" si="445"/>
        <v>41150.108774474254</v>
      </c>
      <c r="AX98" s="848">
        <f t="shared" si="445"/>
        <v>41012.151536812009</v>
      </c>
      <c r="AY98" s="848">
        <f t="shared" si="445"/>
        <v>40729.181245626314</v>
      </c>
      <c r="AZ98" s="848">
        <f t="shared" si="445"/>
        <v>40230.201342281878</v>
      </c>
      <c r="BA98" s="849">
        <f t="shared" si="445"/>
        <v>39920.779220779223</v>
      </c>
      <c r="BB98" s="848">
        <f t="shared" si="445"/>
        <v>39806.226175349431</v>
      </c>
      <c r="BC98" s="848">
        <f t="shared" si="445"/>
        <v>39645.021645021639</v>
      </c>
      <c r="BD98" s="848">
        <f t="shared" si="445"/>
        <v>39326.190476190473</v>
      </c>
      <c r="BE98" s="849">
        <f t="shared" si="445"/>
        <v>39076.036866359442</v>
      </c>
      <c r="BF98" s="848">
        <f t="shared" si="445"/>
        <v>39010.169491525427</v>
      </c>
      <c r="BG98" s="848">
        <f t="shared" si="445"/>
        <v>39039.800995024874</v>
      </c>
      <c r="BH98" s="848">
        <f t="shared" si="445"/>
        <v>38925.787506673783</v>
      </c>
      <c r="BI98" s="849">
        <f t="shared" si="445"/>
        <v>38690.993788819876</v>
      </c>
      <c r="BJ98" s="848">
        <f t="shared" si="445"/>
        <v>38453.900709219859</v>
      </c>
      <c r="BK98" s="848">
        <f t="shared" si="445"/>
        <v>38084.355076017659</v>
      </c>
      <c r="BL98" s="848">
        <f t="shared" si="445"/>
        <v>37374.414245548265</v>
      </c>
      <c r="BM98" s="849">
        <f t="shared" si="445"/>
        <v>36926.984126984127</v>
      </c>
      <c r="BN98" s="56">
        <f t="shared" ref="BN98:CD98" si="446">+BN94/BN89*1000</f>
        <v>36924.460431654676</v>
      </c>
      <c r="BO98" s="56">
        <f t="shared" si="446"/>
        <v>36719.858156028364</v>
      </c>
      <c r="BP98" s="56">
        <f t="shared" si="446"/>
        <v>36214.377959535086</v>
      </c>
      <c r="BQ98" s="828">
        <f t="shared" si="446"/>
        <v>35797.809604043803</v>
      </c>
      <c r="BR98" s="56">
        <f t="shared" si="446"/>
        <v>35601.585314977056</v>
      </c>
      <c r="BS98" s="56">
        <f t="shared" si="446"/>
        <v>35097.431716265797</v>
      </c>
      <c r="BT98" s="56">
        <f t="shared" si="446"/>
        <v>34148.643334644119</v>
      </c>
      <c r="BU98" s="828">
        <f t="shared" si="446"/>
        <v>33374.521805661818</v>
      </c>
      <c r="BV98" s="56">
        <f t="shared" si="446"/>
        <v>32898.757997741814</v>
      </c>
      <c r="BW98" s="56">
        <f t="shared" si="446"/>
        <v>32378.278537125971</v>
      </c>
      <c r="BX98" s="56">
        <f t="shared" si="446"/>
        <v>31458.810888252148</v>
      </c>
      <c r="BY98" s="828">
        <f t="shared" si="446"/>
        <v>30563.022284122562</v>
      </c>
      <c r="BZ98" s="56">
        <f t="shared" si="446"/>
        <v>35601.585314977056</v>
      </c>
      <c r="CA98" s="56">
        <f t="shared" si="446"/>
        <v>35097.431716265797</v>
      </c>
      <c r="CB98" s="56">
        <f t="shared" si="446"/>
        <v>34148.643334644119</v>
      </c>
      <c r="CC98" s="828">
        <f t="shared" si="446"/>
        <v>33374.521805661818</v>
      </c>
      <c r="CD98" s="56">
        <f t="shared" si="446"/>
        <v>32898.757997741814</v>
      </c>
      <c r="CE98" s="56">
        <f>CE94/CE89*1000</f>
        <v>32378.278537125971</v>
      </c>
      <c r="CF98" s="56">
        <f t="shared" ref="CF98:DF98" si="447">+CF94/CF89*1000</f>
        <v>31458.810888252148</v>
      </c>
      <c r="CG98" s="828">
        <f t="shared" si="447"/>
        <v>30563.022284122562</v>
      </c>
      <c r="CH98" s="56">
        <f t="shared" si="447"/>
        <v>30068.610634648368</v>
      </c>
      <c r="CI98" s="56">
        <f t="shared" si="447"/>
        <v>29475.06830601093</v>
      </c>
      <c r="CJ98" s="56">
        <f t="shared" si="447"/>
        <v>28790.224032586557</v>
      </c>
      <c r="CK98" s="828">
        <f t="shared" si="447"/>
        <v>28328.203412512546</v>
      </c>
      <c r="CL98" s="56">
        <f t="shared" si="447"/>
        <v>30068.610634648368</v>
      </c>
      <c r="CM98" s="56">
        <f t="shared" si="447"/>
        <v>29475.06830601093</v>
      </c>
      <c r="CN98" s="56">
        <f t="shared" si="447"/>
        <v>28790.224032586557</v>
      </c>
      <c r="CO98" s="828">
        <f t="shared" si="447"/>
        <v>28328.203412512546</v>
      </c>
      <c r="CP98" s="56">
        <f t="shared" si="447"/>
        <v>28082.918739635159</v>
      </c>
      <c r="CQ98" s="56">
        <f t="shared" si="447"/>
        <v>28014.895729890763</v>
      </c>
      <c r="CR98" s="56">
        <f t="shared" si="447"/>
        <v>28052.107534019251</v>
      </c>
      <c r="CS98" s="828">
        <f t="shared" si="447"/>
        <v>28141.380460153385</v>
      </c>
      <c r="CT98" s="56">
        <f t="shared" si="447"/>
        <v>28158.634538152612</v>
      </c>
      <c r="CU98" s="57">
        <f t="shared" si="447"/>
        <v>28223.232323232325</v>
      </c>
      <c r="CV98" s="57">
        <f t="shared" si="447"/>
        <v>28372.542372881355</v>
      </c>
      <c r="CW98" s="537">
        <f t="shared" si="447"/>
        <v>28600.479287915095</v>
      </c>
      <c r="CX98" s="57">
        <f t="shared" si="447"/>
        <v>28860.899653979239</v>
      </c>
      <c r="CY98" s="57">
        <f t="shared" si="447"/>
        <v>28978.08695652174</v>
      </c>
      <c r="CZ98" s="57">
        <f t="shared" si="447"/>
        <v>29062.849162011171</v>
      </c>
      <c r="DA98" s="537">
        <f>+DA94/DA89*1000</f>
        <v>29104.708362614198</v>
      </c>
      <c r="DB98" s="57">
        <f t="shared" si="447"/>
        <v>29241.746538871139</v>
      </c>
      <c r="DC98" s="57">
        <f t="shared" si="447"/>
        <v>29394.069310468021</v>
      </c>
      <c r="DD98" s="57">
        <f t="shared" si="447"/>
        <v>29464.773544212796</v>
      </c>
      <c r="DE98" s="1956">
        <f t="shared" si="447"/>
        <v>29724.526928675397</v>
      </c>
      <c r="DF98" s="2492">
        <f t="shared" si="447"/>
        <v>30071.876151861408</v>
      </c>
      <c r="DG98" s="2492">
        <f t="shared" ref="DG98:DI98" si="448">+DG94/DG89*1000</f>
        <v>30255.382331106161</v>
      </c>
      <c r="DH98" s="2492">
        <f t="shared" si="448"/>
        <v>30357.330333708287</v>
      </c>
      <c r="DI98" s="1956">
        <f t="shared" si="448"/>
        <v>30730.504587155963</v>
      </c>
      <c r="DJ98" s="2732">
        <v>38000</v>
      </c>
      <c r="DK98" s="2596">
        <f>DJ98*0.998</f>
        <v>37924</v>
      </c>
      <c r="DL98" s="2596">
        <f>DK98*0.998</f>
        <v>37848.152000000002</v>
      </c>
      <c r="DM98" s="1603">
        <f>DL98*1.0025</f>
        <v>37942.772380000002</v>
      </c>
      <c r="DN98" s="167"/>
      <c r="DO98" s="655"/>
      <c r="DP98" s="3"/>
      <c r="DQ98" s="3"/>
      <c r="DR98" s="154"/>
      <c r="DS98" s="154">
        <f t="shared" ref="DS98:EV98" si="449">+DS94/DS89*1000</f>
        <v>28000</v>
      </c>
      <c r="DT98" s="154">
        <f t="shared" si="449"/>
        <v>28000</v>
      </c>
      <c r="DU98" s="154">
        <f t="shared" si="449"/>
        <v>28000</v>
      </c>
      <c r="DV98" s="154">
        <f t="shared" si="449"/>
        <v>28000</v>
      </c>
      <c r="DW98" s="154">
        <f t="shared" si="449"/>
        <v>29695.652173913044</v>
      </c>
      <c r="DX98" s="92">
        <f t="shared" si="449"/>
        <v>32729.007633587786</v>
      </c>
      <c r="DY98" s="92">
        <f t="shared" si="449"/>
        <v>35335.211267605635</v>
      </c>
      <c r="DZ98" s="92">
        <f t="shared" si="449"/>
        <v>39437.912087912089</v>
      </c>
      <c r="EA98" s="92">
        <f t="shared" si="449"/>
        <v>42817.399617590825</v>
      </c>
      <c r="EB98" s="92">
        <f t="shared" si="449"/>
        <v>43310.592459605024</v>
      </c>
      <c r="EC98" s="92">
        <f t="shared" si="449"/>
        <v>43432.885906040268</v>
      </c>
      <c r="ED98" s="92">
        <f t="shared" si="449"/>
        <v>43945.733532934137</v>
      </c>
      <c r="EE98" s="92">
        <f t="shared" si="449"/>
        <v>43655.60567010309</v>
      </c>
      <c r="EF98" s="92">
        <f t="shared" si="449"/>
        <v>45150.833333333328</v>
      </c>
      <c r="EG98" s="92">
        <f t="shared" si="449"/>
        <v>44906.280193236715</v>
      </c>
      <c r="EH98" s="92">
        <f t="shared" si="449"/>
        <v>42949.789029535867</v>
      </c>
      <c r="EI98" s="92">
        <f t="shared" si="449"/>
        <v>41587.924528301883</v>
      </c>
      <c r="EJ98" s="92">
        <f t="shared" si="449"/>
        <v>40360.865122615804</v>
      </c>
      <c r="EK98" s="92">
        <f t="shared" si="449"/>
        <v>39687.119366626066</v>
      </c>
      <c r="EL98" s="92">
        <f t="shared" si="449"/>
        <v>39060.630777596525</v>
      </c>
      <c r="EM98" s="92">
        <f t="shared" si="449"/>
        <v>37866.09720885467</v>
      </c>
      <c r="EN98" s="57">
        <f t="shared" si="449"/>
        <v>36359.381802350894</v>
      </c>
      <c r="EO98" s="57">
        <f t="shared" si="449"/>
        <v>34454.726765057836</v>
      </c>
      <c r="EP98" s="57">
        <f t="shared" si="449"/>
        <v>31717.619392185239</v>
      </c>
      <c r="EQ98" s="57">
        <f t="shared" si="449"/>
        <v>34454.726765057836</v>
      </c>
      <c r="ER98" s="57">
        <f t="shared" si="449"/>
        <v>31717.619392185239</v>
      </c>
      <c r="ES98" s="57">
        <f t="shared" si="449"/>
        <v>29105.254237288136</v>
      </c>
      <c r="ET98" s="57">
        <f t="shared" si="449"/>
        <v>29105.254237288136</v>
      </c>
      <c r="EU98" s="57">
        <f t="shared" si="449"/>
        <v>28203.802535023351</v>
      </c>
      <c r="EV98" s="57">
        <f t="shared" si="449"/>
        <v>28474.515800203873</v>
      </c>
      <c r="EW98" s="57">
        <f>+EW94/EW89*1000</f>
        <v>29206.426825008733</v>
      </c>
      <c r="EX98" s="57">
        <f>+EX94/EX89*1000</f>
        <v>29544.816414686826</v>
      </c>
      <c r="EY98" s="57">
        <f>+EY94/EY89*1000</f>
        <v>30539.0625</v>
      </c>
      <c r="EZ98" s="1744">
        <f>+EZ94/EZ89*1000</f>
        <v>33843.781406334907</v>
      </c>
      <c r="FA98" s="1604">
        <f>+DM98*0.99</f>
        <v>37563.344656200003</v>
      </c>
      <c r="FB98" s="1604">
        <f>FA98*0.99</f>
        <v>37187.711209638001</v>
      </c>
      <c r="FC98" s="1604">
        <f t="shared" ref="FC98:FH98" si="450">FB98*0.99</f>
        <v>36815.834097541621</v>
      </c>
      <c r="FD98" s="1604">
        <f t="shared" si="450"/>
        <v>36447.675756566205</v>
      </c>
      <c r="FE98" s="1604">
        <f t="shared" si="450"/>
        <v>36083.198999000546</v>
      </c>
      <c r="FF98" s="1604">
        <f t="shared" si="450"/>
        <v>35722.367009010537</v>
      </c>
      <c r="FG98" s="1604">
        <f t="shared" si="450"/>
        <v>35365.143338920432</v>
      </c>
      <c r="FH98" s="1604">
        <f t="shared" si="450"/>
        <v>35011.491905531228</v>
      </c>
      <c r="FI98" s="596"/>
      <c r="FJ98"/>
      <c r="FK98"/>
      <c r="FL98"/>
      <c r="FM98"/>
      <c r="FN98"/>
      <c r="FO98"/>
      <c r="FP98" s="3"/>
      <c r="FS98"/>
      <c r="FT98"/>
      <c r="FU98"/>
      <c r="FV98"/>
      <c r="FW98" s="2643"/>
      <c r="FX98" s="2643"/>
      <c r="FY98" s="2643"/>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row>
    <row r="99" spans="1:260" s="4" customFormat="1" x14ac:dyDescent="0.2">
      <c r="A99" s="287" t="s">
        <v>44</v>
      </c>
      <c r="B99" s="383" t="s">
        <v>483</v>
      </c>
      <c r="C99" s="383" t="s">
        <v>483</v>
      </c>
      <c r="D99" s="383" t="s">
        <v>483</v>
      </c>
      <c r="E99" s="549" t="s">
        <v>483</v>
      </c>
      <c r="F99" s="15">
        <f t="shared" ref="F99:AK99" si="451">F98/B98-1</f>
        <v>0.19290160886086194</v>
      </c>
      <c r="G99" s="15">
        <f t="shared" si="451"/>
        <v>0.17324856660602528</v>
      </c>
      <c r="H99" s="15">
        <f t="shared" si="451"/>
        <v>0.28115479115479136</v>
      </c>
      <c r="I99" s="518">
        <f t="shared" si="451"/>
        <v>0.22611025150773223</v>
      </c>
      <c r="J99" s="15">
        <f t="shared" si="451"/>
        <v>0.1206530160486996</v>
      </c>
      <c r="K99" s="15">
        <f t="shared" si="451"/>
        <v>0.11100847389019086</v>
      </c>
      <c r="L99" s="15">
        <f t="shared" si="451"/>
        <v>8.347675471401006E-2</v>
      </c>
      <c r="M99" s="518">
        <f t="shared" si="451"/>
        <v>7.7539589035760415E-2</v>
      </c>
      <c r="N99" s="15">
        <f t="shared" si="451"/>
        <v>9.1423546337281225E-2</v>
      </c>
      <c r="O99" s="15">
        <f t="shared" si="451"/>
        <v>9.5613418628760494E-2</v>
      </c>
      <c r="P99" s="15">
        <f t="shared" si="451"/>
        <v>9.0594632979142498E-2</v>
      </c>
      <c r="Q99" s="518">
        <f t="shared" si="451"/>
        <v>6.226300108342353E-2</v>
      </c>
      <c r="R99" s="15">
        <f t="shared" si="451"/>
        <v>2.4933829057540269E-2</v>
      </c>
      <c r="S99" s="15">
        <f t="shared" si="451"/>
        <v>1.9776136624383378E-2</v>
      </c>
      <c r="T99" s="15">
        <f t="shared" si="451"/>
        <v>1.4107827129146822E-2</v>
      </c>
      <c r="U99" s="518">
        <f t="shared" si="451"/>
        <v>8.3215311004782855E-3</v>
      </c>
      <c r="V99" s="15">
        <f t="shared" si="451"/>
        <v>9.4604952392272068E-3</v>
      </c>
      <c r="W99" s="15">
        <f t="shared" si="451"/>
        <v>5.1052411272038967E-3</v>
      </c>
      <c r="X99" s="15">
        <f t="shared" si="451"/>
        <v>7.8838559482408144E-3</v>
      </c>
      <c r="Y99" s="518">
        <f t="shared" si="451"/>
        <v>1.1251554049732881E-2</v>
      </c>
      <c r="Z99" s="15">
        <f t="shared" si="451"/>
        <v>1.3647707058003E-2</v>
      </c>
      <c r="AA99" s="15">
        <f t="shared" si="451"/>
        <v>1.1964813618432713E-2</v>
      </c>
      <c r="AB99" s="15">
        <f t="shared" si="451"/>
        <v>1.0702161618229677E-2</v>
      </c>
      <c r="AC99" s="518">
        <f t="shared" si="451"/>
        <v>9.771090038797503E-3</v>
      </c>
      <c r="AD99" s="15">
        <f t="shared" si="451"/>
        <v>7.1726790619028868E-3</v>
      </c>
      <c r="AE99" s="15">
        <f t="shared" si="451"/>
        <v>4.2995495549660312E-3</v>
      </c>
      <c r="AF99" s="15">
        <f t="shared" si="451"/>
        <v>-3.4418712679595842E-4</v>
      </c>
      <c r="AG99" s="518">
        <f t="shared" si="451"/>
        <v>-1.8004009874599269E-3</v>
      </c>
      <c r="AH99" s="15">
        <f t="shared" si="451"/>
        <v>1.4100128400960976E-2</v>
      </c>
      <c r="AI99" s="15">
        <f t="shared" si="451"/>
        <v>3.1597935791589649E-2</v>
      </c>
      <c r="AJ99" s="15">
        <f t="shared" si="451"/>
        <v>2.8408200951336671E-2</v>
      </c>
      <c r="AK99" s="518">
        <f t="shared" si="451"/>
        <v>2.4046148462319117E-2</v>
      </c>
      <c r="AL99" s="15">
        <f t="shared" ref="AL99:BQ99" si="452">AL98/AH98-1</f>
        <v>5.5929642492649201E-3</v>
      </c>
      <c r="AM99" s="15">
        <f t="shared" si="452"/>
        <v>-1.5370043360377617E-2</v>
      </c>
      <c r="AN99" s="15">
        <f t="shared" si="452"/>
        <v>-1.972458640876118E-2</v>
      </c>
      <c r="AO99" s="518">
        <f t="shared" si="452"/>
        <v>-2.2591011111337989E-2</v>
      </c>
      <c r="AP99" s="15">
        <f t="shared" si="452"/>
        <v>-3.1132730277683152E-2</v>
      </c>
      <c r="AQ99" s="15">
        <f t="shared" si="452"/>
        <v>-3.9321761392095866E-2</v>
      </c>
      <c r="AR99" s="15">
        <f t="shared" si="452"/>
        <v>-3.9915929238040326E-2</v>
      </c>
      <c r="AS99" s="518">
        <f t="shared" si="452"/>
        <v>-4.1143637857915416E-2</v>
      </c>
      <c r="AT99" s="15">
        <f t="shared" si="452"/>
        <v>-3.3188201265102024E-2</v>
      </c>
      <c r="AU99" s="15">
        <f t="shared" si="452"/>
        <v>-2.2947531783905517E-2</v>
      </c>
      <c r="AV99" s="15">
        <f t="shared" si="452"/>
        <v>-2.563729102748824E-2</v>
      </c>
      <c r="AW99" s="518">
        <f t="shared" si="452"/>
        <v>-2.9109415059855759E-2</v>
      </c>
      <c r="AX99" s="15">
        <f t="shared" si="452"/>
        <v>-2.8589284466244536E-2</v>
      </c>
      <c r="AY99" s="15">
        <f t="shared" si="452"/>
        <v>-3.1381277003534658E-2</v>
      </c>
      <c r="AZ99" s="15">
        <f t="shared" si="452"/>
        <v>-3.255185770594371E-2</v>
      </c>
      <c r="BA99" s="518">
        <f t="shared" si="452"/>
        <v>-2.9874272275498659E-2</v>
      </c>
      <c r="BB99" s="15">
        <f t="shared" si="452"/>
        <v>-2.9404098938339174E-2</v>
      </c>
      <c r="BC99" s="15">
        <f t="shared" si="452"/>
        <v>-2.6618742814062735E-2</v>
      </c>
      <c r="BD99" s="15">
        <f t="shared" si="452"/>
        <v>-2.2470950577652027E-2</v>
      </c>
      <c r="BE99" s="518">
        <f t="shared" si="452"/>
        <v>-2.1160467578751119E-2</v>
      </c>
      <c r="BF99" s="15">
        <f t="shared" si="452"/>
        <v>-1.9998295751958883E-2</v>
      </c>
      <c r="BG99" s="15">
        <f t="shared" si="452"/>
        <v>-1.5265993683036938E-2</v>
      </c>
      <c r="BH99" s="15">
        <f t="shared" si="452"/>
        <v>-1.018158546933523E-2</v>
      </c>
      <c r="BI99" s="518">
        <f t="shared" si="452"/>
        <v>-9.8536880507206215E-3</v>
      </c>
      <c r="BJ99" s="15">
        <f t="shared" si="452"/>
        <v>-1.4259583835604994E-2</v>
      </c>
      <c r="BK99" s="15">
        <f t="shared" si="452"/>
        <v>-2.4473637023123551E-2</v>
      </c>
      <c r="BL99" s="15">
        <f t="shared" si="452"/>
        <v>-3.9854640342460335E-2</v>
      </c>
      <c r="BM99" s="518">
        <f t="shared" si="452"/>
        <v>-4.559225517607346E-2</v>
      </c>
      <c r="BN99" s="15">
        <f t="shared" si="452"/>
        <v>-3.9773345469695798E-2</v>
      </c>
      <c r="BO99" s="15">
        <f t="shared" si="452"/>
        <v>-3.5828279545910946E-2</v>
      </c>
      <c r="BP99" s="15">
        <f t="shared" si="452"/>
        <v>-3.1038246603459552E-2</v>
      </c>
      <c r="BQ99" s="518">
        <f t="shared" si="452"/>
        <v>-3.0578574168346084E-2</v>
      </c>
      <c r="BR99" s="15">
        <f t="shared" ref="BR99:BY99" si="453">BR98/BN98-1</f>
        <v>-3.5826525322589231E-2</v>
      </c>
      <c r="BS99" s="15">
        <f t="shared" si="453"/>
        <v>-4.4183897248966097E-2</v>
      </c>
      <c r="BT99" s="15">
        <f t="shared" si="453"/>
        <v>-5.7041836455099637E-2</v>
      </c>
      <c r="BU99" s="518">
        <f t="shared" si="453"/>
        <v>-6.7693745097416436E-2</v>
      </c>
      <c r="BV99" s="15">
        <f t="shared" si="453"/>
        <v>-7.59187348912298E-2</v>
      </c>
      <c r="BW99" s="15">
        <f t="shared" si="453"/>
        <v>-7.7474420382721121E-2</v>
      </c>
      <c r="BX99" s="15">
        <f t="shared" si="453"/>
        <v>-7.8768354573638621E-2</v>
      </c>
      <c r="BY99" s="518">
        <f t="shared" si="453"/>
        <v>-8.4240893035426145E-2</v>
      </c>
      <c r="BZ99" s="15">
        <f>BZ98/BN98-1</f>
        <v>-3.5826525322589231E-2</v>
      </c>
      <c r="CA99" s="15">
        <f>CA98/BO98-1</f>
        <v>-4.4183897248966097E-2</v>
      </c>
      <c r="CB99" s="15">
        <f>CB98/BP98-1</f>
        <v>-5.7041836455099637E-2</v>
      </c>
      <c r="CC99" s="518">
        <f>CC98/BQ98-1</f>
        <v>-6.7693745097416436E-2</v>
      </c>
      <c r="CD99" s="15">
        <f>CD98/BZ98-1</f>
        <v>-7.59187348912298E-2</v>
      </c>
      <c r="CE99" s="57">
        <f>CE95/CE90*1000</f>
        <v>0.66851993815544952</v>
      </c>
      <c r="CF99" s="15">
        <f t="shared" ref="CF99:CK99" si="454">CF98/CB98-1</f>
        <v>-7.8768354573638621E-2</v>
      </c>
      <c r="CG99" s="518">
        <f t="shared" si="454"/>
        <v>-8.4240893035426145E-2</v>
      </c>
      <c r="CH99" s="15">
        <f t="shared" si="454"/>
        <v>-8.6025963754853829E-2</v>
      </c>
      <c r="CI99" s="15">
        <f t="shared" si="454"/>
        <v>-8.9665367100543292E-2</v>
      </c>
      <c r="CJ99" s="15">
        <f t="shared" si="454"/>
        <v>-8.4827963305572296E-2</v>
      </c>
      <c r="CK99" s="518">
        <f t="shared" si="454"/>
        <v>-7.3121658284789448E-2</v>
      </c>
      <c r="CL99" s="77">
        <f>CL98/CD98-1</f>
        <v>-8.6025963754853829E-2</v>
      </c>
      <c r="CM99" s="77">
        <f>CM98/CE98-1</f>
        <v>-8.9665367100543292E-2</v>
      </c>
      <c r="CN99" s="77">
        <f>CN98/CF98-1</f>
        <v>-8.4827963305572296E-2</v>
      </c>
      <c r="CO99" s="487">
        <f>CO98/CG98-1</f>
        <v>-7.3121658284789448E-2</v>
      </c>
      <c r="CP99" s="77">
        <f>CP98/CH98-1</f>
        <v>-6.6038697934552304E-2</v>
      </c>
      <c r="CQ99" s="77">
        <f t="shared" ref="CQ99:CW99" si="455">CQ98/CM98-1</f>
        <v>-4.9539243165125812E-2</v>
      </c>
      <c r="CR99" s="77">
        <f t="shared" si="455"/>
        <v>-2.563774765114224E-2</v>
      </c>
      <c r="CS99" s="487">
        <f t="shared" si="455"/>
        <v>-6.5949453143450132E-3</v>
      </c>
      <c r="CT99" s="77">
        <f t="shared" si="455"/>
        <v>2.6961513231382739E-3</v>
      </c>
      <c r="CU99" s="77">
        <f t="shared" si="455"/>
        <v>7.4366364005158392E-3</v>
      </c>
      <c r="CV99" s="77">
        <f t="shared" si="455"/>
        <v>1.1422843665970905E-2</v>
      </c>
      <c r="CW99" s="487">
        <f t="shared" si="455"/>
        <v>1.6314012328278338E-2</v>
      </c>
      <c r="CX99" s="77">
        <f t="shared" ref="CX99:DE99" si="456">CX98/CT98-1</f>
        <v>2.4939601203855188E-2</v>
      </c>
      <c r="CY99" s="77">
        <f t="shared" si="456"/>
        <v>2.6745860454404635E-2</v>
      </c>
      <c r="CZ99" s="77">
        <f t="shared" si="456"/>
        <v>2.4330099857022836E-2</v>
      </c>
      <c r="DA99" s="487">
        <f t="shared" si="456"/>
        <v>1.7630091776544399E-2</v>
      </c>
      <c r="DB99" s="77">
        <f t="shared" si="456"/>
        <v>1.3195946400076597E-2</v>
      </c>
      <c r="DC99" s="77">
        <f t="shared" si="456"/>
        <v>1.4355066108070469E-2</v>
      </c>
      <c r="DD99" s="70">
        <f t="shared" si="456"/>
        <v>1.3829490011839196E-2</v>
      </c>
      <c r="DE99" s="487">
        <f t="shared" si="456"/>
        <v>2.1296161374953826E-2</v>
      </c>
      <c r="DF99" s="77">
        <f t="shared" ref="DF99:DM99" si="457">DF98/DB98-1</f>
        <v>2.8388509964231368E-2</v>
      </c>
      <c r="DG99" s="77">
        <f t="shared" si="457"/>
        <v>2.9302272221675807E-2</v>
      </c>
      <c r="DH99" s="77">
        <f t="shared" si="457"/>
        <v>3.0292334952317868E-2</v>
      </c>
      <c r="DI99" s="487">
        <f t="shared" si="457"/>
        <v>3.3843353029450407E-2</v>
      </c>
      <c r="DJ99" s="1673">
        <f t="shared" si="457"/>
        <v>0.26363914935343513</v>
      </c>
      <c r="DK99" s="70">
        <f t="shared" si="457"/>
        <v>0.2534629238847721</v>
      </c>
      <c r="DL99" s="70">
        <f t="shared" si="457"/>
        <v>0.24675495453478757</v>
      </c>
      <c r="DM99" s="487">
        <f t="shared" si="457"/>
        <v>0.23469408946374593</v>
      </c>
      <c r="DN99" s="70"/>
      <c r="DO99" s="487"/>
      <c r="DP99" s="3"/>
      <c r="DQ99" s="3"/>
      <c r="DR99" s="3"/>
      <c r="DS99" s="384" t="s">
        <v>483</v>
      </c>
      <c r="DT99" s="161">
        <f t="shared" ref="DT99:EP99" si="458">DT98/DS98-1</f>
        <v>0</v>
      </c>
      <c r="DU99" s="161">
        <f t="shared" si="458"/>
        <v>0</v>
      </c>
      <c r="DV99" s="161">
        <f t="shared" si="458"/>
        <v>0</v>
      </c>
      <c r="DW99" s="161">
        <f t="shared" si="458"/>
        <v>6.0559006211180044E-2</v>
      </c>
      <c r="DX99" s="161">
        <f t="shared" si="458"/>
        <v>0.1021481340739665</v>
      </c>
      <c r="DY99" s="15">
        <f t="shared" si="458"/>
        <v>7.9629778672032137E-2</v>
      </c>
      <c r="DZ99" s="15">
        <f t="shared" si="458"/>
        <v>0.11610800312570091</v>
      </c>
      <c r="EA99" s="15">
        <f t="shared" si="458"/>
        <v>8.5691339900181074E-2</v>
      </c>
      <c r="EB99" s="15">
        <f t="shared" si="458"/>
        <v>1.1518514585635353E-2</v>
      </c>
      <c r="EC99" s="15">
        <f t="shared" si="458"/>
        <v>2.8236382716146924E-3</v>
      </c>
      <c r="ED99" s="15">
        <f t="shared" si="458"/>
        <v>1.180781834307143E-2</v>
      </c>
      <c r="EE99" s="15">
        <f t="shared" si="458"/>
        <v>-6.6019574485794985E-3</v>
      </c>
      <c r="EF99" s="15">
        <f t="shared" si="458"/>
        <v>3.4250530722889971E-2</v>
      </c>
      <c r="EG99" s="15">
        <f t="shared" si="458"/>
        <v>-5.416359390117087E-3</v>
      </c>
      <c r="EH99" s="15">
        <f t="shared" si="458"/>
        <v>-4.3568319515262632E-2</v>
      </c>
      <c r="EI99" s="15">
        <f t="shared" si="458"/>
        <v>-3.1708293148947742E-2</v>
      </c>
      <c r="EJ99" s="15">
        <f t="shared" si="458"/>
        <v>-2.9505184969041309E-2</v>
      </c>
      <c r="EK99" s="15">
        <f t="shared" si="458"/>
        <v>-1.6693045452393251E-2</v>
      </c>
      <c r="EL99" s="15">
        <f t="shared" si="458"/>
        <v>-1.5785690647942885E-2</v>
      </c>
      <c r="EM99" s="15">
        <f t="shared" si="458"/>
        <v>-3.0581522749678403E-2</v>
      </c>
      <c r="EN99" s="15">
        <f t="shared" si="458"/>
        <v>-3.9790617929102101E-2</v>
      </c>
      <c r="EO99" s="15">
        <f t="shared" si="458"/>
        <v>-5.2384142493036245E-2</v>
      </c>
      <c r="EP99" s="15">
        <f t="shared" si="458"/>
        <v>-7.9440693044428023E-2</v>
      </c>
      <c r="EQ99" s="15">
        <f>EQ98/EN98-1</f>
        <v>-5.2384142493036245E-2</v>
      </c>
      <c r="ER99" s="15">
        <f>ER98/EQ98-1</f>
        <v>-7.9440693044428023E-2</v>
      </c>
      <c r="ES99" s="15">
        <f>ES98/ER98-1</f>
        <v>-8.2363216564126818E-2</v>
      </c>
      <c r="ET99" s="77">
        <f>ET98/ER98-1</f>
        <v>-8.2363216564126818E-2</v>
      </c>
      <c r="EU99" s="15">
        <f>EU98/ES98-1</f>
        <v>-3.0972129462105591E-2</v>
      </c>
      <c r="EV99" s="15">
        <f t="shared" si="442"/>
        <v>9.5984669033315484E-3</v>
      </c>
      <c r="EW99" s="15">
        <f t="shared" si="442"/>
        <v>2.5704072720338145E-2</v>
      </c>
      <c r="EX99" s="77">
        <f t="shared" si="442"/>
        <v>1.158613450750301E-2</v>
      </c>
      <c r="EY99" s="77">
        <f t="shared" si="442"/>
        <v>3.3652132792368006E-2</v>
      </c>
      <c r="EZ99" s="1680">
        <f t="shared" si="442"/>
        <v>0.10821284727829839</v>
      </c>
      <c r="FA99" s="15">
        <f t="shared" ref="FA99:FH99" si="459">FA98/EZ98-1</f>
        <v>0.10990389062047501</v>
      </c>
      <c r="FB99" s="15">
        <f t="shared" si="459"/>
        <v>-1.0000000000000009E-2</v>
      </c>
      <c r="FC99" s="15">
        <f t="shared" si="459"/>
        <v>-1.0000000000000009E-2</v>
      </c>
      <c r="FD99" s="15">
        <f t="shared" si="459"/>
        <v>-1.0000000000000009E-2</v>
      </c>
      <c r="FE99" s="15">
        <f t="shared" si="459"/>
        <v>-9.9999999999998979E-3</v>
      </c>
      <c r="FF99" s="15">
        <f t="shared" si="459"/>
        <v>-1.000000000000012E-2</v>
      </c>
      <c r="FG99" s="15">
        <f t="shared" si="459"/>
        <v>-1.0000000000000009E-2</v>
      </c>
      <c r="FH99" s="15">
        <f t="shared" si="459"/>
        <v>-1.0000000000000009E-2</v>
      </c>
      <c r="FI99" s="580"/>
      <c r="FJ99"/>
      <c r="FK99"/>
      <c r="FL99"/>
      <c r="FM99"/>
      <c r="FN99"/>
      <c r="FO99"/>
      <c r="FP99" s="3"/>
      <c r="FS99" s="70"/>
      <c r="FT99" s="70"/>
      <c r="FU99"/>
      <c r="FV99"/>
      <c r="FW99" s="70"/>
      <c r="FX99" s="70"/>
      <c r="FY99" s="70"/>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row>
    <row r="100" spans="1:260" s="4" customFormat="1" x14ac:dyDescent="0.2">
      <c r="A100" s="64"/>
      <c r="E100" s="470"/>
      <c r="I100" s="470"/>
      <c r="M100" s="470"/>
      <c r="Q100" s="470"/>
      <c r="U100" s="470"/>
      <c r="Y100" s="470"/>
      <c r="AC100" s="470"/>
      <c r="AG100" s="470"/>
      <c r="AK100" s="470"/>
      <c r="AO100" s="470"/>
      <c r="AS100" s="470"/>
      <c r="AW100" s="470"/>
      <c r="BA100" s="470"/>
      <c r="BE100" s="470"/>
      <c r="BI100" s="470"/>
      <c r="BM100" s="470"/>
      <c r="BQ100" s="470"/>
      <c r="BU100" s="470"/>
      <c r="BY100" s="470"/>
      <c r="CC100" s="470"/>
      <c r="CG100" s="470"/>
      <c r="CK100" s="470"/>
      <c r="CL100" s="6"/>
      <c r="CM100" s="6"/>
      <c r="CN100" s="6"/>
      <c r="CO100" s="484"/>
      <c r="CP100" s="6"/>
      <c r="CQ100" s="6"/>
      <c r="CR100" s="6"/>
      <c r="CS100" s="484"/>
      <c r="CT100" s="6"/>
      <c r="CU100" s="6"/>
      <c r="CV100" s="6"/>
      <c r="CW100" s="484"/>
      <c r="CX100" s="6"/>
      <c r="CY100" s="6"/>
      <c r="CZ100" s="6"/>
      <c r="DA100" s="484"/>
      <c r="DB100" s="6"/>
      <c r="DC100" s="6"/>
      <c r="DD100" s="7"/>
      <c r="DE100" s="484"/>
      <c r="DF100" s="7"/>
      <c r="DG100" s="7"/>
      <c r="DH100" s="7"/>
      <c r="DI100" s="484"/>
      <c r="DJ100" s="1671"/>
      <c r="DK100" s="7"/>
      <c r="DL100" s="7"/>
      <c r="DM100" s="484"/>
      <c r="DN100" s="7"/>
      <c r="DO100" s="655"/>
      <c r="DP100" s="3"/>
      <c r="DQ100" s="3"/>
      <c r="DR100" s="3"/>
      <c r="DS100" s="3"/>
      <c r="DT100" s="3"/>
      <c r="DU100" s="3"/>
      <c r="DV100" s="3"/>
      <c r="DW100" s="3"/>
      <c r="ET100" s="6"/>
      <c r="EX100" s="6"/>
      <c r="EY100" s="6"/>
      <c r="EZ100" s="1734"/>
      <c r="FI100" s="671"/>
      <c r="FJ100"/>
      <c r="FK100"/>
      <c r="FL100"/>
      <c r="FM100"/>
      <c r="FN100"/>
      <c r="FO100"/>
      <c r="FP100" s="3"/>
      <c r="FS100" s="7"/>
      <c r="FT100" s="7"/>
      <c r="FU100"/>
      <c r="FV100"/>
      <c r="FW100" s="7"/>
      <c r="FX100" s="7"/>
      <c r="FY100" s="7"/>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row>
    <row r="101" spans="1:260" s="4" customFormat="1" x14ac:dyDescent="0.2">
      <c r="A101" s="393" t="s">
        <v>185</v>
      </c>
      <c r="B101" s="216">
        <f t="shared" ref="B101:AG101" si="460">+B125/B87</f>
        <v>3.8096465517241378</v>
      </c>
      <c r="C101" s="216">
        <f t="shared" si="460"/>
        <v>4.5401612903225805</v>
      </c>
      <c r="D101" s="216">
        <f t="shared" si="460"/>
        <v>5.4260134228187917</v>
      </c>
      <c r="E101" s="538">
        <f t="shared" si="460"/>
        <v>7.9017152317880806</v>
      </c>
      <c r="F101" s="216">
        <f t="shared" si="460"/>
        <v>5.5516339869281044</v>
      </c>
      <c r="G101" s="216">
        <f t="shared" si="460"/>
        <v>5.5545952380952386</v>
      </c>
      <c r="H101" s="216">
        <f t="shared" si="460"/>
        <v>6.6825297029702977</v>
      </c>
      <c r="I101" s="538">
        <f t="shared" si="460"/>
        <v>9.5446617647058822</v>
      </c>
      <c r="J101" s="215">
        <f t="shared" si="460"/>
        <v>5.9843615023474186</v>
      </c>
      <c r="K101" s="215">
        <f t="shared" si="460"/>
        <v>6.4192455357142864</v>
      </c>
      <c r="L101" s="215">
        <f t="shared" si="460"/>
        <v>7.6863625498007968</v>
      </c>
      <c r="M101" s="551">
        <f t="shared" si="460"/>
        <v>10.261211155378485</v>
      </c>
      <c r="N101" s="215">
        <f t="shared" si="460"/>
        <v>6.3211737451737449</v>
      </c>
      <c r="O101" s="215">
        <f t="shared" si="460"/>
        <v>6.7887022900763361</v>
      </c>
      <c r="P101" s="215">
        <f t="shared" si="460"/>
        <v>7.3798676470588234</v>
      </c>
      <c r="Q101" s="551">
        <f t="shared" si="460"/>
        <v>8.6306433823529414</v>
      </c>
      <c r="R101" s="215">
        <f t="shared" si="460"/>
        <v>5.8633248175182482</v>
      </c>
      <c r="S101" s="215">
        <f t="shared" si="460"/>
        <v>6.4043000000000001</v>
      </c>
      <c r="T101" s="215">
        <f t="shared" si="460"/>
        <v>7.3906701754385962</v>
      </c>
      <c r="U101" s="551">
        <f t="shared" si="460"/>
        <v>10.007354385964913</v>
      </c>
      <c r="V101" s="215">
        <f t="shared" si="460"/>
        <v>6.6840793103448277</v>
      </c>
      <c r="W101" s="215">
        <f t="shared" si="460"/>
        <v>7.5355224913494814</v>
      </c>
      <c r="X101" s="215">
        <f t="shared" si="460"/>
        <v>7.9886762820512827</v>
      </c>
      <c r="Y101" s="551">
        <f t="shared" si="460"/>
        <v>11.112636655948554</v>
      </c>
      <c r="Z101" s="215">
        <f t="shared" si="460"/>
        <v>7.6211853035143768</v>
      </c>
      <c r="AA101" s="215">
        <f t="shared" si="460"/>
        <v>8.0922891566265065</v>
      </c>
      <c r="AB101" s="215">
        <f t="shared" si="460"/>
        <v>8.7777881355932195</v>
      </c>
      <c r="AC101" s="551">
        <f t="shared" si="460"/>
        <v>12.085756302521007</v>
      </c>
      <c r="AD101" s="215">
        <f t="shared" si="460"/>
        <v>8.2097451523545697</v>
      </c>
      <c r="AE101" s="215">
        <f t="shared" si="460"/>
        <v>8.4964369973190337</v>
      </c>
      <c r="AF101" s="215">
        <f t="shared" si="460"/>
        <v>9.0365133171912824</v>
      </c>
      <c r="AG101" s="551">
        <f t="shared" si="460"/>
        <v>13.03480429594272</v>
      </c>
      <c r="AH101" s="215">
        <f t="shared" ref="AH101:BM101" si="461">+AH125/AH87</f>
        <v>7.753488372093023</v>
      </c>
      <c r="AI101" s="215">
        <f t="shared" si="461"/>
        <v>8.6287015945330303</v>
      </c>
      <c r="AJ101" s="215">
        <f t="shared" si="461"/>
        <v>8.8451882845188283</v>
      </c>
      <c r="AK101" s="551">
        <f t="shared" si="461"/>
        <v>12.187110187110187</v>
      </c>
      <c r="AL101" s="215">
        <f t="shared" si="461"/>
        <v>7.8608870967741939</v>
      </c>
      <c r="AM101" s="215">
        <f t="shared" si="461"/>
        <v>8.281853281853282</v>
      </c>
      <c r="AN101" s="215">
        <f t="shared" si="461"/>
        <v>8.5326086956521738</v>
      </c>
      <c r="AO101" s="551">
        <f t="shared" si="461"/>
        <v>11.572202166064981</v>
      </c>
      <c r="AP101" s="215">
        <f t="shared" si="461"/>
        <v>7.4956217162872152</v>
      </c>
      <c r="AQ101" s="215">
        <f t="shared" si="461"/>
        <v>8.3788395904436861</v>
      </c>
      <c r="AR101" s="215">
        <f t="shared" si="461"/>
        <v>8.729903536977492</v>
      </c>
      <c r="AS101" s="551">
        <f t="shared" si="461"/>
        <v>12.05229793977813</v>
      </c>
      <c r="AT101" s="215">
        <f t="shared" si="461"/>
        <v>7.7570093457943923</v>
      </c>
      <c r="AU101" s="215">
        <f t="shared" si="461"/>
        <v>8.4577572964669745</v>
      </c>
      <c r="AV101" s="215">
        <f t="shared" si="461"/>
        <v>8.6394160583941613</v>
      </c>
      <c r="AW101" s="551">
        <f t="shared" si="461"/>
        <v>11.832853025936599</v>
      </c>
      <c r="AX101" s="216">
        <f t="shared" si="461"/>
        <v>7.7900709219858157</v>
      </c>
      <c r="AY101" s="216">
        <f t="shared" si="461"/>
        <v>8.2831491712707184</v>
      </c>
      <c r="AZ101" s="216">
        <f t="shared" si="461"/>
        <v>8.441253263707571</v>
      </c>
      <c r="BA101" s="538">
        <f t="shared" si="461"/>
        <v>12.177002583979329</v>
      </c>
      <c r="BB101" s="216">
        <f t="shared" si="461"/>
        <v>7.7024999999999997</v>
      </c>
      <c r="BC101" s="216">
        <f t="shared" si="461"/>
        <v>8.1040391676866577</v>
      </c>
      <c r="BD101" s="216">
        <f t="shared" si="461"/>
        <v>8.3012746234067212</v>
      </c>
      <c r="BE101" s="538">
        <f t="shared" si="461"/>
        <v>12.696449026345933</v>
      </c>
      <c r="BF101" s="216">
        <f t="shared" si="461"/>
        <v>7.4738015607580826</v>
      </c>
      <c r="BG101" s="216">
        <f t="shared" si="461"/>
        <v>7.932017543859649</v>
      </c>
      <c r="BH101" s="216">
        <f t="shared" si="461"/>
        <v>8.5390218522372532</v>
      </c>
      <c r="BI101" s="538">
        <f t="shared" si="461"/>
        <v>11.518022657054583</v>
      </c>
      <c r="BJ101" s="216">
        <f t="shared" si="461"/>
        <v>7.4307078763708869</v>
      </c>
      <c r="BK101" s="216">
        <f t="shared" si="461"/>
        <v>7.8503861003861006</v>
      </c>
      <c r="BL101" s="216">
        <f t="shared" si="461"/>
        <v>7.4644808743169397</v>
      </c>
      <c r="BM101" s="538">
        <f t="shared" si="461"/>
        <v>10.196928635953027</v>
      </c>
      <c r="BN101" s="216">
        <f t="shared" ref="BN101:CS101" si="462">+BN125/BN87</f>
        <v>6.5117846355059052</v>
      </c>
      <c r="BO101" s="216">
        <f t="shared" si="462"/>
        <v>7.0110866414910387</v>
      </c>
      <c r="BP101" s="216">
        <f t="shared" si="462"/>
        <v>7.2845312054974132</v>
      </c>
      <c r="BQ101" s="538">
        <f t="shared" si="462"/>
        <v>9.8725930067314689</v>
      </c>
      <c r="BR101" s="216">
        <f t="shared" si="462"/>
        <v>6.3018359003344839</v>
      </c>
      <c r="BS101" s="216">
        <f t="shared" si="462"/>
        <v>6.5019968813833229</v>
      </c>
      <c r="BT101" s="216">
        <f t="shared" si="462"/>
        <v>6.4629582834391393</v>
      </c>
      <c r="BU101" s="538">
        <f t="shared" si="462"/>
        <v>8.4961792730384182</v>
      </c>
      <c r="BV101" s="216">
        <f t="shared" si="462"/>
        <v>5.6002342115732597</v>
      </c>
      <c r="BW101" s="216">
        <f t="shared" si="462"/>
        <v>5.8032198749452011</v>
      </c>
      <c r="BX101" s="216">
        <f t="shared" si="462"/>
        <v>5.9592619455050357</v>
      </c>
      <c r="BY101" s="538">
        <f t="shared" si="462"/>
        <v>7.9320569482624972</v>
      </c>
      <c r="BZ101" s="216">
        <f t="shared" si="462"/>
        <v>6.7889941439136061</v>
      </c>
      <c r="CA101" s="216">
        <f t="shared" si="462"/>
        <v>6.3005522585903853</v>
      </c>
      <c r="CB101" s="216">
        <f t="shared" si="462"/>
        <v>5.8677385455825473</v>
      </c>
      <c r="CC101" s="538">
        <f t="shared" si="462"/>
        <v>8.8712741857187538</v>
      </c>
      <c r="CD101" s="216">
        <f t="shared" si="462"/>
        <v>5.9979954056031106</v>
      </c>
      <c r="CE101" s="216">
        <f t="shared" si="462"/>
        <v>5.5588892238844849</v>
      </c>
      <c r="CF101" s="216">
        <f t="shared" si="462"/>
        <v>5.3768058051541585</v>
      </c>
      <c r="CG101" s="538">
        <f t="shared" si="462"/>
        <v>7.9203085032037546</v>
      </c>
      <c r="CH101" s="216">
        <f t="shared" si="462"/>
        <v>5.7196025968731625</v>
      </c>
      <c r="CI101" s="216">
        <f t="shared" si="462"/>
        <v>5.0488532820926055</v>
      </c>
      <c r="CJ101" s="216">
        <f t="shared" si="462"/>
        <v>4.8717792357982344</v>
      </c>
      <c r="CK101" s="538">
        <f t="shared" si="462"/>
        <v>7.5196189496999644</v>
      </c>
      <c r="CL101" s="216">
        <f t="shared" si="462"/>
        <v>5.7196025968731625</v>
      </c>
      <c r="CM101" s="216">
        <f t="shared" si="462"/>
        <v>5.0488532820926055</v>
      </c>
      <c r="CN101" s="216">
        <f t="shared" si="462"/>
        <v>4.8717792357982344</v>
      </c>
      <c r="CO101" s="538">
        <f t="shared" si="462"/>
        <v>7.5196189496999644</v>
      </c>
      <c r="CP101" s="216">
        <f t="shared" si="462"/>
        <v>4.927910052910053</v>
      </c>
      <c r="CQ101" s="216">
        <f t="shared" si="462"/>
        <v>4.8363154406891979</v>
      </c>
      <c r="CR101" s="216">
        <f t="shared" si="462"/>
        <v>4.8623670212765955</v>
      </c>
      <c r="CS101" s="538">
        <f t="shared" si="462"/>
        <v>7.1759197324414714</v>
      </c>
      <c r="CT101" s="216">
        <f t="shared" ref="CT101:DI101" si="463">+CT125/CT87</f>
        <v>4.783657066309444</v>
      </c>
      <c r="CU101" s="216">
        <f t="shared" si="463"/>
        <v>4.7420446851726474</v>
      </c>
      <c r="CV101" s="216">
        <f t="shared" si="463"/>
        <v>5.0176510522742701</v>
      </c>
      <c r="CW101" s="538">
        <f t="shared" si="463"/>
        <v>7.5946132596685079</v>
      </c>
      <c r="CX101" s="216">
        <f t="shared" si="463"/>
        <v>5.0048543689320386</v>
      </c>
      <c r="CY101" s="216">
        <f t="shared" si="463"/>
        <v>5.025819958129798</v>
      </c>
      <c r="CZ101" s="216">
        <f t="shared" si="463"/>
        <v>5.1565457721872816</v>
      </c>
      <c r="DA101" s="538">
        <f t="shared" si="463"/>
        <v>7.4728621908127213</v>
      </c>
      <c r="DB101" s="216">
        <f t="shared" si="463"/>
        <v>4.989410128388017</v>
      </c>
      <c r="DC101" s="216">
        <f t="shared" si="463"/>
        <v>5.0485239799570509</v>
      </c>
      <c r="DD101" s="217">
        <f t="shared" si="463"/>
        <v>5.277740142238267</v>
      </c>
      <c r="DE101" s="538">
        <f t="shared" si="463"/>
        <v>7.385797872340425</v>
      </c>
      <c r="DF101" s="217">
        <f t="shared" si="463"/>
        <v>5.1041017962962965</v>
      </c>
      <c r="DG101" s="217">
        <f t="shared" ref="DG101" si="464">+DG125/DG87</f>
        <v>5.3384597142857144</v>
      </c>
      <c r="DH101" s="217">
        <f t="shared" si="463"/>
        <v>5.6023511176349201</v>
      </c>
      <c r="DI101" s="538">
        <f t="shared" si="463"/>
        <v>8.7465624961330235</v>
      </c>
      <c r="DJ101" s="2733">
        <f>+DJ125/DJ87</f>
        <v>6.6988801803057072</v>
      </c>
      <c r="DK101" s="217">
        <f t="shared" ref="DK101" si="465">+DK125/DK87</f>
        <v>6.8723223070459598</v>
      </c>
      <c r="DL101" s="217">
        <f t="shared" ref="DL101:DM101" si="466">+DL125/DL87</f>
        <v>7.0268418685697451</v>
      </c>
      <c r="DM101" s="538">
        <f t="shared" si="466"/>
        <v>10.306657110487707</v>
      </c>
      <c r="DN101" s="217"/>
      <c r="DO101" s="635"/>
      <c r="DP101" s="3"/>
      <c r="DQ101" s="3"/>
      <c r="DR101" s="394">
        <f t="shared" ref="DR101:DW101" si="467">+DR147/DR87</f>
        <v>10.976000000000001</v>
      </c>
      <c r="DS101" s="394">
        <f t="shared" si="467"/>
        <v>12.357902439024389</v>
      </c>
      <c r="DT101" s="394">
        <f t="shared" si="467"/>
        <v>10.466326530612246</v>
      </c>
      <c r="DU101" s="394">
        <f t="shared" si="467"/>
        <v>11.871839285714286</v>
      </c>
      <c r="DV101" s="394">
        <f t="shared" si="467"/>
        <v>12.735506849315069</v>
      </c>
      <c r="DW101" s="394">
        <f t="shared" si="467"/>
        <v>14.594396396396396</v>
      </c>
      <c r="DX101" s="216">
        <f>+B101+C101+D101+E101</f>
        <v>21.677536496653591</v>
      </c>
      <c r="DY101" s="216">
        <f>+F101+G101+H101+I101</f>
        <v>27.333420692699523</v>
      </c>
      <c r="DZ101" s="215">
        <f>+J101+K101+L101+M101</f>
        <v>30.351180743240988</v>
      </c>
      <c r="EA101" s="215">
        <f>+N101+O101+P101+Q101</f>
        <v>29.120387064661848</v>
      </c>
      <c r="EB101" s="215">
        <f>+R101+S101+T101+U101</f>
        <v>29.665649378921756</v>
      </c>
      <c r="EC101" s="215">
        <f>+V101+W101+X101+Y101</f>
        <v>33.320914739694146</v>
      </c>
      <c r="ED101" s="215">
        <f>+Z101+AA101+AB101+AC101</f>
        <v>36.577018898255112</v>
      </c>
      <c r="EE101" s="215">
        <f>+AD101+AE101+AF101+AG101</f>
        <v>38.777499762807608</v>
      </c>
      <c r="EF101" s="215">
        <f>+AH101+AI101+AJ101+AK101</f>
        <v>37.41448843825507</v>
      </c>
      <c r="EG101" s="215">
        <f>+AL101+AM101+AN101+AO101</f>
        <v>36.247551240344634</v>
      </c>
      <c r="EH101" s="215">
        <f>+AP101+AQ101+AR101+AS101</f>
        <v>36.656662783486524</v>
      </c>
      <c r="EI101" s="215">
        <f>+AT101+AU101+AV101+AW101</f>
        <v>36.687035726592129</v>
      </c>
      <c r="EJ101" s="216">
        <f>+AX101+AY101+AZ101+BA101</f>
        <v>36.691475940943434</v>
      </c>
      <c r="EK101" s="216">
        <f>+BB101+BC101+BD101+BE101</f>
        <v>36.804262817439309</v>
      </c>
      <c r="EL101" s="216">
        <f>+EL147/EL87</f>
        <v>34.323377960865088</v>
      </c>
      <c r="EM101" s="216">
        <f t="shared" ref="EM101:EY101" si="468">+EM125/EM87</f>
        <v>31.680216802168022</v>
      </c>
      <c r="EN101" s="216">
        <f t="shared" si="468"/>
        <v>29.943329199863676</v>
      </c>
      <c r="EO101" s="216">
        <f t="shared" si="468"/>
        <v>26.787949158784745</v>
      </c>
      <c r="EP101" s="216">
        <f t="shared" si="468"/>
        <v>24.46921222462942</v>
      </c>
      <c r="EQ101" s="216">
        <f t="shared" si="468"/>
        <v>26.832747943902437</v>
      </c>
      <c r="ER101" s="216">
        <f t="shared" si="468"/>
        <v>24.021389142390301</v>
      </c>
      <c r="ES101" s="216">
        <f t="shared" si="468"/>
        <v>22.827114856859765</v>
      </c>
      <c r="ET101" s="216">
        <f t="shared" si="468"/>
        <v>22.827114856859765</v>
      </c>
      <c r="EU101" s="216">
        <f t="shared" si="468"/>
        <v>21.933110367892976</v>
      </c>
      <c r="EV101" s="216">
        <f t="shared" si="468"/>
        <v>22.468232044198896</v>
      </c>
      <c r="EW101" s="216">
        <f t="shared" si="468"/>
        <v>22.877821201413425</v>
      </c>
      <c r="EX101" s="216">
        <f t="shared" si="468"/>
        <v>23.055358471753486</v>
      </c>
      <c r="EY101" s="216">
        <f t="shared" si="468"/>
        <v>25.357032573187158</v>
      </c>
      <c r="EZ101" s="1745">
        <f t="shared" ref="EZ101" si="469">+EZ125/EZ87</f>
        <v>30.944264028871444</v>
      </c>
      <c r="FA101" s="216">
        <f t="shared" ref="FA101:FH101" si="470">+FA147/FA87</f>
        <v>37.87486606979855</v>
      </c>
      <c r="FB101" s="216">
        <f t="shared" si="470"/>
        <v>38.174296570783135</v>
      </c>
      <c r="FC101" s="216">
        <f t="shared" si="470"/>
        <v>38.345399923214323</v>
      </c>
      <c r="FD101" s="216">
        <f t="shared" si="470"/>
        <v>38.68375983040589</v>
      </c>
      <c r="FE101" s="216">
        <f t="shared" si="470"/>
        <v>39.039603476231356</v>
      </c>
      <c r="FF101" s="216">
        <f t="shared" si="470"/>
        <v>39.413702317091023</v>
      </c>
      <c r="FG101" s="216">
        <f t="shared" si="470"/>
        <v>39.80686395107498</v>
      </c>
      <c r="FH101" s="216">
        <f t="shared" si="470"/>
        <v>40.219933793027622</v>
      </c>
      <c r="FI101" s="755"/>
      <c r="FJ101"/>
      <c r="FK101"/>
      <c r="FL101"/>
      <c r="FM101"/>
      <c r="FN101"/>
      <c r="FO101"/>
      <c r="FP101" s="3"/>
      <c r="FS101" s="217"/>
      <c r="FT101" s="217"/>
      <c r="FU101"/>
      <c r="FV101"/>
      <c r="FW101" s="217"/>
      <c r="FX101" s="217"/>
      <c r="FY101" s="217"/>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row>
    <row r="102" spans="1:260" s="4" customFormat="1" x14ac:dyDescent="0.2">
      <c r="A102" s="287" t="s">
        <v>44</v>
      </c>
      <c r="B102" s="383"/>
      <c r="C102" s="383"/>
      <c r="D102" s="383"/>
      <c r="E102" s="549"/>
      <c r="F102" s="15">
        <f t="shared" ref="F102:AK102" si="471">F101/B101-1</f>
        <v>0.45725696900033741</v>
      </c>
      <c r="G102" s="15">
        <f t="shared" si="471"/>
        <v>0.22343566294328321</v>
      </c>
      <c r="H102" s="15">
        <f t="shared" si="471"/>
        <v>0.23157264500439645</v>
      </c>
      <c r="I102" s="518">
        <f t="shared" si="471"/>
        <v>0.20792277179369045</v>
      </c>
      <c r="J102" s="15">
        <f t="shared" si="471"/>
        <v>7.7945973462626661E-2</v>
      </c>
      <c r="K102" s="15">
        <f t="shared" si="471"/>
        <v>0.15566396119900716</v>
      </c>
      <c r="L102" s="15">
        <f t="shared" si="471"/>
        <v>0.1502174911971299</v>
      </c>
      <c r="M102" s="518">
        <f t="shared" si="471"/>
        <v>7.5073314103413225E-2</v>
      </c>
      <c r="N102" s="15">
        <f t="shared" si="471"/>
        <v>5.6282068303228128E-2</v>
      </c>
      <c r="O102" s="15">
        <f t="shared" si="471"/>
        <v>5.7554544736843294E-2</v>
      </c>
      <c r="P102" s="15">
        <f t="shared" si="471"/>
        <v>-3.9875155609192081E-2</v>
      </c>
      <c r="Q102" s="518">
        <f t="shared" si="471"/>
        <v>-0.15890597594523426</v>
      </c>
      <c r="R102" s="15">
        <f t="shared" si="471"/>
        <v>-7.2430998753208908E-2</v>
      </c>
      <c r="S102" s="15">
        <f t="shared" si="471"/>
        <v>-5.6623824944901702E-2</v>
      </c>
      <c r="T102" s="15">
        <f t="shared" si="471"/>
        <v>1.4637834845288022E-3</v>
      </c>
      <c r="U102" s="518">
        <f t="shared" si="471"/>
        <v>0.1595142960520104</v>
      </c>
      <c r="V102" s="15">
        <f t="shared" si="471"/>
        <v>0.13998107189531028</v>
      </c>
      <c r="W102" s="15">
        <f t="shared" si="471"/>
        <v>0.17663483774174882</v>
      </c>
      <c r="X102" s="15">
        <f t="shared" si="471"/>
        <v>8.0913650916264679E-2</v>
      </c>
      <c r="Y102" s="518">
        <f t="shared" si="471"/>
        <v>0.11044700001168883</v>
      </c>
      <c r="Z102" s="15">
        <f t="shared" si="471"/>
        <v>0.14019971183154678</v>
      </c>
      <c r="AA102" s="15">
        <f t="shared" si="471"/>
        <v>7.3885608584696616E-2</v>
      </c>
      <c r="AB102" s="15">
        <f t="shared" si="471"/>
        <v>9.8778799600991452E-2</v>
      </c>
      <c r="AC102" s="518">
        <f t="shared" si="471"/>
        <v>8.7568745087291733E-2</v>
      </c>
      <c r="AD102" s="15">
        <f t="shared" si="471"/>
        <v>7.722681254958963E-2</v>
      </c>
      <c r="AE102" s="15">
        <f t="shared" si="471"/>
        <v>4.994233805419368E-2</v>
      </c>
      <c r="AF102" s="15">
        <f t="shared" si="471"/>
        <v>2.9474985907776974E-2</v>
      </c>
      <c r="AG102" s="518">
        <f t="shared" si="471"/>
        <v>7.8526156714226358E-2</v>
      </c>
      <c r="AH102" s="15">
        <f t="shared" si="471"/>
        <v>-5.5575023559737646E-2</v>
      </c>
      <c r="AI102" s="15">
        <f t="shared" si="471"/>
        <v>1.5567066201483293E-2</v>
      </c>
      <c r="AJ102" s="15">
        <f t="shared" si="471"/>
        <v>-2.1172439629837392E-2</v>
      </c>
      <c r="AK102" s="518">
        <f t="shared" si="471"/>
        <v>-6.5033128966607512E-2</v>
      </c>
      <c r="AL102" s="15">
        <f t="shared" ref="AL102:BQ102" si="472">AL101/AH101-1</f>
        <v>1.3851665150840908E-2</v>
      </c>
      <c r="AM102" s="15">
        <f t="shared" si="472"/>
        <v>-4.0197045740868353E-2</v>
      </c>
      <c r="AN102" s="15">
        <f t="shared" si="472"/>
        <v>-3.5338941220023901E-2</v>
      </c>
      <c r="AO102" s="518">
        <f t="shared" si="472"/>
        <v>-5.0455605275118387E-2</v>
      </c>
      <c r="AP102" s="15">
        <f t="shared" si="472"/>
        <v>-4.6466178179415563E-2</v>
      </c>
      <c r="AQ102" s="15">
        <f t="shared" si="472"/>
        <v>1.1710701130496437E-2</v>
      </c>
      <c r="AR102" s="15">
        <f t="shared" si="472"/>
        <v>2.3122452741311195E-2</v>
      </c>
      <c r="AS102" s="518">
        <f t="shared" si="472"/>
        <v>4.1486984657165049E-2</v>
      </c>
      <c r="AT102" s="15">
        <f t="shared" si="472"/>
        <v>3.4872041226307937E-2</v>
      </c>
      <c r="AU102" s="15">
        <f t="shared" si="472"/>
        <v>9.418691594632822E-3</v>
      </c>
      <c r="AV102" s="15">
        <f t="shared" si="472"/>
        <v>-1.0365232353376053E-2</v>
      </c>
      <c r="AW102" s="518">
        <f t="shared" si="472"/>
        <v>-1.8207723949244747E-2</v>
      </c>
      <c r="AX102" s="15">
        <f t="shared" si="472"/>
        <v>4.262155002990653E-3</v>
      </c>
      <c r="AY102" s="15">
        <f t="shared" si="472"/>
        <v>-2.0644731112016479E-2</v>
      </c>
      <c r="AZ102" s="15">
        <f t="shared" si="472"/>
        <v>-2.2937058864534343E-2</v>
      </c>
      <c r="BA102" s="518">
        <f t="shared" si="472"/>
        <v>2.908424175373292E-2</v>
      </c>
      <c r="BB102" s="15">
        <f t="shared" si="472"/>
        <v>-1.1241351056081594E-2</v>
      </c>
      <c r="BC102" s="15">
        <f t="shared" si="472"/>
        <v>-2.1623418808547568E-2</v>
      </c>
      <c r="BD102" s="15">
        <f t="shared" si="472"/>
        <v>-1.6582684576314732E-2</v>
      </c>
      <c r="BE102" s="518">
        <f t="shared" si="472"/>
        <v>4.2657989007082397E-2</v>
      </c>
      <c r="BF102" s="15">
        <f t="shared" si="472"/>
        <v>-2.9691455922352117E-2</v>
      </c>
      <c r="BG102" s="15">
        <f t="shared" si="472"/>
        <v>-2.1226652570105142E-2</v>
      </c>
      <c r="BH102" s="15">
        <f t="shared" si="472"/>
        <v>2.8639846242427325E-2</v>
      </c>
      <c r="BI102" s="518">
        <f t="shared" si="472"/>
        <v>-9.2815429483160239E-2</v>
      </c>
      <c r="BJ102" s="15">
        <f t="shared" si="472"/>
        <v>-5.765965825673347E-3</v>
      </c>
      <c r="BK102" s="15">
        <f t="shared" si="472"/>
        <v>-1.029138463476309E-2</v>
      </c>
      <c r="BL102" s="15">
        <f t="shared" si="472"/>
        <v>-0.12583888371696583</v>
      </c>
      <c r="BM102" s="518">
        <f t="shared" si="472"/>
        <v>-0.11469798770472206</v>
      </c>
      <c r="BN102" s="15">
        <f t="shared" si="472"/>
        <v>-0.12366563941870079</v>
      </c>
      <c r="BO102" s="15">
        <f t="shared" si="472"/>
        <v>-0.10691187008671887</v>
      </c>
      <c r="BP102" s="15">
        <f t="shared" si="472"/>
        <v>-2.4107459292806221E-2</v>
      </c>
      <c r="BQ102" s="518">
        <f t="shared" si="472"/>
        <v>-3.1807188301582578E-2</v>
      </c>
      <c r="BR102" s="15">
        <f t="shared" ref="BR102:BY102" si="473">BR101/BN101-1</f>
        <v>-3.2241351169180699E-2</v>
      </c>
      <c r="BS102" s="15">
        <f t="shared" si="473"/>
        <v>-7.2612105104359115E-2</v>
      </c>
      <c r="BT102" s="15">
        <f t="shared" si="473"/>
        <v>-0.11278322501223659</v>
      </c>
      <c r="BU102" s="518">
        <f t="shared" si="473"/>
        <v>-0.13941765175112197</v>
      </c>
      <c r="BV102" s="15">
        <f t="shared" si="473"/>
        <v>-0.11133290359464698</v>
      </c>
      <c r="BW102" s="15">
        <f t="shared" si="473"/>
        <v>-0.10747113835733713</v>
      </c>
      <c r="BX102" s="15">
        <f t="shared" si="473"/>
        <v>-7.7935879491097593E-2</v>
      </c>
      <c r="BY102" s="518">
        <f t="shared" si="473"/>
        <v>-6.6397177677982144E-2</v>
      </c>
      <c r="BZ102" s="15">
        <f>BZ101/BN101-1</f>
        <v>4.2570435590912892E-2</v>
      </c>
      <c r="CA102" s="15">
        <f>CA101/BO101-1</f>
        <v>-0.10134440197839933</v>
      </c>
      <c r="CB102" s="15">
        <f>CB101/BP101-1</f>
        <v>-0.19449332015293663</v>
      </c>
      <c r="CC102" s="518">
        <f>CC101/BQ101-1</f>
        <v>-0.1014240960130719</v>
      </c>
      <c r="CD102" s="15">
        <f t="shared" ref="CD102:CK102" si="474">CD101/BZ101-1</f>
        <v>-0.11651191937168381</v>
      </c>
      <c r="CE102" s="15">
        <f t="shared" si="474"/>
        <v>-0.11771397240530657</v>
      </c>
      <c r="CF102" s="15">
        <f t="shared" si="474"/>
        <v>-8.3666430706593298E-2</v>
      </c>
      <c r="CG102" s="518">
        <f t="shared" si="474"/>
        <v>-0.1071960648049739</v>
      </c>
      <c r="CH102" s="15">
        <f t="shared" si="474"/>
        <v>-4.6414308432094376E-2</v>
      </c>
      <c r="CI102" s="77">
        <f t="shared" si="474"/>
        <v>-9.1751413142115545E-2</v>
      </c>
      <c r="CJ102" s="15">
        <f t="shared" si="474"/>
        <v>-9.392687548280243E-2</v>
      </c>
      <c r="CK102" s="518">
        <f t="shared" si="474"/>
        <v>-5.0590144732583608E-2</v>
      </c>
      <c r="CL102" s="15">
        <f>CL101/CD101-1</f>
        <v>-4.6414308432094376E-2</v>
      </c>
      <c r="CM102" s="15">
        <f>CM101/CE101-1</f>
        <v>-9.1751413142115545E-2</v>
      </c>
      <c r="CN102" s="15">
        <f>CN101/CF101-1</f>
        <v>-9.392687548280243E-2</v>
      </c>
      <c r="CO102" s="518">
        <f>CO101/CG101-1</f>
        <v>-5.0590144732583608E-2</v>
      </c>
      <c r="CP102" s="77">
        <f>CP101/CL101-1</f>
        <v>-0.13841740410355052</v>
      </c>
      <c r="CQ102" s="77">
        <f>CQ101/CM101-1</f>
        <v>-4.2096260185900403E-2</v>
      </c>
      <c r="CR102" s="15">
        <f>CR101/CJ101-1</f>
        <v>-1.9319870761953517E-3</v>
      </c>
      <c r="CS102" s="487">
        <f t="shared" ref="CS102:DB102" si="475">CS101/CO101-1</f>
        <v>-4.5706999192054343E-2</v>
      </c>
      <c r="CT102" s="77">
        <f t="shared" si="475"/>
        <v>-2.9272650079200213E-2</v>
      </c>
      <c r="CU102" s="77">
        <f t="shared" si="475"/>
        <v>-1.9492267754792403E-2</v>
      </c>
      <c r="CV102" s="77">
        <f t="shared" si="475"/>
        <v>3.1935892605018834E-2</v>
      </c>
      <c r="CW102" s="487">
        <f t="shared" si="475"/>
        <v>5.8347019314356707E-2</v>
      </c>
      <c r="CX102" s="77">
        <f t="shared" si="475"/>
        <v>4.6240209019257072E-2</v>
      </c>
      <c r="CY102" s="77">
        <f t="shared" si="475"/>
        <v>5.9842386944276349E-2</v>
      </c>
      <c r="CZ102" s="77">
        <f t="shared" si="475"/>
        <v>2.768122343821755E-2</v>
      </c>
      <c r="DA102" s="487">
        <f t="shared" si="475"/>
        <v>-1.6031240129415147E-2</v>
      </c>
      <c r="DB102" s="77">
        <f t="shared" si="475"/>
        <v>-3.0858521358568813E-3</v>
      </c>
      <c r="DC102" s="77">
        <f t="shared" ref="DC102:DM102" si="476">DC101/CY101-1</f>
        <v>4.5174761564084065E-3</v>
      </c>
      <c r="DD102" s="70">
        <f t="shared" si="476"/>
        <v>2.3503014499486774E-2</v>
      </c>
      <c r="DE102" s="487">
        <f t="shared" si="476"/>
        <v>-1.1650732510407491E-2</v>
      </c>
      <c r="DF102" s="70">
        <f t="shared" si="476"/>
        <v>2.2987019498702521E-2</v>
      </c>
      <c r="DG102" s="70">
        <f t="shared" si="476"/>
        <v>5.7429802350098091E-2</v>
      </c>
      <c r="DH102" s="70">
        <f t="shared" si="476"/>
        <v>6.1505676037127976E-2</v>
      </c>
      <c r="DI102" s="487">
        <f t="shared" si="476"/>
        <v>0.18424070727532604</v>
      </c>
      <c r="DJ102" s="1673">
        <f t="shared" si="476"/>
        <v>0.31245034829960372</v>
      </c>
      <c r="DK102" s="70">
        <f t="shared" si="476"/>
        <v>0.28732306224127346</v>
      </c>
      <c r="DL102" s="70">
        <f t="shared" si="476"/>
        <v>0.25426659647426497</v>
      </c>
      <c r="DM102" s="487">
        <f t="shared" si="476"/>
        <v>0.17836660002651583</v>
      </c>
      <c r="DN102" s="70"/>
      <c r="DO102" s="487"/>
      <c r="DP102" s="3"/>
      <c r="DQ102" s="3"/>
      <c r="DR102" s="3"/>
      <c r="DS102" s="161">
        <f t="shared" ref="DS102:EP102" si="477">DS101/DR101-1</f>
        <v>0.12590219014435022</v>
      </c>
      <c r="DT102" s="161">
        <f t="shared" si="477"/>
        <v>-0.15306609821087702</v>
      </c>
      <c r="DU102" s="161">
        <f t="shared" si="477"/>
        <v>0.1342890221312274</v>
      </c>
      <c r="DV102" s="161">
        <f t="shared" si="477"/>
        <v>7.2749263430482713E-2</v>
      </c>
      <c r="DW102" s="161">
        <f t="shared" si="477"/>
        <v>0.14596117524614272</v>
      </c>
      <c r="DX102" s="161">
        <f t="shared" si="477"/>
        <v>0.48533285706876805</v>
      </c>
      <c r="DY102" s="15">
        <f t="shared" si="477"/>
        <v>0.26090991459841595</v>
      </c>
      <c r="DZ102" s="15">
        <f t="shared" si="477"/>
        <v>0.11040550264341698</v>
      </c>
      <c r="EA102" s="15">
        <f t="shared" si="477"/>
        <v>-4.0551756091177116E-2</v>
      </c>
      <c r="EB102" s="15">
        <f t="shared" si="477"/>
        <v>1.8724418499285411E-2</v>
      </c>
      <c r="EC102" s="15">
        <f t="shared" si="477"/>
        <v>0.12321541706649963</v>
      </c>
      <c r="ED102" s="15">
        <f t="shared" si="477"/>
        <v>9.771953093118646E-2</v>
      </c>
      <c r="EE102" s="15">
        <f t="shared" si="477"/>
        <v>6.0160202521520212E-2</v>
      </c>
      <c r="EF102" s="15">
        <f t="shared" si="477"/>
        <v>-3.5149541174385734E-2</v>
      </c>
      <c r="EG102" s="15">
        <f t="shared" si="477"/>
        <v>-3.1189446832507794E-2</v>
      </c>
      <c r="EH102" s="15">
        <f t="shared" si="477"/>
        <v>1.1286598105047618E-2</v>
      </c>
      <c r="EI102" s="15">
        <f t="shared" si="477"/>
        <v>8.2857905764632811E-4</v>
      </c>
      <c r="EJ102" s="15">
        <f t="shared" si="477"/>
        <v>1.2102952073855811E-4</v>
      </c>
      <c r="EK102" s="15">
        <f t="shared" si="477"/>
        <v>3.073925853443793E-3</v>
      </c>
      <c r="EL102" s="15">
        <f t="shared" si="477"/>
        <v>-6.7407541047084352E-2</v>
      </c>
      <c r="EM102" s="15">
        <f t="shared" si="477"/>
        <v>-7.7007605769768728E-2</v>
      </c>
      <c r="EN102" s="15">
        <f t="shared" si="477"/>
        <v>-5.4825622348186775E-2</v>
      </c>
      <c r="EO102" s="15">
        <f t="shared" si="477"/>
        <v>-0.10537839730571097</v>
      </c>
      <c r="EP102" s="15">
        <f t="shared" si="477"/>
        <v>-8.655895680595338E-2</v>
      </c>
      <c r="EQ102" s="15">
        <f>EQ101/EN101-1</f>
        <v>-0.10388227825967333</v>
      </c>
      <c r="ER102" s="15">
        <f>ER101/EQ101-1</f>
        <v>-0.10477342117138611</v>
      </c>
      <c r="ES102" s="15">
        <f>ES101/ER101-1</f>
        <v>-4.9717119957188971E-2</v>
      </c>
      <c r="ET102" s="15">
        <f>ET101/ER101-1</f>
        <v>-4.9717119957188971E-2</v>
      </c>
      <c r="EU102" s="15">
        <f>EU101/ES101-1</f>
        <v>-3.9164147312209852E-2</v>
      </c>
      <c r="EV102" s="15">
        <f t="shared" ref="EV102:FH102" si="478">EV101/EU101-1</f>
        <v>2.4397892835539725E-2</v>
      </c>
      <c r="EW102" s="15">
        <f t="shared" si="478"/>
        <v>1.822970122476919E-2</v>
      </c>
      <c r="EX102" s="77">
        <f t="shared" si="478"/>
        <v>7.7602350668382059E-3</v>
      </c>
      <c r="EY102" s="77">
        <f t="shared" si="478"/>
        <v>9.9832501162521181E-2</v>
      </c>
      <c r="EZ102" s="1680">
        <f t="shared" si="478"/>
        <v>0.22034248051533822</v>
      </c>
      <c r="FA102" s="15">
        <f t="shared" si="478"/>
        <v>0.22397049205826169</v>
      </c>
      <c r="FB102" s="15">
        <f t="shared" si="478"/>
        <v>7.9057837573015544E-3</v>
      </c>
      <c r="FC102" s="15">
        <f t="shared" si="478"/>
        <v>4.4821612394068122E-3</v>
      </c>
      <c r="FD102" s="15">
        <f t="shared" si="478"/>
        <v>8.8240025627357443E-3</v>
      </c>
      <c r="FE102" s="15">
        <f t="shared" si="478"/>
        <v>9.198786451614982E-3</v>
      </c>
      <c r="FF102" s="15">
        <f t="shared" si="478"/>
        <v>9.5825471456807421E-3</v>
      </c>
      <c r="FG102" s="15">
        <f t="shared" si="478"/>
        <v>9.9752525358032251E-3</v>
      </c>
      <c r="FH102" s="15">
        <f t="shared" si="478"/>
        <v>1.0376849642321107E-2</v>
      </c>
      <c r="FI102" s="580"/>
      <c r="FJ102"/>
      <c r="FK102"/>
      <c r="FL102"/>
      <c r="FM102"/>
      <c r="FN102"/>
      <c r="FO102"/>
      <c r="FP102" s="3"/>
      <c r="FS102" s="70"/>
      <c r="FT102" s="70"/>
      <c r="FU102"/>
      <c r="FV102"/>
      <c r="FW102" s="70"/>
      <c r="FX102" s="70"/>
      <c r="FY102" s="70"/>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row>
    <row r="103" spans="1:260" s="4" customFormat="1" x14ac:dyDescent="0.2">
      <c r="A103" s="393" t="s">
        <v>335</v>
      </c>
      <c r="B103" s="218">
        <f t="shared" ref="B103:AG103" si="479">+B125/B89</f>
        <v>3.8935594713656387</v>
      </c>
      <c r="C103" s="218">
        <f t="shared" si="479"/>
        <v>4.6915000000000004</v>
      </c>
      <c r="D103" s="218">
        <f t="shared" si="479"/>
        <v>5.9229010989010993</v>
      </c>
      <c r="E103" s="539">
        <f t="shared" si="479"/>
        <v>7.9543933333333339</v>
      </c>
      <c r="F103" s="218">
        <f t="shared" si="479"/>
        <v>5.5881578947368418</v>
      </c>
      <c r="G103" s="218">
        <f t="shared" si="479"/>
        <v>5.8141557632398753</v>
      </c>
      <c r="H103" s="218">
        <f t="shared" si="479"/>
        <v>7.2966000000000006</v>
      </c>
      <c r="I103" s="539">
        <f t="shared" si="479"/>
        <v>9.5916798029556656</v>
      </c>
      <c r="J103" s="215">
        <f t="shared" si="479"/>
        <v>6.1135203836930456</v>
      </c>
      <c r="K103" s="215">
        <f t="shared" si="479"/>
        <v>6.5808283752860417</v>
      </c>
      <c r="L103" s="215">
        <f t="shared" si="479"/>
        <v>8.1232715789473691</v>
      </c>
      <c r="M103" s="551">
        <f t="shared" si="479"/>
        <v>10.261211155378485</v>
      </c>
      <c r="N103" s="215">
        <f t="shared" si="479"/>
        <v>6.4203294117647056</v>
      </c>
      <c r="O103" s="215">
        <f t="shared" si="479"/>
        <v>6.8277927063339732</v>
      </c>
      <c r="P103" s="215">
        <f t="shared" si="479"/>
        <v>7.5180674157303375</v>
      </c>
      <c r="Q103" s="551">
        <f t="shared" si="479"/>
        <v>8.6306433823529414</v>
      </c>
      <c r="R103" s="215">
        <f t="shared" si="479"/>
        <v>5.8848021978021974</v>
      </c>
      <c r="S103" s="215">
        <f t="shared" si="479"/>
        <v>6.4736606498194949</v>
      </c>
      <c r="T103" s="215">
        <f t="shared" si="479"/>
        <v>7.4560743362831854</v>
      </c>
      <c r="U103" s="551">
        <f t="shared" si="479"/>
        <v>10.007354385964913</v>
      </c>
      <c r="V103" s="215">
        <f t="shared" si="479"/>
        <v>6.7422017391304347</v>
      </c>
      <c r="W103" s="215">
        <f t="shared" si="479"/>
        <v>7.5225077720207256</v>
      </c>
      <c r="X103" s="215">
        <f t="shared" si="479"/>
        <v>8.2943993344425966</v>
      </c>
      <c r="Y103" s="551">
        <f t="shared" si="479"/>
        <v>11.094799357945426</v>
      </c>
      <c r="Z103" s="215">
        <f t="shared" si="479"/>
        <v>7.6456121794871796</v>
      </c>
      <c r="AA103" s="215">
        <f t="shared" si="479"/>
        <v>8.3306666666666658</v>
      </c>
      <c r="AB103" s="215">
        <f t="shared" si="479"/>
        <v>9.0592915451895042</v>
      </c>
      <c r="AC103" s="551">
        <f t="shared" si="479"/>
        <v>12.13675105485232</v>
      </c>
      <c r="AD103" s="215">
        <f t="shared" si="479"/>
        <v>8.2554818941504173</v>
      </c>
      <c r="AE103" s="215">
        <f t="shared" si="479"/>
        <v>8.6353433242506803</v>
      </c>
      <c r="AF103" s="215">
        <f t="shared" si="479"/>
        <v>9.4963867684478362</v>
      </c>
      <c r="AG103" s="551">
        <f t="shared" si="479"/>
        <v>13.128805288461537</v>
      </c>
      <c r="AH103" s="215">
        <f t="shared" ref="AH103:BM103" si="480">+AH125/AH89</f>
        <v>7.8539458186101294</v>
      </c>
      <c r="AI103" s="215">
        <f t="shared" si="480"/>
        <v>8.7180667433831989</v>
      </c>
      <c r="AJ103" s="215">
        <f t="shared" si="480"/>
        <v>9.221374045801527</v>
      </c>
      <c r="AK103" s="551">
        <f t="shared" si="480"/>
        <v>12.225234619395204</v>
      </c>
      <c r="AL103" s="215">
        <f t="shared" si="480"/>
        <v>7.9815762538382806</v>
      </c>
      <c r="AM103" s="215">
        <f t="shared" si="480"/>
        <v>8.4615384615384617</v>
      </c>
      <c r="AN103" s="215">
        <f t="shared" si="480"/>
        <v>8.8037383177570092</v>
      </c>
      <c r="AO103" s="551">
        <f t="shared" si="480"/>
        <v>11.593128390596744</v>
      </c>
      <c r="AP103" s="215">
        <f t="shared" si="480"/>
        <v>7.608888888888889</v>
      </c>
      <c r="AQ103" s="215">
        <f t="shared" si="480"/>
        <v>8.4874675885911834</v>
      </c>
      <c r="AR103" s="215">
        <f t="shared" si="480"/>
        <v>8.9900662251655632</v>
      </c>
      <c r="AS103" s="551">
        <f t="shared" si="480"/>
        <v>12.138866719872306</v>
      </c>
      <c r="AT103" s="215">
        <f t="shared" si="480"/>
        <v>7.8240377062058126</v>
      </c>
      <c r="AU103" s="215">
        <f t="shared" si="480"/>
        <v>8.5166279969064185</v>
      </c>
      <c r="AV103" s="215">
        <f t="shared" si="480"/>
        <v>8.8592814371257482</v>
      </c>
      <c r="AW103" s="551">
        <f t="shared" si="480"/>
        <v>11.910079767947789</v>
      </c>
      <c r="AX103" s="164">
        <f t="shared" si="480"/>
        <v>7.8513223731236597</v>
      </c>
      <c r="AY103" s="164">
        <f t="shared" si="480"/>
        <v>8.393282015395382</v>
      </c>
      <c r="AZ103" s="164">
        <f t="shared" si="480"/>
        <v>8.6791946308724839</v>
      </c>
      <c r="BA103" s="561">
        <f t="shared" si="480"/>
        <v>12.24025974025974</v>
      </c>
      <c r="BB103" s="164">
        <f t="shared" si="480"/>
        <v>7.8297331639135956</v>
      </c>
      <c r="BC103" s="164">
        <f t="shared" si="480"/>
        <v>8.1892393320964754</v>
      </c>
      <c r="BD103" s="164">
        <f t="shared" si="480"/>
        <v>8.5285714285714285</v>
      </c>
      <c r="BE103" s="561">
        <f t="shared" si="480"/>
        <v>12.769585253456221</v>
      </c>
      <c r="BF103" s="164">
        <f t="shared" si="480"/>
        <v>7.5751412429378533</v>
      </c>
      <c r="BG103" s="164">
        <f t="shared" si="480"/>
        <v>7.9977888336097287</v>
      </c>
      <c r="BH103" s="164">
        <f t="shared" si="480"/>
        <v>8.7624132407901758</v>
      </c>
      <c r="BI103" s="561">
        <f t="shared" si="480"/>
        <v>11.577639751552795</v>
      </c>
      <c r="BJ103" s="164">
        <f t="shared" si="480"/>
        <v>7.5511651469098275</v>
      </c>
      <c r="BK103" s="164">
        <f t="shared" si="480"/>
        <v>7.9774399215301619</v>
      </c>
      <c r="BL103" s="164">
        <f t="shared" si="480"/>
        <v>7.6813495782567944</v>
      </c>
      <c r="BM103" s="561">
        <f t="shared" si="480"/>
        <v>10.238548752834467</v>
      </c>
      <c r="BN103" s="216">
        <f t="shared" ref="BN103:CS103" si="481">+BN125/BN89</f>
        <v>6.5410642426799432</v>
      </c>
      <c r="BO103" s="216">
        <f t="shared" si="481"/>
        <v>7.0794571672502595</v>
      </c>
      <c r="BP103" s="216">
        <f t="shared" si="481"/>
        <v>7.4256435189917669</v>
      </c>
      <c r="BQ103" s="538">
        <f t="shared" si="481"/>
        <v>9.897544800345786</v>
      </c>
      <c r="BR103" s="216">
        <f t="shared" si="481"/>
        <v>6.3465297719680613</v>
      </c>
      <c r="BS103" s="216">
        <f t="shared" si="481"/>
        <v>6.6053714750946764</v>
      </c>
      <c r="BT103" s="216">
        <f t="shared" si="481"/>
        <v>6.5925732549119651</v>
      </c>
      <c r="BU103" s="538">
        <f t="shared" si="481"/>
        <v>8.5611844702307565</v>
      </c>
      <c r="BV103" s="216">
        <f t="shared" si="481"/>
        <v>5.6487119634988092</v>
      </c>
      <c r="BW103" s="216">
        <f t="shared" si="481"/>
        <v>5.8611020089029111</v>
      </c>
      <c r="BX103" s="216">
        <f t="shared" si="481"/>
        <v>6.0830575016795674</v>
      </c>
      <c r="BY103" s="538">
        <f t="shared" si="481"/>
        <v>7.9928178301781569</v>
      </c>
      <c r="BZ103" s="216">
        <f t="shared" si="481"/>
        <v>6.8371430385512912</v>
      </c>
      <c r="CA103" s="216">
        <f t="shared" si="481"/>
        <v>6.400724104528023</v>
      </c>
      <c r="CB103" s="216">
        <f t="shared" si="481"/>
        <v>5.9854163536142853</v>
      </c>
      <c r="CC103" s="538">
        <f t="shared" si="481"/>
        <v>8.9391492751274662</v>
      </c>
      <c r="CD103" s="216">
        <f t="shared" si="481"/>
        <v>6.0499163293249287</v>
      </c>
      <c r="CE103" s="216">
        <f t="shared" si="481"/>
        <v>5.6143343694496419</v>
      </c>
      <c r="CF103" s="216">
        <f t="shared" si="481"/>
        <v>5.488501627754065</v>
      </c>
      <c r="CG103" s="538">
        <f t="shared" si="481"/>
        <v>7.9809793900667358</v>
      </c>
      <c r="CH103" s="216">
        <f t="shared" si="481"/>
        <v>5.7608072811044959</v>
      </c>
      <c r="CI103" s="216">
        <f t="shared" si="481"/>
        <v>5.0350586009939917</v>
      </c>
      <c r="CJ103" s="216">
        <f t="shared" si="481"/>
        <v>4.9147752507781242</v>
      </c>
      <c r="CK103" s="538">
        <f t="shared" si="481"/>
        <v>7.5623869397116401</v>
      </c>
      <c r="CL103" s="216">
        <f t="shared" si="481"/>
        <v>5.7608072811044959</v>
      </c>
      <c r="CM103" s="216">
        <f t="shared" si="481"/>
        <v>5.0350586009939917</v>
      </c>
      <c r="CN103" s="216">
        <f t="shared" si="481"/>
        <v>4.9147752507781242</v>
      </c>
      <c r="CO103" s="538">
        <f t="shared" si="481"/>
        <v>7.5623869397116401</v>
      </c>
      <c r="CP103" s="216">
        <f t="shared" si="481"/>
        <v>4.9426202321724713</v>
      </c>
      <c r="CQ103" s="216">
        <f t="shared" si="481"/>
        <v>4.8315127441244625</v>
      </c>
      <c r="CR103" s="216">
        <f t="shared" si="481"/>
        <v>4.8542980418187849</v>
      </c>
      <c r="CS103" s="538">
        <f t="shared" si="481"/>
        <v>7.1543847949316435</v>
      </c>
      <c r="CT103" s="216">
        <f t="shared" ref="CT103:DI103" si="482">+CT125/CT89</f>
        <v>4.7804551539491298</v>
      </c>
      <c r="CU103" s="216">
        <f t="shared" si="482"/>
        <v>4.7164983164983161</v>
      </c>
      <c r="CV103" s="216">
        <f t="shared" si="482"/>
        <v>5.0108474576271185</v>
      </c>
      <c r="CW103" s="538">
        <f t="shared" si="482"/>
        <v>7.5296131461828137</v>
      </c>
      <c r="CX103" s="216">
        <f t="shared" si="482"/>
        <v>4.9944636678200691</v>
      </c>
      <c r="CY103" s="216">
        <f t="shared" si="482"/>
        <v>5.0100869565217394</v>
      </c>
      <c r="CZ103" s="216">
        <f t="shared" si="482"/>
        <v>5.1529448324022349</v>
      </c>
      <c r="DA103" s="538">
        <f t="shared" si="482"/>
        <v>7.4308503162333102</v>
      </c>
      <c r="DB103" s="216">
        <f t="shared" si="482"/>
        <v>4.9663848065317717</v>
      </c>
      <c r="DC103" s="216">
        <f t="shared" si="482"/>
        <v>5.0395055376920324</v>
      </c>
      <c r="DD103" s="217">
        <f t="shared" si="482"/>
        <v>5.2549749079798707</v>
      </c>
      <c r="DE103" s="538">
        <f t="shared" si="482"/>
        <v>7.3266684861717604</v>
      </c>
      <c r="DF103" s="217">
        <f t="shared" si="482"/>
        <v>5.0796442499078518</v>
      </c>
      <c r="DG103" s="217">
        <f t="shared" ref="DG103" si="483">+DG125/DG89</f>
        <v>5.3265700489977723</v>
      </c>
      <c r="DH103" s="217">
        <f t="shared" si="482"/>
        <v>5.5582381167086607</v>
      </c>
      <c r="DI103" s="538">
        <f t="shared" si="482"/>
        <v>8.6462578803516816</v>
      </c>
      <c r="DJ103" s="2733">
        <f t="shared" ref="DJ103:DK103" si="484">+DJ125/DJ89</f>
        <v>5.9596735653041764</v>
      </c>
      <c r="DK103" s="217">
        <f t="shared" si="484"/>
        <v>6.8690039476509597</v>
      </c>
      <c r="DL103" s="217">
        <f t="shared" ref="DL103:DM103" si="485">+DL125/DL89</f>
        <v>7.0234456182707747</v>
      </c>
      <c r="DM103" s="538">
        <f t="shared" si="485"/>
        <v>10.301670822577456</v>
      </c>
      <c r="DN103" s="217"/>
      <c r="DO103" s="655"/>
      <c r="DP103" s="3"/>
      <c r="DQ103" s="3"/>
      <c r="DR103" s="217">
        <f t="shared" ref="DR103:DW103" si="486">+DR147/DR89</f>
        <v>10.976000000000001</v>
      </c>
      <c r="DS103" s="217">
        <f t="shared" si="486"/>
        <v>12.510469135802468</v>
      </c>
      <c r="DT103" s="217">
        <f t="shared" si="486"/>
        <v>11.396666666666667</v>
      </c>
      <c r="DU103" s="217">
        <f t="shared" si="486"/>
        <v>12.663295238095237</v>
      </c>
      <c r="DV103" s="217">
        <f t="shared" si="486"/>
        <v>14.413829457364342</v>
      </c>
      <c r="DW103" s="217">
        <f t="shared" si="486"/>
        <v>17.608456521739132</v>
      </c>
      <c r="DX103" s="216">
        <f>+B103+C103+D103+E103</f>
        <v>22.462353903600075</v>
      </c>
      <c r="DY103" s="216">
        <f>+F103+G103+H103+I103</f>
        <v>28.290593460932385</v>
      </c>
      <c r="DZ103" s="215">
        <f>+J103+K103+L103+M103</f>
        <v>31.078831493304939</v>
      </c>
      <c r="EA103" s="215">
        <f>+N103+O103+P103+Q103</f>
        <v>29.396832916181957</v>
      </c>
      <c r="EB103" s="215">
        <f>+R103+S103+T103+U103</f>
        <v>29.821891569869788</v>
      </c>
      <c r="EC103" s="215">
        <f>+V103+W103+X103+Y103</f>
        <v>33.653908203539181</v>
      </c>
      <c r="ED103" s="215">
        <f>+Z103+AA103+AB103+AC103</f>
        <v>37.172321446195667</v>
      </c>
      <c r="EE103" s="215">
        <f>+AD103+AE103+AF103+AG103</f>
        <v>39.516017275310467</v>
      </c>
      <c r="EF103" s="215">
        <f>+AH103+AI103+AJ103+AK103</f>
        <v>38.01862122719006</v>
      </c>
      <c r="EG103" s="215">
        <f>+AL103+AM103+AN103+AO103</f>
        <v>36.839981423730499</v>
      </c>
      <c r="EH103" s="215">
        <f>+AP103+AQ103+AR103+AS103</f>
        <v>37.225289422517939</v>
      </c>
      <c r="EI103" s="215">
        <f>+AT103+AU103+AV103+AW103</f>
        <v>37.110026908185766</v>
      </c>
      <c r="EJ103" s="216">
        <f>+AX103+AY103+AZ103+BA103</f>
        <v>37.164058759651269</v>
      </c>
      <c r="EK103" s="216">
        <f>+BB103+BC103+BD103+BE103</f>
        <v>37.317129178037717</v>
      </c>
      <c r="EL103" s="216">
        <f>+EL147/EL89</f>
        <v>36.245785753126697</v>
      </c>
      <c r="EM103" s="216">
        <f t="shared" ref="EM103:EY103" si="487">+EM125/EM89</f>
        <v>33.753609239653514</v>
      </c>
      <c r="EN103" s="216">
        <f t="shared" si="487"/>
        <v>31.025304090411645</v>
      </c>
      <c r="EO103" s="216">
        <f t="shared" si="487"/>
        <v>28.144977297263267</v>
      </c>
      <c r="EP103" s="216">
        <f t="shared" si="487"/>
        <v>25.620079659217634</v>
      </c>
      <c r="EQ103" s="216">
        <f t="shared" si="487"/>
        <v>28.192045506278028</v>
      </c>
      <c r="ER103" s="216">
        <f t="shared" si="487"/>
        <v>25.151193986279857</v>
      </c>
      <c r="ES103" s="216">
        <f t="shared" si="487"/>
        <v>23.260443138888292</v>
      </c>
      <c r="ET103" s="216">
        <f t="shared" si="487"/>
        <v>23.260443138888292</v>
      </c>
      <c r="EU103" s="216">
        <f t="shared" si="487"/>
        <v>21.874583055370248</v>
      </c>
      <c r="EV103" s="216">
        <f t="shared" si="487"/>
        <v>22.109412164458035</v>
      </c>
      <c r="EW103" s="216">
        <f t="shared" si="487"/>
        <v>22.614122947956687</v>
      </c>
      <c r="EX103" s="216">
        <f t="shared" si="487"/>
        <v>22.623796686105113</v>
      </c>
      <c r="EY103" s="216">
        <f t="shared" si="487"/>
        <v>24.688737286996233</v>
      </c>
      <c r="EZ103" s="1745">
        <f t="shared" ref="EZ103" si="488">+EZ125/EZ89</f>
        <v>27.485317920743078</v>
      </c>
      <c r="FA103" s="216">
        <f t="shared" ref="FA103:FH103" si="489">FA147/FA89</f>
        <v>37.893189662478669</v>
      </c>
      <c r="FB103" s="216">
        <f t="shared" si="489"/>
        <v>38.211179949112392</v>
      </c>
      <c r="FC103" s="216">
        <f t="shared" si="489"/>
        <v>38.437709504156103</v>
      </c>
      <c r="FD103" s="216">
        <f t="shared" si="489"/>
        <v>38.776437740876439</v>
      </c>
      <c r="FE103" s="216">
        <f t="shared" si="489"/>
        <v>39.132687890814644</v>
      </c>
      <c r="FF103" s="216">
        <f t="shared" si="489"/>
        <v>39.507232697530256</v>
      </c>
      <c r="FG103" s="216">
        <f t="shared" si="489"/>
        <v>39.900881107312756</v>
      </c>
      <c r="FH103" s="216">
        <f t="shared" si="489"/>
        <v>40.314479946748889</v>
      </c>
      <c r="FI103" s="755"/>
      <c r="FJ103"/>
      <c r="FK103"/>
      <c r="FL103"/>
      <c r="FM103"/>
      <c r="FN103"/>
      <c r="FO103"/>
      <c r="FP103" s="3"/>
      <c r="FS103" s="217"/>
      <c r="FT103" s="217"/>
      <c r="FU103"/>
      <c r="FV103"/>
      <c r="FW103" s="217"/>
      <c r="FX103" s="217"/>
      <c r="FY103" s="217"/>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row>
    <row r="104" spans="1:260" s="4" customFormat="1" x14ac:dyDescent="0.2">
      <c r="A104" s="287" t="s">
        <v>44</v>
      </c>
      <c r="B104" s="383"/>
      <c r="C104" s="383"/>
      <c r="D104" s="383"/>
      <c r="E104" s="549"/>
      <c r="F104" s="15">
        <f t="shared" ref="F104:AK104" si="490">F103/B103-1</f>
        <v>0.43523116465377498</v>
      </c>
      <c r="G104" s="15">
        <f t="shared" si="490"/>
        <v>0.23929569716292765</v>
      </c>
      <c r="H104" s="15">
        <f t="shared" si="490"/>
        <v>0.23193007584640735</v>
      </c>
      <c r="I104" s="518">
        <f t="shared" si="490"/>
        <v>0.20583423537294676</v>
      </c>
      <c r="J104" s="15">
        <f t="shared" si="490"/>
        <v>9.4013536992398228E-2</v>
      </c>
      <c r="K104" s="15">
        <f t="shared" si="490"/>
        <v>0.13186310158621306</v>
      </c>
      <c r="L104" s="15">
        <f t="shared" si="490"/>
        <v>0.11329544979132322</v>
      </c>
      <c r="M104" s="518">
        <f t="shared" si="490"/>
        <v>6.9803346877415962E-2</v>
      </c>
      <c r="N104" s="15">
        <f t="shared" si="490"/>
        <v>5.0185328389519945E-2</v>
      </c>
      <c r="O104" s="15">
        <f t="shared" si="490"/>
        <v>3.7527848617872062E-2</v>
      </c>
      <c r="P104" s="15">
        <f t="shared" si="490"/>
        <v>-7.45025150686216E-2</v>
      </c>
      <c r="Q104" s="518">
        <f t="shared" si="490"/>
        <v>-0.15890597594523426</v>
      </c>
      <c r="R104" s="15">
        <f t="shared" si="490"/>
        <v>-8.3411174040571856E-2</v>
      </c>
      <c r="S104" s="15">
        <f t="shared" si="490"/>
        <v>-5.1866257771118196E-2</v>
      </c>
      <c r="T104" s="15">
        <f t="shared" si="490"/>
        <v>-8.2458796947526558E-3</v>
      </c>
      <c r="U104" s="518">
        <f t="shared" si="490"/>
        <v>0.1595142960520104</v>
      </c>
      <c r="V104" s="15">
        <f t="shared" si="490"/>
        <v>0.14569725753032969</v>
      </c>
      <c r="W104" s="15">
        <f t="shared" si="490"/>
        <v>0.16201762479324211</v>
      </c>
      <c r="X104" s="15">
        <f t="shared" si="490"/>
        <v>0.11243517169348816</v>
      </c>
      <c r="Y104" s="518">
        <f t="shared" si="490"/>
        <v>0.10866458107106003</v>
      </c>
      <c r="Z104" s="15">
        <f t="shared" si="490"/>
        <v>0.1339933860349396</v>
      </c>
      <c r="AA104" s="15">
        <f t="shared" si="490"/>
        <v>0.10743211162264443</v>
      </c>
      <c r="AB104" s="15">
        <f t="shared" si="490"/>
        <v>9.2217914752510621E-2</v>
      </c>
      <c r="AC104" s="518">
        <f t="shared" si="490"/>
        <v>9.3913523200463311E-2</v>
      </c>
      <c r="AD104" s="15">
        <f t="shared" si="490"/>
        <v>7.9767283553760393E-2</v>
      </c>
      <c r="AE104" s="15">
        <f t="shared" si="490"/>
        <v>3.6572902238798166E-2</v>
      </c>
      <c r="AF104" s="15">
        <f t="shared" si="490"/>
        <v>4.8248278695747437E-2</v>
      </c>
      <c r="AG104" s="518">
        <f t="shared" si="490"/>
        <v>8.1739687097939662E-2</v>
      </c>
      <c r="AH104" s="15">
        <f t="shared" si="490"/>
        <v>-4.8638720390726586E-2</v>
      </c>
      <c r="AI104" s="15">
        <f t="shared" si="490"/>
        <v>9.5796329139810066E-3</v>
      </c>
      <c r="AJ104" s="15">
        <f t="shared" si="490"/>
        <v>-2.8959722192450243E-2</v>
      </c>
      <c r="AK104" s="518">
        <f t="shared" si="490"/>
        <v>-6.8823525767455096E-2</v>
      </c>
      <c r="AL104" s="15">
        <f t="shared" ref="AL104:BQ104" si="491">AL103/AH103-1</f>
        <v>1.6250485829139238E-2</v>
      </c>
      <c r="AM104" s="15">
        <f t="shared" si="491"/>
        <v>-2.9424904556900278E-2</v>
      </c>
      <c r="AN104" s="15">
        <f t="shared" si="491"/>
        <v>-4.5289967196880609E-2</v>
      </c>
      <c r="AO104" s="518">
        <f t="shared" si="491"/>
        <v>-5.1705038674319526E-2</v>
      </c>
      <c r="AP104" s="15">
        <f t="shared" si="491"/>
        <v>-4.6693454162035852E-2</v>
      </c>
      <c r="AQ104" s="15">
        <f t="shared" si="491"/>
        <v>3.0643513789581078E-3</v>
      </c>
      <c r="AR104" s="15">
        <f t="shared" si="491"/>
        <v>2.1164634917956837E-2</v>
      </c>
      <c r="AS104" s="518">
        <f t="shared" si="491"/>
        <v>4.7074293571889747E-2</v>
      </c>
      <c r="AT104" s="15">
        <f t="shared" si="491"/>
        <v>2.8275983584291842E-2</v>
      </c>
      <c r="AU104" s="15">
        <f t="shared" si="491"/>
        <v>3.4357018758377489E-3</v>
      </c>
      <c r="AV104" s="15">
        <f t="shared" si="491"/>
        <v>-1.4547700179751044E-2</v>
      </c>
      <c r="AW104" s="518">
        <f t="shared" si="491"/>
        <v>-1.8847472107917151E-2</v>
      </c>
      <c r="AX104" s="15">
        <f t="shared" si="491"/>
        <v>3.4872872476323646E-3</v>
      </c>
      <c r="AY104" s="15">
        <f t="shared" si="491"/>
        <v>-1.448295987048398E-2</v>
      </c>
      <c r="AZ104" s="15">
        <f t="shared" si="491"/>
        <v>-2.0327473230344784E-2</v>
      </c>
      <c r="BA104" s="518">
        <f t="shared" si="491"/>
        <v>2.7722733914891773E-2</v>
      </c>
      <c r="BB104" s="15">
        <f t="shared" si="491"/>
        <v>-2.7497545233866605E-3</v>
      </c>
      <c r="BC104" s="15">
        <f t="shared" si="491"/>
        <v>-2.4310237988505734E-2</v>
      </c>
      <c r="BD104" s="15">
        <f t="shared" si="491"/>
        <v>-1.7354513720118536E-2</v>
      </c>
      <c r="BE104" s="518">
        <f t="shared" si="491"/>
        <v>4.3244630786343885E-2</v>
      </c>
      <c r="BF104" s="15">
        <f t="shared" si="491"/>
        <v>-3.2516040540069624E-2</v>
      </c>
      <c r="BG104" s="15">
        <f t="shared" si="491"/>
        <v>-2.337830056283563E-2</v>
      </c>
      <c r="BH104" s="15">
        <f t="shared" si="491"/>
        <v>2.741863794859678E-2</v>
      </c>
      <c r="BI104" s="518">
        <f t="shared" si="491"/>
        <v>-9.3342538402397479E-2</v>
      </c>
      <c r="BJ104" s="15">
        <f t="shared" si="491"/>
        <v>-3.1651021755374487E-3</v>
      </c>
      <c r="BK104" s="15">
        <f t="shared" si="491"/>
        <v>-2.5443172485440924E-3</v>
      </c>
      <c r="BL104" s="15">
        <f t="shared" si="491"/>
        <v>-0.12337510601541701</v>
      </c>
      <c r="BM104" s="518">
        <f t="shared" si="491"/>
        <v>-0.11566182982492001</v>
      </c>
      <c r="BN104" s="15">
        <f t="shared" si="491"/>
        <v>-0.1337675556789073</v>
      </c>
      <c r="BO104" s="15">
        <f t="shared" si="491"/>
        <v>-0.11256527947723605</v>
      </c>
      <c r="BP104" s="15">
        <f t="shared" si="491"/>
        <v>-3.3289210009246561E-2</v>
      </c>
      <c r="BQ104" s="518">
        <f t="shared" si="491"/>
        <v>-3.3305887457368066E-2</v>
      </c>
      <c r="BR104" s="15">
        <f t="shared" ref="BR104:BY104" si="492">BR103/BN103-1</f>
        <v>-2.974049229520781E-2</v>
      </c>
      <c r="BS104" s="15">
        <f t="shared" si="492"/>
        <v>-6.6966390353869976E-2</v>
      </c>
      <c r="BT104" s="15">
        <f t="shared" si="492"/>
        <v>-0.11218829209201164</v>
      </c>
      <c r="BU104" s="518">
        <f t="shared" si="492"/>
        <v>-0.13501937673152453</v>
      </c>
      <c r="BV104" s="15">
        <f t="shared" si="492"/>
        <v>-0.10995265657642361</v>
      </c>
      <c r="BW104" s="15">
        <f t="shared" si="492"/>
        <v>-0.11267639814021169</v>
      </c>
      <c r="BX104" s="15">
        <f t="shared" si="492"/>
        <v>-7.7286324100042436E-2</v>
      </c>
      <c r="BY104" s="518">
        <f t="shared" si="492"/>
        <v>-6.638878557388217E-2</v>
      </c>
      <c r="BZ104" s="15">
        <f>BZ103/BN103-1</f>
        <v>4.5264621304199393E-2</v>
      </c>
      <c r="CA104" s="15">
        <f>CA103/BO103-1</f>
        <v>-9.5873602549934489E-2</v>
      </c>
      <c r="CB104" s="15">
        <f>CB103/BP103-1</f>
        <v>-0.19395317883143304</v>
      </c>
      <c r="CC104" s="518">
        <f>CC103/BQ103-1</f>
        <v>-9.6831643054026584E-2</v>
      </c>
      <c r="CD104" s="15">
        <f t="shared" ref="CD104:CK104" si="493">CD103/BZ103-1</f>
        <v>-0.11513971622175778</v>
      </c>
      <c r="CE104" s="15">
        <f t="shared" si="493"/>
        <v>-0.12285949561895204</v>
      </c>
      <c r="CF104" s="15">
        <f t="shared" si="493"/>
        <v>-8.3020912247843692E-2</v>
      </c>
      <c r="CG104" s="518">
        <f t="shared" si="493"/>
        <v>-0.10718803943981203</v>
      </c>
      <c r="CH104" s="15">
        <f t="shared" si="493"/>
        <v>-4.7787280432139867E-2</v>
      </c>
      <c r="CI104" s="77">
        <f t="shared" si="493"/>
        <v>-0.10317799588278442</v>
      </c>
      <c r="CJ104" s="15">
        <f t="shared" si="493"/>
        <v>-0.10453242358073489</v>
      </c>
      <c r="CK104" s="518">
        <f t="shared" si="493"/>
        <v>-5.244875721344211E-2</v>
      </c>
      <c r="CL104" s="15">
        <f>CL103/CD103-1</f>
        <v>-4.7787280432139867E-2</v>
      </c>
      <c r="CM104" s="15">
        <f>CM103/CE103-1</f>
        <v>-0.10317799588278442</v>
      </c>
      <c r="CN104" s="15">
        <f>CN103/CF103-1</f>
        <v>-0.10453242358073489</v>
      </c>
      <c r="CO104" s="518">
        <f>CO103/CG103-1</f>
        <v>-5.244875721344211E-2</v>
      </c>
      <c r="CP104" s="77">
        <f>CP103/CL103-1</f>
        <v>-0.14202645723207685</v>
      </c>
      <c r="CQ104" s="77">
        <f>CQ103/CM103-1</f>
        <v>-4.0425717553584484E-2</v>
      </c>
      <c r="CR104" s="15">
        <f>CR103/CJ103-1</f>
        <v>-1.2305183019256982E-2</v>
      </c>
      <c r="CS104" s="487">
        <f t="shared" ref="CS104:DB104" si="494">CS103/CO103-1</f>
        <v>-5.39515034119048E-2</v>
      </c>
      <c r="CT104" s="77">
        <f t="shared" si="494"/>
        <v>-3.2809536360446589E-2</v>
      </c>
      <c r="CU104" s="77">
        <f t="shared" si="494"/>
        <v>-2.3805055210920023E-2</v>
      </c>
      <c r="CV104" s="77">
        <f t="shared" si="494"/>
        <v>3.2249650610591374E-2</v>
      </c>
      <c r="CW104" s="487">
        <f t="shared" si="494"/>
        <v>5.244732594156698E-2</v>
      </c>
      <c r="CX104" s="77">
        <f t="shared" si="494"/>
        <v>4.4767392848387377E-2</v>
      </c>
      <c r="CY104" s="77">
        <f t="shared" si="494"/>
        <v>6.2247163111762482E-2</v>
      </c>
      <c r="CZ104" s="77">
        <f t="shared" si="494"/>
        <v>2.8357952617142024E-2</v>
      </c>
      <c r="DA104" s="487">
        <f t="shared" si="494"/>
        <v>-1.3116587536714519E-2</v>
      </c>
      <c r="DB104" s="77">
        <f t="shared" si="494"/>
        <v>-5.6219973065803064E-3</v>
      </c>
      <c r="DC104" s="77">
        <f t="shared" ref="DC104:DM104" si="495">DC103/CY103-1</f>
        <v>5.8718703738260825E-3</v>
      </c>
      <c r="DD104" s="70">
        <f t="shared" si="495"/>
        <v>1.9800343084610539E-2</v>
      </c>
      <c r="DE104" s="487">
        <f t="shared" si="495"/>
        <v>-1.4020176107430893E-2</v>
      </c>
      <c r="DF104" s="70">
        <f t="shared" si="495"/>
        <v>2.2805208977588975E-2</v>
      </c>
      <c r="DG104" s="70">
        <f t="shared" si="495"/>
        <v>5.6962832793553853E-2</v>
      </c>
      <c r="DH104" s="70">
        <f t="shared" si="495"/>
        <v>5.7709734877758212E-2</v>
      </c>
      <c r="DI104" s="487">
        <f t="shared" si="495"/>
        <v>0.18010769788076164</v>
      </c>
      <c r="DJ104" s="1673">
        <f t="shared" si="495"/>
        <v>0.17324624956015167</v>
      </c>
      <c r="DK104" s="70">
        <f t="shared" si="495"/>
        <v>0.28957356881909524</v>
      </c>
      <c r="DL104" s="70">
        <f t="shared" si="495"/>
        <v>0.2636100632604319</v>
      </c>
      <c r="DM104" s="487">
        <f t="shared" si="495"/>
        <v>0.19146004724051124</v>
      </c>
      <c r="DN104" s="70"/>
      <c r="DO104" s="487"/>
      <c r="DP104" s="3"/>
      <c r="DQ104" s="3"/>
      <c r="DR104" s="3"/>
      <c r="DS104" s="161">
        <f t="shared" ref="DS104:EP104" si="496">DS103/DR103-1</f>
        <v>0.13980221718316943</v>
      </c>
      <c r="DT104" s="161">
        <f t="shared" si="496"/>
        <v>-8.9029632465845832E-2</v>
      </c>
      <c r="DU104" s="161">
        <f t="shared" si="496"/>
        <v>0.11114026657752896</v>
      </c>
      <c r="DV104" s="161">
        <f t="shared" si="496"/>
        <v>0.13823686381432054</v>
      </c>
      <c r="DW104" s="161">
        <f t="shared" si="496"/>
        <v>0.22163624689916017</v>
      </c>
      <c r="DX104" s="161">
        <f t="shared" si="496"/>
        <v>0.27565717505497411</v>
      </c>
      <c r="DY104" s="15">
        <f t="shared" si="496"/>
        <v>0.25946699897726244</v>
      </c>
      <c r="DZ104" s="15">
        <f t="shared" si="496"/>
        <v>9.8557071141789354E-2</v>
      </c>
      <c r="EA104" s="15">
        <f t="shared" si="496"/>
        <v>-5.4120393087665475E-2</v>
      </c>
      <c r="EB104" s="15">
        <f t="shared" si="496"/>
        <v>1.4459334952842795E-2</v>
      </c>
      <c r="EC104" s="15">
        <f t="shared" si="496"/>
        <v>0.12849676636679308</v>
      </c>
      <c r="ED104" s="15">
        <f t="shared" si="496"/>
        <v>0.10454694359350736</v>
      </c>
      <c r="EE104" s="15">
        <f t="shared" si="496"/>
        <v>6.3049487842913976E-2</v>
      </c>
      <c r="EF104" s="15">
        <f t="shared" si="496"/>
        <v>-3.7893394915989642E-2</v>
      </c>
      <c r="EG104" s="15">
        <f t="shared" si="496"/>
        <v>-3.1001645125852795E-2</v>
      </c>
      <c r="EH104" s="15">
        <f t="shared" si="496"/>
        <v>1.045896289565551E-2</v>
      </c>
      <c r="EI104" s="15">
        <f t="shared" si="496"/>
        <v>-3.0963497160199083E-3</v>
      </c>
      <c r="EJ104" s="15">
        <f t="shared" si="496"/>
        <v>1.4559906302191727E-3</v>
      </c>
      <c r="EK104" s="15">
        <f t="shared" si="496"/>
        <v>4.1187755991989317E-3</v>
      </c>
      <c r="EL104" s="15">
        <f t="shared" si="496"/>
        <v>-2.8709159801647899E-2</v>
      </c>
      <c r="EM104" s="15">
        <f t="shared" si="496"/>
        <v>-6.8757690354614542E-2</v>
      </c>
      <c r="EN104" s="15">
        <f t="shared" si="496"/>
        <v>-8.083002709045628E-2</v>
      </c>
      <c r="EO104" s="15">
        <f t="shared" si="496"/>
        <v>-9.2837987494167384E-2</v>
      </c>
      <c r="EP104" s="15">
        <f t="shared" si="496"/>
        <v>-8.9710416582611585E-2</v>
      </c>
      <c r="EQ104" s="15">
        <f>EQ103/EN103-1</f>
        <v>-9.1320896513283012E-2</v>
      </c>
      <c r="ER104" s="15">
        <f>ER103/EQ103-1</f>
        <v>-0.10786203928767812</v>
      </c>
      <c r="ES104" s="15">
        <f>ES103/ER103-1</f>
        <v>-7.5175391212957243E-2</v>
      </c>
      <c r="ET104" s="15">
        <f>ET103/ER103-1</f>
        <v>-7.5175391212957243E-2</v>
      </c>
      <c r="EU104" s="15">
        <f>EU103/ES103-1</f>
        <v>-5.9580123871375124E-2</v>
      </c>
      <c r="EV104" s="15">
        <f t="shared" ref="EV104:FH104" si="497">EV103/EU103-1</f>
        <v>1.0735249604226782E-2</v>
      </c>
      <c r="EW104" s="15">
        <f t="shared" si="497"/>
        <v>2.2827869856711924E-2</v>
      </c>
      <c r="EX104" s="77">
        <f t="shared" si="497"/>
        <v>4.2777419096418079E-4</v>
      </c>
      <c r="EY104" s="77">
        <f t="shared" si="497"/>
        <v>9.1272947221955336E-2</v>
      </c>
      <c r="EZ104" s="1680">
        <f t="shared" si="497"/>
        <v>0.11327353850615229</v>
      </c>
      <c r="FA104" s="15">
        <f t="shared" si="497"/>
        <v>0.37867023302214764</v>
      </c>
      <c r="FB104" s="15">
        <f t="shared" si="497"/>
        <v>8.39175296316097E-3</v>
      </c>
      <c r="FC104" s="15">
        <f t="shared" si="497"/>
        <v>5.928358018396418E-3</v>
      </c>
      <c r="FD104" s="15">
        <f t="shared" si="497"/>
        <v>8.8123938988535766E-3</v>
      </c>
      <c r="FE104" s="15">
        <f t="shared" si="497"/>
        <v>9.1872841006914729E-3</v>
      </c>
      <c r="FF104" s="15">
        <f t="shared" si="497"/>
        <v>9.5711495147137171E-3</v>
      </c>
      <c r="FG104" s="15">
        <f t="shared" si="497"/>
        <v>9.9639580629777846E-3</v>
      </c>
      <c r="FH104" s="15">
        <f t="shared" si="497"/>
        <v>1.0365656796494482E-2</v>
      </c>
      <c r="FI104" s="580"/>
      <c r="FJ104"/>
      <c r="FK104"/>
      <c r="FL104"/>
      <c r="FM104"/>
      <c r="FN104"/>
      <c r="FO104"/>
      <c r="FP104" s="3"/>
      <c r="FS104" s="70"/>
      <c r="FT104" s="70"/>
      <c r="FU104"/>
      <c r="FV104"/>
      <c r="FW104" s="70"/>
      <c r="FX104" s="70"/>
      <c r="FY104" s="70"/>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row>
    <row r="105" spans="1:260" s="4" customFormat="1" x14ac:dyDescent="0.2">
      <c r="A105" s="393" t="s">
        <v>339</v>
      </c>
      <c r="B105" s="218">
        <f t="shared" ref="B105:AG105" si="498">+B125/B92*1000</f>
        <v>128.27837445573294</v>
      </c>
      <c r="C105" s="218">
        <f t="shared" si="498"/>
        <v>153.40054495912807</v>
      </c>
      <c r="D105" s="218">
        <f t="shared" si="498"/>
        <v>200.61439205955332</v>
      </c>
      <c r="E105" s="539">
        <f t="shared" si="498"/>
        <v>231.45664403491759</v>
      </c>
      <c r="F105" s="218">
        <f t="shared" si="498"/>
        <v>161.94470924690179</v>
      </c>
      <c r="G105" s="218">
        <f t="shared" si="498"/>
        <v>157.63040540540541</v>
      </c>
      <c r="H105" s="218">
        <f t="shared" si="498"/>
        <v>181.19073825503358</v>
      </c>
      <c r="I105" s="539">
        <f t="shared" si="498"/>
        <v>249.91798228725455</v>
      </c>
      <c r="J105" s="215">
        <f t="shared" si="498"/>
        <v>155.52330405075648</v>
      </c>
      <c r="K105" s="215">
        <f t="shared" si="498"/>
        <v>165.44827982970889</v>
      </c>
      <c r="L105" s="215">
        <f t="shared" si="498"/>
        <v>194.75842923480718</v>
      </c>
      <c r="M105" s="551">
        <f t="shared" si="498"/>
        <v>247.65038461538461</v>
      </c>
      <c r="N105" s="215">
        <f t="shared" si="498"/>
        <v>149.65118829981719</v>
      </c>
      <c r="O105" s="215">
        <f t="shared" si="498"/>
        <v>159.9784133837021</v>
      </c>
      <c r="P105" s="215">
        <f t="shared" si="498"/>
        <v>171.81580073611229</v>
      </c>
      <c r="Q105" s="551">
        <f t="shared" si="498"/>
        <v>200.78130345535408</v>
      </c>
      <c r="R105" s="215">
        <f t="shared" si="498"/>
        <v>135.96403182125928</v>
      </c>
      <c r="S105" s="215">
        <f t="shared" si="498"/>
        <v>148.16194331983806</v>
      </c>
      <c r="T105" s="215">
        <f t="shared" si="498"/>
        <v>170.3883675780618</v>
      </c>
      <c r="U105" s="551">
        <f t="shared" si="498"/>
        <v>231.23852764715423</v>
      </c>
      <c r="V105" s="215">
        <f t="shared" si="498"/>
        <v>154.34214507524484</v>
      </c>
      <c r="W105" s="215">
        <f t="shared" si="498"/>
        <v>173.29243256147052</v>
      </c>
      <c r="X105" s="215">
        <f t="shared" si="498"/>
        <v>182.43793002488655</v>
      </c>
      <c r="Y105" s="551">
        <f t="shared" si="498"/>
        <v>253.48613759718353</v>
      </c>
      <c r="Z105" s="215">
        <f t="shared" si="498"/>
        <v>173.49850898247146</v>
      </c>
      <c r="AA105" s="215">
        <f t="shared" si="498"/>
        <v>184.31942919868274</v>
      </c>
      <c r="AB105" s="215">
        <f t="shared" si="498"/>
        <v>198.13409424217303</v>
      </c>
      <c r="AC105" s="551">
        <f t="shared" si="498"/>
        <v>273.54434793634692</v>
      </c>
      <c r="AD105" s="215">
        <f t="shared" si="498"/>
        <v>185.68498214397593</v>
      </c>
      <c r="AE105" s="215">
        <f t="shared" si="498"/>
        <v>193.11260739747729</v>
      </c>
      <c r="AF105" s="215">
        <f t="shared" si="498"/>
        <v>204.53115580643393</v>
      </c>
      <c r="AG105" s="551">
        <f t="shared" si="498"/>
        <v>295.2845480103806</v>
      </c>
      <c r="AH105" s="215">
        <f t="shared" ref="AH105:BM105" si="499">+AH125/AH92*1000</f>
        <v>170.47604438308534</v>
      </c>
      <c r="AI105" s="215">
        <f t="shared" si="499"/>
        <v>189.58958958958959</v>
      </c>
      <c r="AJ105" s="215">
        <f t="shared" si="499"/>
        <v>195.71355830208768</v>
      </c>
      <c r="AK105" s="551">
        <f t="shared" si="499"/>
        <v>269.30674874810495</v>
      </c>
      <c r="AL105" s="215">
        <f t="shared" si="499"/>
        <v>175.0943057301958</v>
      </c>
      <c r="AM105" s="215">
        <f t="shared" si="499"/>
        <v>185.25715766290969</v>
      </c>
      <c r="AN105" s="215">
        <f t="shared" si="499"/>
        <v>192.97742450936207</v>
      </c>
      <c r="AO105" s="551">
        <f t="shared" si="499"/>
        <v>261.87655733017442</v>
      </c>
      <c r="AP105" s="215">
        <f t="shared" si="499"/>
        <v>173.65901160431713</v>
      </c>
      <c r="AQ105" s="215">
        <f t="shared" si="499"/>
        <v>195.25191871793851</v>
      </c>
      <c r="AR105" s="215">
        <f t="shared" si="499"/>
        <v>205.61950923962436</v>
      </c>
      <c r="AS105" s="551">
        <f t="shared" si="499"/>
        <v>284.84212891868611</v>
      </c>
      <c r="AT105" s="215">
        <f t="shared" si="499"/>
        <v>184.13074022036528</v>
      </c>
      <c r="AU105" s="215">
        <f t="shared" si="499"/>
        <v>201.51520696848809</v>
      </c>
      <c r="AV105" s="215">
        <f t="shared" si="499"/>
        <v>209.61286437856407</v>
      </c>
      <c r="AW105" s="551">
        <f t="shared" si="499"/>
        <v>288.00897836074773</v>
      </c>
      <c r="AX105" s="164">
        <f t="shared" si="499"/>
        <v>190.27821085819215</v>
      </c>
      <c r="AY105" s="164">
        <f t="shared" si="499"/>
        <v>204.40369474078869</v>
      </c>
      <c r="AZ105" s="164">
        <f t="shared" si="499"/>
        <v>211.27957129786955</v>
      </c>
      <c r="BA105" s="561">
        <f t="shared" si="499"/>
        <v>305.27304528081885</v>
      </c>
      <c r="BB105" s="164">
        <f t="shared" si="499"/>
        <v>193.88943079198262</v>
      </c>
      <c r="BC105" s="164">
        <f t="shared" si="499"/>
        <v>204.8259860788863</v>
      </c>
      <c r="BD105" s="164">
        <f t="shared" si="499"/>
        <v>212.31070147882525</v>
      </c>
      <c r="BE105" s="561">
        <f t="shared" si="499"/>
        <v>325.11072654210545</v>
      </c>
      <c r="BF105" s="164">
        <f t="shared" si="499"/>
        <v>191.78944357030466</v>
      </c>
      <c r="BG105" s="164">
        <f t="shared" si="499"/>
        <v>202.81484804306382</v>
      </c>
      <c r="BH105" s="164">
        <f t="shared" si="499"/>
        <v>220.3544575725027</v>
      </c>
      <c r="BI105" s="561">
        <f t="shared" si="499"/>
        <v>298.15254192103652</v>
      </c>
      <c r="BJ105" s="164">
        <f t="shared" si="499"/>
        <v>194.1037060186994</v>
      </c>
      <c r="BK105" s="164">
        <f t="shared" si="499"/>
        <v>207.17324298851162</v>
      </c>
      <c r="BL105" s="164">
        <f t="shared" si="499"/>
        <v>202.37037037037038</v>
      </c>
      <c r="BM105" s="561">
        <f t="shared" si="499"/>
        <v>275.82836477372689</v>
      </c>
      <c r="BN105" s="164">
        <f t="shared" ref="BN105:CS105" si="500">+BN125/BN92*1000</f>
        <v>176.56237105204622</v>
      </c>
      <c r="BO105" s="164">
        <f t="shared" si="500"/>
        <v>191.75938153535427</v>
      </c>
      <c r="BP105" s="164">
        <f t="shared" si="500"/>
        <v>203.02445617694406</v>
      </c>
      <c r="BQ105" s="561">
        <f t="shared" si="500"/>
        <v>276.41959620748315</v>
      </c>
      <c r="BR105" s="164">
        <f t="shared" si="500"/>
        <v>177.57245083935382</v>
      </c>
      <c r="BS105" s="164">
        <f t="shared" si="500"/>
        <v>187.27867297449365</v>
      </c>
      <c r="BT105" s="164">
        <f t="shared" si="500"/>
        <v>192.34200439688311</v>
      </c>
      <c r="BU105" s="561">
        <f t="shared" si="500"/>
        <v>256.28648883627113</v>
      </c>
      <c r="BV105" s="164">
        <f t="shared" si="500"/>
        <v>171.51933268212125</v>
      </c>
      <c r="BW105" s="164">
        <f t="shared" si="500"/>
        <v>180.72265283966854</v>
      </c>
      <c r="BX105" s="164">
        <f t="shared" si="500"/>
        <v>193.27555983213864</v>
      </c>
      <c r="BY105" s="561">
        <f t="shared" si="500"/>
        <v>261.8085402403247</v>
      </c>
      <c r="BZ105" s="164">
        <f t="shared" si="500"/>
        <v>191.29954317039156</v>
      </c>
      <c r="CA105" s="164">
        <f t="shared" si="500"/>
        <v>181.4764121732731</v>
      </c>
      <c r="CB105" s="164">
        <f t="shared" si="500"/>
        <v>174.62786291320904</v>
      </c>
      <c r="CC105" s="561">
        <f t="shared" si="500"/>
        <v>267.60119337131465</v>
      </c>
      <c r="CD105" s="164">
        <f t="shared" si="500"/>
        <v>183.70163291982468</v>
      </c>
      <c r="CE105" s="164">
        <f t="shared" si="500"/>
        <v>173.11375909080758</v>
      </c>
      <c r="CF105" s="164">
        <f t="shared" si="500"/>
        <v>174.3848754431271</v>
      </c>
      <c r="CG105" s="561">
        <f t="shared" si="500"/>
        <v>261.4207665176969</v>
      </c>
      <c r="CH105" s="164">
        <f t="shared" si="500"/>
        <v>191.6543394706643</v>
      </c>
      <c r="CI105" s="164">
        <f t="shared" si="500"/>
        <v>173.47153159003136</v>
      </c>
      <c r="CJ105" s="164">
        <f t="shared" si="500"/>
        <v>171.05271234071725</v>
      </c>
      <c r="CK105" s="561">
        <f t="shared" si="500"/>
        <v>266.87101018651822</v>
      </c>
      <c r="CL105" s="164">
        <f t="shared" si="500"/>
        <v>191.6543394706643</v>
      </c>
      <c r="CM105" s="164">
        <f t="shared" si="500"/>
        <v>173.47153159003136</v>
      </c>
      <c r="CN105" s="164">
        <f t="shared" si="500"/>
        <v>171.05271234071725</v>
      </c>
      <c r="CO105" s="561">
        <f t="shared" si="500"/>
        <v>266.87101018651822</v>
      </c>
      <c r="CP105" s="164">
        <f t="shared" si="500"/>
        <v>176.06332703213613</v>
      </c>
      <c r="CQ105" s="164">
        <f t="shared" si="500"/>
        <v>172.47654385177134</v>
      </c>
      <c r="CR105" s="164">
        <f t="shared" si="500"/>
        <v>173.26099317664898</v>
      </c>
      <c r="CS105" s="561">
        <f t="shared" si="500"/>
        <v>254.29031952213899</v>
      </c>
      <c r="CT105" s="164">
        <f t="shared" ref="CT105:DI105" si="501">+CT125/CT92*1000</f>
        <v>170.25029797377832</v>
      </c>
      <c r="CU105" s="164">
        <f t="shared" si="501"/>
        <v>167.2676903971533</v>
      </c>
      <c r="CV105" s="164">
        <f t="shared" si="501"/>
        <v>176.70826758475587</v>
      </c>
      <c r="CW105" s="561">
        <f t="shared" si="501"/>
        <v>263.61587879950139</v>
      </c>
      <c r="CX105" s="164">
        <f t="shared" si="501"/>
        <v>173.10275352585629</v>
      </c>
      <c r="CY105" s="164">
        <f t="shared" si="501"/>
        <v>173.04180682364247</v>
      </c>
      <c r="CZ105" s="164">
        <f t="shared" si="501"/>
        <v>177.31201941560937</v>
      </c>
      <c r="DA105" s="561">
        <f t="shared" si="501"/>
        <v>256.55328027950316</v>
      </c>
      <c r="DB105" s="164">
        <f t="shared" si="501"/>
        <v>169.95852568152</v>
      </c>
      <c r="DC105" s="164">
        <f t="shared" si="501"/>
        <v>171.53390407627199</v>
      </c>
      <c r="DD105" s="166">
        <f t="shared" si="501"/>
        <v>178.91739314649371</v>
      </c>
      <c r="DE105" s="561">
        <f t="shared" si="501"/>
        <v>246.56712305280686</v>
      </c>
      <c r="DF105" s="166">
        <f t="shared" si="501"/>
        <v>169.06390129302943</v>
      </c>
      <c r="DG105" s="166">
        <f t="shared" ref="DG105" si="502">+DG125/DG92*1000</f>
        <v>176.06659605899242</v>
      </c>
      <c r="DH105" s="166">
        <f t="shared" si="501"/>
        <v>184.32086264376304</v>
      </c>
      <c r="DI105" s="561">
        <f t="shared" si="501"/>
        <v>281.47304082978667</v>
      </c>
      <c r="DJ105" s="2734">
        <f t="shared" ref="DJ105:DK105" si="503">+DJ125/DJ92*1000</f>
        <v>176.28632053436073</v>
      </c>
      <c r="DK105" s="166">
        <f t="shared" si="503"/>
        <v>181.21301305363255</v>
      </c>
      <c r="DL105" s="166">
        <f t="shared" ref="DL105:DM105" si="504">+DL125/DL92*1000</f>
        <v>185.65878377812857</v>
      </c>
      <c r="DM105" s="561">
        <f t="shared" si="504"/>
        <v>271.63690115381348</v>
      </c>
      <c r="DN105" s="166"/>
      <c r="DO105" s="655"/>
      <c r="DP105" s="3"/>
      <c r="DQ105" s="3"/>
      <c r="DR105" s="394"/>
      <c r="DS105" s="394">
        <f>+DS147/DS92*1000</f>
        <v>441.35365853658539</v>
      </c>
      <c r="DT105" s="394">
        <f>+DT147/DT92*1000</f>
        <v>373.79737609329447</v>
      </c>
      <c r="DU105" s="394">
        <f>+DU147/DU92*1000</f>
        <v>423.99426020408157</v>
      </c>
      <c r="DV105" s="394">
        <f>+DV147/DV92*1000</f>
        <v>454.83953033268102</v>
      </c>
      <c r="DW105" s="394">
        <f>+DW147/DW92*1000</f>
        <v>473.67777777777781</v>
      </c>
      <c r="DX105" s="216">
        <f>+B105+C105+D105+E105</f>
        <v>713.74995550933193</v>
      </c>
      <c r="DY105" s="216">
        <f>+F105+G105+H105+I105</f>
        <v>750.6838351945953</v>
      </c>
      <c r="DZ105" s="215">
        <f>+J105+K105+L105+M105</f>
        <v>763.38039773065714</v>
      </c>
      <c r="EA105" s="215">
        <f>+N105+O105+P105+Q105</f>
        <v>682.22670587498567</v>
      </c>
      <c r="EB105" s="215">
        <f>+R105+S105+T105+U105</f>
        <v>685.75287036631335</v>
      </c>
      <c r="EC105" s="215">
        <f>+V105+W105+X105+Y105</f>
        <v>763.55864525878542</v>
      </c>
      <c r="ED105" s="215">
        <f>+Z105+AA105+AB105+AC105</f>
        <v>829.49638035967405</v>
      </c>
      <c r="EE105" s="215">
        <f>+AD105+AE105+AF105+AG105</f>
        <v>878.61329335826781</v>
      </c>
      <c r="EF105" s="215">
        <f>+AH105+AI105+AJ105+AK105</f>
        <v>825.08594102286759</v>
      </c>
      <c r="EG105" s="215">
        <f>+AL105+AM105+AN105+AO105</f>
        <v>815.20544523264198</v>
      </c>
      <c r="EH105" s="215">
        <f>+AP105+AQ105+AR105+AS105</f>
        <v>859.37256848056609</v>
      </c>
      <c r="EI105" s="215">
        <f>+AT105+AU105+AV105+AW105</f>
        <v>883.26778992816514</v>
      </c>
      <c r="EJ105" s="216">
        <f>+AX105+AY105+AZ105+BA105</f>
        <v>911.23452217766931</v>
      </c>
      <c r="EK105" s="216">
        <f>+BB105+BC105+BD105+BE105</f>
        <v>936.13684489179957</v>
      </c>
      <c r="EL105" s="216">
        <f>+EL147/EL92*1000</f>
        <v>888.48604409373252</v>
      </c>
      <c r="EM105" s="216">
        <f t="shared" ref="EM105:FA105" si="505">+EM125/EM92*1000</f>
        <v>856.95435441305835</v>
      </c>
      <c r="EN105" s="216">
        <f t="shared" si="505"/>
        <v>838.37376471313758</v>
      </c>
      <c r="EO105" s="216">
        <f t="shared" si="505"/>
        <v>808.05609349792724</v>
      </c>
      <c r="EP105" s="216">
        <f t="shared" si="505"/>
        <v>807.64028487770918</v>
      </c>
      <c r="EQ105" s="216">
        <f t="shared" si="505"/>
        <v>809.40744484927859</v>
      </c>
      <c r="ER105" s="216">
        <f t="shared" si="505"/>
        <v>792.85926297989886</v>
      </c>
      <c r="ES105" s="216">
        <f t="shared" si="505"/>
        <v>810.13349775348831</v>
      </c>
      <c r="ET105" s="216">
        <f t="shared" si="505"/>
        <v>810.13349775348831</v>
      </c>
      <c r="EU105" s="216">
        <f t="shared" si="505"/>
        <v>777.23523276761159</v>
      </c>
      <c r="EV105" s="216">
        <f t="shared" si="505"/>
        <v>789.06458679933098</v>
      </c>
      <c r="EW105" s="216">
        <f t="shared" si="505"/>
        <v>783.31462244548584</v>
      </c>
      <c r="EX105" s="216">
        <f t="shared" si="505"/>
        <v>769.67898493680809</v>
      </c>
      <c r="EY105" s="216">
        <f t="shared" si="505"/>
        <v>816.01441342818384</v>
      </c>
      <c r="EZ105" s="1745">
        <f t="shared" ref="EZ105" si="506">+EZ125/EZ92*1000</f>
        <v>815.55094917582926</v>
      </c>
      <c r="FA105" s="216">
        <f t="shared" si="505"/>
        <v>812.92826206376947</v>
      </c>
      <c r="FB105" s="216">
        <f t="shared" ref="FB105:FH105" si="507">FB147/FB92*1000</f>
        <v>1026.5298758394531</v>
      </c>
      <c r="FC105" s="216">
        <f t="shared" si="507"/>
        <v>1041.5464123838726</v>
      </c>
      <c r="FD105" s="216">
        <f t="shared" si="507"/>
        <v>1061.350525854501</v>
      </c>
      <c r="FE105" s="216">
        <f t="shared" si="507"/>
        <v>1081.9329926183289</v>
      </c>
      <c r="FF105" s="216">
        <f t="shared" si="507"/>
        <v>1103.3340065945067</v>
      </c>
      <c r="FG105" s="216">
        <f t="shared" si="507"/>
        <v>1125.5960019612387</v>
      </c>
      <c r="FH105" s="216">
        <f t="shared" si="507"/>
        <v>1148.7637802339279</v>
      </c>
      <c r="FI105" s="755"/>
      <c r="FJ105"/>
      <c r="FK105"/>
      <c r="FL105"/>
      <c r="FM105"/>
      <c r="FN105"/>
      <c r="FO105"/>
      <c r="FP105" s="3"/>
      <c r="FS105" s="217"/>
      <c r="FT105" s="217"/>
      <c r="FU105"/>
      <c r="FV105"/>
      <c r="FW105" s="217"/>
      <c r="FX105" s="217"/>
      <c r="FY105" s="217"/>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row>
    <row r="106" spans="1:260" s="4" customFormat="1" x14ac:dyDescent="0.2">
      <c r="A106" s="287" t="s">
        <v>44</v>
      </c>
      <c r="B106" s="383"/>
      <c r="C106" s="383"/>
      <c r="D106" s="383"/>
      <c r="E106" s="549"/>
      <c r="F106" s="15">
        <f t="shared" ref="F106:AK106" si="508">F105/B105-1</f>
        <v>0.26244746968466326</v>
      </c>
      <c r="G106" s="15">
        <f t="shared" si="508"/>
        <v>2.7573959710536444E-2</v>
      </c>
      <c r="H106" s="15">
        <f t="shared" si="508"/>
        <v>-9.6820839248431101E-2</v>
      </c>
      <c r="I106" s="518">
        <f t="shared" si="508"/>
        <v>7.9761539485346811E-2</v>
      </c>
      <c r="J106" s="15">
        <f t="shared" si="508"/>
        <v>-3.9651836889312619E-2</v>
      </c>
      <c r="K106" s="15">
        <f t="shared" si="508"/>
        <v>4.9596233697406955E-2</v>
      </c>
      <c r="L106" s="15">
        <f t="shared" si="508"/>
        <v>7.488070919318468E-2</v>
      </c>
      <c r="M106" s="518">
        <f t="shared" si="508"/>
        <v>-9.0733673948422133E-3</v>
      </c>
      <c r="N106" s="15">
        <f t="shared" si="508"/>
        <v>-3.7757143771989687E-2</v>
      </c>
      <c r="O106" s="15">
        <f t="shared" si="508"/>
        <v>-3.3060884353930842E-2</v>
      </c>
      <c r="P106" s="15">
        <f t="shared" si="508"/>
        <v>-0.11780043918424965</v>
      </c>
      <c r="Q106" s="518">
        <f t="shared" si="508"/>
        <v>-0.18925503076775319</v>
      </c>
      <c r="R106" s="15">
        <f t="shared" si="508"/>
        <v>-9.1460392891344888E-2</v>
      </c>
      <c r="S106" s="15">
        <f t="shared" si="508"/>
        <v>-7.3862903212589703E-2</v>
      </c>
      <c r="T106" s="15">
        <f t="shared" si="508"/>
        <v>-8.3079271634792784E-3</v>
      </c>
      <c r="U106" s="518">
        <f t="shared" si="508"/>
        <v>0.15169352757276355</v>
      </c>
      <c r="V106" s="15">
        <f t="shared" si="508"/>
        <v>0.13516893407622499</v>
      </c>
      <c r="W106" s="15">
        <f t="shared" si="508"/>
        <v>0.16961500827093712</v>
      </c>
      <c r="X106" s="15">
        <f t="shared" si="508"/>
        <v>7.0718222247797335E-2</v>
      </c>
      <c r="Y106" s="518">
        <f t="shared" si="508"/>
        <v>9.6210653892316866E-2</v>
      </c>
      <c r="Z106" s="15">
        <f t="shared" si="508"/>
        <v>0.12411622177395243</v>
      </c>
      <c r="AA106" s="15">
        <f t="shared" si="508"/>
        <v>6.3632303351161656E-2</v>
      </c>
      <c r="AB106" s="15">
        <f t="shared" si="508"/>
        <v>8.6035640807508251E-2</v>
      </c>
      <c r="AC106" s="518">
        <f t="shared" si="508"/>
        <v>7.9129417211121877E-2</v>
      </c>
      <c r="AD106" s="15">
        <f t="shared" si="508"/>
        <v>7.0239642017532633E-2</v>
      </c>
      <c r="AE106" s="15">
        <f t="shared" si="508"/>
        <v>4.7706192651650214E-2</v>
      </c>
      <c r="AF106" s="15">
        <f t="shared" si="508"/>
        <v>3.2286525894134943E-2</v>
      </c>
      <c r="AG106" s="518">
        <f t="shared" si="508"/>
        <v>7.9475961532543105E-2</v>
      </c>
      <c r="AH106" s="15">
        <f t="shared" si="508"/>
        <v>-8.1907204262205324E-2</v>
      </c>
      <c r="AI106" s="15">
        <f t="shared" si="508"/>
        <v>-1.8243334059678373E-2</v>
      </c>
      <c r="AJ106" s="15">
        <f t="shared" si="508"/>
        <v>-4.3111268156579174E-2</v>
      </c>
      <c r="AK106" s="518">
        <f t="shared" si="508"/>
        <v>-8.7975478017096931E-2</v>
      </c>
      <c r="AL106" s="15">
        <f t="shared" ref="AL106:BQ106" si="509">AL105/AH105-1</f>
        <v>2.7090383073017144E-2</v>
      </c>
      <c r="AM106" s="15">
        <f t="shared" si="509"/>
        <v>-2.2851634080006455E-2</v>
      </c>
      <c r="AN106" s="15">
        <f t="shared" si="509"/>
        <v>-1.3980297616899562E-2</v>
      </c>
      <c r="AO106" s="518">
        <f t="shared" si="509"/>
        <v>-2.759006765508254E-2</v>
      </c>
      <c r="AP106" s="15">
        <f t="shared" si="509"/>
        <v>-8.1972632970161996E-3</v>
      </c>
      <c r="AQ106" s="15">
        <f t="shared" si="509"/>
        <v>5.3950741666970226E-2</v>
      </c>
      <c r="AR106" s="15">
        <f t="shared" si="509"/>
        <v>6.5510692571446372E-2</v>
      </c>
      <c r="AS106" s="518">
        <f t="shared" si="509"/>
        <v>8.7696171901162856E-2</v>
      </c>
      <c r="AT106" s="15">
        <f t="shared" si="509"/>
        <v>6.0300519502598737E-2</v>
      </c>
      <c r="AU106" s="15">
        <f t="shared" si="509"/>
        <v>3.2077985669362485E-2</v>
      </c>
      <c r="AV106" s="15">
        <f t="shared" si="509"/>
        <v>1.9421090701495336E-2</v>
      </c>
      <c r="AW106" s="518">
        <f t="shared" si="509"/>
        <v>1.1117911012965553E-2</v>
      </c>
      <c r="AX106" s="15">
        <f t="shared" si="509"/>
        <v>3.3386443949932954E-2</v>
      </c>
      <c r="AY106" s="15">
        <f t="shared" si="509"/>
        <v>1.4333845151211388E-2</v>
      </c>
      <c r="AZ106" s="15">
        <f t="shared" si="509"/>
        <v>7.9513579676835366E-3</v>
      </c>
      <c r="BA106" s="518">
        <f t="shared" si="509"/>
        <v>5.9942808096929756E-2</v>
      </c>
      <c r="BB106" s="15">
        <f t="shared" si="509"/>
        <v>1.8978630908411231E-2</v>
      </c>
      <c r="BC106" s="15">
        <f t="shared" si="509"/>
        <v>2.0659672450300537E-3</v>
      </c>
      <c r="BD106" s="15">
        <f t="shared" si="509"/>
        <v>4.8804064426180016E-3</v>
      </c>
      <c r="BE106" s="518">
        <f t="shared" si="509"/>
        <v>6.4983402786308986E-2</v>
      </c>
      <c r="BF106" s="15">
        <f t="shared" si="509"/>
        <v>-1.0830849382042707E-2</v>
      </c>
      <c r="BG106" s="15">
        <f t="shared" si="509"/>
        <v>-9.8187640851777891E-3</v>
      </c>
      <c r="BH106" s="15">
        <f t="shared" si="509"/>
        <v>3.7886719970541272E-2</v>
      </c>
      <c r="BI106" s="518">
        <f t="shared" si="509"/>
        <v>-8.2920009769587133E-2</v>
      </c>
      <c r="BJ106" s="15">
        <f t="shared" si="509"/>
        <v>1.2066683156867208E-2</v>
      </c>
      <c r="BK106" s="15">
        <f t="shared" si="509"/>
        <v>2.1489525976531976E-2</v>
      </c>
      <c r="BL106" s="15">
        <f t="shared" si="509"/>
        <v>-8.1614356252425968E-2</v>
      </c>
      <c r="BM106" s="518">
        <f t="shared" si="509"/>
        <v>-7.4875018684972372E-2</v>
      </c>
      <c r="BN106" s="15">
        <f t="shared" si="509"/>
        <v>-9.0370943071861332E-2</v>
      </c>
      <c r="BO106" s="15">
        <f t="shared" si="509"/>
        <v>-7.4400831066838591E-2</v>
      </c>
      <c r="BP106" s="15">
        <f t="shared" si="509"/>
        <v>3.2321223970515067E-3</v>
      </c>
      <c r="BQ106" s="518">
        <f t="shared" si="509"/>
        <v>2.1434758323033432E-3</v>
      </c>
      <c r="BR106" s="15">
        <f t="shared" ref="BR106:BY106" si="510">BR105/BN105-1</f>
        <v>5.7208100530654615E-3</v>
      </c>
      <c r="BS106" s="15">
        <f t="shared" si="510"/>
        <v>-2.3366306904961109E-2</v>
      </c>
      <c r="BT106" s="15">
        <f t="shared" si="510"/>
        <v>-5.2616576254984504E-2</v>
      </c>
      <c r="BU106" s="518">
        <f t="shared" si="510"/>
        <v>-7.2835311415837212E-2</v>
      </c>
      <c r="BV106" s="15">
        <f t="shared" si="510"/>
        <v>-3.4088160233305076E-2</v>
      </c>
      <c r="BW106" s="15">
        <f t="shared" si="510"/>
        <v>-3.500676308037487E-2</v>
      </c>
      <c r="BX106" s="15">
        <f t="shared" si="510"/>
        <v>4.8536222661441641E-3</v>
      </c>
      <c r="BY106" s="518">
        <f t="shared" si="510"/>
        <v>2.15464007842463E-2</v>
      </c>
      <c r="BZ106" s="15">
        <f>BZ105/BN105-1</f>
        <v>8.3467230478011523E-2</v>
      </c>
      <c r="CA106" s="15">
        <f>CA105/BO105-1</f>
        <v>-5.3624335246332144E-2</v>
      </c>
      <c r="CB106" s="15">
        <f>CB105/BP105-1</f>
        <v>-0.13986784547269626</v>
      </c>
      <c r="CC106" s="518">
        <f>CC105/BQ105-1</f>
        <v>-3.1902234708241606E-2</v>
      </c>
      <c r="CD106" s="15">
        <f t="shared" ref="CD106:CK106" si="511">CD105/BZ105-1</f>
        <v>-3.9717346547970545E-2</v>
      </c>
      <c r="CE106" s="15">
        <f t="shared" si="511"/>
        <v>-4.6081212331225085E-2</v>
      </c>
      <c r="CF106" s="15">
        <f t="shared" si="511"/>
        <v>-1.3914587628133246E-3</v>
      </c>
      <c r="CG106" s="518">
        <f t="shared" si="511"/>
        <v>-2.3095662525846716E-2</v>
      </c>
      <c r="CH106" s="15">
        <f t="shared" si="511"/>
        <v>4.3291430916732931E-2</v>
      </c>
      <c r="CI106" s="77">
        <f t="shared" si="511"/>
        <v>2.0666901412274008E-3</v>
      </c>
      <c r="CJ106" s="15">
        <f t="shared" si="511"/>
        <v>-1.9108096926081064E-2</v>
      </c>
      <c r="CK106" s="518">
        <f t="shared" si="511"/>
        <v>2.0848549032359998E-2</v>
      </c>
      <c r="CL106" s="15">
        <f>CL105/CD105-1</f>
        <v>4.3291430916732931E-2</v>
      </c>
      <c r="CM106" s="15">
        <f>CM105/CE105-1</f>
        <v>2.0666901412274008E-3</v>
      </c>
      <c r="CN106" s="15">
        <f>CN105/CF105-1</f>
        <v>-1.9108096926081064E-2</v>
      </c>
      <c r="CO106" s="518">
        <f>CO105/CG105-1</f>
        <v>2.0848549032359998E-2</v>
      </c>
      <c r="CP106" s="77">
        <f>CP105/CL105-1</f>
        <v>-8.1349644790665532E-2</v>
      </c>
      <c r="CQ106" s="77">
        <f>CQ105/CM105-1</f>
        <v>-5.735740782017773E-3</v>
      </c>
      <c r="CR106" s="15">
        <f>CR105/CJ105-1</f>
        <v>1.2909943406995472E-2</v>
      </c>
      <c r="CS106" s="487">
        <f t="shared" ref="CS106:DB106" si="512">CS105/CO105-1</f>
        <v>-4.7141466042289415E-2</v>
      </c>
      <c r="CT106" s="77">
        <f t="shared" si="512"/>
        <v>-3.3016694369843336E-2</v>
      </c>
      <c r="CU106" s="77">
        <f t="shared" si="512"/>
        <v>-3.0200358485236056E-2</v>
      </c>
      <c r="CV106" s="77">
        <f t="shared" si="512"/>
        <v>1.989642529979152E-2</v>
      </c>
      <c r="CW106" s="487">
        <f t="shared" si="512"/>
        <v>3.6672883556428504E-2</v>
      </c>
      <c r="CX106" s="77">
        <f t="shared" si="512"/>
        <v>1.6754481995193249E-2</v>
      </c>
      <c r="CY106" s="77">
        <f t="shared" si="512"/>
        <v>3.4520213753052698E-2</v>
      </c>
      <c r="CZ106" s="77">
        <f t="shared" si="512"/>
        <v>3.4166586493409312E-3</v>
      </c>
      <c r="DA106" s="487">
        <f t="shared" si="512"/>
        <v>-2.6791248509615895E-2</v>
      </c>
      <c r="DB106" s="77">
        <f t="shared" si="512"/>
        <v>-1.8163938933915547E-2</v>
      </c>
      <c r="DC106" s="77">
        <f t="shared" ref="DC106:DM106" si="513">DC105/CY105-1</f>
        <v>-8.7140950215994772E-3</v>
      </c>
      <c r="DD106" s="70">
        <f t="shared" si="513"/>
        <v>9.0539475901034727E-3</v>
      </c>
      <c r="DE106" s="487">
        <f t="shared" si="513"/>
        <v>-3.892430147771575E-2</v>
      </c>
      <c r="DF106" s="70">
        <f t="shared" si="513"/>
        <v>-5.2637805894302225E-3</v>
      </c>
      <c r="DG106" s="70">
        <f t="shared" si="513"/>
        <v>2.6424466971293192E-2</v>
      </c>
      <c r="DH106" s="70">
        <f t="shared" si="513"/>
        <v>3.0200917877475808E-2</v>
      </c>
      <c r="DI106" s="487">
        <f t="shared" si="513"/>
        <v>0.14156760781730049</v>
      </c>
      <c r="DJ106" s="1673">
        <f t="shared" si="513"/>
        <v>4.2720055470700791E-2</v>
      </c>
      <c r="DK106" s="70">
        <f t="shared" si="513"/>
        <v>2.9229945428806969E-2</v>
      </c>
      <c r="DL106" s="70">
        <f t="shared" si="513"/>
        <v>7.2586527383573518E-3</v>
      </c>
      <c r="DM106" s="487">
        <f t="shared" si="513"/>
        <v>-3.4945228313788435E-2</v>
      </c>
      <c r="DN106" s="70"/>
      <c r="DO106" s="487"/>
      <c r="DP106" s="3"/>
      <c r="DQ106" s="3"/>
      <c r="DR106" s="3"/>
      <c r="DS106" s="384" t="s">
        <v>483</v>
      </c>
      <c r="DT106" s="161">
        <f t="shared" ref="DT106:EP106" si="514">DT105/DS105-1</f>
        <v>-0.15306609821087713</v>
      </c>
      <c r="DU106" s="161">
        <f t="shared" si="514"/>
        <v>0.13428902213122718</v>
      </c>
      <c r="DV106" s="161">
        <f t="shared" si="514"/>
        <v>7.2749263430482936E-2</v>
      </c>
      <c r="DW106" s="161">
        <f t="shared" si="514"/>
        <v>4.1417348732459613E-2</v>
      </c>
      <c r="DX106" s="161">
        <f t="shared" si="514"/>
        <v>0.50682592469892485</v>
      </c>
      <c r="DY106" s="15">
        <f t="shared" si="514"/>
        <v>5.174624446583298E-2</v>
      </c>
      <c r="DZ106" s="15">
        <f t="shared" si="514"/>
        <v>1.6913328808752848E-2</v>
      </c>
      <c r="EA106" s="15">
        <f t="shared" si="514"/>
        <v>-0.10630832556995373</v>
      </c>
      <c r="EB106" s="15">
        <f t="shared" si="514"/>
        <v>5.1686110510804628E-3</v>
      </c>
      <c r="EC106" s="15">
        <f t="shared" si="514"/>
        <v>0.11346037071767556</v>
      </c>
      <c r="ED106" s="15">
        <f t="shared" si="514"/>
        <v>8.6355822843890317E-2</v>
      </c>
      <c r="EE106" s="15">
        <f t="shared" si="514"/>
        <v>5.9212932282231678E-2</v>
      </c>
      <c r="EF106" s="15">
        <f t="shared" si="514"/>
        <v>-6.0922538664087367E-2</v>
      </c>
      <c r="EG106" s="15">
        <f t="shared" si="514"/>
        <v>-1.1975111075067768E-2</v>
      </c>
      <c r="EH106" s="15">
        <f t="shared" si="514"/>
        <v>5.4179131783546719E-2</v>
      </c>
      <c r="EI106" s="15">
        <f t="shared" si="514"/>
        <v>2.7805427266369032E-2</v>
      </c>
      <c r="EJ106" s="15">
        <f t="shared" si="514"/>
        <v>3.1662800985620354E-2</v>
      </c>
      <c r="EK106" s="15">
        <f t="shared" si="514"/>
        <v>2.732811598776852E-2</v>
      </c>
      <c r="EL106" s="15">
        <f t="shared" si="514"/>
        <v>-5.0901533315436009E-2</v>
      </c>
      <c r="EM106" s="15">
        <f t="shared" si="514"/>
        <v>-3.5489234625893151E-2</v>
      </c>
      <c r="EN106" s="15">
        <f t="shared" si="514"/>
        <v>-2.1682122979171936E-2</v>
      </c>
      <c r="EO106" s="15">
        <f t="shared" si="514"/>
        <v>-3.6162476083187012E-2</v>
      </c>
      <c r="EP106" s="15">
        <f t="shared" si="514"/>
        <v>-5.1457890555361985E-4</v>
      </c>
      <c r="EQ106" s="15">
        <f>EQ105/EN105-1</f>
        <v>-3.4550603898930721E-2</v>
      </c>
      <c r="ER106" s="15">
        <f>ER105/EQ105-1</f>
        <v>-2.044481055207148E-2</v>
      </c>
      <c r="ES106" s="15">
        <f>ES105/ER105-1</f>
        <v>2.1787264878089019E-2</v>
      </c>
      <c r="ET106" s="15">
        <f>ET105/ER105-1</f>
        <v>2.1787264878089019E-2</v>
      </c>
      <c r="EU106" s="15">
        <f>EU105/ES105-1</f>
        <v>-4.0608449196464669E-2</v>
      </c>
      <c r="EV106" s="15">
        <f t="shared" ref="EV106:FH106" si="515">EV105/EU105-1</f>
        <v>1.5219786150965975E-2</v>
      </c>
      <c r="EW106" s="15">
        <f t="shared" si="515"/>
        <v>-7.2870642657638651E-3</v>
      </c>
      <c r="EX106" s="77">
        <f t="shared" si="515"/>
        <v>-1.7407612621998192E-2</v>
      </c>
      <c r="EY106" s="77">
        <f t="shared" si="515"/>
        <v>6.0200979107127406E-2</v>
      </c>
      <c r="EZ106" s="1680">
        <f t="shared" si="515"/>
        <v>-5.6796086530819245E-4</v>
      </c>
      <c r="FA106" s="15">
        <f t="shared" si="515"/>
        <v>-3.2158470475820433E-3</v>
      </c>
      <c r="FB106" s="15">
        <f t="shared" si="515"/>
        <v>0.26275579745919542</v>
      </c>
      <c r="FC106" s="15">
        <f t="shared" si="515"/>
        <v>1.4628445696370562E-2</v>
      </c>
      <c r="FD106" s="15">
        <f t="shared" si="515"/>
        <v>1.9014144002763356E-2</v>
      </c>
      <c r="FE106" s="15">
        <f t="shared" si="515"/>
        <v>1.9392713587489618E-2</v>
      </c>
      <c r="FF106" s="15">
        <f t="shared" si="515"/>
        <v>1.978035065220296E-2</v>
      </c>
      <c r="FG106" s="15">
        <f t="shared" si="515"/>
        <v>2.0177022763437469E-2</v>
      </c>
      <c r="FH106" s="15">
        <f t="shared" si="515"/>
        <v>2.0582676406385225E-2</v>
      </c>
      <c r="FI106" s="580"/>
      <c r="FJ106"/>
      <c r="FK106"/>
      <c r="FL106"/>
      <c r="FM106"/>
      <c r="FN106"/>
      <c r="FO106"/>
      <c r="FP106" s="3"/>
      <c r="FS106" s="70"/>
      <c r="FT106" s="70"/>
      <c r="FU106"/>
      <c r="FV106"/>
      <c r="FW106" s="70"/>
      <c r="FX106" s="70"/>
      <c r="FY106" s="70"/>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row>
    <row r="107" spans="1:260" s="4" customFormat="1" x14ac:dyDescent="0.2">
      <c r="A107" s="393" t="s">
        <v>342</v>
      </c>
      <c r="B107" s="218">
        <f t="shared" ref="B107:AG107" si="516">+B125/B94*1000</f>
        <v>135.76620583717357</v>
      </c>
      <c r="C107" s="218">
        <f t="shared" si="516"/>
        <v>158.25158116654956</v>
      </c>
      <c r="D107" s="218">
        <f t="shared" si="516"/>
        <v>209.99376623376622</v>
      </c>
      <c r="E107" s="539">
        <f t="shared" si="516"/>
        <v>259.80598802395212</v>
      </c>
      <c r="F107" s="218">
        <f t="shared" si="516"/>
        <v>163.34615384615384</v>
      </c>
      <c r="G107" s="218">
        <f t="shared" si="516"/>
        <v>167.16023287057772</v>
      </c>
      <c r="H107" s="218">
        <f t="shared" si="516"/>
        <v>201.92535527299927</v>
      </c>
      <c r="I107" s="539">
        <f t="shared" si="516"/>
        <v>255.50961223016867</v>
      </c>
      <c r="J107" s="215">
        <f t="shared" si="516"/>
        <v>159.46318884093327</v>
      </c>
      <c r="K107" s="215">
        <f t="shared" si="516"/>
        <v>170.29798069520936</v>
      </c>
      <c r="L107" s="215">
        <f t="shared" si="516"/>
        <v>207.48260472119159</v>
      </c>
      <c r="M107" s="551">
        <f t="shared" si="516"/>
        <v>253.67516990052204</v>
      </c>
      <c r="N107" s="215">
        <f t="shared" si="516"/>
        <v>153.43805060918464</v>
      </c>
      <c r="O107" s="215">
        <f t="shared" si="516"/>
        <v>161.26938072354702</v>
      </c>
      <c r="P107" s="215">
        <f t="shared" si="516"/>
        <v>176.07333011710014</v>
      </c>
      <c r="Q107" s="551">
        <f t="shared" si="516"/>
        <v>200.85860962566844</v>
      </c>
      <c r="R107" s="215">
        <f t="shared" si="516"/>
        <v>137.21822685343355</v>
      </c>
      <c r="S107" s="215">
        <f t="shared" si="516"/>
        <v>149.93971319871233</v>
      </c>
      <c r="T107" s="215">
        <f t="shared" si="516"/>
        <v>172.19219292867359</v>
      </c>
      <c r="U107" s="551">
        <f t="shared" si="516"/>
        <v>230.97635244574019</v>
      </c>
      <c r="V107" s="215">
        <f t="shared" si="516"/>
        <v>155.73719519543647</v>
      </c>
      <c r="W107" s="215">
        <f t="shared" si="516"/>
        <v>173.34760805540077</v>
      </c>
      <c r="X107" s="215">
        <f t="shared" si="516"/>
        <v>190.05429105188915</v>
      </c>
      <c r="Y107" s="551">
        <f t="shared" si="516"/>
        <v>253.22611371629543</v>
      </c>
      <c r="Z107" s="215">
        <f t="shared" si="516"/>
        <v>174.22714823065405</v>
      </c>
      <c r="AA107" s="215">
        <f t="shared" si="516"/>
        <v>189.70097087378639</v>
      </c>
      <c r="AB107" s="215">
        <f t="shared" si="516"/>
        <v>205.3826630093526</v>
      </c>
      <c r="AC107" s="551">
        <f t="shared" si="516"/>
        <v>274.32699643947103</v>
      </c>
      <c r="AD107" s="215">
        <f t="shared" si="516"/>
        <v>186.78502552467384</v>
      </c>
      <c r="AE107" s="215">
        <f t="shared" si="516"/>
        <v>195.79704683059433</v>
      </c>
      <c r="AF107" s="215">
        <f t="shared" si="516"/>
        <v>215.36614922961508</v>
      </c>
      <c r="AG107" s="551">
        <f t="shared" si="516"/>
        <v>297.2856326375092</v>
      </c>
      <c r="AH107" s="215">
        <f t="shared" ref="AH107:BM107" si="517">+AH125/AH94*1000</f>
        <v>175.22928547026515</v>
      </c>
      <c r="AI107" s="215">
        <f t="shared" si="517"/>
        <v>191.6179780964666</v>
      </c>
      <c r="AJ107" s="215">
        <f t="shared" si="517"/>
        <v>203.35233148161507</v>
      </c>
      <c r="AK107" s="551">
        <f t="shared" si="517"/>
        <v>270.32510952271156</v>
      </c>
      <c r="AL107" s="215">
        <f t="shared" si="517"/>
        <v>177.08640853866243</v>
      </c>
      <c r="AM107" s="215">
        <f t="shared" si="517"/>
        <v>188.88277380297194</v>
      </c>
      <c r="AN107" s="215">
        <f t="shared" si="517"/>
        <v>198.04894457993441</v>
      </c>
      <c r="AO107" s="551">
        <f t="shared" si="517"/>
        <v>262.2729504172803</v>
      </c>
      <c r="AP107" s="215">
        <f t="shared" si="517"/>
        <v>174.24227003480775</v>
      </c>
      <c r="AQ107" s="215">
        <f t="shared" si="517"/>
        <v>197.21647621151567</v>
      </c>
      <c r="AR107" s="215">
        <f t="shared" si="517"/>
        <v>210.648821646785</v>
      </c>
      <c r="AS107" s="551">
        <f t="shared" si="517"/>
        <v>286.40292240194327</v>
      </c>
      <c r="AT107" s="215">
        <f t="shared" si="517"/>
        <v>185.31956461066144</v>
      </c>
      <c r="AU107" s="215">
        <f t="shared" si="517"/>
        <v>202.54188967978075</v>
      </c>
      <c r="AV107" s="215">
        <f t="shared" si="517"/>
        <v>213.04629562963495</v>
      </c>
      <c r="AW107" s="551">
        <f t="shared" si="517"/>
        <v>289.43009198886267</v>
      </c>
      <c r="AX107" s="164">
        <f t="shared" si="517"/>
        <v>191.43892916899051</v>
      </c>
      <c r="AY107" s="164">
        <f t="shared" si="517"/>
        <v>206.07539259819248</v>
      </c>
      <c r="AZ107" s="164">
        <f t="shared" si="517"/>
        <v>215.73828470380192</v>
      </c>
      <c r="BA107" s="561">
        <f t="shared" si="517"/>
        <v>306.61374800741731</v>
      </c>
      <c r="BB107" s="164">
        <f t="shared" si="517"/>
        <v>196.69619344026816</v>
      </c>
      <c r="BC107" s="164">
        <f t="shared" si="517"/>
        <v>206.56412816273047</v>
      </c>
      <c r="BD107" s="164">
        <f t="shared" si="517"/>
        <v>216.86746987951807</v>
      </c>
      <c r="BE107" s="561">
        <f t="shared" si="517"/>
        <v>326.78813609293002</v>
      </c>
      <c r="BF107" s="164">
        <f t="shared" si="517"/>
        <v>194.18375622755184</v>
      </c>
      <c r="BG107" s="164">
        <f t="shared" si="517"/>
        <v>204.86243858233152</v>
      </c>
      <c r="BH107" s="164">
        <f t="shared" si="517"/>
        <v>225.10561255280629</v>
      </c>
      <c r="BI107" s="561">
        <f t="shared" si="517"/>
        <v>299.23345507083513</v>
      </c>
      <c r="BJ107" s="164">
        <f t="shared" si="517"/>
        <v>196.36928913948464</v>
      </c>
      <c r="BK107" s="164">
        <f t="shared" si="517"/>
        <v>209.46763849898267</v>
      </c>
      <c r="BL107" s="164">
        <f t="shared" si="517"/>
        <v>205.52428000050151</v>
      </c>
      <c r="BM107" s="561">
        <f t="shared" si="517"/>
        <v>277.26468854391828</v>
      </c>
      <c r="BN107" s="164">
        <f t="shared" ref="BN107:CS107" si="518">+BN125/BN94*1000</f>
        <v>177.14718552995851</v>
      </c>
      <c r="BO107" s="164">
        <f t="shared" si="518"/>
        <v>192.79641923366231</v>
      </c>
      <c r="BP107" s="164">
        <f t="shared" si="518"/>
        <v>205.04683325746944</v>
      </c>
      <c r="BQ107" s="561">
        <f t="shared" si="518"/>
        <v>276.48464835758375</v>
      </c>
      <c r="BR107" s="164">
        <f t="shared" si="518"/>
        <v>178.26536980919698</v>
      </c>
      <c r="BS107" s="164">
        <f t="shared" si="518"/>
        <v>188.20099226899947</v>
      </c>
      <c r="BT107" s="164">
        <f t="shared" si="518"/>
        <v>193.05520252465598</v>
      </c>
      <c r="BU107" s="561">
        <f t="shared" si="518"/>
        <v>256.51856587135865</v>
      </c>
      <c r="BV107" s="164">
        <f t="shared" si="518"/>
        <v>171.69985456248955</v>
      </c>
      <c r="BW107" s="164">
        <f t="shared" si="518"/>
        <v>181.0195684796023</v>
      </c>
      <c r="BX107" s="164">
        <f t="shared" si="518"/>
        <v>193.36577988557093</v>
      </c>
      <c r="BY107" s="561">
        <f t="shared" si="518"/>
        <v>261.51922266962492</v>
      </c>
      <c r="BZ107" s="164">
        <f t="shared" si="518"/>
        <v>192.0460276715545</v>
      </c>
      <c r="CA107" s="164">
        <f t="shared" si="518"/>
        <v>182.37015620609148</v>
      </c>
      <c r="CB107" s="164">
        <f t="shared" si="518"/>
        <v>175.27537755920227</v>
      </c>
      <c r="CC107" s="561">
        <f t="shared" si="518"/>
        <v>267.84351629604424</v>
      </c>
      <c r="CD107" s="164">
        <f t="shared" si="518"/>
        <v>183.89497651370905</v>
      </c>
      <c r="CE107" s="164">
        <f t="shared" si="518"/>
        <v>173.39817381001484</v>
      </c>
      <c r="CF107" s="164">
        <f t="shared" si="518"/>
        <v>174.46627742066593</v>
      </c>
      <c r="CG107" s="561">
        <f t="shared" si="518"/>
        <v>261.13187746530031</v>
      </c>
      <c r="CH107" s="164">
        <f t="shared" si="518"/>
        <v>191.58874186445641</v>
      </c>
      <c r="CI107" s="164">
        <f t="shared" si="518"/>
        <v>170.82432341529736</v>
      </c>
      <c r="CJ107" s="164">
        <f t="shared" si="518"/>
        <v>170.70986475184344</v>
      </c>
      <c r="CK107" s="561">
        <f t="shared" si="518"/>
        <v>266.95610835565162</v>
      </c>
      <c r="CL107" s="164">
        <f t="shared" si="518"/>
        <v>191.58874186445641</v>
      </c>
      <c r="CM107" s="164">
        <f t="shared" si="518"/>
        <v>170.82432341529736</v>
      </c>
      <c r="CN107" s="164">
        <f t="shared" si="518"/>
        <v>170.70986475184344</v>
      </c>
      <c r="CO107" s="561">
        <f t="shared" si="518"/>
        <v>266.95610835565162</v>
      </c>
      <c r="CP107" s="164">
        <f t="shared" si="518"/>
        <v>176.00094484469113</v>
      </c>
      <c r="CQ107" s="164">
        <f t="shared" si="518"/>
        <v>172.46227830751599</v>
      </c>
      <c r="CR107" s="164">
        <f t="shared" si="518"/>
        <v>173.04575194330405</v>
      </c>
      <c r="CS107" s="561">
        <f t="shared" si="518"/>
        <v>254.23005829660173</v>
      </c>
      <c r="CT107" s="164">
        <f t="shared" ref="CT107:DI107" si="519">+CT125/CT94*1000</f>
        <v>169.76871330433335</v>
      </c>
      <c r="CU107" s="164">
        <f t="shared" si="519"/>
        <v>167.11403791322192</v>
      </c>
      <c r="CV107" s="164">
        <f t="shared" si="519"/>
        <v>176.60903953452251</v>
      </c>
      <c r="CW107" s="561">
        <f t="shared" si="519"/>
        <v>263.26877498743147</v>
      </c>
      <c r="CX107" s="164">
        <f t="shared" si="519"/>
        <v>173.05294456167275</v>
      </c>
      <c r="CY107" s="164">
        <f t="shared" si="519"/>
        <v>172.89226041866718</v>
      </c>
      <c r="CZ107" s="164">
        <f t="shared" si="519"/>
        <v>177.30349848623192</v>
      </c>
      <c r="DA107" s="561">
        <f t="shared" si="519"/>
        <v>255.31437125748502</v>
      </c>
      <c r="DB107" s="164">
        <f t="shared" si="519"/>
        <v>169.8388569208731</v>
      </c>
      <c r="DC107" s="164">
        <f t="shared" si="519"/>
        <v>171.44633784670731</v>
      </c>
      <c r="DD107" s="166">
        <f t="shared" si="519"/>
        <v>178.34771070256556</v>
      </c>
      <c r="DE107" s="561">
        <f t="shared" si="519"/>
        <v>246.48562124309828</v>
      </c>
      <c r="DF107" s="166">
        <f t="shared" si="519"/>
        <v>168.91677207820067</v>
      </c>
      <c r="DG107" s="166">
        <f t="shared" ref="DG107" si="520">+DG125/DG94*1000</f>
        <v>176.05363537321489</v>
      </c>
      <c r="DH107" s="166">
        <f t="shared" si="519"/>
        <v>183.09377193609424</v>
      </c>
      <c r="DI107" s="561">
        <f t="shared" si="519"/>
        <v>281.35749791643337</v>
      </c>
      <c r="DJ107" s="2734">
        <f t="shared" ref="DJ107:DK107" si="521">+DJ125/DJ94*1000</f>
        <v>174.48904086380915</v>
      </c>
      <c r="DK107" s="166">
        <f t="shared" si="521"/>
        <v>180.9441185284071</v>
      </c>
      <c r="DL107" s="166">
        <f t="shared" ref="DL107:DM107" si="522">+DL125/DL94*1000</f>
        <v>185.38320569978288</v>
      </c>
      <c r="DM107" s="561">
        <f t="shared" si="522"/>
        <v>271.84460748882356</v>
      </c>
      <c r="DN107" s="166"/>
      <c r="DO107" s="655"/>
      <c r="DP107" s="3"/>
      <c r="DQ107" s="3"/>
      <c r="DR107" s="394">
        <f>+DR147/DR96*1000</f>
        <v>15.68</v>
      </c>
      <c r="DS107" s="394">
        <f>+DS147/DS96*1000</f>
        <v>18.095500000000001</v>
      </c>
      <c r="DT107" s="394">
        <f>+DT147/DT96*1000</f>
        <v>18.316071428571426</v>
      </c>
      <c r="DU107" s="394">
        <f>+DU147/DU94*1000</f>
        <v>452.26054421768708</v>
      </c>
      <c r="DV107" s="394">
        <f>+DV147/DV94*1000</f>
        <v>514.77962347729783</v>
      </c>
      <c r="DW107" s="394">
        <f>+DW147/DW94*1000</f>
        <v>592.96412884333824</v>
      </c>
      <c r="DX107" s="216">
        <f>+DX147/DX94*1000</f>
        <v>701.23241982507284</v>
      </c>
      <c r="DY107" s="216">
        <f>+DY147/DY94*1000</f>
        <v>809.87786989795916</v>
      </c>
      <c r="DZ107" s="215">
        <f>+J107+K107+L107+M107</f>
        <v>790.91894415785634</v>
      </c>
      <c r="EA107" s="215">
        <f>+N107+O107+P107+Q107</f>
        <v>691.63937107550021</v>
      </c>
      <c r="EB107" s="215">
        <f>+R107+S107+T107+U107</f>
        <v>690.32648542655966</v>
      </c>
      <c r="EC107" s="215">
        <f>+V107+W107+X107+Y107</f>
        <v>772.36520801902179</v>
      </c>
      <c r="ED107" s="215">
        <f>+Z107+AA107+AB107+AC107</f>
        <v>843.63777855326407</v>
      </c>
      <c r="EE107" s="215">
        <f>+AD107+AE107+AF107+AG107</f>
        <v>895.23385422239244</v>
      </c>
      <c r="EF107" s="215">
        <f>+AH107+AI107+AJ107+AK107</f>
        <v>840.52470457105824</v>
      </c>
      <c r="EG107" s="215">
        <f>+AL107+AM107+AN107+AO107</f>
        <v>826.29107733884905</v>
      </c>
      <c r="EH107" s="215">
        <f>+AP107+AQ107+AR107+AS107</f>
        <v>868.51049029505157</v>
      </c>
      <c r="EI107" s="215">
        <f>+AT107+AU107+AV107+AW107</f>
        <v>890.33784190893994</v>
      </c>
      <c r="EJ107" s="216">
        <f>+AX107+AY107+AZ107+BA107</f>
        <v>919.86635447840217</v>
      </c>
      <c r="EK107" s="216">
        <f>+BB107+BC107+BD107+BE107</f>
        <v>946.91592757544663</v>
      </c>
      <c r="EL107" s="216">
        <f>+EL147/EL94*1000</f>
        <v>927.93651898513906</v>
      </c>
      <c r="EM107" s="216">
        <f t="shared" ref="EM107:EY107" si="523">+EM125/EM94*1000</f>
        <v>891.39393092141836</v>
      </c>
      <c r="EN107" s="216">
        <f t="shared" si="523"/>
        <v>853.29569845452215</v>
      </c>
      <c r="EO107" s="216">
        <f t="shared" si="523"/>
        <v>816.8683933899722</v>
      </c>
      <c r="EP107" s="216">
        <f t="shared" si="523"/>
        <v>807.75544161835967</v>
      </c>
      <c r="EQ107" s="216">
        <f t="shared" si="523"/>
        <v>818.23448197734399</v>
      </c>
      <c r="ER107" s="216">
        <f t="shared" si="523"/>
        <v>792.97231218042646</v>
      </c>
      <c r="ES107" s="216">
        <f t="shared" si="523"/>
        <v>799.18364393080014</v>
      </c>
      <c r="ET107" s="216">
        <f t="shared" si="523"/>
        <v>799.18364393080014</v>
      </c>
      <c r="EU107" s="216">
        <f t="shared" si="523"/>
        <v>775.58985275855957</v>
      </c>
      <c r="EV107" s="216">
        <f t="shared" si="523"/>
        <v>776.46314759458483</v>
      </c>
      <c r="EW107" s="216">
        <f t="shared" si="523"/>
        <v>774.28584754478698</v>
      </c>
      <c r="EX107" s="216">
        <f t="shared" si="523"/>
        <v>765.74504199182456</v>
      </c>
      <c r="EY107" s="216">
        <f t="shared" si="523"/>
        <v>808.43140770926527</v>
      </c>
      <c r="EZ107" s="1745">
        <f t="shared" ref="EZ107" si="524">+EZ125/EZ94*1000</f>
        <v>812.12313691396071</v>
      </c>
      <c r="FA107" s="216">
        <f t="shared" ref="FA107:FH107" si="525">FA125/FA94*1000</f>
        <v>809.23647539622311</v>
      </c>
      <c r="FB107" s="216">
        <f t="shared" si="525"/>
        <v>810.51264895482473</v>
      </c>
      <c r="FC107" s="216">
        <f t="shared" si="525"/>
        <v>814.88543976047151</v>
      </c>
      <c r="FD107" s="216">
        <f t="shared" si="525"/>
        <v>822.19172696604721</v>
      </c>
      <c r="FE107" s="216">
        <f t="shared" si="525"/>
        <v>829.5778742705071</v>
      </c>
      <c r="FF107" s="216">
        <f t="shared" si="525"/>
        <v>837.04471810432653</v>
      </c>
      <c r="FG107" s="216">
        <f t="shared" si="525"/>
        <v>844.59310487705409</v>
      </c>
      <c r="FH107" s="216">
        <f t="shared" si="525"/>
        <v>852.22389107841502</v>
      </c>
      <c r="FI107" s="755"/>
      <c r="FJ107"/>
      <c r="FK107"/>
      <c r="FL107"/>
      <c r="FM107"/>
      <c r="FN107"/>
      <c r="FO107"/>
      <c r="FP107" s="3"/>
      <c r="FS107" s="217"/>
      <c r="FT107" s="217"/>
      <c r="FU107"/>
      <c r="FV107"/>
      <c r="FW107" s="217"/>
      <c r="FX107" s="217"/>
      <c r="FY107" s="21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row>
    <row r="108" spans="1:260" s="4" customFormat="1" x14ac:dyDescent="0.2">
      <c r="A108" s="287" t="s">
        <v>44</v>
      </c>
      <c r="B108" s="383"/>
      <c r="C108" s="383"/>
      <c r="D108" s="383"/>
      <c r="E108" s="549"/>
      <c r="F108" s="15">
        <f t="shared" ref="F108:AK108" si="526">F107/B107-1</f>
        <v>0.20314295327702769</v>
      </c>
      <c r="G108" s="15">
        <f t="shared" si="526"/>
        <v>5.6294235029805906E-2</v>
      </c>
      <c r="H108" s="15">
        <f t="shared" si="526"/>
        <v>-3.8422145121132623E-2</v>
      </c>
      <c r="I108" s="518">
        <f t="shared" si="526"/>
        <v>-1.6536862088749715E-2</v>
      </c>
      <c r="J108" s="15">
        <f t="shared" si="526"/>
        <v>-2.377138924787725E-2</v>
      </c>
      <c r="K108" s="15">
        <f t="shared" si="526"/>
        <v>1.8770898860023921E-2</v>
      </c>
      <c r="L108" s="15">
        <f t="shared" si="526"/>
        <v>2.7521305784897754E-2</v>
      </c>
      <c r="M108" s="518">
        <f t="shared" si="526"/>
        <v>-7.1795433198580394E-3</v>
      </c>
      <c r="N108" s="15">
        <f t="shared" si="526"/>
        <v>-3.7783881506087136E-2</v>
      </c>
      <c r="O108" s="15">
        <f t="shared" si="526"/>
        <v>-5.3016482842631385E-2</v>
      </c>
      <c r="P108" s="15">
        <f t="shared" si="526"/>
        <v>-0.1513826889068518</v>
      </c>
      <c r="Q108" s="518">
        <f t="shared" si="526"/>
        <v>-0.20820547906034892</v>
      </c>
      <c r="R108" s="15">
        <f t="shared" si="526"/>
        <v>-0.10570926632184541</v>
      </c>
      <c r="S108" s="15">
        <f t="shared" si="526"/>
        <v>-7.0253060277179036E-2</v>
      </c>
      <c r="T108" s="15">
        <f t="shared" si="526"/>
        <v>-2.2042731774569946E-2</v>
      </c>
      <c r="U108" s="518">
        <f t="shared" si="526"/>
        <v>0.14994499302868269</v>
      </c>
      <c r="V108" s="15">
        <f t="shared" si="526"/>
        <v>0.13495997409865623</v>
      </c>
      <c r="W108" s="15">
        <f t="shared" si="526"/>
        <v>0.15611537702267309</v>
      </c>
      <c r="X108" s="15">
        <f t="shared" si="526"/>
        <v>0.1037334958072953</v>
      </c>
      <c r="Y108" s="518">
        <f t="shared" si="526"/>
        <v>9.6329174112237403E-2</v>
      </c>
      <c r="Z108" s="15">
        <f t="shared" si="526"/>
        <v>0.11872535017735686</v>
      </c>
      <c r="AA108" s="15">
        <f t="shared" si="526"/>
        <v>9.4338554779245687E-2</v>
      </c>
      <c r="AB108" s="15">
        <f t="shared" si="526"/>
        <v>8.0652596016779432E-2</v>
      </c>
      <c r="AC108" s="518">
        <f t="shared" si="526"/>
        <v>8.3328225566879022E-2</v>
      </c>
      <c r="AD108" s="15">
        <f t="shared" si="526"/>
        <v>7.2077614892684716E-2</v>
      </c>
      <c r="AE108" s="15">
        <f t="shared" si="526"/>
        <v>3.2135185859770043E-2</v>
      </c>
      <c r="AF108" s="15">
        <f t="shared" si="526"/>
        <v>4.8609196482216399E-2</v>
      </c>
      <c r="AG108" s="518">
        <f t="shared" si="526"/>
        <v>8.3690765021385172E-2</v>
      </c>
      <c r="AH108" s="15">
        <f t="shared" si="526"/>
        <v>-6.1866522875422936E-2</v>
      </c>
      <c r="AI108" s="15">
        <f t="shared" si="526"/>
        <v>-2.1343880317783892E-2</v>
      </c>
      <c r="AJ108" s="15">
        <f t="shared" si="526"/>
        <v>-5.5783222158981682E-2</v>
      </c>
      <c r="AK108" s="518">
        <f t="shared" si="526"/>
        <v>-9.0688954173818281E-2</v>
      </c>
      <c r="AL108" s="15">
        <f t="shared" ref="AL108:BQ108" si="527">AL107/AH107-1</f>
        <v>1.0598245969064335E-2</v>
      </c>
      <c r="AM108" s="15">
        <f t="shared" si="527"/>
        <v>-1.4274257147821823E-2</v>
      </c>
      <c r="AN108" s="15">
        <f t="shared" si="527"/>
        <v>-2.6079793937155427E-2</v>
      </c>
      <c r="AO108" s="518">
        <f t="shared" si="527"/>
        <v>-2.97869447630974E-2</v>
      </c>
      <c r="AP108" s="15">
        <f t="shared" si="527"/>
        <v>-1.6060738524909079E-2</v>
      </c>
      <c r="AQ108" s="15">
        <f t="shared" si="527"/>
        <v>4.4121029359918351E-2</v>
      </c>
      <c r="AR108" s="15">
        <f t="shared" si="527"/>
        <v>6.3620016221622278E-2</v>
      </c>
      <c r="AS108" s="518">
        <f t="shared" si="527"/>
        <v>9.2003281109515278E-2</v>
      </c>
      <c r="AT108" s="15">
        <f t="shared" si="527"/>
        <v>6.3574094699528683E-2</v>
      </c>
      <c r="AU108" s="15">
        <f t="shared" si="527"/>
        <v>2.7002883179768178E-2</v>
      </c>
      <c r="AV108" s="15">
        <f t="shared" si="527"/>
        <v>1.1381378562230982E-2</v>
      </c>
      <c r="AW108" s="518">
        <f t="shared" si="527"/>
        <v>1.0569618359798083E-2</v>
      </c>
      <c r="AX108" s="15">
        <f t="shared" si="527"/>
        <v>3.3020607247730593E-2</v>
      </c>
      <c r="AY108" s="15">
        <f t="shared" si="527"/>
        <v>1.7445788246560845E-2</v>
      </c>
      <c r="AZ108" s="15">
        <f t="shared" si="527"/>
        <v>1.2635699983475801E-2</v>
      </c>
      <c r="BA108" s="518">
        <f t="shared" si="527"/>
        <v>5.9370661497132327E-2</v>
      </c>
      <c r="BB108" s="15">
        <f t="shared" si="527"/>
        <v>2.7461834926149509E-2</v>
      </c>
      <c r="BC108" s="15">
        <f t="shared" si="527"/>
        <v>2.3716347613174094E-3</v>
      </c>
      <c r="BD108" s="15">
        <f t="shared" si="527"/>
        <v>5.2340509579300587E-3</v>
      </c>
      <c r="BE108" s="518">
        <f t="shared" si="527"/>
        <v>6.5797402160273188E-2</v>
      </c>
      <c r="BF108" s="15">
        <f t="shared" si="527"/>
        <v>-1.2773186754522992E-2</v>
      </c>
      <c r="BG108" s="15">
        <f t="shared" si="527"/>
        <v>-8.238069192044617E-3</v>
      </c>
      <c r="BH108" s="15">
        <f t="shared" si="527"/>
        <v>3.7986991215718025E-2</v>
      </c>
      <c r="BI108" s="518">
        <f t="shared" si="527"/>
        <v>-8.4319710475226795E-2</v>
      </c>
      <c r="BJ108" s="15">
        <f t="shared" si="527"/>
        <v>1.1254972889553683E-2</v>
      </c>
      <c r="BK108" s="15">
        <f t="shared" si="527"/>
        <v>2.2479474268292332E-2</v>
      </c>
      <c r="BL108" s="15">
        <f t="shared" si="527"/>
        <v>-8.6987313777933006E-2</v>
      </c>
      <c r="BM108" s="518">
        <f t="shared" si="527"/>
        <v>-7.3416812708045454E-2</v>
      </c>
      <c r="BN108" s="15">
        <f t="shared" si="527"/>
        <v>-9.7887524539910786E-2</v>
      </c>
      <c r="BO108" s="15">
        <f t="shared" si="527"/>
        <v>-7.9588519662436186E-2</v>
      </c>
      <c r="BP108" s="15">
        <f t="shared" si="527"/>
        <v>-2.3230673428507043E-3</v>
      </c>
      <c r="BQ108" s="518">
        <f t="shared" si="527"/>
        <v>-2.8133412531937685E-3</v>
      </c>
      <c r="BR108" s="15">
        <f t="shared" ref="BR108:BY108" si="528">BR107/BN107-1</f>
        <v>6.3121763740885406E-3</v>
      </c>
      <c r="BS108" s="15">
        <f t="shared" si="528"/>
        <v>-2.3835644784944598E-2</v>
      </c>
      <c r="BT108" s="15">
        <f t="shared" si="528"/>
        <v>-5.8482399080779901E-2</v>
      </c>
      <c r="BU108" s="518">
        <f t="shared" si="528"/>
        <v>-7.2214072661287654E-2</v>
      </c>
      <c r="BV108" s="15">
        <f t="shared" si="528"/>
        <v>-3.6830009405274367E-2</v>
      </c>
      <c r="BW108" s="15">
        <f t="shared" si="528"/>
        <v>-3.8158267407711777E-2</v>
      </c>
      <c r="BX108" s="15">
        <f t="shared" si="528"/>
        <v>1.6087489839871072E-3</v>
      </c>
      <c r="BY108" s="518">
        <f t="shared" si="528"/>
        <v>1.9494326975046494E-2</v>
      </c>
      <c r="BZ108" s="15">
        <f>BZ107/BN107-1</f>
        <v>8.4104311886323169E-2</v>
      </c>
      <c r="CA108" s="15">
        <f>CA107/BO107-1</f>
        <v>-5.4079132117773265E-2</v>
      </c>
      <c r="CB108" s="15">
        <f>CB107/BP107-1</f>
        <v>-0.14519344300667303</v>
      </c>
      <c r="CC108" s="518">
        <f>CC107/BQ107-1</f>
        <v>-3.1253569096406864E-2</v>
      </c>
      <c r="CD108" s="15">
        <f t="shared" ref="CD108:CK108" si="529">CD107/BZ107-1</f>
        <v>-4.2443216642760961E-2</v>
      </c>
      <c r="CE108" s="15">
        <f t="shared" si="529"/>
        <v>-4.9196549384635357E-2</v>
      </c>
      <c r="CF108" s="15">
        <f t="shared" si="529"/>
        <v>-4.6161654295284738E-3</v>
      </c>
      <c r="CG108" s="518">
        <f t="shared" si="529"/>
        <v>-2.505805973412345E-2</v>
      </c>
      <c r="CH108" s="15">
        <f t="shared" si="529"/>
        <v>4.1837822308179229E-2</v>
      </c>
      <c r="CI108" s="77">
        <f t="shared" si="529"/>
        <v>-1.4843584209471183E-2</v>
      </c>
      <c r="CJ108" s="15">
        <f t="shared" si="529"/>
        <v>-2.1530881063996032E-2</v>
      </c>
      <c r="CK108" s="518">
        <f t="shared" si="529"/>
        <v>2.2303791275445572E-2</v>
      </c>
      <c r="CL108" s="15">
        <f>CL107/CD107-1</f>
        <v>4.1837822308179229E-2</v>
      </c>
      <c r="CM108" s="15">
        <f>CM107/CE107-1</f>
        <v>-1.4843584209471183E-2</v>
      </c>
      <c r="CN108" s="15">
        <f>CN107/CF107-1</f>
        <v>-2.1530881063996032E-2</v>
      </c>
      <c r="CO108" s="518">
        <f>CO107/CG107-1</f>
        <v>2.2303791275445572E-2</v>
      </c>
      <c r="CP108" s="77">
        <f>CP107/CL107-1</f>
        <v>-8.1360714977674387E-2</v>
      </c>
      <c r="CQ108" s="77">
        <f>CQ107/CM107-1</f>
        <v>9.588534346110178E-3</v>
      </c>
      <c r="CR108" s="15">
        <f>CR107/CJ107-1</f>
        <v>1.3683375561548416E-2</v>
      </c>
      <c r="CS108" s="487">
        <f t="shared" ref="CS108:DB108" si="530">CS107/CO107-1</f>
        <v>-4.7670945375393514E-2</v>
      </c>
      <c r="CT108" s="77">
        <f t="shared" si="530"/>
        <v>-3.5410216381834281E-2</v>
      </c>
      <c r="CU108" s="77">
        <f t="shared" si="530"/>
        <v>-3.1011073533179667E-2</v>
      </c>
      <c r="CV108" s="77">
        <f t="shared" si="530"/>
        <v>2.0591592403758741E-2</v>
      </c>
      <c r="CW108" s="487">
        <f t="shared" si="530"/>
        <v>3.5553296692732328E-2</v>
      </c>
      <c r="CX108" s="77">
        <f t="shared" si="530"/>
        <v>1.9345326906330396E-2</v>
      </c>
      <c r="CY108" s="77">
        <f t="shared" si="530"/>
        <v>3.4576523777408497E-2</v>
      </c>
      <c r="CZ108" s="77">
        <f t="shared" si="530"/>
        <v>3.9321823703915015E-3</v>
      </c>
      <c r="DA108" s="487">
        <f t="shared" si="530"/>
        <v>-3.0214003655869126E-2</v>
      </c>
      <c r="DB108" s="77">
        <f t="shared" si="530"/>
        <v>-1.8572857277526444E-2</v>
      </c>
      <c r="DC108" s="77">
        <f t="shared" ref="DC108:DM108" si="531">DC107/CY107-1</f>
        <v>-8.3631422740294559E-3</v>
      </c>
      <c r="DD108" s="70">
        <f t="shared" si="531"/>
        <v>5.8894055968936598E-3</v>
      </c>
      <c r="DE108" s="487">
        <f t="shared" si="531"/>
        <v>-3.4579917968984741E-2</v>
      </c>
      <c r="DF108" s="70">
        <f t="shared" si="531"/>
        <v>-5.4291748036318088E-3</v>
      </c>
      <c r="DG108" s="70">
        <f t="shared" si="531"/>
        <v>2.6873117176915429E-2</v>
      </c>
      <c r="DH108" s="70">
        <f t="shared" si="531"/>
        <v>2.661128205589236E-2</v>
      </c>
      <c r="DI108" s="487">
        <f t="shared" si="531"/>
        <v>0.14147631207640488</v>
      </c>
      <c r="DJ108" s="1673">
        <f t="shared" si="531"/>
        <v>3.2988250468276581E-2</v>
      </c>
      <c r="DK108" s="70">
        <f t="shared" si="531"/>
        <v>2.7778370749487191E-2</v>
      </c>
      <c r="DL108" s="70">
        <f t="shared" si="531"/>
        <v>1.2504159696309802E-2</v>
      </c>
      <c r="DM108" s="487">
        <f t="shared" si="531"/>
        <v>-3.3810687463659672E-2</v>
      </c>
      <c r="DN108" s="70"/>
      <c r="DO108" s="487"/>
      <c r="DP108" s="3"/>
      <c r="DQ108" s="3"/>
      <c r="DR108" s="3"/>
      <c r="DS108" s="161">
        <f t="shared" ref="DS108:EP108" si="532">DS107/DR107-1</f>
        <v>0.1540497448979592</v>
      </c>
      <c r="DT108" s="161">
        <f t="shared" si="532"/>
        <v>1.218929726017115E-2</v>
      </c>
      <c r="DU108" s="161">
        <f t="shared" si="532"/>
        <v>23.692005923945089</v>
      </c>
      <c r="DV108" s="161">
        <f t="shared" si="532"/>
        <v>0.1382368638143201</v>
      </c>
      <c r="DW108" s="161">
        <f t="shared" si="532"/>
        <v>0.15187956515821255</v>
      </c>
      <c r="DX108" s="161">
        <f t="shared" si="532"/>
        <v>0.18258826413821594</v>
      </c>
      <c r="DY108" s="15">
        <f t="shared" si="532"/>
        <v>0.15493500728330378</v>
      </c>
      <c r="DZ108" s="15">
        <f t="shared" si="532"/>
        <v>-2.3409610812666792E-2</v>
      </c>
      <c r="EA108" s="15">
        <f t="shared" si="532"/>
        <v>-0.12552433320214074</v>
      </c>
      <c r="EB108" s="15">
        <f t="shared" si="532"/>
        <v>-1.8982228367060427E-3</v>
      </c>
      <c r="EC108" s="15">
        <f t="shared" si="532"/>
        <v>0.11884046798779502</v>
      </c>
      <c r="ED108" s="15">
        <f t="shared" si="532"/>
        <v>9.2278328689925804E-2</v>
      </c>
      <c r="EE108" s="15">
        <f t="shared" si="532"/>
        <v>6.1159038844383451E-2</v>
      </c>
      <c r="EF108" s="15">
        <f t="shared" si="532"/>
        <v>-6.1111573689150767E-2</v>
      </c>
      <c r="EG108" s="15">
        <f t="shared" si="532"/>
        <v>-1.6934216394594803E-2</v>
      </c>
      <c r="EH108" s="15">
        <f t="shared" si="532"/>
        <v>5.1095085151075637E-2</v>
      </c>
      <c r="EI108" s="15">
        <f t="shared" si="532"/>
        <v>2.5131937792107983E-2</v>
      </c>
      <c r="EJ108" s="15">
        <f t="shared" si="532"/>
        <v>3.3165514459265522E-2</v>
      </c>
      <c r="EK108" s="15">
        <f t="shared" si="532"/>
        <v>2.9405981603036757E-2</v>
      </c>
      <c r="EL108" s="15">
        <f t="shared" si="532"/>
        <v>-2.0043393544877719E-2</v>
      </c>
      <c r="EM108" s="15">
        <f t="shared" si="532"/>
        <v>-3.9380482733545663E-2</v>
      </c>
      <c r="EN108" s="15">
        <f t="shared" si="532"/>
        <v>-4.2740062665127976E-2</v>
      </c>
      <c r="EO108" s="15">
        <f t="shared" si="532"/>
        <v>-4.2690130901311907E-2</v>
      </c>
      <c r="EP108" s="15">
        <f t="shared" si="532"/>
        <v>-1.1155960795341979E-2</v>
      </c>
      <c r="EQ108" s="15">
        <f>EQ107/EN107-1</f>
        <v>-4.1089175230439534E-2</v>
      </c>
      <c r="ER108" s="15">
        <f>ER107/EQ107-1</f>
        <v>-3.0873998044996909E-2</v>
      </c>
      <c r="ES108" s="15">
        <f>ES107/ER107-1</f>
        <v>7.8329743106597682E-3</v>
      </c>
      <c r="ET108" s="15">
        <f>ET107/ER107-1</f>
        <v>7.8329743106597682E-3</v>
      </c>
      <c r="EU108" s="15">
        <f>EU107/ES107-1</f>
        <v>-2.9522364917522692E-2</v>
      </c>
      <c r="EV108" s="15">
        <f t="shared" ref="EV108:FH108" si="533">EV107/EU107-1</f>
        <v>1.125975066485374E-3</v>
      </c>
      <c r="EW108" s="15">
        <f t="shared" si="533"/>
        <v>-2.804125419915815E-3</v>
      </c>
      <c r="EX108" s="77">
        <f t="shared" si="533"/>
        <v>-1.1030558778834409E-2</v>
      </c>
      <c r="EY108" s="77">
        <f t="shared" si="533"/>
        <v>5.5744880314741119E-2</v>
      </c>
      <c r="EZ108" s="1680">
        <f t="shared" si="533"/>
        <v>4.5665336223839059E-3</v>
      </c>
      <c r="FA108" s="15">
        <f t="shared" si="533"/>
        <v>-3.5544628474775131E-3</v>
      </c>
      <c r="FB108" s="15">
        <f t="shared" si="533"/>
        <v>1.5770094371694299E-3</v>
      </c>
      <c r="FC108" s="15">
        <f t="shared" si="533"/>
        <v>5.3950926136507871E-3</v>
      </c>
      <c r="FD108" s="15">
        <f t="shared" si="533"/>
        <v>8.9660298847937803E-3</v>
      </c>
      <c r="FE108" s="15">
        <f t="shared" si="533"/>
        <v>8.9834853139612036E-3</v>
      </c>
      <c r="FF108" s="15">
        <f t="shared" si="533"/>
        <v>9.0007750512697271E-3</v>
      </c>
      <c r="FG108" s="15">
        <f t="shared" si="533"/>
        <v>9.0179014447668848E-3</v>
      </c>
      <c r="FH108" s="15">
        <f t="shared" si="533"/>
        <v>9.0348667983404241E-3</v>
      </c>
      <c r="FI108" s="580"/>
      <c r="FJ108"/>
      <c r="FK108"/>
      <c r="FL108"/>
      <c r="FM108"/>
      <c r="FN108"/>
      <c r="FO108"/>
      <c r="FP108" s="3"/>
      <c r="FS108" s="70"/>
      <c r="FT108" s="70"/>
      <c r="FU108"/>
      <c r="FV108"/>
      <c r="FW108" s="70"/>
      <c r="FX108" s="70"/>
      <c r="FY108" s="70"/>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row>
    <row r="109" spans="1:260" s="4" customFormat="1" x14ac:dyDescent="0.2">
      <c r="A109" s="7"/>
      <c r="E109" s="470"/>
      <c r="I109" s="470"/>
      <c r="M109" s="470"/>
      <c r="Q109" s="470"/>
      <c r="U109" s="470"/>
      <c r="Y109" s="470"/>
      <c r="AC109" s="470"/>
      <c r="AG109" s="470"/>
      <c r="AK109" s="470"/>
      <c r="AO109" s="470"/>
      <c r="AS109" s="470"/>
      <c r="AW109" s="470"/>
      <c r="BA109" s="470"/>
      <c r="BE109" s="470"/>
      <c r="BI109" s="470"/>
      <c r="BM109" s="470"/>
      <c r="BQ109" s="470"/>
      <c r="BU109" s="470"/>
      <c r="BY109" s="470"/>
      <c r="CC109" s="470"/>
      <c r="CG109" s="470"/>
      <c r="CK109" s="470"/>
      <c r="CO109" s="470"/>
      <c r="CP109" s="6"/>
      <c r="CQ109" s="6"/>
      <c r="CS109" s="484"/>
      <c r="CT109" s="6"/>
      <c r="CU109" s="6"/>
      <c r="CV109" s="6"/>
      <c r="CW109" s="484"/>
      <c r="CX109" s="6"/>
      <c r="CY109" s="6"/>
      <c r="CZ109" s="821"/>
      <c r="DA109" s="749"/>
      <c r="DB109" s="6"/>
      <c r="DC109" s="6"/>
      <c r="DD109" s="39"/>
      <c r="DE109" s="487"/>
      <c r="DF109" s="70"/>
      <c r="DG109" s="70"/>
      <c r="DH109" s="70"/>
      <c r="DI109" s="487"/>
      <c r="DJ109" s="1671"/>
      <c r="DK109" s="7"/>
      <c r="DL109" s="7"/>
      <c r="DM109" s="484"/>
      <c r="DN109" s="7"/>
      <c r="DO109" s="484"/>
      <c r="DP109" s="3"/>
      <c r="DQ109" s="3"/>
      <c r="DR109" s="3"/>
      <c r="DS109" s="3"/>
      <c r="DT109" s="3"/>
      <c r="DU109" s="3"/>
      <c r="DV109" s="3"/>
      <c r="DW109" s="3"/>
      <c r="EX109" s="177"/>
      <c r="EY109" s="177"/>
      <c r="EZ109" s="1706"/>
      <c r="FA109" s="66"/>
      <c r="FI109" s="671"/>
      <c r="FJ109"/>
      <c r="FK109"/>
      <c r="FL109"/>
      <c r="FM109"/>
      <c r="FN109"/>
      <c r="FO109"/>
      <c r="FP109" s="3"/>
      <c r="FS109" s="7"/>
      <c r="FT109" s="7"/>
      <c r="FU109"/>
      <c r="FV109"/>
      <c r="FW109" s="2644"/>
      <c r="FX109" s="769"/>
      <c r="FY109" s="7"/>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row>
    <row r="110" spans="1:260" s="19" customFormat="1" x14ac:dyDescent="0.2">
      <c r="A110" s="436" t="s">
        <v>639</v>
      </c>
      <c r="B110" s="869"/>
      <c r="C110" s="869"/>
      <c r="D110" s="869"/>
      <c r="E110" s="870"/>
      <c r="F110" s="869">
        <f t="shared" ref="F110:AK110" si="534">B94*B107*(1+F111)/1000</f>
        <v>605.42903000000001</v>
      </c>
      <c r="G110" s="869">
        <f t="shared" si="534"/>
        <v>664.31639999999993</v>
      </c>
      <c r="H110" s="869">
        <f t="shared" si="534"/>
        <v>970.1712</v>
      </c>
      <c r="I110" s="870">
        <f t="shared" si="534"/>
        <v>1360.2012600000005</v>
      </c>
      <c r="J110" s="869">
        <f t="shared" si="534"/>
        <v>902.06280000000004</v>
      </c>
      <c r="K110" s="869">
        <f t="shared" si="534"/>
        <v>997.56086800000014</v>
      </c>
      <c r="L110" s="869">
        <f t="shared" si="534"/>
        <v>1498.35681</v>
      </c>
      <c r="M110" s="870">
        <f t="shared" si="534"/>
        <v>1974.3705540000005</v>
      </c>
      <c r="N110" s="869">
        <f t="shared" si="534"/>
        <v>1320.557084</v>
      </c>
      <c r="O110" s="869">
        <f t="shared" si="534"/>
        <v>1491.1137070000002</v>
      </c>
      <c r="P110" s="869">
        <f t="shared" si="534"/>
        <v>1773.0055630000002</v>
      </c>
      <c r="Q110" s="870">
        <f t="shared" si="534"/>
        <v>2287.1008320000001</v>
      </c>
      <c r="R110" s="869">
        <f t="shared" si="534"/>
        <v>1502.9349120000002</v>
      </c>
      <c r="S110" s="869">
        <f t="shared" si="534"/>
        <v>1679.0361599999999</v>
      </c>
      <c r="T110" s="869">
        <f t="shared" si="534"/>
        <v>1999.2947040000001</v>
      </c>
      <c r="U110" s="870">
        <f t="shared" si="534"/>
        <v>2744.268415</v>
      </c>
      <c r="V110" s="869">
        <f t="shared" si="534"/>
        <v>1852.3533030000001</v>
      </c>
      <c r="W110" s="869">
        <f t="shared" si="534"/>
        <v>2114.1875160000004</v>
      </c>
      <c r="X110" s="869">
        <f t="shared" si="534"/>
        <v>2363.314601999999</v>
      </c>
      <c r="Y110" s="870">
        <f t="shared" si="534"/>
        <v>3160.1223680000003</v>
      </c>
      <c r="Z110" s="869">
        <f t="shared" si="534"/>
        <v>2196.1879390000004</v>
      </c>
      <c r="AA110" s="869">
        <f t="shared" si="534"/>
        <v>2419.4980260000002</v>
      </c>
      <c r="AB110" s="869">
        <f t="shared" si="534"/>
        <v>2522.3766040000005</v>
      </c>
      <c r="AC110" s="870">
        <f t="shared" si="534"/>
        <v>3836.1933000000004</v>
      </c>
      <c r="AD110" s="869">
        <f t="shared" si="534"/>
        <v>2612.0469450000001</v>
      </c>
      <c r="AE110" s="869">
        <f t="shared" si="534"/>
        <v>2823.6586399999992</v>
      </c>
      <c r="AF110" s="869">
        <f t="shared" si="534"/>
        <v>3290.669883</v>
      </c>
      <c r="AG110" s="870">
        <f t="shared" si="534"/>
        <v>4392.2780700000003</v>
      </c>
      <c r="AH110" s="869">
        <f t="shared" si="534"/>
        <v>2871.8427420000003</v>
      </c>
      <c r="AI110" s="869">
        <f t="shared" si="534"/>
        <v>3257.9077879999995</v>
      </c>
      <c r="AJ110" s="869">
        <f t="shared" si="534"/>
        <v>3791.7932799999999</v>
      </c>
      <c r="AK110" s="870">
        <f t="shared" si="534"/>
        <v>5707.3542349999998</v>
      </c>
      <c r="AL110" s="869">
        <f t="shared" ref="AL110:BM110" si="535">AH94*AH107*(1+AL111)/1000</f>
        <v>3554.0439999999999</v>
      </c>
      <c r="AM110" s="869">
        <f t="shared" si="535"/>
        <v>3890.2759999999994</v>
      </c>
      <c r="AN110" s="869">
        <f t="shared" si="535"/>
        <v>4257.5959999999995</v>
      </c>
      <c r="AO110" s="870">
        <f t="shared" si="535"/>
        <v>5938.2059999999992</v>
      </c>
      <c r="AP110" s="869">
        <f t="shared" si="535"/>
        <v>3988.6769999999997</v>
      </c>
      <c r="AQ110" s="869">
        <f t="shared" si="535"/>
        <v>4624.62</v>
      </c>
      <c r="AR110" s="869">
        <f t="shared" si="535"/>
        <v>5133.8999999999996</v>
      </c>
      <c r="AS110" s="870">
        <f t="shared" si="535"/>
        <v>7045.6890000000003</v>
      </c>
      <c r="AT110" s="869">
        <f t="shared" si="535"/>
        <v>4639.5200000000004</v>
      </c>
      <c r="AU110" s="869">
        <f t="shared" si="535"/>
        <v>5126.04</v>
      </c>
      <c r="AV110" s="869">
        <f t="shared" si="535"/>
        <v>5592.9</v>
      </c>
      <c r="AW110" s="870">
        <f t="shared" si="535"/>
        <v>7840.7550000000001</v>
      </c>
      <c r="AX110" s="869">
        <f t="shared" si="535"/>
        <v>5204.1000000000004</v>
      </c>
      <c r="AY110" s="869">
        <f t="shared" si="535"/>
        <v>5715.2280000000001</v>
      </c>
      <c r="AZ110" s="869">
        <f t="shared" si="535"/>
        <v>6142.884</v>
      </c>
      <c r="BA110" s="870">
        <f t="shared" si="535"/>
        <v>8819.6880000000019</v>
      </c>
      <c r="BB110" s="869">
        <f t="shared" si="535"/>
        <v>5744.6319999999996</v>
      </c>
      <c r="BC110" s="869">
        <f t="shared" si="535"/>
        <v>6176.9099999999989</v>
      </c>
      <c r="BD110" s="869">
        <f t="shared" si="535"/>
        <v>6698.7759999999989</v>
      </c>
      <c r="BE110" s="870">
        <f t="shared" si="535"/>
        <v>9877.4</v>
      </c>
      <c r="BF110" s="869">
        <f t="shared" si="535"/>
        <v>6266.7539999999999</v>
      </c>
      <c r="BG110" s="869">
        <f t="shared" si="535"/>
        <v>6733.5569999999989</v>
      </c>
      <c r="BH110" s="869">
        <f t="shared" si="535"/>
        <v>7601.0039999999999</v>
      </c>
      <c r="BI110" s="870">
        <f t="shared" si="535"/>
        <v>10984.244000000001</v>
      </c>
      <c r="BJ110" s="869">
        <f t="shared" si="535"/>
        <v>6938.6399999999994</v>
      </c>
      <c r="BK110" s="869">
        <f t="shared" si="535"/>
        <v>7617.4019999999982</v>
      </c>
      <c r="BL110" s="869">
        <f t="shared" si="535"/>
        <v>7689.0220000000008</v>
      </c>
      <c r="BM110" s="870">
        <f t="shared" si="535"/>
        <v>10647.167999999998</v>
      </c>
      <c r="BN110" s="869">
        <f t="shared" ref="BN110:CX110" si="536">+BJ94*(BJ107/1000)*(1+BN111)</f>
        <v>7087.8029999999999</v>
      </c>
      <c r="BO110" s="869">
        <f t="shared" si="536"/>
        <v>7880.8769999999995</v>
      </c>
      <c r="BP110" s="869">
        <f t="shared" si="536"/>
        <v>8573.0159999999996</v>
      </c>
      <c r="BQ110" s="870">
        <f t="shared" si="536"/>
        <v>12123.312000000004</v>
      </c>
      <c r="BR110" s="869">
        <f t="shared" si="536"/>
        <v>7348.6981572943942</v>
      </c>
      <c r="BS110" s="869">
        <f t="shared" si="536"/>
        <v>7829.2974212232975</v>
      </c>
      <c r="BT110" s="869">
        <f t="shared" si="536"/>
        <v>8172.9471048581718</v>
      </c>
      <c r="BU110" s="870">
        <f t="shared" si="536"/>
        <v>11016.410485538036</v>
      </c>
      <c r="BV110" s="869">
        <f t="shared" si="536"/>
        <v>7387.2812130459943</v>
      </c>
      <c r="BW110" s="869">
        <f t="shared" si="536"/>
        <v>7840.9857577032071</v>
      </c>
      <c r="BX110" s="869">
        <f t="shared" si="536"/>
        <v>8394.8538628381611</v>
      </c>
      <c r="BY110" s="870">
        <f t="shared" si="536"/>
        <v>10763.428251818335</v>
      </c>
      <c r="BZ110" s="869">
        <f t="shared" si="536"/>
        <v>7768.9601212037942</v>
      </c>
      <c r="CA110" s="869">
        <f t="shared" si="536"/>
        <v>7875.27254205793</v>
      </c>
      <c r="CB110" s="869">
        <f t="shared" si="536"/>
        <v>8134.4658073628143</v>
      </c>
      <c r="CC110" s="870">
        <f t="shared" si="536"/>
        <v>10768.388617069424</v>
      </c>
      <c r="CD110" s="869">
        <f t="shared" si="536"/>
        <v>7846.3438500754073</v>
      </c>
      <c r="CE110" s="869">
        <f t="shared" si="536"/>
        <v>7486.9088033104517</v>
      </c>
      <c r="CF110" s="869">
        <f t="shared" si="536"/>
        <v>7555.2617901235744</v>
      </c>
      <c r="CG110" s="870">
        <f t="shared" si="536"/>
        <v>11374.494338454246</v>
      </c>
      <c r="CH110" s="869">
        <f t="shared" si="536"/>
        <v>7671.9941475120813</v>
      </c>
      <c r="CI110" s="869">
        <f t="shared" si="536"/>
        <v>7426.2852492074262</v>
      </c>
      <c r="CJ110" s="869">
        <f t="shared" si="536"/>
        <v>7316.9614865058811</v>
      </c>
      <c r="CK110" s="870">
        <f t="shared" si="536"/>
        <v>11449.344921679176</v>
      </c>
      <c r="CL110" s="869">
        <f t="shared" si="536"/>
        <v>8004.692897942281</v>
      </c>
      <c r="CM110" s="869">
        <f t="shared" si="536"/>
        <v>7195.4779286878847</v>
      </c>
      <c r="CN110" s="869">
        <f t="shared" si="536"/>
        <v>6907.754203218351</v>
      </c>
      <c r="CO110" s="870">
        <f t="shared" si="536"/>
        <v>11277.827663048207</v>
      </c>
      <c r="CP110" s="869">
        <f t="shared" si="536"/>
        <v>8229.5906024764408</v>
      </c>
      <c r="CQ110" s="869">
        <f t="shared" si="536"/>
        <v>7299.0221907846017</v>
      </c>
      <c r="CR110" s="869">
        <f t="shared" si="536"/>
        <v>7308.0091624467768</v>
      </c>
      <c r="CS110" s="870">
        <f t="shared" si="536"/>
        <v>10876.3956125765</v>
      </c>
      <c r="CT110" s="1391">
        <f t="shared" si="536"/>
        <v>7218.6011907878174</v>
      </c>
      <c r="CU110" s="1391">
        <f t="shared" si="536"/>
        <v>7053.5381196141479</v>
      </c>
      <c r="CV110" s="1391">
        <f t="shared" si="536"/>
        <v>7446.1168202764984</v>
      </c>
      <c r="CW110" s="1020">
        <f t="shared" si="536"/>
        <v>10895.535803545294</v>
      </c>
      <c r="CX110" s="1596">
        <f t="shared" si="536"/>
        <v>7153.7662637193171</v>
      </c>
      <c r="CY110" s="1596">
        <f t="shared" ref="CY110:DE110" si="537">+CU94*(CU107/1000)*(1+CY111)</f>
        <v>7178.9476387607119</v>
      </c>
      <c r="CZ110" s="1596">
        <f t="shared" si="537"/>
        <v>7348.4157436186188</v>
      </c>
      <c r="DA110" s="1597">
        <f t="shared" si="537"/>
        <v>10608.333956603923</v>
      </c>
      <c r="DB110" s="1596">
        <f t="shared" si="537"/>
        <v>7062.6559025348542</v>
      </c>
      <c r="DC110" s="1596">
        <f t="shared" si="537"/>
        <v>7113.1515643564353</v>
      </c>
      <c r="DD110" s="1596">
        <f t="shared" si="537"/>
        <v>7355.5510847225769</v>
      </c>
      <c r="DE110" s="1597">
        <f t="shared" si="537"/>
        <v>10192.951759090911</v>
      </c>
      <c r="DF110" s="1596">
        <f t="shared" ref="DF110:DM110" si="538">+DB94*(DB107/1000)*(1+DF111)</f>
        <v>6925.4520276421035</v>
      </c>
      <c r="DG110" s="1596">
        <f t="shared" si="538"/>
        <v>7200.3948836991403</v>
      </c>
      <c r="DH110" s="1596">
        <f t="shared" si="538"/>
        <v>7463.0379255342496</v>
      </c>
      <c r="DI110" s="1597">
        <f t="shared" si="538"/>
        <v>10641.155789152237</v>
      </c>
      <c r="DJ110" s="2735">
        <f t="shared" si="538"/>
        <v>7028.3481735000005</v>
      </c>
      <c r="DK110" s="1596">
        <f t="shared" si="538"/>
        <v>7210.7643052799995</v>
      </c>
      <c r="DL110" s="1596">
        <f t="shared" si="538"/>
        <v>7337.7914233446891</v>
      </c>
      <c r="DM110" s="1597">
        <f t="shared" si="538"/>
        <v>10743.840042124999</v>
      </c>
      <c r="DN110" s="165"/>
      <c r="DO110" s="576"/>
      <c r="DP110" s="401"/>
      <c r="DQ110" s="401"/>
      <c r="DR110" s="401"/>
      <c r="DS110" s="401"/>
      <c r="DT110" s="401"/>
      <c r="DU110" s="401"/>
      <c r="DV110" s="401"/>
      <c r="DW110" s="401"/>
      <c r="DX110" s="437"/>
      <c r="DY110" s="223">
        <f>+F110+G110+H110+I110</f>
        <v>3600.1178900000004</v>
      </c>
      <c r="DZ110" s="438">
        <f>+J110+K110+L110+M110</f>
        <v>5372.3510320000005</v>
      </c>
      <c r="EA110" s="438">
        <f>+N110+O110+P110+Q110</f>
        <v>6871.7771860000012</v>
      </c>
      <c r="EB110" s="438">
        <f>+R110+S110+T110+U110</f>
        <v>7925.5341910000006</v>
      </c>
      <c r="EC110" s="438">
        <f>+V110+W110+X110+Y110</f>
        <v>9489.9777890000005</v>
      </c>
      <c r="ED110" s="438">
        <f>+Z110+AA110+AB110+AC110</f>
        <v>10974.255869000002</v>
      </c>
      <c r="EE110" s="438">
        <f>+AD110+AE110+AF110+AG110</f>
        <v>13118.653538</v>
      </c>
      <c r="EF110" s="438">
        <f>+AH110+AI110+AJ110+AK110</f>
        <v>15628.898044999998</v>
      </c>
      <c r="EG110" s="438">
        <f>+AL110+AM110+AN110+AO110</f>
        <v>17640.121999999999</v>
      </c>
      <c r="EH110" s="438">
        <f>+AP110+AQ110+AR110+AS110</f>
        <v>20792.885999999999</v>
      </c>
      <c r="EI110" s="438">
        <f>+AT110+AU110+AV110+AW110</f>
        <v>23199.215</v>
      </c>
      <c r="EJ110" s="223">
        <f>+AX110+AY110+AZ110+BA110</f>
        <v>25881.9</v>
      </c>
      <c r="EK110" s="223">
        <f>+BB110+BC110+BD110+BE110</f>
        <v>28497.717999999993</v>
      </c>
      <c r="EL110" s="223">
        <f>SUM(BF110:BI110)</f>
        <v>31585.559000000001</v>
      </c>
      <c r="EM110" s="223">
        <f>SUM(BJ110:BM110)</f>
        <v>32892.231999999996</v>
      </c>
      <c r="EN110" s="223">
        <f>SUM(BN110:BQ110)</f>
        <v>35665.008000000002</v>
      </c>
      <c r="EO110" s="223">
        <f>SUM(BR110:BU110)</f>
        <v>34367.353168913898</v>
      </c>
      <c r="EP110" s="223">
        <f>SUM(BV110:BY110)</f>
        <v>34386.549085405699</v>
      </c>
      <c r="EQ110" s="223">
        <f>SUM(BZ110:CC110)</f>
        <v>34547.087087693959</v>
      </c>
      <c r="ER110" s="223">
        <f>SUM(CD110:CG110)</f>
        <v>34263.008781963683</v>
      </c>
      <c r="ES110" s="223">
        <f>SUM(CH110:CK110)</f>
        <v>33864.585804904564</v>
      </c>
      <c r="ET110" s="1392">
        <f>SUM(CL110:CO110)</f>
        <v>33385.752692896727</v>
      </c>
      <c r="EU110" s="761">
        <f>SUM(CP110:CS110)</f>
        <v>33713.017568284326</v>
      </c>
      <c r="EV110" s="198">
        <f>SUM(CT110:CW110)</f>
        <v>32613.791934223758</v>
      </c>
      <c r="EW110" s="198">
        <f>SUM(CX110:DA110)</f>
        <v>32289.46360270257</v>
      </c>
      <c r="EX110" s="198">
        <f>SUM(DB110:DE110)</f>
        <v>31724.310310704779</v>
      </c>
      <c r="EY110" s="198">
        <f>SUM(DF110:DI110)</f>
        <v>32230.04062602773</v>
      </c>
      <c r="EZ110" s="1736">
        <f>SUM(DJ110:DM110)</f>
        <v>32320.743944249691</v>
      </c>
      <c r="FA110" s="198">
        <f t="shared" ref="FA110:FH110" si="539">+EZ94*(EZ107/1000)*(1+FA111)</f>
        <v>31645.770494405959</v>
      </c>
      <c r="FB110" s="198">
        <f t="shared" si="539"/>
        <v>31416.666147075321</v>
      </c>
      <c r="FC110" s="198">
        <f t="shared" si="539"/>
        <v>31353.452758450156</v>
      </c>
      <c r="FD110" s="198">
        <f t="shared" si="539"/>
        <v>31469.250341274583</v>
      </c>
      <c r="FE110" s="198">
        <f t="shared" si="539"/>
        <v>31585.235121856131</v>
      </c>
      <c r="FF110" s="198">
        <f t="shared" si="539"/>
        <v>31701.467958892219</v>
      </c>
      <c r="FG110" s="198">
        <f t="shared" si="539"/>
        <v>31817.950163643112</v>
      </c>
      <c r="FH110" s="198">
        <f t="shared" si="539"/>
        <v>31934.683042339795</v>
      </c>
      <c r="FI110" s="1384"/>
      <c r="FJ110"/>
      <c r="FK110"/>
      <c r="FL110"/>
      <c r="FM110"/>
      <c r="FN110"/>
      <c r="FO110"/>
      <c r="FP110" s="401"/>
      <c r="FS110" s="1392"/>
      <c r="FT110" s="1392"/>
      <c r="FU110"/>
      <c r="FV110"/>
      <c r="FW110" s="198"/>
      <c r="FX110" s="198"/>
      <c r="FY110" s="198"/>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row>
    <row r="111" spans="1:260" s="4" customFormat="1" ht="12" customHeight="1" x14ac:dyDescent="0.2">
      <c r="A111" s="395" t="s">
        <v>640</v>
      </c>
      <c r="B111" s="219">
        <f t="shared" ref="B111:BM111" si="540">+B137</f>
        <v>0.15</v>
      </c>
      <c r="C111" s="219">
        <f t="shared" si="540"/>
        <v>0.27</v>
      </c>
      <c r="D111" s="219">
        <f t="shared" si="540"/>
        <v>0.21</v>
      </c>
      <c r="E111" s="550">
        <f t="shared" si="540"/>
        <v>0.35</v>
      </c>
      <c r="F111" s="219">
        <f t="shared" si="540"/>
        <v>0.37</v>
      </c>
      <c r="G111" s="219">
        <f t="shared" si="540"/>
        <v>0.18</v>
      </c>
      <c r="H111" s="219">
        <f t="shared" si="540"/>
        <v>0.2</v>
      </c>
      <c r="I111" s="550">
        <f t="shared" si="540"/>
        <v>0.14000000000000001</v>
      </c>
      <c r="J111" s="219">
        <f t="shared" si="540"/>
        <v>6.2E-2</v>
      </c>
      <c r="K111" s="219">
        <f t="shared" si="540"/>
        <v>6.9000000000000006E-2</v>
      </c>
      <c r="L111" s="219">
        <f t="shared" si="540"/>
        <v>0.11</v>
      </c>
      <c r="M111" s="550">
        <f t="shared" si="540"/>
        <v>1.4E-2</v>
      </c>
      <c r="N111" s="219">
        <f t="shared" si="540"/>
        <v>3.5999999999999997E-2</v>
      </c>
      <c r="O111" s="219">
        <f t="shared" si="540"/>
        <v>3.6999999999999998E-2</v>
      </c>
      <c r="P111" s="219">
        <f t="shared" si="540"/>
        <v>-8.1000000000000003E-2</v>
      </c>
      <c r="Q111" s="550">
        <f t="shared" si="540"/>
        <v>-0.112</v>
      </c>
      <c r="R111" s="219">
        <f t="shared" si="540"/>
        <v>-8.2000000000000003E-2</v>
      </c>
      <c r="S111" s="219">
        <f t="shared" si="540"/>
        <v>-5.6000000000000001E-2</v>
      </c>
      <c r="T111" s="219">
        <f t="shared" si="540"/>
        <v>-4.0000000000000001E-3</v>
      </c>
      <c r="U111" s="550">
        <f t="shared" si="540"/>
        <v>0.16900000000000001</v>
      </c>
      <c r="V111" s="219">
        <f t="shared" si="540"/>
        <v>0.153</v>
      </c>
      <c r="W111" s="219">
        <f t="shared" si="540"/>
        <v>0.17899999999999999</v>
      </c>
      <c r="X111" s="219">
        <f t="shared" si="540"/>
        <v>0.122</v>
      </c>
      <c r="Y111" s="550">
        <f t="shared" si="540"/>
        <v>0.108</v>
      </c>
      <c r="Z111" s="219">
        <f t="shared" si="540"/>
        <v>0.13300000000000001</v>
      </c>
      <c r="AA111" s="219">
        <f t="shared" si="540"/>
        <v>0.111</v>
      </c>
      <c r="AB111" s="219">
        <f t="shared" si="540"/>
        <v>1.2E-2</v>
      </c>
      <c r="AC111" s="550">
        <f t="shared" si="540"/>
        <v>0.11</v>
      </c>
      <c r="AD111" s="219">
        <f t="shared" si="540"/>
        <v>9.5000000000000001E-2</v>
      </c>
      <c r="AE111" s="219">
        <f t="shared" si="540"/>
        <v>5.0999999999999997E-2</v>
      </c>
      <c r="AF111" s="219">
        <f t="shared" si="540"/>
        <v>5.8999999999999997E-2</v>
      </c>
      <c r="AG111" s="550">
        <f t="shared" si="540"/>
        <v>1.7999999999999999E-2</v>
      </c>
      <c r="AH111" s="219">
        <f t="shared" si="540"/>
        <v>-3.1E-2</v>
      </c>
      <c r="AI111" s="219">
        <f t="shared" si="540"/>
        <v>2.8000000000000001E-2</v>
      </c>
      <c r="AJ111" s="219">
        <f t="shared" si="540"/>
        <v>1.6E-2</v>
      </c>
      <c r="AK111" s="550">
        <f t="shared" si="540"/>
        <v>4.4999999999999998E-2</v>
      </c>
      <c r="AL111" s="219">
        <f t="shared" si="540"/>
        <v>6.6000000000000003E-2</v>
      </c>
      <c r="AM111" s="219">
        <f t="shared" si="540"/>
        <v>2.7E-2</v>
      </c>
      <c r="AN111" s="219">
        <f t="shared" si="540"/>
        <v>7.0000000000000001E-3</v>
      </c>
      <c r="AO111" s="550">
        <f t="shared" si="540"/>
        <v>1.2999999999999999E-2</v>
      </c>
      <c r="AP111" s="219">
        <f t="shared" si="540"/>
        <v>2.3E-2</v>
      </c>
      <c r="AQ111" s="219">
        <f t="shared" si="540"/>
        <v>7.8E-2</v>
      </c>
      <c r="AR111" s="219">
        <f t="shared" si="540"/>
        <v>0.09</v>
      </c>
      <c r="AS111" s="550">
        <f t="shared" si="540"/>
        <v>9.9000000000000005E-2</v>
      </c>
      <c r="AT111" s="219">
        <f t="shared" si="540"/>
        <v>8.4000000000000005E-2</v>
      </c>
      <c r="AU111" s="219">
        <f t="shared" si="540"/>
        <v>4.3999999999999997E-2</v>
      </c>
      <c r="AV111" s="219">
        <f t="shared" si="540"/>
        <v>0.03</v>
      </c>
      <c r="AW111" s="550">
        <f t="shared" si="540"/>
        <v>3.1E-2</v>
      </c>
      <c r="AX111" s="197">
        <f t="shared" si="540"/>
        <v>4.4999999999999998E-2</v>
      </c>
      <c r="AY111" s="197">
        <f t="shared" si="540"/>
        <v>3.7999999999999999E-2</v>
      </c>
      <c r="AZ111" s="197">
        <f t="shared" si="540"/>
        <v>3.7999999999999999E-2</v>
      </c>
      <c r="BA111" s="572">
        <f t="shared" si="540"/>
        <v>7.3999999999999996E-2</v>
      </c>
      <c r="BB111" s="197">
        <f t="shared" si="540"/>
        <v>4.5999999999999999E-2</v>
      </c>
      <c r="BC111" s="197">
        <f t="shared" si="540"/>
        <v>0.03</v>
      </c>
      <c r="BD111" s="197">
        <f t="shared" si="540"/>
        <v>3.5999999999999997E-2</v>
      </c>
      <c r="BE111" s="572">
        <f t="shared" si="540"/>
        <v>4.8000000000000001E-2</v>
      </c>
      <c r="BF111" s="197">
        <f t="shared" si="540"/>
        <v>1.7000000000000001E-2</v>
      </c>
      <c r="BG111" s="197">
        <f t="shared" si="540"/>
        <v>1.7000000000000001E-2</v>
      </c>
      <c r="BH111" s="197">
        <f t="shared" si="540"/>
        <v>6.0999999999999999E-2</v>
      </c>
      <c r="BI111" s="572">
        <f t="shared" si="540"/>
        <v>-8.9999999999999993E-3</v>
      </c>
      <c r="BJ111" s="197">
        <f t="shared" si="540"/>
        <v>3.5000000000000003E-2</v>
      </c>
      <c r="BK111" s="197">
        <f t="shared" si="540"/>
        <v>5.2999999999999999E-2</v>
      </c>
      <c r="BL111" s="197">
        <f t="shared" si="540"/>
        <v>-6.3E-2</v>
      </c>
      <c r="BM111" s="572">
        <f t="shared" si="540"/>
        <v>-4.8000000000000001E-2</v>
      </c>
      <c r="BN111" s="197">
        <f t="shared" ref="BN111:DC111" si="541">+BN137</f>
        <v>-4.9000000000000002E-2</v>
      </c>
      <c r="BO111" s="197">
        <f t="shared" si="541"/>
        <v>-3.1E-2</v>
      </c>
      <c r="BP111" s="197">
        <f t="shared" si="541"/>
        <v>4.5999999999999999E-2</v>
      </c>
      <c r="BQ111" s="572">
        <f t="shared" si="541"/>
        <v>7.3999999999999996E-2</v>
      </c>
      <c r="BR111" s="197">
        <f t="shared" si="541"/>
        <v>1.0315946025730919E-2</v>
      </c>
      <c r="BS111" s="197">
        <f t="shared" si="541"/>
        <v>-1.9576452798485994E-2</v>
      </c>
      <c r="BT111" s="197">
        <f t="shared" si="541"/>
        <v>-5.2399289406379397E-2</v>
      </c>
      <c r="BU111" s="572">
        <f t="shared" si="541"/>
        <v>-6.2304320996412164E-2</v>
      </c>
      <c r="BV111" s="197">
        <f t="shared" si="541"/>
        <v>-2.8796426630765287E-2</v>
      </c>
      <c r="BW111" s="197">
        <f t="shared" si="541"/>
        <v>-3.215487732972136E-2</v>
      </c>
      <c r="BX111" s="197">
        <f t="shared" si="541"/>
        <v>1.4789183380152235E-3</v>
      </c>
      <c r="BY111" s="572">
        <f t="shared" si="541"/>
        <v>-3.8075076211584097E-2</v>
      </c>
      <c r="BZ111" s="197">
        <f t="shared" si="541"/>
        <v>3.5265886157542156E-2</v>
      </c>
      <c r="CA111" s="197">
        <f t="shared" si="541"/>
        <v>-7.2770724283462273E-3</v>
      </c>
      <c r="CB111" s="197">
        <f t="shared" si="541"/>
        <v>-4.209663713403182E-2</v>
      </c>
      <c r="CC111" s="572">
        <f t="shared" si="541"/>
        <v>-6.1797975836909394E-2</v>
      </c>
      <c r="CD111" s="197">
        <f t="shared" si="541"/>
        <v>-4.2465055598114601E-2</v>
      </c>
      <c r="CE111" s="197">
        <f t="shared" si="541"/>
        <v>-4.6312956035861871E-2</v>
      </c>
      <c r="CF111" s="197">
        <f t="shared" si="541"/>
        <v>-7.2525348042186194E-3</v>
      </c>
      <c r="CG111" s="572">
        <f t="shared" si="541"/>
        <v>-2.6445380894121361E-2</v>
      </c>
      <c r="CH111" s="197">
        <f t="shared" si="541"/>
        <v>-4.5452958924972149E-2</v>
      </c>
      <c r="CI111" s="197">
        <f t="shared" si="541"/>
        <v>-2.2728817499672448E-2</v>
      </c>
      <c r="CJ111" s="197">
        <f t="shared" si="541"/>
        <v>-4.5025987330663986E-2</v>
      </c>
      <c r="CK111" s="572">
        <f t="shared" si="541"/>
        <v>-9.8959888236403899E-4</v>
      </c>
      <c r="CL111" s="197">
        <f t="shared" si="541"/>
        <v>-4.6649135973479888E-2</v>
      </c>
      <c r="CM111" s="197">
        <f t="shared" si="541"/>
        <v>-2.3855662893318093E-2</v>
      </c>
      <c r="CN111" s="197">
        <f t="shared" si="541"/>
        <v>-4.5819655118883584E-2</v>
      </c>
      <c r="CO111" s="572">
        <f t="shared" si="541"/>
        <v>-2.1376433851240523E-3</v>
      </c>
      <c r="CP111" s="197">
        <f t="shared" si="541"/>
        <v>-1.9864045818386106E-2</v>
      </c>
      <c r="CQ111" s="197">
        <f t="shared" si="541"/>
        <v>-9.8087648154816902E-3</v>
      </c>
      <c r="CR111" s="197">
        <f t="shared" si="541"/>
        <v>9.4682725927046473E-3</v>
      </c>
      <c r="CS111" s="572">
        <f t="shared" si="541"/>
        <v>-3.7656357083589331E-2</v>
      </c>
      <c r="CT111" s="197">
        <f t="shared" si="541"/>
        <v>-3.1190284419833875E-2</v>
      </c>
      <c r="CU111" s="197">
        <f t="shared" si="541"/>
        <v>-3.3497106109324756E-2</v>
      </c>
      <c r="CV111" s="197">
        <f t="shared" si="541"/>
        <v>1.8202764976958524E-2</v>
      </c>
      <c r="CW111" s="572">
        <f t="shared" si="541"/>
        <v>1.5616685639941454E-2</v>
      </c>
      <c r="CX111" s="197">
        <f t="shared" si="541"/>
        <v>1.6474746176583987E-3</v>
      </c>
      <c r="CY111" s="197">
        <f t="shared" si="541"/>
        <v>2.4978246539222149E-2</v>
      </c>
      <c r="CZ111" s="197">
        <f t="shared" si="541"/>
        <v>-5.7616366366366363E-3</v>
      </c>
      <c r="DA111" s="572">
        <f t="shared" si="541"/>
        <v>-3.5342915649365994E-2</v>
      </c>
      <c r="DB111" s="197">
        <f t="shared" si="541"/>
        <v>-2.1386185044359948E-2</v>
      </c>
      <c r="DC111" s="197">
        <f t="shared" si="541"/>
        <v>-1.2336633663366334E-2</v>
      </c>
      <c r="DD111" s="197">
        <f t="shared" ref="DD111:DI111" si="542">+DD137</f>
        <v>-3.1800868974042051E-3</v>
      </c>
      <c r="DE111" s="572">
        <f t="shared" si="542"/>
        <v>-3.604545454545454E-2</v>
      </c>
      <c r="DF111" s="208">
        <f t="shared" si="542"/>
        <v>-9.9641812492016809E-3</v>
      </c>
      <c r="DG111" s="208">
        <f t="shared" si="542"/>
        <v>2.0928870072252498E-2</v>
      </c>
      <c r="DH111" s="208">
        <f t="shared" si="542"/>
        <v>2.0981498001831047E-2</v>
      </c>
      <c r="DI111" s="572">
        <f t="shared" si="542"/>
        <v>5.7049992502836759E-2</v>
      </c>
      <c r="DJ111" s="2704">
        <f t="shared" ref="DJ111:DM111" si="543">CHOOSE(scenario,DJ112,DJ113,DJ114)</f>
        <v>0.02</v>
      </c>
      <c r="DK111" s="1556">
        <f t="shared" si="543"/>
        <v>5.0000000000000001E-3</v>
      </c>
      <c r="DL111" s="1556">
        <f t="shared" si="543"/>
        <v>-0.01</v>
      </c>
      <c r="DM111" s="1551">
        <f t="shared" si="543"/>
        <v>-0.05</v>
      </c>
      <c r="DN111" s="221"/>
      <c r="DO111" s="487"/>
      <c r="DP111" s="3"/>
      <c r="DQ111" s="3"/>
      <c r="DR111" s="3"/>
      <c r="DS111" s="3"/>
      <c r="DT111" s="3"/>
      <c r="DU111" s="3"/>
      <c r="DV111" s="3"/>
      <c r="DW111" s="3"/>
      <c r="DX111" s="219">
        <v>0.26900000000000002</v>
      </c>
      <c r="DY111" s="219">
        <v>0.19900000000000001</v>
      </c>
      <c r="DZ111" s="219">
        <v>5.5E-2</v>
      </c>
      <c r="EA111" s="219">
        <v>-4.7E-2</v>
      </c>
      <c r="EB111" s="219">
        <v>0.02</v>
      </c>
      <c r="EC111" s="197">
        <f>SUMPRODUCT(V111:Y111,V147:Y147)/EC147</f>
        <v>0.13549656162770154</v>
      </c>
      <c r="ED111" s="219">
        <v>0.111</v>
      </c>
      <c r="EE111" s="219">
        <v>4.9000000000000002E-2</v>
      </c>
      <c r="EF111" s="197">
        <f>SUMPRODUCT(AH111:AK111,AH147:AK147)/EF147</f>
        <v>1.9413664884963978E-2</v>
      </c>
      <c r="EG111" s="197">
        <f>SUMPRODUCT(AL111:AO111,AL147:AO147)/EG147</f>
        <v>2.5348368720870013E-2</v>
      </c>
      <c r="EH111" s="219">
        <f>SUMPRODUCT(AP111:AS111,AP147:AS147)/EH147</f>
        <v>7.7525984251968494E-2</v>
      </c>
      <c r="EI111" s="197">
        <f>SUMPRODUCT(AT111:AW111,AT147:AW147)/EI147</f>
        <v>4.4389665258368537E-2</v>
      </c>
      <c r="EJ111" s="197">
        <f t="shared" ref="EJ111:EO111" si="544">EJ394</f>
        <v>5.0999999999999997E-2</v>
      </c>
      <c r="EK111" s="197">
        <f t="shared" si="544"/>
        <v>4.1000000000000002E-2</v>
      </c>
      <c r="EL111" s="197">
        <f t="shared" si="544"/>
        <v>1.9E-2</v>
      </c>
      <c r="EM111" s="197">
        <f t="shared" si="544"/>
        <v>-1.2999999999999999E-2</v>
      </c>
      <c r="EN111" s="197">
        <f t="shared" si="544"/>
        <v>1.7000000000000001E-2</v>
      </c>
      <c r="EO111" s="197">
        <f t="shared" si="544"/>
        <v>-0.03</v>
      </c>
      <c r="EP111" s="197">
        <f>(BV110*BV111+BW110*BW111+BX110*BX111+BY110*BY111)/EP110</f>
        <v>-2.5075394514202581E-2</v>
      </c>
      <c r="EQ111" s="197">
        <f>EQ394</f>
        <v>-1.7000000000000001E-2</v>
      </c>
      <c r="ER111" s="197">
        <f>(CD110*CD111+CE110*CE111+CF110*CF111+CG110*CG111)/ER110</f>
        <v>-3.0223088317305569E-2</v>
      </c>
      <c r="ES111" s="197">
        <f>ES394</f>
        <v>-1.7000000000000001E-2</v>
      </c>
      <c r="ET111" s="197">
        <f>ET394</f>
        <v>-1.7000000000000001E-2</v>
      </c>
      <c r="EU111" s="197">
        <f>(CP110*CP111+CQ110*CQ111+CR110*CR111+CS110*CS111)/EU110</f>
        <v>-1.7068735238266599E-2</v>
      </c>
      <c r="EV111" s="197">
        <f>(CU110*CU111+CV110*CV111+CW110*CW111+CT110*CT111)/EV110</f>
        <v>-4.7750125901895573E-3</v>
      </c>
      <c r="EW111" s="197">
        <f>(CZ110*CZ111+DA110*DA111+CX110*CX111+CY110*CY111)/EW110</f>
        <v>-7.0043028279363562E-3</v>
      </c>
      <c r="EX111" s="197">
        <f>(DC110*DC111+DB110*DB111+DE110*DE111+DD110*DD111)/EX110</f>
        <v>-1.9845868227096122E-2</v>
      </c>
      <c r="EY111" s="197">
        <f>(DG110*DG111+DF110*DF111+DI110*DI111+DH110*DH111)/EY110</f>
        <v>2.6228736503234144E-2</v>
      </c>
      <c r="EZ111" s="1713">
        <f>(DK110*DK111+DJ110*DJ111+DM110*DM111+DL110*DL111)/EZ110</f>
        <v>-1.342633486691455E-2</v>
      </c>
      <c r="FA111" s="1605">
        <f t="shared" ref="FA111:FF111" si="545">CHOOSE(scenario,FA112,FA113,FA114)</f>
        <v>-0.01</v>
      </c>
      <c r="FB111" s="1605">
        <f t="shared" si="545"/>
        <v>-5.0000000000000001E-3</v>
      </c>
      <c r="FC111" s="1605">
        <f t="shared" si="545"/>
        <v>0</v>
      </c>
      <c r="FD111" s="1605">
        <f t="shared" si="545"/>
        <v>5.0000000000000001E-3</v>
      </c>
      <c r="FE111" s="1605">
        <f t="shared" si="545"/>
        <v>5.0000000000000001E-3</v>
      </c>
      <c r="FF111" s="1605">
        <f t="shared" si="545"/>
        <v>5.0000000000000001E-3</v>
      </c>
      <c r="FG111" s="1605">
        <f>CHOOSE(scenario,FG112,FG113,FG114)</f>
        <v>5.0000000000000001E-3</v>
      </c>
      <c r="FH111" s="1605">
        <f>CHOOSE(scenario,FH112,FH113,FH114)</f>
        <v>5.0000000000000001E-3</v>
      </c>
      <c r="FI111" s="757"/>
      <c r="FJ111"/>
      <c r="FK111"/>
      <c r="FL111"/>
      <c r="FM111"/>
      <c r="FN111"/>
      <c r="FO111"/>
      <c r="FP111" s="3"/>
      <c r="FS111" s="221"/>
      <c r="FT111" s="221"/>
      <c r="FU111"/>
      <c r="FV111"/>
      <c r="FW111" s="1605"/>
      <c r="FX111" s="1605"/>
      <c r="FY111" s="1605"/>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row>
    <row r="112" spans="1:260" s="4" customFormat="1" outlineLevel="1" x14ac:dyDescent="0.2">
      <c r="A112" s="287" t="s">
        <v>593</v>
      </c>
      <c r="B112" s="219"/>
      <c r="C112" s="219"/>
      <c r="D112" s="219"/>
      <c r="E112" s="550"/>
      <c r="F112" s="219"/>
      <c r="G112" s="219"/>
      <c r="H112" s="219"/>
      <c r="I112" s="550"/>
      <c r="J112" s="219"/>
      <c r="K112" s="219"/>
      <c r="L112" s="219"/>
      <c r="M112" s="550"/>
      <c r="N112" s="219"/>
      <c r="O112" s="219"/>
      <c r="P112" s="219"/>
      <c r="Q112" s="550"/>
      <c r="R112" s="219"/>
      <c r="S112" s="219"/>
      <c r="T112" s="219"/>
      <c r="U112" s="550"/>
      <c r="V112" s="219"/>
      <c r="W112" s="219"/>
      <c r="X112" s="219"/>
      <c r="Y112" s="550"/>
      <c r="Z112" s="219"/>
      <c r="AA112" s="219"/>
      <c r="AB112" s="219"/>
      <c r="AC112" s="550"/>
      <c r="AD112" s="219"/>
      <c r="AE112" s="219"/>
      <c r="AF112" s="219"/>
      <c r="AG112" s="550"/>
      <c r="AH112" s="219"/>
      <c r="AI112" s="219"/>
      <c r="AJ112" s="219"/>
      <c r="AK112" s="550"/>
      <c r="AL112" s="219"/>
      <c r="AM112" s="219"/>
      <c r="AN112" s="219"/>
      <c r="AO112" s="550"/>
      <c r="AP112" s="219"/>
      <c r="AQ112" s="219"/>
      <c r="AR112" s="219"/>
      <c r="AS112" s="550"/>
      <c r="AT112" s="219"/>
      <c r="AU112" s="219"/>
      <c r="AV112" s="219"/>
      <c r="AW112" s="550"/>
      <c r="AX112" s="197"/>
      <c r="AY112" s="197"/>
      <c r="AZ112" s="197"/>
      <c r="BA112" s="572"/>
      <c r="BB112" s="197"/>
      <c r="BC112" s="197"/>
      <c r="BD112" s="197"/>
      <c r="BE112" s="572"/>
      <c r="BF112" s="197"/>
      <c r="BG112" s="197"/>
      <c r="BH112" s="197"/>
      <c r="BI112" s="572"/>
      <c r="BJ112" s="197"/>
      <c r="BK112" s="197"/>
      <c r="BL112" s="197"/>
      <c r="BM112" s="572"/>
      <c r="BN112" s="197"/>
      <c r="BO112" s="197"/>
      <c r="BP112" s="197"/>
      <c r="BQ112" s="572"/>
      <c r="BR112" s="197"/>
      <c r="BS112" s="197"/>
      <c r="BT112" s="197"/>
      <c r="BU112" s="572"/>
      <c r="BV112" s="197"/>
      <c r="BW112" s="197"/>
      <c r="BX112" s="197"/>
      <c r="BY112" s="572"/>
      <c r="BZ112" s="197"/>
      <c r="CA112" s="197"/>
      <c r="CB112" s="197"/>
      <c r="CC112" s="572"/>
      <c r="CD112" s="197"/>
      <c r="CE112" s="197"/>
      <c r="CF112" s="197"/>
      <c r="CG112" s="572"/>
      <c r="CH112" s="197"/>
      <c r="CI112" s="197"/>
      <c r="CJ112" s="197"/>
      <c r="CK112" s="572"/>
      <c r="CL112" s="197"/>
      <c r="CM112" s="197"/>
      <c r="CN112" s="197"/>
      <c r="CO112" s="572"/>
      <c r="CP112" s="197"/>
      <c r="CQ112" s="197"/>
      <c r="CR112" s="197"/>
      <c r="CS112" s="572"/>
      <c r="CT112" s="70"/>
      <c r="CU112" s="70"/>
      <c r="CV112" s="70"/>
      <c r="CW112" s="487"/>
      <c r="CX112" s="70"/>
      <c r="CY112" s="70"/>
      <c r="CZ112" s="70"/>
      <c r="DA112" s="533"/>
      <c r="DB112" s="70"/>
      <c r="DC112" s="70"/>
      <c r="DD112" s="70"/>
      <c r="DE112" s="487"/>
      <c r="DF112" s="70"/>
      <c r="DG112" s="70"/>
      <c r="DH112" s="70"/>
      <c r="DI112" s="487"/>
      <c r="DJ112" s="1673">
        <f t="shared" ref="DJ112:DM112" si="546">DJ113+1%</f>
        <v>0.03</v>
      </c>
      <c r="DK112" s="70">
        <f t="shared" si="546"/>
        <v>1.4999999999999999E-2</v>
      </c>
      <c r="DL112" s="70">
        <f t="shared" si="546"/>
        <v>0</v>
      </c>
      <c r="DM112" s="487">
        <f t="shared" si="546"/>
        <v>-0.04</v>
      </c>
      <c r="DN112" s="221"/>
      <c r="DO112" s="487"/>
      <c r="DP112" s="3"/>
      <c r="DQ112" s="3"/>
      <c r="DR112" s="3"/>
      <c r="DS112" s="3"/>
      <c r="DT112" s="3"/>
      <c r="DU112" s="3"/>
      <c r="DV112" s="3"/>
      <c r="DW112" s="3"/>
      <c r="DX112" s="220"/>
      <c r="DY112" s="220"/>
      <c r="DZ112" s="220"/>
      <c r="EA112" s="220"/>
      <c r="EB112" s="220"/>
      <c r="EC112" s="197"/>
      <c r="ED112" s="220"/>
      <c r="EE112" s="220"/>
      <c r="EF112" s="197"/>
      <c r="EG112" s="197"/>
      <c r="EH112" s="219"/>
      <c r="EI112" s="197"/>
      <c r="EJ112" s="289"/>
      <c r="EK112" s="289"/>
      <c r="EL112" s="289"/>
      <c r="EM112" s="289"/>
      <c r="EN112" s="289"/>
      <c r="EO112" s="289"/>
      <c r="EP112" s="197"/>
      <c r="EQ112" s="289"/>
      <c r="ER112" s="197"/>
      <c r="ES112" s="289"/>
      <c r="ET112" s="289"/>
      <c r="EU112" s="197"/>
      <c r="EV112" s="197"/>
      <c r="EW112" s="197"/>
      <c r="EX112" s="197"/>
      <c r="EY112" s="197"/>
      <c r="EZ112" s="1713"/>
      <c r="FA112" s="70">
        <f t="shared" ref="FA112:FH112" si="547">FA113+1%</f>
        <v>0</v>
      </c>
      <c r="FB112" s="70">
        <f t="shared" si="547"/>
        <v>5.0000000000000001E-3</v>
      </c>
      <c r="FC112" s="70">
        <f t="shared" si="547"/>
        <v>0.01</v>
      </c>
      <c r="FD112" s="70">
        <f t="shared" si="547"/>
        <v>1.4999999999999999E-2</v>
      </c>
      <c r="FE112" s="70">
        <f t="shared" si="547"/>
        <v>1.4999999999999999E-2</v>
      </c>
      <c r="FF112" s="70">
        <f t="shared" si="547"/>
        <v>1.4999999999999999E-2</v>
      </c>
      <c r="FG112" s="70">
        <f t="shared" si="547"/>
        <v>1.4999999999999999E-2</v>
      </c>
      <c r="FH112" s="70">
        <f t="shared" si="547"/>
        <v>1.4999999999999999E-2</v>
      </c>
      <c r="FI112" s="580"/>
      <c r="FJ112"/>
      <c r="FK112"/>
      <c r="FL112"/>
      <c r="FM112"/>
      <c r="FN112"/>
      <c r="FO112"/>
      <c r="FP112" s="3"/>
      <c r="FS112" s="70"/>
      <c r="FT112" s="70"/>
      <c r="FU112"/>
      <c r="FV112"/>
      <c r="FW112" s="70"/>
      <c r="FX112" s="70"/>
      <c r="FY112" s="70"/>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row>
    <row r="113" spans="1:260" s="4" customFormat="1" outlineLevel="1" x14ac:dyDescent="0.2">
      <c r="A113" s="287" t="s">
        <v>594</v>
      </c>
      <c r="B113" s="219"/>
      <c r="C113" s="219"/>
      <c r="D113" s="219"/>
      <c r="E113" s="550"/>
      <c r="F113" s="219"/>
      <c r="G113" s="219"/>
      <c r="H113" s="219"/>
      <c r="I113" s="550"/>
      <c r="J113" s="219"/>
      <c r="K113" s="219"/>
      <c r="L113" s="219"/>
      <c r="M113" s="550"/>
      <c r="N113" s="219"/>
      <c r="O113" s="219"/>
      <c r="P113" s="219"/>
      <c r="Q113" s="550"/>
      <c r="R113" s="219"/>
      <c r="S113" s="219"/>
      <c r="T113" s="219"/>
      <c r="U113" s="550"/>
      <c r="V113" s="219"/>
      <c r="W113" s="219"/>
      <c r="X113" s="219"/>
      <c r="Y113" s="550"/>
      <c r="Z113" s="219"/>
      <c r="AA113" s="219"/>
      <c r="AB113" s="219"/>
      <c r="AC113" s="550"/>
      <c r="AD113" s="219"/>
      <c r="AE113" s="219"/>
      <c r="AF113" s="219"/>
      <c r="AG113" s="550"/>
      <c r="AH113" s="219"/>
      <c r="AI113" s="219"/>
      <c r="AJ113" s="219"/>
      <c r="AK113" s="550"/>
      <c r="AL113" s="219"/>
      <c r="AM113" s="219"/>
      <c r="AN113" s="219"/>
      <c r="AO113" s="550"/>
      <c r="AP113" s="219"/>
      <c r="AQ113" s="219"/>
      <c r="AR113" s="219"/>
      <c r="AS113" s="550"/>
      <c r="AT113" s="219"/>
      <c r="AU113" s="219"/>
      <c r="AV113" s="219"/>
      <c r="AW113" s="550"/>
      <c r="AX113" s="197"/>
      <c r="AY113" s="197"/>
      <c r="AZ113" s="197"/>
      <c r="BA113" s="572"/>
      <c r="BB113" s="197"/>
      <c r="BC113" s="197"/>
      <c r="BD113" s="197"/>
      <c r="BE113" s="572"/>
      <c r="BF113" s="197"/>
      <c r="BG113" s="197"/>
      <c r="BH113" s="197"/>
      <c r="BI113" s="572"/>
      <c r="BJ113" s="197"/>
      <c r="BK113" s="197"/>
      <c r="BL113" s="197"/>
      <c r="BM113" s="572"/>
      <c r="BN113" s="197"/>
      <c r="BO113" s="197"/>
      <c r="BP113" s="197"/>
      <c r="BQ113" s="572"/>
      <c r="BR113" s="197"/>
      <c r="BS113" s="197"/>
      <c r="BT113" s="197"/>
      <c r="BU113" s="572"/>
      <c r="BV113" s="197"/>
      <c r="BW113" s="197"/>
      <c r="BX113" s="197"/>
      <c r="BY113" s="572"/>
      <c r="BZ113" s="197"/>
      <c r="CA113" s="197"/>
      <c r="CB113" s="197"/>
      <c r="CC113" s="572"/>
      <c r="CD113" s="197"/>
      <c r="CE113" s="197"/>
      <c r="CF113" s="197"/>
      <c r="CG113" s="572"/>
      <c r="CH113" s="197"/>
      <c r="CI113" s="197"/>
      <c r="CJ113" s="197"/>
      <c r="CK113" s="572"/>
      <c r="CL113" s="197"/>
      <c r="CM113" s="197"/>
      <c r="CN113" s="197"/>
      <c r="CO113" s="572"/>
      <c r="CP113" s="197"/>
      <c r="CQ113" s="197"/>
      <c r="CR113" s="197"/>
      <c r="CS113" s="572"/>
      <c r="CT113" s="70"/>
      <c r="CU113" s="170"/>
      <c r="CV113" s="170"/>
      <c r="CW113" s="525"/>
      <c r="CX113" s="170"/>
      <c r="CY113" s="170"/>
      <c r="CZ113" s="170"/>
      <c r="DA113" s="525"/>
      <c r="DB113" s="1533"/>
      <c r="DC113" s="170"/>
      <c r="DD113" s="39"/>
      <c r="DE113" s="2190"/>
      <c r="DF113" s="1610"/>
      <c r="DG113" s="1610"/>
      <c r="DH113" s="1610"/>
      <c r="DI113" s="2190"/>
      <c r="DJ113" s="2383">
        <v>0.02</v>
      </c>
      <c r="DK113" s="1555">
        <v>5.0000000000000001E-3</v>
      </c>
      <c r="DL113" s="1555">
        <v>-0.01</v>
      </c>
      <c r="DM113" s="1553">
        <v>-0.05</v>
      </c>
      <c r="DN113" s="221"/>
      <c r="DO113" s="487"/>
      <c r="DP113" s="3"/>
      <c r="DQ113" s="3"/>
      <c r="DR113" s="3"/>
      <c r="DS113" s="3"/>
      <c r="DT113" s="3"/>
      <c r="DU113" s="3"/>
      <c r="DV113" s="3"/>
      <c r="DW113" s="3"/>
      <c r="DX113" s="220"/>
      <c r="DY113" s="220"/>
      <c r="DZ113" s="220"/>
      <c r="EA113" s="220"/>
      <c r="EB113" s="220"/>
      <c r="EC113" s="197"/>
      <c r="ED113" s="220"/>
      <c r="EE113" s="220"/>
      <c r="EF113" s="197"/>
      <c r="EG113" s="197"/>
      <c r="EH113" s="219"/>
      <c r="EI113" s="197"/>
      <c r="EJ113" s="289"/>
      <c r="EK113" s="289"/>
      <c r="EL113" s="289"/>
      <c r="EM113" s="289"/>
      <c r="EN113" s="289"/>
      <c r="EO113" s="289"/>
      <c r="EP113" s="197"/>
      <c r="EQ113" s="289"/>
      <c r="ER113" s="197"/>
      <c r="ES113" s="289"/>
      <c r="ET113" s="289"/>
      <c r="EU113" s="197"/>
      <c r="EV113" s="197"/>
      <c r="EW113" s="197"/>
      <c r="EX113" s="197"/>
      <c r="EY113" s="197"/>
      <c r="EZ113" s="1713"/>
      <c r="FA113" s="1606">
        <v>-0.01</v>
      </c>
      <c r="FB113" s="1606">
        <v>-5.0000000000000001E-3</v>
      </c>
      <c r="FC113" s="1606">
        <v>0</v>
      </c>
      <c r="FD113" s="1606">
        <v>5.0000000000000001E-3</v>
      </c>
      <c r="FE113" s="1606">
        <v>5.0000000000000001E-3</v>
      </c>
      <c r="FF113" s="1606">
        <v>5.0000000000000001E-3</v>
      </c>
      <c r="FG113" s="1606">
        <v>5.0000000000000001E-3</v>
      </c>
      <c r="FH113" s="1606">
        <v>5.0000000000000001E-3</v>
      </c>
      <c r="FI113" s="589"/>
      <c r="FJ113"/>
      <c r="FK113"/>
      <c r="FL113"/>
      <c r="FM113"/>
      <c r="FN113"/>
      <c r="FO113"/>
      <c r="FP113" s="3"/>
      <c r="FS113" s="170"/>
      <c r="FT113" s="170"/>
      <c r="FU113"/>
      <c r="FV113"/>
      <c r="FW113" s="1606"/>
      <c r="FX113" s="1606"/>
      <c r="FY113" s="1606"/>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row>
    <row r="114" spans="1:260" s="4" customFormat="1" outlineLevel="1" x14ac:dyDescent="0.2">
      <c r="A114" s="287" t="s">
        <v>471</v>
      </c>
      <c r="B114" s="219"/>
      <c r="C114" s="219"/>
      <c r="D114" s="219"/>
      <c r="E114" s="550"/>
      <c r="F114" s="219"/>
      <c r="G114" s="219"/>
      <c r="H114" s="219"/>
      <c r="I114" s="550"/>
      <c r="J114" s="219"/>
      <c r="K114" s="219"/>
      <c r="L114" s="219"/>
      <c r="M114" s="550"/>
      <c r="N114" s="219"/>
      <c r="O114" s="219"/>
      <c r="P114" s="219"/>
      <c r="Q114" s="550"/>
      <c r="R114" s="219"/>
      <c r="S114" s="219"/>
      <c r="T114" s="219"/>
      <c r="U114" s="550"/>
      <c r="V114" s="219"/>
      <c r="W114" s="219"/>
      <c r="X114" s="219"/>
      <c r="Y114" s="550"/>
      <c r="Z114" s="219"/>
      <c r="AA114" s="219"/>
      <c r="AB114" s="219"/>
      <c r="AC114" s="550"/>
      <c r="AD114" s="219"/>
      <c r="AE114" s="219"/>
      <c r="AF114" s="219"/>
      <c r="AG114" s="550"/>
      <c r="AH114" s="219"/>
      <c r="AI114" s="219"/>
      <c r="AJ114" s="219"/>
      <c r="AK114" s="550"/>
      <c r="AL114" s="219"/>
      <c r="AM114" s="219"/>
      <c r="AN114" s="219"/>
      <c r="AO114" s="550"/>
      <c r="AP114" s="219"/>
      <c r="AQ114" s="219"/>
      <c r="AR114" s="219"/>
      <c r="AS114" s="550"/>
      <c r="AT114" s="219"/>
      <c r="AU114" s="219"/>
      <c r="AV114" s="219"/>
      <c r="AW114" s="550"/>
      <c r="AX114" s="197"/>
      <c r="AY114" s="197"/>
      <c r="AZ114" s="197"/>
      <c r="BA114" s="572"/>
      <c r="BB114" s="197"/>
      <c r="BC114" s="197"/>
      <c r="BD114" s="197"/>
      <c r="BE114" s="572"/>
      <c r="BF114" s="197"/>
      <c r="BG114" s="197"/>
      <c r="BH114" s="197"/>
      <c r="BI114" s="572"/>
      <c r="BJ114" s="197"/>
      <c r="BK114" s="197"/>
      <c r="BL114" s="197"/>
      <c r="BM114" s="572"/>
      <c r="BN114" s="197"/>
      <c r="BO114" s="197"/>
      <c r="BP114" s="197"/>
      <c r="BQ114" s="572"/>
      <c r="BR114" s="197"/>
      <c r="BS114" s="197"/>
      <c r="BT114" s="197"/>
      <c r="BU114" s="572"/>
      <c r="BV114" s="197"/>
      <c r="BW114" s="197"/>
      <c r="BX114" s="197"/>
      <c r="BY114" s="572"/>
      <c r="BZ114" s="197"/>
      <c r="CA114" s="197"/>
      <c r="CB114" s="197"/>
      <c r="CC114" s="572"/>
      <c r="CD114" s="197"/>
      <c r="CE114" s="197"/>
      <c r="CF114" s="197"/>
      <c r="CG114" s="572"/>
      <c r="CH114" s="197"/>
      <c r="CI114" s="197"/>
      <c r="CJ114" s="197"/>
      <c r="CK114" s="572"/>
      <c r="CL114" s="197"/>
      <c r="CM114" s="197"/>
      <c r="CN114" s="197"/>
      <c r="CO114" s="572"/>
      <c r="CP114" s="197"/>
      <c r="CQ114" s="197"/>
      <c r="CR114" s="197"/>
      <c r="CS114" s="572"/>
      <c r="CT114" s="70"/>
      <c r="CU114" s="70"/>
      <c r="CV114" s="70"/>
      <c r="CW114" s="487"/>
      <c r="CX114" s="70"/>
      <c r="CY114" s="70"/>
      <c r="CZ114" s="70"/>
      <c r="DA114" s="487"/>
      <c r="DB114" s="1532"/>
      <c r="DC114" s="70"/>
      <c r="DD114" s="70"/>
      <c r="DE114" s="487"/>
      <c r="DF114" s="70"/>
      <c r="DG114" s="70"/>
      <c r="DH114" s="70"/>
      <c r="DI114" s="487"/>
      <c r="DJ114" s="1673">
        <f t="shared" ref="DJ114:DM114" si="548">DJ113-1%</f>
        <v>0.01</v>
      </c>
      <c r="DK114" s="70">
        <f t="shared" si="548"/>
        <v>-5.0000000000000001E-3</v>
      </c>
      <c r="DL114" s="70">
        <f t="shared" si="548"/>
        <v>-0.02</v>
      </c>
      <c r="DM114" s="487">
        <f t="shared" si="548"/>
        <v>-6.0000000000000005E-2</v>
      </c>
      <c r="DN114" s="221"/>
      <c r="DO114" s="487"/>
      <c r="DP114" s="3"/>
      <c r="DQ114" s="3"/>
      <c r="DR114" s="3"/>
      <c r="DS114" s="3"/>
      <c r="DT114" s="3"/>
      <c r="DU114" s="3"/>
      <c r="DV114" s="3"/>
      <c r="DW114" s="3"/>
      <c r="DX114" s="220"/>
      <c r="DY114" s="220"/>
      <c r="DZ114" s="220"/>
      <c r="EA114" s="220"/>
      <c r="EB114" s="220"/>
      <c r="EC114" s="197"/>
      <c r="ED114" s="220"/>
      <c r="EE114" s="220"/>
      <c r="EF114" s="197"/>
      <c r="EG114" s="197"/>
      <c r="EH114" s="219"/>
      <c r="EI114" s="197"/>
      <c r="EJ114" s="289"/>
      <c r="EK114" s="289"/>
      <c r="EL114" s="289"/>
      <c r="EM114" s="289"/>
      <c r="EN114" s="289"/>
      <c r="EO114" s="289"/>
      <c r="EP114" s="197"/>
      <c r="EQ114" s="289"/>
      <c r="ER114" s="197"/>
      <c r="ES114" s="289"/>
      <c r="ET114" s="289"/>
      <c r="EU114" s="197"/>
      <c r="EV114" s="197"/>
      <c r="EW114" s="197"/>
      <c r="EX114" s="197"/>
      <c r="EY114" s="197"/>
      <c r="EZ114" s="1713"/>
      <c r="FA114" s="70">
        <f t="shared" ref="FA114:FE114" si="549">FA113-1%</f>
        <v>-0.02</v>
      </c>
      <c r="FB114" s="70">
        <f t="shared" si="549"/>
        <v>-1.4999999999999999E-2</v>
      </c>
      <c r="FC114" s="70">
        <f t="shared" si="549"/>
        <v>-0.01</v>
      </c>
      <c r="FD114" s="70">
        <f t="shared" si="549"/>
        <v>-5.0000000000000001E-3</v>
      </c>
      <c r="FE114" s="70">
        <f t="shared" si="549"/>
        <v>-5.0000000000000001E-3</v>
      </c>
      <c r="FF114" s="70">
        <f>FF113-1%</f>
        <v>-5.0000000000000001E-3</v>
      </c>
      <c r="FG114" s="70">
        <f>FG113-1%</f>
        <v>-5.0000000000000001E-3</v>
      </c>
      <c r="FH114" s="70">
        <f>FH113-1%</f>
        <v>-5.0000000000000001E-3</v>
      </c>
      <c r="FI114" s="580"/>
      <c r="FJ114"/>
      <c r="FK114"/>
      <c r="FL114"/>
      <c r="FM114"/>
      <c r="FN114"/>
      <c r="FO114"/>
      <c r="FP114" s="3"/>
      <c r="FS114" s="70"/>
      <c r="FT114" s="70"/>
      <c r="FU114"/>
      <c r="FV114"/>
      <c r="FW114" s="70"/>
      <c r="FX114" s="70"/>
      <c r="FY114" s="70"/>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row>
    <row r="115" spans="1:260" s="4" customFormat="1" outlineLevel="1" x14ac:dyDescent="0.2">
      <c r="A115" s="287"/>
      <c r="B115" s="219"/>
      <c r="C115" s="219"/>
      <c r="D115" s="219"/>
      <c r="E115" s="550"/>
      <c r="F115" s="219"/>
      <c r="G115" s="219"/>
      <c r="H115" s="219"/>
      <c r="I115" s="550"/>
      <c r="J115" s="219"/>
      <c r="K115" s="219"/>
      <c r="L115" s="219"/>
      <c r="M115" s="550"/>
      <c r="N115" s="219"/>
      <c r="O115" s="219"/>
      <c r="P115" s="219"/>
      <c r="Q115" s="550"/>
      <c r="R115" s="219"/>
      <c r="S115" s="219"/>
      <c r="T115" s="219"/>
      <c r="U115" s="550"/>
      <c r="V115" s="219"/>
      <c r="W115" s="219"/>
      <c r="X115" s="219"/>
      <c r="Y115" s="550"/>
      <c r="Z115" s="219"/>
      <c r="AA115" s="219"/>
      <c r="AB115" s="219"/>
      <c r="AC115" s="550"/>
      <c r="AD115" s="219"/>
      <c r="AE115" s="219"/>
      <c r="AF115" s="219"/>
      <c r="AG115" s="550"/>
      <c r="AH115" s="219"/>
      <c r="AI115" s="219"/>
      <c r="AJ115" s="219"/>
      <c r="AK115" s="550"/>
      <c r="AL115" s="219"/>
      <c r="AM115" s="219"/>
      <c r="AN115" s="219"/>
      <c r="AO115" s="550"/>
      <c r="AP115" s="219"/>
      <c r="AQ115" s="219"/>
      <c r="AR115" s="219"/>
      <c r="AS115" s="550"/>
      <c r="AT115" s="219"/>
      <c r="AU115" s="219"/>
      <c r="AV115" s="219"/>
      <c r="AW115" s="550"/>
      <c r="AX115" s="197"/>
      <c r="AY115" s="197"/>
      <c r="AZ115" s="197"/>
      <c r="BA115" s="572"/>
      <c r="BB115" s="197"/>
      <c r="BC115" s="197"/>
      <c r="BD115" s="197"/>
      <c r="BE115" s="572"/>
      <c r="BF115" s="197"/>
      <c r="BG115" s="197"/>
      <c r="BH115" s="197"/>
      <c r="BI115" s="572"/>
      <c r="BJ115" s="197"/>
      <c r="BK115" s="197"/>
      <c r="BL115" s="197"/>
      <c r="BM115" s="572"/>
      <c r="BN115" s="197"/>
      <c r="BO115" s="197"/>
      <c r="BP115" s="197"/>
      <c r="BQ115" s="572"/>
      <c r="BR115" s="197"/>
      <c r="BS115" s="197"/>
      <c r="BT115" s="197"/>
      <c r="BU115" s="572"/>
      <c r="BV115" s="197"/>
      <c r="BW115" s="197"/>
      <c r="BX115" s="197"/>
      <c r="BY115" s="572"/>
      <c r="BZ115" s="197"/>
      <c r="CA115" s="197"/>
      <c r="CB115" s="197"/>
      <c r="CC115" s="572"/>
      <c r="CD115" s="197"/>
      <c r="CE115" s="197"/>
      <c r="CF115" s="197"/>
      <c r="CG115" s="572"/>
      <c r="CH115" s="197"/>
      <c r="CI115" s="197"/>
      <c r="CJ115" s="197"/>
      <c r="CK115" s="572"/>
      <c r="CL115" s="197"/>
      <c r="CM115" s="197"/>
      <c r="CN115" s="197"/>
      <c r="CO115" s="572"/>
      <c r="CP115" s="197"/>
      <c r="CQ115" s="197"/>
      <c r="CR115" s="197"/>
      <c r="CS115" s="572"/>
      <c r="CT115" s="70"/>
      <c r="CU115" s="70"/>
      <c r="CV115" s="70"/>
      <c r="CW115" s="487"/>
      <c r="CX115" s="70"/>
      <c r="CY115" s="70"/>
      <c r="CZ115" s="70"/>
      <c r="DA115" s="487"/>
      <c r="DB115" s="70"/>
      <c r="DC115" s="70"/>
      <c r="DD115" s="70"/>
      <c r="DE115" s="487"/>
      <c r="DF115" s="70"/>
      <c r="DG115" s="70"/>
      <c r="DH115" s="70"/>
      <c r="DI115" s="487"/>
      <c r="DJ115" s="1673"/>
      <c r="DK115" s="70"/>
      <c r="DL115" s="70"/>
      <c r="DM115" s="487"/>
      <c r="DN115" s="221"/>
      <c r="DO115" s="487"/>
      <c r="DP115" s="3"/>
      <c r="DQ115" s="3"/>
      <c r="DR115" s="3"/>
      <c r="DS115" s="3"/>
      <c r="DT115" s="3"/>
      <c r="DU115" s="3"/>
      <c r="DV115" s="3"/>
      <c r="DW115" s="3"/>
      <c r="DX115" s="220"/>
      <c r="DY115" s="220"/>
      <c r="DZ115" s="220"/>
      <c r="EA115" s="220"/>
      <c r="EB115" s="220"/>
      <c r="EC115" s="197"/>
      <c r="ED115" s="220"/>
      <c r="EE115" s="220"/>
      <c r="EF115" s="197"/>
      <c r="EG115" s="197"/>
      <c r="EH115" s="219"/>
      <c r="EI115" s="197"/>
      <c r="EJ115" s="289"/>
      <c r="EK115" s="289"/>
      <c r="EL115" s="289"/>
      <c r="EM115" s="289"/>
      <c r="EN115" s="289"/>
      <c r="EO115" s="289"/>
      <c r="EP115" s="197"/>
      <c r="EQ115" s="289"/>
      <c r="ER115" s="197"/>
      <c r="ES115" s="289"/>
      <c r="ET115" s="289"/>
      <c r="EU115" s="197"/>
      <c r="EV115" s="197"/>
      <c r="EW115" s="197"/>
      <c r="EX115" s="197"/>
      <c r="EY115" s="197"/>
      <c r="EZ115" s="1713"/>
      <c r="FA115" s="70"/>
      <c r="FB115" s="70"/>
      <c r="FC115" s="70"/>
      <c r="FD115" s="70"/>
      <c r="FE115" s="70"/>
      <c r="FF115" s="70"/>
      <c r="FG115" s="70"/>
      <c r="FH115" s="70"/>
      <c r="FI115" s="580"/>
      <c r="FJ115"/>
      <c r="FK115"/>
      <c r="FL115"/>
      <c r="FM115"/>
      <c r="FN115"/>
      <c r="FO115"/>
      <c r="FP115" s="3"/>
      <c r="FS115" s="70"/>
      <c r="FT115" s="70"/>
      <c r="FU115"/>
      <c r="FV115"/>
      <c r="FW115" s="70"/>
      <c r="FX115" s="70"/>
      <c r="FY115" s="70"/>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row>
    <row r="116" spans="1:260" s="4" customFormat="1" x14ac:dyDescent="0.2">
      <c r="A116" s="1527" t="s">
        <v>641</v>
      </c>
      <c r="B116" s="161"/>
      <c r="C116" s="161"/>
      <c r="D116" s="161"/>
      <c r="E116" s="518"/>
      <c r="F116" s="383" t="s">
        <v>483</v>
      </c>
      <c r="G116" s="383" t="s">
        <v>483</v>
      </c>
      <c r="H116" s="383" t="s">
        <v>483</v>
      </c>
      <c r="I116" s="549" t="s">
        <v>483</v>
      </c>
      <c r="J116" s="161">
        <f t="shared" ref="J116:AO116" si="550">SUM(J111,F111)</f>
        <v>0.432</v>
      </c>
      <c r="K116" s="161">
        <f t="shared" si="550"/>
        <v>0.249</v>
      </c>
      <c r="L116" s="161">
        <f t="shared" si="550"/>
        <v>0.31</v>
      </c>
      <c r="M116" s="518">
        <f t="shared" si="550"/>
        <v>0.15400000000000003</v>
      </c>
      <c r="N116" s="161">
        <f t="shared" si="550"/>
        <v>9.8000000000000004E-2</v>
      </c>
      <c r="O116" s="161">
        <f t="shared" si="550"/>
        <v>0.10600000000000001</v>
      </c>
      <c r="P116" s="161">
        <f t="shared" si="550"/>
        <v>2.8999999999999998E-2</v>
      </c>
      <c r="Q116" s="518">
        <f t="shared" si="550"/>
        <v>-9.8000000000000004E-2</v>
      </c>
      <c r="R116" s="161">
        <f t="shared" si="550"/>
        <v>-4.6000000000000006E-2</v>
      </c>
      <c r="S116" s="161">
        <f t="shared" si="550"/>
        <v>-1.9000000000000003E-2</v>
      </c>
      <c r="T116" s="161">
        <f t="shared" si="550"/>
        <v>-8.5000000000000006E-2</v>
      </c>
      <c r="U116" s="518">
        <f t="shared" si="550"/>
        <v>5.7000000000000009E-2</v>
      </c>
      <c r="V116" s="161">
        <f t="shared" si="550"/>
        <v>7.0999999999999994E-2</v>
      </c>
      <c r="W116" s="161">
        <f t="shared" si="550"/>
        <v>0.123</v>
      </c>
      <c r="X116" s="161">
        <f t="shared" si="550"/>
        <v>0.11799999999999999</v>
      </c>
      <c r="Y116" s="518">
        <f t="shared" si="550"/>
        <v>0.27700000000000002</v>
      </c>
      <c r="Z116" s="161">
        <f t="shared" si="550"/>
        <v>0.28600000000000003</v>
      </c>
      <c r="AA116" s="161">
        <f t="shared" si="550"/>
        <v>0.28999999999999998</v>
      </c>
      <c r="AB116" s="161">
        <f t="shared" si="550"/>
        <v>0.13400000000000001</v>
      </c>
      <c r="AC116" s="518">
        <f t="shared" si="550"/>
        <v>0.218</v>
      </c>
      <c r="AD116" s="161">
        <f t="shared" si="550"/>
        <v>0.22800000000000001</v>
      </c>
      <c r="AE116" s="161">
        <f t="shared" si="550"/>
        <v>0.16200000000000001</v>
      </c>
      <c r="AF116" s="161">
        <f t="shared" si="550"/>
        <v>7.0999999999999994E-2</v>
      </c>
      <c r="AG116" s="518">
        <f t="shared" si="550"/>
        <v>0.128</v>
      </c>
      <c r="AH116" s="161">
        <f t="shared" si="550"/>
        <v>6.4000000000000001E-2</v>
      </c>
      <c r="AI116" s="161">
        <f t="shared" si="550"/>
        <v>7.9000000000000001E-2</v>
      </c>
      <c r="AJ116" s="161">
        <f t="shared" si="550"/>
        <v>7.4999999999999997E-2</v>
      </c>
      <c r="AK116" s="518">
        <f t="shared" si="550"/>
        <v>6.3E-2</v>
      </c>
      <c r="AL116" s="161">
        <f t="shared" si="550"/>
        <v>3.5000000000000003E-2</v>
      </c>
      <c r="AM116" s="161">
        <f t="shared" si="550"/>
        <v>5.5E-2</v>
      </c>
      <c r="AN116" s="161">
        <f t="shared" si="550"/>
        <v>2.3E-2</v>
      </c>
      <c r="AO116" s="518">
        <f t="shared" si="550"/>
        <v>5.7999999999999996E-2</v>
      </c>
      <c r="AP116" s="161">
        <f t="shared" ref="AP116:BU116" si="551">SUM(AP111,AL111)</f>
        <v>8.8999999999999996E-2</v>
      </c>
      <c r="AQ116" s="161">
        <f t="shared" si="551"/>
        <v>0.105</v>
      </c>
      <c r="AR116" s="161">
        <f t="shared" si="551"/>
        <v>9.7000000000000003E-2</v>
      </c>
      <c r="AS116" s="518">
        <f t="shared" si="551"/>
        <v>0.112</v>
      </c>
      <c r="AT116" s="161">
        <f t="shared" si="551"/>
        <v>0.10700000000000001</v>
      </c>
      <c r="AU116" s="161">
        <f t="shared" si="551"/>
        <v>0.122</v>
      </c>
      <c r="AV116" s="161">
        <f t="shared" si="551"/>
        <v>0.12</v>
      </c>
      <c r="AW116" s="518">
        <f t="shared" si="551"/>
        <v>0.13</v>
      </c>
      <c r="AX116" s="161">
        <f t="shared" si="551"/>
        <v>0.129</v>
      </c>
      <c r="AY116" s="161">
        <f t="shared" si="551"/>
        <v>8.199999999999999E-2</v>
      </c>
      <c r="AZ116" s="161">
        <f t="shared" si="551"/>
        <v>6.8000000000000005E-2</v>
      </c>
      <c r="BA116" s="518">
        <f t="shared" si="551"/>
        <v>0.105</v>
      </c>
      <c r="BB116" s="161">
        <f t="shared" si="551"/>
        <v>9.0999999999999998E-2</v>
      </c>
      <c r="BC116" s="161">
        <f t="shared" si="551"/>
        <v>6.8000000000000005E-2</v>
      </c>
      <c r="BD116" s="161">
        <f t="shared" si="551"/>
        <v>7.3999999999999996E-2</v>
      </c>
      <c r="BE116" s="518">
        <f t="shared" si="551"/>
        <v>0.122</v>
      </c>
      <c r="BF116" s="161">
        <f t="shared" si="551"/>
        <v>6.3E-2</v>
      </c>
      <c r="BG116" s="161">
        <f t="shared" si="551"/>
        <v>4.7E-2</v>
      </c>
      <c r="BH116" s="161">
        <f t="shared" si="551"/>
        <v>9.7000000000000003E-2</v>
      </c>
      <c r="BI116" s="518">
        <f t="shared" si="551"/>
        <v>3.9E-2</v>
      </c>
      <c r="BJ116" s="161">
        <f t="shared" si="551"/>
        <v>5.2000000000000005E-2</v>
      </c>
      <c r="BK116" s="161">
        <f t="shared" si="551"/>
        <v>7.0000000000000007E-2</v>
      </c>
      <c r="BL116" s="161">
        <f t="shared" si="551"/>
        <v>-2.0000000000000018E-3</v>
      </c>
      <c r="BM116" s="518">
        <f t="shared" si="551"/>
        <v>-5.7000000000000002E-2</v>
      </c>
      <c r="BN116" s="161">
        <f t="shared" si="551"/>
        <v>-1.3999999999999999E-2</v>
      </c>
      <c r="BO116" s="161">
        <f t="shared" si="551"/>
        <v>2.1999999999999999E-2</v>
      </c>
      <c r="BP116" s="161">
        <f t="shared" si="551"/>
        <v>-1.7000000000000001E-2</v>
      </c>
      <c r="BQ116" s="518">
        <f t="shared" si="551"/>
        <v>2.5999999999999995E-2</v>
      </c>
      <c r="BR116" s="161">
        <f t="shared" si="551"/>
        <v>-3.8684053974269085E-2</v>
      </c>
      <c r="BS116" s="161">
        <f t="shared" si="551"/>
        <v>-5.0576452798485994E-2</v>
      </c>
      <c r="BT116" s="161">
        <f t="shared" si="551"/>
        <v>-6.3992894063793979E-3</v>
      </c>
      <c r="BU116" s="518">
        <f t="shared" si="551"/>
        <v>1.1695679003587832E-2</v>
      </c>
      <c r="BV116" s="161">
        <f>SUM(BV111,BR111)</f>
        <v>-1.848048060503437E-2</v>
      </c>
      <c r="BW116" s="161">
        <f>SUM(BW111,BS111)</f>
        <v>-5.1731330128207353E-2</v>
      </c>
      <c r="BX116" s="161">
        <f>SUM(BX111,BT111)</f>
        <v>-5.0920371068364174E-2</v>
      </c>
      <c r="BY116" s="518">
        <f>SUM(BY111,BU111)</f>
        <v>-0.10037939720799627</v>
      </c>
      <c r="BZ116" s="161">
        <f>SUM(BZ111,BN111)</f>
        <v>-1.3734113842457846E-2</v>
      </c>
      <c r="CA116" s="161">
        <f>SUM(CA111,BO111)</f>
        <v>-3.8277072428346229E-2</v>
      </c>
      <c r="CB116" s="161">
        <f>SUM(CB111,BP111)</f>
        <v>3.9033628659681796E-3</v>
      </c>
      <c r="CC116" s="518">
        <f>SUM(CC111,BQ111)</f>
        <v>1.2202024163090602E-2</v>
      </c>
      <c r="CD116" s="161">
        <f t="shared" ref="CD116:CK116" si="552">SUM(CD111,BZ111)</f>
        <v>-7.1991694405724449E-3</v>
      </c>
      <c r="CE116" s="161">
        <f t="shared" si="552"/>
        <v>-5.35900284642081E-2</v>
      </c>
      <c r="CF116" s="161">
        <f t="shared" si="552"/>
        <v>-4.934917193825044E-2</v>
      </c>
      <c r="CG116" s="518">
        <f t="shared" si="552"/>
        <v>-8.8243356731030759E-2</v>
      </c>
      <c r="CH116" s="161">
        <f t="shared" si="552"/>
        <v>-8.7918014523086757E-2</v>
      </c>
      <c r="CI116" s="161">
        <f t="shared" si="552"/>
        <v>-6.9041773535534312E-2</v>
      </c>
      <c r="CJ116" s="161">
        <f t="shared" si="552"/>
        <v>-5.2278522134882606E-2</v>
      </c>
      <c r="CK116" s="518">
        <f t="shared" si="552"/>
        <v>-2.7434979776485402E-2</v>
      </c>
      <c r="CL116" s="161">
        <f>SUM(CL111,CD111)</f>
        <v>-8.9114191571594489E-2</v>
      </c>
      <c r="CM116" s="161">
        <f>SUM(CM111,CE111)</f>
        <v>-7.0168618929179971E-2</v>
      </c>
      <c r="CN116" s="161">
        <f>SUM(CN111,CF111)</f>
        <v>-5.3072189923102205E-2</v>
      </c>
      <c r="CO116" s="518">
        <f>SUM(CO111,CG111)</f>
        <v>-2.8583024279245414E-2</v>
      </c>
      <c r="CP116" s="70">
        <f>SUM(CP111,CL111)</f>
        <v>-6.6513181791865994E-2</v>
      </c>
      <c r="CQ116" s="70">
        <f>SUM(CQ111,CM111)</f>
        <v>-3.366442770879978E-2</v>
      </c>
      <c r="CR116" s="161">
        <f>SUM(CR111,CJ111)</f>
        <v>-3.5557714737959337E-2</v>
      </c>
      <c r="CS116" s="487">
        <f>SUM(CS111,CO111)</f>
        <v>-3.9794000468713384E-2</v>
      </c>
      <c r="CT116" s="70">
        <f>SUM(CT111,CP111)</f>
        <v>-5.105433023821998E-2</v>
      </c>
      <c r="CU116" s="70">
        <f t="shared" ref="CU116:DB116" si="553">SUM(CU111,CQ111)</f>
        <v>-4.330587092480645E-2</v>
      </c>
      <c r="CV116" s="70">
        <f t="shared" si="553"/>
        <v>2.7671037569663173E-2</v>
      </c>
      <c r="CW116" s="487">
        <f t="shared" si="553"/>
        <v>-2.2039671443647879E-2</v>
      </c>
      <c r="CX116" s="70">
        <f t="shared" si="553"/>
        <v>-2.9542809802175475E-2</v>
      </c>
      <c r="CY116" s="70">
        <f t="shared" si="553"/>
        <v>-8.5188595701026076E-3</v>
      </c>
      <c r="CZ116" s="70">
        <f t="shared" si="553"/>
        <v>1.2441128340321888E-2</v>
      </c>
      <c r="DA116" s="487">
        <f t="shared" si="553"/>
        <v>-1.9726230009424542E-2</v>
      </c>
      <c r="DB116" s="70">
        <f t="shared" si="553"/>
        <v>-1.9738710426701549E-2</v>
      </c>
      <c r="DC116" s="70">
        <f t="shared" ref="DC116:DM116" si="554">SUM(DC111,CY111)</f>
        <v>1.2641612875855815E-2</v>
      </c>
      <c r="DD116" s="70">
        <f t="shared" si="554"/>
        <v>-8.9417235340408414E-3</v>
      </c>
      <c r="DE116" s="487">
        <f t="shared" si="554"/>
        <v>-7.1388370194820527E-2</v>
      </c>
      <c r="DF116" s="70">
        <f t="shared" si="554"/>
        <v>-3.1350366293561631E-2</v>
      </c>
      <c r="DG116" s="70">
        <f t="shared" si="554"/>
        <v>8.5922364088861641E-3</v>
      </c>
      <c r="DH116" s="70">
        <f t="shared" si="554"/>
        <v>1.7801411104426842E-2</v>
      </c>
      <c r="DI116" s="487">
        <f t="shared" si="554"/>
        <v>2.1004537957382219E-2</v>
      </c>
      <c r="DJ116" s="1673">
        <f t="shared" si="554"/>
        <v>1.003581875079832E-2</v>
      </c>
      <c r="DK116" s="70">
        <f t="shared" si="554"/>
        <v>2.5928870072252499E-2</v>
      </c>
      <c r="DL116" s="70">
        <f t="shared" si="554"/>
        <v>1.0981498001831047E-2</v>
      </c>
      <c r="DM116" s="487">
        <f t="shared" si="554"/>
        <v>7.0499925028367563E-3</v>
      </c>
      <c r="DN116" s="70"/>
      <c r="DO116" s="487"/>
      <c r="DP116" s="3"/>
      <c r="DQ116" s="3"/>
      <c r="DR116" s="3"/>
      <c r="DS116" s="3"/>
      <c r="DT116" s="3"/>
      <c r="DU116" s="3"/>
      <c r="DV116" s="3"/>
      <c r="DW116" s="3"/>
      <c r="DX116" s="169"/>
      <c r="DY116" s="383" t="s">
        <v>483</v>
      </c>
      <c r="DZ116" s="161">
        <f t="shared" ref="DZ116:EP116" si="555">SUM(DZ111,DY111)</f>
        <v>0.254</v>
      </c>
      <c r="EA116" s="161">
        <f t="shared" si="555"/>
        <v>8.0000000000000002E-3</v>
      </c>
      <c r="EB116" s="161">
        <f t="shared" si="555"/>
        <v>-2.7E-2</v>
      </c>
      <c r="EC116" s="161">
        <f t="shared" si="555"/>
        <v>0.15549656162770154</v>
      </c>
      <c r="ED116" s="161">
        <f t="shared" si="555"/>
        <v>0.24649656162770156</v>
      </c>
      <c r="EE116" s="161">
        <f t="shared" si="555"/>
        <v>0.16</v>
      </c>
      <c r="EF116" s="161">
        <f t="shared" si="555"/>
        <v>6.8413664884963976E-2</v>
      </c>
      <c r="EG116" s="161">
        <f t="shared" si="555"/>
        <v>4.4762033605833987E-2</v>
      </c>
      <c r="EH116" s="161">
        <f t="shared" si="555"/>
        <v>0.10287435297283851</v>
      </c>
      <c r="EI116" s="161">
        <f t="shared" si="555"/>
        <v>0.12191564951033704</v>
      </c>
      <c r="EJ116" s="161">
        <f t="shared" si="555"/>
        <v>9.5389665258368533E-2</v>
      </c>
      <c r="EK116" s="161">
        <f t="shared" si="555"/>
        <v>9.1999999999999998E-2</v>
      </c>
      <c r="EL116" s="161">
        <f t="shared" si="555"/>
        <v>0.06</v>
      </c>
      <c r="EM116" s="161">
        <f t="shared" si="555"/>
        <v>6.0000000000000001E-3</v>
      </c>
      <c r="EN116" s="161">
        <f t="shared" si="555"/>
        <v>4.0000000000000018E-3</v>
      </c>
      <c r="EO116" s="161">
        <f t="shared" si="555"/>
        <v>-1.2999999999999998E-2</v>
      </c>
      <c r="EP116" s="161">
        <f t="shared" si="555"/>
        <v>-5.5075394514202583E-2</v>
      </c>
      <c r="EQ116" s="161">
        <f>SUM(EQ111,EN111)</f>
        <v>0</v>
      </c>
      <c r="ER116" s="161">
        <f>SUM(ER111,EQ111)</f>
        <v>-4.7223088317305567E-2</v>
      </c>
      <c r="ES116" s="161">
        <f>SUM(ES111,ER111)</f>
        <v>-4.7223088317305567E-2</v>
      </c>
      <c r="ET116" s="161">
        <f>SUM(ET111,ER111)</f>
        <v>-4.7223088317305567E-2</v>
      </c>
      <c r="EU116" s="161">
        <f>SUM(EU111,ES111)</f>
        <v>-3.4068735238266604E-2</v>
      </c>
      <c r="EV116" s="161">
        <f>EU111+EV111</f>
        <v>-2.1843747828456155E-2</v>
      </c>
      <c r="EW116" s="161">
        <f>EV111+EW111</f>
        <v>-1.1779315418125914E-2</v>
      </c>
      <c r="EX116" s="70">
        <f>EW111+EX111</f>
        <v>-2.6850171055032478E-2</v>
      </c>
      <c r="EY116" s="70">
        <f>EX111+EY111</f>
        <v>6.382868276138022E-3</v>
      </c>
      <c r="EZ116" s="1673">
        <f>EY111+EZ111</f>
        <v>1.2802401636319594E-2</v>
      </c>
      <c r="FA116" s="161">
        <f t="shared" ref="FA116:FH116" si="556">SUM(FA111,EZ111)</f>
        <v>-2.3426334866914551E-2</v>
      </c>
      <c r="FB116" s="161">
        <f t="shared" si="556"/>
        <v>-1.4999999999999999E-2</v>
      </c>
      <c r="FC116" s="161">
        <f t="shared" si="556"/>
        <v>-5.0000000000000001E-3</v>
      </c>
      <c r="FD116" s="161">
        <f t="shared" si="556"/>
        <v>5.0000000000000001E-3</v>
      </c>
      <c r="FE116" s="161">
        <f t="shared" si="556"/>
        <v>0.01</v>
      </c>
      <c r="FF116" s="161">
        <f t="shared" si="556"/>
        <v>0.01</v>
      </c>
      <c r="FG116" s="161">
        <f t="shared" si="556"/>
        <v>0.01</v>
      </c>
      <c r="FH116" s="161">
        <f t="shared" si="556"/>
        <v>0.01</v>
      </c>
      <c r="FI116" s="580"/>
      <c r="FJ116"/>
      <c r="FK116"/>
      <c r="FL116"/>
      <c r="FM116"/>
      <c r="FN116"/>
      <c r="FO116"/>
      <c r="FP116" s="3"/>
      <c r="FS116" s="70"/>
      <c r="FT116" s="70"/>
      <c r="FU116"/>
      <c r="FV116"/>
      <c r="FW116" s="70"/>
      <c r="FX116" s="70"/>
      <c r="FY116" s="70"/>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row>
    <row r="117" spans="1:260" s="4" customFormat="1" x14ac:dyDescent="0.2">
      <c r="A117" s="1527" t="s">
        <v>643</v>
      </c>
      <c r="B117" s="70"/>
      <c r="C117" s="70"/>
      <c r="D117" s="70"/>
      <c r="E117" s="487"/>
      <c r="F117" s="383"/>
      <c r="G117" s="383"/>
      <c r="H117" s="383"/>
      <c r="I117" s="549"/>
      <c r="J117" s="70">
        <f t="shared" ref="J117:AO117" si="557">B111+F111+J111</f>
        <v>0.58200000000000007</v>
      </c>
      <c r="K117" s="70">
        <f t="shared" si="557"/>
        <v>0.51900000000000002</v>
      </c>
      <c r="L117" s="70">
        <f t="shared" si="557"/>
        <v>0.52</v>
      </c>
      <c r="M117" s="487">
        <f t="shared" si="557"/>
        <v>0.504</v>
      </c>
      <c r="N117" s="70">
        <f t="shared" si="557"/>
        <v>0.46799999999999997</v>
      </c>
      <c r="O117" s="70">
        <f t="shared" si="557"/>
        <v>0.28599999999999998</v>
      </c>
      <c r="P117" s="70">
        <f t="shared" si="557"/>
        <v>0.22899999999999998</v>
      </c>
      <c r="Q117" s="487">
        <f t="shared" si="557"/>
        <v>4.2000000000000023E-2</v>
      </c>
      <c r="R117" s="70">
        <f t="shared" si="557"/>
        <v>1.6E-2</v>
      </c>
      <c r="S117" s="70">
        <f t="shared" si="557"/>
        <v>5.000000000000001E-2</v>
      </c>
      <c r="T117" s="70">
        <f t="shared" si="557"/>
        <v>2.4999999999999998E-2</v>
      </c>
      <c r="U117" s="487">
        <f t="shared" si="557"/>
        <v>7.1000000000000008E-2</v>
      </c>
      <c r="V117" s="70">
        <f t="shared" si="557"/>
        <v>0.10699999999999998</v>
      </c>
      <c r="W117" s="70">
        <f t="shared" si="557"/>
        <v>0.15999999999999998</v>
      </c>
      <c r="X117" s="70">
        <f t="shared" si="557"/>
        <v>3.6999999999999991E-2</v>
      </c>
      <c r="Y117" s="487">
        <f t="shared" si="557"/>
        <v>0.16500000000000001</v>
      </c>
      <c r="Z117" s="70">
        <f t="shared" si="557"/>
        <v>0.20400000000000001</v>
      </c>
      <c r="AA117" s="70">
        <f t="shared" si="557"/>
        <v>0.23399999999999999</v>
      </c>
      <c r="AB117" s="70">
        <f t="shared" si="557"/>
        <v>0.13</v>
      </c>
      <c r="AC117" s="487">
        <f t="shared" si="557"/>
        <v>0.38700000000000001</v>
      </c>
      <c r="AD117" s="70">
        <f t="shared" si="557"/>
        <v>0.38100000000000001</v>
      </c>
      <c r="AE117" s="70">
        <f t="shared" si="557"/>
        <v>0.34099999999999997</v>
      </c>
      <c r="AF117" s="70">
        <f t="shared" si="557"/>
        <v>0.193</v>
      </c>
      <c r="AG117" s="487">
        <f t="shared" si="557"/>
        <v>0.23599999999999999</v>
      </c>
      <c r="AH117" s="70">
        <f t="shared" si="557"/>
        <v>0.19700000000000001</v>
      </c>
      <c r="AI117" s="70">
        <f t="shared" si="557"/>
        <v>0.19</v>
      </c>
      <c r="AJ117" s="70">
        <f t="shared" si="557"/>
        <v>8.6999999999999994E-2</v>
      </c>
      <c r="AK117" s="487">
        <f t="shared" si="557"/>
        <v>0.17299999999999999</v>
      </c>
      <c r="AL117" s="70">
        <f t="shared" si="557"/>
        <v>0.13</v>
      </c>
      <c r="AM117" s="70">
        <f t="shared" si="557"/>
        <v>0.106</v>
      </c>
      <c r="AN117" s="70">
        <f t="shared" si="557"/>
        <v>8.2000000000000003E-2</v>
      </c>
      <c r="AO117" s="487">
        <f t="shared" si="557"/>
        <v>7.5999999999999998E-2</v>
      </c>
      <c r="AP117" s="70">
        <f t="shared" ref="AP117:BU117" si="558">AH111+AL111+AP111</f>
        <v>5.8000000000000003E-2</v>
      </c>
      <c r="AQ117" s="70">
        <f t="shared" si="558"/>
        <v>0.13300000000000001</v>
      </c>
      <c r="AR117" s="70">
        <f t="shared" si="558"/>
        <v>0.11299999999999999</v>
      </c>
      <c r="AS117" s="487">
        <f t="shared" si="558"/>
        <v>0.157</v>
      </c>
      <c r="AT117" s="70">
        <f t="shared" si="558"/>
        <v>0.17299999999999999</v>
      </c>
      <c r="AU117" s="70">
        <f t="shared" si="558"/>
        <v>0.14899999999999999</v>
      </c>
      <c r="AV117" s="70">
        <f t="shared" si="558"/>
        <v>0.127</v>
      </c>
      <c r="AW117" s="487">
        <f t="shared" si="558"/>
        <v>0.14300000000000002</v>
      </c>
      <c r="AX117" s="70">
        <f t="shared" si="558"/>
        <v>0.15200000000000002</v>
      </c>
      <c r="AY117" s="70">
        <f t="shared" si="558"/>
        <v>0.16</v>
      </c>
      <c r="AZ117" s="70">
        <f t="shared" si="558"/>
        <v>0.158</v>
      </c>
      <c r="BA117" s="487">
        <f t="shared" si="558"/>
        <v>0.20400000000000001</v>
      </c>
      <c r="BB117" s="70">
        <f t="shared" si="558"/>
        <v>0.17499999999999999</v>
      </c>
      <c r="BC117" s="70">
        <f t="shared" si="558"/>
        <v>0.11199999999999999</v>
      </c>
      <c r="BD117" s="70">
        <f t="shared" si="558"/>
        <v>0.10400000000000001</v>
      </c>
      <c r="BE117" s="487">
        <f t="shared" si="558"/>
        <v>0.153</v>
      </c>
      <c r="BF117" s="70">
        <f t="shared" si="558"/>
        <v>0.108</v>
      </c>
      <c r="BG117" s="70">
        <f t="shared" si="558"/>
        <v>8.5000000000000006E-2</v>
      </c>
      <c r="BH117" s="70">
        <f t="shared" si="558"/>
        <v>0.13500000000000001</v>
      </c>
      <c r="BI117" s="487">
        <f t="shared" si="558"/>
        <v>0.113</v>
      </c>
      <c r="BJ117" s="70">
        <f t="shared" si="558"/>
        <v>9.8000000000000004E-2</v>
      </c>
      <c r="BK117" s="70">
        <f t="shared" si="558"/>
        <v>0.1</v>
      </c>
      <c r="BL117" s="70">
        <f t="shared" si="558"/>
        <v>3.4000000000000002E-2</v>
      </c>
      <c r="BM117" s="487">
        <f t="shared" si="558"/>
        <v>-9.0000000000000011E-3</v>
      </c>
      <c r="BN117" s="70">
        <f t="shared" si="558"/>
        <v>3.0000000000000027E-3</v>
      </c>
      <c r="BO117" s="70">
        <f t="shared" si="558"/>
        <v>3.9000000000000007E-2</v>
      </c>
      <c r="BP117" s="70">
        <f t="shared" si="558"/>
        <v>4.3999999999999997E-2</v>
      </c>
      <c r="BQ117" s="487">
        <f t="shared" si="558"/>
        <v>1.6999999999999994E-2</v>
      </c>
      <c r="BR117" s="70">
        <f t="shared" si="558"/>
        <v>-3.68405397426908E-3</v>
      </c>
      <c r="BS117" s="70">
        <f t="shared" si="558"/>
        <v>2.423547201514005E-3</v>
      </c>
      <c r="BT117" s="70">
        <f t="shared" si="558"/>
        <v>-6.9399289406379405E-2</v>
      </c>
      <c r="BU117" s="487">
        <f t="shared" si="558"/>
        <v>-3.6304320996412169E-2</v>
      </c>
      <c r="BV117" s="70">
        <f t="shared" ref="BV117:DB117" si="559">BN111+BR111+BV111</f>
        <v>-6.7480480605034365E-2</v>
      </c>
      <c r="BW117" s="70">
        <f t="shared" si="559"/>
        <v>-8.2731330128207353E-2</v>
      </c>
      <c r="BX117" s="70">
        <f t="shared" si="559"/>
        <v>-4.9203710683641743E-3</v>
      </c>
      <c r="BY117" s="487">
        <f t="shared" si="559"/>
        <v>-2.6379397207996265E-2</v>
      </c>
      <c r="BZ117" s="70">
        <f t="shared" si="559"/>
        <v>1.6785405552507786E-2</v>
      </c>
      <c r="CA117" s="70">
        <f t="shared" si="559"/>
        <v>-5.9008402556553582E-2</v>
      </c>
      <c r="CB117" s="70">
        <f t="shared" si="559"/>
        <v>-9.3017008202396001E-2</v>
      </c>
      <c r="CC117" s="487">
        <f t="shared" si="559"/>
        <v>-0.16217737304490565</v>
      </c>
      <c r="CD117" s="70">
        <f t="shared" si="559"/>
        <v>-3.5995596071337732E-2</v>
      </c>
      <c r="CE117" s="70">
        <f t="shared" si="559"/>
        <v>-8.574490579392946E-2</v>
      </c>
      <c r="CF117" s="70">
        <f t="shared" si="559"/>
        <v>-4.7870253600235217E-2</v>
      </c>
      <c r="CG117" s="487">
        <f t="shared" si="559"/>
        <v>-0.12631843294261486</v>
      </c>
      <c r="CH117" s="70">
        <f t="shared" si="559"/>
        <v>-5.2652128365544594E-2</v>
      </c>
      <c r="CI117" s="70">
        <f t="shared" si="559"/>
        <v>-7.6318845963880555E-2</v>
      </c>
      <c r="CJ117" s="70">
        <f t="shared" si="559"/>
        <v>-9.4375159268914433E-2</v>
      </c>
      <c r="CK117" s="487">
        <f t="shared" si="559"/>
        <v>-8.9232955613394796E-2</v>
      </c>
      <c r="CL117" s="70">
        <f t="shared" si="559"/>
        <v>-0.13456715049656665</v>
      </c>
      <c r="CM117" s="70">
        <f t="shared" si="559"/>
        <v>-9.2897436428852398E-2</v>
      </c>
      <c r="CN117" s="70">
        <f t="shared" si="559"/>
        <v>-9.8098177253766183E-2</v>
      </c>
      <c r="CO117" s="487">
        <f t="shared" si="559"/>
        <v>-2.9572623161609454E-2</v>
      </c>
      <c r="CP117" s="70">
        <f t="shared" si="559"/>
        <v>-0.11196614071683814</v>
      </c>
      <c r="CQ117" s="70">
        <f t="shared" si="559"/>
        <v>-5.6393245208472234E-2</v>
      </c>
      <c r="CR117" s="70">
        <f t="shared" si="559"/>
        <v>-8.1377369856842921E-2</v>
      </c>
      <c r="CS117" s="487">
        <f t="shared" si="559"/>
        <v>-4.0783599351077421E-2</v>
      </c>
      <c r="CT117" s="70">
        <f t="shared" si="559"/>
        <v>-9.7703466211699869E-2</v>
      </c>
      <c r="CU117" s="70">
        <f t="shared" si="559"/>
        <v>-6.7161533818124536E-2</v>
      </c>
      <c r="CV117" s="70">
        <f t="shared" si="559"/>
        <v>-1.8148617549220411E-2</v>
      </c>
      <c r="CW117" s="487">
        <f t="shared" si="559"/>
        <v>-2.4177314828771931E-2</v>
      </c>
      <c r="CX117" s="70">
        <f t="shared" si="559"/>
        <v>-4.9406855620561581E-2</v>
      </c>
      <c r="CY117" s="70">
        <f t="shared" si="559"/>
        <v>-1.8327624385584301E-2</v>
      </c>
      <c r="CZ117" s="70">
        <f t="shared" si="559"/>
        <v>2.1909400933026537E-2</v>
      </c>
      <c r="DA117" s="487">
        <f t="shared" si="559"/>
        <v>-5.7382587093013873E-2</v>
      </c>
      <c r="DB117" s="70">
        <f t="shared" si="559"/>
        <v>-5.0928994846535423E-2</v>
      </c>
      <c r="DC117" s="70">
        <f t="shared" ref="DC117:DM117" si="560">CU111+CY111+DC111</f>
        <v>-2.0855493233468941E-2</v>
      </c>
      <c r="DD117" s="70">
        <f t="shared" si="560"/>
        <v>9.2610414429176828E-3</v>
      </c>
      <c r="DE117" s="1811">
        <f t="shared" si="560"/>
        <v>-5.5771684554879082E-2</v>
      </c>
      <c r="DF117" s="1506">
        <f t="shared" si="560"/>
        <v>-2.9702891675903231E-2</v>
      </c>
      <c r="DG117" s="1506">
        <f t="shared" si="560"/>
        <v>3.3570482948108313E-2</v>
      </c>
      <c r="DH117" s="1506">
        <f t="shared" si="560"/>
        <v>1.2039774467790205E-2</v>
      </c>
      <c r="DI117" s="1811">
        <f t="shared" si="560"/>
        <v>-1.4338377691983768E-2</v>
      </c>
      <c r="DJ117" s="1926">
        <f t="shared" si="560"/>
        <v>-1.135036629356163E-2</v>
      </c>
      <c r="DK117" s="2597">
        <f t="shared" si="560"/>
        <v>1.3592236408886165E-2</v>
      </c>
      <c r="DL117" s="2597">
        <f t="shared" si="560"/>
        <v>7.8014111044268416E-3</v>
      </c>
      <c r="DM117" s="1531">
        <f t="shared" si="560"/>
        <v>-2.8995462042617784E-2</v>
      </c>
      <c r="DN117" s="70"/>
      <c r="DO117" s="487"/>
      <c r="DP117" s="3"/>
      <c r="DQ117" s="3"/>
      <c r="DR117" s="3"/>
      <c r="DS117" s="3"/>
      <c r="DT117" s="3"/>
      <c r="DU117" s="3"/>
      <c r="DV117" s="3"/>
      <c r="DW117" s="3"/>
      <c r="DX117" s="169"/>
      <c r="DY117" s="383"/>
      <c r="DZ117" s="161">
        <f t="shared" ref="DZ117:EW117" si="561">+DZ111+DY111+DX111</f>
        <v>0.52300000000000002</v>
      </c>
      <c r="EA117" s="161">
        <f t="shared" si="561"/>
        <v>0.20700000000000002</v>
      </c>
      <c r="EB117" s="161">
        <f t="shared" si="561"/>
        <v>2.8000000000000001E-2</v>
      </c>
      <c r="EC117" s="161">
        <f t="shared" si="561"/>
        <v>0.10849656162770153</v>
      </c>
      <c r="ED117" s="161">
        <f t="shared" si="561"/>
        <v>0.26649656162770158</v>
      </c>
      <c r="EE117" s="161">
        <f t="shared" si="561"/>
        <v>0.29549656162770155</v>
      </c>
      <c r="EF117" s="161">
        <f t="shared" si="561"/>
        <v>0.17941366488496396</v>
      </c>
      <c r="EG117" s="161">
        <f t="shared" si="561"/>
        <v>9.3762033605833989E-2</v>
      </c>
      <c r="EH117" s="161">
        <f t="shared" si="561"/>
        <v>0.12228801785780248</v>
      </c>
      <c r="EI117" s="161">
        <f t="shared" si="561"/>
        <v>0.14726401823120705</v>
      </c>
      <c r="EJ117" s="161">
        <f t="shared" si="561"/>
        <v>0.17291564951033703</v>
      </c>
      <c r="EK117" s="161">
        <f t="shared" si="561"/>
        <v>0.13638966525836854</v>
      </c>
      <c r="EL117" s="161">
        <f t="shared" si="561"/>
        <v>0.11099999999999999</v>
      </c>
      <c r="EM117" s="161">
        <f t="shared" si="561"/>
        <v>4.7E-2</v>
      </c>
      <c r="EN117" s="161">
        <f t="shared" si="561"/>
        <v>2.3E-2</v>
      </c>
      <c r="EO117" s="161">
        <f t="shared" si="561"/>
        <v>-2.5999999999999995E-2</v>
      </c>
      <c r="EP117" s="161">
        <f t="shared" si="561"/>
        <v>-3.8075394514202582E-2</v>
      </c>
      <c r="EQ117" s="161">
        <f t="shared" si="561"/>
        <v>-7.2075394514202584E-2</v>
      </c>
      <c r="ER117" s="161">
        <f t="shared" si="561"/>
        <v>-7.2298482831508151E-2</v>
      </c>
      <c r="ES117" s="161">
        <f t="shared" si="561"/>
        <v>-6.4223088317305568E-2</v>
      </c>
      <c r="ET117" s="161">
        <f t="shared" si="561"/>
        <v>-6.4223088317305568E-2</v>
      </c>
      <c r="EU117" s="161">
        <f t="shared" si="561"/>
        <v>-5.1068735238266605E-2</v>
      </c>
      <c r="EV117" s="161">
        <f t="shared" si="561"/>
        <v>-3.8843747828456156E-2</v>
      </c>
      <c r="EW117" s="161">
        <f t="shared" si="561"/>
        <v>-2.8848050656392513E-2</v>
      </c>
      <c r="EX117" s="70">
        <f>+EX111+EW111+EV111</f>
        <v>-3.1625183645222037E-2</v>
      </c>
      <c r="EY117" s="70">
        <f t="shared" ref="EY117:FH117" si="562">+EY111+EX111+EW111</f>
        <v>-6.2143455179833416E-4</v>
      </c>
      <c r="EZ117" s="1673">
        <f t="shared" si="562"/>
        <v>-7.0434665907765284E-3</v>
      </c>
      <c r="FA117" s="161">
        <f t="shared" si="562"/>
        <v>2.8024016363195937E-3</v>
      </c>
      <c r="FB117" s="161">
        <f t="shared" si="562"/>
        <v>-2.8426334866914552E-2</v>
      </c>
      <c r="FC117" s="161">
        <f t="shared" si="562"/>
        <v>-1.4999999999999999E-2</v>
      </c>
      <c r="FD117" s="161">
        <f t="shared" si="562"/>
        <v>0</v>
      </c>
      <c r="FE117" s="161">
        <f t="shared" si="562"/>
        <v>0.01</v>
      </c>
      <c r="FF117" s="161">
        <f t="shared" si="562"/>
        <v>1.4999999999999999E-2</v>
      </c>
      <c r="FG117" s="161">
        <f t="shared" si="562"/>
        <v>1.4999999999999999E-2</v>
      </c>
      <c r="FH117" s="161">
        <f t="shared" si="562"/>
        <v>1.4999999999999999E-2</v>
      </c>
      <c r="FI117" s="580"/>
      <c r="FJ117"/>
      <c r="FK117"/>
      <c r="FL117"/>
      <c r="FM117"/>
      <c r="FN117"/>
      <c r="FO117"/>
      <c r="FP117" s="3"/>
      <c r="FS117" s="70"/>
      <c r="FT117" s="70"/>
      <c r="FU117"/>
      <c r="FV117"/>
      <c r="FW117" s="70"/>
      <c r="FX117" s="70"/>
      <c r="FY117" s="70"/>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row>
    <row r="118" spans="1:260" s="4" customFormat="1" x14ac:dyDescent="0.2">
      <c r="A118" s="1527" t="s">
        <v>642</v>
      </c>
      <c r="B118" s="161"/>
      <c r="C118" s="161"/>
      <c r="D118" s="161"/>
      <c r="E118" s="518"/>
      <c r="F118" s="70"/>
      <c r="G118" s="70"/>
      <c r="H118" s="70"/>
      <c r="I118" s="487"/>
      <c r="J118" s="70"/>
      <c r="K118" s="70"/>
      <c r="L118" s="70"/>
      <c r="M118" s="487"/>
      <c r="N118" s="70">
        <f t="shared" ref="N118:AS118" si="563">N111+J111+F111+B111</f>
        <v>0.61799999999999999</v>
      </c>
      <c r="O118" s="70">
        <f t="shared" si="563"/>
        <v>0.55600000000000005</v>
      </c>
      <c r="P118" s="70">
        <f t="shared" si="563"/>
        <v>0.439</v>
      </c>
      <c r="Q118" s="487">
        <f t="shared" si="563"/>
        <v>0.39200000000000002</v>
      </c>
      <c r="R118" s="70">
        <f t="shared" si="563"/>
        <v>0.38600000000000001</v>
      </c>
      <c r="S118" s="70">
        <f t="shared" si="563"/>
        <v>0.22999999999999998</v>
      </c>
      <c r="T118" s="70">
        <f t="shared" si="563"/>
        <v>0.22500000000000001</v>
      </c>
      <c r="U118" s="487">
        <f t="shared" si="563"/>
        <v>0.21100000000000002</v>
      </c>
      <c r="V118" s="70">
        <f t="shared" si="563"/>
        <v>0.16899999999999998</v>
      </c>
      <c r="W118" s="70">
        <f t="shared" si="563"/>
        <v>0.22900000000000001</v>
      </c>
      <c r="X118" s="70">
        <f t="shared" si="563"/>
        <v>0.14699999999999999</v>
      </c>
      <c r="Y118" s="487">
        <f t="shared" si="563"/>
        <v>0.17900000000000005</v>
      </c>
      <c r="Z118" s="70">
        <f t="shared" si="563"/>
        <v>0.24000000000000002</v>
      </c>
      <c r="AA118" s="70">
        <f t="shared" si="563"/>
        <v>0.27099999999999996</v>
      </c>
      <c r="AB118" s="70">
        <f t="shared" si="563"/>
        <v>4.9000000000000002E-2</v>
      </c>
      <c r="AC118" s="487">
        <f t="shared" si="563"/>
        <v>0.27500000000000002</v>
      </c>
      <c r="AD118" s="70">
        <f t="shared" si="563"/>
        <v>0.29899999999999999</v>
      </c>
      <c r="AE118" s="70">
        <f t="shared" si="563"/>
        <v>0.28499999999999998</v>
      </c>
      <c r="AF118" s="70">
        <f t="shared" si="563"/>
        <v>0.189</v>
      </c>
      <c r="AG118" s="487">
        <f t="shared" si="563"/>
        <v>0.40500000000000003</v>
      </c>
      <c r="AH118" s="70">
        <f t="shared" si="563"/>
        <v>0.35</v>
      </c>
      <c r="AI118" s="70">
        <f t="shared" si="563"/>
        <v>0.36899999999999999</v>
      </c>
      <c r="AJ118" s="70">
        <f t="shared" si="563"/>
        <v>0.20899999999999999</v>
      </c>
      <c r="AK118" s="487">
        <f t="shared" si="563"/>
        <v>0.28099999999999997</v>
      </c>
      <c r="AL118" s="70">
        <f t="shared" si="563"/>
        <v>0.26300000000000001</v>
      </c>
      <c r="AM118" s="70">
        <f t="shared" si="563"/>
        <v>0.217</v>
      </c>
      <c r="AN118" s="70">
        <f t="shared" si="563"/>
        <v>9.3999999999999986E-2</v>
      </c>
      <c r="AO118" s="487">
        <f t="shared" si="563"/>
        <v>0.186</v>
      </c>
      <c r="AP118" s="70">
        <f t="shared" si="563"/>
        <v>0.153</v>
      </c>
      <c r="AQ118" s="70">
        <f t="shared" si="563"/>
        <v>0.184</v>
      </c>
      <c r="AR118" s="70">
        <f t="shared" si="563"/>
        <v>0.17199999999999999</v>
      </c>
      <c r="AS118" s="487">
        <f t="shared" si="563"/>
        <v>0.17499999999999999</v>
      </c>
      <c r="AT118" s="70">
        <f t="shared" ref="AT118:BY118" si="564">AT111+AP111+AL111+AH111</f>
        <v>0.14200000000000002</v>
      </c>
      <c r="AU118" s="70">
        <f t="shared" si="564"/>
        <v>0.17699999999999999</v>
      </c>
      <c r="AV118" s="70">
        <f t="shared" si="564"/>
        <v>0.14300000000000002</v>
      </c>
      <c r="AW118" s="487">
        <f t="shared" si="564"/>
        <v>0.188</v>
      </c>
      <c r="AX118" s="70">
        <f t="shared" si="564"/>
        <v>0.218</v>
      </c>
      <c r="AY118" s="70">
        <f t="shared" si="564"/>
        <v>0.18699999999999997</v>
      </c>
      <c r="AZ118" s="70">
        <f t="shared" si="564"/>
        <v>0.16500000000000001</v>
      </c>
      <c r="BA118" s="487">
        <f t="shared" si="564"/>
        <v>0.21700000000000003</v>
      </c>
      <c r="BB118" s="70">
        <f t="shared" si="564"/>
        <v>0.19799999999999998</v>
      </c>
      <c r="BC118" s="70">
        <f t="shared" si="564"/>
        <v>0.19</v>
      </c>
      <c r="BD118" s="70">
        <f t="shared" si="564"/>
        <v>0.19400000000000001</v>
      </c>
      <c r="BE118" s="487">
        <f t="shared" si="564"/>
        <v>0.252</v>
      </c>
      <c r="BF118" s="70">
        <f t="shared" si="564"/>
        <v>0.192</v>
      </c>
      <c r="BG118" s="70">
        <f t="shared" si="564"/>
        <v>0.129</v>
      </c>
      <c r="BH118" s="70">
        <f t="shared" si="564"/>
        <v>0.16500000000000001</v>
      </c>
      <c r="BI118" s="487">
        <f t="shared" si="564"/>
        <v>0.14399999999999999</v>
      </c>
      <c r="BJ118" s="70">
        <f t="shared" si="564"/>
        <v>0.14300000000000002</v>
      </c>
      <c r="BK118" s="70">
        <f t="shared" si="564"/>
        <v>0.13800000000000001</v>
      </c>
      <c r="BL118" s="70">
        <f t="shared" si="564"/>
        <v>7.1999999999999995E-2</v>
      </c>
      <c r="BM118" s="487">
        <f t="shared" si="564"/>
        <v>6.5000000000000002E-2</v>
      </c>
      <c r="BN118" s="70">
        <f t="shared" si="564"/>
        <v>4.9000000000000002E-2</v>
      </c>
      <c r="BO118" s="70">
        <f t="shared" si="564"/>
        <v>6.9000000000000006E-2</v>
      </c>
      <c r="BP118" s="70">
        <f t="shared" si="564"/>
        <v>7.9999999999999988E-2</v>
      </c>
      <c r="BQ118" s="487">
        <f t="shared" si="564"/>
        <v>6.5000000000000002E-2</v>
      </c>
      <c r="BR118" s="70">
        <f t="shared" si="564"/>
        <v>1.331594602573092E-2</v>
      </c>
      <c r="BS118" s="70">
        <f t="shared" si="564"/>
        <v>1.9423547201514006E-2</v>
      </c>
      <c r="BT118" s="70">
        <f t="shared" si="564"/>
        <v>-8.3992894063794066E-3</v>
      </c>
      <c r="BU118" s="487">
        <f t="shared" si="564"/>
        <v>-4.530432099641217E-2</v>
      </c>
      <c r="BV118" s="70">
        <f t="shared" si="564"/>
        <v>-3.2480480605034362E-2</v>
      </c>
      <c r="BW118" s="70">
        <f t="shared" si="564"/>
        <v>-2.9731330128207355E-2</v>
      </c>
      <c r="BX118" s="70">
        <f t="shared" si="564"/>
        <v>-6.7920371068364183E-2</v>
      </c>
      <c r="BY118" s="487">
        <f t="shared" si="564"/>
        <v>-7.4379397207996273E-2</v>
      </c>
      <c r="BZ118" s="70">
        <f t="shared" ref="BZ118:DB118" si="565">BZ111+BV111+BR111+BN111</f>
        <v>-3.2214594447492216E-2</v>
      </c>
      <c r="CA118" s="70">
        <f t="shared" si="565"/>
        <v>-9.0008402556553582E-2</v>
      </c>
      <c r="CB118" s="70">
        <f t="shared" si="565"/>
        <v>-4.7017008202396002E-2</v>
      </c>
      <c r="CC118" s="487">
        <f t="shared" si="565"/>
        <v>-8.8177373044905652E-2</v>
      </c>
      <c r="CD118" s="70">
        <f t="shared" si="565"/>
        <v>-2.5679650045606815E-2</v>
      </c>
      <c r="CE118" s="70">
        <f t="shared" si="565"/>
        <v>-0.10532135859241545</v>
      </c>
      <c r="CF118" s="70">
        <f t="shared" si="565"/>
        <v>-0.10026954300661461</v>
      </c>
      <c r="CG118" s="487">
        <f t="shared" si="565"/>
        <v>-0.18862275393902703</v>
      </c>
      <c r="CH118" s="70">
        <f t="shared" si="565"/>
        <v>-8.1448554996309888E-2</v>
      </c>
      <c r="CI118" s="70">
        <f t="shared" si="565"/>
        <v>-0.1084737232936019</v>
      </c>
      <c r="CJ118" s="70">
        <f t="shared" si="565"/>
        <v>-9.289624093089921E-2</v>
      </c>
      <c r="CK118" s="487">
        <f t="shared" si="565"/>
        <v>-0.12730803182497891</v>
      </c>
      <c r="CL118" s="70">
        <f t="shared" si="565"/>
        <v>-9.9301264339024489E-2</v>
      </c>
      <c r="CM118" s="70">
        <f t="shared" si="565"/>
        <v>-0.10017450885719864</v>
      </c>
      <c r="CN118" s="70">
        <f t="shared" si="565"/>
        <v>-0.14019481438779802</v>
      </c>
      <c r="CO118" s="487">
        <f t="shared" si="565"/>
        <v>-9.1370598998518848E-2</v>
      </c>
      <c r="CP118" s="70">
        <f t="shared" si="565"/>
        <v>-0.15443119631495272</v>
      </c>
      <c r="CQ118" s="70">
        <f t="shared" si="565"/>
        <v>-0.10270620124433411</v>
      </c>
      <c r="CR118" s="70">
        <f t="shared" si="565"/>
        <v>-8.8629904661061534E-2</v>
      </c>
      <c r="CS118" s="487">
        <f t="shared" si="565"/>
        <v>-6.7228980245198786E-2</v>
      </c>
      <c r="CT118" s="70">
        <f t="shared" si="565"/>
        <v>-0.14315642513667201</v>
      </c>
      <c r="CU118" s="70">
        <f t="shared" si="565"/>
        <v>-8.989035131779699E-2</v>
      </c>
      <c r="CV118" s="70">
        <f t="shared" si="565"/>
        <v>-6.3174604879884397E-2</v>
      </c>
      <c r="CW118" s="487">
        <f t="shared" si="565"/>
        <v>-2.5166913711135969E-2</v>
      </c>
      <c r="CX118" s="70">
        <f t="shared" si="565"/>
        <v>-9.6055991594041462E-2</v>
      </c>
      <c r="CY118" s="70">
        <f t="shared" si="565"/>
        <v>-4.2183287278902387E-2</v>
      </c>
      <c r="CZ118" s="70">
        <f t="shared" si="565"/>
        <v>-2.3910254185857051E-2</v>
      </c>
      <c r="DA118" s="487">
        <f t="shared" si="565"/>
        <v>-5.9520230478137925E-2</v>
      </c>
      <c r="DB118" s="70">
        <f t="shared" si="565"/>
        <v>-7.0793040664921536E-2</v>
      </c>
      <c r="DC118" s="70">
        <f t="shared" ref="DC118:DM118" si="566">DC111+CY111+CU111+CQ111</f>
        <v>-3.0664258048950632E-2</v>
      </c>
      <c r="DD118" s="70">
        <f t="shared" si="566"/>
        <v>1.8729314035622328E-2</v>
      </c>
      <c r="DE118" s="487">
        <f t="shared" si="566"/>
        <v>-9.3428041638468406E-2</v>
      </c>
      <c r="DF118" s="70">
        <f t="shared" si="566"/>
        <v>-6.0893176095737106E-2</v>
      </c>
      <c r="DG118" s="70">
        <f t="shared" si="566"/>
        <v>7.3376838783556497E-5</v>
      </c>
      <c r="DH118" s="70">
        <f t="shared" si="566"/>
        <v>3.024253944474873E-2</v>
      </c>
      <c r="DI118" s="487">
        <f t="shared" si="566"/>
        <v>1.2783079479576787E-3</v>
      </c>
      <c r="DJ118" s="1673">
        <f t="shared" si="566"/>
        <v>-9.7028916759032309E-3</v>
      </c>
      <c r="DK118" s="70">
        <f t="shared" si="566"/>
        <v>3.8570482948108317E-2</v>
      </c>
      <c r="DL118" s="70">
        <f t="shared" si="566"/>
        <v>2.0397744677902053E-3</v>
      </c>
      <c r="DM118" s="487">
        <f t="shared" si="566"/>
        <v>-6.4338377691983778E-2</v>
      </c>
      <c r="DN118" s="70"/>
      <c r="DO118" s="487"/>
      <c r="DP118" s="3"/>
      <c r="DQ118" s="3"/>
      <c r="DR118" s="3"/>
      <c r="DS118" s="3"/>
      <c r="DT118" s="3"/>
      <c r="DU118" s="3"/>
      <c r="DV118" s="3"/>
      <c r="DW118" s="3"/>
      <c r="DX118" s="169"/>
      <c r="DY118" s="383"/>
      <c r="DZ118" s="161">
        <f t="shared" ref="DZ118:EW118" si="567">+DZ111+DY111+DX111+DW111</f>
        <v>0.52300000000000002</v>
      </c>
      <c r="EA118" s="161">
        <f t="shared" si="567"/>
        <v>0.47600000000000003</v>
      </c>
      <c r="EB118" s="161">
        <f t="shared" si="567"/>
        <v>0.22700000000000001</v>
      </c>
      <c r="EC118" s="161">
        <f t="shared" si="567"/>
        <v>0.16349656162770154</v>
      </c>
      <c r="ED118" s="161">
        <f t="shared" si="567"/>
        <v>0.21949656162770159</v>
      </c>
      <c r="EE118" s="161">
        <f t="shared" si="567"/>
        <v>0.31549656162770157</v>
      </c>
      <c r="EF118" s="161">
        <f t="shared" si="567"/>
        <v>0.31491022651266554</v>
      </c>
      <c r="EG118" s="161">
        <f t="shared" si="567"/>
        <v>0.204762033605834</v>
      </c>
      <c r="EH118" s="161">
        <f t="shared" si="567"/>
        <v>0.17128801785780248</v>
      </c>
      <c r="EI118" s="161">
        <f t="shared" si="567"/>
        <v>0.16667768311617104</v>
      </c>
      <c r="EJ118" s="161">
        <f t="shared" si="567"/>
        <v>0.19826401823120704</v>
      </c>
      <c r="EK118" s="161">
        <f t="shared" si="567"/>
        <v>0.21391564951033704</v>
      </c>
      <c r="EL118" s="161">
        <f t="shared" si="567"/>
        <v>0.15538966525836853</v>
      </c>
      <c r="EM118" s="161">
        <f t="shared" si="567"/>
        <v>9.8000000000000004E-2</v>
      </c>
      <c r="EN118" s="161">
        <f t="shared" si="567"/>
        <v>6.4000000000000001E-2</v>
      </c>
      <c r="EO118" s="161">
        <f t="shared" si="567"/>
        <v>-6.9999999999999958E-3</v>
      </c>
      <c r="EP118" s="161">
        <f t="shared" si="567"/>
        <v>-5.1075394514202579E-2</v>
      </c>
      <c r="EQ118" s="161">
        <f t="shared" si="567"/>
        <v>-5.5075394514202583E-2</v>
      </c>
      <c r="ER118" s="161">
        <f t="shared" si="567"/>
        <v>-0.10229848283150815</v>
      </c>
      <c r="ES118" s="161">
        <f t="shared" si="567"/>
        <v>-8.9298482831508152E-2</v>
      </c>
      <c r="ET118" s="161">
        <f t="shared" si="567"/>
        <v>-8.122308831730557E-2</v>
      </c>
      <c r="EU118" s="161">
        <f t="shared" si="567"/>
        <v>-8.1291823555572171E-2</v>
      </c>
      <c r="EV118" s="161">
        <f t="shared" si="567"/>
        <v>-5.5843747828456157E-2</v>
      </c>
      <c r="EW118" s="161">
        <f t="shared" si="567"/>
        <v>-4.5848050656392511E-2</v>
      </c>
      <c r="EX118" s="70">
        <f>+EX111+EW111+EV111+EU111</f>
        <v>-4.8693918883488632E-2</v>
      </c>
      <c r="EY118" s="70">
        <f t="shared" ref="EY118:FH118" si="568">+EY111+EX111+EW111+EV111</f>
        <v>-5.3964471419878915E-3</v>
      </c>
      <c r="EZ118" s="1673">
        <f t="shared" si="568"/>
        <v>-1.4047769418712885E-2</v>
      </c>
      <c r="FA118" s="161">
        <f t="shared" si="568"/>
        <v>-1.7043466590776529E-2</v>
      </c>
      <c r="FB118" s="161">
        <f t="shared" si="568"/>
        <v>-2.1975983636804072E-3</v>
      </c>
      <c r="FC118" s="161">
        <f t="shared" si="568"/>
        <v>-2.8426334866914552E-2</v>
      </c>
      <c r="FD118" s="161">
        <f t="shared" si="568"/>
        <v>-0.01</v>
      </c>
      <c r="FE118" s="161">
        <f t="shared" si="568"/>
        <v>5.0000000000000001E-3</v>
      </c>
      <c r="FF118" s="161">
        <f t="shared" si="568"/>
        <v>1.4999999999999999E-2</v>
      </c>
      <c r="FG118" s="161">
        <f t="shared" si="568"/>
        <v>0.02</v>
      </c>
      <c r="FH118" s="161">
        <f t="shared" si="568"/>
        <v>0.02</v>
      </c>
      <c r="FI118" s="580"/>
      <c r="FJ118"/>
      <c r="FK118"/>
      <c r="FL118"/>
      <c r="FM118"/>
      <c r="FN118"/>
      <c r="FO118"/>
      <c r="FP118" s="3"/>
      <c r="FS118" s="70"/>
      <c r="FT118" s="70"/>
      <c r="FU118"/>
      <c r="FV118"/>
      <c r="FW118" s="70"/>
      <c r="FX118" s="70"/>
      <c r="FY118" s="70"/>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row>
    <row r="119" spans="1:260" s="4" customFormat="1" x14ac:dyDescent="0.2">
      <c r="A119" s="282"/>
      <c r="B119" s="161"/>
      <c r="C119" s="161"/>
      <c r="D119" s="161"/>
      <c r="E119" s="518"/>
      <c r="F119" s="161"/>
      <c r="G119" s="161"/>
      <c r="H119" s="161"/>
      <c r="I119" s="518"/>
      <c r="J119" s="161"/>
      <c r="K119" s="161"/>
      <c r="L119" s="161"/>
      <c r="M119" s="518"/>
      <c r="N119" s="161"/>
      <c r="O119" s="161"/>
      <c r="P119" s="161"/>
      <c r="Q119" s="518"/>
      <c r="R119" s="161"/>
      <c r="S119" s="161"/>
      <c r="T119" s="161"/>
      <c r="U119" s="518"/>
      <c r="V119" s="161"/>
      <c r="W119" s="161"/>
      <c r="X119" s="161"/>
      <c r="Y119" s="518"/>
      <c r="Z119" s="161"/>
      <c r="AA119" s="161"/>
      <c r="AB119" s="161"/>
      <c r="AC119" s="518"/>
      <c r="AD119" s="161"/>
      <c r="AE119" s="161"/>
      <c r="AF119" s="161"/>
      <c r="AG119" s="518"/>
      <c r="AH119" s="161"/>
      <c r="AI119" s="161"/>
      <c r="AJ119" s="161"/>
      <c r="AK119" s="518"/>
      <c r="AL119" s="161"/>
      <c r="AM119" s="161"/>
      <c r="AN119" s="161"/>
      <c r="AO119" s="518"/>
      <c r="AP119" s="161"/>
      <c r="AQ119" s="161"/>
      <c r="AR119" s="161"/>
      <c r="AS119" s="518"/>
      <c r="AT119" s="161"/>
      <c r="AU119" s="161"/>
      <c r="AV119" s="161"/>
      <c r="AW119" s="518"/>
      <c r="AX119" s="161"/>
      <c r="AY119" s="161"/>
      <c r="AZ119" s="161"/>
      <c r="BA119" s="518"/>
      <c r="BB119" s="161"/>
      <c r="BC119" s="161"/>
      <c r="BD119" s="161"/>
      <c r="BE119" s="518"/>
      <c r="BF119" s="161"/>
      <c r="BG119" s="161"/>
      <c r="BH119" s="161"/>
      <c r="BI119" s="518"/>
      <c r="BJ119" s="161"/>
      <c r="BK119" s="161"/>
      <c r="BL119" s="161"/>
      <c r="BM119" s="518"/>
      <c r="BN119" s="161"/>
      <c r="BO119" s="161"/>
      <c r="BP119" s="161"/>
      <c r="BQ119" s="518"/>
      <c r="BR119" s="161"/>
      <c r="BS119" s="161"/>
      <c r="BT119" s="161"/>
      <c r="BU119" s="518"/>
      <c r="BV119" s="161"/>
      <c r="BW119" s="161"/>
      <c r="BX119" s="161"/>
      <c r="BY119" s="518"/>
      <c r="BZ119" s="161"/>
      <c r="CA119" s="161"/>
      <c r="CB119" s="161"/>
      <c r="CC119" s="518"/>
      <c r="CD119" s="161"/>
      <c r="CE119" s="161"/>
      <c r="CF119" s="161"/>
      <c r="CG119" s="518"/>
      <c r="CH119" s="161"/>
      <c r="CI119" s="161"/>
      <c r="CJ119" s="161"/>
      <c r="CK119" s="518"/>
      <c r="CL119" s="161"/>
      <c r="CM119" s="161"/>
      <c r="CN119" s="161"/>
      <c r="CO119" s="518"/>
      <c r="CP119" s="70"/>
      <c r="CQ119" s="70"/>
      <c r="CR119" s="161"/>
      <c r="CS119" s="487"/>
      <c r="CT119" s="70"/>
      <c r="CU119" s="70"/>
      <c r="CV119" s="70"/>
      <c r="CW119" s="487"/>
      <c r="CX119" s="70"/>
      <c r="CY119" s="70"/>
      <c r="CZ119" s="70"/>
      <c r="DA119" s="487"/>
      <c r="DB119" s="70"/>
      <c r="DC119" s="70"/>
      <c r="DD119" s="70"/>
      <c r="DE119" s="487"/>
      <c r="DF119" s="70"/>
      <c r="DG119" s="70"/>
      <c r="DH119" s="70"/>
      <c r="DI119" s="487"/>
      <c r="DJ119" s="1673"/>
      <c r="DK119" s="70"/>
      <c r="DL119" s="70"/>
      <c r="DM119" s="487"/>
      <c r="DN119" s="70"/>
      <c r="DO119" s="487"/>
      <c r="DP119" s="3"/>
      <c r="DQ119" s="3"/>
      <c r="DR119" s="3"/>
      <c r="DS119" s="3"/>
      <c r="DT119" s="3"/>
      <c r="DU119" s="3"/>
      <c r="DV119" s="3"/>
      <c r="DW119" s="3"/>
      <c r="DX119" s="169"/>
      <c r="DY119" s="383"/>
      <c r="DZ119" s="161"/>
      <c r="EA119" s="161"/>
      <c r="EB119" s="161"/>
      <c r="EC119" s="161"/>
      <c r="ED119" s="161"/>
      <c r="EE119" s="161"/>
      <c r="EF119" s="161"/>
      <c r="EG119" s="161"/>
      <c r="EH119" s="161"/>
      <c r="EI119" s="161"/>
      <c r="EJ119" s="161"/>
      <c r="EK119" s="161"/>
      <c r="EL119" s="161"/>
      <c r="EM119" s="161"/>
      <c r="EN119" s="161"/>
      <c r="EO119" s="161"/>
      <c r="EP119" s="161"/>
      <c r="EQ119" s="161"/>
      <c r="ER119" s="161"/>
      <c r="ES119" s="161"/>
      <c r="ET119" s="161"/>
      <c r="EU119" s="161"/>
      <c r="EV119" s="161"/>
      <c r="EW119" s="161"/>
      <c r="EX119" s="70"/>
      <c r="EY119" s="70"/>
      <c r="EZ119" s="1673"/>
      <c r="FA119" s="161"/>
      <c r="FB119" s="161"/>
      <c r="FC119" s="161"/>
      <c r="FD119" s="161"/>
      <c r="FE119" s="161"/>
      <c r="FF119" s="161"/>
      <c r="FG119" s="161"/>
      <c r="FH119" s="161"/>
      <c r="FI119" s="580"/>
      <c r="FJ119"/>
      <c r="FK119"/>
      <c r="FL119"/>
      <c r="FM119"/>
      <c r="FN119"/>
      <c r="FO119"/>
      <c r="FP119" s="3"/>
      <c r="FS119" s="70"/>
      <c r="FT119" s="70"/>
      <c r="FU119"/>
      <c r="FV119"/>
      <c r="FW119" s="70"/>
      <c r="FX119" s="70"/>
      <c r="FY119" s="70"/>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row>
    <row r="120" spans="1:260" s="4" customFormat="1" x14ac:dyDescent="0.2">
      <c r="A120" s="4" t="s">
        <v>309</v>
      </c>
      <c r="B120" s="341"/>
      <c r="C120" s="341"/>
      <c r="D120" s="341"/>
      <c r="E120" s="1120"/>
      <c r="F120" s="341"/>
      <c r="G120" s="341"/>
      <c r="H120" s="341"/>
      <c r="I120" s="1120"/>
      <c r="J120" s="341"/>
      <c r="K120" s="341"/>
      <c r="L120" s="341"/>
      <c r="M120" s="1120"/>
      <c r="N120" s="341"/>
      <c r="O120" s="341"/>
      <c r="P120" s="341"/>
      <c r="Q120" s="1120"/>
      <c r="R120" s="341"/>
      <c r="S120" s="341"/>
      <c r="T120" s="341"/>
      <c r="U120" s="1120"/>
      <c r="V120" s="341"/>
      <c r="W120" s="341"/>
      <c r="X120" s="341"/>
      <c r="Y120" s="1120"/>
      <c r="Z120" s="341"/>
      <c r="AA120" s="341"/>
      <c r="AB120" s="341"/>
      <c r="AC120" s="1120"/>
      <c r="AD120" s="341"/>
      <c r="AE120" s="341"/>
      <c r="AF120" s="341"/>
      <c r="AG120" s="1120"/>
      <c r="AH120" s="341"/>
      <c r="AI120" s="341"/>
      <c r="AJ120" s="341"/>
      <c r="AK120" s="1120"/>
      <c r="AL120" s="341"/>
      <c r="AM120" s="341"/>
      <c r="AN120" s="341"/>
      <c r="AO120" s="1120"/>
      <c r="AP120" s="341"/>
      <c r="AQ120" s="341"/>
      <c r="AR120" s="341"/>
      <c r="AS120" s="1120"/>
      <c r="AT120" s="341"/>
      <c r="AU120" s="341"/>
      <c r="AV120" s="341"/>
      <c r="AW120" s="1120"/>
      <c r="AX120" s="341"/>
      <c r="AY120" s="341"/>
      <c r="AZ120" s="341"/>
      <c r="BA120" s="1120"/>
      <c r="BB120" s="341"/>
      <c r="BC120" s="341"/>
      <c r="BD120" s="341"/>
      <c r="BE120" s="1120"/>
      <c r="BF120" s="341"/>
      <c r="BG120" s="341"/>
      <c r="BH120" s="341"/>
      <c r="BI120" s="1120"/>
      <c r="BJ120" s="341"/>
      <c r="BK120" s="341"/>
      <c r="BL120" s="341"/>
      <c r="BM120" s="1120"/>
      <c r="BN120" s="341"/>
      <c r="BO120" s="341"/>
      <c r="BP120" s="341"/>
      <c r="BQ120" s="1120"/>
      <c r="BR120" s="341">
        <f t="shared" ref="BR120:BY120" si="569">(BR94-BN94)</f>
        <v>1608.5</v>
      </c>
      <c r="BS120" s="341">
        <f t="shared" si="569"/>
        <v>1627</v>
      </c>
      <c r="BT120" s="341">
        <f t="shared" si="569"/>
        <v>1357</v>
      </c>
      <c r="BU120" s="1120">
        <f t="shared" si="569"/>
        <v>1128.5</v>
      </c>
      <c r="BV120" s="341">
        <f t="shared" si="569"/>
        <v>1037.5</v>
      </c>
      <c r="BW120" s="341">
        <f t="shared" si="569"/>
        <v>777</v>
      </c>
      <c r="BX120" s="341">
        <f t="shared" si="569"/>
        <v>496.5</v>
      </c>
      <c r="BY120" s="1120">
        <f t="shared" si="569"/>
        <v>268</v>
      </c>
      <c r="BZ120" s="341">
        <f>(BZ94-BN94)</f>
        <v>1608.5</v>
      </c>
      <c r="CA120" s="341">
        <f>(CA94-BO94)</f>
        <v>1627</v>
      </c>
      <c r="CB120" s="341">
        <f>(CB94-BP94)</f>
        <v>1357</v>
      </c>
      <c r="CC120" s="1120">
        <f>(CC94-BQ94)</f>
        <v>1128.5</v>
      </c>
      <c r="CD120" s="341">
        <f t="shared" ref="CD120:CK120" si="570">(CD94-BZ94)</f>
        <v>1037.5</v>
      </c>
      <c r="CE120" s="341">
        <f t="shared" si="570"/>
        <v>777</v>
      </c>
      <c r="CF120" s="341">
        <f t="shared" si="570"/>
        <v>496.5</v>
      </c>
      <c r="CG120" s="1120">
        <f t="shared" si="570"/>
        <v>268</v>
      </c>
      <c r="CH120" s="341">
        <f t="shared" si="570"/>
        <v>119</v>
      </c>
      <c r="CI120" s="341">
        <f t="shared" si="570"/>
        <v>-672.5</v>
      </c>
      <c r="CJ120" s="341">
        <f t="shared" si="570"/>
        <v>-1508.5</v>
      </c>
      <c r="CK120" s="1120">
        <f t="shared" si="570"/>
        <v>-1552</v>
      </c>
      <c r="CL120" s="341">
        <f>(CL94-CD94)</f>
        <v>119</v>
      </c>
      <c r="CM120" s="341">
        <f>(CM94-CE94)</f>
        <v>-672.5</v>
      </c>
      <c r="CN120" s="341">
        <f>(CN94-CF94)</f>
        <v>-1508.5</v>
      </c>
      <c r="CO120" s="1120">
        <f>(CO94-CG94)</f>
        <v>-1552</v>
      </c>
      <c r="CP120" s="341">
        <f t="shared" ref="CP120:DM120" si="571">(CP94-CL94)</f>
        <v>-1490</v>
      </c>
      <c r="CQ120" s="341">
        <f t="shared" si="571"/>
        <v>-835</v>
      </c>
      <c r="CR120" s="341">
        <f t="shared" si="571"/>
        <v>-147.5</v>
      </c>
      <c r="CS120" s="1120">
        <f t="shared" si="571"/>
        <v>-138.5</v>
      </c>
      <c r="CT120" s="341">
        <f t="shared" si="571"/>
        <v>-266</v>
      </c>
      <c r="CU120" s="341">
        <f t="shared" si="571"/>
        <v>-405</v>
      </c>
      <c r="CV120" s="341">
        <f t="shared" si="571"/>
        <v>-411</v>
      </c>
      <c r="CW120" s="1120">
        <f t="shared" si="571"/>
        <v>-427</v>
      </c>
      <c r="CX120" s="341">
        <f t="shared" si="571"/>
        <v>-365</v>
      </c>
      <c r="CY120" s="341">
        <f t="shared" si="571"/>
        <v>-255.5</v>
      </c>
      <c r="CZ120" s="341">
        <f t="shared" si="571"/>
        <v>-231.5</v>
      </c>
      <c r="DA120" s="1120">
        <f t="shared" si="571"/>
        <v>-355</v>
      </c>
      <c r="DB120" s="341">
        <f t="shared" si="571"/>
        <v>-517</v>
      </c>
      <c r="DC120" s="1473">
        <f t="shared" si="571"/>
        <v>-519</v>
      </c>
      <c r="DD120" s="2235">
        <f t="shared" si="571"/>
        <v>-632.5</v>
      </c>
      <c r="DE120" s="1929">
        <f t="shared" si="571"/>
        <v>-574.5</v>
      </c>
      <c r="DF120" s="2235">
        <f t="shared" si="571"/>
        <v>-394.5</v>
      </c>
      <c r="DG120" s="2235">
        <f t="shared" si="571"/>
        <v>-383</v>
      </c>
      <c r="DH120" s="2235">
        <f t="shared" si="571"/>
        <v>-504</v>
      </c>
      <c r="DI120" s="1929">
        <f t="shared" si="571"/>
        <v>-646</v>
      </c>
      <c r="DJ120" s="2736">
        <f t="shared" si="571"/>
        <v>-1019</v>
      </c>
      <c r="DK120" s="1119">
        <f t="shared" si="571"/>
        <v>-1444.3300000000017</v>
      </c>
      <c r="DL120" s="1119">
        <f t="shared" si="571"/>
        <v>-1288.3354160000017</v>
      </c>
      <c r="DM120" s="1120">
        <f t="shared" si="571"/>
        <v>-1030.5634817299942</v>
      </c>
      <c r="DN120" s="3"/>
      <c r="DO120" s="470"/>
      <c r="EA120" s="4">
        <f t="shared" ref="EA120:EP120" si="572">(EA94-DZ94)</f>
        <v>2224.625</v>
      </c>
      <c r="EB120" s="4">
        <f t="shared" si="572"/>
        <v>865.25</v>
      </c>
      <c r="EC120" s="4">
        <f t="shared" si="572"/>
        <v>881</v>
      </c>
      <c r="ED120" s="4">
        <f t="shared" si="572"/>
        <v>1734.875</v>
      </c>
      <c r="EE120" s="4">
        <f t="shared" si="572"/>
        <v>2260.5</v>
      </c>
      <c r="EF120" s="4">
        <f t="shared" si="572"/>
        <v>3379.5</v>
      </c>
      <c r="EG120" s="4">
        <f t="shared" si="572"/>
        <v>2921.125</v>
      </c>
      <c r="EH120" s="4">
        <f t="shared" si="572"/>
        <v>2208.75</v>
      </c>
      <c r="EI120" s="4">
        <f t="shared" si="572"/>
        <v>2104.25</v>
      </c>
      <c r="EJ120" s="4">
        <f t="shared" si="572"/>
        <v>2072.875</v>
      </c>
      <c r="EK120" s="4">
        <f t="shared" si="572"/>
        <v>2958.25</v>
      </c>
      <c r="EL120" s="4">
        <f t="shared" si="572"/>
        <v>3333.125</v>
      </c>
      <c r="EM120" s="4">
        <f t="shared" si="572"/>
        <v>3426.625</v>
      </c>
      <c r="EN120" s="4">
        <f t="shared" si="572"/>
        <v>2415.875</v>
      </c>
      <c r="EO120" s="4">
        <f t="shared" si="572"/>
        <v>1430.25</v>
      </c>
      <c r="EP120" s="4">
        <f t="shared" si="572"/>
        <v>644.75</v>
      </c>
      <c r="EQ120" s="4">
        <f>(EQ94-EN94)</f>
        <v>1430.25</v>
      </c>
      <c r="ER120" s="341">
        <f>(ER94-EQ94)</f>
        <v>644.75</v>
      </c>
      <c r="ES120" s="341">
        <f>(ES94-ER94)</f>
        <v>-903.5</v>
      </c>
      <c r="ET120" s="341">
        <f>(ET94-ER94)</f>
        <v>-903.5</v>
      </c>
      <c r="EU120" s="341">
        <f t="shared" ref="EU120:FH120" si="573">(EU94-ET94)</f>
        <v>-652.75</v>
      </c>
      <c r="EV120" s="341">
        <f t="shared" si="573"/>
        <v>-377.25</v>
      </c>
      <c r="EW120" s="341">
        <f t="shared" si="573"/>
        <v>-91.25</v>
      </c>
      <c r="EX120" s="1473">
        <f t="shared" si="573"/>
        <v>-771.25</v>
      </c>
      <c r="EY120" s="1473">
        <f t="shared" si="573"/>
        <v>-481.875</v>
      </c>
      <c r="EZ120" s="1749">
        <f t="shared" si="573"/>
        <v>-1195.5572244325012</v>
      </c>
      <c r="FA120" s="341">
        <f t="shared" si="573"/>
        <v>-342.6266540420911</v>
      </c>
      <c r="FB120" s="341">
        <f t="shared" si="573"/>
        <v>-334.20752767752128</v>
      </c>
      <c r="FC120" s="341">
        <f t="shared" si="573"/>
        <v>-257.60753948499041</v>
      </c>
      <c r="FD120" s="341">
        <f t="shared" si="573"/>
        <v>-201.0999859083604</v>
      </c>
      <c r="FE120" s="341">
        <f t="shared" si="573"/>
        <v>-200.92057379562175</v>
      </c>
      <c r="FF120" s="341">
        <f t="shared" si="573"/>
        <v>-200.72463992655685</v>
      </c>
      <c r="FG120" s="341">
        <f t="shared" si="573"/>
        <v>-200.51253267750144</v>
      </c>
      <c r="FH120" s="341">
        <f t="shared" si="573"/>
        <v>-200.28459510942048</v>
      </c>
      <c r="FI120" s="596"/>
      <c r="FJ120"/>
      <c r="FK120"/>
      <c r="FL120"/>
      <c r="FM120"/>
      <c r="FN120"/>
      <c r="FO120"/>
      <c r="FP120" s="3"/>
      <c r="FS120"/>
      <c r="FT120"/>
      <c r="FU120"/>
      <c r="FV120"/>
      <c r="FW120" s="2235"/>
      <c r="FX120" s="2235"/>
      <c r="FY120" s="2235"/>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row>
    <row r="121" spans="1:260" s="4" customFormat="1" x14ac:dyDescent="0.2">
      <c r="B121" s="341"/>
      <c r="C121" s="341"/>
      <c r="D121" s="341"/>
      <c r="E121" s="1120"/>
      <c r="F121" s="341"/>
      <c r="G121" s="341"/>
      <c r="H121" s="341"/>
      <c r="I121" s="1120"/>
      <c r="J121" s="341"/>
      <c r="K121" s="341"/>
      <c r="L121" s="341"/>
      <c r="M121" s="1120"/>
      <c r="N121" s="341"/>
      <c r="O121" s="341"/>
      <c r="P121" s="341"/>
      <c r="Q121" s="1120"/>
      <c r="R121" s="341"/>
      <c r="S121" s="341"/>
      <c r="T121" s="341"/>
      <c r="U121" s="1120"/>
      <c r="V121" s="341"/>
      <c r="W121" s="341"/>
      <c r="X121" s="341"/>
      <c r="Y121" s="1120"/>
      <c r="Z121" s="341"/>
      <c r="AA121" s="341"/>
      <c r="AB121" s="341"/>
      <c r="AC121" s="1120"/>
      <c r="AD121" s="341"/>
      <c r="AE121" s="341"/>
      <c r="AF121" s="341"/>
      <c r="AG121" s="1120"/>
      <c r="AH121" s="341"/>
      <c r="AI121" s="341"/>
      <c r="AJ121" s="341"/>
      <c r="AK121" s="1120"/>
      <c r="AL121" s="341"/>
      <c r="AM121" s="341"/>
      <c r="AN121" s="341"/>
      <c r="AO121" s="1120"/>
      <c r="AP121" s="341"/>
      <c r="AQ121" s="341"/>
      <c r="AR121" s="341"/>
      <c r="AS121" s="1120"/>
      <c r="AT121" s="341"/>
      <c r="AU121" s="341"/>
      <c r="AV121" s="341"/>
      <c r="AW121" s="1120"/>
      <c r="AX121" s="341"/>
      <c r="AY121" s="341"/>
      <c r="AZ121" s="341"/>
      <c r="BA121" s="1120"/>
      <c r="BB121" s="341"/>
      <c r="BC121" s="341"/>
      <c r="BD121" s="341"/>
      <c r="BE121" s="1120"/>
      <c r="BF121" s="341"/>
      <c r="BG121" s="341"/>
      <c r="BH121" s="341"/>
      <c r="BI121" s="1120"/>
      <c r="BJ121" s="341"/>
      <c r="BK121" s="341"/>
      <c r="BL121" s="341"/>
      <c r="BM121" s="1120"/>
      <c r="BN121" s="341"/>
      <c r="BO121" s="341"/>
      <c r="BP121" s="341"/>
      <c r="BQ121" s="1120"/>
      <c r="BR121" s="341"/>
      <c r="BS121" s="341"/>
      <c r="BT121" s="341"/>
      <c r="BU121" s="1120"/>
      <c r="BV121" s="341"/>
      <c r="BW121" s="341"/>
      <c r="BX121" s="341"/>
      <c r="BY121" s="1120"/>
      <c r="BZ121" s="341"/>
      <c r="CA121" s="341"/>
      <c r="CB121" s="341"/>
      <c r="CC121" s="1120"/>
      <c r="CD121" s="341"/>
      <c r="CE121" s="341"/>
      <c r="CF121" s="341"/>
      <c r="CG121" s="1120"/>
      <c r="CH121" s="341"/>
      <c r="CI121" s="341"/>
      <c r="CJ121" s="341"/>
      <c r="CK121" s="1120"/>
      <c r="CL121" s="341"/>
      <c r="CM121" s="341"/>
      <c r="CN121" s="341"/>
      <c r="CO121" s="1120"/>
      <c r="CP121" s="341"/>
      <c r="CQ121" s="341"/>
      <c r="CR121" s="341"/>
      <c r="CS121" s="1120"/>
      <c r="CT121" s="341"/>
      <c r="CU121" s="341"/>
      <c r="CV121" s="341"/>
      <c r="CW121" s="1120"/>
      <c r="CX121" s="341"/>
      <c r="CY121" s="341"/>
      <c r="CZ121" s="341"/>
      <c r="DA121" s="1120"/>
      <c r="DB121" s="341"/>
      <c r="DC121" s="1473"/>
      <c r="DD121" s="2235"/>
      <c r="DE121" s="1929"/>
      <c r="DF121" s="2235"/>
      <c r="DG121" s="2235"/>
      <c r="DH121" s="2235"/>
      <c r="DI121" s="1929"/>
      <c r="DJ121" s="2736"/>
      <c r="DK121" s="1119"/>
      <c r="DL121" s="1119"/>
      <c r="DM121" s="1120"/>
      <c r="DN121" s="3"/>
      <c r="DO121" s="470"/>
      <c r="ER121" s="341"/>
      <c r="ES121" s="341"/>
      <c r="ET121" s="341"/>
      <c r="EU121" s="341"/>
      <c r="EV121" s="341"/>
      <c r="EW121" s="341"/>
      <c r="EX121" s="1473"/>
      <c r="EY121" s="1473"/>
      <c r="EZ121" s="1749"/>
      <c r="FA121" s="341"/>
      <c r="FB121" s="341"/>
      <c r="FC121" s="341"/>
      <c r="FD121" s="341"/>
      <c r="FE121" s="341"/>
      <c r="FF121" s="341"/>
      <c r="FG121" s="341"/>
      <c r="FH121" s="341"/>
      <c r="FI121" s="596"/>
      <c r="FJ121"/>
      <c r="FK121"/>
      <c r="FL121"/>
      <c r="FM121"/>
      <c r="FN121"/>
      <c r="FO121"/>
      <c r="FP121" s="3"/>
      <c r="FS121"/>
      <c r="FT121"/>
      <c r="FU121"/>
      <c r="FV121"/>
      <c r="FW121" s="2235"/>
      <c r="FX121" s="2235"/>
      <c r="FY121" s="2235"/>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row>
    <row r="122" spans="1:260" s="296" customFormat="1" x14ac:dyDescent="0.2">
      <c r="A122" s="296" t="s">
        <v>306</v>
      </c>
      <c r="B122" s="367"/>
      <c r="C122" s="367"/>
      <c r="D122" s="367"/>
      <c r="E122" s="1393"/>
      <c r="F122" s="296">
        <f t="shared" ref="F122:AK122" si="574">+F147-F110</f>
        <v>243.97096999999997</v>
      </c>
      <c r="G122" s="296">
        <f t="shared" si="574"/>
        <v>268.85560000000009</v>
      </c>
      <c r="H122" s="296">
        <f t="shared" si="574"/>
        <v>379.6998000000001</v>
      </c>
      <c r="I122" s="632">
        <f t="shared" si="574"/>
        <v>586.9097399999996</v>
      </c>
      <c r="J122" s="296">
        <f t="shared" si="574"/>
        <v>372.60620000000006</v>
      </c>
      <c r="K122" s="296">
        <f t="shared" si="574"/>
        <v>440.35013199999992</v>
      </c>
      <c r="L122" s="296">
        <f t="shared" si="574"/>
        <v>430.92019000000005</v>
      </c>
      <c r="M122" s="632">
        <f t="shared" si="574"/>
        <v>601.19344599999931</v>
      </c>
      <c r="N122" s="296">
        <f t="shared" si="574"/>
        <v>316.62691599999994</v>
      </c>
      <c r="O122" s="296">
        <f t="shared" si="574"/>
        <v>287.5262929999999</v>
      </c>
      <c r="P122" s="296">
        <f t="shared" si="574"/>
        <v>234.3184369999999</v>
      </c>
      <c r="Q122" s="632">
        <f t="shared" si="574"/>
        <v>60.434167999999772</v>
      </c>
      <c r="R122" s="296">
        <f t="shared" si="574"/>
        <v>103.61608799999976</v>
      </c>
      <c r="S122" s="296">
        <f t="shared" si="574"/>
        <v>114.16784000000007</v>
      </c>
      <c r="T122" s="296">
        <f t="shared" si="574"/>
        <v>107.04629599999976</v>
      </c>
      <c r="U122" s="632">
        <f t="shared" si="574"/>
        <v>107.827585</v>
      </c>
      <c r="V122" s="296">
        <f t="shared" si="574"/>
        <v>86.029696999999942</v>
      </c>
      <c r="W122" s="296">
        <f t="shared" si="574"/>
        <v>63.578483999999662</v>
      </c>
      <c r="X122" s="296">
        <f t="shared" si="574"/>
        <v>129.15239800000109</v>
      </c>
      <c r="Y122" s="632">
        <f t="shared" si="574"/>
        <v>295.90763199999992</v>
      </c>
      <c r="Z122" s="296">
        <f t="shared" si="574"/>
        <v>189.24306099999967</v>
      </c>
      <c r="AA122" s="296">
        <f t="shared" si="574"/>
        <v>267.14197399999966</v>
      </c>
      <c r="AB122" s="296">
        <f t="shared" si="574"/>
        <v>584.96039599999949</v>
      </c>
      <c r="AC122" s="632">
        <f t="shared" si="574"/>
        <v>478.42169999999942</v>
      </c>
      <c r="AD122" s="296">
        <f t="shared" si="574"/>
        <v>351.6710549999998</v>
      </c>
      <c r="AE122" s="296">
        <f t="shared" si="574"/>
        <v>345.51236000000063</v>
      </c>
      <c r="AF122" s="296">
        <f t="shared" si="574"/>
        <v>441.4101169999999</v>
      </c>
      <c r="AG122" s="632">
        <f t="shared" si="574"/>
        <v>1069.3049299999993</v>
      </c>
      <c r="AH122" s="296">
        <f t="shared" si="574"/>
        <v>462.15725799999973</v>
      </c>
      <c r="AI122" s="296">
        <f t="shared" si="574"/>
        <v>530.09221200000047</v>
      </c>
      <c r="AJ122" s="296">
        <f t="shared" si="574"/>
        <v>436.20672000000013</v>
      </c>
      <c r="AK122" s="632">
        <f t="shared" si="574"/>
        <v>154.64576500000021</v>
      </c>
      <c r="AL122" s="296">
        <f t="shared" ref="AL122:BQ122" si="575">+AL147-AL110</f>
        <v>344.95600000000013</v>
      </c>
      <c r="AM122" s="296">
        <f t="shared" si="575"/>
        <v>399.72400000000061</v>
      </c>
      <c r="AN122" s="296">
        <f t="shared" si="575"/>
        <v>452.40400000000045</v>
      </c>
      <c r="AO122" s="632">
        <f t="shared" si="575"/>
        <v>472.79400000000078</v>
      </c>
      <c r="AP122" s="296">
        <f t="shared" si="575"/>
        <v>291.32300000000032</v>
      </c>
      <c r="AQ122" s="296">
        <f t="shared" si="575"/>
        <v>285.38000000000011</v>
      </c>
      <c r="AR122" s="296">
        <f t="shared" si="575"/>
        <v>296.10000000000036</v>
      </c>
      <c r="AS122" s="632">
        <f t="shared" si="575"/>
        <v>559.31099999999969</v>
      </c>
      <c r="AT122" s="296">
        <f t="shared" si="575"/>
        <v>340.47999999999956</v>
      </c>
      <c r="AU122" s="296">
        <f t="shared" si="575"/>
        <v>379.96000000000004</v>
      </c>
      <c r="AV122" s="296">
        <f t="shared" si="575"/>
        <v>325.10000000000036</v>
      </c>
      <c r="AW122" s="632">
        <f t="shared" si="575"/>
        <v>371.24499999999989</v>
      </c>
      <c r="AX122" s="296">
        <f t="shared" si="575"/>
        <v>287.89999999999964</v>
      </c>
      <c r="AY122" s="296">
        <f t="shared" si="575"/>
        <v>281.77199999999993</v>
      </c>
      <c r="AZ122" s="296">
        <f t="shared" si="575"/>
        <v>323.11599999999999</v>
      </c>
      <c r="BA122" s="632">
        <f t="shared" si="575"/>
        <v>605.31199999999808</v>
      </c>
      <c r="BB122" s="296">
        <f t="shared" si="575"/>
        <v>417.36800000000039</v>
      </c>
      <c r="BC122" s="296">
        <f t="shared" si="575"/>
        <v>444.09000000000106</v>
      </c>
      <c r="BD122" s="296">
        <f t="shared" si="575"/>
        <v>465.22400000000107</v>
      </c>
      <c r="BE122" s="632">
        <f t="shared" si="575"/>
        <v>1206.6000000000004</v>
      </c>
      <c r="BF122" s="296">
        <f t="shared" si="575"/>
        <v>437.24600000000009</v>
      </c>
      <c r="BG122" s="296">
        <f t="shared" si="575"/>
        <v>500.44300000000112</v>
      </c>
      <c r="BH122" s="296">
        <f t="shared" si="575"/>
        <v>604.99600000000009</v>
      </c>
      <c r="BI122" s="632">
        <f t="shared" si="575"/>
        <v>199.7559999999994</v>
      </c>
      <c r="BJ122" s="296">
        <f t="shared" si="575"/>
        <v>514.36000000000058</v>
      </c>
      <c r="BK122" s="296">
        <f t="shared" si="575"/>
        <v>515.59800000000178</v>
      </c>
      <c r="BL122" s="296">
        <f t="shared" si="575"/>
        <v>506.97799999999916</v>
      </c>
      <c r="BM122" s="632">
        <f t="shared" si="575"/>
        <v>640.83200000000215</v>
      </c>
      <c r="BN122" s="296">
        <f t="shared" si="575"/>
        <v>437.19700000000012</v>
      </c>
      <c r="BO122" s="296">
        <f t="shared" si="575"/>
        <v>393.1230000000005</v>
      </c>
      <c r="BP122" s="296">
        <f t="shared" si="575"/>
        <v>357.98400000000038</v>
      </c>
      <c r="BQ122" s="632">
        <f t="shared" si="575"/>
        <v>460.68799999999646</v>
      </c>
      <c r="BR122" s="296">
        <f t="shared" ref="BR122:CQ122" si="576">+BR125-BR110</f>
        <v>257.61777440932747</v>
      </c>
      <c r="BS122" s="296">
        <f t="shared" si="576"/>
        <v>272.19069298032264</v>
      </c>
      <c r="BT122" s="296">
        <f t="shared" si="576"/>
        <v>209.50978876239151</v>
      </c>
      <c r="BU122" s="632">
        <f t="shared" si="576"/>
        <v>173.05761705356235</v>
      </c>
      <c r="BV122" s="296">
        <f t="shared" si="576"/>
        <v>117.03263046217398</v>
      </c>
      <c r="BW122" s="296">
        <f t="shared" si="576"/>
        <v>92.015811346883311</v>
      </c>
      <c r="BX122" s="296">
        <f t="shared" si="576"/>
        <v>97.094409506515149</v>
      </c>
      <c r="BY122" s="632">
        <f t="shared" si="576"/>
        <v>714.25815231749766</v>
      </c>
      <c r="BZ122" s="296">
        <f t="shared" si="576"/>
        <v>425.35581049992834</v>
      </c>
      <c r="CA122" s="296">
        <f t="shared" si="576"/>
        <v>-24.784427854309797</v>
      </c>
      <c r="CB122" s="296">
        <f t="shared" si="576"/>
        <v>-524.00891374225102</v>
      </c>
      <c r="CC122" s="632">
        <f t="shared" si="576"/>
        <v>915.07948552217385</v>
      </c>
      <c r="CD122" s="296">
        <f t="shared" si="576"/>
        <v>190.96999343276093</v>
      </c>
      <c r="CE122" s="296">
        <f t="shared" si="576"/>
        <v>112.09276573963871</v>
      </c>
      <c r="CF122" s="296">
        <f t="shared" si="576"/>
        <v>106.68648222110096</v>
      </c>
      <c r="CG122" s="632">
        <f t="shared" si="576"/>
        <v>86.192065681587337</v>
      </c>
      <c r="CH122" s="296">
        <f t="shared" si="576"/>
        <v>724.38246469772093</v>
      </c>
      <c r="CI122" s="296">
        <f t="shared" si="576"/>
        <v>-54.959457352222671</v>
      </c>
      <c r="CJ122" s="296">
        <f t="shared" si="576"/>
        <v>-77.497542109704227</v>
      </c>
      <c r="CK122" s="632">
        <f t="shared" si="576"/>
        <v>-147.35764028013</v>
      </c>
      <c r="CL122" s="296">
        <f t="shared" si="576"/>
        <v>391.68371426752128</v>
      </c>
      <c r="CM122" s="296">
        <f t="shared" si="576"/>
        <v>175.84786316731879</v>
      </c>
      <c r="CN122" s="296">
        <f t="shared" si="576"/>
        <v>331.70974117782589</v>
      </c>
      <c r="CO122" s="632">
        <f t="shared" si="576"/>
        <v>24.159618350839082</v>
      </c>
      <c r="CP122" s="296">
        <f t="shared" si="576"/>
        <v>-778.59060247644084</v>
      </c>
      <c r="CQ122" s="296">
        <f t="shared" si="576"/>
        <v>-1.022190784601662</v>
      </c>
      <c r="CR122" s="280" t="s">
        <v>644</v>
      </c>
      <c r="CS122" s="632">
        <f t="shared" ref="CS122:DE122" si="577">+CS125-CS110</f>
        <v>-148.39561257649984</v>
      </c>
      <c r="CT122" s="296">
        <f t="shared" si="577"/>
        <v>-76.601190787817359</v>
      </c>
      <c r="CU122" s="296">
        <f t="shared" si="577"/>
        <v>-49.538119614147945</v>
      </c>
      <c r="CV122" s="296">
        <f t="shared" si="577"/>
        <v>-55.116820276498402</v>
      </c>
      <c r="CW122" s="632">
        <f t="shared" si="577"/>
        <v>101.46419645470633</v>
      </c>
      <c r="CX122" s="296">
        <f t="shared" si="577"/>
        <v>63.233736280682933</v>
      </c>
      <c r="CY122" s="296">
        <f t="shared" si="577"/>
        <v>23.052361239288075</v>
      </c>
      <c r="CZ122" s="296">
        <f t="shared" si="577"/>
        <v>30.601256381381063</v>
      </c>
      <c r="DA122" s="632">
        <f t="shared" si="577"/>
        <v>-34.233956603922707</v>
      </c>
      <c r="DB122" s="296">
        <f t="shared" si="577"/>
        <v>-67.502902534854002</v>
      </c>
      <c r="DC122" s="318">
        <f t="shared" si="577"/>
        <v>-60.363564356435745</v>
      </c>
      <c r="DD122" s="318">
        <f t="shared" si="577"/>
        <v>-45.88098772257672</v>
      </c>
      <c r="DE122" s="635">
        <f t="shared" si="577"/>
        <v>-126.10925909091202</v>
      </c>
      <c r="DF122" s="2493">
        <f t="shared" ref="DF122" si="578">+DF125-DF110</f>
        <v>-34.914602642103091</v>
      </c>
      <c r="DG122" s="2493">
        <f t="shared" ref="DG122:DI122" si="579">+DG125-DG110</f>
        <v>-25.505027699140555</v>
      </c>
      <c r="DH122" s="2493">
        <f t="shared" si="579"/>
        <v>-51.127396903249974</v>
      </c>
      <c r="DI122" s="635">
        <f t="shared" si="579"/>
        <v>668.14951834776184</v>
      </c>
      <c r="DJ122" s="2737">
        <f t="shared" ref="DJ122:DM122" si="580">+((DJ92-DF92)/1000)*DF107*(DJ111+1)*DJ123</f>
        <v>-88.308306703287712</v>
      </c>
      <c r="DK122" s="1394">
        <f t="shared" si="580"/>
        <v>-97.910717487430617</v>
      </c>
      <c r="DL122" s="1394">
        <f t="shared" si="580"/>
        <v>-72.036931243572596</v>
      </c>
      <c r="DM122" s="632">
        <f t="shared" si="580"/>
        <v>-97.063246991198199</v>
      </c>
      <c r="DN122" s="1394"/>
      <c r="DO122" s="632"/>
      <c r="DY122" s="296">
        <f>+F122+G122+H122+I122</f>
        <v>1479.4361099999996</v>
      </c>
      <c r="DZ122" s="296">
        <f>+J122+K122+L122+M122</f>
        <v>1845.0699679999993</v>
      </c>
      <c r="EA122" s="296">
        <f>+N122+O122+P122+Q122</f>
        <v>898.90581399999951</v>
      </c>
      <c r="EB122" s="296">
        <f>+R122+S122+T122+U122</f>
        <v>432.65780899999959</v>
      </c>
      <c r="EC122" s="296">
        <f>+V122+W122+X122+Y122</f>
        <v>574.66821100000061</v>
      </c>
      <c r="ED122" s="296">
        <f>+Z122+AA122+AB122+AC122</f>
        <v>1519.7671309999982</v>
      </c>
      <c r="EE122" s="296">
        <f>+AD122+AE122+AF122+AG122</f>
        <v>2207.8984619999997</v>
      </c>
      <c r="EF122" s="296">
        <f>+AH122+AI122+AJ122+AK122</f>
        <v>1583.1019550000005</v>
      </c>
      <c r="EG122" s="296">
        <f>+AL122+AM122+AN122+AO122</f>
        <v>1669.878000000002</v>
      </c>
      <c r="EH122" s="296">
        <f>+AP122+AQ122+AR122+AS122</f>
        <v>1432.1140000000005</v>
      </c>
      <c r="EI122" s="296">
        <f>+AT122+AU122+AV122+AW122</f>
        <v>1416.7849999999999</v>
      </c>
      <c r="EJ122" s="296">
        <f>+AX122+AY122+AZ122+BA122</f>
        <v>1498.0999999999976</v>
      </c>
      <c r="EK122" s="296">
        <f>SUM(BB122:BE122)</f>
        <v>2533.2820000000029</v>
      </c>
      <c r="EL122" s="296">
        <f>SUM(BF122:BI122)</f>
        <v>1742.4410000000007</v>
      </c>
      <c r="EM122" s="296">
        <f>SUM(BJ122:BM122)</f>
        <v>2177.7680000000037</v>
      </c>
      <c r="EN122" s="296">
        <f>SUM(BN122:BQ122)</f>
        <v>1648.9919999999975</v>
      </c>
      <c r="EO122" s="296">
        <f>SUM(BR122:BU122)</f>
        <v>912.37587320560397</v>
      </c>
      <c r="EP122" s="296">
        <f>SUM(BV122:BY122)</f>
        <v>1020.4010036330701</v>
      </c>
      <c r="EQ122" s="296">
        <f>SUM(BZ122:CC122)</f>
        <v>791.64195442554137</v>
      </c>
      <c r="ER122" s="296">
        <f>SUM(CD122:CG122)</f>
        <v>495.94130707508793</v>
      </c>
      <c r="ES122" s="296">
        <f>SUM(CH122:CK122)</f>
        <v>444.56782495566404</v>
      </c>
      <c r="ET122" s="296">
        <f>SUM(CL122:CO122)</f>
        <v>923.40093696350505</v>
      </c>
      <c r="EU122" s="296">
        <f>SUM(CP122:CS122)</f>
        <v>-928.00840583754234</v>
      </c>
      <c r="EV122" s="296">
        <f>SUM(CT122:CW122)</f>
        <v>-79.79193422375738</v>
      </c>
      <c r="EW122" s="296">
        <f>SUM(CX122:DA122)</f>
        <v>82.653397297429365</v>
      </c>
      <c r="EX122" s="318">
        <f>SUM(DB122:DE122)</f>
        <v>-299.85671370477849</v>
      </c>
      <c r="EY122" s="318">
        <f>SUM(DF122:DI122)</f>
        <v>556.60249110326822</v>
      </c>
      <c r="EZ122" s="1750">
        <f>SUM(DJ122:DM122)</f>
        <v>-355.3192024254891</v>
      </c>
      <c r="FA122" s="296">
        <f t="shared" ref="FA122:FH122" si="581">+((FA92-EZ92)/1000)*EZ107*(FA111+1)*FA123</f>
        <v>-71.231653124229965</v>
      </c>
      <c r="FB122" s="296">
        <f t="shared" si="581"/>
        <v>-63.213388625163262</v>
      </c>
      <c r="FC122" s="296">
        <f t="shared" si="581"/>
        <v>-40.765851709276077</v>
      </c>
      <c r="FD122" s="296">
        <f t="shared" si="581"/>
        <v>-41.155692661515744</v>
      </c>
      <c r="FE122" s="296">
        <f t="shared" si="581"/>
        <v>-41.485909028047473</v>
      </c>
      <c r="FF122" s="296">
        <f t="shared" si="581"/>
        <v>-41.816054769717198</v>
      </c>
      <c r="FG122" s="296">
        <f t="shared" si="581"/>
        <v>-42.146141414457901</v>
      </c>
      <c r="FH122" s="296">
        <f t="shared" si="581"/>
        <v>-42.476180327350114</v>
      </c>
      <c r="FI122" s="1374"/>
      <c r="FJ122"/>
      <c r="FK122"/>
      <c r="FL122"/>
      <c r="FM122"/>
      <c r="FN122"/>
      <c r="FO122"/>
      <c r="FP122" s="1394"/>
      <c r="FS122" s="1366"/>
      <c r="FT122" s="1366"/>
      <c r="FU122"/>
      <c r="FV122"/>
      <c r="FW122" s="1366"/>
      <c r="FX122" s="1366"/>
      <c r="FY122" s="1366"/>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row>
    <row r="123" spans="1:260" s="4" customFormat="1" x14ac:dyDescent="0.2">
      <c r="A123" s="287" t="s">
        <v>19</v>
      </c>
      <c r="B123" s="15"/>
      <c r="C123" s="15"/>
      <c r="D123" s="15"/>
      <c r="E123" s="518"/>
      <c r="F123" s="15">
        <f t="shared" ref="F123:AK123" si="582">(F126-F111)/F95</f>
        <v>0.92390403960953382</v>
      </c>
      <c r="G123" s="15">
        <f t="shared" si="582"/>
        <v>0.83896916891550188</v>
      </c>
      <c r="H123" s="15">
        <f t="shared" si="582"/>
        <v>0.63779469483782292</v>
      </c>
      <c r="I123" s="518">
        <f t="shared" si="582"/>
        <v>0.74604717386151986</v>
      </c>
      <c r="J123" s="15">
        <f t="shared" si="582"/>
        <v>0.81656824773477465</v>
      </c>
      <c r="K123" s="15">
        <f t="shared" si="582"/>
        <v>0.92076182611835422</v>
      </c>
      <c r="L123" s="15">
        <f t="shared" si="582"/>
        <v>0.81655131503381362</v>
      </c>
      <c r="M123" s="518">
        <f t="shared" si="582"/>
        <v>0.92908947548804732</v>
      </c>
      <c r="N123" s="15">
        <f t="shared" si="582"/>
        <v>0.74185689681675693</v>
      </c>
      <c r="O123" s="15">
        <f t="shared" si="582"/>
        <v>0.65301555239938869</v>
      </c>
      <c r="P123" s="15">
        <f t="shared" si="582"/>
        <v>0.53726934115957936</v>
      </c>
      <c r="Q123" s="518">
        <f t="shared" si="582"/>
        <v>0.15525217561562263</v>
      </c>
      <c r="R123" s="15">
        <f t="shared" si="582"/>
        <v>0.65057409431968694</v>
      </c>
      <c r="S123" s="15">
        <f t="shared" si="582"/>
        <v>0.76080873252560532</v>
      </c>
      <c r="T123" s="15">
        <f t="shared" si="582"/>
        <v>0.73072630236487446</v>
      </c>
      <c r="U123" s="518">
        <f t="shared" si="582"/>
        <v>0.81276801501616081</v>
      </c>
      <c r="V123" s="15">
        <f t="shared" si="582"/>
        <v>0.8489577760581255</v>
      </c>
      <c r="W123" s="15">
        <f t="shared" si="582"/>
        <v>0.70261305971142307</v>
      </c>
      <c r="X123" s="15">
        <f t="shared" si="582"/>
        <v>0.85039447932513768</v>
      </c>
      <c r="Y123" s="518">
        <f t="shared" si="582"/>
        <v>0.98547428329524311</v>
      </c>
      <c r="Z123" s="15">
        <f t="shared" si="582"/>
        <v>0.97601898148858113</v>
      </c>
      <c r="AA123" s="15">
        <f t="shared" si="582"/>
        <v>0.96347407443642774</v>
      </c>
      <c r="AB123" s="15">
        <f t="shared" si="582"/>
        <v>1.5274736731691636</v>
      </c>
      <c r="AC123" s="518">
        <f t="shared" si="582"/>
        <v>0.90832035178647441</v>
      </c>
      <c r="AD123" s="15">
        <f t="shared" si="582"/>
        <v>0.92781568168339568</v>
      </c>
      <c r="AE123" s="15">
        <f t="shared" si="582"/>
        <v>0.90010013260500887</v>
      </c>
      <c r="AF123" s="15">
        <f t="shared" si="582"/>
        <v>0.97713492422838399</v>
      </c>
      <c r="AG123" s="518">
        <f t="shared" si="582"/>
        <v>1.4745303157141589</v>
      </c>
      <c r="AH123" s="15">
        <f t="shared" si="582"/>
        <v>0.78312188716909803</v>
      </c>
      <c r="AI123" s="15">
        <f t="shared" si="582"/>
        <v>0.75571681840555194</v>
      </c>
      <c r="AJ123" s="15">
        <f t="shared" si="582"/>
        <v>0.58495859537372785</v>
      </c>
      <c r="AK123" s="518">
        <f t="shared" si="582"/>
        <v>0.15699186019035855</v>
      </c>
      <c r="AL123" s="15">
        <f t="shared" ref="AL123:BQ123" si="583">(AL126-AL111)/AL95</f>
        <v>0.65817381498625072</v>
      </c>
      <c r="AM123" s="15">
        <f t="shared" si="583"/>
        <v>0.70857555520723425</v>
      </c>
      <c r="AN123" s="15">
        <f t="shared" si="583"/>
        <v>0.74393239946048084</v>
      </c>
      <c r="AO123" s="518">
        <f t="shared" si="583"/>
        <v>0.63391914541893835</v>
      </c>
      <c r="AP123" s="15">
        <f t="shared" si="583"/>
        <v>0.64614672004846663</v>
      </c>
      <c r="AQ123" s="15">
        <f t="shared" si="583"/>
        <v>0.69179679828718232</v>
      </c>
      <c r="AR123" s="15">
        <f t="shared" si="583"/>
        <v>0.74922824763360873</v>
      </c>
      <c r="AS123" s="518">
        <f t="shared" si="583"/>
        <v>1.0109282412616765</v>
      </c>
      <c r="AT123" s="15">
        <f t="shared" si="583"/>
        <v>0.84628014716894084</v>
      </c>
      <c r="AU123" s="15">
        <f t="shared" si="583"/>
        <v>0.84205152001765882</v>
      </c>
      <c r="AV123" s="15">
        <f t="shared" si="583"/>
        <v>0.77147059920102845</v>
      </c>
      <c r="AW123" s="518">
        <f t="shared" si="583"/>
        <v>0.71241180638776991</v>
      </c>
      <c r="AX123" s="15">
        <f t="shared" si="583"/>
        <v>0.85570513947832016</v>
      </c>
      <c r="AY123" s="15">
        <f t="shared" si="583"/>
        <v>0.72589558244882302</v>
      </c>
      <c r="AZ123" s="15">
        <f t="shared" si="583"/>
        <v>0.69142780125586956</v>
      </c>
      <c r="BA123" s="518">
        <f t="shared" si="583"/>
        <v>0.88393607935771545</v>
      </c>
      <c r="BB123" s="15">
        <f t="shared" si="583"/>
        <v>0.82597561418789334</v>
      </c>
      <c r="BC123" s="15">
        <f t="shared" si="583"/>
        <v>0.73000948814515654</v>
      </c>
      <c r="BD123" s="15">
        <f t="shared" si="583"/>
        <v>0.7041396373369031</v>
      </c>
      <c r="BE123" s="518">
        <f t="shared" si="583"/>
        <v>1.2378874760843483</v>
      </c>
      <c r="BF123" s="15">
        <f t="shared" si="583"/>
        <v>0.69543281729605955</v>
      </c>
      <c r="BG123" s="15">
        <f t="shared" si="583"/>
        <v>0.74350173998008673</v>
      </c>
      <c r="BH123" s="15">
        <f t="shared" si="583"/>
        <v>0.81570285899934969</v>
      </c>
      <c r="BI123" s="518">
        <f t="shared" si="583"/>
        <v>0.17679556359599916</v>
      </c>
      <c r="BJ123" s="15">
        <f t="shared" si="583"/>
        <v>0.77225400613706074</v>
      </c>
      <c r="BK123" s="15">
        <f t="shared" si="583"/>
        <v>0.71591553048356882</v>
      </c>
      <c r="BL123" s="15">
        <f t="shared" si="583"/>
        <v>0.6576663476439476</v>
      </c>
      <c r="BM123" s="518">
        <f t="shared" si="583"/>
        <v>0.64186384565563992</v>
      </c>
      <c r="BN123" s="15">
        <f t="shared" si="583"/>
        <v>0.30472770199332461</v>
      </c>
      <c r="BO123" s="15">
        <f t="shared" si="583"/>
        <v>0.19285789262703223</v>
      </c>
      <c r="BP123" s="15">
        <f t="shared" si="583"/>
        <v>0.11552932861417693</v>
      </c>
      <c r="BQ123" s="518">
        <f t="shared" si="583"/>
        <v>-0.75968117782623934</v>
      </c>
      <c r="BR123" s="77">
        <f t="shared" ref="BR123:CW123" si="584">(BR126-BR111)/BR95</f>
        <v>0.90410839527589515</v>
      </c>
      <c r="BS123" s="77">
        <f t="shared" si="584"/>
        <v>0.86773428018179588</v>
      </c>
      <c r="BT123" s="77">
        <f t="shared" si="584"/>
        <v>0.75295913206563991</v>
      </c>
      <c r="BU123" s="487">
        <f t="shared" si="584"/>
        <v>0.55464887129627261</v>
      </c>
      <c r="BV123" s="77">
        <f t="shared" si="584"/>
        <v>0.63277873602687673</v>
      </c>
      <c r="BW123" s="77">
        <f t="shared" si="584"/>
        <v>0.62924465062670865</v>
      </c>
      <c r="BX123" s="77">
        <f t="shared" si="584"/>
        <v>1.0129627200778324</v>
      </c>
      <c r="BY123" s="487">
        <f t="shared" si="584"/>
        <v>10.389666534819963</v>
      </c>
      <c r="BZ123" s="77">
        <f t="shared" si="584"/>
        <v>2.3307973553577148</v>
      </c>
      <c r="CA123" s="77">
        <f t="shared" si="584"/>
        <v>-0.24556119255788855</v>
      </c>
      <c r="CB123" s="77">
        <f t="shared" si="584"/>
        <v>-2.3408905287995236</v>
      </c>
      <c r="CC123" s="487">
        <f t="shared" si="584"/>
        <v>2.118850933533134</v>
      </c>
      <c r="CD123" s="77">
        <f t="shared" si="584"/>
        <v>0.9584549380237567</v>
      </c>
      <c r="CE123" s="77">
        <f t="shared" si="584"/>
        <v>0.79104792566729398</v>
      </c>
      <c r="CF123" s="77">
        <f t="shared" si="584"/>
        <v>1.2259400445383486</v>
      </c>
      <c r="CG123" s="487">
        <f t="shared" si="584"/>
        <v>1.2007465770557741</v>
      </c>
      <c r="CH123" s="77">
        <f t="shared" si="584"/>
        <v>33.101761222107356</v>
      </c>
      <c r="CI123" s="77">
        <f t="shared" si="584"/>
        <v>0.47130888611056476</v>
      </c>
      <c r="CJ123" s="77">
        <f t="shared" si="584"/>
        <v>0.29446326254878114</v>
      </c>
      <c r="CK123" s="487">
        <f t="shared" si="584"/>
        <v>0.36359763538560602</v>
      </c>
      <c r="CL123" s="77">
        <f t="shared" si="584"/>
        <v>33.541089911872731</v>
      </c>
      <c r="CM123" s="77">
        <f t="shared" si="584"/>
        <v>0.39787710539513466</v>
      </c>
      <c r="CN123" s="77">
        <f t="shared" si="584"/>
        <v>0.27135745451341753</v>
      </c>
      <c r="CO123" s="487">
        <f t="shared" si="584"/>
        <v>0.33113246066950874</v>
      </c>
      <c r="CP123" s="77">
        <f t="shared" si="584"/>
        <v>2.7274255440195132</v>
      </c>
      <c r="CQ123" s="77">
        <f t="shared" si="584"/>
        <v>7.1663130629549196E-3</v>
      </c>
      <c r="CR123" s="77">
        <f t="shared" si="584"/>
        <v>-0.1982087376772399</v>
      </c>
      <c r="CS123" s="487">
        <f t="shared" si="584"/>
        <v>4.0135753883139378</v>
      </c>
      <c r="CT123" s="77">
        <f t="shared" si="584"/>
        <v>1.6362094062169832</v>
      </c>
      <c r="CU123" s="101">
        <f t="shared" si="584"/>
        <v>0.70923535237189583</v>
      </c>
      <c r="CV123" s="101">
        <f t="shared" si="584"/>
        <v>0.77496375427651099</v>
      </c>
      <c r="CW123" s="493">
        <f t="shared" si="584"/>
        <v>-0.93466945086152364</v>
      </c>
      <c r="CX123" s="2572">
        <f t="shared" ref="CX123:DE123" si="585">(CX126-CX111)/CX95</f>
        <v>-1.0204654893461087</v>
      </c>
      <c r="CY123" s="2572">
        <f t="shared" si="585"/>
        <v>-0.53989782639186723</v>
      </c>
      <c r="CZ123" s="2572">
        <f t="shared" si="585"/>
        <v>-0.7484716125955676</v>
      </c>
      <c r="DA123" s="2010">
        <f t="shared" si="585"/>
        <v>0.36629365020227128</v>
      </c>
      <c r="DB123" s="2572">
        <f t="shared" si="585"/>
        <v>0.75448899729109364</v>
      </c>
      <c r="DC123" s="2572">
        <f t="shared" si="585"/>
        <v>0.67271632340184662</v>
      </c>
      <c r="DD123" s="2572">
        <f t="shared" si="585"/>
        <v>0.40912396903138415</v>
      </c>
      <c r="DE123" s="2010">
        <f t="shared" si="585"/>
        <v>0.8597687976949443</v>
      </c>
      <c r="DF123" s="2400">
        <f t="shared" ref="DF123" si="586">(DF126-DF111)/DF95</f>
        <v>0.52110235758245893</v>
      </c>
      <c r="DG123" s="2400">
        <f t="shared" ref="DG123:DI123" si="587">(DG126-DG111)/DG95</f>
        <v>0.38841752149934528</v>
      </c>
      <c r="DH123" s="2400">
        <f t="shared" si="587"/>
        <v>0.56879478533418526</v>
      </c>
      <c r="DI123" s="2010">
        <f t="shared" si="587"/>
        <v>-4.196135964802675</v>
      </c>
      <c r="DJ123" s="2738">
        <v>0.36899999999999999</v>
      </c>
      <c r="DK123" s="2598">
        <v>0.36899999999999999</v>
      </c>
      <c r="DL123" s="2598">
        <v>0.36899999999999999</v>
      </c>
      <c r="DM123" s="1595">
        <v>0.36899999999999999</v>
      </c>
      <c r="DN123" s="1282"/>
      <c r="DO123" s="487"/>
      <c r="DP123" s="3"/>
      <c r="DQ123" s="3"/>
      <c r="DR123" s="3"/>
      <c r="DS123" s="3"/>
      <c r="DT123" s="3"/>
      <c r="DU123" s="3"/>
      <c r="DV123" s="3"/>
      <c r="DW123" s="3"/>
      <c r="DY123" s="383"/>
      <c r="DZ123" s="15">
        <f t="shared" ref="DZ123:EY123" si="588">(DZ126-DZ111)/DZ95</f>
        <v>0.84987916847210998</v>
      </c>
      <c r="EA123" s="15">
        <f t="shared" si="588"/>
        <v>0.49871833929605491</v>
      </c>
      <c r="EB123" s="15">
        <f t="shared" si="588"/>
        <v>0.71956621387837771</v>
      </c>
      <c r="EC123" s="15">
        <f t="shared" si="588"/>
        <v>0.94016354937830005</v>
      </c>
      <c r="ED123" s="15">
        <f t="shared" si="588"/>
        <v>0.97267716403867222</v>
      </c>
      <c r="EE123" s="15">
        <f t="shared" si="588"/>
        <v>1.1539109900590081</v>
      </c>
      <c r="EF123" s="15">
        <f t="shared" si="588"/>
        <v>0.51927680444878643</v>
      </c>
      <c r="EG123" s="15">
        <f t="shared" si="588"/>
        <v>0.67150683636190511</v>
      </c>
      <c r="EH123" s="15">
        <f t="shared" si="588"/>
        <v>0.77260343701532586</v>
      </c>
      <c r="EI123" s="15">
        <f t="shared" si="588"/>
        <v>0.7642111648403892</v>
      </c>
      <c r="EJ123" s="15">
        <f t="shared" si="588"/>
        <v>0.81457678745874396</v>
      </c>
      <c r="EK123" s="15">
        <f t="shared" si="588"/>
        <v>0.92477786580928401</v>
      </c>
      <c r="EL123" s="15">
        <f t="shared" si="588"/>
        <v>0.53787757377298562</v>
      </c>
      <c r="EM123" s="15">
        <f t="shared" si="588"/>
        <v>0.68411187111938376</v>
      </c>
      <c r="EN123" s="15">
        <f t="shared" si="588"/>
        <v>-1.5615653466100854E-2</v>
      </c>
      <c r="EO123" s="15">
        <f t="shared" si="588"/>
        <v>0.58679841741180705</v>
      </c>
      <c r="EP123" s="77">
        <f t="shared" si="588"/>
        <v>1.9212464011804062</v>
      </c>
      <c r="EQ123" s="15">
        <f t="shared" si="588"/>
        <v>0.25558354201891081</v>
      </c>
      <c r="ER123" s="77">
        <f t="shared" si="588"/>
        <v>0.92552438857110919</v>
      </c>
      <c r="ES123" s="77">
        <f t="shared" si="588"/>
        <v>-0.19695107404559889</v>
      </c>
      <c r="ET123" s="77">
        <f t="shared" si="588"/>
        <v>-0.19695107404559889</v>
      </c>
      <c r="EU123" s="77">
        <f t="shared" si="588"/>
        <v>1.789531538625766</v>
      </c>
      <c r="EV123" s="77">
        <f t="shared" si="588"/>
        <v>0.33981648360173478</v>
      </c>
      <c r="EW123" s="77">
        <f t="shared" si="588"/>
        <v>-0.93144503983541505</v>
      </c>
      <c r="EX123" s="77">
        <f t="shared" si="588"/>
        <v>0.51109680235909016</v>
      </c>
      <c r="EY123" s="77">
        <f t="shared" si="588"/>
        <v>-1.4579280238630306</v>
      </c>
      <c r="EZ123" s="1680">
        <f t="shared" ref="EZ123" si="589">(EZ126-EZ111)/EZ95</f>
        <v>0.39420969713570003</v>
      </c>
      <c r="FA123" s="1607">
        <v>0.25</v>
      </c>
      <c r="FB123" s="1607">
        <f t="shared" ref="FB123:FH123" si="590">FA123</f>
        <v>0.25</v>
      </c>
      <c r="FC123" s="1607">
        <f t="shared" si="590"/>
        <v>0.25</v>
      </c>
      <c r="FD123" s="1607">
        <f t="shared" si="590"/>
        <v>0.25</v>
      </c>
      <c r="FE123" s="1607">
        <f t="shared" si="590"/>
        <v>0.25</v>
      </c>
      <c r="FF123" s="1607">
        <f t="shared" si="590"/>
        <v>0.25</v>
      </c>
      <c r="FG123" s="1607">
        <f t="shared" si="590"/>
        <v>0.25</v>
      </c>
      <c r="FH123" s="1607">
        <f t="shared" si="590"/>
        <v>0.25</v>
      </c>
      <c r="FI123" s="596"/>
      <c r="FJ123"/>
      <c r="FK123"/>
      <c r="FL123"/>
      <c r="FM123"/>
      <c r="FN123"/>
      <c r="FO123"/>
      <c r="FP123" s="3"/>
      <c r="FS123" s="1282"/>
      <c r="FT123" s="1282"/>
      <c r="FU123"/>
      <c r="FV123"/>
      <c r="FW123" s="2640"/>
      <c r="FX123" s="2640"/>
      <c r="FY123" s="2640"/>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row>
    <row r="124" spans="1:260" s="4" customFormat="1" x14ac:dyDescent="0.2">
      <c r="A124" s="287"/>
      <c r="B124" s="871"/>
      <c r="C124" s="871"/>
      <c r="D124" s="871"/>
      <c r="E124" s="872"/>
      <c r="F124" s="15"/>
      <c r="G124" s="15"/>
      <c r="H124" s="15"/>
      <c r="I124" s="518"/>
      <c r="J124" s="15"/>
      <c r="K124" s="15"/>
      <c r="L124" s="15"/>
      <c r="M124" s="518"/>
      <c r="N124" s="15"/>
      <c r="O124" s="15"/>
      <c r="P124" s="15"/>
      <c r="Q124" s="518"/>
      <c r="R124" s="15"/>
      <c r="S124" s="15"/>
      <c r="T124" s="15"/>
      <c r="U124" s="518"/>
      <c r="V124" s="15"/>
      <c r="W124" s="15"/>
      <c r="X124" s="15"/>
      <c r="Y124" s="518"/>
      <c r="Z124" s="15"/>
      <c r="AA124" s="15"/>
      <c r="AB124" s="15"/>
      <c r="AC124" s="518"/>
      <c r="AD124" s="15"/>
      <c r="AE124" s="15"/>
      <c r="AF124" s="15"/>
      <c r="AG124" s="518"/>
      <c r="AH124" s="15"/>
      <c r="AI124" s="15"/>
      <c r="AJ124" s="15"/>
      <c r="AK124" s="518"/>
      <c r="AL124" s="15"/>
      <c r="AM124" s="15"/>
      <c r="AN124" s="15"/>
      <c r="AO124" s="518"/>
      <c r="AP124" s="15"/>
      <c r="AQ124" s="15"/>
      <c r="AR124" s="15"/>
      <c r="AS124" s="518"/>
      <c r="AT124" s="15"/>
      <c r="AU124" s="15"/>
      <c r="AV124" s="15"/>
      <c r="AW124" s="518"/>
      <c r="AX124" s="15"/>
      <c r="AY124" s="15"/>
      <c r="AZ124" s="15"/>
      <c r="BA124" s="518"/>
      <c r="BB124" s="15"/>
      <c r="BC124" s="15"/>
      <c r="BD124" s="15"/>
      <c r="BE124" s="518"/>
      <c r="BF124" s="15"/>
      <c r="BG124" s="15"/>
      <c r="BH124" s="15"/>
      <c r="BI124" s="518"/>
      <c r="BJ124" s="15"/>
      <c r="BK124" s="15"/>
      <c r="BL124" s="15"/>
      <c r="BM124" s="518"/>
      <c r="BN124" s="15"/>
      <c r="BO124" s="15"/>
      <c r="BP124" s="15"/>
      <c r="BQ124" s="518"/>
      <c r="BR124" s="15"/>
      <c r="BS124" s="15"/>
      <c r="BT124" s="15"/>
      <c r="BU124" s="518"/>
      <c r="BV124" s="77"/>
      <c r="BW124" s="77"/>
      <c r="BX124" s="77"/>
      <c r="BY124" s="487"/>
      <c r="BZ124" s="15"/>
      <c r="CA124" s="15"/>
      <c r="CB124" s="15"/>
      <c r="CC124" s="518"/>
      <c r="CD124" s="77"/>
      <c r="CE124" s="77"/>
      <c r="CF124" s="77"/>
      <c r="CG124" s="487"/>
      <c r="CH124" s="77"/>
      <c r="CI124" s="77"/>
      <c r="CJ124" s="77"/>
      <c r="CK124" s="487"/>
      <c r="CL124" s="77"/>
      <c r="CM124" s="77"/>
      <c r="CN124" s="77"/>
      <c r="CO124" s="487"/>
      <c r="CP124" s="77"/>
      <c r="CQ124" s="77"/>
      <c r="CR124" s="77"/>
      <c r="CS124" s="487"/>
      <c r="CT124" s="77"/>
      <c r="CU124" s="77"/>
      <c r="CV124" s="77"/>
      <c r="CW124" s="487"/>
      <c r="CX124" s="77"/>
      <c r="CY124" s="77"/>
      <c r="CZ124" s="77"/>
      <c r="DA124" s="487"/>
      <c r="DB124" s="77"/>
      <c r="DC124" s="77"/>
      <c r="DD124" s="70"/>
      <c r="DE124" s="487"/>
      <c r="DF124" s="70"/>
      <c r="DG124" s="70"/>
      <c r="DH124" s="70"/>
      <c r="DI124" s="487"/>
      <c r="DJ124" s="1673"/>
      <c r="DK124" s="70"/>
      <c r="DL124" s="70"/>
      <c r="DM124" s="487"/>
      <c r="DN124" s="70"/>
      <c r="DO124" s="487"/>
      <c r="DP124" s="3"/>
      <c r="DQ124" s="3"/>
      <c r="DR124" s="3"/>
      <c r="DS124" s="3"/>
      <c r="DT124" s="3"/>
      <c r="DU124" s="3"/>
      <c r="DV124" s="3"/>
      <c r="DW124" s="3"/>
      <c r="DY124" s="383"/>
      <c r="DZ124" s="15"/>
      <c r="EA124" s="15"/>
      <c r="EB124" s="15"/>
      <c r="EC124" s="15"/>
      <c r="ED124" s="15"/>
      <c r="EE124" s="15"/>
      <c r="EF124" s="15"/>
      <c r="EG124" s="15"/>
      <c r="EH124" s="15"/>
      <c r="EI124" s="15"/>
      <c r="EJ124" s="15"/>
      <c r="EK124" s="15"/>
      <c r="EL124" s="15"/>
      <c r="EM124" s="15"/>
      <c r="EN124" s="15"/>
      <c r="EO124" s="15"/>
      <c r="EP124" s="15"/>
      <c r="EQ124" s="15"/>
      <c r="ER124" s="15"/>
      <c r="ES124" s="15"/>
      <c r="ET124" s="15"/>
      <c r="EU124" s="15"/>
      <c r="EV124" s="15"/>
      <c r="EW124" s="15"/>
      <c r="EX124" s="77"/>
      <c r="EY124" s="77"/>
      <c r="EZ124" s="1680"/>
      <c r="FA124" s="1283"/>
      <c r="FB124" s="1283"/>
      <c r="FC124" s="1283"/>
      <c r="FD124" s="1283"/>
      <c r="FE124" s="1283"/>
      <c r="FF124" s="1283"/>
      <c r="FG124" s="1283"/>
      <c r="FH124" s="1283"/>
      <c r="FI124" s="596"/>
      <c r="FJ124"/>
      <c r="FK124"/>
      <c r="FL124"/>
      <c r="FM124"/>
      <c r="FN124"/>
      <c r="FO124"/>
      <c r="FP124" s="3"/>
      <c r="FS124" s="70"/>
      <c r="FT124" s="70"/>
      <c r="FU124"/>
      <c r="FV124"/>
      <c r="FW124" s="70"/>
      <c r="FX124" s="75"/>
      <c r="FY124" s="75"/>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row>
    <row r="125" spans="1:260" s="4" customFormat="1" x14ac:dyDescent="0.2">
      <c r="A125" s="436" t="s">
        <v>472</v>
      </c>
      <c r="B125" s="871">
        <f t="shared" ref="B125:AG125" si="591">B147-B128</f>
        <v>441.91899999999998</v>
      </c>
      <c r="C125" s="871">
        <f t="shared" si="591"/>
        <v>562.98</v>
      </c>
      <c r="D125" s="871">
        <f t="shared" si="591"/>
        <v>808.476</v>
      </c>
      <c r="E125" s="872">
        <f t="shared" si="591"/>
        <v>1193.1590000000001</v>
      </c>
      <c r="F125" s="871">
        <f t="shared" si="591"/>
        <v>849.4</v>
      </c>
      <c r="G125" s="871">
        <f t="shared" si="591"/>
        <v>933.17200000000003</v>
      </c>
      <c r="H125" s="871">
        <f t="shared" si="591"/>
        <v>1349.8710000000001</v>
      </c>
      <c r="I125" s="872">
        <f t="shared" si="591"/>
        <v>1947.1110000000001</v>
      </c>
      <c r="J125" s="871">
        <f t="shared" si="591"/>
        <v>1274.6690000000001</v>
      </c>
      <c r="K125" s="871">
        <f t="shared" si="591"/>
        <v>1437.9110000000001</v>
      </c>
      <c r="L125" s="871">
        <f t="shared" si="591"/>
        <v>1929.277</v>
      </c>
      <c r="M125" s="872">
        <f t="shared" si="591"/>
        <v>2575.5639999999999</v>
      </c>
      <c r="N125" s="871">
        <f t="shared" si="591"/>
        <v>1637.184</v>
      </c>
      <c r="O125" s="871">
        <f t="shared" si="591"/>
        <v>1778.64</v>
      </c>
      <c r="P125" s="871">
        <f t="shared" si="591"/>
        <v>2007.3240000000001</v>
      </c>
      <c r="Q125" s="872">
        <f t="shared" si="591"/>
        <v>2347.5349999999999</v>
      </c>
      <c r="R125" s="871">
        <f t="shared" si="591"/>
        <v>1606.5509999999999</v>
      </c>
      <c r="S125" s="871">
        <f t="shared" si="591"/>
        <v>1793.204</v>
      </c>
      <c r="T125" s="871">
        <f t="shared" si="591"/>
        <v>2106.3409999999999</v>
      </c>
      <c r="U125" s="872">
        <f t="shared" si="591"/>
        <v>2852.096</v>
      </c>
      <c r="V125" s="871">
        <f t="shared" si="591"/>
        <v>1938.383</v>
      </c>
      <c r="W125" s="871">
        <f t="shared" si="591"/>
        <v>2177.7660000000001</v>
      </c>
      <c r="X125" s="871">
        <f t="shared" si="591"/>
        <v>2492.4670000000001</v>
      </c>
      <c r="Y125" s="872">
        <f t="shared" si="591"/>
        <v>3456.03</v>
      </c>
      <c r="Z125" s="871">
        <f t="shared" si="591"/>
        <v>2385.431</v>
      </c>
      <c r="AA125" s="871">
        <f t="shared" si="591"/>
        <v>2686.64</v>
      </c>
      <c r="AB125" s="871">
        <f t="shared" si="591"/>
        <v>3107.337</v>
      </c>
      <c r="AC125" s="872">
        <f t="shared" si="591"/>
        <v>4314.6149999999998</v>
      </c>
      <c r="AD125" s="871">
        <f t="shared" si="591"/>
        <v>2963.7179999999998</v>
      </c>
      <c r="AE125" s="871">
        <f t="shared" si="591"/>
        <v>3169.1709999999998</v>
      </c>
      <c r="AF125" s="871">
        <f t="shared" si="591"/>
        <v>3732.08</v>
      </c>
      <c r="AG125" s="872">
        <f t="shared" si="591"/>
        <v>5461.5829999999996</v>
      </c>
      <c r="AH125" s="871">
        <f t="shared" ref="AH125:BM125" si="592">AH147-AH128</f>
        <v>3334</v>
      </c>
      <c r="AI125" s="871">
        <f t="shared" si="592"/>
        <v>3788</v>
      </c>
      <c r="AJ125" s="871">
        <f t="shared" si="592"/>
        <v>4228</v>
      </c>
      <c r="AK125" s="872">
        <f t="shared" si="592"/>
        <v>5862</v>
      </c>
      <c r="AL125" s="871">
        <f t="shared" si="592"/>
        <v>3899</v>
      </c>
      <c r="AM125" s="871">
        <f t="shared" si="592"/>
        <v>4290</v>
      </c>
      <c r="AN125" s="871">
        <f t="shared" si="592"/>
        <v>4710</v>
      </c>
      <c r="AO125" s="872">
        <f t="shared" si="592"/>
        <v>6411</v>
      </c>
      <c r="AP125" s="871">
        <f t="shared" si="592"/>
        <v>4280</v>
      </c>
      <c r="AQ125" s="871">
        <f t="shared" si="592"/>
        <v>4910</v>
      </c>
      <c r="AR125" s="871">
        <f t="shared" si="592"/>
        <v>5430</v>
      </c>
      <c r="AS125" s="872">
        <f t="shared" si="592"/>
        <v>7605</v>
      </c>
      <c r="AT125" s="871">
        <f t="shared" si="592"/>
        <v>4980</v>
      </c>
      <c r="AU125" s="871">
        <f t="shared" si="592"/>
        <v>5506</v>
      </c>
      <c r="AV125" s="871">
        <f t="shared" si="592"/>
        <v>5918</v>
      </c>
      <c r="AW125" s="872">
        <f t="shared" si="592"/>
        <v>8212</v>
      </c>
      <c r="AX125" s="871">
        <f t="shared" si="592"/>
        <v>5492</v>
      </c>
      <c r="AY125" s="871">
        <f t="shared" si="592"/>
        <v>5997</v>
      </c>
      <c r="AZ125" s="871">
        <f t="shared" si="592"/>
        <v>6466</v>
      </c>
      <c r="BA125" s="872">
        <f t="shared" si="592"/>
        <v>9425</v>
      </c>
      <c r="BB125" s="871">
        <f t="shared" si="592"/>
        <v>6162</v>
      </c>
      <c r="BC125" s="871">
        <f t="shared" si="592"/>
        <v>6621</v>
      </c>
      <c r="BD125" s="871">
        <f t="shared" si="592"/>
        <v>7164</v>
      </c>
      <c r="BE125" s="872">
        <f t="shared" si="592"/>
        <v>11084</v>
      </c>
      <c r="BF125" s="871">
        <f t="shared" si="592"/>
        <v>6704</v>
      </c>
      <c r="BG125" s="871">
        <f t="shared" si="592"/>
        <v>7234</v>
      </c>
      <c r="BH125" s="871">
        <f t="shared" si="592"/>
        <v>8206</v>
      </c>
      <c r="BI125" s="872">
        <f t="shared" si="592"/>
        <v>11184</v>
      </c>
      <c r="BJ125" s="871">
        <f t="shared" si="592"/>
        <v>7453</v>
      </c>
      <c r="BK125" s="871">
        <f t="shared" si="592"/>
        <v>8133</v>
      </c>
      <c r="BL125" s="871">
        <f t="shared" si="592"/>
        <v>8196</v>
      </c>
      <c r="BM125" s="872">
        <f t="shared" si="592"/>
        <v>11288</v>
      </c>
      <c r="BN125" s="871">
        <f t="shared" ref="BN125:CS125" si="593">BN147-BN128</f>
        <v>7273.6634378600966</v>
      </c>
      <c r="BO125" s="871">
        <f t="shared" si="593"/>
        <v>7985.6276846582932</v>
      </c>
      <c r="BP125" s="871">
        <f t="shared" si="593"/>
        <v>8624.8849473089376</v>
      </c>
      <c r="BQ125" s="872">
        <f t="shared" si="593"/>
        <v>11748.385678010449</v>
      </c>
      <c r="BR125" s="871">
        <f t="shared" si="593"/>
        <v>7606.3159317037216</v>
      </c>
      <c r="BS125" s="871">
        <f t="shared" si="593"/>
        <v>8101.4881142036202</v>
      </c>
      <c r="BT125" s="871">
        <f t="shared" si="593"/>
        <v>8382.4568936205633</v>
      </c>
      <c r="BU125" s="872">
        <f t="shared" si="593"/>
        <v>11189.468102591598</v>
      </c>
      <c r="BV125" s="871">
        <f t="shared" si="593"/>
        <v>7504.3138435081682</v>
      </c>
      <c r="BW125" s="871">
        <f t="shared" si="593"/>
        <v>7933.0015690500904</v>
      </c>
      <c r="BX125" s="871">
        <f t="shared" si="593"/>
        <v>8491.9482723446763</v>
      </c>
      <c r="BY125" s="872">
        <f t="shared" si="593"/>
        <v>11477.686404135833</v>
      </c>
      <c r="BZ125" s="871">
        <f t="shared" si="593"/>
        <v>8194.3159317037225</v>
      </c>
      <c r="CA125" s="871">
        <f t="shared" si="593"/>
        <v>7850.4881142036202</v>
      </c>
      <c r="CB125" s="871">
        <f t="shared" si="593"/>
        <v>7610.4568936205633</v>
      </c>
      <c r="CC125" s="872">
        <f t="shared" si="593"/>
        <v>11683.468102591598</v>
      </c>
      <c r="CD125" s="871">
        <f t="shared" si="593"/>
        <v>8037.3138435081682</v>
      </c>
      <c r="CE125" s="871">
        <f t="shared" si="593"/>
        <v>7599.0015690500904</v>
      </c>
      <c r="CF125" s="871">
        <f t="shared" si="593"/>
        <v>7661.9482723446754</v>
      </c>
      <c r="CG125" s="872">
        <f t="shared" si="593"/>
        <v>11460.686404135833</v>
      </c>
      <c r="CH125" s="871">
        <f t="shared" si="593"/>
        <v>8396.3766122098023</v>
      </c>
      <c r="CI125" s="871">
        <f t="shared" si="593"/>
        <v>7371.3257918552035</v>
      </c>
      <c r="CJ125" s="871">
        <f t="shared" si="593"/>
        <v>7239.4639443961769</v>
      </c>
      <c r="CK125" s="872">
        <f t="shared" si="593"/>
        <v>11301.987281399046</v>
      </c>
      <c r="CL125" s="871">
        <f t="shared" si="593"/>
        <v>8396.3766122098023</v>
      </c>
      <c r="CM125" s="871">
        <f t="shared" si="593"/>
        <v>7371.3257918552035</v>
      </c>
      <c r="CN125" s="871">
        <f t="shared" si="593"/>
        <v>7239.4639443961769</v>
      </c>
      <c r="CO125" s="872">
        <f t="shared" si="593"/>
        <v>11301.987281399046</v>
      </c>
      <c r="CP125" s="871">
        <f t="shared" si="593"/>
        <v>7451</v>
      </c>
      <c r="CQ125" s="871">
        <f t="shared" si="593"/>
        <v>7298</v>
      </c>
      <c r="CR125" s="871">
        <f t="shared" si="593"/>
        <v>7313</v>
      </c>
      <c r="CS125" s="872">
        <f t="shared" si="593"/>
        <v>10728</v>
      </c>
      <c r="CT125" s="847">
        <f t="shared" ref="CT125:DI125" si="594">CT147-CT128</f>
        <v>7142</v>
      </c>
      <c r="CU125" s="847">
        <f t="shared" si="594"/>
        <v>7004</v>
      </c>
      <c r="CV125" s="847">
        <f t="shared" si="594"/>
        <v>7391</v>
      </c>
      <c r="CW125" s="842">
        <f t="shared" si="594"/>
        <v>10997</v>
      </c>
      <c r="CX125" s="1598">
        <f t="shared" si="594"/>
        <v>7217</v>
      </c>
      <c r="CY125" s="1598">
        <f t="shared" si="594"/>
        <v>7202</v>
      </c>
      <c r="CZ125" s="1598">
        <f t="shared" si="594"/>
        <v>7379.0169999999998</v>
      </c>
      <c r="DA125" s="1597">
        <f t="shared" si="594"/>
        <v>10574.1</v>
      </c>
      <c r="DB125" s="1598">
        <f t="shared" si="594"/>
        <v>6995.1530000000002</v>
      </c>
      <c r="DC125" s="1598">
        <f t="shared" si="594"/>
        <v>7052.7879999999996</v>
      </c>
      <c r="DD125" s="1598">
        <f t="shared" si="594"/>
        <v>7309.6700970000002</v>
      </c>
      <c r="DE125" s="1597">
        <f>DE147-DE128</f>
        <v>10066.842499999999</v>
      </c>
      <c r="DF125" s="1596">
        <f t="shared" si="594"/>
        <v>6890.5374250000004</v>
      </c>
      <c r="DG125" s="1596">
        <f t="shared" si="594"/>
        <v>7174.8898559999998</v>
      </c>
      <c r="DH125" s="1596">
        <f t="shared" si="594"/>
        <v>7411.9105286309996</v>
      </c>
      <c r="DI125" s="1597">
        <f t="shared" si="594"/>
        <v>11309.305307499999</v>
      </c>
      <c r="DJ125" s="2735">
        <f t="shared" ref="DJ125:DM125" si="595">DJ110+DJ122</f>
        <v>6940.0398667967129</v>
      </c>
      <c r="DK125" s="1596">
        <f t="shared" si="595"/>
        <v>7112.8535877925688</v>
      </c>
      <c r="DL125" s="1596">
        <f t="shared" si="595"/>
        <v>7265.7544921011167</v>
      </c>
      <c r="DM125" s="1597">
        <f t="shared" si="595"/>
        <v>10646.776795133801</v>
      </c>
      <c r="DN125" s="70"/>
      <c r="DO125" s="487"/>
      <c r="DP125" s="3"/>
      <c r="DQ125" s="3"/>
      <c r="DR125" s="3"/>
      <c r="DS125" s="3"/>
      <c r="DT125" s="3"/>
      <c r="DU125" s="3"/>
      <c r="DV125" s="3"/>
      <c r="DW125" s="3"/>
      <c r="DX125" s="223">
        <f>SUM(B125:E125)</f>
        <v>3006.5340000000001</v>
      </c>
      <c r="DY125" s="223">
        <f>SUM(F125:I125)</f>
        <v>5079.5540000000001</v>
      </c>
      <c r="DZ125" s="223">
        <f>SUM(J125:M125)</f>
        <v>7217.4210000000003</v>
      </c>
      <c r="EA125" s="223">
        <f>SUM(N125:Q125)</f>
        <v>7770.683</v>
      </c>
      <c r="EB125" s="223">
        <f>SUM(R125:U125)</f>
        <v>8358.1919999999991</v>
      </c>
      <c r="EC125" s="223">
        <f>SUM(V125:Y125)</f>
        <v>10064.646000000001</v>
      </c>
      <c r="ED125" s="223">
        <f>SUM(Z125:AC125)</f>
        <v>12494.022999999999</v>
      </c>
      <c r="EE125" s="223">
        <f>SUM(AD125:AG125)</f>
        <v>15326.552</v>
      </c>
      <c r="EF125" s="223">
        <f>SUM(AH125:AK125)</f>
        <v>17212</v>
      </c>
      <c r="EG125" s="223">
        <f>SUM(AL125:AO125)</f>
        <v>19310</v>
      </c>
      <c r="EH125" s="223">
        <f>SUM(AP125:AS125)</f>
        <v>22225</v>
      </c>
      <c r="EI125" s="223">
        <f>SUM(AT125:AW125)</f>
        <v>24616</v>
      </c>
      <c r="EJ125" s="223">
        <f>SUM(AX125:BA125)</f>
        <v>27380</v>
      </c>
      <c r="EK125" s="223">
        <f>SUM(BB125:BE125)</f>
        <v>31031</v>
      </c>
      <c r="EL125" s="223">
        <f>SUM(BF125:BI125)</f>
        <v>33328</v>
      </c>
      <c r="EM125" s="223">
        <f>SUM(BJ125:BM125)</f>
        <v>35070</v>
      </c>
      <c r="EN125" s="223">
        <f>SUM(BN125:BQ125)</f>
        <v>35632.561747837775</v>
      </c>
      <c r="EO125" s="223">
        <f>SUM(BR125:BU125)</f>
        <v>35279.729042119507</v>
      </c>
      <c r="EP125" s="223">
        <f>SUM(BV125:BY125)</f>
        <v>35406.950089038772</v>
      </c>
      <c r="EQ125" s="223">
        <f>SUM(BZ125:CC125)</f>
        <v>35338.729042119507</v>
      </c>
      <c r="ER125" s="223">
        <f>SUM(CD125:CG125)</f>
        <v>34758.950089038764</v>
      </c>
      <c r="ES125" s="223">
        <f>SUM(CH125:CK125)</f>
        <v>34309.15362986023</v>
      </c>
      <c r="ET125" s="1392">
        <f>SUM(CL125:CO125)</f>
        <v>34309.15362986023</v>
      </c>
      <c r="EU125" s="761">
        <f>SUM(CP125:CS125)</f>
        <v>32790</v>
      </c>
      <c r="EV125" s="198">
        <f>SUM(CT125:CW125)</f>
        <v>32534</v>
      </c>
      <c r="EW125" s="198">
        <f>SUM(CX125:DA125)</f>
        <v>32372.116999999998</v>
      </c>
      <c r="EX125" s="198">
        <f>SUM(DB125:DE125)</f>
        <v>31424.453597</v>
      </c>
      <c r="EY125" s="198">
        <f>SUM(DF125:DI125)</f>
        <v>32786.643117130996</v>
      </c>
      <c r="EZ125" s="1736">
        <f>SUM(DJ125:DM125)</f>
        <v>31965.424741824201</v>
      </c>
      <c r="FA125" s="198">
        <f t="shared" ref="FA125:FH125" si="596">FA110+FA122</f>
        <v>31574.53884128173</v>
      </c>
      <c r="FB125" s="198">
        <f t="shared" si="596"/>
        <v>31353.452758450156</v>
      </c>
      <c r="FC125" s="198">
        <f t="shared" si="596"/>
        <v>31312.686906740881</v>
      </c>
      <c r="FD125" s="198">
        <f t="shared" si="596"/>
        <v>31428.094648613067</v>
      </c>
      <c r="FE125" s="198">
        <f t="shared" si="596"/>
        <v>31543.749212828083</v>
      </c>
      <c r="FF125" s="198">
        <f t="shared" si="596"/>
        <v>31659.6519041225</v>
      </c>
      <c r="FG125" s="198">
        <f t="shared" si="596"/>
        <v>31775.804022228655</v>
      </c>
      <c r="FH125" s="198">
        <f t="shared" si="596"/>
        <v>31892.206862012445</v>
      </c>
      <c r="FI125" s="1384"/>
      <c r="FJ125"/>
      <c r="FK125"/>
      <c r="FL125"/>
      <c r="FM125"/>
      <c r="FN125"/>
      <c r="FO125"/>
      <c r="FP125" s="3"/>
      <c r="FS125" s="1392"/>
      <c r="FT125" s="1392"/>
      <c r="FU125"/>
      <c r="FV125"/>
      <c r="FW125" s="198"/>
      <c r="FX125" s="198"/>
      <c r="FY125" s="198"/>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row>
    <row r="126" spans="1:260" s="4" customFormat="1" x14ac:dyDescent="0.2">
      <c r="A126" s="287" t="s">
        <v>44</v>
      </c>
      <c r="B126" s="383" t="s">
        <v>483</v>
      </c>
      <c r="C126" s="383" t="s">
        <v>483</v>
      </c>
      <c r="D126" s="383" t="s">
        <v>483</v>
      </c>
      <c r="E126" s="549" t="s">
        <v>483</v>
      </c>
      <c r="F126" s="15">
        <f t="shared" ref="F126:AK126" si="597">F125/B125-1</f>
        <v>0.92207169187113469</v>
      </c>
      <c r="G126" s="15">
        <f t="shared" si="597"/>
        <v>0.65755799495541578</v>
      </c>
      <c r="H126" s="15">
        <f t="shared" si="597"/>
        <v>0.66964882074421506</v>
      </c>
      <c r="I126" s="518">
        <f t="shared" si="597"/>
        <v>0.63189566520472118</v>
      </c>
      <c r="J126" s="15">
        <f t="shared" si="597"/>
        <v>0.50066988462444084</v>
      </c>
      <c r="K126" s="15">
        <f t="shared" si="597"/>
        <v>0.54088528159867644</v>
      </c>
      <c r="L126" s="15">
        <f t="shared" si="597"/>
        <v>0.42923064500237418</v>
      </c>
      <c r="M126" s="518">
        <f t="shared" si="597"/>
        <v>0.32276177372527792</v>
      </c>
      <c r="N126" s="15">
        <f t="shared" si="597"/>
        <v>0.28439932249077993</v>
      </c>
      <c r="O126" s="15">
        <f t="shared" si="597"/>
        <v>0.23696111929041508</v>
      </c>
      <c r="P126" s="15">
        <f t="shared" si="597"/>
        <v>4.0454014638644509E-2</v>
      </c>
      <c r="Q126" s="518">
        <f t="shared" si="597"/>
        <v>-8.853555959005488E-2</v>
      </c>
      <c r="R126" s="15">
        <f t="shared" si="597"/>
        <v>-1.8710786325788709E-2</v>
      </c>
      <c r="S126" s="15">
        <f t="shared" si="597"/>
        <v>8.1882786848377354E-3</v>
      </c>
      <c r="T126" s="15">
        <f t="shared" si="597"/>
        <v>4.9327861371657011E-2</v>
      </c>
      <c r="U126" s="518">
        <f t="shared" si="597"/>
        <v>0.21493225873096677</v>
      </c>
      <c r="V126" s="15">
        <f t="shared" si="597"/>
        <v>0.20654930967021912</v>
      </c>
      <c r="W126" s="15">
        <f t="shared" si="597"/>
        <v>0.21445524324059062</v>
      </c>
      <c r="X126" s="15">
        <f t="shared" si="597"/>
        <v>0.18331599679254218</v>
      </c>
      <c r="Y126" s="518">
        <f t="shared" si="597"/>
        <v>0.21175093685486046</v>
      </c>
      <c r="Z126" s="15">
        <f t="shared" si="597"/>
        <v>0.23062934414922132</v>
      </c>
      <c r="AA126" s="15">
        <f t="shared" si="597"/>
        <v>0.23366789636719454</v>
      </c>
      <c r="AB126" s="15">
        <f t="shared" si="597"/>
        <v>0.24669133031650969</v>
      </c>
      <c r="AC126" s="518">
        <f t="shared" si="597"/>
        <v>0.24843100320309697</v>
      </c>
      <c r="AD126" s="15">
        <f t="shared" si="597"/>
        <v>0.24242453460192293</v>
      </c>
      <c r="AE126" s="15">
        <f t="shared" si="597"/>
        <v>0.17960389185004311</v>
      </c>
      <c r="AF126" s="15">
        <f t="shared" si="597"/>
        <v>0.20105415022573991</v>
      </c>
      <c r="AG126" s="518">
        <f t="shared" si="597"/>
        <v>0.26583322034526824</v>
      </c>
      <c r="AH126" s="15">
        <f t="shared" si="597"/>
        <v>0.12493833758812412</v>
      </c>
      <c r="AI126" s="15">
        <f t="shared" si="597"/>
        <v>0.19526526022104851</v>
      </c>
      <c r="AJ126" s="15">
        <f t="shared" si="597"/>
        <v>0.1328803241088079</v>
      </c>
      <c r="AK126" s="518">
        <f t="shared" si="597"/>
        <v>7.3315190852176082E-2</v>
      </c>
      <c r="AL126" s="15">
        <f t="shared" ref="AL126:BQ126" si="598">AL125/AH125-1</f>
        <v>0.16946610677864427</v>
      </c>
      <c r="AM126" s="15">
        <f t="shared" si="598"/>
        <v>0.13252375923970439</v>
      </c>
      <c r="AN126" s="15">
        <f t="shared" si="598"/>
        <v>0.1140018921475876</v>
      </c>
      <c r="AO126" s="518">
        <f t="shared" si="598"/>
        <v>9.3654042988741137E-2</v>
      </c>
      <c r="AP126" s="15">
        <f t="shared" si="598"/>
        <v>9.7717363426519599E-2</v>
      </c>
      <c r="AQ126" s="15">
        <f t="shared" si="598"/>
        <v>0.14452214452214451</v>
      </c>
      <c r="AR126" s="15">
        <f t="shared" si="598"/>
        <v>0.15286624203821653</v>
      </c>
      <c r="AS126" s="518">
        <f t="shared" si="598"/>
        <v>0.18624239588207758</v>
      </c>
      <c r="AT126" s="15">
        <f t="shared" si="598"/>
        <v>0.16355140186915884</v>
      </c>
      <c r="AU126" s="15">
        <f t="shared" si="598"/>
        <v>0.12138492871690421</v>
      </c>
      <c r="AV126" s="15">
        <f t="shared" si="598"/>
        <v>8.9871086556169377E-2</v>
      </c>
      <c r="AW126" s="518">
        <f t="shared" si="598"/>
        <v>7.9815910585141259E-2</v>
      </c>
      <c r="AX126" s="15">
        <f t="shared" si="598"/>
        <v>0.10281124497991967</v>
      </c>
      <c r="AY126" s="15">
        <f t="shared" si="598"/>
        <v>8.9175444969124662E-2</v>
      </c>
      <c r="AZ126" s="15">
        <f t="shared" si="598"/>
        <v>9.2598850963163226E-2</v>
      </c>
      <c r="BA126" s="518">
        <f t="shared" si="598"/>
        <v>0.14771066731612281</v>
      </c>
      <c r="BB126" s="77">
        <f t="shared" si="598"/>
        <v>0.12199563000728331</v>
      </c>
      <c r="BC126" s="77">
        <f t="shared" si="598"/>
        <v>0.10405202601300645</v>
      </c>
      <c r="BD126" s="77">
        <f t="shared" si="598"/>
        <v>0.10794927312094038</v>
      </c>
      <c r="BE126" s="487">
        <f t="shared" si="598"/>
        <v>0.17602122015915111</v>
      </c>
      <c r="BF126" s="77">
        <f t="shared" si="598"/>
        <v>8.7958455047062678E-2</v>
      </c>
      <c r="BG126" s="77">
        <f t="shared" si="598"/>
        <v>9.2584201782208053E-2</v>
      </c>
      <c r="BH126" s="77">
        <f t="shared" si="598"/>
        <v>0.14544946957007254</v>
      </c>
      <c r="BI126" s="487">
        <f t="shared" si="598"/>
        <v>9.0220137134608969E-3</v>
      </c>
      <c r="BJ126" s="77">
        <f t="shared" si="598"/>
        <v>0.11172434367541761</v>
      </c>
      <c r="BK126" s="77">
        <f t="shared" si="598"/>
        <v>0.1242742604368261</v>
      </c>
      <c r="BL126" s="77">
        <f t="shared" si="598"/>
        <v>-1.2186205215696244E-3</v>
      </c>
      <c r="BM126" s="487">
        <f t="shared" si="598"/>
        <v>9.2989985693847643E-3</v>
      </c>
      <c r="BN126" s="77">
        <f t="shared" si="598"/>
        <v>-2.4062332233986794E-2</v>
      </c>
      <c r="BO126" s="77">
        <f t="shared" si="598"/>
        <v>-1.8120289603062445E-2</v>
      </c>
      <c r="BP126" s="77">
        <f t="shared" si="598"/>
        <v>5.2328568485717097E-2</v>
      </c>
      <c r="BQ126" s="487">
        <f t="shared" si="598"/>
        <v>4.0785407336148882E-2</v>
      </c>
      <c r="BR126" s="77">
        <f t="shared" ref="BR126:BY126" si="599">BR125/BN125-1</f>
        <v>4.5733830921037333E-2</v>
      </c>
      <c r="BS126" s="77">
        <f t="shared" si="599"/>
        <v>1.4508618999094391E-2</v>
      </c>
      <c r="BT126" s="77">
        <f t="shared" si="599"/>
        <v>-2.8107975372357208E-2</v>
      </c>
      <c r="BU126" s="487">
        <f t="shared" si="599"/>
        <v>-4.7573989374981251E-2</v>
      </c>
      <c r="BV126" s="77">
        <f t="shared" si="599"/>
        <v>-1.3410182946832494E-2</v>
      </c>
      <c r="BW126" s="15">
        <f t="shared" si="599"/>
        <v>-2.0796987266837763E-2</v>
      </c>
      <c r="BX126" s="15">
        <f t="shared" si="599"/>
        <v>1.3061967405694652E-2</v>
      </c>
      <c r="BY126" s="518">
        <f t="shared" si="599"/>
        <v>2.5757998405436355E-2</v>
      </c>
      <c r="BZ126" s="77">
        <f>BZ125/BN125-1</f>
        <v>0.126573425029751</v>
      </c>
      <c r="CA126" s="77">
        <f>CA125/BO125-1</f>
        <v>-1.6922848871892437E-2</v>
      </c>
      <c r="CB126" s="77">
        <f>CB125/BP125-1</f>
        <v>-0.11761641574185722</v>
      </c>
      <c r="CC126" s="487">
        <f>CC125/BQ125-1</f>
        <v>-5.5256592010217709E-3</v>
      </c>
      <c r="CD126" s="77">
        <f t="shared" ref="CD126:CK126" si="600">CD125/BZ125-1</f>
        <v>-1.915987734718827E-2</v>
      </c>
      <c r="CE126" s="15">
        <f t="shared" si="600"/>
        <v>-3.2034510656544279E-2</v>
      </c>
      <c r="CF126" s="15">
        <f t="shared" si="600"/>
        <v>6.7658721997723159E-3</v>
      </c>
      <c r="CG126" s="518">
        <f t="shared" si="600"/>
        <v>-1.9068113722700897E-2</v>
      </c>
      <c r="CH126" s="77">
        <f t="shared" si="600"/>
        <v>4.4674474046033863E-2</v>
      </c>
      <c r="CI126" s="15">
        <f t="shared" si="600"/>
        <v>-2.9961275192018078E-2</v>
      </c>
      <c r="CJ126" s="15">
        <f t="shared" si="600"/>
        <v>-5.5140587345574921E-2</v>
      </c>
      <c r="CK126" s="518">
        <f t="shared" si="600"/>
        <v>-1.3847261598530225E-2</v>
      </c>
      <c r="CL126" s="77">
        <f>CL125/CD125-1</f>
        <v>4.4674474046033863E-2</v>
      </c>
      <c r="CM126" s="15">
        <f>CM125/CE125-1</f>
        <v>-2.9961275192018078E-2</v>
      </c>
      <c r="CN126" s="15">
        <f>CN125/CF125-1</f>
        <v>-5.5140587345574921E-2</v>
      </c>
      <c r="CO126" s="518">
        <f>CO125/CG125-1</f>
        <v>-1.3847261598530225E-2</v>
      </c>
      <c r="CP126" s="77">
        <f>CP125/CL125-1</f>
        <v>-0.11259340259166783</v>
      </c>
      <c r="CQ126" s="77">
        <f>CQ125/CM125-1</f>
        <v>-9.9474360414545382E-3</v>
      </c>
      <c r="CR126" s="15">
        <f>CR125/CJ125-1</f>
        <v>1.0157665839436225E-2</v>
      </c>
      <c r="CS126" s="487">
        <f t="shared" ref="CS126:DD126" si="601">CS125/CO125-1</f>
        <v>-5.0786403055303464E-2</v>
      </c>
      <c r="CT126" s="77">
        <f t="shared" si="601"/>
        <v>-4.1470943497517121E-2</v>
      </c>
      <c r="CU126" s="77">
        <f t="shared" si="601"/>
        <v>-4.0285009591668919E-2</v>
      </c>
      <c r="CV126" s="77">
        <f t="shared" si="601"/>
        <v>1.0665937371803658E-2</v>
      </c>
      <c r="CW126" s="487">
        <f t="shared" si="601"/>
        <v>2.507457121551071E-2</v>
      </c>
      <c r="CX126" s="77">
        <f t="shared" si="601"/>
        <v>1.0501260151218217E-2</v>
      </c>
      <c r="CY126" s="77">
        <f t="shared" si="601"/>
        <v>2.826956025128502E-2</v>
      </c>
      <c r="CZ126" s="77">
        <f t="shared" si="601"/>
        <v>-1.6212961710188045E-3</v>
      </c>
      <c r="DA126" s="487">
        <f t="shared" si="601"/>
        <v>-3.8455942529780796E-2</v>
      </c>
      <c r="DB126" s="77">
        <f t="shared" si="601"/>
        <v>-3.0739503949009261E-2</v>
      </c>
      <c r="DC126" s="77">
        <f t="shared" si="601"/>
        <v>-2.0718133851707954E-2</v>
      </c>
      <c r="DD126" s="70">
        <f t="shared" si="601"/>
        <v>-9.3978510958844241E-3</v>
      </c>
      <c r="DE126" s="487">
        <f>DE125/DA125-1</f>
        <v>-4.7971694990590397E-2</v>
      </c>
      <c r="DF126" s="70">
        <f t="shared" ref="DF126:DM126" si="602">DF125/DB125-1</f>
        <v>-1.4955437715229336E-2</v>
      </c>
      <c r="DG126" s="70">
        <f t="shared" si="602"/>
        <v>1.7312565754138642E-2</v>
      </c>
      <c r="DH126" s="70">
        <f t="shared" si="602"/>
        <v>1.3987010395032806E-2</v>
      </c>
      <c r="DI126" s="487">
        <f t="shared" si="602"/>
        <v>0.12342130191269018</v>
      </c>
      <c r="DJ126" s="1673">
        <f t="shared" si="602"/>
        <v>7.18411913954764E-3</v>
      </c>
      <c r="DK126" s="70">
        <f t="shared" si="602"/>
        <v>-8.6463025150905759E-3</v>
      </c>
      <c r="DL126" s="70">
        <f t="shared" si="602"/>
        <v>-1.9719077283152031E-2</v>
      </c>
      <c r="DM126" s="487">
        <f t="shared" si="602"/>
        <v>-5.858260028817408E-2</v>
      </c>
      <c r="DN126" s="70"/>
      <c r="DO126" s="487"/>
      <c r="DP126" s="384" t="s">
        <v>483</v>
      </c>
      <c r="DQ126" s="161" t="e">
        <f t="shared" ref="DQ126:DW126" si="603">DQ125/DP125-1</f>
        <v>#DIV/0!</v>
      </c>
      <c r="DR126" s="161" t="e">
        <f t="shared" si="603"/>
        <v>#DIV/0!</v>
      </c>
      <c r="DS126" s="161" t="e">
        <f t="shared" si="603"/>
        <v>#DIV/0!</v>
      </c>
      <c r="DT126" s="161" t="e">
        <f t="shared" si="603"/>
        <v>#DIV/0!</v>
      </c>
      <c r="DU126" s="161" t="e">
        <f t="shared" si="603"/>
        <v>#DIV/0!</v>
      </c>
      <c r="DV126" s="161" t="e">
        <f t="shared" si="603"/>
        <v>#DIV/0!</v>
      </c>
      <c r="DW126" s="161" t="e">
        <f t="shared" si="603"/>
        <v>#DIV/0!</v>
      </c>
      <c r="DX126" s="383" t="s">
        <v>483</v>
      </c>
      <c r="DY126" s="15">
        <f t="shared" ref="DY126:EP126" si="604">DY125/DX125-1</f>
        <v>0.68950492494014703</v>
      </c>
      <c r="DZ126" s="15">
        <f t="shared" si="604"/>
        <v>0.42087691163436802</v>
      </c>
      <c r="EA126" s="15">
        <f t="shared" si="604"/>
        <v>7.6656467732726163E-2</v>
      </c>
      <c r="EB126" s="15">
        <f t="shared" si="604"/>
        <v>7.5605837993905967E-2</v>
      </c>
      <c r="EC126" s="15">
        <f t="shared" si="604"/>
        <v>0.20416544630704836</v>
      </c>
      <c r="ED126" s="15">
        <f t="shared" si="604"/>
        <v>0.24137729235583638</v>
      </c>
      <c r="EE126" s="15">
        <f t="shared" si="604"/>
        <v>0.22671072399978787</v>
      </c>
      <c r="EF126" s="15">
        <f t="shared" si="604"/>
        <v>0.12301840622731075</v>
      </c>
      <c r="EG126" s="15">
        <f t="shared" si="604"/>
        <v>0.12189170346270051</v>
      </c>
      <c r="EH126" s="15">
        <f t="shared" si="604"/>
        <v>0.15095805282237174</v>
      </c>
      <c r="EI126" s="15">
        <f t="shared" si="604"/>
        <v>0.10758155230596178</v>
      </c>
      <c r="EJ126" s="15">
        <f t="shared" si="604"/>
        <v>0.11228469288267795</v>
      </c>
      <c r="EK126" s="15">
        <f t="shared" si="604"/>
        <v>0.133345507669832</v>
      </c>
      <c r="EL126" s="15">
        <f t="shared" si="604"/>
        <v>7.4022751442106349E-2</v>
      </c>
      <c r="EM126" s="15">
        <f t="shared" si="604"/>
        <v>5.2268362938070023E-2</v>
      </c>
      <c r="EN126" s="15">
        <f t="shared" si="604"/>
        <v>1.6041110574216644E-2</v>
      </c>
      <c r="EO126" s="15">
        <f t="shared" si="604"/>
        <v>-9.90197416102645E-3</v>
      </c>
      <c r="EP126" s="15">
        <f t="shared" si="604"/>
        <v>3.6060664402319809E-3</v>
      </c>
      <c r="EQ126" s="77">
        <f>EQ125/EN125-1</f>
        <v>-8.24618526721832E-3</v>
      </c>
      <c r="ER126" s="15">
        <f>ER125/EQ125-1</f>
        <v>-1.6406332904324805E-2</v>
      </c>
      <c r="ES126" s="15">
        <f>ES125/ER125-1</f>
        <v>-1.2940450100659917E-2</v>
      </c>
      <c r="ET126" s="15">
        <f>ET125/ER125-1</f>
        <v>-1.2940450100659917E-2</v>
      </c>
      <c r="EU126" s="15">
        <f>EU125/ES125-1</f>
        <v>-4.4278376734367075E-2</v>
      </c>
      <c r="EV126" s="15">
        <f t="shared" ref="EV126:FH126" si="605">EV125/EU125-1</f>
        <v>-7.8072583104604742E-3</v>
      </c>
      <c r="EW126" s="15">
        <f t="shared" si="605"/>
        <v>-4.9758099219279206E-3</v>
      </c>
      <c r="EX126" s="77">
        <f t="shared" si="605"/>
        <v>-2.9274063324310817E-2</v>
      </c>
      <c r="EY126" s="77">
        <f t="shared" si="605"/>
        <v>4.3348073369875229E-2</v>
      </c>
      <c r="EZ126" s="1680">
        <f t="shared" si="605"/>
        <v>-2.5047345419687339E-2</v>
      </c>
      <c r="FA126" s="15">
        <f t="shared" si="605"/>
        <v>-1.2228396891314497E-2</v>
      </c>
      <c r="FB126" s="15">
        <f t="shared" si="605"/>
        <v>-7.002036797526201E-3</v>
      </c>
      <c r="FC126" s="15">
        <f t="shared" si="605"/>
        <v>-1.3002029480879695E-3</v>
      </c>
      <c r="FD126" s="15">
        <f t="shared" si="605"/>
        <v>3.6856543871788272E-3</v>
      </c>
      <c r="FE126" s="15">
        <f t="shared" si="605"/>
        <v>3.6799737784969366E-3</v>
      </c>
      <c r="FF126" s="15">
        <f t="shared" si="605"/>
        <v>3.6743473488967116E-3</v>
      </c>
      <c r="FG126" s="15">
        <f t="shared" si="605"/>
        <v>3.6687743269543382E-3</v>
      </c>
      <c r="FH126" s="15">
        <f t="shared" si="605"/>
        <v>3.6632539558199007E-3</v>
      </c>
      <c r="FI126" s="580"/>
      <c r="FJ126"/>
      <c r="FK126"/>
      <c r="FL126"/>
      <c r="FM126"/>
      <c r="FN126"/>
      <c r="FO126"/>
      <c r="FP126" s="3"/>
      <c r="FS126" s="70"/>
      <c r="FT126" s="70"/>
      <c r="FU126"/>
      <c r="FV126"/>
      <c r="FW126" s="70"/>
      <c r="FX126" s="70"/>
      <c r="FY126" s="70"/>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row>
    <row r="127" spans="1:260" s="4" customFormat="1" x14ac:dyDescent="0.2">
      <c r="A127" s="287"/>
      <c r="E127" s="470"/>
      <c r="F127" s="383"/>
      <c r="G127" s="383"/>
      <c r="H127" s="383"/>
      <c r="I127" s="549"/>
      <c r="J127" s="15"/>
      <c r="K127" s="15"/>
      <c r="L127" s="15"/>
      <c r="M127" s="518"/>
      <c r="N127" s="15"/>
      <c r="O127" s="15"/>
      <c r="P127" s="15"/>
      <c r="Q127" s="518"/>
      <c r="R127" s="15"/>
      <c r="S127" s="15"/>
      <c r="T127" s="15"/>
      <c r="U127" s="518"/>
      <c r="V127" s="15"/>
      <c r="W127" s="15"/>
      <c r="X127" s="15"/>
      <c r="Y127" s="518"/>
      <c r="Z127" s="15"/>
      <c r="AA127" s="15"/>
      <c r="AB127" s="15"/>
      <c r="AC127" s="518"/>
      <c r="AD127" s="15"/>
      <c r="AE127" s="15"/>
      <c r="AF127" s="15"/>
      <c r="AG127" s="518"/>
      <c r="AH127" s="15"/>
      <c r="AI127" s="15"/>
      <c r="AJ127" s="15"/>
      <c r="AK127" s="518"/>
      <c r="AL127" s="15"/>
      <c r="AM127" s="15"/>
      <c r="AN127" s="15"/>
      <c r="AO127" s="518"/>
      <c r="AP127" s="15"/>
      <c r="AQ127" s="15"/>
      <c r="AR127" s="15"/>
      <c r="AS127" s="518"/>
      <c r="AT127" s="15"/>
      <c r="AU127" s="15"/>
      <c r="AV127" s="15"/>
      <c r="AW127" s="518"/>
      <c r="AX127" s="15"/>
      <c r="AY127" s="15"/>
      <c r="AZ127" s="15"/>
      <c r="BA127" s="518"/>
      <c r="BB127" s="15"/>
      <c r="BC127" s="15"/>
      <c r="BD127" s="15"/>
      <c r="BE127" s="518"/>
      <c r="BF127" s="15"/>
      <c r="BG127" s="15"/>
      <c r="BH127" s="15"/>
      <c r="BI127" s="518"/>
      <c r="BJ127" s="15"/>
      <c r="BK127" s="15"/>
      <c r="BL127" s="15"/>
      <c r="BM127" s="518"/>
      <c r="BN127" s="15"/>
      <c r="BO127" s="15"/>
      <c r="BP127" s="15"/>
      <c r="BQ127" s="518"/>
      <c r="BR127" s="15"/>
      <c r="BS127" s="15"/>
      <c r="BT127" s="15"/>
      <c r="BU127" s="518"/>
      <c r="BV127" s="77"/>
      <c r="BW127" s="77"/>
      <c r="BX127" s="77"/>
      <c r="BY127" s="487"/>
      <c r="BZ127" s="15"/>
      <c r="CA127" s="15"/>
      <c r="CB127" s="15"/>
      <c r="CC127" s="518"/>
      <c r="CD127" s="77"/>
      <c r="CE127" s="77"/>
      <c r="CF127" s="77"/>
      <c r="CG127" s="487"/>
      <c r="CH127" s="77"/>
      <c r="CI127" s="77"/>
      <c r="CJ127" s="77"/>
      <c r="CK127" s="487"/>
      <c r="CL127" s="77"/>
      <c r="CM127" s="77"/>
      <c r="CN127" s="77"/>
      <c r="CO127" s="487"/>
      <c r="CP127" s="77"/>
      <c r="CQ127" s="77"/>
      <c r="CR127" s="77"/>
      <c r="CS127" s="487"/>
      <c r="CT127" s="77"/>
      <c r="CU127" s="77"/>
      <c r="CV127" s="77"/>
      <c r="CW127" s="487"/>
      <c r="CX127" s="77"/>
      <c r="CY127" s="77"/>
      <c r="CZ127" s="77"/>
      <c r="DA127" s="487"/>
      <c r="DB127" s="77"/>
      <c r="DC127" s="77"/>
      <c r="DD127" s="70"/>
      <c r="DE127" s="487"/>
      <c r="DF127" s="70"/>
      <c r="DG127" s="70"/>
      <c r="DH127" s="70"/>
      <c r="DI127" s="487"/>
      <c r="DJ127" s="1673"/>
      <c r="DK127" s="70"/>
      <c r="DL127" s="70"/>
      <c r="DM127" s="487"/>
      <c r="DN127" s="70"/>
      <c r="DO127" s="487"/>
      <c r="DP127" s="3"/>
      <c r="DQ127" s="3"/>
      <c r="DR127" s="3"/>
      <c r="DS127" s="3"/>
      <c r="DT127" s="3"/>
      <c r="DU127" s="3"/>
      <c r="DV127" s="3"/>
      <c r="DW127" s="3"/>
      <c r="DY127" s="383"/>
      <c r="DZ127" s="15"/>
      <c r="EA127" s="15"/>
      <c r="EB127" s="15"/>
      <c r="EC127" s="15"/>
      <c r="ED127" s="15"/>
      <c r="EE127" s="15"/>
      <c r="EF127" s="15"/>
      <c r="EG127" s="15"/>
      <c r="EH127" s="15"/>
      <c r="EI127" s="15"/>
      <c r="EJ127" s="15"/>
      <c r="EK127" s="15"/>
      <c r="EL127" s="15"/>
      <c r="EM127" s="15"/>
      <c r="EN127" s="15"/>
      <c r="EO127" s="15"/>
      <c r="EP127" s="15"/>
      <c r="EQ127" s="15"/>
      <c r="ER127" s="15"/>
      <c r="ES127" s="15"/>
      <c r="ET127" s="15"/>
      <c r="EU127" s="15"/>
      <c r="EV127" s="15"/>
      <c r="EW127" s="15"/>
      <c r="EX127" s="77"/>
      <c r="EY127" s="77"/>
      <c r="EZ127" s="1680"/>
      <c r="FA127" s="1283"/>
      <c r="FB127" s="1283"/>
      <c r="FC127" s="1283"/>
      <c r="FD127" s="1283"/>
      <c r="FE127" s="1283"/>
      <c r="FF127" s="1283"/>
      <c r="FG127" s="1283"/>
      <c r="FH127" s="1283"/>
      <c r="FI127" s="596"/>
      <c r="FJ127"/>
      <c r="FK127"/>
      <c r="FL127"/>
      <c r="FM127"/>
      <c r="FN127"/>
      <c r="FO127"/>
      <c r="FP127" s="3"/>
      <c r="FS127" s="70"/>
      <c r="FT127" s="70"/>
      <c r="FU127"/>
      <c r="FV127"/>
      <c r="FW127" s="70"/>
      <c r="FX127" s="75"/>
      <c r="FY127" s="75"/>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row>
    <row r="128" spans="1:260" s="4" customFormat="1" x14ac:dyDescent="0.2">
      <c r="A128" s="436" t="s">
        <v>473</v>
      </c>
      <c r="E128" s="470"/>
      <c r="F128" s="383"/>
      <c r="G128" s="383"/>
      <c r="H128" s="383"/>
      <c r="I128" s="549"/>
      <c r="J128" s="15"/>
      <c r="K128" s="15"/>
      <c r="L128" s="15"/>
      <c r="M128" s="518"/>
      <c r="N128" s="15"/>
      <c r="O128" s="15"/>
      <c r="P128" s="15"/>
      <c r="Q128" s="518"/>
      <c r="R128" s="15"/>
      <c r="S128" s="15"/>
      <c r="T128" s="15"/>
      <c r="U128" s="518"/>
      <c r="V128" s="15"/>
      <c r="W128" s="15"/>
      <c r="X128" s="15"/>
      <c r="Y128" s="518"/>
      <c r="Z128" s="15"/>
      <c r="AA128" s="15"/>
      <c r="AB128" s="15"/>
      <c r="AC128" s="518"/>
      <c r="AD128" s="15"/>
      <c r="AE128" s="15"/>
      <c r="AF128" s="15"/>
      <c r="AG128" s="518"/>
      <c r="AH128" s="15"/>
      <c r="AI128" s="15"/>
      <c r="AJ128" s="15"/>
      <c r="AK128" s="518"/>
      <c r="AL128" s="15"/>
      <c r="AM128" s="15"/>
      <c r="AN128" s="15"/>
      <c r="AO128" s="518"/>
      <c r="AP128" s="15"/>
      <c r="AQ128" s="15"/>
      <c r="AR128" s="15"/>
      <c r="AS128" s="518"/>
      <c r="AT128" s="15"/>
      <c r="AU128" s="15"/>
      <c r="AV128" s="15"/>
      <c r="AW128" s="518"/>
      <c r="AX128" s="15"/>
      <c r="AY128" s="15"/>
      <c r="AZ128" s="15"/>
      <c r="BA128" s="518"/>
      <c r="BB128" s="15"/>
      <c r="BC128" s="15"/>
      <c r="BD128" s="15"/>
      <c r="BE128" s="518"/>
      <c r="BF128" s="15"/>
      <c r="BG128" s="15"/>
      <c r="BH128" s="15"/>
      <c r="BI128" s="518"/>
      <c r="BJ128" s="15"/>
      <c r="BK128" s="15"/>
      <c r="BL128" s="15"/>
      <c r="BM128" s="518"/>
      <c r="BN128" s="85">
        <f t="shared" ref="BN128:BU128" si="606">BR128/(1+BR129)</f>
        <v>251.33656213990321</v>
      </c>
      <c r="BO128" s="85">
        <f t="shared" si="606"/>
        <v>288.37231534170689</v>
      </c>
      <c r="BP128" s="85">
        <f t="shared" si="606"/>
        <v>306.1150526910626</v>
      </c>
      <c r="BQ128" s="534">
        <f t="shared" si="606"/>
        <v>835.61432198955163</v>
      </c>
      <c r="BR128" s="85">
        <f t="shared" si="606"/>
        <v>316.68406829627804</v>
      </c>
      <c r="BS128" s="85">
        <f t="shared" si="606"/>
        <v>334.51188579638</v>
      </c>
      <c r="BT128" s="85">
        <f t="shared" si="606"/>
        <v>327.54310637943701</v>
      </c>
      <c r="BU128" s="534">
        <f t="shared" si="606"/>
        <v>927.53189740840241</v>
      </c>
      <c r="BV128" s="85">
        <f t="shared" ref="BV128:BY129" si="607">CD128</f>
        <v>354.68615649183147</v>
      </c>
      <c r="BW128" s="85">
        <f t="shared" si="607"/>
        <v>377.99843094990933</v>
      </c>
      <c r="BX128" s="85">
        <f t="shared" si="607"/>
        <v>393.05172765532438</v>
      </c>
      <c r="BY128" s="534">
        <f t="shared" si="607"/>
        <v>1122.3135958641669</v>
      </c>
      <c r="BZ128" s="85">
        <f t="shared" ref="BZ128:CG128" si="608">CD128/(1+CD129)</f>
        <v>316.68406829627804</v>
      </c>
      <c r="CA128" s="85">
        <f t="shared" si="608"/>
        <v>334.51188579638</v>
      </c>
      <c r="CB128" s="85">
        <f t="shared" si="608"/>
        <v>327.54310637943701</v>
      </c>
      <c r="CC128" s="534">
        <f t="shared" si="608"/>
        <v>927.53189740840241</v>
      </c>
      <c r="CD128" s="85">
        <f t="shared" si="608"/>
        <v>354.68615649183147</v>
      </c>
      <c r="CE128" s="85">
        <f t="shared" si="608"/>
        <v>377.99843094990933</v>
      </c>
      <c r="CF128" s="85">
        <f t="shared" si="608"/>
        <v>393.05172765532438</v>
      </c>
      <c r="CG128" s="534">
        <f t="shared" si="608"/>
        <v>1122.3135958641669</v>
      </c>
      <c r="CH128" s="85">
        <f>CL128</f>
        <v>425.62338779019774</v>
      </c>
      <c r="CI128" s="85">
        <f>CM128</f>
        <v>431.67420814479641</v>
      </c>
      <c r="CJ128" s="85">
        <f>CN128</f>
        <v>433.53605560382277</v>
      </c>
      <c r="CK128" s="534">
        <f>CO128</f>
        <v>1248.0127186009538</v>
      </c>
      <c r="CL128" s="85">
        <f>CP128/(1+CP129)</f>
        <v>425.62338779019774</v>
      </c>
      <c r="CM128" s="85">
        <f>CQ128/(1+CQ129)</f>
        <v>431.67420814479641</v>
      </c>
      <c r="CN128" s="85">
        <f>CR128/(1+CR129)</f>
        <v>433.53605560382277</v>
      </c>
      <c r="CO128" s="534">
        <f>CS128/(1+CS129)</f>
        <v>1248.0127186009538</v>
      </c>
      <c r="CP128" s="85">
        <v>495</v>
      </c>
      <c r="CQ128" s="85">
        <v>477</v>
      </c>
      <c r="CR128" s="85">
        <v>499</v>
      </c>
      <c r="CS128" s="534">
        <v>1570</v>
      </c>
      <c r="CT128" s="85">
        <v>639</v>
      </c>
      <c r="CU128" s="85">
        <v>581</v>
      </c>
      <c r="CV128" s="85">
        <v>601</v>
      </c>
      <c r="CW128" s="534">
        <v>1700</v>
      </c>
      <c r="CX128" s="1598">
        <v>673</v>
      </c>
      <c r="CY128" s="1598">
        <v>676</v>
      </c>
      <c r="CZ128" s="1598">
        <f t="shared" ref="CZ128:DG128" si="609">CV128*(1+CZ129)</f>
        <v>710.98300000000006</v>
      </c>
      <c r="DA128" s="1597">
        <f t="shared" si="609"/>
        <v>1932.9</v>
      </c>
      <c r="DB128" s="1598">
        <f t="shared" si="609"/>
        <v>833.84699999999987</v>
      </c>
      <c r="DC128" s="1598">
        <f t="shared" si="609"/>
        <v>836.2120000000001</v>
      </c>
      <c r="DD128" s="1596">
        <f t="shared" si="609"/>
        <v>882.32990300000017</v>
      </c>
      <c r="DE128" s="1597">
        <f t="shared" si="609"/>
        <v>2271.1575000000003</v>
      </c>
      <c r="DF128" s="1596">
        <f>DB128*(1+DF129)</f>
        <v>1021.4625749999999</v>
      </c>
      <c r="DG128" s="1598">
        <f t="shared" si="609"/>
        <v>1097.1101440000002</v>
      </c>
      <c r="DH128" s="1598">
        <f t="shared" ref="DH128:DM128" si="610">DD128*(1+DH129)</f>
        <v>1079.0894713690002</v>
      </c>
      <c r="DI128" s="1597">
        <f t="shared" si="610"/>
        <v>2677.6946925000002</v>
      </c>
      <c r="DJ128" s="2735">
        <f t="shared" si="610"/>
        <v>1144.038084</v>
      </c>
      <c r="DK128" s="1596">
        <f t="shared" si="610"/>
        <v>1206.8211584000003</v>
      </c>
      <c r="DL128" s="1596">
        <f t="shared" si="610"/>
        <v>1294.9073656428002</v>
      </c>
      <c r="DM128" s="1597">
        <f t="shared" si="610"/>
        <v>3159.6797371500002</v>
      </c>
      <c r="DN128" s="70"/>
      <c r="DO128" s="487"/>
      <c r="DP128" s="3"/>
      <c r="DQ128" s="3"/>
      <c r="DR128" s="3"/>
      <c r="DS128" s="3"/>
      <c r="DT128" s="3"/>
      <c r="DU128" s="3"/>
      <c r="DV128" s="3"/>
      <c r="DW128" s="3"/>
      <c r="DY128" s="383"/>
      <c r="DZ128" s="15"/>
      <c r="EA128" s="15"/>
      <c r="EB128" s="15"/>
      <c r="EC128" s="15"/>
      <c r="ED128" s="15"/>
      <c r="EE128" s="15"/>
      <c r="EF128" s="15"/>
      <c r="EG128" s="15"/>
      <c r="EH128" s="15"/>
      <c r="EI128" s="15"/>
      <c r="EJ128" s="15"/>
      <c r="EK128" s="15"/>
      <c r="EL128" s="15"/>
      <c r="EM128" s="15"/>
      <c r="EN128" s="223">
        <f>SUM(BN128:BQ128)</f>
        <v>1681.4382521622242</v>
      </c>
      <c r="EO128" s="223">
        <f>SUM(BR128:BU128)</f>
        <v>1906.2709578804975</v>
      </c>
      <c r="EP128" s="223">
        <f>SUM(BV128:BY128)</f>
        <v>2248.0499109612319</v>
      </c>
      <c r="EQ128" s="223">
        <f>SUM(BZ128:CC128)</f>
        <v>1906.2709578804975</v>
      </c>
      <c r="ER128" s="223">
        <f>SUM(CD128:CG128)</f>
        <v>2248.0499109612319</v>
      </c>
      <c r="ES128" s="223">
        <f>SUM(CH128:CK128)</f>
        <v>2538.8463701397704</v>
      </c>
      <c r="ET128" s="1392">
        <f>SUM(CL128:CO128)</f>
        <v>2538.8463701397704</v>
      </c>
      <c r="EU128" s="761">
        <f>SUM(CP128:CS128)</f>
        <v>3041</v>
      </c>
      <c r="EV128" s="198">
        <f>SUM(CT128:CW128)</f>
        <v>3521</v>
      </c>
      <c r="EW128" s="198">
        <f>SUM(CX128:DA128)</f>
        <v>3992.8830000000003</v>
      </c>
      <c r="EX128" s="198">
        <f>SUM(DB128:DE128)</f>
        <v>4823.5464030000003</v>
      </c>
      <c r="EY128" s="198">
        <f>SUM(DF128:DI128)</f>
        <v>5875.3568828690004</v>
      </c>
      <c r="EZ128" s="1736">
        <f>SUM(DJ128:DM128)</f>
        <v>6805.4463451928004</v>
      </c>
      <c r="FA128" s="198">
        <f t="shared" ref="FA128:FH128" si="611">EZ128*(1+FA129)</f>
        <v>7588.0726748899724</v>
      </c>
      <c r="FB128" s="198">
        <f t="shared" si="611"/>
        <v>8195.1184888811713</v>
      </c>
      <c r="FC128" s="198">
        <f t="shared" si="611"/>
        <v>8604.8744133252294</v>
      </c>
      <c r="FD128" s="198">
        <f t="shared" si="611"/>
        <v>9035.118133991491</v>
      </c>
      <c r="FE128" s="198">
        <f t="shared" si="611"/>
        <v>9486.8740406910656</v>
      </c>
      <c r="FF128" s="198">
        <f t="shared" si="611"/>
        <v>9961.2177427256192</v>
      </c>
      <c r="FG128" s="198">
        <f t="shared" si="611"/>
        <v>10459.278629861901</v>
      </c>
      <c r="FH128" s="198">
        <f t="shared" si="611"/>
        <v>10982.242561354997</v>
      </c>
      <c r="FI128" s="1384"/>
      <c r="FJ128"/>
      <c r="FK128"/>
      <c r="FL128"/>
      <c r="FM128"/>
      <c r="FN128"/>
      <c r="FO128"/>
      <c r="FP128" s="3"/>
      <c r="FS128" s="1392"/>
      <c r="FT128" s="1392"/>
      <c r="FU128"/>
      <c r="FV128"/>
      <c r="FW128" s="198"/>
      <c r="FX128" s="198"/>
      <c r="FY128" s="19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row>
    <row r="129" spans="1:260" s="19" customFormat="1" x14ac:dyDescent="0.2">
      <c r="A129" s="395" t="s">
        <v>184</v>
      </c>
      <c r="E129" s="469"/>
      <c r="F129" s="809"/>
      <c r="G129" s="809"/>
      <c r="H129" s="809"/>
      <c r="I129" s="810"/>
      <c r="J129" s="50"/>
      <c r="K129" s="50"/>
      <c r="L129" s="50"/>
      <c r="M129" s="550"/>
      <c r="N129" s="50"/>
      <c r="O129" s="50"/>
      <c r="P129" s="50"/>
      <c r="Q129" s="550"/>
      <c r="R129" s="50"/>
      <c r="S129" s="50"/>
      <c r="T129" s="50"/>
      <c r="U129" s="550"/>
      <c r="V129" s="50"/>
      <c r="W129" s="50"/>
      <c r="X129" s="50"/>
      <c r="Y129" s="550"/>
      <c r="Z129" s="50"/>
      <c r="AA129" s="50"/>
      <c r="AB129" s="50"/>
      <c r="AC129" s="550"/>
      <c r="AD129" s="50"/>
      <c r="AE129" s="50"/>
      <c r="AF129" s="50"/>
      <c r="AG129" s="550"/>
      <c r="AH129" s="50"/>
      <c r="AI129" s="50"/>
      <c r="AJ129" s="50"/>
      <c r="AK129" s="550"/>
      <c r="AL129" s="50"/>
      <c r="AM129" s="50"/>
      <c r="AN129" s="50"/>
      <c r="AO129" s="550"/>
      <c r="AP129" s="50"/>
      <c r="AQ129" s="50"/>
      <c r="AR129" s="50"/>
      <c r="AS129" s="550"/>
      <c r="AT129" s="50"/>
      <c r="AU129" s="50"/>
      <c r="AV129" s="50"/>
      <c r="AW129" s="550"/>
      <c r="AX129" s="50"/>
      <c r="AY129" s="50"/>
      <c r="AZ129" s="50"/>
      <c r="BA129" s="550"/>
      <c r="BB129" s="50"/>
      <c r="BC129" s="50"/>
      <c r="BD129" s="50"/>
      <c r="BE129" s="550"/>
      <c r="BF129" s="50"/>
      <c r="BG129" s="50"/>
      <c r="BH129" s="50"/>
      <c r="BI129" s="550"/>
      <c r="BJ129" s="50"/>
      <c r="BK129" s="50"/>
      <c r="BL129" s="50"/>
      <c r="BM129" s="550"/>
      <c r="BN129" s="50"/>
      <c r="BO129" s="50"/>
      <c r="BP129" s="50"/>
      <c r="BQ129" s="550"/>
      <c r="BR129" s="50">
        <v>0.26</v>
      </c>
      <c r="BS129" s="50">
        <v>0.16</v>
      </c>
      <c r="BT129" s="50">
        <v>7.0000000000000007E-2</v>
      </c>
      <c r="BU129" s="550">
        <v>0.11</v>
      </c>
      <c r="BV129" s="208">
        <f t="shared" si="607"/>
        <v>0.12</v>
      </c>
      <c r="BW129" s="208">
        <f t="shared" si="607"/>
        <v>0.13</v>
      </c>
      <c r="BX129" s="208">
        <f t="shared" si="607"/>
        <v>0.2</v>
      </c>
      <c r="BY129" s="572">
        <f t="shared" si="607"/>
        <v>0.21</v>
      </c>
      <c r="BZ129" s="50">
        <v>0.26</v>
      </c>
      <c r="CA129" s="50">
        <v>0.16</v>
      </c>
      <c r="CB129" s="50">
        <v>7.0000000000000007E-2</v>
      </c>
      <c r="CC129" s="550">
        <v>0.11</v>
      </c>
      <c r="CD129" s="208">
        <v>0.12</v>
      </c>
      <c r="CE129" s="208">
        <v>0.13</v>
      </c>
      <c r="CF129" s="208">
        <v>0.2</v>
      </c>
      <c r="CG129" s="572">
        <v>0.21</v>
      </c>
      <c r="CH129" s="208">
        <v>0.2</v>
      </c>
      <c r="CI129" s="208">
        <v>0.14199999999999999</v>
      </c>
      <c r="CJ129" s="208">
        <v>0.10299999999999999</v>
      </c>
      <c r="CK129" s="572">
        <v>0.112</v>
      </c>
      <c r="CL129" s="208">
        <v>0.2</v>
      </c>
      <c r="CM129" s="208">
        <v>0.14199999999999999</v>
      </c>
      <c r="CN129" s="208">
        <v>0.10299999999999999</v>
      </c>
      <c r="CO129" s="572">
        <v>0.112</v>
      </c>
      <c r="CP129" s="208">
        <v>0.16300000000000001</v>
      </c>
      <c r="CQ129" s="208">
        <v>0.105</v>
      </c>
      <c r="CR129" s="208">
        <v>0.151</v>
      </c>
      <c r="CS129" s="572">
        <v>0.25800000000000001</v>
      </c>
      <c r="CT129" s="208">
        <v>0.29199999999999998</v>
      </c>
      <c r="CU129" s="208">
        <v>0.22</v>
      </c>
      <c r="CV129" s="208">
        <v>0.216</v>
      </c>
      <c r="CW129" s="572">
        <v>9.7000000000000003E-2</v>
      </c>
      <c r="CX129" s="208">
        <v>5.2999999999999999E-2</v>
      </c>
      <c r="CY129" s="208">
        <v>0.17</v>
      </c>
      <c r="CZ129" s="208">
        <v>0.183</v>
      </c>
      <c r="DA129" s="572">
        <v>0.13700000000000001</v>
      </c>
      <c r="DB129" s="208">
        <v>0.23899999999999999</v>
      </c>
      <c r="DC129" s="208">
        <v>0.23699999999999999</v>
      </c>
      <c r="DD129" s="197">
        <v>0.24099999999999999</v>
      </c>
      <c r="DE129" s="572">
        <v>0.17499999999999999</v>
      </c>
      <c r="DF129" s="208">
        <v>0.22500000000000001</v>
      </c>
      <c r="DG129" s="208">
        <v>0.312</v>
      </c>
      <c r="DH129" s="208">
        <v>0.223</v>
      </c>
      <c r="DI129" s="572">
        <v>0.17899999999999999</v>
      </c>
      <c r="DJ129" s="2704">
        <f t="shared" ref="DJ129:DM129" si="612">CHOOSE(scenario,DJ130,DJ131,DJ132)</f>
        <v>0.12</v>
      </c>
      <c r="DK129" s="1556">
        <f t="shared" si="612"/>
        <v>0.1</v>
      </c>
      <c r="DL129" s="1556">
        <f t="shared" si="612"/>
        <v>0.2</v>
      </c>
      <c r="DM129" s="1556">
        <f t="shared" si="612"/>
        <v>0.18</v>
      </c>
      <c r="DN129" s="197"/>
      <c r="DO129" s="572"/>
      <c r="DP129" s="401"/>
      <c r="DQ129" s="401"/>
      <c r="DR129" s="401"/>
      <c r="DS129" s="401"/>
      <c r="DT129" s="401"/>
      <c r="DU129" s="401"/>
      <c r="DV129" s="401"/>
      <c r="DW129" s="401"/>
      <c r="DY129" s="809"/>
      <c r="DZ129" s="50"/>
      <c r="EA129" s="50"/>
      <c r="EB129" s="50"/>
      <c r="EC129" s="50"/>
      <c r="ED129" s="50"/>
      <c r="EE129" s="50"/>
      <c r="EF129" s="50"/>
      <c r="EG129" s="50"/>
      <c r="EH129" s="50"/>
      <c r="EI129" s="50"/>
      <c r="EJ129" s="50"/>
      <c r="EK129" s="50"/>
      <c r="EL129" s="50"/>
      <c r="EM129" s="50"/>
      <c r="EN129" s="50"/>
      <c r="EO129" s="50">
        <f>EO128/EN128-1</f>
        <v>0.13371451816868829</v>
      </c>
      <c r="EP129" s="50">
        <f>EP128/EO128-1</f>
        <v>0.17929190583732346</v>
      </c>
      <c r="EQ129" s="50">
        <f>EQ128/EN128-1</f>
        <v>0.13371451816868829</v>
      </c>
      <c r="ER129" s="50">
        <f>ER128/EQ128-1</f>
        <v>0.17929190583732346</v>
      </c>
      <c r="ES129" s="50">
        <v>0.114</v>
      </c>
      <c r="ET129" s="50">
        <v>0.114</v>
      </c>
      <c r="EU129" s="50">
        <v>0.19800000000000001</v>
      </c>
      <c r="EV129" s="50">
        <f>EV128/EU128-1</f>
        <v>0.1578428148635318</v>
      </c>
      <c r="EW129" s="50">
        <f>EW128/EV128-1</f>
        <v>0.13401959670548158</v>
      </c>
      <c r="EX129" s="208">
        <f>EX128/EW128-1</f>
        <v>0.20803599880086643</v>
      </c>
      <c r="EY129" s="208">
        <f>EY128/EX128-1</f>
        <v>0.21805750209323738</v>
      </c>
      <c r="EZ129" s="1739">
        <f>EZ128/EY128-1</f>
        <v>0.15830348366338343</v>
      </c>
      <c r="FA129" s="1552">
        <f t="shared" ref="FA129:FF129" si="613">CHOOSE(scenario,FA130,FA131,FA132)</f>
        <v>0.115</v>
      </c>
      <c r="FB129" s="1608">
        <f t="shared" si="613"/>
        <v>0.08</v>
      </c>
      <c r="FC129" s="1608">
        <f t="shared" si="613"/>
        <v>0.05</v>
      </c>
      <c r="FD129" s="1608">
        <f t="shared" si="613"/>
        <v>0.05</v>
      </c>
      <c r="FE129" s="1608">
        <f t="shared" si="613"/>
        <v>0.05</v>
      </c>
      <c r="FF129" s="1608">
        <f t="shared" si="613"/>
        <v>0.05</v>
      </c>
      <c r="FG129" s="1608">
        <f>CHOOSE(scenario,FG130,FG131,FG132)</f>
        <v>0.05</v>
      </c>
      <c r="FH129" s="1608">
        <f>CHOOSE(scenario,FH130,FH131,FH132)</f>
        <v>0.05</v>
      </c>
      <c r="FI129" s="596"/>
      <c r="FJ129"/>
      <c r="FK129"/>
      <c r="FL129"/>
      <c r="FM129"/>
      <c r="FN129"/>
      <c r="FO129"/>
      <c r="FP129" s="401"/>
      <c r="FS129" s="221"/>
      <c r="FT129" s="221"/>
      <c r="FU129"/>
      <c r="FV129"/>
      <c r="FW129" s="1605"/>
      <c r="FX129" s="1605"/>
      <c r="FY129" s="2645"/>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row>
    <row r="130" spans="1:260" s="4" customFormat="1" outlineLevel="1" x14ac:dyDescent="0.2">
      <c r="A130" s="287" t="s">
        <v>593</v>
      </c>
      <c r="E130" s="470"/>
      <c r="F130" s="383"/>
      <c r="G130" s="383"/>
      <c r="H130" s="383"/>
      <c r="I130" s="549"/>
      <c r="J130" s="15"/>
      <c r="K130" s="15"/>
      <c r="L130" s="15"/>
      <c r="M130" s="518"/>
      <c r="N130" s="15"/>
      <c r="O130" s="15"/>
      <c r="P130" s="15"/>
      <c r="Q130" s="518"/>
      <c r="R130" s="15"/>
      <c r="S130" s="15"/>
      <c r="T130" s="15"/>
      <c r="U130" s="518"/>
      <c r="V130" s="15"/>
      <c r="W130" s="15"/>
      <c r="X130" s="15"/>
      <c r="Y130" s="518"/>
      <c r="Z130" s="15"/>
      <c r="AA130" s="15"/>
      <c r="AB130" s="15"/>
      <c r="AC130" s="518"/>
      <c r="AD130" s="15"/>
      <c r="AE130" s="15"/>
      <c r="AF130" s="15"/>
      <c r="AG130" s="518"/>
      <c r="AH130" s="15"/>
      <c r="AI130" s="15"/>
      <c r="AJ130" s="15"/>
      <c r="AK130" s="518"/>
      <c r="AL130" s="15"/>
      <c r="AM130" s="15"/>
      <c r="AN130" s="15"/>
      <c r="AO130" s="518"/>
      <c r="AP130" s="15"/>
      <c r="AQ130" s="15"/>
      <c r="AR130" s="15"/>
      <c r="AS130" s="518"/>
      <c r="AT130" s="15"/>
      <c r="AU130" s="15"/>
      <c r="AV130" s="15"/>
      <c r="AW130" s="518"/>
      <c r="AX130" s="15"/>
      <c r="AY130" s="15"/>
      <c r="AZ130" s="15"/>
      <c r="BA130" s="518"/>
      <c r="BB130" s="15"/>
      <c r="BC130" s="15"/>
      <c r="BD130" s="15"/>
      <c r="BE130" s="518"/>
      <c r="BF130" s="15"/>
      <c r="BG130" s="15"/>
      <c r="BH130" s="15"/>
      <c r="BI130" s="518"/>
      <c r="BJ130" s="15"/>
      <c r="BK130" s="15"/>
      <c r="BL130" s="15"/>
      <c r="BM130" s="518"/>
      <c r="BN130" s="15"/>
      <c r="BO130" s="15"/>
      <c r="BP130" s="15"/>
      <c r="BQ130" s="518"/>
      <c r="BR130" s="15"/>
      <c r="BS130" s="15"/>
      <c r="BT130" s="15"/>
      <c r="BU130" s="518"/>
      <c r="BV130" s="77"/>
      <c r="BW130" s="77"/>
      <c r="BX130" s="77"/>
      <c r="BY130" s="487"/>
      <c r="BZ130" s="15"/>
      <c r="CA130" s="15"/>
      <c r="CB130" s="15"/>
      <c r="CC130" s="518"/>
      <c r="CD130" s="77"/>
      <c r="CE130" s="77"/>
      <c r="CF130" s="77"/>
      <c r="CG130" s="487"/>
      <c r="CH130" s="77"/>
      <c r="CI130" s="77"/>
      <c r="CJ130" s="77"/>
      <c r="CK130" s="487"/>
      <c r="CL130" s="77"/>
      <c r="CM130" s="77"/>
      <c r="CN130" s="77"/>
      <c r="CO130" s="487"/>
      <c r="CP130" s="77"/>
      <c r="CQ130" s="77"/>
      <c r="CR130" s="77"/>
      <c r="CS130" s="487"/>
      <c r="CT130" s="77"/>
      <c r="CU130" s="77"/>
      <c r="CV130" s="77"/>
      <c r="CW130" s="487"/>
      <c r="CX130" s="77"/>
      <c r="CY130" s="77"/>
      <c r="CZ130" s="77"/>
      <c r="DA130" s="487"/>
      <c r="DB130" s="77"/>
      <c r="DC130" s="77"/>
      <c r="DD130" s="70"/>
      <c r="DE130" s="487"/>
      <c r="DF130" s="70"/>
      <c r="DG130" s="70"/>
      <c r="DH130" s="70"/>
      <c r="DI130" s="487"/>
      <c r="DJ130" s="1673">
        <v>0.18</v>
      </c>
      <c r="DK130" s="70">
        <v>0.18</v>
      </c>
      <c r="DL130" s="70">
        <v>0.18</v>
      </c>
      <c r="DM130" s="487">
        <v>0.18</v>
      </c>
      <c r="DN130" s="70"/>
      <c r="DO130" s="487"/>
      <c r="DP130" s="3"/>
      <c r="DQ130" s="3"/>
      <c r="DR130" s="3"/>
      <c r="DS130" s="3"/>
      <c r="DT130" s="3"/>
      <c r="DU130" s="3"/>
      <c r="DV130" s="3"/>
      <c r="DW130" s="3"/>
      <c r="DY130" s="383"/>
      <c r="DZ130" s="15"/>
      <c r="EA130" s="15"/>
      <c r="EB130" s="15"/>
      <c r="EC130" s="15"/>
      <c r="ED130" s="15"/>
      <c r="EE130" s="15"/>
      <c r="EF130" s="15"/>
      <c r="EG130" s="15"/>
      <c r="EH130" s="15"/>
      <c r="EI130" s="15"/>
      <c r="EJ130" s="15"/>
      <c r="EK130" s="15"/>
      <c r="EL130" s="15"/>
      <c r="EM130" s="15"/>
      <c r="EN130" s="15"/>
      <c r="EO130" s="15"/>
      <c r="EP130" s="15"/>
      <c r="EQ130" s="15"/>
      <c r="ER130" s="15"/>
      <c r="ES130" s="15"/>
      <c r="ET130" s="15"/>
      <c r="EU130" s="15"/>
      <c r="EV130" s="15"/>
      <c r="EW130" s="15"/>
      <c r="EX130" s="77"/>
      <c r="EY130" s="77"/>
      <c r="EZ130" s="1680"/>
      <c r="FA130" s="161">
        <f t="shared" ref="FA130:FH130" si="614">+FA131+1%</f>
        <v>0.125</v>
      </c>
      <c r="FB130" s="161">
        <f t="shared" si="614"/>
        <v>0.09</v>
      </c>
      <c r="FC130" s="161">
        <f t="shared" si="614"/>
        <v>6.0000000000000005E-2</v>
      </c>
      <c r="FD130" s="161">
        <f t="shared" si="614"/>
        <v>6.0000000000000005E-2</v>
      </c>
      <c r="FE130" s="161">
        <f t="shared" si="614"/>
        <v>6.0000000000000005E-2</v>
      </c>
      <c r="FF130" s="161">
        <f t="shared" si="614"/>
        <v>6.0000000000000005E-2</v>
      </c>
      <c r="FG130" s="161">
        <f t="shared" si="614"/>
        <v>6.0000000000000005E-2</v>
      </c>
      <c r="FH130" s="161">
        <f t="shared" si="614"/>
        <v>6.0000000000000005E-2</v>
      </c>
      <c r="FI130" s="580"/>
      <c r="FJ130"/>
      <c r="FK130"/>
      <c r="FL130"/>
      <c r="FM130"/>
      <c r="FN130"/>
      <c r="FO130"/>
      <c r="FP130" s="3"/>
      <c r="FS130" s="70"/>
      <c r="FT130" s="70"/>
      <c r="FU130"/>
      <c r="FV130"/>
      <c r="FW130" s="70"/>
      <c r="FX130" s="70"/>
      <c r="FY130" s="7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row>
    <row r="131" spans="1:260" s="4" customFormat="1" outlineLevel="1" x14ac:dyDescent="0.2">
      <c r="A131" s="287" t="s">
        <v>594</v>
      </c>
      <c r="E131" s="470"/>
      <c r="F131" s="383"/>
      <c r="G131" s="383"/>
      <c r="H131" s="383"/>
      <c r="I131" s="549"/>
      <c r="J131" s="15"/>
      <c r="K131" s="15"/>
      <c r="L131" s="15"/>
      <c r="M131" s="518"/>
      <c r="N131" s="15"/>
      <c r="O131" s="15"/>
      <c r="P131" s="15"/>
      <c r="Q131" s="518"/>
      <c r="R131" s="15"/>
      <c r="S131" s="15"/>
      <c r="T131" s="15"/>
      <c r="U131" s="518"/>
      <c r="V131" s="15"/>
      <c r="W131" s="15"/>
      <c r="X131" s="15"/>
      <c r="Y131" s="518"/>
      <c r="Z131" s="15"/>
      <c r="AA131" s="15"/>
      <c r="AB131" s="15"/>
      <c r="AC131" s="518"/>
      <c r="AD131" s="15"/>
      <c r="AE131" s="15"/>
      <c r="AF131" s="15"/>
      <c r="AG131" s="518"/>
      <c r="AH131" s="15"/>
      <c r="AI131" s="15"/>
      <c r="AJ131" s="15"/>
      <c r="AK131" s="518"/>
      <c r="AL131" s="15"/>
      <c r="AM131" s="15"/>
      <c r="AN131" s="15"/>
      <c r="AO131" s="518"/>
      <c r="AP131" s="15"/>
      <c r="AQ131" s="15"/>
      <c r="AR131" s="15"/>
      <c r="AS131" s="518"/>
      <c r="AT131" s="15"/>
      <c r="AU131" s="15"/>
      <c r="AV131" s="15"/>
      <c r="AW131" s="518"/>
      <c r="AX131" s="15"/>
      <c r="AY131" s="15"/>
      <c r="AZ131" s="15"/>
      <c r="BA131" s="518"/>
      <c r="BB131" s="15"/>
      <c r="BC131" s="15"/>
      <c r="BD131" s="15"/>
      <c r="BE131" s="518"/>
      <c r="BF131" s="15"/>
      <c r="BG131" s="15"/>
      <c r="BH131" s="15"/>
      <c r="BI131" s="518"/>
      <c r="BJ131" s="15"/>
      <c r="BK131" s="15"/>
      <c r="BL131" s="15"/>
      <c r="BM131" s="518"/>
      <c r="BN131" s="15"/>
      <c r="BO131" s="15"/>
      <c r="BP131" s="15"/>
      <c r="BQ131" s="518"/>
      <c r="BR131" s="15"/>
      <c r="BS131" s="15"/>
      <c r="BT131" s="15"/>
      <c r="BU131" s="518"/>
      <c r="BV131" s="77"/>
      <c r="BW131" s="77"/>
      <c r="BX131" s="77"/>
      <c r="BY131" s="487"/>
      <c r="BZ131" s="15"/>
      <c r="CA131" s="15"/>
      <c r="CB131" s="15"/>
      <c r="CC131" s="518"/>
      <c r="CD131" s="77"/>
      <c r="CE131" s="77"/>
      <c r="CF131" s="77"/>
      <c r="CG131" s="487"/>
      <c r="CH131" s="77"/>
      <c r="CI131" s="77"/>
      <c r="CJ131" s="77"/>
      <c r="CK131" s="487"/>
      <c r="CL131" s="89"/>
      <c r="CM131" s="89"/>
      <c r="CN131" s="89"/>
      <c r="CO131" s="525"/>
      <c r="CP131" s="89"/>
      <c r="CQ131" s="89"/>
      <c r="CR131" s="89"/>
      <c r="CS131" s="525"/>
      <c r="CT131" s="89"/>
      <c r="CU131" s="89"/>
      <c r="CV131" s="89"/>
      <c r="CW131" s="525"/>
      <c r="CX131" s="89"/>
      <c r="CY131" s="89"/>
      <c r="CZ131" s="89"/>
      <c r="DA131" s="525"/>
      <c r="DB131" s="89"/>
      <c r="DC131" s="89"/>
      <c r="DD131" s="39"/>
      <c r="DE131" s="2190"/>
      <c r="DF131" s="1610"/>
      <c r="DG131" s="1610"/>
      <c r="DH131" s="1610"/>
      <c r="DI131" s="2190"/>
      <c r="DJ131" s="2383">
        <v>0.12</v>
      </c>
      <c r="DK131" s="1555">
        <v>0.1</v>
      </c>
      <c r="DL131" s="1555">
        <v>0.2</v>
      </c>
      <c r="DM131" s="1553">
        <v>0.18</v>
      </c>
      <c r="DN131" s="70"/>
      <c r="DO131" s="487"/>
      <c r="DP131" s="3"/>
      <c r="DQ131" s="3"/>
      <c r="DR131" s="3"/>
      <c r="DS131" s="3"/>
      <c r="DT131" s="3"/>
      <c r="DU131" s="3"/>
      <c r="DV131" s="3"/>
      <c r="DW131" s="3"/>
      <c r="DY131" s="383"/>
      <c r="DZ131" s="15"/>
      <c r="EA131" s="15"/>
      <c r="EB131" s="15"/>
      <c r="EC131" s="15"/>
      <c r="ED131" s="15"/>
      <c r="EE131" s="15"/>
      <c r="EF131" s="15"/>
      <c r="EG131" s="15"/>
      <c r="EH131" s="15"/>
      <c r="EI131" s="15"/>
      <c r="EJ131" s="15"/>
      <c r="EK131" s="15"/>
      <c r="EL131" s="15"/>
      <c r="EM131" s="15"/>
      <c r="EN131" s="15"/>
      <c r="EO131" s="15"/>
      <c r="EP131" s="15"/>
      <c r="EQ131" s="15"/>
      <c r="ER131" s="15"/>
      <c r="ES131" s="15"/>
      <c r="ET131" s="15"/>
      <c r="EU131" s="15"/>
      <c r="EV131" s="15"/>
      <c r="EW131" s="15"/>
      <c r="EX131" s="77"/>
      <c r="EY131" s="77"/>
      <c r="EZ131" s="1680"/>
      <c r="FA131" s="1609">
        <v>0.115</v>
      </c>
      <c r="FB131" s="1609">
        <v>0.08</v>
      </c>
      <c r="FC131" s="1609">
        <v>0.05</v>
      </c>
      <c r="FD131" s="1609">
        <v>0.05</v>
      </c>
      <c r="FE131" s="1609">
        <v>0.05</v>
      </c>
      <c r="FF131" s="1609">
        <v>0.05</v>
      </c>
      <c r="FG131" s="1609">
        <v>0.05</v>
      </c>
      <c r="FH131" s="1609">
        <v>0.05</v>
      </c>
      <c r="FI131" s="596"/>
      <c r="FJ131"/>
      <c r="FK131"/>
      <c r="FL131"/>
      <c r="FM131"/>
      <c r="FN131"/>
      <c r="FO131"/>
      <c r="FP131" s="3"/>
      <c r="FS131" s="170"/>
      <c r="FT131" s="170"/>
      <c r="FU131"/>
      <c r="FV131"/>
      <c r="FW131" s="1606"/>
      <c r="FX131" s="2382"/>
      <c r="FY131" s="2382"/>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row>
    <row r="132" spans="1:260" s="4" customFormat="1" outlineLevel="1" x14ac:dyDescent="0.2">
      <c r="A132" s="287" t="s">
        <v>471</v>
      </c>
      <c r="E132" s="470"/>
      <c r="F132" s="383"/>
      <c r="G132" s="383"/>
      <c r="H132" s="383"/>
      <c r="I132" s="549"/>
      <c r="J132" s="15"/>
      <c r="K132" s="15"/>
      <c r="L132" s="15"/>
      <c r="M132" s="518"/>
      <c r="N132" s="15"/>
      <c r="O132" s="15"/>
      <c r="P132" s="15"/>
      <c r="Q132" s="518"/>
      <c r="R132" s="15"/>
      <c r="S132" s="15"/>
      <c r="T132" s="15"/>
      <c r="U132" s="518"/>
      <c r="V132" s="15"/>
      <c r="W132" s="15"/>
      <c r="X132" s="15"/>
      <c r="Y132" s="518"/>
      <c r="Z132" s="15"/>
      <c r="AA132" s="15"/>
      <c r="AB132" s="15"/>
      <c r="AC132" s="518"/>
      <c r="AD132" s="15"/>
      <c r="AE132" s="15"/>
      <c r="AF132" s="15"/>
      <c r="AG132" s="518"/>
      <c r="AH132" s="15"/>
      <c r="AI132" s="15"/>
      <c r="AJ132" s="15"/>
      <c r="AK132" s="518"/>
      <c r="AL132" s="15"/>
      <c r="AM132" s="15"/>
      <c r="AN132" s="15"/>
      <c r="AO132" s="518"/>
      <c r="AP132" s="15"/>
      <c r="AQ132" s="15"/>
      <c r="AR132" s="15"/>
      <c r="AS132" s="518"/>
      <c r="AT132" s="15"/>
      <c r="AU132" s="15"/>
      <c r="AV132" s="15"/>
      <c r="AW132" s="518"/>
      <c r="AX132" s="15"/>
      <c r="AY132" s="15"/>
      <c r="AZ132" s="15"/>
      <c r="BA132" s="518"/>
      <c r="BB132" s="15"/>
      <c r="BC132" s="15"/>
      <c r="BD132" s="15"/>
      <c r="BE132" s="518"/>
      <c r="BF132" s="15"/>
      <c r="BG132" s="15"/>
      <c r="BH132" s="15"/>
      <c r="BI132" s="518"/>
      <c r="BJ132" s="15"/>
      <c r="BK132" s="15"/>
      <c r="BL132" s="15"/>
      <c r="BM132" s="518"/>
      <c r="BN132" s="15"/>
      <c r="BO132" s="15"/>
      <c r="BP132" s="15"/>
      <c r="BQ132" s="518"/>
      <c r="BR132" s="15"/>
      <c r="BS132" s="15"/>
      <c r="BT132" s="15"/>
      <c r="BU132" s="518"/>
      <c r="BV132" s="77"/>
      <c r="BW132" s="77"/>
      <c r="BX132" s="77"/>
      <c r="BY132" s="487"/>
      <c r="BZ132" s="15"/>
      <c r="CA132" s="15"/>
      <c r="CB132" s="15"/>
      <c r="CC132" s="518"/>
      <c r="CD132" s="77"/>
      <c r="CE132" s="77"/>
      <c r="CF132" s="77"/>
      <c r="CG132" s="487"/>
      <c r="CH132" s="77"/>
      <c r="CI132" s="77"/>
      <c r="CJ132" s="77"/>
      <c r="CK132" s="487"/>
      <c r="CL132" s="77"/>
      <c r="CM132" s="77"/>
      <c r="CN132" s="77"/>
      <c r="CO132" s="487"/>
      <c r="CP132" s="77"/>
      <c r="CQ132" s="77"/>
      <c r="CR132" s="77"/>
      <c r="CS132" s="487"/>
      <c r="CT132" s="77"/>
      <c r="CU132" s="77"/>
      <c r="CV132" s="77"/>
      <c r="CW132" s="487"/>
      <c r="CX132" s="77"/>
      <c r="CY132" s="77"/>
      <c r="CZ132" s="77"/>
      <c r="DA132" s="487"/>
      <c r="DB132" s="77"/>
      <c r="DC132" s="77"/>
      <c r="DD132" s="70"/>
      <c r="DE132" s="487"/>
      <c r="DF132" s="70"/>
      <c r="DG132" s="70"/>
      <c r="DH132" s="70"/>
      <c r="DI132" s="487"/>
      <c r="DJ132" s="1673">
        <v>0.1</v>
      </c>
      <c r="DK132" s="70">
        <v>0.1</v>
      </c>
      <c r="DL132" s="70">
        <v>0.1</v>
      </c>
      <c r="DM132" s="487">
        <v>0.1</v>
      </c>
      <c r="DN132" s="70"/>
      <c r="DO132" s="487"/>
      <c r="DP132" s="3"/>
      <c r="DQ132" s="3"/>
      <c r="DR132" s="3"/>
      <c r="DS132" s="3"/>
      <c r="DT132" s="3"/>
      <c r="DU132" s="3"/>
      <c r="DV132" s="3"/>
      <c r="DW132" s="3"/>
      <c r="DY132" s="383"/>
      <c r="DZ132" s="15"/>
      <c r="EA132" s="15"/>
      <c r="EB132" s="15"/>
      <c r="EC132" s="15"/>
      <c r="ED132" s="15"/>
      <c r="EE132" s="15"/>
      <c r="EF132" s="15"/>
      <c r="EG132" s="15"/>
      <c r="EH132" s="15"/>
      <c r="EI132" s="15"/>
      <c r="EJ132" s="15"/>
      <c r="EK132" s="15"/>
      <c r="EL132" s="15"/>
      <c r="EM132" s="15"/>
      <c r="EN132" s="15"/>
      <c r="EO132" s="15"/>
      <c r="EP132" s="15"/>
      <c r="EQ132" s="15"/>
      <c r="ER132" s="15"/>
      <c r="ES132" s="15"/>
      <c r="ET132" s="15"/>
      <c r="EU132" s="15"/>
      <c r="EV132" s="15"/>
      <c r="EW132" s="15"/>
      <c r="EX132" s="77"/>
      <c r="EY132" s="77"/>
      <c r="EZ132" s="1680"/>
      <c r="FA132" s="161">
        <f t="shared" ref="FA132:FF132" si="615">+FA131-1%</f>
        <v>0.10500000000000001</v>
      </c>
      <c r="FB132" s="161">
        <f t="shared" si="615"/>
        <v>7.0000000000000007E-2</v>
      </c>
      <c r="FC132" s="161">
        <f t="shared" si="615"/>
        <v>0.04</v>
      </c>
      <c r="FD132" s="161">
        <f t="shared" si="615"/>
        <v>0.04</v>
      </c>
      <c r="FE132" s="161">
        <f t="shared" si="615"/>
        <v>0.04</v>
      </c>
      <c r="FF132" s="161">
        <f t="shared" si="615"/>
        <v>0.04</v>
      </c>
      <c r="FG132" s="161">
        <f>+FG131-1%</f>
        <v>0.04</v>
      </c>
      <c r="FH132" s="161">
        <f>+FH131-1%</f>
        <v>0.04</v>
      </c>
      <c r="FI132" s="580"/>
      <c r="FJ132"/>
      <c r="FK132"/>
      <c r="FL132"/>
      <c r="FM132"/>
      <c r="FN132"/>
      <c r="FO132"/>
      <c r="FP132" s="3"/>
      <c r="FS132" s="70"/>
      <c r="FT132" s="70"/>
      <c r="FU132"/>
      <c r="FV132"/>
      <c r="FW132" s="70"/>
      <c r="FX132" s="70"/>
      <c r="FY132" s="70"/>
      <c r="FZ132"/>
      <c r="GA132"/>
      <c r="GB132"/>
      <c r="GC132"/>
      <c r="GD132"/>
      <c r="GE132"/>
      <c r="GF132"/>
      <c r="GG132"/>
      <c r="GH132"/>
      <c r="GI132"/>
      <c r="GJ132"/>
      <c r="GK132"/>
      <c r="GL132"/>
      <c r="GM132"/>
      <c r="GN132"/>
      <c r="GO132"/>
      <c r="GP132"/>
      <c r="GQ132"/>
      <c r="GR132"/>
      <c r="GS132"/>
      <c r="GT132"/>
      <c r="GU132"/>
      <c r="GV132"/>
      <c r="GW132"/>
      <c r="GX132"/>
      <c r="GY132"/>
      <c r="GZ132"/>
      <c r="HA132"/>
      <c r="HB132"/>
      <c r="HC132"/>
      <c r="HD132"/>
      <c r="HE132"/>
      <c r="HF132"/>
      <c r="HG132"/>
      <c r="HH132"/>
      <c r="HI132"/>
      <c r="HJ132"/>
      <c r="HK132"/>
      <c r="HL132"/>
      <c r="HM132"/>
      <c r="HN132"/>
      <c r="HO132"/>
      <c r="HP132"/>
      <c r="HQ132"/>
      <c r="HR132"/>
      <c r="HS132"/>
      <c r="HT132"/>
      <c r="HU132"/>
      <c r="HV132"/>
      <c r="HW132"/>
      <c r="HX132"/>
      <c r="HY132"/>
      <c r="HZ132"/>
      <c r="IA132"/>
      <c r="IB132"/>
      <c r="IC132"/>
      <c r="ID132"/>
      <c r="IE132"/>
      <c r="IF132"/>
      <c r="IG132"/>
      <c r="IH132"/>
      <c r="II132"/>
      <c r="IJ132"/>
      <c r="IK132"/>
      <c r="IL132"/>
      <c r="IM132"/>
      <c r="IN132"/>
      <c r="IO132"/>
      <c r="IP132"/>
      <c r="IQ132"/>
      <c r="IR132"/>
      <c r="IS132"/>
      <c r="IT132"/>
      <c r="IU132"/>
      <c r="IV132"/>
      <c r="IW132"/>
      <c r="IX132"/>
      <c r="IY132"/>
      <c r="IZ132"/>
    </row>
    <row r="133" spans="1:260" s="4" customFormat="1" outlineLevel="1" x14ac:dyDescent="0.2">
      <c r="A133" s="287"/>
      <c r="E133" s="470"/>
      <c r="F133" s="383"/>
      <c r="G133" s="383"/>
      <c r="H133" s="383"/>
      <c r="I133" s="549"/>
      <c r="J133" s="15"/>
      <c r="K133" s="15"/>
      <c r="L133" s="15"/>
      <c r="M133" s="518"/>
      <c r="N133" s="15"/>
      <c r="O133" s="15"/>
      <c r="P133" s="15"/>
      <c r="Q133" s="518"/>
      <c r="R133" s="15"/>
      <c r="S133" s="15"/>
      <c r="T133" s="15"/>
      <c r="U133" s="518"/>
      <c r="V133" s="15"/>
      <c r="W133" s="15"/>
      <c r="X133" s="15"/>
      <c r="Y133" s="518"/>
      <c r="Z133" s="15"/>
      <c r="AA133" s="15"/>
      <c r="AB133" s="15"/>
      <c r="AC133" s="518"/>
      <c r="AD133" s="15"/>
      <c r="AE133" s="15"/>
      <c r="AF133" s="15"/>
      <c r="AG133" s="518"/>
      <c r="AH133" s="15"/>
      <c r="AI133" s="15"/>
      <c r="AJ133" s="15"/>
      <c r="AK133" s="518"/>
      <c r="AL133" s="15"/>
      <c r="AM133" s="15"/>
      <c r="AN133" s="15"/>
      <c r="AO133" s="518"/>
      <c r="AP133" s="15"/>
      <c r="AQ133" s="15"/>
      <c r="AR133" s="15"/>
      <c r="AS133" s="518"/>
      <c r="AT133" s="15"/>
      <c r="AU133" s="15"/>
      <c r="AV133" s="15"/>
      <c r="AW133" s="518"/>
      <c r="AX133" s="15"/>
      <c r="AY133" s="15"/>
      <c r="AZ133" s="15"/>
      <c r="BA133" s="518"/>
      <c r="BB133" s="15"/>
      <c r="BC133" s="15"/>
      <c r="BD133" s="15"/>
      <c r="BE133" s="518"/>
      <c r="BF133" s="15"/>
      <c r="BG133" s="15"/>
      <c r="BH133" s="15"/>
      <c r="BI133" s="518"/>
      <c r="BJ133" s="15"/>
      <c r="BK133" s="15"/>
      <c r="BL133" s="15"/>
      <c r="BM133" s="518"/>
      <c r="BN133" s="15"/>
      <c r="BO133" s="15"/>
      <c r="BP133" s="15"/>
      <c r="BQ133" s="518"/>
      <c r="BR133" s="15"/>
      <c r="BS133" s="15"/>
      <c r="BT133" s="15"/>
      <c r="BU133" s="518"/>
      <c r="BV133" s="77"/>
      <c r="BW133" s="77"/>
      <c r="BX133" s="77"/>
      <c r="BY133" s="487"/>
      <c r="BZ133" s="15"/>
      <c r="CA133" s="15"/>
      <c r="CB133" s="15"/>
      <c r="CC133" s="518"/>
      <c r="CD133" s="77"/>
      <c r="CE133" s="77"/>
      <c r="CF133" s="77"/>
      <c r="CG133" s="487"/>
      <c r="CH133" s="77"/>
      <c r="CI133" s="77"/>
      <c r="CJ133" s="77"/>
      <c r="CK133" s="487"/>
      <c r="CL133" s="77"/>
      <c r="CM133" s="77"/>
      <c r="CN133" s="77"/>
      <c r="CO133" s="487"/>
      <c r="CP133" s="77"/>
      <c r="CQ133" s="77"/>
      <c r="CR133" s="77"/>
      <c r="CS133" s="487"/>
      <c r="CT133" s="77"/>
      <c r="CU133" s="77"/>
      <c r="CV133" s="77"/>
      <c r="CW133" s="487"/>
      <c r="CX133" s="77"/>
      <c r="CY133" s="77"/>
      <c r="CZ133" s="77"/>
      <c r="DA133" s="487"/>
      <c r="DB133" s="77"/>
      <c r="DC133" s="77"/>
      <c r="DD133" s="70"/>
      <c r="DE133" s="487"/>
      <c r="DF133" s="70"/>
      <c r="DG133" s="70"/>
      <c r="DH133" s="70"/>
      <c r="DI133" s="487"/>
      <c r="DJ133" s="1673"/>
      <c r="DK133" s="70"/>
      <c r="DL133" s="70"/>
      <c r="DM133" s="487"/>
      <c r="DN133" s="70"/>
      <c r="DO133" s="487"/>
      <c r="DP133" s="3"/>
      <c r="DQ133" s="3"/>
      <c r="DR133" s="3"/>
      <c r="DS133" s="3"/>
      <c r="DT133" s="3"/>
      <c r="DU133" s="3"/>
      <c r="DV133" s="3"/>
      <c r="DW133" s="3"/>
      <c r="DY133" s="383"/>
      <c r="DZ133" s="15"/>
      <c r="EA133" s="15"/>
      <c r="EB133" s="15"/>
      <c r="EC133" s="15"/>
      <c r="ED133" s="15"/>
      <c r="EE133" s="15"/>
      <c r="EF133" s="15"/>
      <c r="EG133" s="15"/>
      <c r="EH133" s="15"/>
      <c r="EI133" s="15"/>
      <c r="EJ133" s="15"/>
      <c r="EK133" s="15"/>
      <c r="EL133" s="15"/>
      <c r="EM133" s="15"/>
      <c r="EN133" s="15"/>
      <c r="EO133" s="15"/>
      <c r="EP133" s="15"/>
      <c r="EQ133" s="15"/>
      <c r="ER133" s="15"/>
      <c r="ES133" s="15"/>
      <c r="ET133" s="15"/>
      <c r="EU133" s="15"/>
      <c r="EV133" s="15"/>
      <c r="EW133" s="15"/>
      <c r="EX133" s="77"/>
      <c r="EY133" s="77"/>
      <c r="EZ133" s="1680"/>
      <c r="FA133" s="161"/>
      <c r="FB133" s="161"/>
      <c r="FC133" s="161"/>
      <c r="FD133" s="161"/>
      <c r="FE133" s="161"/>
      <c r="FF133" s="161"/>
      <c r="FG133" s="161"/>
      <c r="FH133" s="161"/>
      <c r="FI133" s="580"/>
      <c r="FJ133"/>
      <c r="FK133"/>
      <c r="FL133"/>
      <c r="FM133"/>
      <c r="FN133"/>
      <c r="FO133"/>
      <c r="FP133" s="3"/>
      <c r="FS133" s="70"/>
      <c r="FT133" s="70"/>
      <c r="FU133" s="1898"/>
      <c r="FV133" s="1898"/>
      <c r="FW133" s="70"/>
      <c r="FX133" s="70"/>
      <c r="FY133" s="70"/>
      <c r="FZ133" s="1898"/>
      <c r="GA133" s="1898"/>
      <c r="GB133" s="1898"/>
      <c r="GC133" s="1898"/>
      <c r="GD133" s="1898"/>
      <c r="GE133" s="1898"/>
      <c r="GF133" s="1898"/>
      <c r="GG133" s="1898"/>
      <c r="GH133" s="1898"/>
      <c r="GI133" s="1898"/>
      <c r="GJ133" s="1898"/>
      <c r="GK133" s="1898"/>
      <c r="GL133" s="1898"/>
      <c r="GM133" s="1898"/>
      <c r="GN133" s="1898"/>
      <c r="GO133" s="1898"/>
      <c r="GP133" s="1898"/>
      <c r="GQ133" s="1898"/>
      <c r="GR133" s="1898"/>
      <c r="GS133" s="1898"/>
      <c r="GT133" s="1898"/>
      <c r="GU133" s="1898"/>
      <c r="GV133" s="1898"/>
      <c r="GW133" s="1898"/>
      <c r="GX133" s="1898"/>
      <c r="GY133" s="1898"/>
      <c r="GZ133" s="1898"/>
      <c r="HA133" s="1898"/>
      <c r="HB133" s="1898"/>
      <c r="HC133" s="1898"/>
      <c r="HD133" s="1898"/>
      <c r="HE133" s="1898"/>
      <c r="HF133" s="1898"/>
      <c r="HG133" s="1898"/>
      <c r="HH133" s="1898"/>
      <c r="HI133" s="1898"/>
      <c r="HJ133" s="1898"/>
      <c r="HK133" s="1898"/>
      <c r="HL133" s="1898"/>
      <c r="HM133" s="1898"/>
      <c r="HN133" s="1898"/>
      <c r="HO133" s="1898"/>
      <c r="HP133" s="1898"/>
      <c r="HQ133" s="1898"/>
      <c r="HR133" s="1898"/>
      <c r="HS133" s="1898"/>
      <c r="HT133" s="1898"/>
      <c r="HU133" s="1898"/>
      <c r="HV133" s="1898"/>
      <c r="HW133" s="1898"/>
      <c r="HX133" s="1898"/>
      <c r="HY133" s="1898"/>
      <c r="HZ133" s="1898"/>
      <c r="IA133" s="1898"/>
      <c r="IB133" s="1898"/>
      <c r="IC133" s="1898"/>
      <c r="ID133" s="1898"/>
      <c r="IE133" s="1898"/>
      <c r="IF133" s="1898"/>
      <c r="IG133" s="1898"/>
      <c r="IH133" s="1898"/>
      <c r="II133" s="1898"/>
      <c r="IJ133" s="1898"/>
      <c r="IK133" s="1898"/>
      <c r="IL133" s="1898"/>
      <c r="IM133" s="1898"/>
      <c r="IN133" s="1898"/>
      <c r="IO133" s="1898"/>
      <c r="IP133" s="1898"/>
      <c r="IQ133" s="1898"/>
      <c r="IR133" s="1898"/>
      <c r="IS133" s="1898"/>
      <c r="IT133" s="1898"/>
      <c r="IU133" s="1898"/>
      <c r="IV133" s="1898"/>
      <c r="IW133" s="1898"/>
      <c r="IX133" s="1898"/>
      <c r="IY133" s="1898"/>
      <c r="IZ133" s="1898"/>
    </row>
    <row r="134" spans="1:260" s="4" customFormat="1" x14ac:dyDescent="0.2">
      <c r="A134" s="1420" t="s">
        <v>680</v>
      </c>
      <c r="E134" s="470"/>
      <c r="F134" s="383"/>
      <c r="G134" s="383"/>
      <c r="H134" s="383"/>
      <c r="I134" s="549"/>
      <c r="J134" s="15"/>
      <c r="K134" s="15"/>
      <c r="L134" s="15"/>
      <c r="M134" s="518"/>
      <c r="N134" s="15"/>
      <c r="O134" s="15"/>
      <c r="P134" s="15"/>
      <c r="Q134" s="518"/>
      <c r="R134" s="15"/>
      <c r="S134" s="15"/>
      <c r="T134" s="15"/>
      <c r="U134" s="518"/>
      <c r="V134" s="15"/>
      <c r="W134" s="15"/>
      <c r="X134" s="15"/>
      <c r="Y134" s="518"/>
      <c r="Z134" s="15"/>
      <c r="AA134" s="15"/>
      <c r="AB134" s="15"/>
      <c r="AC134" s="518"/>
      <c r="AD134" s="15"/>
      <c r="AE134" s="15"/>
      <c r="AF134" s="15"/>
      <c r="AG134" s="518"/>
      <c r="AH134" s="15"/>
      <c r="AI134" s="15"/>
      <c r="AJ134" s="15"/>
      <c r="AK134" s="518"/>
      <c r="AL134" s="15"/>
      <c r="AM134" s="15"/>
      <c r="AN134" s="15"/>
      <c r="AO134" s="518"/>
      <c r="AP134" s="15"/>
      <c r="AQ134" s="15"/>
      <c r="AR134" s="15"/>
      <c r="AS134" s="518"/>
      <c r="AT134" s="15"/>
      <c r="AU134" s="15"/>
      <c r="AV134" s="15"/>
      <c r="AW134" s="518"/>
      <c r="AX134" s="15"/>
      <c r="AY134" s="15"/>
      <c r="AZ134" s="15"/>
      <c r="BA134" s="518"/>
      <c r="BB134" s="15"/>
      <c r="BC134" s="15"/>
      <c r="BD134" s="15"/>
      <c r="BE134" s="518"/>
      <c r="BF134" s="15"/>
      <c r="BG134" s="15"/>
      <c r="BH134" s="15"/>
      <c r="BI134" s="518"/>
      <c r="BJ134" s="15"/>
      <c r="BK134" s="15"/>
      <c r="BL134" s="15"/>
      <c r="BM134" s="518"/>
      <c r="BN134" s="15"/>
      <c r="BO134" s="15"/>
      <c r="BP134" s="15"/>
      <c r="BQ134" s="518"/>
      <c r="BR134" s="15"/>
      <c r="BS134" s="15"/>
      <c r="BT134" s="15"/>
      <c r="BU134" s="518"/>
      <c r="BV134" s="77"/>
      <c r="BW134" s="77"/>
      <c r="BX134" s="77"/>
      <c r="BY134" s="487"/>
      <c r="BZ134" s="15"/>
      <c r="CA134" s="15"/>
      <c r="CB134" s="15"/>
      <c r="CC134" s="518"/>
      <c r="CD134" s="77"/>
      <c r="CE134" s="77"/>
      <c r="CF134" s="77"/>
      <c r="CG134" s="487"/>
      <c r="CH134" s="77"/>
      <c r="CI134" s="77"/>
      <c r="CJ134" s="77"/>
      <c r="CK134" s="487"/>
      <c r="CL134" s="77"/>
      <c r="CM134" s="77"/>
      <c r="CN134" s="77"/>
      <c r="CO134" s="487"/>
      <c r="CP134" s="77">
        <f t="shared" ref="CP134:DM134" si="616">+CP129+CL129</f>
        <v>0.36299999999999999</v>
      </c>
      <c r="CQ134" s="77">
        <f t="shared" si="616"/>
        <v>0.247</v>
      </c>
      <c r="CR134" s="77">
        <f t="shared" si="616"/>
        <v>0.254</v>
      </c>
      <c r="CS134" s="487">
        <f t="shared" si="616"/>
        <v>0.37</v>
      </c>
      <c r="CT134" s="77">
        <f t="shared" si="616"/>
        <v>0.45499999999999996</v>
      </c>
      <c r="CU134" s="77">
        <f t="shared" si="616"/>
        <v>0.32500000000000001</v>
      </c>
      <c r="CV134" s="77">
        <f t="shared" si="616"/>
        <v>0.36699999999999999</v>
      </c>
      <c r="CW134" s="487">
        <f t="shared" si="616"/>
        <v>0.35499999999999998</v>
      </c>
      <c r="CX134" s="77">
        <f t="shared" si="616"/>
        <v>0.34499999999999997</v>
      </c>
      <c r="CY134" s="77">
        <f t="shared" si="616"/>
        <v>0.39</v>
      </c>
      <c r="CZ134" s="77">
        <f t="shared" si="616"/>
        <v>0.39900000000000002</v>
      </c>
      <c r="DA134" s="487">
        <f t="shared" si="616"/>
        <v>0.23400000000000001</v>
      </c>
      <c r="DB134" s="77">
        <f t="shared" si="616"/>
        <v>0.29199999999999998</v>
      </c>
      <c r="DC134" s="77">
        <f t="shared" si="616"/>
        <v>0.40700000000000003</v>
      </c>
      <c r="DD134" s="70">
        <f t="shared" si="616"/>
        <v>0.42399999999999999</v>
      </c>
      <c r="DE134" s="487">
        <f t="shared" si="616"/>
        <v>0.312</v>
      </c>
      <c r="DF134" s="70">
        <f t="shared" si="616"/>
        <v>0.46399999999999997</v>
      </c>
      <c r="DG134" s="70">
        <f t="shared" si="616"/>
        <v>0.54899999999999993</v>
      </c>
      <c r="DH134" s="70">
        <f t="shared" si="616"/>
        <v>0.46399999999999997</v>
      </c>
      <c r="DI134" s="487">
        <f t="shared" si="616"/>
        <v>0.35399999999999998</v>
      </c>
      <c r="DJ134" s="1673">
        <f t="shared" si="616"/>
        <v>0.34499999999999997</v>
      </c>
      <c r="DK134" s="70">
        <f t="shared" si="616"/>
        <v>0.41200000000000003</v>
      </c>
      <c r="DL134" s="70">
        <f t="shared" si="616"/>
        <v>0.42300000000000004</v>
      </c>
      <c r="DM134" s="487">
        <f t="shared" si="616"/>
        <v>0.35899999999999999</v>
      </c>
      <c r="DN134" s="70"/>
      <c r="DO134" s="487"/>
      <c r="DP134" s="3"/>
      <c r="DQ134" s="3"/>
      <c r="DR134" s="3"/>
      <c r="DS134" s="3"/>
      <c r="DT134" s="3"/>
      <c r="DU134" s="3"/>
      <c r="DV134" s="3"/>
      <c r="DW134" s="3"/>
      <c r="DY134" s="383"/>
      <c r="DZ134" s="15"/>
      <c r="EA134" s="15"/>
      <c r="EB134" s="15"/>
      <c r="EC134" s="15"/>
      <c r="ED134" s="15"/>
      <c r="EE134" s="15"/>
      <c r="EF134" s="15"/>
      <c r="EG134" s="15"/>
      <c r="EH134" s="15"/>
      <c r="EI134" s="15"/>
      <c r="EJ134" s="15"/>
      <c r="EK134" s="15"/>
      <c r="EL134" s="15"/>
      <c r="EM134" s="15"/>
      <c r="EN134" s="15"/>
      <c r="EO134" s="15"/>
      <c r="EP134" s="15"/>
      <c r="EQ134" s="15"/>
      <c r="ER134" s="15"/>
      <c r="ES134" s="15"/>
      <c r="ET134" s="15"/>
      <c r="EU134" s="15"/>
      <c r="EV134" s="1283">
        <f t="shared" ref="EV134:EW134" si="617">+IFERROR(EV129+EU129,"NA")</f>
        <v>0.35584281486353181</v>
      </c>
      <c r="EW134" s="1283">
        <f t="shared" si="617"/>
        <v>0.29186241156901338</v>
      </c>
      <c r="EX134" s="1042">
        <f>+IFERROR(EX129+EW129,"NA")</f>
        <v>0.34205559550634801</v>
      </c>
      <c r="EY134" s="1042">
        <f t="shared" ref="EY134:FH134" si="618">+IFERROR(EY129+EX129,"NA")</f>
        <v>0.4260935008941038</v>
      </c>
      <c r="EZ134" s="1776">
        <f t="shared" si="618"/>
        <v>0.3763609857566208</v>
      </c>
      <c r="FA134" s="1283">
        <f t="shared" si="618"/>
        <v>0.27330348366338342</v>
      </c>
      <c r="FB134" s="1283">
        <f t="shared" si="618"/>
        <v>0.19500000000000001</v>
      </c>
      <c r="FC134" s="1283">
        <f t="shared" si="618"/>
        <v>0.13</v>
      </c>
      <c r="FD134" s="1283">
        <f t="shared" si="618"/>
        <v>0.1</v>
      </c>
      <c r="FE134" s="1283">
        <f t="shared" si="618"/>
        <v>0.1</v>
      </c>
      <c r="FF134" s="1283">
        <f t="shared" si="618"/>
        <v>0.1</v>
      </c>
      <c r="FG134" s="1283">
        <f t="shared" si="618"/>
        <v>0.1</v>
      </c>
      <c r="FH134" s="1283">
        <f t="shared" si="618"/>
        <v>0.1</v>
      </c>
      <c r="FI134" s="1865"/>
      <c r="FJ134"/>
      <c r="FK134"/>
      <c r="FL134"/>
      <c r="FM134"/>
      <c r="FN134"/>
      <c r="FO134"/>
      <c r="FP134" s="3"/>
      <c r="FS134" s="70"/>
      <c r="FT134" s="70"/>
      <c r="FU134"/>
      <c r="FV134"/>
      <c r="FW134" s="75"/>
      <c r="FX134" s="75"/>
      <c r="FY134" s="75"/>
      <c r="FZ134"/>
      <c r="GA134"/>
      <c r="GB134"/>
      <c r="GC134"/>
      <c r="GD134"/>
      <c r="GE134"/>
      <c r="GF134"/>
      <c r="GG134"/>
      <c r="GH134"/>
      <c r="GI134"/>
      <c r="GJ134"/>
      <c r="GK134"/>
      <c r="GL134"/>
      <c r="GM134"/>
      <c r="GN134"/>
      <c r="GO134"/>
      <c r="GP134"/>
      <c r="GQ134"/>
      <c r="GR134"/>
      <c r="GS134"/>
      <c r="GT134"/>
      <c r="GU134"/>
      <c r="GV134"/>
      <c r="GW134"/>
      <c r="GX134"/>
      <c r="GY134"/>
      <c r="GZ134"/>
      <c r="HA134"/>
      <c r="HB134"/>
      <c r="HC134"/>
      <c r="HD134"/>
      <c r="HE134"/>
      <c r="HF134"/>
      <c r="HG134"/>
      <c r="HH134"/>
      <c r="HI134"/>
      <c r="HJ134"/>
      <c r="HK134"/>
      <c r="HL134"/>
      <c r="HM134"/>
      <c r="HN134"/>
      <c r="HO134"/>
      <c r="HP134"/>
      <c r="HQ134"/>
      <c r="HR134"/>
      <c r="HS134"/>
      <c r="HT134"/>
      <c r="HU134"/>
      <c r="HV134"/>
      <c r="HW134"/>
      <c r="HX134"/>
      <c r="HY134"/>
      <c r="HZ134"/>
      <c r="IA134"/>
      <c r="IB134"/>
      <c r="IC134"/>
      <c r="ID134"/>
      <c r="IE134"/>
      <c r="IF134"/>
      <c r="IG134"/>
      <c r="IH134"/>
      <c r="II134"/>
      <c r="IJ134"/>
      <c r="IK134"/>
      <c r="IL134"/>
      <c r="IM134"/>
      <c r="IN134"/>
      <c r="IO134"/>
      <c r="IP134"/>
      <c r="IQ134"/>
      <c r="IR134"/>
      <c r="IS134"/>
      <c r="IT134"/>
      <c r="IU134"/>
      <c r="IV134"/>
      <c r="IW134"/>
      <c r="IX134"/>
      <c r="IY134"/>
      <c r="IZ134"/>
    </row>
    <row r="135" spans="1:260" s="4" customFormat="1" x14ac:dyDescent="0.2">
      <c r="A135" s="1420" t="s">
        <v>681</v>
      </c>
      <c r="E135" s="470"/>
      <c r="F135" s="383"/>
      <c r="G135" s="383"/>
      <c r="H135" s="383"/>
      <c r="I135" s="549"/>
      <c r="J135" s="15"/>
      <c r="K135" s="15"/>
      <c r="L135" s="15"/>
      <c r="M135" s="518"/>
      <c r="N135" s="15"/>
      <c r="O135" s="15"/>
      <c r="P135" s="15"/>
      <c r="Q135" s="518"/>
      <c r="R135" s="15"/>
      <c r="S135" s="15"/>
      <c r="T135" s="15"/>
      <c r="U135" s="518"/>
      <c r="V135" s="15"/>
      <c r="W135" s="15"/>
      <c r="X135" s="15"/>
      <c r="Y135" s="518"/>
      <c r="Z135" s="15"/>
      <c r="AA135" s="15"/>
      <c r="AB135" s="15"/>
      <c r="AC135" s="518"/>
      <c r="AD135" s="15"/>
      <c r="AE135" s="15"/>
      <c r="AF135" s="15"/>
      <c r="AG135" s="518"/>
      <c r="AH135" s="15"/>
      <c r="AI135" s="15"/>
      <c r="AJ135" s="15"/>
      <c r="AK135" s="518"/>
      <c r="AL135" s="15"/>
      <c r="AM135" s="15"/>
      <c r="AN135" s="15"/>
      <c r="AO135" s="518"/>
      <c r="AP135" s="15"/>
      <c r="AQ135" s="15"/>
      <c r="AR135" s="15"/>
      <c r="AS135" s="518"/>
      <c r="AT135" s="15"/>
      <c r="AU135" s="15"/>
      <c r="AV135" s="15"/>
      <c r="AW135" s="518"/>
      <c r="AX135" s="15"/>
      <c r="AY135" s="15"/>
      <c r="AZ135" s="15"/>
      <c r="BA135" s="518"/>
      <c r="BB135" s="15"/>
      <c r="BC135" s="15"/>
      <c r="BD135" s="15"/>
      <c r="BE135" s="518"/>
      <c r="BF135" s="15"/>
      <c r="BG135" s="15"/>
      <c r="BH135" s="15"/>
      <c r="BI135" s="518"/>
      <c r="BJ135" s="15"/>
      <c r="BK135" s="15"/>
      <c r="BL135" s="15"/>
      <c r="BM135" s="518"/>
      <c r="BN135" s="15"/>
      <c r="BO135" s="15"/>
      <c r="BP135" s="15"/>
      <c r="BQ135" s="518"/>
      <c r="BR135" s="15"/>
      <c r="BS135" s="15"/>
      <c r="BT135" s="15"/>
      <c r="BU135" s="518"/>
      <c r="BV135" s="77"/>
      <c r="BW135" s="77"/>
      <c r="BX135" s="77"/>
      <c r="BY135" s="487"/>
      <c r="BZ135" s="15"/>
      <c r="CA135" s="15"/>
      <c r="CB135" s="15"/>
      <c r="CC135" s="518"/>
      <c r="CD135" s="77"/>
      <c r="CE135" s="77"/>
      <c r="CF135" s="77"/>
      <c r="CG135" s="487"/>
      <c r="CH135" s="77"/>
      <c r="CI135" s="77"/>
      <c r="CJ135" s="77"/>
      <c r="CK135" s="487"/>
      <c r="CL135" s="77"/>
      <c r="CM135" s="77"/>
      <c r="CN135" s="77"/>
      <c r="CO135" s="487"/>
      <c r="CP135" s="77"/>
      <c r="CQ135" s="77"/>
      <c r="CR135" s="77"/>
      <c r="CS135" s="487"/>
      <c r="CT135" s="77">
        <f t="shared" ref="CT135:DM135" si="619">+CT129+CP129+CL129</f>
        <v>0.65500000000000003</v>
      </c>
      <c r="CU135" s="77">
        <f t="shared" si="619"/>
        <v>0.46699999999999997</v>
      </c>
      <c r="CV135" s="77">
        <f t="shared" si="619"/>
        <v>0.47</v>
      </c>
      <c r="CW135" s="487">
        <f t="shared" si="619"/>
        <v>0.46699999999999997</v>
      </c>
      <c r="CX135" s="77">
        <f t="shared" si="619"/>
        <v>0.50800000000000001</v>
      </c>
      <c r="CY135" s="77">
        <f t="shared" si="619"/>
        <v>0.495</v>
      </c>
      <c r="CZ135" s="77">
        <f t="shared" si="619"/>
        <v>0.55000000000000004</v>
      </c>
      <c r="DA135" s="487">
        <f t="shared" si="619"/>
        <v>0.49199999999999999</v>
      </c>
      <c r="DB135" s="77">
        <f t="shared" si="619"/>
        <v>0.58399999999999996</v>
      </c>
      <c r="DC135" s="77">
        <f t="shared" si="619"/>
        <v>0.627</v>
      </c>
      <c r="DD135" s="70">
        <f t="shared" si="619"/>
        <v>0.64</v>
      </c>
      <c r="DE135" s="487">
        <f t="shared" si="619"/>
        <v>0.40900000000000003</v>
      </c>
      <c r="DF135" s="70">
        <f t="shared" si="619"/>
        <v>0.51700000000000002</v>
      </c>
      <c r="DG135" s="70">
        <f t="shared" si="619"/>
        <v>0.71899999999999997</v>
      </c>
      <c r="DH135" s="70">
        <f t="shared" si="619"/>
        <v>0.64700000000000002</v>
      </c>
      <c r="DI135" s="487">
        <f t="shared" si="619"/>
        <v>0.49099999999999999</v>
      </c>
      <c r="DJ135" s="1673">
        <f t="shared" si="619"/>
        <v>0.58399999999999996</v>
      </c>
      <c r="DK135" s="70">
        <f t="shared" si="619"/>
        <v>0.64900000000000002</v>
      </c>
      <c r="DL135" s="70">
        <f t="shared" si="619"/>
        <v>0.66400000000000003</v>
      </c>
      <c r="DM135" s="487">
        <f t="shared" si="619"/>
        <v>0.53400000000000003</v>
      </c>
      <c r="DN135" s="70"/>
      <c r="DO135" s="487"/>
      <c r="DP135" s="3"/>
      <c r="DQ135" s="3"/>
      <c r="DR135" s="3"/>
      <c r="DS135" s="3"/>
      <c r="DT135" s="3"/>
      <c r="DU135" s="3"/>
      <c r="DV135" s="3"/>
      <c r="DW135" s="3"/>
      <c r="DY135" s="383"/>
      <c r="DZ135" s="15"/>
      <c r="EA135" s="15"/>
      <c r="EB135" s="15"/>
      <c r="EC135" s="15"/>
      <c r="ED135" s="15"/>
      <c r="EE135" s="15"/>
      <c r="EF135" s="15"/>
      <c r="EG135" s="15"/>
      <c r="EH135" s="15"/>
      <c r="EI135" s="15"/>
      <c r="EJ135" s="15"/>
      <c r="EK135" s="15"/>
      <c r="EL135" s="15"/>
      <c r="EM135" s="15"/>
      <c r="EN135" s="15"/>
      <c r="EO135" s="15"/>
      <c r="EP135" s="15"/>
      <c r="EQ135" s="15"/>
      <c r="ER135" s="15"/>
      <c r="ES135" s="15"/>
      <c r="ET135" s="15"/>
      <c r="EU135" s="15"/>
      <c r="EV135" s="1283">
        <f t="shared" ref="EV135:EW135" si="620">+IFERROR(EV129+EU129+ET129,"NA")</f>
        <v>0.4698428148635318</v>
      </c>
      <c r="EW135" s="1283">
        <f t="shared" si="620"/>
        <v>0.48986241156901339</v>
      </c>
      <c r="EX135" s="1042">
        <f>+IFERROR(EX129+EW129+EV129,"NA")</f>
        <v>0.49989841036987981</v>
      </c>
      <c r="EY135" s="1042">
        <f t="shared" ref="EY135:FH135" si="621">+IFERROR(EY129+EX129+EW129,"NA")</f>
        <v>0.56011309759958539</v>
      </c>
      <c r="EZ135" s="1776">
        <f t="shared" si="621"/>
        <v>0.58439698455748723</v>
      </c>
      <c r="FA135" s="1283">
        <f t="shared" si="621"/>
        <v>0.49136098575662079</v>
      </c>
      <c r="FB135" s="1283">
        <f t="shared" si="621"/>
        <v>0.35330348366338343</v>
      </c>
      <c r="FC135" s="1283">
        <f t="shared" si="621"/>
        <v>0.245</v>
      </c>
      <c r="FD135" s="1283">
        <f t="shared" si="621"/>
        <v>0.18</v>
      </c>
      <c r="FE135" s="1283">
        <f t="shared" si="621"/>
        <v>0.15000000000000002</v>
      </c>
      <c r="FF135" s="1283">
        <f t="shared" si="621"/>
        <v>0.15000000000000002</v>
      </c>
      <c r="FG135" s="1283">
        <f t="shared" si="621"/>
        <v>0.15000000000000002</v>
      </c>
      <c r="FH135" s="1283">
        <f t="shared" si="621"/>
        <v>0.15000000000000002</v>
      </c>
      <c r="FI135" s="1865"/>
      <c r="FJ135"/>
      <c r="FK135"/>
      <c r="FL135"/>
      <c r="FM135"/>
      <c r="FN135"/>
      <c r="FO135"/>
      <c r="FP135" s="3"/>
      <c r="FS135" s="70"/>
      <c r="FT135" s="70"/>
      <c r="FU135"/>
      <c r="FV135"/>
      <c r="FW135" s="75"/>
      <c r="FX135" s="75"/>
      <c r="FY135" s="75"/>
      <c r="FZ135"/>
      <c r="GA135"/>
      <c r="GB135"/>
      <c r="GC135"/>
      <c r="GD135"/>
      <c r="GE135"/>
      <c r="GF135"/>
      <c r="GG135"/>
      <c r="GH135"/>
      <c r="GI135"/>
      <c r="GJ135"/>
      <c r="GK135"/>
      <c r="GL135"/>
      <c r="GM135"/>
      <c r="GN135"/>
      <c r="GO135"/>
      <c r="GP135"/>
      <c r="GQ135"/>
      <c r="GR135"/>
      <c r="GS135"/>
      <c r="GT135"/>
      <c r="GU135"/>
      <c r="GV135"/>
      <c r="GW135"/>
      <c r="GX135"/>
      <c r="GY135"/>
      <c r="GZ135"/>
      <c r="HA135"/>
      <c r="HB135"/>
      <c r="HC135"/>
      <c r="HD135"/>
      <c r="HE135"/>
      <c r="HF135"/>
      <c r="HG135"/>
      <c r="HH135"/>
      <c r="HI135"/>
      <c r="HJ135"/>
      <c r="HK135"/>
      <c r="HL135"/>
      <c r="HM135"/>
      <c r="HN135"/>
      <c r="HO135"/>
      <c r="HP135"/>
      <c r="HQ135"/>
      <c r="HR135"/>
      <c r="HS135"/>
      <c r="HT135"/>
      <c r="HU135"/>
      <c r="HV135"/>
      <c r="HW135"/>
      <c r="HX135"/>
      <c r="HY135"/>
      <c r="HZ135"/>
      <c r="IA135"/>
      <c r="IB135"/>
      <c r="IC135"/>
      <c r="ID135"/>
      <c r="IE135"/>
      <c r="IF135"/>
      <c r="IG135"/>
      <c r="IH135"/>
      <c r="II135"/>
      <c r="IJ135"/>
      <c r="IK135"/>
      <c r="IL135"/>
      <c r="IM135"/>
      <c r="IN135"/>
      <c r="IO135"/>
      <c r="IP135"/>
      <c r="IQ135"/>
      <c r="IR135"/>
      <c r="IS135"/>
      <c r="IT135"/>
      <c r="IU135"/>
      <c r="IV135"/>
      <c r="IW135"/>
      <c r="IX135"/>
      <c r="IY135"/>
      <c r="IZ135"/>
    </row>
    <row r="136" spans="1:260" s="4" customFormat="1" collapsed="1" x14ac:dyDescent="0.2">
      <c r="A136" s="287"/>
      <c r="E136" s="470"/>
      <c r="F136" s="383"/>
      <c r="G136" s="383"/>
      <c r="H136" s="383"/>
      <c r="I136" s="549"/>
      <c r="J136" s="15"/>
      <c r="K136" s="15"/>
      <c r="L136" s="15"/>
      <c r="M136" s="518"/>
      <c r="N136" s="15"/>
      <c r="O136" s="15"/>
      <c r="P136" s="15"/>
      <c r="Q136" s="518"/>
      <c r="R136" s="15"/>
      <c r="S136" s="15"/>
      <c r="T136" s="15"/>
      <c r="U136" s="518"/>
      <c r="V136" s="15"/>
      <c r="W136" s="15"/>
      <c r="X136" s="15"/>
      <c r="Y136" s="518"/>
      <c r="Z136" s="15"/>
      <c r="AA136" s="15"/>
      <c r="AB136" s="15"/>
      <c r="AC136" s="518"/>
      <c r="AD136" s="15"/>
      <c r="AE136" s="15"/>
      <c r="AF136" s="15"/>
      <c r="AG136" s="518"/>
      <c r="AH136" s="15"/>
      <c r="AI136" s="15"/>
      <c r="AJ136" s="15"/>
      <c r="AK136" s="518"/>
      <c r="AL136" s="15"/>
      <c r="AM136" s="15"/>
      <c r="AN136" s="15"/>
      <c r="AO136" s="518"/>
      <c r="AP136" s="15"/>
      <c r="AQ136" s="15"/>
      <c r="AR136" s="15"/>
      <c r="AS136" s="518"/>
      <c r="AT136" s="15"/>
      <c r="AU136" s="15"/>
      <c r="AV136" s="15"/>
      <c r="AW136" s="518"/>
      <c r="AX136" s="15"/>
      <c r="AY136" s="15"/>
      <c r="AZ136" s="15"/>
      <c r="BA136" s="518"/>
      <c r="BB136" s="15"/>
      <c r="BC136" s="15"/>
      <c r="BD136" s="15"/>
      <c r="BE136" s="518"/>
      <c r="BF136" s="15"/>
      <c r="BG136" s="15"/>
      <c r="BH136" s="15"/>
      <c r="BI136" s="518"/>
      <c r="BJ136" s="15"/>
      <c r="BK136" s="15"/>
      <c r="BL136" s="15"/>
      <c r="BM136" s="518"/>
      <c r="BN136" s="15"/>
      <c r="BO136" s="15"/>
      <c r="BP136" s="15"/>
      <c r="BQ136" s="518"/>
      <c r="BR136" s="15"/>
      <c r="BS136" s="15"/>
      <c r="BT136" s="15"/>
      <c r="BU136" s="518"/>
      <c r="BV136" s="77"/>
      <c r="BW136" s="77"/>
      <c r="BX136" s="77"/>
      <c r="BY136" s="487"/>
      <c r="BZ136" s="15"/>
      <c r="CA136" s="15"/>
      <c r="CB136" s="15"/>
      <c r="CC136" s="518"/>
      <c r="CD136" s="77"/>
      <c r="CE136" s="77"/>
      <c r="CF136" s="77"/>
      <c r="CG136" s="487"/>
      <c r="CH136" s="77"/>
      <c r="CI136" s="77"/>
      <c r="CJ136" s="77"/>
      <c r="CK136" s="487"/>
      <c r="CL136" s="77"/>
      <c r="CM136" s="77"/>
      <c r="CN136" s="77"/>
      <c r="CO136" s="487"/>
      <c r="CP136" s="77"/>
      <c r="CQ136" s="77"/>
      <c r="CR136" s="77"/>
      <c r="CS136" s="487"/>
      <c r="CT136" s="77"/>
      <c r="CU136" s="77"/>
      <c r="CV136" s="77"/>
      <c r="CW136" s="487"/>
      <c r="CX136" s="77"/>
      <c r="CY136" s="77"/>
      <c r="CZ136" s="77"/>
      <c r="DA136" s="487"/>
      <c r="DB136" s="77"/>
      <c r="DC136" s="77"/>
      <c r="DD136" s="70"/>
      <c r="DE136" s="487"/>
      <c r="DF136" s="70"/>
      <c r="DG136" s="70"/>
      <c r="DH136" s="70"/>
      <c r="DI136" s="487"/>
      <c r="DJ136" s="1673"/>
      <c r="DK136" s="70"/>
      <c r="DL136" s="70"/>
      <c r="DM136" s="487"/>
      <c r="DN136" s="70"/>
      <c r="DO136" s="487"/>
      <c r="DP136" s="3"/>
      <c r="DQ136" s="3"/>
      <c r="DR136" s="3"/>
      <c r="DS136" s="3"/>
      <c r="DT136" s="3"/>
      <c r="DU136" s="3"/>
      <c r="DV136" s="3"/>
      <c r="DW136" s="3"/>
      <c r="DY136" s="383"/>
      <c r="DZ136" s="15"/>
      <c r="EA136" s="15"/>
      <c r="EB136" s="15"/>
      <c r="EC136" s="15"/>
      <c r="ED136" s="15"/>
      <c r="EE136" s="15"/>
      <c r="EF136" s="15"/>
      <c r="EG136" s="15"/>
      <c r="EH136" s="15"/>
      <c r="EI136" s="15"/>
      <c r="EJ136" s="15"/>
      <c r="EK136" s="15"/>
      <c r="EL136" s="15"/>
      <c r="EM136" s="15"/>
      <c r="EN136" s="15"/>
      <c r="EO136" s="15"/>
      <c r="EP136" s="15"/>
      <c r="EQ136" s="15"/>
      <c r="ER136" s="15"/>
      <c r="ES136" s="15"/>
      <c r="ET136" s="15"/>
      <c r="EU136" s="15"/>
      <c r="EV136" s="15"/>
      <c r="EW136" s="15"/>
      <c r="EX136" s="77"/>
      <c r="EY136" s="77"/>
      <c r="EZ136" s="1680"/>
      <c r="FA136" s="161"/>
      <c r="FB136" s="161"/>
      <c r="FC136" s="161"/>
      <c r="FD136" s="161"/>
      <c r="FE136" s="161"/>
      <c r="FF136" s="161"/>
      <c r="FG136" s="161"/>
      <c r="FH136" s="161"/>
      <c r="FI136" s="580"/>
      <c r="FJ136"/>
      <c r="FK136"/>
      <c r="FL136"/>
      <c r="FM136"/>
      <c r="FN136"/>
      <c r="FO136"/>
      <c r="FP136" s="3"/>
      <c r="FS136" s="70"/>
      <c r="FT136" s="70"/>
      <c r="FU136"/>
      <c r="FV136"/>
      <c r="FW136" s="70"/>
      <c r="FX136" s="70"/>
      <c r="FY136" s="70"/>
      <c r="FZ136"/>
      <c r="GA136"/>
      <c r="GB136"/>
      <c r="GC136"/>
      <c r="GD136"/>
      <c r="GE136"/>
      <c r="GF136"/>
      <c r="GG136"/>
      <c r="GH136"/>
      <c r="GI136"/>
      <c r="GJ136"/>
      <c r="GK136"/>
      <c r="GL136"/>
      <c r="GM136"/>
      <c r="GN136"/>
      <c r="GO136"/>
      <c r="GP136"/>
      <c r="GQ136"/>
      <c r="GR136"/>
      <c r="GS136"/>
      <c r="GT136"/>
      <c r="GU136"/>
      <c r="GV136"/>
      <c r="GW136"/>
      <c r="GX136"/>
      <c r="GY136"/>
      <c r="GZ136"/>
      <c r="HA136"/>
      <c r="HB136"/>
      <c r="HC136"/>
      <c r="HD136"/>
      <c r="HE136"/>
      <c r="HF136"/>
      <c r="HG136"/>
      <c r="HH136"/>
      <c r="HI136"/>
      <c r="HJ136"/>
      <c r="HK136"/>
      <c r="HL136"/>
      <c r="HM136"/>
      <c r="HN136"/>
      <c r="HO136"/>
      <c r="HP136"/>
      <c r="HQ136"/>
      <c r="HR136"/>
      <c r="HS136"/>
      <c r="HT136"/>
      <c r="HU136"/>
      <c r="HV136"/>
      <c r="HW136"/>
      <c r="HX136"/>
      <c r="HY136"/>
      <c r="HZ136"/>
      <c r="IA136"/>
      <c r="IB136"/>
      <c r="IC136"/>
      <c r="ID136"/>
      <c r="IE136"/>
      <c r="IF136"/>
      <c r="IG136"/>
      <c r="IH136"/>
      <c r="II136"/>
      <c r="IJ136"/>
      <c r="IK136"/>
      <c r="IL136"/>
      <c r="IM136"/>
      <c r="IN136"/>
      <c r="IO136"/>
      <c r="IP136"/>
      <c r="IQ136"/>
      <c r="IR136"/>
      <c r="IS136"/>
      <c r="IT136"/>
      <c r="IU136"/>
      <c r="IV136"/>
      <c r="IW136"/>
      <c r="IX136"/>
      <c r="IY136"/>
      <c r="IZ136"/>
    </row>
    <row r="137" spans="1:260" s="4" customFormat="1" x14ac:dyDescent="0.2">
      <c r="A137" s="287" t="s">
        <v>600</v>
      </c>
      <c r="B137" s="4">
        <f>+B140</f>
        <v>0.15</v>
      </c>
      <c r="C137" s="4">
        <f>+C140</f>
        <v>0.27</v>
      </c>
      <c r="D137" s="4">
        <f>+D140</f>
        <v>0.21</v>
      </c>
      <c r="E137" s="519">
        <f>+E140</f>
        <v>0.35</v>
      </c>
      <c r="F137" s="383">
        <f t="shared" ref="F137:AK137" si="622">+F140-F138</f>
        <v>0.37</v>
      </c>
      <c r="G137" s="383">
        <f t="shared" si="622"/>
        <v>0.18</v>
      </c>
      <c r="H137" s="383">
        <f t="shared" si="622"/>
        <v>0.2</v>
      </c>
      <c r="I137" s="549">
        <f t="shared" si="622"/>
        <v>0.14000000000000001</v>
      </c>
      <c r="J137" s="15">
        <f t="shared" si="622"/>
        <v>6.2E-2</v>
      </c>
      <c r="K137" s="15">
        <f t="shared" si="622"/>
        <v>6.9000000000000006E-2</v>
      </c>
      <c r="L137" s="15">
        <f t="shared" si="622"/>
        <v>0.11</v>
      </c>
      <c r="M137" s="518">
        <f t="shared" si="622"/>
        <v>1.4E-2</v>
      </c>
      <c r="N137" s="15">
        <f t="shared" si="622"/>
        <v>3.5999999999999997E-2</v>
      </c>
      <c r="O137" s="15">
        <f t="shared" si="622"/>
        <v>3.6999999999999998E-2</v>
      </c>
      <c r="P137" s="15">
        <f t="shared" si="622"/>
        <v>-8.1000000000000003E-2</v>
      </c>
      <c r="Q137" s="518">
        <f t="shared" si="622"/>
        <v>-0.112</v>
      </c>
      <c r="R137" s="15">
        <f t="shared" si="622"/>
        <v>-8.2000000000000003E-2</v>
      </c>
      <c r="S137" s="15">
        <f t="shared" si="622"/>
        <v>-5.6000000000000001E-2</v>
      </c>
      <c r="T137" s="15">
        <f t="shared" si="622"/>
        <v>-4.0000000000000001E-3</v>
      </c>
      <c r="U137" s="518">
        <f t="shared" si="622"/>
        <v>0.16900000000000001</v>
      </c>
      <c r="V137" s="15">
        <f t="shared" si="622"/>
        <v>0.153</v>
      </c>
      <c r="W137" s="15">
        <f t="shared" si="622"/>
        <v>0.17899999999999999</v>
      </c>
      <c r="X137" s="15">
        <f t="shared" si="622"/>
        <v>0.122</v>
      </c>
      <c r="Y137" s="518">
        <f t="shared" si="622"/>
        <v>0.108</v>
      </c>
      <c r="Z137" s="15">
        <f t="shared" si="622"/>
        <v>0.13300000000000001</v>
      </c>
      <c r="AA137" s="15">
        <f t="shared" si="622"/>
        <v>0.111</v>
      </c>
      <c r="AB137" s="15">
        <f t="shared" si="622"/>
        <v>1.2E-2</v>
      </c>
      <c r="AC137" s="518">
        <f t="shared" si="622"/>
        <v>0.11</v>
      </c>
      <c r="AD137" s="15">
        <f t="shared" si="622"/>
        <v>9.5000000000000001E-2</v>
      </c>
      <c r="AE137" s="15">
        <f t="shared" si="622"/>
        <v>5.0999999999999997E-2</v>
      </c>
      <c r="AF137" s="15">
        <f t="shared" si="622"/>
        <v>5.8999999999999997E-2</v>
      </c>
      <c r="AG137" s="518">
        <f t="shared" si="622"/>
        <v>1.7999999999999999E-2</v>
      </c>
      <c r="AH137" s="15">
        <f t="shared" si="622"/>
        <v>-3.1E-2</v>
      </c>
      <c r="AI137" s="15">
        <f t="shared" si="622"/>
        <v>2.8000000000000001E-2</v>
      </c>
      <c r="AJ137" s="15">
        <f t="shared" si="622"/>
        <v>1.6E-2</v>
      </c>
      <c r="AK137" s="518">
        <f t="shared" si="622"/>
        <v>4.4999999999999998E-2</v>
      </c>
      <c r="AL137" s="15">
        <f t="shared" ref="AL137:BQ137" si="623">+AL140-AL138</f>
        <v>6.6000000000000003E-2</v>
      </c>
      <c r="AM137" s="15">
        <f t="shared" si="623"/>
        <v>2.7E-2</v>
      </c>
      <c r="AN137" s="15">
        <f t="shared" si="623"/>
        <v>7.0000000000000001E-3</v>
      </c>
      <c r="AO137" s="518">
        <f t="shared" si="623"/>
        <v>1.2999999999999999E-2</v>
      </c>
      <c r="AP137" s="15">
        <f t="shared" si="623"/>
        <v>2.3E-2</v>
      </c>
      <c r="AQ137" s="15">
        <f t="shared" si="623"/>
        <v>7.8E-2</v>
      </c>
      <c r="AR137" s="15">
        <f t="shared" si="623"/>
        <v>0.09</v>
      </c>
      <c r="AS137" s="518">
        <f t="shared" si="623"/>
        <v>9.9000000000000005E-2</v>
      </c>
      <c r="AT137" s="15">
        <f t="shared" si="623"/>
        <v>8.4000000000000005E-2</v>
      </c>
      <c r="AU137" s="15">
        <f t="shared" si="623"/>
        <v>4.3999999999999997E-2</v>
      </c>
      <c r="AV137" s="15">
        <f t="shared" si="623"/>
        <v>0.03</v>
      </c>
      <c r="AW137" s="518">
        <f t="shared" si="623"/>
        <v>3.1E-2</v>
      </c>
      <c r="AX137" s="15">
        <f t="shared" si="623"/>
        <v>4.4999999999999998E-2</v>
      </c>
      <c r="AY137" s="15">
        <f t="shared" si="623"/>
        <v>3.7999999999999999E-2</v>
      </c>
      <c r="AZ137" s="15">
        <f t="shared" si="623"/>
        <v>3.7999999999999999E-2</v>
      </c>
      <c r="BA137" s="518">
        <f t="shared" si="623"/>
        <v>7.3999999999999996E-2</v>
      </c>
      <c r="BB137" s="15">
        <f t="shared" si="623"/>
        <v>4.5999999999999999E-2</v>
      </c>
      <c r="BC137" s="15">
        <f t="shared" si="623"/>
        <v>0.03</v>
      </c>
      <c r="BD137" s="15">
        <f t="shared" si="623"/>
        <v>3.5999999999999997E-2</v>
      </c>
      <c r="BE137" s="518">
        <f t="shared" si="623"/>
        <v>4.8000000000000001E-2</v>
      </c>
      <c r="BF137" s="15">
        <f t="shared" si="623"/>
        <v>1.7000000000000001E-2</v>
      </c>
      <c r="BG137" s="15">
        <f t="shared" si="623"/>
        <v>1.7000000000000001E-2</v>
      </c>
      <c r="BH137" s="15">
        <f t="shared" si="623"/>
        <v>6.0999999999999999E-2</v>
      </c>
      <c r="BI137" s="518">
        <f t="shared" si="623"/>
        <v>-8.9999999999999993E-3</v>
      </c>
      <c r="BJ137" s="15">
        <f t="shared" si="623"/>
        <v>3.5000000000000003E-2</v>
      </c>
      <c r="BK137" s="15">
        <f t="shared" si="623"/>
        <v>5.2999999999999999E-2</v>
      </c>
      <c r="BL137" s="15">
        <f t="shared" si="623"/>
        <v>-6.3E-2</v>
      </c>
      <c r="BM137" s="518">
        <f t="shared" si="623"/>
        <v>-4.8000000000000001E-2</v>
      </c>
      <c r="BN137" s="15">
        <f t="shared" si="623"/>
        <v>-4.9000000000000002E-2</v>
      </c>
      <c r="BO137" s="15">
        <f t="shared" si="623"/>
        <v>-3.1E-2</v>
      </c>
      <c r="BP137" s="15">
        <f t="shared" si="623"/>
        <v>4.5999999999999999E-2</v>
      </c>
      <c r="BQ137" s="518">
        <f t="shared" si="623"/>
        <v>7.3999999999999996E-2</v>
      </c>
      <c r="BR137" s="15">
        <f t="shared" ref="BR137:CK137" si="624">+BR140-BR138</f>
        <v>1.0315946025730919E-2</v>
      </c>
      <c r="BS137" s="15">
        <f t="shared" si="624"/>
        <v>-1.9576452798485994E-2</v>
      </c>
      <c r="BT137" s="15">
        <f t="shared" si="624"/>
        <v>-5.2399289406379397E-2</v>
      </c>
      <c r="BU137" s="518">
        <f t="shared" si="624"/>
        <v>-6.2304320996412164E-2</v>
      </c>
      <c r="BV137" s="77">
        <f t="shared" si="624"/>
        <v>-2.8796426630765287E-2</v>
      </c>
      <c r="BW137" s="77">
        <f t="shared" si="624"/>
        <v>-3.215487732972136E-2</v>
      </c>
      <c r="BX137" s="77">
        <f t="shared" si="624"/>
        <v>1.4789183380152235E-3</v>
      </c>
      <c r="BY137" s="487">
        <f t="shared" si="624"/>
        <v>-3.8075076211584097E-2</v>
      </c>
      <c r="BZ137" s="15">
        <f t="shared" si="624"/>
        <v>3.5265886157542156E-2</v>
      </c>
      <c r="CA137" s="15">
        <f t="shared" si="624"/>
        <v>-7.2770724283462273E-3</v>
      </c>
      <c r="CB137" s="15">
        <f t="shared" si="624"/>
        <v>-4.209663713403182E-2</v>
      </c>
      <c r="CC137" s="518">
        <f t="shared" si="624"/>
        <v>-6.1797975836909394E-2</v>
      </c>
      <c r="CD137" s="77">
        <f t="shared" si="624"/>
        <v>-4.2465055598114601E-2</v>
      </c>
      <c r="CE137" s="77">
        <f t="shared" si="624"/>
        <v>-4.6312956035861871E-2</v>
      </c>
      <c r="CF137" s="77">
        <f t="shared" si="624"/>
        <v>-7.2525348042186194E-3</v>
      </c>
      <c r="CG137" s="487">
        <f t="shared" si="624"/>
        <v>-2.6445380894121361E-2</v>
      </c>
      <c r="CH137" s="77">
        <f t="shared" si="624"/>
        <v>-4.5452958924972149E-2</v>
      </c>
      <c r="CI137" s="77">
        <f t="shared" si="624"/>
        <v>-2.2728817499672448E-2</v>
      </c>
      <c r="CJ137" s="77">
        <f t="shared" si="624"/>
        <v>-4.5025987330663986E-2</v>
      </c>
      <c r="CK137" s="487">
        <f t="shared" si="624"/>
        <v>-9.8959888236403899E-4</v>
      </c>
      <c r="CL137" s="77">
        <f t="shared" ref="CL137:DC137" si="625">+CL140-CL138</f>
        <v>-4.6649135973479888E-2</v>
      </c>
      <c r="CM137" s="77">
        <f t="shared" si="625"/>
        <v>-2.3855662893318093E-2</v>
      </c>
      <c r="CN137" s="77">
        <f t="shared" si="625"/>
        <v>-4.5819655118883584E-2</v>
      </c>
      <c r="CO137" s="487">
        <f t="shared" si="625"/>
        <v>-2.1376433851240523E-3</v>
      </c>
      <c r="CP137" s="77">
        <f t="shared" si="625"/>
        <v>-1.9864045818386106E-2</v>
      </c>
      <c r="CQ137" s="77">
        <f t="shared" si="625"/>
        <v>-9.8087648154816902E-3</v>
      </c>
      <c r="CR137" s="77">
        <f t="shared" si="625"/>
        <v>9.4682725927046473E-3</v>
      </c>
      <c r="CS137" s="487">
        <f t="shared" si="625"/>
        <v>-3.7656357083589331E-2</v>
      </c>
      <c r="CT137" s="77">
        <f t="shared" si="625"/>
        <v>-3.1190284419833875E-2</v>
      </c>
      <c r="CU137" s="77">
        <f t="shared" si="625"/>
        <v>-3.3497106109324756E-2</v>
      </c>
      <c r="CV137" s="77">
        <f t="shared" si="625"/>
        <v>1.8202764976958524E-2</v>
      </c>
      <c r="CW137" s="487">
        <f t="shared" si="625"/>
        <v>1.5616685639941454E-2</v>
      </c>
      <c r="CX137" s="77">
        <f t="shared" si="625"/>
        <v>1.6474746176583987E-3</v>
      </c>
      <c r="CY137" s="77">
        <f t="shared" si="625"/>
        <v>2.4978246539222149E-2</v>
      </c>
      <c r="CZ137" s="77">
        <f t="shared" si="625"/>
        <v>-5.7616366366366363E-3</v>
      </c>
      <c r="DA137" s="487">
        <f t="shared" si="625"/>
        <v>-3.5342915649365994E-2</v>
      </c>
      <c r="DB137" s="77">
        <f t="shared" si="625"/>
        <v>-2.1386185044359948E-2</v>
      </c>
      <c r="DC137" s="77">
        <f t="shared" si="625"/>
        <v>-1.2336633663366334E-2</v>
      </c>
      <c r="DD137" s="70">
        <f t="shared" ref="DD137:DI137" si="626">+DD140-DD138</f>
        <v>-3.1800868974042051E-3</v>
      </c>
      <c r="DE137" s="487">
        <f t="shared" si="626"/>
        <v>-3.604545454545454E-2</v>
      </c>
      <c r="DF137" s="70">
        <f t="shared" si="626"/>
        <v>-9.9641812492016809E-3</v>
      </c>
      <c r="DG137" s="70">
        <f t="shared" si="626"/>
        <v>2.0928870072252498E-2</v>
      </c>
      <c r="DH137" s="70">
        <f t="shared" si="626"/>
        <v>2.0981498001831047E-2</v>
      </c>
      <c r="DI137" s="487">
        <f t="shared" si="626"/>
        <v>5.7049992502836759E-2</v>
      </c>
      <c r="DJ137" s="1673">
        <f>+DJ111</f>
        <v>0.02</v>
      </c>
      <c r="DK137" s="70">
        <f t="shared" ref="DK137:DM137" si="627">+DK111</f>
        <v>5.0000000000000001E-3</v>
      </c>
      <c r="DL137" s="70">
        <f t="shared" si="627"/>
        <v>-0.01</v>
      </c>
      <c r="DM137" s="487">
        <f t="shared" si="627"/>
        <v>-0.05</v>
      </c>
      <c r="DN137" s="70"/>
      <c r="DO137" s="487"/>
      <c r="DP137" s="3"/>
      <c r="DQ137" s="3"/>
      <c r="DR137" s="15">
        <f t="shared" ref="DR137:FH137" si="628">+DR111</f>
        <v>0</v>
      </c>
      <c r="DS137" s="15">
        <f t="shared" si="628"/>
        <v>0</v>
      </c>
      <c r="DT137" s="15">
        <f t="shared" si="628"/>
        <v>0</v>
      </c>
      <c r="DU137" s="15">
        <f t="shared" si="628"/>
        <v>0</v>
      </c>
      <c r="DV137" s="15">
        <f t="shared" si="628"/>
        <v>0</v>
      </c>
      <c r="DW137" s="15">
        <f t="shared" si="628"/>
        <v>0</v>
      </c>
      <c r="DX137" s="15">
        <f t="shared" si="628"/>
        <v>0.26900000000000002</v>
      </c>
      <c r="DY137" s="15">
        <f t="shared" si="628"/>
        <v>0.19900000000000001</v>
      </c>
      <c r="DZ137" s="15">
        <f t="shared" si="628"/>
        <v>5.5E-2</v>
      </c>
      <c r="EA137" s="15">
        <f t="shared" si="628"/>
        <v>-4.7E-2</v>
      </c>
      <c r="EB137" s="15">
        <f t="shared" si="628"/>
        <v>0.02</v>
      </c>
      <c r="EC137" s="15">
        <f t="shared" si="628"/>
        <v>0.13549656162770154</v>
      </c>
      <c r="ED137" s="15">
        <f t="shared" si="628"/>
        <v>0.111</v>
      </c>
      <c r="EE137" s="15">
        <f t="shared" si="628"/>
        <v>4.9000000000000002E-2</v>
      </c>
      <c r="EF137" s="15">
        <f t="shared" si="628"/>
        <v>1.9413664884963978E-2</v>
      </c>
      <c r="EG137" s="15">
        <f t="shared" si="628"/>
        <v>2.5348368720870013E-2</v>
      </c>
      <c r="EH137" s="15">
        <f t="shared" si="628"/>
        <v>7.7525984251968494E-2</v>
      </c>
      <c r="EI137" s="15">
        <f t="shared" si="628"/>
        <v>4.4389665258368537E-2</v>
      </c>
      <c r="EJ137" s="15">
        <f t="shared" si="628"/>
        <v>5.0999999999999997E-2</v>
      </c>
      <c r="EK137" s="15">
        <f t="shared" si="628"/>
        <v>4.1000000000000002E-2</v>
      </c>
      <c r="EL137" s="15">
        <f t="shared" si="628"/>
        <v>1.9E-2</v>
      </c>
      <c r="EM137" s="15">
        <f t="shared" si="628"/>
        <v>-1.2999999999999999E-2</v>
      </c>
      <c r="EN137" s="15">
        <f t="shared" si="628"/>
        <v>1.7000000000000001E-2</v>
      </c>
      <c r="EO137" s="15">
        <f t="shared" si="628"/>
        <v>-0.03</v>
      </c>
      <c r="EP137" s="15">
        <f t="shared" si="628"/>
        <v>-2.5075394514202581E-2</v>
      </c>
      <c r="EQ137" s="15">
        <f t="shared" si="628"/>
        <v>-1.7000000000000001E-2</v>
      </c>
      <c r="ER137" s="15">
        <f t="shared" si="628"/>
        <v>-3.0223088317305569E-2</v>
      </c>
      <c r="ES137" s="15">
        <f t="shared" si="628"/>
        <v>-1.7000000000000001E-2</v>
      </c>
      <c r="ET137" s="15">
        <f t="shared" si="628"/>
        <v>-1.7000000000000001E-2</v>
      </c>
      <c r="EU137" s="15">
        <f t="shared" si="628"/>
        <v>-1.7068735238266599E-2</v>
      </c>
      <c r="EV137" s="15">
        <f t="shared" si="628"/>
        <v>-4.7750125901895573E-3</v>
      </c>
      <c r="EW137" s="15">
        <f t="shared" si="628"/>
        <v>-7.0043028279363562E-3</v>
      </c>
      <c r="EX137" s="77">
        <f t="shared" si="628"/>
        <v>-1.9845868227096122E-2</v>
      </c>
      <c r="EY137" s="77">
        <f t="shared" si="628"/>
        <v>2.6228736503234144E-2</v>
      </c>
      <c r="EZ137" s="1680">
        <f t="shared" ref="EZ137" si="629">+EZ111</f>
        <v>-1.342633486691455E-2</v>
      </c>
      <c r="FA137" s="161">
        <f t="shared" si="628"/>
        <v>-0.01</v>
      </c>
      <c r="FB137" s="161">
        <f t="shared" si="628"/>
        <v>-5.0000000000000001E-3</v>
      </c>
      <c r="FC137" s="161">
        <f t="shared" si="628"/>
        <v>0</v>
      </c>
      <c r="FD137" s="161">
        <f t="shared" si="628"/>
        <v>5.0000000000000001E-3</v>
      </c>
      <c r="FE137" s="161">
        <f t="shared" si="628"/>
        <v>5.0000000000000001E-3</v>
      </c>
      <c r="FF137" s="161">
        <f t="shared" si="628"/>
        <v>5.0000000000000001E-3</v>
      </c>
      <c r="FG137" s="161">
        <f t="shared" si="628"/>
        <v>5.0000000000000001E-3</v>
      </c>
      <c r="FH137" s="161">
        <f t="shared" si="628"/>
        <v>5.0000000000000001E-3</v>
      </c>
      <c r="FI137" s="580"/>
      <c r="FJ137"/>
      <c r="FK137"/>
      <c r="FL137"/>
      <c r="FM137"/>
      <c r="FN137"/>
      <c r="FO137"/>
      <c r="FP137" s="3"/>
      <c r="FS137" s="70"/>
      <c r="FT137" s="70"/>
      <c r="FU137"/>
      <c r="FV137"/>
      <c r="FW137" s="70"/>
      <c r="FX137" s="70"/>
      <c r="FY137" s="70"/>
      <c r="FZ137"/>
      <c r="GA137"/>
      <c r="GB137"/>
      <c r="GC137"/>
      <c r="GD137"/>
      <c r="GE137"/>
      <c r="GF137"/>
      <c r="GG137"/>
      <c r="GH137"/>
      <c r="GI137"/>
      <c r="GJ137"/>
      <c r="GK137"/>
      <c r="GL137"/>
      <c r="GM137"/>
      <c r="GN137"/>
      <c r="GO137"/>
      <c r="GP137"/>
      <c r="GQ137"/>
      <c r="GR137"/>
      <c r="GS137"/>
      <c r="GT137"/>
      <c r="GU137"/>
      <c r="GV137"/>
      <c r="GW137"/>
      <c r="GX137"/>
      <c r="GY137"/>
      <c r="GZ137"/>
      <c r="HA137"/>
      <c r="HB137"/>
      <c r="HC137"/>
      <c r="HD137"/>
      <c r="HE137"/>
      <c r="HF137"/>
      <c r="HG137"/>
      <c r="HH137"/>
      <c r="HI137"/>
      <c r="HJ137"/>
      <c r="HK137"/>
      <c r="HL137"/>
      <c r="HM137"/>
      <c r="HN137"/>
      <c r="HO137"/>
      <c r="HP137"/>
      <c r="HQ137"/>
      <c r="HR137"/>
      <c r="HS137"/>
      <c r="HT137"/>
      <c r="HU137"/>
      <c r="HV137"/>
      <c r="HW137"/>
      <c r="HX137"/>
      <c r="HY137"/>
      <c r="HZ137"/>
      <c r="IA137"/>
      <c r="IB137"/>
      <c r="IC137"/>
      <c r="ID137"/>
      <c r="IE137"/>
      <c r="IF137"/>
      <c r="IG137"/>
      <c r="IH137"/>
      <c r="II137"/>
      <c r="IJ137"/>
      <c r="IK137"/>
      <c r="IL137"/>
      <c r="IM137"/>
      <c r="IN137"/>
      <c r="IO137"/>
      <c r="IP137"/>
      <c r="IQ137"/>
      <c r="IR137"/>
      <c r="IS137"/>
      <c r="IT137"/>
      <c r="IU137"/>
      <c r="IV137"/>
      <c r="IW137"/>
      <c r="IX137"/>
      <c r="IY137"/>
      <c r="IZ137"/>
    </row>
    <row r="138" spans="1:260" s="4" customFormat="1" x14ac:dyDescent="0.2">
      <c r="A138" s="287" t="s">
        <v>621</v>
      </c>
      <c r="E138" s="470"/>
      <c r="F138" s="383">
        <f t="shared" ref="F138:AK138" si="630">+F129*B139</f>
        <v>0</v>
      </c>
      <c r="G138" s="383">
        <f t="shared" si="630"/>
        <v>0</v>
      </c>
      <c r="H138" s="383">
        <f t="shared" si="630"/>
        <v>0</v>
      </c>
      <c r="I138" s="549">
        <f t="shared" si="630"/>
        <v>0</v>
      </c>
      <c r="J138" s="15">
        <f t="shared" si="630"/>
        <v>0</v>
      </c>
      <c r="K138" s="15">
        <f t="shared" si="630"/>
        <v>0</v>
      </c>
      <c r="L138" s="15">
        <f t="shared" si="630"/>
        <v>0</v>
      </c>
      <c r="M138" s="518">
        <f t="shared" si="630"/>
        <v>0</v>
      </c>
      <c r="N138" s="15">
        <f t="shared" si="630"/>
        <v>0</v>
      </c>
      <c r="O138" s="15">
        <f t="shared" si="630"/>
        <v>0</v>
      </c>
      <c r="P138" s="15">
        <f t="shared" si="630"/>
        <v>0</v>
      </c>
      <c r="Q138" s="518">
        <f t="shared" si="630"/>
        <v>0</v>
      </c>
      <c r="R138" s="15">
        <f t="shared" si="630"/>
        <v>0</v>
      </c>
      <c r="S138" s="15">
        <f t="shared" si="630"/>
        <v>0</v>
      </c>
      <c r="T138" s="15">
        <f t="shared" si="630"/>
        <v>0</v>
      </c>
      <c r="U138" s="518">
        <f t="shared" si="630"/>
        <v>0</v>
      </c>
      <c r="V138" s="15">
        <f t="shared" si="630"/>
        <v>0</v>
      </c>
      <c r="W138" s="15">
        <f t="shared" si="630"/>
        <v>0</v>
      </c>
      <c r="X138" s="15">
        <f t="shared" si="630"/>
        <v>0</v>
      </c>
      <c r="Y138" s="518">
        <f t="shared" si="630"/>
        <v>0</v>
      </c>
      <c r="Z138" s="15">
        <f t="shared" si="630"/>
        <v>0</v>
      </c>
      <c r="AA138" s="15">
        <f t="shared" si="630"/>
        <v>0</v>
      </c>
      <c r="AB138" s="15">
        <f t="shared" si="630"/>
        <v>0</v>
      </c>
      <c r="AC138" s="518">
        <f t="shared" si="630"/>
        <v>0</v>
      </c>
      <c r="AD138" s="15">
        <f t="shared" si="630"/>
        <v>0</v>
      </c>
      <c r="AE138" s="15">
        <f t="shared" si="630"/>
        <v>0</v>
      </c>
      <c r="AF138" s="15">
        <f t="shared" si="630"/>
        <v>0</v>
      </c>
      <c r="AG138" s="518">
        <f t="shared" si="630"/>
        <v>0</v>
      </c>
      <c r="AH138" s="15">
        <f t="shared" si="630"/>
        <v>0</v>
      </c>
      <c r="AI138" s="15">
        <f t="shared" si="630"/>
        <v>0</v>
      </c>
      <c r="AJ138" s="15">
        <f t="shared" si="630"/>
        <v>0</v>
      </c>
      <c r="AK138" s="518">
        <f t="shared" si="630"/>
        <v>0</v>
      </c>
      <c r="AL138" s="15">
        <f t="shared" ref="AL138:BQ138" si="631">+AL129*AH139</f>
        <v>0</v>
      </c>
      <c r="AM138" s="15">
        <f t="shared" si="631"/>
        <v>0</v>
      </c>
      <c r="AN138" s="15">
        <f t="shared" si="631"/>
        <v>0</v>
      </c>
      <c r="AO138" s="518">
        <f t="shared" si="631"/>
        <v>0</v>
      </c>
      <c r="AP138" s="15">
        <f t="shared" si="631"/>
        <v>0</v>
      </c>
      <c r="AQ138" s="15">
        <f t="shared" si="631"/>
        <v>0</v>
      </c>
      <c r="AR138" s="15">
        <f t="shared" si="631"/>
        <v>0</v>
      </c>
      <c r="AS138" s="518">
        <f t="shared" si="631"/>
        <v>0</v>
      </c>
      <c r="AT138" s="15">
        <f t="shared" si="631"/>
        <v>0</v>
      </c>
      <c r="AU138" s="15">
        <f t="shared" si="631"/>
        <v>0</v>
      </c>
      <c r="AV138" s="15">
        <f t="shared" si="631"/>
        <v>0</v>
      </c>
      <c r="AW138" s="518">
        <f t="shared" si="631"/>
        <v>0</v>
      </c>
      <c r="AX138" s="15">
        <f t="shared" si="631"/>
        <v>0</v>
      </c>
      <c r="AY138" s="15">
        <f t="shared" si="631"/>
        <v>0</v>
      </c>
      <c r="AZ138" s="15">
        <f t="shared" si="631"/>
        <v>0</v>
      </c>
      <c r="BA138" s="518">
        <f t="shared" si="631"/>
        <v>0</v>
      </c>
      <c r="BB138" s="15">
        <f t="shared" si="631"/>
        <v>0</v>
      </c>
      <c r="BC138" s="15">
        <f t="shared" si="631"/>
        <v>0</v>
      </c>
      <c r="BD138" s="15">
        <f t="shared" si="631"/>
        <v>0</v>
      </c>
      <c r="BE138" s="518">
        <f t="shared" si="631"/>
        <v>0</v>
      </c>
      <c r="BF138" s="15">
        <f t="shared" si="631"/>
        <v>0</v>
      </c>
      <c r="BG138" s="15">
        <f t="shared" si="631"/>
        <v>0</v>
      </c>
      <c r="BH138" s="15">
        <f t="shared" si="631"/>
        <v>0</v>
      </c>
      <c r="BI138" s="518">
        <f t="shared" si="631"/>
        <v>0</v>
      </c>
      <c r="BJ138" s="15">
        <f t="shared" si="631"/>
        <v>0</v>
      </c>
      <c r="BK138" s="15">
        <f t="shared" si="631"/>
        <v>0</v>
      </c>
      <c r="BL138" s="15">
        <f t="shared" si="631"/>
        <v>0</v>
      </c>
      <c r="BM138" s="518">
        <f t="shared" si="631"/>
        <v>0</v>
      </c>
      <c r="BN138" s="15">
        <f t="shared" si="631"/>
        <v>0</v>
      </c>
      <c r="BO138" s="15">
        <f t="shared" si="631"/>
        <v>0</v>
      </c>
      <c r="BP138" s="15">
        <f t="shared" si="631"/>
        <v>0</v>
      </c>
      <c r="BQ138" s="518">
        <f t="shared" si="631"/>
        <v>0</v>
      </c>
      <c r="BR138" s="15">
        <f t="shared" ref="BR138:CK138" si="632">+BR129*BN139</f>
        <v>8.6840539742690809E-3</v>
      </c>
      <c r="BS138" s="15">
        <f t="shared" si="632"/>
        <v>5.5764527984859926E-3</v>
      </c>
      <c r="BT138" s="15">
        <f t="shared" si="632"/>
        <v>2.3992894063793956E-3</v>
      </c>
      <c r="BU138" s="518">
        <f t="shared" si="632"/>
        <v>7.3043209964121641E-3</v>
      </c>
      <c r="BV138" s="77">
        <f t="shared" si="632"/>
        <v>4.7964266307652858E-3</v>
      </c>
      <c r="BW138" s="77">
        <f t="shared" si="632"/>
        <v>5.1548773297213609E-3</v>
      </c>
      <c r="BX138" s="77">
        <f t="shared" si="632"/>
        <v>7.5210816619847758E-3</v>
      </c>
      <c r="BY138" s="487">
        <f t="shared" si="632"/>
        <v>1.6075076211584095E-2</v>
      </c>
      <c r="BZ138" s="15">
        <f t="shared" si="632"/>
        <v>1.1734113842457842E-2</v>
      </c>
      <c r="CA138" s="15">
        <f t="shared" si="632"/>
        <v>7.2770724283462273E-3</v>
      </c>
      <c r="CB138" s="15">
        <f t="shared" si="632"/>
        <v>3.0966371340318184E-3</v>
      </c>
      <c r="CC138" s="518">
        <f t="shared" si="632"/>
        <v>9.7979758369093929E-3</v>
      </c>
      <c r="CD138" s="77">
        <f t="shared" si="632"/>
        <v>4.4650555981146011E-3</v>
      </c>
      <c r="CE138" s="77">
        <f t="shared" si="632"/>
        <v>5.3129560358618697E-3</v>
      </c>
      <c r="CF138" s="77">
        <f t="shared" si="632"/>
        <v>8.2525348042186194E-3</v>
      </c>
      <c r="CG138" s="487">
        <f t="shared" si="632"/>
        <v>1.5445380894121362E-2</v>
      </c>
      <c r="CH138" s="77">
        <f t="shared" si="632"/>
        <v>8.452958924972151E-3</v>
      </c>
      <c r="CI138" s="77">
        <f t="shared" si="632"/>
        <v>6.7288174996724482E-3</v>
      </c>
      <c r="CJ138" s="77">
        <f t="shared" si="632"/>
        <v>5.0259873306639866E-3</v>
      </c>
      <c r="CK138" s="487">
        <f t="shared" si="632"/>
        <v>9.9895988823640383E-3</v>
      </c>
      <c r="CL138" s="89">
        <f t="shared" ref="CL138:DB138" si="633">+CL129*CH139</f>
        <v>9.6491359734798866E-3</v>
      </c>
      <c r="CM138" s="89">
        <f t="shared" si="633"/>
        <v>7.8556628933180942E-3</v>
      </c>
      <c r="CN138" s="89">
        <f t="shared" si="633"/>
        <v>5.8196551188835844E-3</v>
      </c>
      <c r="CO138" s="525">
        <f t="shared" si="633"/>
        <v>1.1137643385124052E-2</v>
      </c>
      <c r="CP138" s="89">
        <f t="shared" si="633"/>
        <v>7.8640458183861072E-3</v>
      </c>
      <c r="CQ138" s="89">
        <f t="shared" si="633"/>
        <v>5.8087648154816892E-3</v>
      </c>
      <c r="CR138" s="89">
        <f t="shared" si="633"/>
        <v>8.5317274072953513E-3</v>
      </c>
      <c r="CS138" s="525">
        <f t="shared" si="633"/>
        <v>2.5656357083589331E-2</v>
      </c>
      <c r="CT138" s="77">
        <f t="shared" si="633"/>
        <v>1.8190284419833877E-2</v>
      </c>
      <c r="CU138" s="77">
        <f t="shared" si="633"/>
        <v>1.3497106109324758E-2</v>
      </c>
      <c r="CV138" s="77">
        <f t="shared" si="633"/>
        <v>1.3797235023041475E-2</v>
      </c>
      <c r="CW138" s="487">
        <f t="shared" si="633"/>
        <v>1.2383314360058547E-2</v>
      </c>
      <c r="CX138" s="77">
        <f t="shared" si="633"/>
        <v>4.3525253823416014E-3</v>
      </c>
      <c r="CY138" s="77">
        <f t="shared" si="633"/>
        <v>1.3021753460777852E-2</v>
      </c>
      <c r="CZ138" s="77">
        <f t="shared" si="633"/>
        <v>1.3761636636636636E-2</v>
      </c>
      <c r="DA138" s="487">
        <f>+DA129*CW139</f>
        <v>1.8342915649365993E-2</v>
      </c>
      <c r="DB138" s="77">
        <f t="shared" si="633"/>
        <v>2.0386185044359947E-2</v>
      </c>
      <c r="DC138" s="77">
        <f t="shared" ref="DC138:DM138" si="634">+DC129*CY139</f>
        <v>2.0336633663366334E-2</v>
      </c>
      <c r="DD138" s="70">
        <f t="shared" si="634"/>
        <v>2.1180086897404204E-2</v>
      </c>
      <c r="DE138" s="487">
        <f t="shared" si="634"/>
        <v>2.7045454545454543E-2</v>
      </c>
      <c r="DF138" s="70">
        <f t="shared" si="634"/>
        <v>2.3964181249201681E-2</v>
      </c>
      <c r="DG138" s="70">
        <f t="shared" si="634"/>
        <v>3.3071129927747502E-2</v>
      </c>
      <c r="DH138" s="70">
        <f t="shared" si="634"/>
        <v>2.4018501998168951E-2</v>
      </c>
      <c r="DI138" s="487">
        <f t="shared" si="634"/>
        <v>3.2950007497163238E-2</v>
      </c>
      <c r="DJ138" s="1673">
        <f t="shared" si="634"/>
        <v>1.5492354524772494E-2</v>
      </c>
      <c r="DK138" s="70">
        <f t="shared" si="634"/>
        <v>1.3262936943907159E-2</v>
      </c>
      <c r="DL138" s="70">
        <f t="shared" si="634"/>
        <v>2.5417252888211051E-2</v>
      </c>
      <c r="DM138" s="487">
        <f t="shared" si="634"/>
        <v>3.4459501297633519E-2</v>
      </c>
      <c r="DN138" s="70"/>
      <c r="DO138" s="487"/>
      <c r="DP138" s="3"/>
      <c r="DQ138" s="3"/>
      <c r="DR138" s="15">
        <f t="shared" ref="DR138:ET138" si="635">+DR129*DQ139</f>
        <v>0</v>
      </c>
      <c r="DS138" s="15">
        <f t="shared" si="635"/>
        <v>0</v>
      </c>
      <c r="DT138" s="15">
        <f t="shared" si="635"/>
        <v>0</v>
      </c>
      <c r="DU138" s="15">
        <f t="shared" si="635"/>
        <v>0</v>
      </c>
      <c r="DV138" s="15">
        <f t="shared" si="635"/>
        <v>0</v>
      </c>
      <c r="DW138" s="15">
        <f t="shared" si="635"/>
        <v>0</v>
      </c>
      <c r="DX138" s="15">
        <f t="shared" si="635"/>
        <v>0</v>
      </c>
      <c r="DY138" s="15">
        <f t="shared" si="635"/>
        <v>0</v>
      </c>
      <c r="DZ138" s="15">
        <f t="shared" si="635"/>
        <v>0</v>
      </c>
      <c r="EA138" s="15">
        <f t="shared" si="635"/>
        <v>0</v>
      </c>
      <c r="EB138" s="15">
        <f t="shared" si="635"/>
        <v>0</v>
      </c>
      <c r="EC138" s="15">
        <f t="shared" si="635"/>
        <v>0</v>
      </c>
      <c r="ED138" s="15">
        <f t="shared" si="635"/>
        <v>0</v>
      </c>
      <c r="EE138" s="15">
        <f t="shared" si="635"/>
        <v>0</v>
      </c>
      <c r="EF138" s="15">
        <f t="shared" si="635"/>
        <v>0</v>
      </c>
      <c r="EG138" s="15">
        <f t="shared" si="635"/>
        <v>0</v>
      </c>
      <c r="EH138" s="15">
        <f t="shared" si="635"/>
        <v>0</v>
      </c>
      <c r="EI138" s="15">
        <f t="shared" si="635"/>
        <v>0</v>
      </c>
      <c r="EJ138" s="15">
        <f t="shared" si="635"/>
        <v>0</v>
      </c>
      <c r="EK138" s="15">
        <f t="shared" si="635"/>
        <v>0</v>
      </c>
      <c r="EL138" s="15">
        <f t="shared" si="635"/>
        <v>0</v>
      </c>
      <c r="EM138" s="15">
        <f t="shared" si="635"/>
        <v>0</v>
      </c>
      <c r="EN138" s="15">
        <f t="shared" si="635"/>
        <v>0</v>
      </c>
      <c r="EO138" s="15">
        <f t="shared" si="635"/>
        <v>6.0254249267908348E-3</v>
      </c>
      <c r="EP138" s="15">
        <f t="shared" si="635"/>
        <v>9.1910652686692448E-3</v>
      </c>
      <c r="EQ138" s="15">
        <f t="shared" si="635"/>
        <v>7.982921541982305E-3</v>
      </c>
      <c r="ER138" s="15">
        <f t="shared" si="635"/>
        <v>9.1765056539329995E-3</v>
      </c>
      <c r="ES138" s="15">
        <f t="shared" si="635"/>
        <v>6.9251138933061436E-3</v>
      </c>
      <c r="ET138" s="15">
        <f t="shared" si="635"/>
        <v>7.8546593084002896E-3</v>
      </c>
      <c r="EU138" s="15">
        <f t="shared" ref="EU138:EZ138" si="636">+EU129*ET139</f>
        <v>1.3642303009326817E-2</v>
      </c>
      <c r="EV138" s="15">
        <f t="shared" si="636"/>
        <v>1.3396221149284146E-2</v>
      </c>
      <c r="EW138" s="15">
        <f t="shared" si="636"/>
        <v>1.3087865760643479E-2</v>
      </c>
      <c r="EX138" s="77">
        <f t="shared" si="636"/>
        <v>2.2842386992987764E-2</v>
      </c>
      <c r="EY138" s="77">
        <f t="shared" si="636"/>
        <v>2.9017062455004416E-2</v>
      </c>
      <c r="EZ138" s="1680">
        <f t="shared" si="636"/>
        <v>2.4056941242662052E-2</v>
      </c>
      <c r="FA138" s="161">
        <f>+FA129*EZ139</f>
        <v>2.0185936187522131E-2</v>
      </c>
      <c r="FB138" s="161">
        <f t="shared" ref="FB138:FH138" si="637">+FB129*FA139</f>
        <v>1.550064693056861E-2</v>
      </c>
      <c r="FC138" s="161">
        <f t="shared" si="637"/>
        <v>1.0360827496940443E-2</v>
      </c>
      <c r="FD138" s="161">
        <f t="shared" si="637"/>
        <v>1.0778306751168761E-2</v>
      </c>
      <c r="FE138" s="161">
        <f t="shared" si="637"/>
        <v>1.1164607939728103E-2</v>
      </c>
      <c r="FF138" s="161">
        <f t="shared" si="637"/>
        <v>1.1560723781934493E-2</v>
      </c>
      <c r="FG138" s="161">
        <f t="shared" si="637"/>
        <v>1.1966614137626466E-2</v>
      </c>
      <c r="FH138" s="161">
        <f t="shared" si="637"/>
        <v>1.238221636266194E-2</v>
      </c>
      <c r="FI138" s="580"/>
      <c r="FJ138"/>
      <c r="FK138"/>
      <c r="FL138"/>
      <c r="FM138"/>
      <c r="FN138"/>
      <c r="FO138"/>
      <c r="FP138" s="3"/>
      <c r="FS138" s="70"/>
      <c r="FT138" s="70"/>
      <c r="FU138"/>
      <c r="FV138"/>
      <c r="FW138" s="70"/>
      <c r="FX138" s="70"/>
      <c r="FY138" s="70"/>
      <c r="FZ138"/>
      <c r="GA138"/>
      <c r="GB138"/>
      <c r="GC138"/>
      <c r="GD138"/>
      <c r="GE138"/>
      <c r="GF138"/>
      <c r="GG138"/>
      <c r="GH138"/>
      <c r="GI138"/>
      <c r="GJ138"/>
      <c r="GK138"/>
      <c r="GL138"/>
      <c r="GM138"/>
      <c r="GN138"/>
      <c r="GO138"/>
      <c r="GP138"/>
      <c r="GQ138"/>
      <c r="GR138"/>
      <c r="GS138"/>
      <c r="GT138"/>
      <c r="GU138"/>
      <c r="GV138"/>
      <c r="GW138"/>
      <c r="GX138"/>
      <c r="GY138"/>
      <c r="GZ138"/>
      <c r="HA138"/>
      <c r="HB138"/>
      <c r="HC138"/>
      <c r="HD138"/>
      <c r="HE138"/>
      <c r="HF138"/>
      <c r="HG138"/>
      <c r="HH138"/>
      <c r="HI138"/>
      <c r="HJ138"/>
      <c r="HK138"/>
      <c r="HL138"/>
      <c r="HM138"/>
      <c r="HN138"/>
      <c r="HO138"/>
      <c r="HP138"/>
      <c r="HQ138"/>
      <c r="HR138"/>
      <c r="HS138"/>
      <c r="HT138"/>
      <c r="HU138"/>
      <c r="HV138"/>
      <c r="HW138"/>
      <c r="HX138"/>
      <c r="HY138"/>
      <c r="HZ138"/>
      <c r="IA138"/>
      <c r="IB138"/>
      <c r="IC138"/>
      <c r="ID138"/>
      <c r="IE138"/>
      <c r="IF138"/>
      <c r="IG138"/>
      <c r="IH138"/>
      <c r="II138"/>
      <c r="IJ138"/>
      <c r="IK138"/>
      <c r="IL138"/>
      <c r="IM138"/>
      <c r="IN138"/>
      <c r="IO138"/>
      <c r="IP138"/>
      <c r="IQ138"/>
      <c r="IR138"/>
      <c r="IS138"/>
      <c r="IT138"/>
      <c r="IU138"/>
      <c r="IV138"/>
      <c r="IW138"/>
      <c r="IX138"/>
      <c r="IY138"/>
      <c r="IZ138"/>
    </row>
    <row r="139" spans="1:260" s="4" customFormat="1" x14ac:dyDescent="0.2">
      <c r="A139" s="287" t="s">
        <v>622</v>
      </c>
      <c r="B139" s="4">
        <f t="shared" ref="B139:AG139" si="638">+B128/B147</f>
        <v>0</v>
      </c>
      <c r="C139" s="4">
        <f t="shared" si="638"/>
        <v>0</v>
      </c>
      <c r="D139" s="4">
        <f t="shared" si="638"/>
        <v>0</v>
      </c>
      <c r="E139" s="470">
        <f t="shared" si="638"/>
        <v>0</v>
      </c>
      <c r="F139" s="383">
        <f t="shared" si="638"/>
        <v>0</v>
      </c>
      <c r="G139" s="383">
        <f t="shared" si="638"/>
        <v>0</v>
      </c>
      <c r="H139" s="383">
        <f t="shared" si="638"/>
        <v>0</v>
      </c>
      <c r="I139" s="549">
        <f t="shared" si="638"/>
        <v>0</v>
      </c>
      <c r="J139" s="15">
        <f t="shared" si="638"/>
        <v>0</v>
      </c>
      <c r="K139" s="15">
        <f t="shared" si="638"/>
        <v>0</v>
      </c>
      <c r="L139" s="15">
        <f t="shared" si="638"/>
        <v>0</v>
      </c>
      <c r="M139" s="518">
        <f t="shared" si="638"/>
        <v>0</v>
      </c>
      <c r="N139" s="15">
        <f t="shared" si="638"/>
        <v>0</v>
      </c>
      <c r="O139" s="15">
        <f t="shared" si="638"/>
        <v>0</v>
      </c>
      <c r="P139" s="15">
        <f t="shared" si="638"/>
        <v>0</v>
      </c>
      <c r="Q139" s="518">
        <f t="shared" si="638"/>
        <v>0</v>
      </c>
      <c r="R139" s="15">
        <f t="shared" si="638"/>
        <v>0</v>
      </c>
      <c r="S139" s="15">
        <f t="shared" si="638"/>
        <v>0</v>
      </c>
      <c r="T139" s="15">
        <f t="shared" si="638"/>
        <v>0</v>
      </c>
      <c r="U139" s="518">
        <f t="shared" si="638"/>
        <v>0</v>
      </c>
      <c r="V139" s="15">
        <f t="shared" si="638"/>
        <v>0</v>
      </c>
      <c r="W139" s="15">
        <f t="shared" si="638"/>
        <v>0</v>
      </c>
      <c r="X139" s="15">
        <f t="shared" si="638"/>
        <v>0</v>
      </c>
      <c r="Y139" s="518">
        <f t="shared" si="638"/>
        <v>0</v>
      </c>
      <c r="Z139" s="15">
        <f t="shared" si="638"/>
        <v>0</v>
      </c>
      <c r="AA139" s="15">
        <f t="shared" si="638"/>
        <v>0</v>
      </c>
      <c r="AB139" s="15">
        <f t="shared" si="638"/>
        <v>0</v>
      </c>
      <c r="AC139" s="518">
        <f t="shared" si="638"/>
        <v>0</v>
      </c>
      <c r="AD139" s="15">
        <f t="shared" si="638"/>
        <v>0</v>
      </c>
      <c r="AE139" s="15">
        <f t="shared" si="638"/>
        <v>0</v>
      </c>
      <c r="AF139" s="15">
        <f t="shared" si="638"/>
        <v>0</v>
      </c>
      <c r="AG139" s="518">
        <f t="shared" si="638"/>
        <v>0</v>
      </c>
      <c r="AH139" s="15">
        <f t="shared" ref="AH139:BM139" si="639">+AH128/AH147</f>
        <v>0</v>
      </c>
      <c r="AI139" s="15">
        <f t="shared" si="639"/>
        <v>0</v>
      </c>
      <c r="AJ139" s="15">
        <f t="shared" si="639"/>
        <v>0</v>
      </c>
      <c r="AK139" s="518">
        <f t="shared" si="639"/>
        <v>0</v>
      </c>
      <c r="AL139" s="15">
        <f t="shared" si="639"/>
        <v>0</v>
      </c>
      <c r="AM139" s="15">
        <f t="shared" si="639"/>
        <v>0</v>
      </c>
      <c r="AN139" s="15">
        <f t="shared" si="639"/>
        <v>0</v>
      </c>
      <c r="AO139" s="518">
        <f t="shared" si="639"/>
        <v>0</v>
      </c>
      <c r="AP139" s="15">
        <f t="shared" si="639"/>
        <v>0</v>
      </c>
      <c r="AQ139" s="15">
        <f t="shared" si="639"/>
        <v>0</v>
      </c>
      <c r="AR139" s="15">
        <f t="shared" si="639"/>
        <v>0</v>
      </c>
      <c r="AS139" s="518">
        <f t="shared" si="639"/>
        <v>0</v>
      </c>
      <c r="AT139" s="15">
        <f t="shared" si="639"/>
        <v>0</v>
      </c>
      <c r="AU139" s="15">
        <f t="shared" si="639"/>
        <v>0</v>
      </c>
      <c r="AV139" s="15">
        <f t="shared" si="639"/>
        <v>0</v>
      </c>
      <c r="AW139" s="518">
        <f t="shared" si="639"/>
        <v>0</v>
      </c>
      <c r="AX139" s="15">
        <f t="shared" si="639"/>
        <v>0</v>
      </c>
      <c r="AY139" s="15">
        <f t="shared" si="639"/>
        <v>0</v>
      </c>
      <c r="AZ139" s="15">
        <f t="shared" si="639"/>
        <v>0</v>
      </c>
      <c r="BA139" s="518">
        <f t="shared" si="639"/>
        <v>0</v>
      </c>
      <c r="BB139" s="15">
        <f t="shared" si="639"/>
        <v>0</v>
      </c>
      <c r="BC139" s="15">
        <f t="shared" si="639"/>
        <v>0</v>
      </c>
      <c r="BD139" s="15">
        <f t="shared" si="639"/>
        <v>0</v>
      </c>
      <c r="BE139" s="518">
        <f t="shared" si="639"/>
        <v>0</v>
      </c>
      <c r="BF139" s="15">
        <f t="shared" si="639"/>
        <v>0</v>
      </c>
      <c r="BG139" s="15">
        <f t="shared" si="639"/>
        <v>0</v>
      </c>
      <c r="BH139" s="15">
        <f t="shared" si="639"/>
        <v>0</v>
      </c>
      <c r="BI139" s="518">
        <f t="shared" si="639"/>
        <v>0</v>
      </c>
      <c r="BJ139" s="15">
        <f t="shared" si="639"/>
        <v>0</v>
      </c>
      <c r="BK139" s="15">
        <f t="shared" si="639"/>
        <v>0</v>
      </c>
      <c r="BL139" s="15">
        <f t="shared" si="639"/>
        <v>0</v>
      </c>
      <c r="BM139" s="518">
        <f t="shared" si="639"/>
        <v>0</v>
      </c>
      <c r="BN139" s="15">
        <f t="shared" ref="BN139:CS139" si="640">+BN128/BN147</f>
        <v>3.3400207593342619E-2</v>
      </c>
      <c r="BO139" s="15">
        <f t="shared" si="640"/>
        <v>3.4852829990537453E-2</v>
      </c>
      <c r="BP139" s="15">
        <f t="shared" si="640"/>
        <v>3.4275562948277077E-2</v>
      </c>
      <c r="BQ139" s="518">
        <f t="shared" si="640"/>
        <v>6.640291814920149E-2</v>
      </c>
      <c r="BR139" s="15">
        <f t="shared" si="640"/>
        <v>3.9970221923044051E-2</v>
      </c>
      <c r="BS139" s="15">
        <f t="shared" si="640"/>
        <v>3.965290253631816E-2</v>
      </c>
      <c r="BT139" s="15">
        <f t="shared" si="640"/>
        <v>3.7605408309923878E-2</v>
      </c>
      <c r="BU139" s="518">
        <f t="shared" si="640"/>
        <v>7.6547981959924266E-2</v>
      </c>
      <c r="BV139" s="77">
        <f t="shared" si="640"/>
        <v>4.5131207086376315E-2</v>
      </c>
      <c r="BW139" s="77">
        <f t="shared" si="640"/>
        <v>4.5481702677163921E-2</v>
      </c>
      <c r="BX139" s="77">
        <f t="shared" si="640"/>
        <v>4.423767334331169E-2</v>
      </c>
      <c r="BY139" s="487">
        <f t="shared" si="640"/>
        <v>8.907250760826721E-2</v>
      </c>
      <c r="BZ139" s="15">
        <f t="shared" si="640"/>
        <v>3.7208796650955007E-2</v>
      </c>
      <c r="CA139" s="15">
        <f t="shared" si="640"/>
        <v>4.0868892583552842E-2</v>
      </c>
      <c r="CB139" s="15">
        <f t="shared" si="640"/>
        <v>4.1262674021093099E-2</v>
      </c>
      <c r="CC139" s="518">
        <f t="shared" si="640"/>
        <v>7.3549432829149344E-2</v>
      </c>
      <c r="CD139" s="77">
        <f t="shared" si="640"/>
        <v>4.2264794624860755E-2</v>
      </c>
      <c r="CE139" s="77">
        <f t="shared" si="640"/>
        <v>4.7386038730087669E-2</v>
      </c>
      <c r="CF139" s="77">
        <f t="shared" si="640"/>
        <v>4.8795993501592104E-2</v>
      </c>
      <c r="CG139" s="487">
        <f t="shared" si="640"/>
        <v>8.9192847163964625E-2</v>
      </c>
      <c r="CH139" s="77">
        <f t="shared" si="640"/>
        <v>4.824567986739943E-2</v>
      </c>
      <c r="CI139" s="77">
        <f t="shared" si="640"/>
        <v>5.5321569671254185E-2</v>
      </c>
      <c r="CJ139" s="77">
        <f t="shared" si="640"/>
        <v>5.6501506008578492E-2</v>
      </c>
      <c r="CK139" s="487">
        <f t="shared" si="640"/>
        <v>9.9443244510036166E-2</v>
      </c>
      <c r="CL139" s="77">
        <f t="shared" si="640"/>
        <v>4.824567986739943E-2</v>
      </c>
      <c r="CM139" s="77">
        <f t="shared" si="640"/>
        <v>5.5321569671254185E-2</v>
      </c>
      <c r="CN139" s="77">
        <f t="shared" si="640"/>
        <v>5.6501506008578492E-2</v>
      </c>
      <c r="CO139" s="487">
        <f t="shared" si="640"/>
        <v>9.9443244510036166E-2</v>
      </c>
      <c r="CP139" s="77">
        <f t="shared" si="640"/>
        <v>6.2295494588472188E-2</v>
      </c>
      <c r="CQ139" s="77">
        <f t="shared" si="640"/>
        <v>6.1350482315112538E-2</v>
      </c>
      <c r="CR139" s="77">
        <f t="shared" si="640"/>
        <v>6.3876088069636461E-2</v>
      </c>
      <c r="CS139" s="487">
        <f t="shared" si="640"/>
        <v>0.12766303463977882</v>
      </c>
      <c r="CT139" s="77">
        <f t="shared" ref="CT139:DI139" si="641">+CT128/CT147</f>
        <v>8.2123120421539644E-2</v>
      </c>
      <c r="CU139" s="77">
        <f t="shared" si="641"/>
        <v>7.6598549769281474E-2</v>
      </c>
      <c r="CV139" s="77">
        <f t="shared" si="641"/>
        <v>7.5200200200200198E-2</v>
      </c>
      <c r="CW139" s="487">
        <f t="shared" si="641"/>
        <v>0.13388989525084666</v>
      </c>
      <c r="CX139" s="77">
        <f t="shared" si="641"/>
        <v>8.5297845373890999E-2</v>
      </c>
      <c r="CY139" s="77">
        <f t="shared" si="641"/>
        <v>8.5808580858085806E-2</v>
      </c>
      <c r="CZ139" s="77">
        <f t="shared" si="641"/>
        <v>8.7884177997527818E-2</v>
      </c>
      <c r="DA139" s="487">
        <f t="shared" si="641"/>
        <v>0.15454545454545454</v>
      </c>
      <c r="DB139" s="77">
        <f t="shared" si="641"/>
        <v>0.10650747221867414</v>
      </c>
      <c r="DC139" s="77">
        <f t="shared" si="641"/>
        <v>0.10599721130688301</v>
      </c>
      <c r="DD139" s="70">
        <f t="shared" si="641"/>
        <v>0.10770628698730471</v>
      </c>
      <c r="DE139" s="487">
        <f t="shared" si="641"/>
        <v>0.18407825417409632</v>
      </c>
      <c r="DF139" s="70">
        <f t="shared" si="641"/>
        <v>0.12910295437310412</v>
      </c>
      <c r="DG139" s="70">
        <f t="shared" ref="DG139" si="642">+DG128/DG147</f>
        <v>0.13262936943907158</v>
      </c>
      <c r="DH139" s="70">
        <f t="shared" si="641"/>
        <v>0.12708626444105525</v>
      </c>
      <c r="DI139" s="487">
        <f t="shared" si="641"/>
        <v>0.19144167387574176</v>
      </c>
      <c r="DJ139" s="1673">
        <f t="shared" ref="DJ139:DK139" si="643">+DJ128/DJ147</f>
        <v>0.14151744836741106</v>
      </c>
      <c r="DK139" s="70">
        <f t="shared" si="643"/>
        <v>0.14505629068639878</v>
      </c>
      <c r="DL139" s="70">
        <f t="shared" ref="DL139:DM139" si="644">+DL128/DL147</f>
        <v>0.15126252936523077</v>
      </c>
      <c r="DM139" s="487">
        <f t="shared" si="644"/>
        <v>0.22885522652113405</v>
      </c>
      <c r="DN139" s="70"/>
      <c r="DO139" s="487"/>
      <c r="DP139" s="3"/>
      <c r="DQ139" s="3"/>
      <c r="DR139" s="15">
        <f t="shared" ref="DR139:FH139" si="645">+DR128/DR147</f>
        <v>0</v>
      </c>
      <c r="DS139" s="15">
        <f t="shared" si="645"/>
        <v>0</v>
      </c>
      <c r="DT139" s="15">
        <f t="shared" si="645"/>
        <v>0</v>
      </c>
      <c r="DU139" s="15">
        <f t="shared" si="645"/>
        <v>0</v>
      </c>
      <c r="DV139" s="15">
        <f t="shared" si="645"/>
        <v>0</v>
      </c>
      <c r="DW139" s="15">
        <f t="shared" si="645"/>
        <v>0</v>
      </c>
      <c r="DX139" s="15">
        <f t="shared" si="645"/>
        <v>0</v>
      </c>
      <c r="DY139" s="15">
        <f t="shared" si="645"/>
        <v>0</v>
      </c>
      <c r="DZ139" s="15">
        <f t="shared" si="645"/>
        <v>0</v>
      </c>
      <c r="EA139" s="15">
        <f t="shared" si="645"/>
        <v>0</v>
      </c>
      <c r="EB139" s="15">
        <f t="shared" si="645"/>
        <v>0</v>
      </c>
      <c r="EC139" s="15">
        <f t="shared" si="645"/>
        <v>0</v>
      </c>
      <c r="ED139" s="15">
        <f t="shared" si="645"/>
        <v>0</v>
      </c>
      <c r="EE139" s="15">
        <f t="shared" si="645"/>
        <v>0</v>
      </c>
      <c r="EF139" s="15">
        <f t="shared" si="645"/>
        <v>0</v>
      </c>
      <c r="EG139" s="15">
        <f t="shared" si="645"/>
        <v>0</v>
      </c>
      <c r="EH139" s="15">
        <f t="shared" si="645"/>
        <v>0</v>
      </c>
      <c r="EI139" s="15">
        <f t="shared" si="645"/>
        <v>0</v>
      </c>
      <c r="EJ139" s="15">
        <f t="shared" si="645"/>
        <v>0</v>
      </c>
      <c r="EK139" s="15">
        <f t="shared" si="645"/>
        <v>0</v>
      </c>
      <c r="EL139" s="15">
        <f t="shared" si="645"/>
        <v>0</v>
      </c>
      <c r="EM139" s="15">
        <f t="shared" si="645"/>
        <v>0</v>
      </c>
      <c r="EN139" s="15">
        <f t="shared" si="645"/>
        <v>4.5061860217672299E-2</v>
      </c>
      <c r="EO139" s="15">
        <f t="shared" si="645"/>
        <v>5.1263135531665074E-2</v>
      </c>
      <c r="EP139" s="15">
        <f t="shared" si="645"/>
        <v>5.9701232531170677E-2</v>
      </c>
      <c r="EQ139" s="15">
        <f t="shared" si="645"/>
        <v>5.1181929329587796E-2</v>
      </c>
      <c r="ER139" s="15">
        <f t="shared" si="645"/>
        <v>6.0746613099176693E-2</v>
      </c>
      <c r="ES139" s="15">
        <f t="shared" si="645"/>
        <v>6.8900520249125338E-2</v>
      </c>
      <c r="ET139" s="15">
        <f t="shared" si="645"/>
        <v>6.8900520249125338E-2</v>
      </c>
      <c r="EU139" s="15">
        <f t="shared" si="645"/>
        <v>8.4870642739527227E-2</v>
      </c>
      <c r="EV139" s="15">
        <f t="shared" si="645"/>
        <v>9.7656358341422833E-2</v>
      </c>
      <c r="EW139" s="15">
        <f t="shared" si="645"/>
        <v>0.10980016499381275</v>
      </c>
      <c r="EX139" s="77">
        <f t="shared" si="645"/>
        <v>0.1330706908794968</v>
      </c>
      <c r="EY139" s="77">
        <f t="shared" si="645"/>
        <v>0.15196722577386065</v>
      </c>
      <c r="EZ139" s="1680">
        <f t="shared" ref="EZ139" si="646">+EZ128/EZ147</f>
        <v>0.17552987989149679</v>
      </c>
      <c r="FA139" s="161">
        <f t="shared" si="645"/>
        <v>0.19375808663210761</v>
      </c>
      <c r="FB139" s="161">
        <f t="shared" si="645"/>
        <v>0.20721654993880884</v>
      </c>
      <c r="FC139" s="161">
        <f t="shared" si="645"/>
        <v>0.21556613502337518</v>
      </c>
      <c r="FD139" s="161">
        <f t="shared" si="645"/>
        <v>0.22329215879456205</v>
      </c>
      <c r="FE139" s="161">
        <f t="shared" si="645"/>
        <v>0.23121447563868985</v>
      </c>
      <c r="FF139" s="161">
        <f t="shared" si="645"/>
        <v>0.2393322827525293</v>
      </c>
      <c r="FG139" s="161">
        <f t="shared" si="645"/>
        <v>0.24764432725323879</v>
      </c>
      <c r="FH139" s="161">
        <f t="shared" si="645"/>
        <v>0.25614888841859862</v>
      </c>
      <c r="FI139" s="580"/>
      <c r="FJ139"/>
      <c r="FK139"/>
      <c r="FL139"/>
      <c r="FM139"/>
      <c r="FN139"/>
      <c r="FO139"/>
      <c r="FP139" s="3"/>
      <c r="FS139" s="70"/>
      <c r="FT139" s="70"/>
      <c r="FU139"/>
      <c r="FV139"/>
      <c r="FW139" s="70"/>
      <c r="FX139" s="70"/>
      <c r="FY139" s="70"/>
      <c r="FZ139"/>
      <c r="GA139"/>
      <c r="GB139"/>
      <c r="GC139"/>
      <c r="GD139"/>
      <c r="GE139"/>
      <c r="GF139"/>
      <c r="GG139"/>
      <c r="GH139"/>
      <c r="GI139"/>
      <c r="GJ139"/>
      <c r="GK139"/>
      <c r="GL139"/>
      <c r="GM139"/>
      <c r="GN139"/>
      <c r="GO139"/>
      <c r="GP139"/>
      <c r="GQ139"/>
      <c r="GR139"/>
      <c r="GS139"/>
      <c r="GT139"/>
      <c r="GU139"/>
      <c r="GV139"/>
      <c r="GW139"/>
      <c r="GX139"/>
      <c r="GY139"/>
      <c r="GZ139"/>
      <c r="HA139"/>
      <c r="HB139"/>
      <c r="HC139"/>
      <c r="HD139"/>
      <c r="HE139"/>
      <c r="HF139"/>
      <c r="HG139"/>
      <c r="HH139"/>
      <c r="HI139"/>
      <c r="HJ139"/>
      <c r="HK139"/>
      <c r="HL139"/>
      <c r="HM139"/>
      <c r="HN139"/>
      <c r="HO139"/>
      <c r="HP139"/>
      <c r="HQ139"/>
      <c r="HR139"/>
      <c r="HS139"/>
      <c r="HT139"/>
      <c r="HU139"/>
      <c r="HV139"/>
      <c r="HW139"/>
      <c r="HX139"/>
      <c r="HY139"/>
      <c r="HZ139"/>
      <c r="IA139"/>
      <c r="IB139"/>
      <c r="IC139"/>
      <c r="ID139"/>
      <c r="IE139"/>
      <c r="IF139"/>
      <c r="IG139"/>
      <c r="IH139"/>
      <c r="II139"/>
      <c r="IJ139"/>
      <c r="IK139"/>
      <c r="IL139"/>
      <c r="IM139"/>
      <c r="IN139"/>
      <c r="IO139"/>
      <c r="IP139"/>
      <c r="IQ139"/>
      <c r="IR139"/>
      <c r="IS139"/>
      <c r="IT139"/>
      <c r="IU139"/>
      <c r="IV139"/>
      <c r="IW139"/>
      <c r="IX139"/>
      <c r="IY139"/>
      <c r="IZ139"/>
    </row>
    <row r="140" spans="1:260" s="4" customFormat="1" x14ac:dyDescent="0.2">
      <c r="A140" s="19" t="s">
        <v>638</v>
      </c>
      <c r="B140" s="1525">
        <v>0.15</v>
      </c>
      <c r="C140" s="1525">
        <v>0.27</v>
      </c>
      <c r="D140" s="1525">
        <v>0.21</v>
      </c>
      <c r="E140" s="1526">
        <v>0.35</v>
      </c>
      <c r="F140" s="1528">
        <v>0.37</v>
      </c>
      <c r="G140" s="1528">
        <v>0.18</v>
      </c>
      <c r="H140" s="1528">
        <v>0.2</v>
      </c>
      <c r="I140" s="1529">
        <v>0.14000000000000001</v>
      </c>
      <c r="J140" s="1525">
        <v>6.2E-2</v>
      </c>
      <c r="K140" s="1525">
        <v>6.9000000000000006E-2</v>
      </c>
      <c r="L140" s="1525">
        <v>0.11</v>
      </c>
      <c r="M140" s="1526">
        <v>1.4E-2</v>
      </c>
      <c r="N140" s="1525">
        <v>3.5999999999999997E-2</v>
      </c>
      <c r="O140" s="1525">
        <v>3.6999999999999998E-2</v>
      </c>
      <c r="P140" s="1525">
        <v>-8.1000000000000003E-2</v>
      </c>
      <c r="Q140" s="1526">
        <v>-0.112</v>
      </c>
      <c r="R140" s="1525">
        <v>-8.2000000000000003E-2</v>
      </c>
      <c r="S140" s="1525">
        <v>-5.6000000000000001E-2</v>
      </c>
      <c r="T140" s="1525">
        <v>-4.0000000000000001E-3</v>
      </c>
      <c r="U140" s="1526">
        <v>0.16900000000000001</v>
      </c>
      <c r="V140" s="1525">
        <v>0.153</v>
      </c>
      <c r="W140" s="1525">
        <v>0.17899999999999999</v>
      </c>
      <c r="X140" s="1525">
        <v>0.122</v>
      </c>
      <c r="Y140" s="1526">
        <v>0.108</v>
      </c>
      <c r="Z140" s="1525">
        <v>0.13300000000000001</v>
      </c>
      <c r="AA140" s="1525">
        <v>0.111</v>
      </c>
      <c r="AB140" s="1525">
        <v>1.2E-2</v>
      </c>
      <c r="AC140" s="1526">
        <v>0.11</v>
      </c>
      <c r="AD140" s="1525">
        <v>9.5000000000000001E-2</v>
      </c>
      <c r="AE140" s="1525">
        <v>5.0999999999999997E-2</v>
      </c>
      <c r="AF140" s="1525">
        <v>5.8999999999999997E-2</v>
      </c>
      <c r="AG140" s="1526">
        <v>1.7999999999999999E-2</v>
      </c>
      <c r="AH140" s="1525">
        <v>-3.1E-2</v>
      </c>
      <c r="AI140" s="1525">
        <v>2.8000000000000001E-2</v>
      </c>
      <c r="AJ140" s="1525">
        <v>1.6E-2</v>
      </c>
      <c r="AK140" s="1526">
        <v>4.4999999999999998E-2</v>
      </c>
      <c r="AL140" s="1525">
        <v>6.6000000000000003E-2</v>
      </c>
      <c r="AM140" s="1525">
        <v>2.7E-2</v>
      </c>
      <c r="AN140" s="1525">
        <v>7.0000000000000001E-3</v>
      </c>
      <c r="AO140" s="1526">
        <v>1.2999999999999999E-2</v>
      </c>
      <c r="AP140" s="1525">
        <v>2.3E-2</v>
      </c>
      <c r="AQ140" s="1525">
        <v>7.8E-2</v>
      </c>
      <c r="AR140" s="1525">
        <v>0.09</v>
      </c>
      <c r="AS140" s="1526">
        <v>9.9000000000000005E-2</v>
      </c>
      <c r="AT140" s="1525">
        <v>8.4000000000000005E-2</v>
      </c>
      <c r="AU140" s="1525">
        <v>4.3999999999999997E-2</v>
      </c>
      <c r="AV140" s="1525">
        <v>0.03</v>
      </c>
      <c r="AW140" s="1526">
        <v>3.1E-2</v>
      </c>
      <c r="AX140" s="1525">
        <v>4.4999999999999998E-2</v>
      </c>
      <c r="AY140" s="1525">
        <v>3.7999999999999999E-2</v>
      </c>
      <c r="AZ140" s="1525">
        <v>3.7999999999999999E-2</v>
      </c>
      <c r="BA140" s="1526">
        <v>7.3999999999999996E-2</v>
      </c>
      <c r="BB140" s="1525">
        <v>4.5999999999999999E-2</v>
      </c>
      <c r="BC140" s="1525">
        <v>0.03</v>
      </c>
      <c r="BD140" s="1525">
        <v>3.5999999999999997E-2</v>
      </c>
      <c r="BE140" s="1526">
        <v>4.8000000000000001E-2</v>
      </c>
      <c r="BF140" s="1525">
        <v>1.7000000000000001E-2</v>
      </c>
      <c r="BG140" s="1525">
        <v>1.7000000000000001E-2</v>
      </c>
      <c r="BH140" s="1525">
        <v>6.0999999999999999E-2</v>
      </c>
      <c r="BI140" s="1526">
        <v>-8.9999999999999993E-3</v>
      </c>
      <c r="BJ140" s="1525">
        <v>3.5000000000000003E-2</v>
      </c>
      <c r="BK140" s="1525">
        <v>5.2999999999999999E-2</v>
      </c>
      <c r="BL140" s="1525">
        <v>-6.3E-2</v>
      </c>
      <c r="BM140" s="1526">
        <v>-4.8000000000000001E-2</v>
      </c>
      <c r="BN140" s="1525">
        <v>-4.9000000000000002E-2</v>
      </c>
      <c r="BO140" s="1525">
        <v>-3.1E-2</v>
      </c>
      <c r="BP140" s="1525">
        <v>4.5999999999999999E-2</v>
      </c>
      <c r="BQ140" s="1526">
        <v>7.3999999999999996E-2</v>
      </c>
      <c r="BR140" s="1525">
        <v>1.9E-2</v>
      </c>
      <c r="BS140" s="1525">
        <v>-1.4E-2</v>
      </c>
      <c r="BT140" s="1525">
        <v>-0.05</v>
      </c>
      <c r="BU140" s="1526">
        <v>-5.5E-2</v>
      </c>
      <c r="BV140" s="1530">
        <v>-2.4E-2</v>
      </c>
      <c r="BW140" s="1530">
        <v>-2.7E-2</v>
      </c>
      <c r="BX140" s="1530">
        <v>8.9999999999999993E-3</v>
      </c>
      <c r="BY140" s="1524">
        <v>-2.1999999999999999E-2</v>
      </c>
      <c r="BZ140" s="1525">
        <v>4.7E-2</v>
      </c>
      <c r="CA140" s="1525">
        <v>0</v>
      </c>
      <c r="CB140" s="1525">
        <v>-3.9E-2</v>
      </c>
      <c r="CC140" s="1526">
        <v>-5.1999999999999998E-2</v>
      </c>
      <c r="CD140" s="1530">
        <v>-3.7999999999999999E-2</v>
      </c>
      <c r="CE140" s="1530">
        <v>-4.1000000000000002E-2</v>
      </c>
      <c r="CF140" s="1530">
        <v>1E-3</v>
      </c>
      <c r="CG140" s="1524">
        <v>-1.0999999999999999E-2</v>
      </c>
      <c r="CH140" s="1530">
        <v>-3.6999999999999998E-2</v>
      </c>
      <c r="CI140" s="1530">
        <v>-1.6E-2</v>
      </c>
      <c r="CJ140" s="1530">
        <v>-0.04</v>
      </c>
      <c r="CK140" s="1524">
        <v>8.9999999999999993E-3</v>
      </c>
      <c r="CL140" s="1530">
        <v>-3.6999999999999998E-2</v>
      </c>
      <c r="CM140" s="1530">
        <v>-1.6E-2</v>
      </c>
      <c r="CN140" s="1530">
        <v>-0.04</v>
      </c>
      <c r="CO140" s="1524">
        <v>8.9999999999999993E-3</v>
      </c>
      <c r="CP140" s="1530">
        <v>-1.2E-2</v>
      </c>
      <c r="CQ140" s="1530">
        <v>-4.0000000000000001E-3</v>
      </c>
      <c r="CR140" s="1530">
        <v>1.7999999999999999E-2</v>
      </c>
      <c r="CS140" s="1524">
        <v>-1.2E-2</v>
      </c>
      <c r="CT140" s="1530">
        <v>-1.2999999999999999E-2</v>
      </c>
      <c r="CU140" s="1530">
        <v>-0.02</v>
      </c>
      <c r="CV140" s="1530">
        <v>3.2000000000000001E-2</v>
      </c>
      <c r="CW140" s="1524">
        <v>2.8000000000000001E-2</v>
      </c>
      <c r="CX140" s="2057">
        <v>6.0000000000000001E-3</v>
      </c>
      <c r="CY140" s="2057">
        <v>3.7999999999999999E-2</v>
      </c>
      <c r="CZ140" s="2057">
        <v>8.0000000000000002E-3</v>
      </c>
      <c r="DA140" s="2058">
        <v>-1.7000000000000001E-2</v>
      </c>
      <c r="DB140" s="2057">
        <v>-1E-3</v>
      </c>
      <c r="DC140" s="2236">
        <v>8.0000000000000002E-3</v>
      </c>
      <c r="DD140" s="2236">
        <v>1.7999999999999999E-2</v>
      </c>
      <c r="DE140" s="2058">
        <v>-8.9999999999999993E-3</v>
      </c>
      <c r="DF140" s="2236">
        <v>1.4E-2</v>
      </c>
      <c r="DG140" s="2236">
        <v>5.3999999999999999E-2</v>
      </c>
      <c r="DH140" s="2236">
        <v>4.4999999999999998E-2</v>
      </c>
      <c r="DI140" s="2058">
        <v>0.09</v>
      </c>
      <c r="DJ140" s="1748">
        <f t="shared" ref="DJ140:DM140" si="647">+DJ137+DJ138</f>
        <v>3.5492354524772493E-2</v>
      </c>
      <c r="DK140" s="1530">
        <f t="shared" si="647"/>
        <v>1.8262936943907158E-2</v>
      </c>
      <c r="DL140" s="1530">
        <f t="shared" si="647"/>
        <v>1.5417252888211051E-2</v>
      </c>
      <c r="DM140" s="1524">
        <f t="shared" si="647"/>
        <v>-1.5540498702366484E-2</v>
      </c>
      <c r="DN140" s="70"/>
      <c r="DO140" s="487"/>
      <c r="DP140" s="3"/>
      <c r="DQ140" s="3"/>
      <c r="DR140" s="1525">
        <f t="shared" ref="DR140:ET140" si="648">+DR137+DR138</f>
        <v>0</v>
      </c>
      <c r="DS140" s="1525">
        <f t="shared" si="648"/>
        <v>0</v>
      </c>
      <c r="DT140" s="1525">
        <f t="shared" si="648"/>
        <v>0</v>
      </c>
      <c r="DU140" s="1525">
        <f t="shared" si="648"/>
        <v>0</v>
      </c>
      <c r="DV140" s="1525">
        <f t="shared" si="648"/>
        <v>0</v>
      </c>
      <c r="DW140" s="1525">
        <f t="shared" si="648"/>
        <v>0</v>
      </c>
      <c r="DX140" s="1525">
        <f t="shared" si="648"/>
        <v>0.26900000000000002</v>
      </c>
      <c r="DY140" s="1525">
        <f t="shared" si="648"/>
        <v>0.19900000000000001</v>
      </c>
      <c r="DZ140" s="1525">
        <f t="shared" si="648"/>
        <v>5.5E-2</v>
      </c>
      <c r="EA140" s="1525">
        <f t="shared" si="648"/>
        <v>-4.7E-2</v>
      </c>
      <c r="EB140" s="1525">
        <f t="shared" si="648"/>
        <v>0.02</v>
      </c>
      <c r="EC140" s="1525">
        <f t="shared" si="648"/>
        <v>0.13549656162770154</v>
      </c>
      <c r="ED140" s="1525">
        <f t="shared" si="648"/>
        <v>0.111</v>
      </c>
      <c r="EE140" s="1525">
        <f t="shared" si="648"/>
        <v>4.9000000000000002E-2</v>
      </c>
      <c r="EF140" s="1525">
        <f t="shared" si="648"/>
        <v>1.9413664884963978E-2</v>
      </c>
      <c r="EG140" s="1525">
        <f t="shared" si="648"/>
        <v>2.5348368720870013E-2</v>
      </c>
      <c r="EH140" s="1525">
        <f t="shared" si="648"/>
        <v>7.7525984251968494E-2</v>
      </c>
      <c r="EI140" s="1525">
        <f t="shared" si="648"/>
        <v>4.4389665258368537E-2</v>
      </c>
      <c r="EJ140" s="1525">
        <f t="shared" si="648"/>
        <v>5.0999999999999997E-2</v>
      </c>
      <c r="EK140" s="1525">
        <f t="shared" si="648"/>
        <v>4.1000000000000002E-2</v>
      </c>
      <c r="EL140" s="1525">
        <f t="shared" si="648"/>
        <v>1.9E-2</v>
      </c>
      <c r="EM140" s="1525">
        <f t="shared" si="648"/>
        <v>-1.2999999999999999E-2</v>
      </c>
      <c r="EN140" s="1525">
        <f t="shared" si="648"/>
        <v>1.7000000000000001E-2</v>
      </c>
      <c r="EO140" s="1525">
        <f t="shared" si="648"/>
        <v>-2.3974575073209166E-2</v>
      </c>
      <c r="EP140" s="1525">
        <f t="shared" si="648"/>
        <v>-1.5884329245533336E-2</v>
      </c>
      <c r="EQ140" s="1525">
        <f t="shared" si="648"/>
        <v>-9.0170784580176962E-3</v>
      </c>
      <c r="ER140" s="1525">
        <f t="shared" si="648"/>
        <v>-2.104658266337257E-2</v>
      </c>
      <c r="ES140" s="1525">
        <f t="shared" si="648"/>
        <v>-1.0074886106693857E-2</v>
      </c>
      <c r="ET140" s="1525">
        <f t="shared" si="648"/>
        <v>-9.1453406915997116E-3</v>
      </c>
      <c r="EU140" s="1525">
        <f t="shared" ref="EU140:FH140" si="649">+EU137+EU138</f>
        <v>-3.4264322289397822E-3</v>
      </c>
      <c r="EV140" s="1525">
        <f t="shared" si="649"/>
        <v>8.6212085590945883E-3</v>
      </c>
      <c r="EW140" s="1525">
        <f t="shared" si="649"/>
        <v>6.0835629327071232E-3</v>
      </c>
      <c r="EX140" s="1530">
        <f t="shared" si="649"/>
        <v>2.9965187658916419E-3</v>
      </c>
      <c r="EY140" s="1530">
        <v>5.6000000000000001E-2</v>
      </c>
      <c r="EZ140" s="1748">
        <f t="shared" ref="EZ140" si="650">+EZ137+EZ138</f>
        <v>1.0630606375747502E-2</v>
      </c>
      <c r="FA140" s="1525">
        <f t="shared" si="649"/>
        <v>1.0185936187522131E-2</v>
      </c>
      <c r="FB140" s="1525">
        <f t="shared" si="649"/>
        <v>1.0500646930568611E-2</v>
      </c>
      <c r="FC140" s="1525">
        <f t="shared" si="649"/>
        <v>1.0360827496940443E-2</v>
      </c>
      <c r="FD140" s="1525">
        <f t="shared" si="649"/>
        <v>1.5778306751168761E-2</v>
      </c>
      <c r="FE140" s="1525">
        <f t="shared" si="649"/>
        <v>1.6164607939728102E-2</v>
      </c>
      <c r="FF140" s="1525">
        <f t="shared" si="649"/>
        <v>1.6560723781934492E-2</v>
      </c>
      <c r="FG140" s="1525">
        <f t="shared" si="649"/>
        <v>1.6966614137626467E-2</v>
      </c>
      <c r="FH140" s="1526">
        <f t="shared" si="649"/>
        <v>1.7382216362661941E-2</v>
      </c>
      <c r="FI140" s="580"/>
      <c r="FJ140"/>
      <c r="FK140"/>
      <c r="FL140"/>
      <c r="FM140"/>
      <c r="FN140"/>
      <c r="FO140"/>
      <c r="FP140" s="3"/>
      <c r="FS140" s="70"/>
      <c r="FT140" s="70"/>
      <c r="FU140"/>
      <c r="FV140"/>
      <c r="FW140" s="197"/>
      <c r="FX140" s="197"/>
      <c r="FY140" s="197"/>
      <c r="FZ140"/>
      <c r="GA140"/>
      <c r="GB140"/>
      <c r="GC140"/>
      <c r="GD140"/>
      <c r="GE140"/>
      <c r="GF140"/>
      <c r="GG140"/>
      <c r="GH140"/>
      <c r="GI140"/>
      <c r="GJ140"/>
      <c r="GK140"/>
      <c r="GL140"/>
      <c r="GM140"/>
      <c r="GN140"/>
      <c r="GO140"/>
      <c r="GP140"/>
      <c r="GQ140"/>
      <c r="GR140"/>
      <c r="GS140"/>
      <c r="GT140"/>
      <c r="GU140"/>
      <c r="GV140"/>
      <c r="GW140"/>
      <c r="GX140"/>
      <c r="GY140"/>
      <c r="GZ140"/>
      <c r="HA140"/>
      <c r="HB140"/>
      <c r="HC140"/>
      <c r="HD140"/>
      <c r="HE140"/>
      <c r="HF140"/>
      <c r="HG140"/>
      <c r="HH140"/>
      <c r="HI140"/>
      <c r="HJ140"/>
      <c r="HK140"/>
      <c r="HL140"/>
      <c r="HM140"/>
      <c r="HN140"/>
      <c r="HO140"/>
      <c r="HP140"/>
      <c r="HQ140"/>
      <c r="HR140"/>
      <c r="HS140"/>
      <c r="HT140"/>
      <c r="HU140"/>
      <c r="HV140"/>
      <c r="HW140"/>
      <c r="HX140"/>
      <c r="HY140"/>
      <c r="HZ140"/>
      <c r="IA140"/>
      <c r="IB140"/>
      <c r="IC140"/>
      <c r="ID140"/>
      <c r="IE140"/>
      <c r="IF140"/>
      <c r="IG140"/>
      <c r="IH140"/>
      <c r="II140"/>
      <c r="IJ140"/>
      <c r="IK140"/>
      <c r="IL140"/>
      <c r="IM140"/>
      <c r="IN140"/>
      <c r="IO140"/>
      <c r="IP140"/>
      <c r="IQ140"/>
      <c r="IR140"/>
      <c r="IS140"/>
      <c r="IT140"/>
      <c r="IU140"/>
      <c r="IV140"/>
      <c r="IW140"/>
      <c r="IX140"/>
      <c r="IY140"/>
      <c r="IZ140"/>
    </row>
    <row r="141" spans="1:260" s="4" customFormat="1" x14ac:dyDescent="0.2">
      <c r="A141" s="282" t="s">
        <v>333</v>
      </c>
      <c r="E141" s="470"/>
      <c r="F141" s="383">
        <f t="shared" ref="F141:L141" si="651">+F140+B140</f>
        <v>0.52</v>
      </c>
      <c r="G141" s="383">
        <f t="shared" si="651"/>
        <v>0.45</v>
      </c>
      <c r="H141" s="383">
        <f t="shared" si="651"/>
        <v>0.41000000000000003</v>
      </c>
      <c r="I141" s="549">
        <f t="shared" si="651"/>
        <v>0.49</v>
      </c>
      <c r="J141" s="15">
        <f t="shared" si="651"/>
        <v>0.432</v>
      </c>
      <c r="K141" s="15">
        <f t="shared" si="651"/>
        <v>0.249</v>
      </c>
      <c r="L141" s="15">
        <f t="shared" si="651"/>
        <v>0.31</v>
      </c>
      <c r="M141" s="518">
        <f t="shared" ref="M141:AR141" si="652">+M140+I140</f>
        <v>0.15400000000000003</v>
      </c>
      <c r="N141" s="15">
        <f t="shared" si="652"/>
        <v>9.8000000000000004E-2</v>
      </c>
      <c r="O141" s="15">
        <f t="shared" si="652"/>
        <v>0.10600000000000001</v>
      </c>
      <c r="P141" s="15">
        <f t="shared" si="652"/>
        <v>2.8999999999999998E-2</v>
      </c>
      <c r="Q141" s="518">
        <f t="shared" si="652"/>
        <v>-9.8000000000000004E-2</v>
      </c>
      <c r="R141" s="15">
        <f t="shared" si="652"/>
        <v>-4.6000000000000006E-2</v>
      </c>
      <c r="S141" s="15">
        <f t="shared" si="652"/>
        <v>-1.9000000000000003E-2</v>
      </c>
      <c r="T141" s="15">
        <f t="shared" si="652"/>
        <v>-8.5000000000000006E-2</v>
      </c>
      <c r="U141" s="518">
        <f t="shared" si="652"/>
        <v>5.7000000000000009E-2</v>
      </c>
      <c r="V141" s="15">
        <f t="shared" si="652"/>
        <v>7.0999999999999994E-2</v>
      </c>
      <c r="W141" s="15">
        <f t="shared" si="652"/>
        <v>0.123</v>
      </c>
      <c r="X141" s="15">
        <f t="shared" si="652"/>
        <v>0.11799999999999999</v>
      </c>
      <c r="Y141" s="518">
        <f t="shared" si="652"/>
        <v>0.27700000000000002</v>
      </c>
      <c r="Z141" s="15">
        <f t="shared" si="652"/>
        <v>0.28600000000000003</v>
      </c>
      <c r="AA141" s="15">
        <f t="shared" si="652"/>
        <v>0.28999999999999998</v>
      </c>
      <c r="AB141" s="15">
        <f t="shared" si="652"/>
        <v>0.13400000000000001</v>
      </c>
      <c r="AC141" s="518">
        <f t="shared" si="652"/>
        <v>0.218</v>
      </c>
      <c r="AD141" s="15">
        <f t="shared" si="652"/>
        <v>0.22800000000000001</v>
      </c>
      <c r="AE141" s="15">
        <f t="shared" si="652"/>
        <v>0.16200000000000001</v>
      </c>
      <c r="AF141" s="15">
        <f t="shared" si="652"/>
        <v>7.0999999999999994E-2</v>
      </c>
      <c r="AG141" s="518">
        <f t="shared" si="652"/>
        <v>0.128</v>
      </c>
      <c r="AH141" s="15">
        <f t="shared" si="652"/>
        <v>6.4000000000000001E-2</v>
      </c>
      <c r="AI141" s="15">
        <f t="shared" si="652"/>
        <v>7.9000000000000001E-2</v>
      </c>
      <c r="AJ141" s="15">
        <f t="shared" si="652"/>
        <v>7.4999999999999997E-2</v>
      </c>
      <c r="AK141" s="518">
        <f t="shared" si="652"/>
        <v>6.3E-2</v>
      </c>
      <c r="AL141" s="15">
        <f t="shared" si="652"/>
        <v>3.5000000000000003E-2</v>
      </c>
      <c r="AM141" s="15">
        <f t="shared" si="652"/>
        <v>5.5E-2</v>
      </c>
      <c r="AN141" s="15">
        <f t="shared" si="652"/>
        <v>2.3E-2</v>
      </c>
      <c r="AO141" s="518">
        <f t="shared" si="652"/>
        <v>5.7999999999999996E-2</v>
      </c>
      <c r="AP141" s="15">
        <f t="shared" si="652"/>
        <v>8.8999999999999996E-2</v>
      </c>
      <c r="AQ141" s="15">
        <f t="shared" si="652"/>
        <v>0.105</v>
      </c>
      <c r="AR141" s="15">
        <f t="shared" si="652"/>
        <v>9.7000000000000003E-2</v>
      </c>
      <c r="AS141" s="518">
        <f t="shared" ref="AS141:BX141" si="653">+AS140+AO140</f>
        <v>0.112</v>
      </c>
      <c r="AT141" s="15">
        <f t="shared" si="653"/>
        <v>0.10700000000000001</v>
      </c>
      <c r="AU141" s="15">
        <f t="shared" si="653"/>
        <v>0.122</v>
      </c>
      <c r="AV141" s="15">
        <f t="shared" si="653"/>
        <v>0.12</v>
      </c>
      <c r="AW141" s="518">
        <f t="shared" si="653"/>
        <v>0.13</v>
      </c>
      <c r="AX141" s="15">
        <f t="shared" si="653"/>
        <v>0.129</v>
      </c>
      <c r="AY141" s="15">
        <f t="shared" si="653"/>
        <v>8.199999999999999E-2</v>
      </c>
      <c r="AZ141" s="15">
        <f t="shared" si="653"/>
        <v>6.8000000000000005E-2</v>
      </c>
      <c r="BA141" s="518">
        <f t="shared" si="653"/>
        <v>0.105</v>
      </c>
      <c r="BB141" s="15">
        <f t="shared" si="653"/>
        <v>9.0999999999999998E-2</v>
      </c>
      <c r="BC141" s="15">
        <f t="shared" si="653"/>
        <v>6.8000000000000005E-2</v>
      </c>
      <c r="BD141" s="15">
        <f t="shared" si="653"/>
        <v>7.3999999999999996E-2</v>
      </c>
      <c r="BE141" s="518">
        <f t="shared" si="653"/>
        <v>0.122</v>
      </c>
      <c r="BF141" s="15">
        <f t="shared" si="653"/>
        <v>6.3E-2</v>
      </c>
      <c r="BG141" s="15">
        <f t="shared" si="653"/>
        <v>4.7E-2</v>
      </c>
      <c r="BH141" s="15">
        <f t="shared" si="653"/>
        <v>9.7000000000000003E-2</v>
      </c>
      <c r="BI141" s="518">
        <f t="shared" si="653"/>
        <v>3.9E-2</v>
      </c>
      <c r="BJ141" s="15">
        <f t="shared" si="653"/>
        <v>5.2000000000000005E-2</v>
      </c>
      <c r="BK141" s="15">
        <f t="shared" si="653"/>
        <v>7.0000000000000007E-2</v>
      </c>
      <c r="BL141" s="15">
        <f t="shared" si="653"/>
        <v>-2.0000000000000018E-3</v>
      </c>
      <c r="BM141" s="518">
        <f t="shared" si="653"/>
        <v>-5.7000000000000002E-2</v>
      </c>
      <c r="BN141" s="15">
        <f t="shared" si="653"/>
        <v>-1.3999999999999999E-2</v>
      </c>
      <c r="BO141" s="15">
        <f t="shared" si="653"/>
        <v>2.1999999999999999E-2</v>
      </c>
      <c r="BP141" s="15">
        <f t="shared" si="653"/>
        <v>-1.7000000000000001E-2</v>
      </c>
      <c r="BQ141" s="518">
        <f t="shared" si="653"/>
        <v>2.5999999999999995E-2</v>
      </c>
      <c r="BR141" s="15">
        <f t="shared" si="653"/>
        <v>-3.0000000000000002E-2</v>
      </c>
      <c r="BS141" s="15">
        <f t="shared" si="653"/>
        <v>-4.4999999999999998E-2</v>
      </c>
      <c r="BT141" s="15">
        <f t="shared" si="653"/>
        <v>-4.0000000000000036E-3</v>
      </c>
      <c r="BU141" s="518">
        <f t="shared" si="653"/>
        <v>1.8999999999999996E-2</v>
      </c>
      <c r="BV141" s="77">
        <f t="shared" si="653"/>
        <v>-5.000000000000001E-3</v>
      </c>
      <c r="BW141" s="77">
        <f t="shared" si="653"/>
        <v>-4.1000000000000002E-2</v>
      </c>
      <c r="BX141" s="77">
        <f t="shared" si="653"/>
        <v>-4.1000000000000002E-2</v>
      </c>
      <c r="BY141" s="487">
        <f t="shared" ref="BY141:DD141" si="654">+BY140+BU140</f>
        <v>-7.6999999999999999E-2</v>
      </c>
      <c r="BZ141" s="15">
        <f t="shared" si="654"/>
        <v>2.3E-2</v>
      </c>
      <c r="CA141" s="15">
        <f t="shared" si="654"/>
        <v>-2.7E-2</v>
      </c>
      <c r="CB141" s="15">
        <f t="shared" si="654"/>
        <v>-0.03</v>
      </c>
      <c r="CC141" s="518">
        <f t="shared" si="654"/>
        <v>-7.3999999999999996E-2</v>
      </c>
      <c r="CD141" s="77">
        <f t="shared" si="654"/>
        <v>9.0000000000000011E-3</v>
      </c>
      <c r="CE141" s="77">
        <f t="shared" si="654"/>
        <v>-4.1000000000000002E-2</v>
      </c>
      <c r="CF141" s="77">
        <f t="shared" si="654"/>
        <v>-3.7999999999999999E-2</v>
      </c>
      <c r="CG141" s="487">
        <f t="shared" si="654"/>
        <v>-6.3E-2</v>
      </c>
      <c r="CH141" s="77">
        <f t="shared" si="654"/>
        <v>-7.4999999999999997E-2</v>
      </c>
      <c r="CI141" s="77">
        <f t="shared" si="654"/>
        <v>-5.7000000000000002E-2</v>
      </c>
      <c r="CJ141" s="77">
        <f t="shared" si="654"/>
        <v>-3.9E-2</v>
      </c>
      <c r="CK141" s="487">
        <f t="shared" si="654"/>
        <v>-2E-3</v>
      </c>
      <c r="CL141" s="77">
        <f t="shared" si="654"/>
        <v>-7.3999999999999996E-2</v>
      </c>
      <c r="CM141" s="77">
        <f t="shared" si="654"/>
        <v>-3.2000000000000001E-2</v>
      </c>
      <c r="CN141" s="77">
        <f t="shared" si="654"/>
        <v>-0.08</v>
      </c>
      <c r="CO141" s="487">
        <f t="shared" si="654"/>
        <v>1.7999999999999999E-2</v>
      </c>
      <c r="CP141" s="77">
        <f t="shared" si="654"/>
        <v>-4.9000000000000002E-2</v>
      </c>
      <c r="CQ141" s="77">
        <f t="shared" si="654"/>
        <v>-0.02</v>
      </c>
      <c r="CR141" s="77">
        <f t="shared" si="654"/>
        <v>-2.2000000000000002E-2</v>
      </c>
      <c r="CS141" s="487">
        <f t="shared" si="654"/>
        <v>-3.0000000000000009E-3</v>
      </c>
      <c r="CT141" s="77">
        <f t="shared" si="654"/>
        <v>-2.5000000000000001E-2</v>
      </c>
      <c r="CU141" s="77">
        <f t="shared" si="654"/>
        <v>-2.4E-2</v>
      </c>
      <c r="CV141" s="77">
        <f t="shared" si="654"/>
        <v>0.05</v>
      </c>
      <c r="CW141" s="487">
        <f t="shared" si="654"/>
        <v>1.6E-2</v>
      </c>
      <c r="CX141" s="77">
        <f t="shared" si="654"/>
        <v>-6.9999999999999993E-3</v>
      </c>
      <c r="CY141" s="77">
        <f t="shared" si="654"/>
        <v>1.7999999999999999E-2</v>
      </c>
      <c r="CZ141" s="77">
        <f t="shared" si="654"/>
        <v>0.04</v>
      </c>
      <c r="DA141" s="487">
        <f t="shared" si="654"/>
        <v>1.0999999999999999E-2</v>
      </c>
      <c r="DB141" s="77">
        <f t="shared" si="654"/>
        <v>5.0000000000000001E-3</v>
      </c>
      <c r="DC141" s="77">
        <f t="shared" si="654"/>
        <v>4.5999999999999999E-2</v>
      </c>
      <c r="DD141" s="70">
        <f t="shared" si="654"/>
        <v>2.5999999999999999E-2</v>
      </c>
      <c r="DE141" s="487">
        <f t="shared" ref="DE141:DM141" si="655">+DE140+DA140</f>
        <v>-2.6000000000000002E-2</v>
      </c>
      <c r="DF141" s="70">
        <f t="shared" si="655"/>
        <v>1.3000000000000001E-2</v>
      </c>
      <c r="DG141" s="70">
        <f t="shared" si="655"/>
        <v>6.2E-2</v>
      </c>
      <c r="DH141" s="70">
        <f t="shared" si="655"/>
        <v>6.3E-2</v>
      </c>
      <c r="DI141" s="487">
        <f t="shared" si="655"/>
        <v>8.1000000000000003E-2</v>
      </c>
      <c r="DJ141" s="1673">
        <f t="shared" si="655"/>
        <v>4.9492354524772492E-2</v>
      </c>
      <c r="DK141" s="70">
        <f t="shared" si="655"/>
        <v>7.2262936943907161E-2</v>
      </c>
      <c r="DL141" s="70">
        <f t="shared" si="655"/>
        <v>6.0417252888211051E-2</v>
      </c>
      <c r="DM141" s="487">
        <f t="shared" si="655"/>
        <v>7.4459501297633512E-2</v>
      </c>
      <c r="DN141" s="70"/>
      <c r="DO141" s="487"/>
      <c r="DP141" s="3"/>
      <c r="DQ141" s="3"/>
      <c r="DR141" s="15">
        <f t="shared" ref="DR141:ET141" si="656">+DR140+DQ140</f>
        <v>0</v>
      </c>
      <c r="DS141" s="15">
        <f t="shared" si="656"/>
        <v>0</v>
      </c>
      <c r="DT141" s="15">
        <f t="shared" si="656"/>
        <v>0</v>
      </c>
      <c r="DU141" s="15">
        <f t="shared" si="656"/>
        <v>0</v>
      </c>
      <c r="DV141" s="15">
        <f t="shared" si="656"/>
        <v>0</v>
      </c>
      <c r="DW141" s="15">
        <f t="shared" si="656"/>
        <v>0</v>
      </c>
      <c r="DX141" s="15">
        <f t="shared" si="656"/>
        <v>0.26900000000000002</v>
      </c>
      <c r="DY141" s="15">
        <f t="shared" si="656"/>
        <v>0.46800000000000003</v>
      </c>
      <c r="DZ141" s="15">
        <f t="shared" si="656"/>
        <v>0.254</v>
      </c>
      <c r="EA141" s="15">
        <f t="shared" si="656"/>
        <v>8.0000000000000002E-3</v>
      </c>
      <c r="EB141" s="15">
        <f t="shared" si="656"/>
        <v>-2.7E-2</v>
      </c>
      <c r="EC141" s="15">
        <f t="shared" si="656"/>
        <v>0.15549656162770154</v>
      </c>
      <c r="ED141" s="15">
        <f t="shared" si="656"/>
        <v>0.24649656162770156</v>
      </c>
      <c r="EE141" s="15">
        <f t="shared" si="656"/>
        <v>0.16</v>
      </c>
      <c r="EF141" s="15">
        <f t="shared" si="656"/>
        <v>6.8413664884963976E-2</v>
      </c>
      <c r="EG141" s="15">
        <f t="shared" si="656"/>
        <v>4.4762033605833987E-2</v>
      </c>
      <c r="EH141" s="15">
        <f t="shared" si="656"/>
        <v>0.10287435297283851</v>
      </c>
      <c r="EI141" s="15">
        <f t="shared" si="656"/>
        <v>0.12191564951033704</v>
      </c>
      <c r="EJ141" s="15">
        <f t="shared" si="656"/>
        <v>9.5389665258368533E-2</v>
      </c>
      <c r="EK141" s="15">
        <f t="shared" si="656"/>
        <v>9.1999999999999998E-2</v>
      </c>
      <c r="EL141" s="15">
        <f t="shared" si="656"/>
        <v>0.06</v>
      </c>
      <c r="EM141" s="15">
        <f t="shared" si="656"/>
        <v>6.0000000000000001E-3</v>
      </c>
      <c r="EN141" s="15">
        <f t="shared" si="656"/>
        <v>4.0000000000000018E-3</v>
      </c>
      <c r="EO141" s="15">
        <f t="shared" si="656"/>
        <v>-6.9745750732091646E-3</v>
      </c>
      <c r="EP141" s="15">
        <f t="shared" si="656"/>
        <v>-3.9858904318742505E-2</v>
      </c>
      <c r="EQ141" s="15">
        <f t="shared" si="656"/>
        <v>-2.490140770355103E-2</v>
      </c>
      <c r="ER141" s="15">
        <f t="shared" si="656"/>
        <v>-3.0063661121390264E-2</v>
      </c>
      <c r="ES141" s="15">
        <f t="shared" si="656"/>
        <v>-3.1121468770066427E-2</v>
      </c>
      <c r="ET141" s="15">
        <f t="shared" si="656"/>
        <v>-1.922022679829357E-2</v>
      </c>
      <c r="EU141" s="15">
        <f>+EU140+ET140</f>
        <v>-1.2571772920539494E-2</v>
      </c>
      <c r="EV141" s="15">
        <f>+EV140+EU140</f>
        <v>5.1947763301548062E-3</v>
      </c>
      <c r="EW141" s="15">
        <f>+EW140+EV140</f>
        <v>1.4704771491801712E-2</v>
      </c>
      <c r="EX141" s="77">
        <f>+EX140+EW140</f>
        <v>9.0800816985987659E-3</v>
      </c>
      <c r="EY141" s="77">
        <f t="shared" ref="EY141:FH141" si="657">+EY140+EX140</f>
        <v>5.899651876589164E-2</v>
      </c>
      <c r="EZ141" s="1680">
        <f t="shared" si="657"/>
        <v>6.6630606375747498E-2</v>
      </c>
      <c r="FA141" s="1283">
        <f t="shared" si="657"/>
        <v>2.0816542563269633E-2</v>
      </c>
      <c r="FB141" s="1283">
        <f t="shared" si="657"/>
        <v>2.068658311809074E-2</v>
      </c>
      <c r="FC141" s="1283">
        <f t="shared" si="657"/>
        <v>2.0861474427509054E-2</v>
      </c>
      <c r="FD141" s="1283">
        <f t="shared" si="657"/>
        <v>2.6139134248109205E-2</v>
      </c>
      <c r="FE141" s="1283">
        <f t="shared" si="657"/>
        <v>3.1942914690896863E-2</v>
      </c>
      <c r="FF141" s="1283">
        <f t="shared" si="657"/>
        <v>3.2725331721662594E-2</v>
      </c>
      <c r="FG141" s="1283">
        <f t="shared" si="657"/>
        <v>3.3527337919560959E-2</v>
      </c>
      <c r="FH141" s="1283">
        <f t="shared" si="657"/>
        <v>3.4348830500288405E-2</v>
      </c>
      <c r="FI141" s="596"/>
      <c r="FJ141"/>
      <c r="FK141"/>
      <c r="FL141"/>
      <c r="FM141"/>
      <c r="FN141"/>
      <c r="FO141"/>
      <c r="FP141" s="3"/>
      <c r="FS141" s="70"/>
      <c r="FT141" s="70"/>
      <c r="FU141"/>
      <c r="FV141"/>
      <c r="FW141" s="70"/>
      <c r="FX141" s="75"/>
      <c r="FY141" s="75"/>
      <c r="FZ141"/>
      <c r="GA141"/>
      <c r="GB141"/>
      <c r="GC141"/>
      <c r="GD141"/>
      <c r="GE141"/>
      <c r="GF141"/>
      <c r="GG141"/>
      <c r="GH141"/>
      <c r="GI141"/>
      <c r="GJ141"/>
      <c r="GK141"/>
      <c r="GL141"/>
      <c r="GM141"/>
      <c r="GN141"/>
      <c r="GO141"/>
      <c r="GP141"/>
      <c r="GQ141"/>
      <c r="GR141"/>
      <c r="GS141"/>
      <c r="GT141"/>
      <c r="GU141"/>
      <c r="GV141"/>
      <c r="GW141"/>
      <c r="GX141"/>
      <c r="GY141"/>
      <c r="GZ141"/>
      <c r="HA141"/>
      <c r="HB141"/>
      <c r="HC141"/>
      <c r="HD141"/>
      <c r="HE141"/>
      <c r="HF141"/>
      <c r="HG141"/>
      <c r="HH141"/>
      <c r="HI141"/>
      <c r="HJ141"/>
      <c r="HK141"/>
      <c r="HL141"/>
      <c r="HM141"/>
      <c r="HN141"/>
      <c r="HO141"/>
      <c r="HP141"/>
      <c r="HQ141"/>
      <c r="HR141"/>
      <c r="HS141"/>
      <c r="HT141"/>
      <c r="HU141"/>
      <c r="HV141"/>
      <c r="HW141"/>
      <c r="HX141"/>
      <c r="HY141"/>
      <c r="HZ141"/>
      <c r="IA141"/>
      <c r="IB141"/>
      <c r="IC141"/>
      <c r="ID141"/>
      <c r="IE141"/>
      <c r="IF141"/>
      <c r="IG141"/>
      <c r="IH141"/>
      <c r="II141"/>
      <c r="IJ141"/>
      <c r="IK141"/>
      <c r="IL141"/>
      <c r="IM141"/>
      <c r="IN141"/>
      <c r="IO141"/>
      <c r="IP141"/>
      <c r="IQ141"/>
      <c r="IR141"/>
      <c r="IS141"/>
      <c r="IT141"/>
      <c r="IU141"/>
      <c r="IV141"/>
      <c r="IW141"/>
      <c r="IX141"/>
      <c r="IY141"/>
      <c r="IZ141"/>
    </row>
    <row r="142" spans="1:260" s="4" customFormat="1" x14ac:dyDescent="0.2">
      <c r="A142" s="282" t="s">
        <v>614</v>
      </c>
      <c r="E142" s="470"/>
      <c r="F142" s="383"/>
      <c r="G142" s="383"/>
      <c r="H142" s="383"/>
      <c r="I142" s="549"/>
      <c r="J142" s="15">
        <f t="shared" ref="J142:AO142" si="658">+J140+F140+B140</f>
        <v>0.58199999999999996</v>
      </c>
      <c r="K142" s="15">
        <f t="shared" si="658"/>
        <v>0.51900000000000002</v>
      </c>
      <c r="L142" s="15">
        <f t="shared" si="658"/>
        <v>0.52</v>
      </c>
      <c r="M142" s="518">
        <f t="shared" si="658"/>
        <v>0.504</v>
      </c>
      <c r="N142" s="15">
        <f t="shared" si="658"/>
        <v>0.46799999999999997</v>
      </c>
      <c r="O142" s="15">
        <f t="shared" si="658"/>
        <v>0.28600000000000003</v>
      </c>
      <c r="P142" s="15">
        <f t="shared" si="658"/>
        <v>0.22900000000000001</v>
      </c>
      <c r="Q142" s="518">
        <f t="shared" si="658"/>
        <v>4.200000000000001E-2</v>
      </c>
      <c r="R142" s="15">
        <f t="shared" si="658"/>
        <v>1.5999999999999993E-2</v>
      </c>
      <c r="S142" s="15">
        <f t="shared" si="658"/>
        <v>0.05</v>
      </c>
      <c r="T142" s="15">
        <f t="shared" si="658"/>
        <v>2.4999999999999994E-2</v>
      </c>
      <c r="U142" s="518">
        <f t="shared" si="658"/>
        <v>7.1000000000000008E-2</v>
      </c>
      <c r="V142" s="15">
        <f t="shared" si="658"/>
        <v>0.10699999999999998</v>
      </c>
      <c r="W142" s="15">
        <f t="shared" si="658"/>
        <v>0.16</v>
      </c>
      <c r="X142" s="15">
        <f t="shared" si="658"/>
        <v>3.6999999999999991E-2</v>
      </c>
      <c r="Y142" s="518">
        <f t="shared" si="658"/>
        <v>0.16500000000000004</v>
      </c>
      <c r="Z142" s="15">
        <f t="shared" si="658"/>
        <v>0.20400000000000001</v>
      </c>
      <c r="AA142" s="15">
        <f t="shared" si="658"/>
        <v>0.23399999999999999</v>
      </c>
      <c r="AB142" s="15">
        <f t="shared" si="658"/>
        <v>0.13</v>
      </c>
      <c r="AC142" s="518">
        <f t="shared" si="658"/>
        <v>0.38700000000000001</v>
      </c>
      <c r="AD142" s="15">
        <f t="shared" si="658"/>
        <v>0.38100000000000001</v>
      </c>
      <c r="AE142" s="15">
        <f t="shared" si="658"/>
        <v>0.34099999999999997</v>
      </c>
      <c r="AF142" s="15">
        <f t="shared" si="658"/>
        <v>0.193</v>
      </c>
      <c r="AG142" s="518">
        <f t="shared" si="658"/>
        <v>0.23599999999999999</v>
      </c>
      <c r="AH142" s="15">
        <f t="shared" si="658"/>
        <v>0.19700000000000001</v>
      </c>
      <c r="AI142" s="15">
        <f t="shared" si="658"/>
        <v>0.19</v>
      </c>
      <c r="AJ142" s="15">
        <f t="shared" si="658"/>
        <v>8.6999999999999994E-2</v>
      </c>
      <c r="AK142" s="518">
        <f t="shared" si="658"/>
        <v>0.17299999999999999</v>
      </c>
      <c r="AL142" s="15">
        <f t="shared" si="658"/>
        <v>0.13</v>
      </c>
      <c r="AM142" s="15">
        <f t="shared" si="658"/>
        <v>0.106</v>
      </c>
      <c r="AN142" s="15">
        <f t="shared" si="658"/>
        <v>8.199999999999999E-2</v>
      </c>
      <c r="AO142" s="518">
        <f t="shared" si="658"/>
        <v>7.5999999999999998E-2</v>
      </c>
      <c r="AP142" s="15">
        <f t="shared" ref="AP142:BU142" si="659">+AP140+AL140+AH140</f>
        <v>5.7999999999999996E-2</v>
      </c>
      <c r="AQ142" s="15">
        <f t="shared" si="659"/>
        <v>0.13300000000000001</v>
      </c>
      <c r="AR142" s="15">
        <f t="shared" si="659"/>
        <v>0.113</v>
      </c>
      <c r="AS142" s="518">
        <f t="shared" si="659"/>
        <v>0.157</v>
      </c>
      <c r="AT142" s="15">
        <f t="shared" si="659"/>
        <v>0.17300000000000001</v>
      </c>
      <c r="AU142" s="15">
        <f t="shared" si="659"/>
        <v>0.14899999999999999</v>
      </c>
      <c r="AV142" s="15">
        <f t="shared" si="659"/>
        <v>0.127</v>
      </c>
      <c r="AW142" s="518">
        <f t="shared" si="659"/>
        <v>0.14300000000000002</v>
      </c>
      <c r="AX142" s="15">
        <f t="shared" si="659"/>
        <v>0.152</v>
      </c>
      <c r="AY142" s="15">
        <f t="shared" si="659"/>
        <v>0.15999999999999998</v>
      </c>
      <c r="AZ142" s="15">
        <f t="shared" si="659"/>
        <v>0.158</v>
      </c>
      <c r="BA142" s="518">
        <f t="shared" si="659"/>
        <v>0.20400000000000001</v>
      </c>
      <c r="BB142" s="15">
        <f t="shared" si="659"/>
        <v>0.17499999999999999</v>
      </c>
      <c r="BC142" s="15">
        <f t="shared" si="659"/>
        <v>0.112</v>
      </c>
      <c r="BD142" s="15">
        <f t="shared" si="659"/>
        <v>0.104</v>
      </c>
      <c r="BE142" s="518">
        <f t="shared" si="659"/>
        <v>0.153</v>
      </c>
      <c r="BF142" s="15">
        <f t="shared" si="659"/>
        <v>0.108</v>
      </c>
      <c r="BG142" s="15">
        <f t="shared" si="659"/>
        <v>8.4999999999999992E-2</v>
      </c>
      <c r="BH142" s="15">
        <f t="shared" si="659"/>
        <v>0.13500000000000001</v>
      </c>
      <c r="BI142" s="518">
        <f t="shared" si="659"/>
        <v>0.11299999999999999</v>
      </c>
      <c r="BJ142" s="15">
        <f t="shared" si="659"/>
        <v>9.8000000000000004E-2</v>
      </c>
      <c r="BK142" s="15">
        <f t="shared" si="659"/>
        <v>0.1</v>
      </c>
      <c r="BL142" s="15">
        <f t="shared" si="659"/>
        <v>3.3999999999999996E-2</v>
      </c>
      <c r="BM142" s="518">
        <f t="shared" si="659"/>
        <v>-9.0000000000000011E-3</v>
      </c>
      <c r="BN142" s="15">
        <f t="shared" si="659"/>
        <v>3.0000000000000027E-3</v>
      </c>
      <c r="BO142" s="15">
        <f t="shared" si="659"/>
        <v>3.9E-2</v>
      </c>
      <c r="BP142" s="15">
        <f t="shared" si="659"/>
        <v>4.3999999999999997E-2</v>
      </c>
      <c r="BQ142" s="518">
        <f t="shared" si="659"/>
        <v>1.6999999999999994E-2</v>
      </c>
      <c r="BR142" s="15">
        <f t="shared" si="659"/>
        <v>5.000000000000001E-3</v>
      </c>
      <c r="BS142" s="15">
        <f t="shared" si="659"/>
        <v>8.0000000000000002E-3</v>
      </c>
      <c r="BT142" s="15">
        <f t="shared" si="659"/>
        <v>-6.7000000000000004E-2</v>
      </c>
      <c r="BU142" s="518">
        <f t="shared" si="659"/>
        <v>-2.9000000000000005E-2</v>
      </c>
      <c r="BV142" s="77">
        <f t="shared" ref="BV142:DA142" si="660">+BV140+BR140+BN140</f>
        <v>-5.4000000000000006E-2</v>
      </c>
      <c r="BW142" s="77">
        <f t="shared" si="660"/>
        <v>-7.2000000000000008E-2</v>
      </c>
      <c r="BX142" s="77">
        <f t="shared" si="660"/>
        <v>4.9999999999999975E-3</v>
      </c>
      <c r="BY142" s="487">
        <f t="shared" si="660"/>
        <v>-3.0000000000000027E-3</v>
      </c>
      <c r="BZ142" s="15">
        <f t="shared" si="660"/>
        <v>4.1999999999999996E-2</v>
      </c>
      <c r="CA142" s="15">
        <f t="shared" si="660"/>
        <v>-4.1000000000000002E-2</v>
      </c>
      <c r="CB142" s="15">
        <f t="shared" si="660"/>
        <v>-0.08</v>
      </c>
      <c r="CC142" s="518">
        <f t="shared" si="660"/>
        <v>-0.129</v>
      </c>
      <c r="CD142" s="77">
        <f t="shared" si="660"/>
        <v>-1.4999999999999999E-2</v>
      </c>
      <c r="CE142" s="77">
        <f t="shared" si="660"/>
        <v>-6.8000000000000005E-2</v>
      </c>
      <c r="CF142" s="77">
        <f t="shared" si="660"/>
        <v>-2.8999999999999998E-2</v>
      </c>
      <c r="CG142" s="487">
        <f t="shared" si="660"/>
        <v>-8.4999999999999992E-2</v>
      </c>
      <c r="CH142" s="77">
        <f t="shared" si="660"/>
        <v>-2.7999999999999997E-2</v>
      </c>
      <c r="CI142" s="77">
        <f t="shared" si="660"/>
        <v>-5.7000000000000002E-2</v>
      </c>
      <c r="CJ142" s="77">
        <f t="shared" si="660"/>
        <v>-7.8E-2</v>
      </c>
      <c r="CK142" s="487">
        <f t="shared" si="660"/>
        <v>-5.3999999999999999E-2</v>
      </c>
      <c r="CL142" s="77">
        <f t="shared" si="660"/>
        <v>-0.11199999999999999</v>
      </c>
      <c r="CM142" s="77">
        <f t="shared" si="660"/>
        <v>-7.3000000000000009E-2</v>
      </c>
      <c r="CN142" s="77">
        <f t="shared" si="660"/>
        <v>-7.9000000000000001E-2</v>
      </c>
      <c r="CO142" s="487">
        <f t="shared" si="660"/>
        <v>6.9999999999999993E-3</v>
      </c>
      <c r="CP142" s="77">
        <f t="shared" si="660"/>
        <v>-8.5999999999999993E-2</v>
      </c>
      <c r="CQ142" s="77">
        <f t="shared" si="660"/>
        <v>-3.6000000000000004E-2</v>
      </c>
      <c r="CR142" s="77">
        <f t="shared" si="660"/>
        <v>-6.2E-2</v>
      </c>
      <c r="CS142" s="487">
        <f t="shared" si="660"/>
        <v>5.9999999999999984E-3</v>
      </c>
      <c r="CT142" s="77">
        <f t="shared" si="660"/>
        <v>-6.2E-2</v>
      </c>
      <c r="CU142" s="77">
        <f t="shared" si="660"/>
        <v>-0.04</v>
      </c>
      <c r="CV142" s="77">
        <f t="shared" si="660"/>
        <v>1.0000000000000002E-2</v>
      </c>
      <c r="CW142" s="487">
        <f t="shared" si="660"/>
        <v>2.5000000000000001E-2</v>
      </c>
      <c r="CX142" s="77">
        <f t="shared" si="660"/>
        <v>-1.9E-2</v>
      </c>
      <c r="CY142" s="77">
        <f t="shared" si="660"/>
        <v>1.3999999999999999E-2</v>
      </c>
      <c r="CZ142" s="77">
        <f t="shared" si="660"/>
        <v>5.7999999999999996E-2</v>
      </c>
      <c r="DA142" s="487">
        <f t="shared" si="660"/>
        <v>-1.0000000000000009E-3</v>
      </c>
      <c r="DB142" s="77">
        <f t="shared" ref="DB142:DM142" si="661">+DB140+CX140+CT140</f>
        <v>-8.0000000000000002E-3</v>
      </c>
      <c r="DC142" s="77">
        <f t="shared" si="661"/>
        <v>2.5999999999999999E-2</v>
      </c>
      <c r="DD142" s="70">
        <f t="shared" si="661"/>
        <v>5.7999999999999996E-2</v>
      </c>
      <c r="DE142" s="487">
        <f t="shared" si="661"/>
        <v>1.9999999999999983E-3</v>
      </c>
      <c r="DF142" s="70">
        <f t="shared" si="661"/>
        <v>1.9000000000000003E-2</v>
      </c>
      <c r="DG142" s="70">
        <f t="shared" si="661"/>
        <v>0.1</v>
      </c>
      <c r="DH142" s="70">
        <f t="shared" si="661"/>
        <v>7.1000000000000008E-2</v>
      </c>
      <c r="DI142" s="487">
        <f t="shared" si="661"/>
        <v>6.4000000000000001E-2</v>
      </c>
      <c r="DJ142" s="1673">
        <f t="shared" si="661"/>
        <v>4.8492354524772491E-2</v>
      </c>
      <c r="DK142" s="70">
        <f t="shared" si="661"/>
        <v>8.0262936943907154E-2</v>
      </c>
      <c r="DL142" s="70">
        <f t="shared" si="661"/>
        <v>7.8417252888211053E-2</v>
      </c>
      <c r="DM142" s="487">
        <f t="shared" si="661"/>
        <v>6.5459501297633518E-2</v>
      </c>
      <c r="DN142" s="70"/>
      <c r="DO142" s="487"/>
      <c r="DP142" s="3"/>
      <c r="DQ142" s="3"/>
      <c r="DR142" s="15">
        <f t="shared" ref="DR142:ET142" si="662">+DR140+DQ140+DP140</f>
        <v>0</v>
      </c>
      <c r="DS142" s="15">
        <f t="shared" si="662"/>
        <v>0</v>
      </c>
      <c r="DT142" s="15">
        <f t="shared" si="662"/>
        <v>0</v>
      </c>
      <c r="DU142" s="15">
        <f t="shared" si="662"/>
        <v>0</v>
      </c>
      <c r="DV142" s="15">
        <f t="shared" si="662"/>
        <v>0</v>
      </c>
      <c r="DW142" s="15">
        <f t="shared" si="662"/>
        <v>0</v>
      </c>
      <c r="DX142" s="15">
        <f t="shared" si="662"/>
        <v>0.26900000000000002</v>
      </c>
      <c r="DY142" s="15">
        <f t="shared" si="662"/>
        <v>0.46800000000000003</v>
      </c>
      <c r="DZ142" s="15">
        <f t="shared" si="662"/>
        <v>0.52300000000000002</v>
      </c>
      <c r="EA142" s="15">
        <f t="shared" si="662"/>
        <v>0.20700000000000002</v>
      </c>
      <c r="EB142" s="15">
        <f t="shared" si="662"/>
        <v>2.8000000000000001E-2</v>
      </c>
      <c r="EC142" s="15">
        <f t="shared" si="662"/>
        <v>0.10849656162770153</v>
      </c>
      <c r="ED142" s="15">
        <f t="shared" si="662"/>
        <v>0.26649656162770158</v>
      </c>
      <c r="EE142" s="15">
        <f t="shared" si="662"/>
        <v>0.29549656162770155</v>
      </c>
      <c r="EF142" s="15">
        <f t="shared" si="662"/>
        <v>0.17941366488496396</v>
      </c>
      <c r="EG142" s="15">
        <f t="shared" si="662"/>
        <v>9.3762033605833989E-2</v>
      </c>
      <c r="EH142" s="15">
        <f t="shared" si="662"/>
        <v>0.12228801785780248</v>
      </c>
      <c r="EI142" s="15">
        <f t="shared" si="662"/>
        <v>0.14726401823120705</v>
      </c>
      <c r="EJ142" s="15">
        <f t="shared" si="662"/>
        <v>0.17291564951033703</v>
      </c>
      <c r="EK142" s="15">
        <f t="shared" si="662"/>
        <v>0.13638966525836854</v>
      </c>
      <c r="EL142" s="15">
        <f t="shared" si="662"/>
        <v>0.11099999999999999</v>
      </c>
      <c r="EM142" s="15">
        <f t="shared" si="662"/>
        <v>4.7E-2</v>
      </c>
      <c r="EN142" s="15">
        <f t="shared" si="662"/>
        <v>2.3E-2</v>
      </c>
      <c r="EO142" s="15">
        <f t="shared" si="662"/>
        <v>-1.9974575073209162E-2</v>
      </c>
      <c r="EP142" s="15">
        <f t="shared" si="662"/>
        <v>-2.2858904318742504E-2</v>
      </c>
      <c r="EQ142" s="15">
        <f t="shared" si="662"/>
        <v>-4.8875982776760196E-2</v>
      </c>
      <c r="ER142" s="15">
        <f t="shared" si="662"/>
        <v>-4.5947990366923597E-2</v>
      </c>
      <c r="ES142" s="15">
        <f t="shared" si="662"/>
        <v>-4.0138547228084125E-2</v>
      </c>
      <c r="ET142" s="15">
        <f t="shared" si="662"/>
        <v>-4.0266809461666137E-2</v>
      </c>
      <c r="EU142" s="15">
        <f>+EU140+ET140+ES140</f>
        <v>-2.2646659027233351E-2</v>
      </c>
      <c r="EV142" s="15">
        <f>+EV140+EU140+ET140</f>
        <v>-3.9505643614449054E-3</v>
      </c>
      <c r="EW142" s="15">
        <f>+EW140+EV140+EU140</f>
        <v>1.127833926286193E-2</v>
      </c>
      <c r="EX142" s="77">
        <f>+EX140+EW140+EV140</f>
        <v>1.7701290257693354E-2</v>
      </c>
      <c r="EY142" s="77">
        <f t="shared" ref="EY142:FH142" si="663">+EY140+EX140+EW140</f>
        <v>6.508008169859876E-2</v>
      </c>
      <c r="EZ142" s="1680">
        <f t="shared" si="663"/>
        <v>6.9627125141639143E-2</v>
      </c>
      <c r="FA142" s="1283">
        <f t="shared" si="663"/>
        <v>7.6816542563269641E-2</v>
      </c>
      <c r="FB142" s="1283">
        <f t="shared" si="663"/>
        <v>3.1317189493838243E-2</v>
      </c>
      <c r="FC142" s="1283">
        <f t="shared" si="663"/>
        <v>3.1047410615031183E-2</v>
      </c>
      <c r="FD142" s="1283">
        <f t="shared" si="663"/>
        <v>3.6639781178677819E-2</v>
      </c>
      <c r="FE142" s="1283">
        <f t="shared" si="663"/>
        <v>4.2303742187837307E-2</v>
      </c>
      <c r="FF142" s="1283">
        <f t="shared" si="663"/>
        <v>4.8503638472831359E-2</v>
      </c>
      <c r="FG142" s="1283">
        <f t="shared" si="663"/>
        <v>4.9691945859289058E-2</v>
      </c>
      <c r="FH142" s="1283">
        <f t="shared" si="663"/>
        <v>5.0909554282222894E-2</v>
      </c>
      <c r="FI142" s="596"/>
      <c r="FJ142"/>
      <c r="FK142"/>
      <c r="FL142"/>
      <c r="FM142"/>
      <c r="FN142"/>
      <c r="FO142"/>
      <c r="FP142" s="3"/>
      <c r="FS142" s="70"/>
      <c r="FT142" s="70"/>
      <c r="FU142"/>
      <c r="FV142"/>
      <c r="FW142" s="70"/>
      <c r="FX142" s="75"/>
      <c r="FY142" s="75"/>
      <c r="FZ142"/>
      <c r="GA142"/>
      <c r="GB142"/>
      <c r="GC142"/>
      <c r="GD142"/>
      <c r="GE142"/>
      <c r="GF142"/>
      <c r="GG142"/>
      <c r="GH142"/>
      <c r="GI142"/>
      <c r="GJ142"/>
      <c r="GK142"/>
      <c r="GL142"/>
      <c r="GM142"/>
      <c r="GN142"/>
      <c r="GO142"/>
      <c r="GP142"/>
      <c r="GQ142"/>
      <c r="GR142"/>
      <c r="GS142"/>
      <c r="GT142"/>
      <c r="GU142"/>
      <c r="GV142"/>
      <c r="GW142"/>
      <c r="GX142"/>
      <c r="GY142"/>
      <c r="GZ142"/>
      <c r="HA142"/>
      <c r="HB142"/>
      <c r="HC142"/>
      <c r="HD142"/>
      <c r="HE142"/>
      <c r="HF142"/>
      <c r="HG142"/>
      <c r="HH142"/>
      <c r="HI142"/>
      <c r="HJ142"/>
      <c r="HK142"/>
      <c r="HL142"/>
      <c r="HM142"/>
      <c r="HN142"/>
      <c r="HO142"/>
      <c r="HP142"/>
      <c r="HQ142"/>
      <c r="HR142"/>
      <c r="HS142"/>
      <c r="HT142"/>
      <c r="HU142"/>
      <c r="HV142"/>
      <c r="HW142"/>
      <c r="HX142"/>
      <c r="HY142"/>
      <c r="HZ142"/>
      <c r="IA142"/>
      <c r="IB142"/>
      <c r="IC142"/>
      <c r="ID142"/>
      <c r="IE142"/>
      <c r="IF142"/>
      <c r="IG142"/>
      <c r="IH142"/>
      <c r="II142"/>
      <c r="IJ142"/>
      <c r="IK142"/>
      <c r="IL142"/>
      <c r="IM142"/>
      <c r="IN142"/>
      <c r="IO142"/>
      <c r="IP142"/>
      <c r="IQ142"/>
      <c r="IR142"/>
      <c r="IS142"/>
      <c r="IT142"/>
      <c r="IU142"/>
      <c r="IV142"/>
      <c r="IW142"/>
      <c r="IX142"/>
      <c r="IY142"/>
      <c r="IZ142"/>
    </row>
    <row r="143" spans="1:260" s="4" customFormat="1" x14ac:dyDescent="0.2">
      <c r="A143" s="282" t="s">
        <v>615</v>
      </c>
      <c r="E143" s="470"/>
      <c r="F143" s="383"/>
      <c r="G143" s="383"/>
      <c r="H143" s="383"/>
      <c r="I143" s="549"/>
      <c r="J143" s="15"/>
      <c r="K143" s="15"/>
      <c r="L143" s="15"/>
      <c r="M143" s="518"/>
      <c r="N143" s="15">
        <f>+N140+J140+F140+B140</f>
        <v>0.61799999999999999</v>
      </c>
      <c r="O143" s="15">
        <f>+O140+K140+G140+C140</f>
        <v>0.55600000000000005</v>
      </c>
      <c r="P143" s="15">
        <f>+P140+L140+H140+D140</f>
        <v>0.439</v>
      </c>
      <c r="Q143" s="518">
        <f>+Q140+M140+I140+E140</f>
        <v>0.39200000000000002</v>
      </c>
      <c r="R143" s="15">
        <f t="shared" ref="R143:CC143" si="664">+R140+N140+J140+F140</f>
        <v>0.38600000000000001</v>
      </c>
      <c r="S143" s="15">
        <f t="shared" si="664"/>
        <v>0.22999999999999998</v>
      </c>
      <c r="T143" s="15">
        <f t="shared" si="664"/>
        <v>0.22500000000000001</v>
      </c>
      <c r="U143" s="518">
        <f t="shared" si="664"/>
        <v>0.21100000000000002</v>
      </c>
      <c r="V143" s="15">
        <f t="shared" si="664"/>
        <v>0.16899999999999998</v>
      </c>
      <c r="W143" s="15">
        <f t="shared" si="664"/>
        <v>0.22900000000000001</v>
      </c>
      <c r="X143" s="15">
        <f t="shared" si="664"/>
        <v>0.14699999999999999</v>
      </c>
      <c r="Y143" s="518">
        <f t="shared" si="664"/>
        <v>0.17900000000000005</v>
      </c>
      <c r="Z143" s="15">
        <f t="shared" si="664"/>
        <v>0.24000000000000002</v>
      </c>
      <c r="AA143" s="15">
        <f t="shared" si="664"/>
        <v>0.27099999999999996</v>
      </c>
      <c r="AB143" s="15">
        <f t="shared" si="664"/>
        <v>4.9000000000000002E-2</v>
      </c>
      <c r="AC143" s="518">
        <f t="shared" si="664"/>
        <v>0.27500000000000002</v>
      </c>
      <c r="AD143" s="15">
        <f t="shared" si="664"/>
        <v>0.29899999999999999</v>
      </c>
      <c r="AE143" s="15">
        <f t="shared" si="664"/>
        <v>0.28499999999999998</v>
      </c>
      <c r="AF143" s="15">
        <f t="shared" si="664"/>
        <v>0.189</v>
      </c>
      <c r="AG143" s="518">
        <f t="shared" si="664"/>
        <v>0.40500000000000003</v>
      </c>
      <c r="AH143" s="15">
        <f t="shared" si="664"/>
        <v>0.35</v>
      </c>
      <c r="AI143" s="15">
        <f t="shared" si="664"/>
        <v>0.36899999999999999</v>
      </c>
      <c r="AJ143" s="15">
        <f t="shared" si="664"/>
        <v>0.20899999999999999</v>
      </c>
      <c r="AK143" s="518">
        <f t="shared" si="664"/>
        <v>0.28099999999999997</v>
      </c>
      <c r="AL143" s="15">
        <f t="shared" si="664"/>
        <v>0.26300000000000001</v>
      </c>
      <c r="AM143" s="15">
        <f t="shared" si="664"/>
        <v>0.217</v>
      </c>
      <c r="AN143" s="15">
        <f t="shared" si="664"/>
        <v>9.3999999999999986E-2</v>
      </c>
      <c r="AO143" s="518">
        <f t="shared" si="664"/>
        <v>0.186</v>
      </c>
      <c r="AP143" s="15">
        <f t="shared" si="664"/>
        <v>0.153</v>
      </c>
      <c r="AQ143" s="15">
        <f t="shared" si="664"/>
        <v>0.184</v>
      </c>
      <c r="AR143" s="15">
        <f t="shared" si="664"/>
        <v>0.17199999999999999</v>
      </c>
      <c r="AS143" s="518">
        <f t="shared" si="664"/>
        <v>0.17499999999999999</v>
      </c>
      <c r="AT143" s="15">
        <f t="shared" si="664"/>
        <v>0.14200000000000002</v>
      </c>
      <c r="AU143" s="15">
        <f t="shared" si="664"/>
        <v>0.17699999999999999</v>
      </c>
      <c r="AV143" s="15">
        <f t="shared" si="664"/>
        <v>0.14300000000000002</v>
      </c>
      <c r="AW143" s="518">
        <f t="shared" si="664"/>
        <v>0.188</v>
      </c>
      <c r="AX143" s="15">
        <f t="shared" si="664"/>
        <v>0.218</v>
      </c>
      <c r="AY143" s="15">
        <f t="shared" si="664"/>
        <v>0.18699999999999997</v>
      </c>
      <c r="AZ143" s="15">
        <f t="shared" si="664"/>
        <v>0.16500000000000001</v>
      </c>
      <c r="BA143" s="518">
        <f t="shared" si="664"/>
        <v>0.21700000000000003</v>
      </c>
      <c r="BB143" s="15">
        <f t="shared" si="664"/>
        <v>0.19799999999999998</v>
      </c>
      <c r="BC143" s="15">
        <f t="shared" si="664"/>
        <v>0.19</v>
      </c>
      <c r="BD143" s="15">
        <f t="shared" si="664"/>
        <v>0.19400000000000001</v>
      </c>
      <c r="BE143" s="518">
        <f t="shared" si="664"/>
        <v>0.252</v>
      </c>
      <c r="BF143" s="15">
        <f t="shared" si="664"/>
        <v>0.192</v>
      </c>
      <c r="BG143" s="15">
        <f t="shared" si="664"/>
        <v>0.129</v>
      </c>
      <c r="BH143" s="15">
        <f t="shared" si="664"/>
        <v>0.16500000000000001</v>
      </c>
      <c r="BI143" s="518">
        <f t="shared" si="664"/>
        <v>0.14399999999999999</v>
      </c>
      <c r="BJ143" s="15">
        <f t="shared" si="664"/>
        <v>0.14300000000000002</v>
      </c>
      <c r="BK143" s="15">
        <f t="shared" si="664"/>
        <v>0.13800000000000001</v>
      </c>
      <c r="BL143" s="15">
        <f t="shared" si="664"/>
        <v>7.1999999999999995E-2</v>
      </c>
      <c r="BM143" s="518">
        <f t="shared" si="664"/>
        <v>6.5000000000000002E-2</v>
      </c>
      <c r="BN143" s="15">
        <f t="shared" si="664"/>
        <v>4.9000000000000002E-2</v>
      </c>
      <c r="BO143" s="15">
        <f t="shared" si="664"/>
        <v>6.9000000000000006E-2</v>
      </c>
      <c r="BP143" s="15">
        <f t="shared" si="664"/>
        <v>7.9999999999999988E-2</v>
      </c>
      <c r="BQ143" s="518">
        <f t="shared" si="664"/>
        <v>6.5000000000000002E-2</v>
      </c>
      <c r="BR143" s="15">
        <f t="shared" si="664"/>
        <v>2.2000000000000002E-2</v>
      </c>
      <c r="BS143" s="15">
        <f t="shared" si="664"/>
        <v>2.5000000000000001E-2</v>
      </c>
      <c r="BT143" s="15">
        <f t="shared" si="664"/>
        <v>-6.0000000000000053E-3</v>
      </c>
      <c r="BU143" s="518">
        <f t="shared" si="664"/>
        <v>-3.8000000000000006E-2</v>
      </c>
      <c r="BV143" s="77">
        <f t="shared" si="664"/>
        <v>-1.9000000000000003E-2</v>
      </c>
      <c r="BW143" s="77">
        <f t="shared" si="664"/>
        <v>-1.900000000000001E-2</v>
      </c>
      <c r="BX143" s="77">
        <f t="shared" si="664"/>
        <v>-5.8000000000000003E-2</v>
      </c>
      <c r="BY143" s="487">
        <f t="shared" si="664"/>
        <v>-5.1000000000000004E-2</v>
      </c>
      <c r="BZ143" s="15">
        <f t="shared" si="664"/>
        <v>-7.0000000000000062E-3</v>
      </c>
      <c r="CA143" s="15">
        <f t="shared" si="664"/>
        <v>-7.2000000000000008E-2</v>
      </c>
      <c r="CB143" s="15">
        <f t="shared" si="664"/>
        <v>-3.4000000000000002E-2</v>
      </c>
      <c r="CC143" s="518">
        <f t="shared" si="664"/>
        <v>-5.5000000000000007E-2</v>
      </c>
      <c r="CD143" s="77">
        <f t="shared" ref="CD143:DM143" si="665">+CD140+BZ140+BV140+BR140</f>
        <v>4.0000000000000001E-3</v>
      </c>
      <c r="CE143" s="77">
        <f t="shared" si="665"/>
        <v>-8.2000000000000003E-2</v>
      </c>
      <c r="CF143" s="77">
        <f t="shared" si="665"/>
        <v>-7.9000000000000001E-2</v>
      </c>
      <c r="CG143" s="487">
        <f t="shared" si="665"/>
        <v>-0.13999999999999999</v>
      </c>
      <c r="CH143" s="77">
        <f t="shared" si="665"/>
        <v>-5.1999999999999998E-2</v>
      </c>
      <c r="CI143" s="77">
        <f t="shared" si="665"/>
        <v>-8.4000000000000005E-2</v>
      </c>
      <c r="CJ143" s="77">
        <f t="shared" si="665"/>
        <v>-6.9000000000000006E-2</v>
      </c>
      <c r="CK143" s="487">
        <f t="shared" si="665"/>
        <v>-7.5999999999999998E-2</v>
      </c>
      <c r="CL143" s="77">
        <f t="shared" si="665"/>
        <v>-6.4999999999999988E-2</v>
      </c>
      <c r="CM143" s="77">
        <f t="shared" si="665"/>
        <v>-7.3000000000000009E-2</v>
      </c>
      <c r="CN143" s="77">
        <f t="shared" si="665"/>
        <v>-0.11799999999999999</v>
      </c>
      <c r="CO143" s="487">
        <f t="shared" si="665"/>
        <v>-4.4999999999999998E-2</v>
      </c>
      <c r="CP143" s="77">
        <f t="shared" si="665"/>
        <v>-0.124</v>
      </c>
      <c r="CQ143" s="77">
        <f t="shared" si="665"/>
        <v>-7.7000000000000013E-2</v>
      </c>
      <c r="CR143" s="77">
        <f t="shared" si="665"/>
        <v>-6.0999999999999999E-2</v>
      </c>
      <c r="CS143" s="487">
        <f t="shared" si="665"/>
        <v>-5.000000000000001E-3</v>
      </c>
      <c r="CT143" s="77">
        <f t="shared" si="665"/>
        <v>-9.9000000000000005E-2</v>
      </c>
      <c r="CU143" s="77">
        <f t="shared" si="665"/>
        <v>-5.6000000000000001E-2</v>
      </c>
      <c r="CV143" s="77">
        <f t="shared" si="665"/>
        <v>-0.03</v>
      </c>
      <c r="CW143" s="487">
        <f t="shared" si="665"/>
        <v>3.4000000000000002E-2</v>
      </c>
      <c r="CX143" s="77">
        <f t="shared" si="665"/>
        <v>-5.5999999999999994E-2</v>
      </c>
      <c r="CY143" s="77">
        <f t="shared" si="665"/>
        <v>-2.0000000000000018E-3</v>
      </c>
      <c r="CZ143" s="77">
        <f t="shared" si="665"/>
        <v>1.7999999999999995E-2</v>
      </c>
      <c r="DA143" s="487">
        <f t="shared" si="665"/>
        <v>7.9999999999999984E-3</v>
      </c>
      <c r="DB143" s="77">
        <f t="shared" si="665"/>
        <v>-0.02</v>
      </c>
      <c r="DC143" s="77">
        <f t="shared" si="665"/>
        <v>2.1999999999999999E-2</v>
      </c>
      <c r="DD143" s="70">
        <f t="shared" si="665"/>
        <v>7.5999999999999998E-2</v>
      </c>
      <c r="DE143" s="487">
        <f t="shared" si="665"/>
        <v>-1.0000000000000002E-2</v>
      </c>
      <c r="DF143" s="70">
        <f t="shared" si="665"/>
        <v>6.0000000000000036E-3</v>
      </c>
      <c r="DG143" s="70">
        <f t="shared" si="665"/>
        <v>0.08</v>
      </c>
      <c r="DH143" s="70">
        <f t="shared" si="665"/>
        <v>0.10300000000000001</v>
      </c>
      <c r="DI143" s="487">
        <f t="shared" si="665"/>
        <v>9.1999999999999998E-2</v>
      </c>
      <c r="DJ143" s="1673">
        <f t="shared" si="665"/>
        <v>5.4492354524772489E-2</v>
      </c>
      <c r="DK143" s="70">
        <f t="shared" si="665"/>
        <v>0.11826293694390716</v>
      </c>
      <c r="DL143" s="70">
        <f t="shared" si="665"/>
        <v>8.641725288821106E-2</v>
      </c>
      <c r="DM143" s="487">
        <f t="shared" si="665"/>
        <v>4.8459501297633517E-2</v>
      </c>
      <c r="DN143" s="70"/>
      <c r="DO143" s="487"/>
      <c r="DP143" s="3"/>
      <c r="DQ143" s="3"/>
      <c r="DR143" s="15">
        <f t="shared" ref="DR143:ET143" si="666">+DR140+DQ140+DP140+DO140</f>
        <v>0</v>
      </c>
      <c r="DS143" s="15">
        <f t="shared" si="666"/>
        <v>0</v>
      </c>
      <c r="DT143" s="15">
        <f t="shared" si="666"/>
        <v>0</v>
      </c>
      <c r="DU143" s="15">
        <f t="shared" si="666"/>
        <v>0</v>
      </c>
      <c r="DV143" s="15">
        <f t="shared" si="666"/>
        <v>0</v>
      </c>
      <c r="DW143" s="15">
        <f t="shared" si="666"/>
        <v>0</v>
      </c>
      <c r="DX143" s="15">
        <f t="shared" si="666"/>
        <v>0.26900000000000002</v>
      </c>
      <c r="DY143" s="15">
        <f t="shared" si="666"/>
        <v>0.46800000000000003</v>
      </c>
      <c r="DZ143" s="15">
        <f t="shared" si="666"/>
        <v>0.52300000000000002</v>
      </c>
      <c r="EA143" s="15">
        <f t="shared" si="666"/>
        <v>0.47600000000000003</v>
      </c>
      <c r="EB143" s="15">
        <f t="shared" si="666"/>
        <v>0.22700000000000001</v>
      </c>
      <c r="EC143" s="15">
        <f t="shared" si="666"/>
        <v>0.16349656162770154</v>
      </c>
      <c r="ED143" s="15">
        <f t="shared" si="666"/>
        <v>0.21949656162770159</v>
      </c>
      <c r="EE143" s="15">
        <f t="shared" si="666"/>
        <v>0.31549656162770157</v>
      </c>
      <c r="EF143" s="15">
        <f t="shared" si="666"/>
        <v>0.31491022651266554</v>
      </c>
      <c r="EG143" s="15">
        <f t="shared" si="666"/>
        <v>0.204762033605834</v>
      </c>
      <c r="EH143" s="15">
        <f t="shared" si="666"/>
        <v>0.17128801785780248</v>
      </c>
      <c r="EI143" s="15">
        <f t="shared" si="666"/>
        <v>0.16667768311617104</v>
      </c>
      <c r="EJ143" s="15">
        <f t="shared" si="666"/>
        <v>0.19826401823120704</v>
      </c>
      <c r="EK143" s="15">
        <f t="shared" si="666"/>
        <v>0.21391564951033704</v>
      </c>
      <c r="EL143" s="15">
        <f t="shared" si="666"/>
        <v>0.15538966525836853</v>
      </c>
      <c r="EM143" s="15">
        <f t="shared" si="666"/>
        <v>9.8000000000000004E-2</v>
      </c>
      <c r="EN143" s="15">
        <f t="shared" si="666"/>
        <v>6.4000000000000001E-2</v>
      </c>
      <c r="EO143" s="15">
        <f t="shared" si="666"/>
        <v>-9.7457507320916278E-4</v>
      </c>
      <c r="EP143" s="15">
        <f t="shared" si="666"/>
        <v>-3.5858904318742502E-2</v>
      </c>
      <c r="EQ143" s="15">
        <f t="shared" si="666"/>
        <v>-3.1875982776760195E-2</v>
      </c>
      <c r="ER143" s="15">
        <f t="shared" si="666"/>
        <v>-6.9922565440132756E-2</v>
      </c>
      <c r="ES143" s="15">
        <f t="shared" si="666"/>
        <v>-5.6022876473617464E-2</v>
      </c>
      <c r="ET143" s="15">
        <f t="shared" si="666"/>
        <v>-4.9283887919683834E-2</v>
      </c>
      <c r="EU143" s="15">
        <f>+EU140+ET140+ES140+ER140</f>
        <v>-4.369324169060592E-2</v>
      </c>
      <c r="EV143" s="15">
        <f>+EV140+EU140+ET140+ES140</f>
        <v>-1.4025450468138762E-2</v>
      </c>
      <c r="EW143" s="15">
        <f>+EW140+EV140+EU140+ET140</f>
        <v>2.1329985712622186E-3</v>
      </c>
      <c r="EX143" s="77">
        <f>+EX140+EW140+EV140+EU140</f>
        <v>1.4274858028753572E-2</v>
      </c>
      <c r="EY143" s="77">
        <f t="shared" ref="EY143:FH143" si="667">+EY140+EX140+EW140+EV140</f>
        <v>7.3701290257693342E-2</v>
      </c>
      <c r="EZ143" s="1680">
        <f t="shared" si="667"/>
        <v>7.5710688074346263E-2</v>
      </c>
      <c r="FA143" s="1283">
        <f t="shared" si="667"/>
        <v>7.9813061329161286E-2</v>
      </c>
      <c r="FB143" s="1283">
        <f t="shared" si="667"/>
        <v>8.7317189493838238E-2</v>
      </c>
      <c r="FC143" s="1283">
        <f t="shared" si="667"/>
        <v>4.1678016990778687E-2</v>
      </c>
      <c r="FD143" s="1283">
        <f t="shared" si="667"/>
        <v>4.6825717366199948E-2</v>
      </c>
      <c r="FE143" s="1283">
        <f t="shared" si="667"/>
        <v>5.2804389118405917E-2</v>
      </c>
      <c r="FF143" s="1283">
        <f t="shared" si="667"/>
        <v>5.8864465969771802E-2</v>
      </c>
      <c r="FG143" s="1283">
        <f t="shared" si="667"/>
        <v>6.5470252610457816E-2</v>
      </c>
      <c r="FH143" s="1283">
        <f t="shared" si="667"/>
        <v>6.7074162221950992E-2</v>
      </c>
      <c r="FI143" s="596"/>
      <c r="FJ143"/>
      <c r="FK143"/>
      <c r="FL143"/>
      <c r="FM143"/>
      <c r="FN143"/>
      <c r="FO143"/>
      <c r="FP143" s="3"/>
      <c r="FS143" s="70"/>
      <c r="FT143" s="70"/>
      <c r="FU143"/>
      <c r="FV143"/>
      <c r="FW143" s="70"/>
      <c r="FX143" s="75"/>
      <c r="FY143" s="75"/>
      <c r="FZ143"/>
      <c r="GA143"/>
      <c r="GB143"/>
      <c r="GC143"/>
      <c r="GD143"/>
      <c r="GE143"/>
      <c r="GF143"/>
      <c r="GG143"/>
      <c r="GH143"/>
      <c r="GI143"/>
      <c r="GJ143"/>
      <c r="GK143"/>
      <c r="GL143"/>
      <c r="GM143"/>
      <c r="GN143"/>
      <c r="GO143"/>
      <c r="GP143"/>
      <c r="GQ143"/>
      <c r="GR143"/>
      <c r="GS143"/>
      <c r="GT143"/>
      <c r="GU143"/>
      <c r="GV143"/>
      <c r="GW143"/>
      <c r="GX143"/>
      <c r="GY143"/>
      <c r="GZ143"/>
      <c r="HA143"/>
      <c r="HB143"/>
      <c r="HC143"/>
      <c r="HD143"/>
      <c r="HE143"/>
      <c r="HF143"/>
      <c r="HG143"/>
      <c r="HH143"/>
      <c r="HI143"/>
      <c r="HJ143"/>
      <c r="HK143"/>
      <c r="HL143"/>
      <c r="HM143"/>
      <c r="HN143"/>
      <c r="HO143"/>
      <c r="HP143"/>
      <c r="HQ143"/>
      <c r="HR143"/>
      <c r="HS143"/>
      <c r="HT143"/>
      <c r="HU143"/>
      <c r="HV143"/>
      <c r="HW143"/>
      <c r="HX143"/>
      <c r="HY143"/>
      <c r="HZ143"/>
      <c r="IA143"/>
      <c r="IB143"/>
      <c r="IC143"/>
      <c r="ID143"/>
      <c r="IE143"/>
      <c r="IF143"/>
      <c r="IG143"/>
      <c r="IH143"/>
      <c r="II143"/>
      <c r="IJ143"/>
      <c r="IK143"/>
      <c r="IL143"/>
      <c r="IM143"/>
      <c r="IN143"/>
      <c r="IO143"/>
      <c r="IP143"/>
      <c r="IQ143"/>
      <c r="IR143"/>
      <c r="IS143"/>
      <c r="IT143"/>
      <c r="IU143"/>
      <c r="IV143"/>
      <c r="IW143"/>
      <c r="IX143"/>
      <c r="IY143"/>
      <c r="IZ143"/>
    </row>
    <row r="144" spans="1:260" s="4" customFormat="1" x14ac:dyDescent="0.2">
      <c r="A144" s="287"/>
      <c r="E144" s="470"/>
      <c r="F144" s="383"/>
      <c r="G144" s="383"/>
      <c r="H144" s="383"/>
      <c r="I144" s="549"/>
      <c r="J144" s="15"/>
      <c r="K144" s="15"/>
      <c r="L144" s="15"/>
      <c r="M144" s="518"/>
      <c r="N144" s="15"/>
      <c r="O144" s="15"/>
      <c r="P144" s="15"/>
      <c r="Q144" s="518"/>
      <c r="R144" s="15"/>
      <c r="S144" s="15"/>
      <c r="T144" s="15"/>
      <c r="U144" s="518"/>
      <c r="V144" s="15"/>
      <c r="W144" s="15"/>
      <c r="X144" s="15"/>
      <c r="Y144" s="518"/>
      <c r="Z144" s="15"/>
      <c r="AA144" s="15"/>
      <c r="AB144" s="15"/>
      <c r="AC144" s="518"/>
      <c r="AD144" s="15"/>
      <c r="AE144" s="15"/>
      <c r="AF144" s="15"/>
      <c r="AG144" s="518"/>
      <c r="AH144" s="15"/>
      <c r="AI144" s="15"/>
      <c r="AJ144" s="15"/>
      <c r="AK144" s="518"/>
      <c r="AL144" s="15"/>
      <c r="AM144" s="15"/>
      <c r="AN144" s="15"/>
      <c r="AO144" s="518"/>
      <c r="AP144" s="15"/>
      <c r="AQ144" s="15"/>
      <c r="AR144" s="15"/>
      <c r="AS144" s="518"/>
      <c r="AT144" s="15"/>
      <c r="AU144" s="15"/>
      <c r="AV144" s="15"/>
      <c r="AW144" s="518"/>
      <c r="AX144" s="15"/>
      <c r="AY144" s="15"/>
      <c r="AZ144" s="15"/>
      <c r="BA144" s="518"/>
      <c r="BB144" s="15"/>
      <c r="BC144" s="15"/>
      <c r="BD144" s="15"/>
      <c r="BE144" s="518"/>
      <c r="BF144" s="15"/>
      <c r="BG144" s="15"/>
      <c r="BH144" s="15"/>
      <c r="BI144" s="518"/>
      <c r="BJ144" s="15"/>
      <c r="BK144" s="15"/>
      <c r="BL144" s="15"/>
      <c r="BM144" s="518"/>
      <c r="BN144" s="15"/>
      <c r="BO144" s="15"/>
      <c r="BP144" s="15"/>
      <c r="BQ144" s="518"/>
      <c r="BR144" s="15"/>
      <c r="BS144" s="15"/>
      <c r="BT144" s="15"/>
      <c r="BU144" s="518"/>
      <c r="BV144" s="77"/>
      <c r="BW144" s="77"/>
      <c r="BX144" s="77"/>
      <c r="BY144" s="487"/>
      <c r="BZ144" s="15"/>
      <c r="CA144" s="15"/>
      <c r="CB144" s="15"/>
      <c r="CC144" s="518"/>
      <c r="CD144" s="77"/>
      <c r="CE144" s="77"/>
      <c r="CF144" s="77"/>
      <c r="CG144" s="487"/>
      <c r="CH144" s="77"/>
      <c r="CI144" s="77"/>
      <c r="CJ144" s="77"/>
      <c r="CK144" s="487"/>
      <c r="CL144" s="77"/>
      <c r="CM144" s="77"/>
      <c r="CN144" s="77"/>
      <c r="CO144" s="487"/>
      <c r="CP144" s="77"/>
      <c r="CQ144" s="77"/>
      <c r="CR144" s="77"/>
      <c r="CS144" s="487"/>
      <c r="CT144" s="77"/>
      <c r="CU144" s="77"/>
      <c r="CV144" s="77"/>
      <c r="CW144" s="487"/>
      <c r="CX144" s="77"/>
      <c r="CY144" s="77"/>
      <c r="CZ144" s="77"/>
      <c r="DA144" s="487"/>
      <c r="DB144" s="77"/>
      <c r="DC144" s="77"/>
      <c r="DD144" s="70"/>
      <c r="DE144" s="487"/>
      <c r="DF144" s="70"/>
      <c r="DG144" s="70"/>
      <c r="DH144" s="70"/>
      <c r="DI144" s="487"/>
      <c r="DJ144" s="1673"/>
      <c r="DK144" s="70"/>
      <c r="DL144" s="70"/>
      <c r="DM144" s="487"/>
      <c r="DN144" s="70"/>
      <c r="DO144" s="487"/>
      <c r="DP144" s="3"/>
      <c r="DQ144" s="3"/>
      <c r="DR144" s="3"/>
      <c r="DS144" s="3"/>
      <c r="DT144" s="3"/>
      <c r="DU144" s="3"/>
      <c r="DV144" s="3"/>
      <c r="DW144" s="3"/>
      <c r="DY144" s="383"/>
      <c r="DZ144" s="15"/>
      <c r="EA144" s="15"/>
      <c r="EB144" s="15"/>
      <c r="EC144" s="15"/>
      <c r="ED144" s="15"/>
      <c r="EE144" s="15"/>
      <c r="EF144" s="15"/>
      <c r="EG144" s="15"/>
      <c r="EH144" s="15"/>
      <c r="EI144" s="15"/>
      <c r="EJ144" s="15"/>
      <c r="EK144" s="15"/>
      <c r="EL144" s="15"/>
      <c r="EM144" s="15"/>
      <c r="EN144" s="15"/>
      <c r="EO144" s="15"/>
      <c r="EP144" s="15"/>
      <c r="EQ144" s="15"/>
      <c r="ER144" s="15"/>
      <c r="ES144" s="15"/>
      <c r="ET144" s="15"/>
      <c r="EU144" s="15"/>
      <c r="EV144" s="15"/>
      <c r="EW144" s="15"/>
      <c r="EX144" s="77"/>
      <c r="EY144" s="77"/>
      <c r="EZ144" s="1680"/>
      <c r="FA144" s="1283"/>
      <c r="FB144" s="1283"/>
      <c r="FC144" s="1283"/>
      <c r="FD144" s="1283"/>
      <c r="FE144" s="1283"/>
      <c r="FF144" s="1283"/>
      <c r="FG144" s="1283"/>
      <c r="FH144" s="1283"/>
      <c r="FI144" s="596"/>
      <c r="FJ144"/>
      <c r="FK144"/>
      <c r="FL144"/>
      <c r="FM144"/>
      <c r="FN144"/>
      <c r="FO144"/>
      <c r="FP144" s="3"/>
      <c r="FS144" s="70"/>
      <c r="FT144" s="70"/>
      <c r="FU144"/>
      <c r="FV144"/>
      <c r="FW144" s="70"/>
      <c r="FX144" s="75"/>
      <c r="FY144" s="75"/>
      <c r="FZ144"/>
      <c r="GA144"/>
      <c r="GB144"/>
      <c r="GC144"/>
      <c r="GD144"/>
      <c r="GE144"/>
      <c r="GF144"/>
      <c r="GG144"/>
      <c r="GH144"/>
      <c r="GI144"/>
      <c r="GJ144"/>
      <c r="GK144"/>
      <c r="GL144"/>
      <c r="GM144"/>
      <c r="GN144"/>
      <c r="GO144"/>
      <c r="GP144"/>
      <c r="GQ144"/>
      <c r="GR144"/>
      <c r="GS144"/>
      <c r="GT144"/>
      <c r="GU144"/>
      <c r="GV144"/>
      <c r="GW144"/>
      <c r="GX144"/>
      <c r="GY144"/>
      <c r="GZ144"/>
      <c r="HA144"/>
      <c r="HB144"/>
      <c r="HC144"/>
      <c r="HD144"/>
      <c r="HE144"/>
      <c r="HF144"/>
      <c r="HG144"/>
      <c r="HH144"/>
      <c r="HI144"/>
      <c r="HJ144"/>
      <c r="HK144"/>
      <c r="HL144"/>
      <c r="HM144"/>
      <c r="HN144"/>
      <c r="HO144"/>
      <c r="HP144"/>
      <c r="HQ144"/>
      <c r="HR144"/>
      <c r="HS144"/>
      <c r="HT144"/>
      <c r="HU144"/>
      <c r="HV144"/>
      <c r="HW144"/>
      <c r="HX144"/>
      <c r="HY144"/>
      <c r="HZ144"/>
      <c r="IA144"/>
      <c r="IB144"/>
      <c r="IC144"/>
      <c r="ID144"/>
      <c r="IE144"/>
      <c r="IF144"/>
      <c r="IG144"/>
      <c r="IH144"/>
      <c r="II144"/>
      <c r="IJ144"/>
      <c r="IK144"/>
      <c r="IL144"/>
      <c r="IM144"/>
      <c r="IN144"/>
      <c r="IO144"/>
      <c r="IP144"/>
      <c r="IQ144"/>
      <c r="IR144"/>
      <c r="IS144"/>
      <c r="IT144"/>
      <c r="IU144"/>
      <c r="IV144"/>
      <c r="IW144"/>
      <c r="IX144"/>
      <c r="IY144"/>
      <c r="IZ144"/>
    </row>
    <row r="145" spans="1:260" s="4" customFormat="1" x14ac:dyDescent="0.2">
      <c r="A145" s="1420" t="s">
        <v>713</v>
      </c>
      <c r="E145" s="470"/>
      <c r="F145" s="383"/>
      <c r="G145" s="383"/>
      <c r="H145" s="383"/>
      <c r="I145" s="549"/>
      <c r="J145" s="15"/>
      <c r="K145" s="15"/>
      <c r="L145" s="15"/>
      <c r="M145" s="518"/>
      <c r="N145" s="15"/>
      <c r="O145" s="15"/>
      <c r="P145" s="15"/>
      <c r="Q145" s="518"/>
      <c r="R145" s="15"/>
      <c r="S145" s="15"/>
      <c r="T145" s="15"/>
      <c r="U145" s="518"/>
      <c r="V145" s="15"/>
      <c r="W145" s="15"/>
      <c r="X145" s="15"/>
      <c r="Y145" s="518"/>
      <c r="Z145" s="15"/>
      <c r="AA145" s="15"/>
      <c r="AB145" s="15"/>
      <c r="AC145" s="518"/>
      <c r="AD145" s="15"/>
      <c r="AE145" s="15"/>
      <c r="AF145" s="15"/>
      <c r="AG145" s="518"/>
      <c r="AH145" s="15"/>
      <c r="AI145" s="15"/>
      <c r="AJ145" s="15"/>
      <c r="AK145" s="518"/>
      <c r="AL145" s="15"/>
      <c r="AM145" s="15"/>
      <c r="AN145" s="15"/>
      <c r="AO145" s="518"/>
      <c r="AP145" s="15"/>
      <c r="AQ145" s="15"/>
      <c r="AR145" s="15"/>
      <c r="AS145" s="518"/>
      <c r="AT145" s="15"/>
      <c r="AU145" s="15"/>
      <c r="AV145" s="15"/>
      <c r="AW145" s="518"/>
      <c r="AX145" s="15"/>
      <c r="AY145" s="15"/>
      <c r="AZ145" s="15"/>
      <c r="BA145" s="518"/>
      <c r="BB145" s="15"/>
      <c r="BC145" s="15"/>
      <c r="BD145" s="15"/>
      <c r="BE145" s="518"/>
      <c r="BF145" s="15"/>
      <c r="BG145" s="15"/>
      <c r="BH145" s="15"/>
      <c r="BI145" s="518"/>
      <c r="BJ145" s="15"/>
      <c r="BK145" s="15"/>
      <c r="BL145" s="15"/>
      <c r="BM145" s="518"/>
      <c r="BN145" s="15"/>
      <c r="BO145" s="15"/>
      <c r="BP145" s="15"/>
      <c r="BQ145" s="518"/>
      <c r="BR145" s="15"/>
      <c r="BS145" s="15"/>
      <c r="BT145" s="15"/>
      <c r="BU145" s="518"/>
      <c r="BV145" s="77"/>
      <c r="BW145" s="77"/>
      <c r="BX145" s="77"/>
      <c r="BY145" s="487"/>
      <c r="BZ145" s="15"/>
      <c r="CA145" s="15"/>
      <c r="CB145" s="15"/>
      <c r="CC145" s="518"/>
      <c r="CD145" s="77"/>
      <c r="CE145" s="77"/>
      <c r="CF145" s="77"/>
      <c r="CG145" s="487"/>
      <c r="CH145" s="77"/>
      <c r="CI145" s="77"/>
      <c r="CJ145" s="77"/>
      <c r="CK145" s="487"/>
      <c r="CL145" s="77"/>
      <c r="CM145" s="77"/>
      <c r="CN145" s="77"/>
      <c r="CO145" s="487"/>
      <c r="CP145" s="77"/>
      <c r="CQ145" s="77"/>
      <c r="CR145" s="77"/>
      <c r="CS145" s="487"/>
      <c r="CT145" s="77"/>
      <c r="CU145" s="77"/>
      <c r="CV145" s="77"/>
      <c r="CW145" s="487"/>
      <c r="CX145" s="2193"/>
      <c r="CY145" s="2193"/>
      <c r="CZ145" s="2193"/>
      <c r="DA145" s="2194"/>
      <c r="DB145" s="2193"/>
      <c r="DC145" s="2193"/>
      <c r="DD145" s="2195"/>
      <c r="DE145" s="2194"/>
      <c r="DF145" s="2195"/>
      <c r="DG145" s="2195"/>
      <c r="DH145" s="2195"/>
      <c r="DI145" s="2194">
        <v>715</v>
      </c>
      <c r="DJ145" s="2739"/>
      <c r="DK145" s="2195"/>
      <c r="DL145" s="2195"/>
      <c r="DM145" s="2194"/>
      <c r="DN145" s="2195"/>
      <c r="DO145" s="2194"/>
      <c r="DP145" s="2196"/>
      <c r="DQ145" s="2196"/>
      <c r="DR145" s="2196"/>
      <c r="DS145" s="2196"/>
      <c r="DT145" s="2196"/>
      <c r="DU145" s="2196"/>
      <c r="DV145" s="2196"/>
      <c r="DW145" s="2196"/>
      <c r="DX145" s="2197"/>
      <c r="DY145" s="2191"/>
      <c r="DZ145" s="2192"/>
      <c r="EA145" s="2192"/>
      <c r="EB145" s="2192"/>
      <c r="EC145" s="2192"/>
      <c r="ED145" s="2192"/>
      <c r="EE145" s="2192"/>
      <c r="EF145" s="2192"/>
      <c r="EG145" s="2192"/>
      <c r="EH145" s="2192"/>
      <c r="EI145" s="2192"/>
      <c r="EJ145" s="2192"/>
      <c r="EK145" s="2192"/>
      <c r="EL145" s="2192"/>
      <c r="EM145" s="2192"/>
      <c r="EN145" s="2192"/>
      <c r="EO145" s="2192"/>
      <c r="EP145" s="2192"/>
      <c r="EQ145" s="2192"/>
      <c r="ER145" s="2192"/>
      <c r="ES145" s="2192"/>
      <c r="ET145" s="2192"/>
      <c r="EU145" s="2192"/>
      <c r="EV145" s="2192"/>
      <c r="EW145" s="2192"/>
      <c r="EX145" s="2193"/>
      <c r="EY145" s="2193">
        <f>+SUM(DF145:DI145)</f>
        <v>715</v>
      </c>
      <c r="EZ145" s="2198"/>
      <c r="FA145" s="2192"/>
      <c r="FB145" s="2192"/>
      <c r="FC145" s="2192"/>
      <c r="FD145" s="2192"/>
      <c r="FE145" s="2192"/>
      <c r="FF145" s="2192"/>
      <c r="FG145" s="2192"/>
      <c r="FH145" s="2192"/>
      <c r="FI145" s="2199"/>
      <c r="FJ145"/>
      <c r="FK145"/>
      <c r="FL145"/>
      <c r="FM145"/>
      <c r="FN145"/>
      <c r="FO145"/>
      <c r="FP145" s="2196"/>
      <c r="FQ145" s="2197"/>
      <c r="FR145" s="2197"/>
      <c r="FS145" s="2195"/>
      <c r="FT145" s="70"/>
      <c r="FU145" s="2043"/>
      <c r="FV145" s="2043"/>
      <c r="FW145" s="2195"/>
      <c r="FX145" s="2195"/>
      <c r="FY145" s="2195"/>
      <c r="FZ145" s="2043"/>
      <c r="GA145" s="2043"/>
      <c r="GB145" s="2043"/>
      <c r="GC145" s="2043"/>
      <c r="GD145" s="2043"/>
      <c r="GE145" s="2043"/>
      <c r="GF145" s="2043"/>
      <c r="GG145" s="2043"/>
      <c r="GH145" s="2043"/>
      <c r="GI145" s="2043"/>
      <c r="GJ145" s="2043"/>
      <c r="GK145" s="2043"/>
      <c r="GL145" s="2043"/>
      <c r="GM145" s="2043"/>
      <c r="GN145" s="2043"/>
      <c r="GO145" s="2043"/>
      <c r="GP145" s="2043"/>
      <c r="GQ145" s="2043"/>
      <c r="GR145" s="2043"/>
      <c r="GS145" s="2043"/>
      <c r="GT145" s="2043"/>
      <c r="GU145" s="2043"/>
      <c r="GV145" s="2043"/>
      <c r="GW145" s="2043"/>
      <c r="GX145" s="2043"/>
      <c r="GY145" s="2043"/>
      <c r="GZ145" s="2043"/>
      <c r="HA145" s="2043"/>
      <c r="HB145" s="2043"/>
      <c r="HC145" s="2043"/>
      <c r="HD145" s="2043"/>
      <c r="HE145" s="2043"/>
      <c r="HF145" s="2043"/>
      <c r="HG145" s="2043"/>
      <c r="HH145" s="2043"/>
      <c r="HI145" s="2043"/>
      <c r="HJ145" s="2043"/>
      <c r="HK145" s="2043"/>
      <c r="HL145" s="2043"/>
      <c r="HM145" s="2043"/>
      <c r="HN145" s="2043"/>
      <c r="HO145" s="2043"/>
      <c r="HP145" s="2043"/>
      <c r="HQ145" s="2043"/>
      <c r="HR145" s="2043"/>
      <c r="HS145" s="2043"/>
      <c r="HT145" s="2043"/>
      <c r="HU145" s="2043"/>
      <c r="HV145" s="2043"/>
      <c r="HW145" s="2043"/>
      <c r="HX145" s="2043"/>
      <c r="HY145" s="2043"/>
      <c r="HZ145" s="2043"/>
      <c r="IA145" s="2043"/>
      <c r="IB145" s="2043"/>
      <c r="IC145" s="2043"/>
      <c r="ID145" s="2043"/>
      <c r="IE145" s="2043"/>
      <c r="IF145" s="2043"/>
      <c r="IG145" s="2043"/>
      <c r="IH145" s="2043"/>
      <c r="II145" s="2043"/>
      <c r="IJ145" s="2043"/>
      <c r="IK145" s="2043"/>
      <c r="IL145" s="2043"/>
      <c r="IM145" s="2043"/>
      <c r="IN145" s="2043"/>
      <c r="IO145" s="2043"/>
      <c r="IP145" s="2043"/>
      <c r="IQ145" s="2043"/>
      <c r="IR145" s="2043"/>
      <c r="IS145" s="2043"/>
      <c r="IT145" s="2043"/>
      <c r="IU145" s="2043"/>
      <c r="IV145" s="2043"/>
      <c r="IW145" s="2043"/>
      <c r="IX145" s="2043"/>
      <c r="IY145" s="2043"/>
      <c r="IZ145" s="2043"/>
    </row>
    <row r="146" spans="1:260" s="4" customFormat="1" x14ac:dyDescent="0.2">
      <c r="A146" s="287"/>
      <c r="E146" s="470"/>
      <c r="F146" s="383"/>
      <c r="G146" s="383"/>
      <c r="H146" s="383"/>
      <c r="I146" s="549"/>
      <c r="J146" s="15"/>
      <c r="K146" s="15"/>
      <c r="L146" s="15"/>
      <c r="M146" s="518"/>
      <c r="N146" s="15"/>
      <c r="O146" s="15"/>
      <c r="P146" s="15"/>
      <c r="Q146" s="518"/>
      <c r="R146" s="15"/>
      <c r="S146" s="15"/>
      <c r="T146" s="15"/>
      <c r="U146" s="518"/>
      <c r="V146" s="15"/>
      <c r="W146" s="15"/>
      <c r="X146" s="15"/>
      <c r="Y146" s="518"/>
      <c r="Z146" s="15"/>
      <c r="AA146" s="15"/>
      <c r="AB146" s="15"/>
      <c r="AC146" s="518"/>
      <c r="AD146" s="15"/>
      <c r="AE146" s="15"/>
      <c r="AF146" s="15"/>
      <c r="AG146" s="518"/>
      <c r="AH146" s="15"/>
      <c r="AI146" s="15"/>
      <c r="AJ146" s="15"/>
      <c r="AK146" s="518"/>
      <c r="AL146" s="15"/>
      <c r="AM146" s="15"/>
      <c r="AN146" s="15"/>
      <c r="AO146" s="518"/>
      <c r="AP146" s="15"/>
      <c r="AQ146" s="15"/>
      <c r="AR146" s="15"/>
      <c r="AS146" s="518"/>
      <c r="AT146" s="15"/>
      <c r="AU146" s="15"/>
      <c r="AV146" s="15"/>
      <c r="AW146" s="518"/>
      <c r="AX146" s="15"/>
      <c r="AY146" s="15"/>
      <c r="AZ146" s="15"/>
      <c r="BA146" s="518"/>
      <c r="BB146" s="15"/>
      <c r="BC146" s="15"/>
      <c r="BD146" s="15"/>
      <c r="BE146" s="518"/>
      <c r="BF146" s="15"/>
      <c r="BG146" s="15"/>
      <c r="BH146" s="15"/>
      <c r="BI146" s="518"/>
      <c r="BJ146" s="15"/>
      <c r="BK146" s="15"/>
      <c r="BL146" s="15"/>
      <c r="BM146" s="518"/>
      <c r="BN146" s="15"/>
      <c r="BO146" s="15"/>
      <c r="BP146" s="15"/>
      <c r="BQ146" s="518"/>
      <c r="BR146" s="15"/>
      <c r="BS146" s="15"/>
      <c r="BT146" s="15"/>
      <c r="BU146" s="518"/>
      <c r="BV146" s="77"/>
      <c r="BW146" s="77"/>
      <c r="BX146" s="77"/>
      <c r="BY146" s="487"/>
      <c r="BZ146" s="15"/>
      <c r="CA146" s="15"/>
      <c r="CB146" s="15"/>
      <c r="CC146" s="518"/>
      <c r="CD146" s="77"/>
      <c r="CE146" s="77"/>
      <c r="CF146" s="77"/>
      <c r="CG146" s="487"/>
      <c r="CH146" s="77"/>
      <c r="CI146" s="77"/>
      <c r="CJ146" s="77"/>
      <c r="CK146" s="487"/>
      <c r="CL146" s="77"/>
      <c r="CM146" s="77"/>
      <c r="CN146" s="77"/>
      <c r="CO146" s="487"/>
      <c r="CP146" s="77"/>
      <c r="CQ146" s="77"/>
      <c r="CR146" s="77"/>
      <c r="CS146" s="487"/>
      <c r="CT146" s="77"/>
      <c r="CU146" s="77"/>
      <c r="CV146" s="77"/>
      <c r="CW146" s="487"/>
      <c r="CX146" s="77"/>
      <c r="CY146" s="77"/>
      <c r="CZ146" s="77"/>
      <c r="DA146" s="487"/>
      <c r="DB146" s="77"/>
      <c r="DC146" s="77"/>
      <c r="DD146" s="70"/>
      <c r="DE146" s="487"/>
      <c r="DF146" s="70"/>
      <c r="DG146" s="70"/>
      <c r="DH146" s="70"/>
      <c r="DI146" s="487"/>
      <c r="DJ146" s="1673"/>
      <c r="DK146" s="70"/>
      <c r="DL146" s="70"/>
      <c r="DM146" s="487"/>
      <c r="DN146" s="70"/>
      <c r="DO146" s="487"/>
      <c r="DP146" s="3"/>
      <c r="DQ146" s="3"/>
      <c r="DR146" s="3"/>
      <c r="DS146" s="3"/>
      <c r="DT146" s="3"/>
      <c r="DU146" s="3"/>
      <c r="DV146" s="3"/>
      <c r="DW146" s="3"/>
      <c r="DY146" s="383"/>
      <c r="DZ146" s="15"/>
      <c r="EA146" s="15"/>
      <c r="EB146" s="15"/>
      <c r="EC146" s="15"/>
      <c r="ED146" s="15"/>
      <c r="EE146" s="15"/>
      <c r="EF146" s="15"/>
      <c r="EG146" s="15"/>
      <c r="EH146" s="15"/>
      <c r="EI146" s="15"/>
      <c r="EJ146" s="15"/>
      <c r="EK146" s="15"/>
      <c r="EL146" s="15"/>
      <c r="EM146" s="15"/>
      <c r="EN146" s="15"/>
      <c r="EO146" s="15"/>
      <c r="EP146" s="15"/>
      <c r="EQ146" s="15"/>
      <c r="ER146" s="15"/>
      <c r="ES146" s="15"/>
      <c r="ET146" s="15"/>
      <c r="EU146" s="15"/>
      <c r="EV146" s="15"/>
      <c r="EW146" s="15"/>
      <c r="EX146" s="77"/>
      <c r="EY146" s="77"/>
      <c r="EZ146" s="1680"/>
      <c r="FA146" s="1283"/>
      <c r="FB146" s="1283"/>
      <c r="FC146" s="1283"/>
      <c r="FD146" s="1283"/>
      <c r="FE146" s="1283"/>
      <c r="FF146" s="1283"/>
      <c r="FG146" s="1283"/>
      <c r="FH146" s="1283"/>
      <c r="FI146" s="596"/>
      <c r="FJ146"/>
      <c r="FK146"/>
      <c r="FL146"/>
      <c r="FM146"/>
      <c r="FN146"/>
      <c r="FO146"/>
      <c r="FP146" s="3"/>
      <c r="FS146" s="70"/>
      <c r="FT146" s="70"/>
      <c r="FU146" s="2043"/>
      <c r="FV146" s="2043"/>
      <c r="FW146" s="70"/>
      <c r="FX146" s="75"/>
      <c r="FY146" s="75"/>
      <c r="FZ146" s="2043"/>
      <c r="GA146" s="2043"/>
      <c r="GB146" s="2043"/>
      <c r="GC146" s="2043"/>
      <c r="GD146" s="2043"/>
      <c r="GE146" s="2043"/>
      <c r="GF146" s="2043"/>
      <c r="GG146" s="2043"/>
      <c r="GH146" s="2043"/>
      <c r="GI146" s="2043"/>
      <c r="GJ146" s="2043"/>
      <c r="GK146" s="2043"/>
      <c r="GL146" s="2043"/>
      <c r="GM146" s="2043"/>
      <c r="GN146" s="2043"/>
      <c r="GO146" s="2043"/>
      <c r="GP146" s="2043"/>
      <c r="GQ146" s="2043"/>
      <c r="GR146" s="2043"/>
      <c r="GS146" s="2043"/>
      <c r="GT146" s="2043"/>
      <c r="GU146" s="2043"/>
      <c r="GV146" s="2043"/>
      <c r="GW146" s="2043"/>
      <c r="GX146" s="2043"/>
      <c r="GY146" s="2043"/>
      <c r="GZ146" s="2043"/>
      <c r="HA146" s="2043"/>
      <c r="HB146" s="2043"/>
      <c r="HC146" s="2043"/>
      <c r="HD146" s="2043"/>
      <c r="HE146" s="2043"/>
      <c r="HF146" s="2043"/>
      <c r="HG146" s="2043"/>
      <c r="HH146" s="2043"/>
      <c r="HI146" s="2043"/>
      <c r="HJ146" s="2043"/>
      <c r="HK146" s="2043"/>
      <c r="HL146" s="2043"/>
      <c r="HM146" s="2043"/>
      <c r="HN146" s="2043"/>
      <c r="HO146" s="2043"/>
      <c r="HP146" s="2043"/>
      <c r="HQ146" s="2043"/>
      <c r="HR146" s="2043"/>
      <c r="HS146" s="2043"/>
      <c r="HT146" s="2043"/>
      <c r="HU146" s="2043"/>
      <c r="HV146" s="2043"/>
      <c r="HW146" s="2043"/>
      <c r="HX146" s="2043"/>
      <c r="HY146" s="2043"/>
      <c r="HZ146" s="2043"/>
      <c r="IA146" s="2043"/>
      <c r="IB146" s="2043"/>
      <c r="IC146" s="2043"/>
      <c r="ID146" s="2043"/>
      <c r="IE146" s="2043"/>
      <c r="IF146" s="2043"/>
      <c r="IG146" s="2043"/>
      <c r="IH146" s="2043"/>
      <c r="II146" s="2043"/>
      <c r="IJ146" s="2043"/>
      <c r="IK146" s="2043"/>
      <c r="IL146" s="2043"/>
      <c r="IM146" s="2043"/>
      <c r="IN146" s="2043"/>
      <c r="IO146" s="2043"/>
      <c r="IP146" s="2043"/>
      <c r="IQ146" s="2043"/>
      <c r="IR146" s="2043"/>
      <c r="IS146" s="2043"/>
      <c r="IT146" s="2043"/>
      <c r="IU146" s="2043"/>
      <c r="IV146" s="2043"/>
      <c r="IW146" s="2043"/>
      <c r="IX146" s="2043"/>
      <c r="IY146" s="2043"/>
      <c r="IZ146" s="2043"/>
    </row>
    <row r="147" spans="1:260" s="3" customFormat="1" x14ac:dyDescent="0.2">
      <c r="A147" s="288" t="s">
        <v>20</v>
      </c>
      <c r="B147" s="869">
        <v>441.91899999999998</v>
      </c>
      <c r="C147" s="869">
        <v>562.98</v>
      </c>
      <c r="D147" s="869">
        <v>808.476</v>
      </c>
      <c r="E147" s="870">
        <v>1193.1590000000001</v>
      </c>
      <c r="F147" s="869">
        <v>849.4</v>
      </c>
      <c r="G147" s="869">
        <v>933.17200000000003</v>
      </c>
      <c r="H147" s="869">
        <v>1349.8710000000001</v>
      </c>
      <c r="I147" s="870">
        <v>1947.1110000000001</v>
      </c>
      <c r="J147" s="869">
        <v>1274.6690000000001</v>
      </c>
      <c r="K147" s="869">
        <v>1437.9110000000001</v>
      </c>
      <c r="L147" s="869">
        <v>1929.277</v>
      </c>
      <c r="M147" s="870">
        <v>2575.5639999999999</v>
      </c>
      <c r="N147" s="869">
        <v>1637.184</v>
      </c>
      <c r="O147" s="869">
        <v>1778.64</v>
      </c>
      <c r="P147" s="869">
        <v>2007.3240000000001</v>
      </c>
      <c r="Q147" s="870">
        <v>2347.5349999999999</v>
      </c>
      <c r="R147" s="869">
        <v>1606.5509999999999</v>
      </c>
      <c r="S147" s="869">
        <v>1793.204</v>
      </c>
      <c r="T147" s="869">
        <v>2106.3409999999999</v>
      </c>
      <c r="U147" s="870">
        <v>2852.096</v>
      </c>
      <c r="V147" s="869">
        <v>1938.383</v>
      </c>
      <c r="W147" s="869">
        <v>2177.7660000000001</v>
      </c>
      <c r="X147" s="869">
        <v>2492.4670000000001</v>
      </c>
      <c r="Y147" s="870">
        <v>3456.03</v>
      </c>
      <c r="Z147" s="869">
        <v>2385.431</v>
      </c>
      <c r="AA147" s="869">
        <v>2686.64</v>
      </c>
      <c r="AB147" s="869">
        <v>3107.337</v>
      </c>
      <c r="AC147" s="870">
        <v>4314.6149999999998</v>
      </c>
      <c r="AD147" s="869">
        <v>2963.7179999999998</v>
      </c>
      <c r="AE147" s="869">
        <v>3169.1709999999998</v>
      </c>
      <c r="AF147" s="869">
        <v>3732.08</v>
      </c>
      <c r="AG147" s="870">
        <f>5461.583</f>
        <v>5461.5829999999996</v>
      </c>
      <c r="AH147" s="869">
        <v>3334</v>
      </c>
      <c r="AI147" s="869">
        <v>3788</v>
      </c>
      <c r="AJ147" s="869">
        <v>4228</v>
      </c>
      <c r="AK147" s="870">
        <v>5862</v>
      </c>
      <c r="AL147" s="869">
        <v>3899</v>
      </c>
      <c r="AM147" s="869">
        <v>4290</v>
      </c>
      <c r="AN147" s="869">
        <v>4710</v>
      </c>
      <c r="AO147" s="870">
        <v>6411</v>
      </c>
      <c r="AP147" s="869">
        <v>4280</v>
      </c>
      <c r="AQ147" s="869">
        <v>4910</v>
      </c>
      <c r="AR147" s="869">
        <v>5430</v>
      </c>
      <c r="AS147" s="870">
        <v>7605</v>
      </c>
      <c r="AT147" s="869">
        <v>4980</v>
      </c>
      <c r="AU147" s="869">
        <v>5506</v>
      </c>
      <c r="AV147" s="869">
        <v>5918</v>
      </c>
      <c r="AW147" s="870">
        <v>8212</v>
      </c>
      <c r="AX147" s="869">
        <f t="shared" ref="AX147:CR147" si="668">AX393</f>
        <v>5492</v>
      </c>
      <c r="AY147" s="869">
        <f t="shared" si="668"/>
        <v>5997</v>
      </c>
      <c r="AZ147" s="869">
        <f t="shared" si="668"/>
        <v>6466</v>
      </c>
      <c r="BA147" s="870">
        <f t="shared" si="668"/>
        <v>9425</v>
      </c>
      <c r="BB147" s="869">
        <f t="shared" si="668"/>
        <v>6162</v>
      </c>
      <c r="BC147" s="869">
        <f t="shared" si="668"/>
        <v>6621</v>
      </c>
      <c r="BD147" s="869">
        <f t="shared" si="668"/>
        <v>7164</v>
      </c>
      <c r="BE147" s="870">
        <f t="shared" si="668"/>
        <v>11084</v>
      </c>
      <c r="BF147" s="869">
        <f t="shared" si="668"/>
        <v>6704</v>
      </c>
      <c r="BG147" s="869">
        <f t="shared" si="668"/>
        <v>7234</v>
      </c>
      <c r="BH147" s="869">
        <f t="shared" si="668"/>
        <v>8206</v>
      </c>
      <c r="BI147" s="870">
        <f t="shared" si="668"/>
        <v>11184</v>
      </c>
      <c r="BJ147" s="869">
        <f t="shared" si="668"/>
        <v>7453</v>
      </c>
      <c r="BK147" s="869">
        <f t="shared" si="668"/>
        <v>8133</v>
      </c>
      <c r="BL147" s="869">
        <f t="shared" si="668"/>
        <v>8196</v>
      </c>
      <c r="BM147" s="870">
        <f t="shared" si="668"/>
        <v>11288</v>
      </c>
      <c r="BN147" s="869">
        <f t="shared" si="668"/>
        <v>7525</v>
      </c>
      <c r="BO147" s="869">
        <f t="shared" si="668"/>
        <v>8274</v>
      </c>
      <c r="BP147" s="869">
        <f t="shared" si="668"/>
        <v>8931</v>
      </c>
      <c r="BQ147" s="870">
        <f t="shared" si="668"/>
        <v>12584</v>
      </c>
      <c r="BR147" s="869">
        <f t="shared" si="668"/>
        <v>7923</v>
      </c>
      <c r="BS147" s="869">
        <f t="shared" si="668"/>
        <v>8436</v>
      </c>
      <c r="BT147" s="869">
        <f t="shared" si="668"/>
        <v>8710</v>
      </c>
      <c r="BU147" s="870">
        <f t="shared" si="668"/>
        <v>12117</v>
      </c>
      <c r="BV147" s="869">
        <f t="shared" si="668"/>
        <v>7859</v>
      </c>
      <c r="BW147" s="869">
        <f t="shared" si="668"/>
        <v>8311</v>
      </c>
      <c r="BX147" s="869">
        <f t="shared" si="668"/>
        <v>8885</v>
      </c>
      <c r="BY147" s="870">
        <f t="shared" si="668"/>
        <v>12600</v>
      </c>
      <c r="BZ147" s="869">
        <f t="shared" si="668"/>
        <v>8511</v>
      </c>
      <c r="CA147" s="869">
        <f t="shared" si="668"/>
        <v>8185</v>
      </c>
      <c r="CB147" s="869">
        <f t="shared" si="668"/>
        <v>7938</v>
      </c>
      <c r="CC147" s="870">
        <f t="shared" si="668"/>
        <v>12611</v>
      </c>
      <c r="CD147" s="869">
        <f t="shared" si="668"/>
        <v>8392</v>
      </c>
      <c r="CE147" s="869">
        <f t="shared" si="668"/>
        <v>7977</v>
      </c>
      <c r="CF147" s="869">
        <f t="shared" si="668"/>
        <v>8055</v>
      </c>
      <c r="CG147" s="870">
        <f t="shared" si="668"/>
        <v>12583</v>
      </c>
      <c r="CH147" s="869">
        <f t="shared" si="668"/>
        <v>8822</v>
      </c>
      <c r="CI147" s="869">
        <f t="shared" si="668"/>
        <v>7803</v>
      </c>
      <c r="CJ147" s="869">
        <f t="shared" si="668"/>
        <v>7673</v>
      </c>
      <c r="CK147" s="870">
        <f t="shared" si="668"/>
        <v>12550</v>
      </c>
      <c r="CL147" s="869">
        <f t="shared" si="668"/>
        <v>8822</v>
      </c>
      <c r="CM147" s="869">
        <f t="shared" si="668"/>
        <v>7803</v>
      </c>
      <c r="CN147" s="869">
        <f t="shared" si="668"/>
        <v>7673</v>
      </c>
      <c r="CO147" s="870">
        <f t="shared" si="668"/>
        <v>12550</v>
      </c>
      <c r="CP147" s="869">
        <f>CP393</f>
        <v>7946</v>
      </c>
      <c r="CQ147" s="869">
        <f t="shared" si="668"/>
        <v>7775</v>
      </c>
      <c r="CR147" s="869">
        <f t="shared" si="668"/>
        <v>7812</v>
      </c>
      <c r="CS147" s="870">
        <f t="shared" ref="CS147:CX147" si="669">CS393</f>
        <v>12298</v>
      </c>
      <c r="CT147" s="1391">
        <f t="shared" si="669"/>
        <v>7781</v>
      </c>
      <c r="CU147" s="1391">
        <f t="shared" si="669"/>
        <v>7585</v>
      </c>
      <c r="CV147" s="1391">
        <f t="shared" si="669"/>
        <v>7992</v>
      </c>
      <c r="CW147" s="1020">
        <f t="shared" si="669"/>
        <v>12697</v>
      </c>
      <c r="CX147" s="1596">
        <f t="shared" si="669"/>
        <v>7890</v>
      </c>
      <c r="CY147" s="1596">
        <f t="shared" ref="CY147:DE147" si="670">CY393</f>
        <v>7878</v>
      </c>
      <c r="CZ147" s="1596">
        <f t="shared" si="670"/>
        <v>8090</v>
      </c>
      <c r="DA147" s="1597">
        <f t="shared" si="670"/>
        <v>12507</v>
      </c>
      <c r="DB147" s="1596">
        <f t="shared" si="670"/>
        <v>7829</v>
      </c>
      <c r="DC147" s="1596">
        <f t="shared" si="670"/>
        <v>7889</v>
      </c>
      <c r="DD147" s="1596">
        <f t="shared" si="670"/>
        <v>8192</v>
      </c>
      <c r="DE147" s="1597">
        <f t="shared" si="670"/>
        <v>12338</v>
      </c>
      <c r="DF147" s="1596">
        <f>DF393</f>
        <v>7912</v>
      </c>
      <c r="DG147" s="1596">
        <f>DG393</f>
        <v>8272</v>
      </c>
      <c r="DH147" s="1596">
        <f>DH393</f>
        <v>8491</v>
      </c>
      <c r="DI147" s="1597">
        <f>DI393</f>
        <v>13987</v>
      </c>
      <c r="DJ147" s="2735">
        <f t="shared" ref="DJ147" si="671">+DJ125+DJ128+DJ145</f>
        <v>8084.0779507967127</v>
      </c>
      <c r="DK147" s="1596">
        <f t="shared" ref="DK147:DL147" si="672">+DK125+DK128+DK145</f>
        <v>8319.6747461925697</v>
      </c>
      <c r="DL147" s="1596">
        <f t="shared" si="672"/>
        <v>8560.6618577439167</v>
      </c>
      <c r="DM147" s="1597">
        <f>+DM125+DM128+DM145</f>
        <v>13806.456532283801</v>
      </c>
      <c r="DN147" s="165"/>
      <c r="DO147" s="548"/>
      <c r="DP147" s="887">
        <f>+'Income Statement'!DP7</f>
        <v>113.134</v>
      </c>
      <c r="DQ147" s="887">
        <f>+'Income Statement'!DQ7</f>
        <v>239.49600000000001</v>
      </c>
      <c r="DR147" s="887">
        <f>+'Income Statement'!DR7</f>
        <v>439.04</v>
      </c>
      <c r="DS147" s="887">
        <f>+'Income Statement'!DS7</f>
        <v>506.67399999999998</v>
      </c>
      <c r="DT147" s="887">
        <f>+'Income Statement'!DT7</f>
        <v>512.85</v>
      </c>
      <c r="DU147" s="887">
        <f>+'Income Statement'!DU7</f>
        <v>664.82299999999998</v>
      </c>
      <c r="DV147" s="887">
        <f>+'Income Statement'!DV7</f>
        <v>929.69200000000001</v>
      </c>
      <c r="DW147" s="887">
        <f>+'Income Statement'!DW7</f>
        <v>1619.9780000000001</v>
      </c>
      <c r="DX147" s="223">
        <f>+B147+C147+D147+E147</f>
        <v>3006.5340000000001</v>
      </c>
      <c r="DY147" s="223">
        <f>+F147+G147+H147+I147</f>
        <v>5079.5540000000001</v>
      </c>
      <c r="DZ147" s="223">
        <f>+J147+K147+L147+M147</f>
        <v>7217.4210000000003</v>
      </c>
      <c r="EA147" s="223">
        <f>+N147+O147+P147+Q147</f>
        <v>7770.683</v>
      </c>
      <c r="EB147" s="223">
        <f>+R147+S147+T147+U147</f>
        <v>8358.1919999999991</v>
      </c>
      <c r="EC147" s="223">
        <f>+V147+W147+X147+Y147</f>
        <v>10064.646000000001</v>
      </c>
      <c r="ED147" s="223">
        <f>+Z147+AA147+AB147+AC147</f>
        <v>12494.022999999999</v>
      </c>
      <c r="EE147" s="223">
        <f>+AD147+AE147+AF147+AG147</f>
        <v>15326.552</v>
      </c>
      <c r="EF147" s="223">
        <f>+AH147+AI147+AJ147+AK147</f>
        <v>17212</v>
      </c>
      <c r="EG147" s="223">
        <f>+AL147+AM147+AN147+AO147</f>
        <v>19310</v>
      </c>
      <c r="EH147" s="223">
        <f>+AP147+AQ147+AR147+AS147</f>
        <v>22225</v>
      </c>
      <c r="EI147" s="223">
        <f>+AT147+AU147+AV147+AW147</f>
        <v>24616</v>
      </c>
      <c r="EJ147" s="223">
        <f>+AX147+AY147+AZ147+BA147</f>
        <v>27380</v>
      </c>
      <c r="EK147" s="223">
        <f>SUM(BB147:BE147)</f>
        <v>31031</v>
      </c>
      <c r="EL147" s="223">
        <f>SUM(BF147:BI147)</f>
        <v>33328</v>
      </c>
      <c r="EM147" s="223">
        <f>SUM(BJ147:BM147)</f>
        <v>35070</v>
      </c>
      <c r="EN147" s="223">
        <f>SUM(BN147:BQ147)</f>
        <v>37314</v>
      </c>
      <c r="EO147" s="223">
        <f>SUM(BR147:BU147)</f>
        <v>37186</v>
      </c>
      <c r="EP147" s="223">
        <f>SUM(BV147:BY147)</f>
        <v>37655</v>
      </c>
      <c r="EQ147" s="223">
        <f>SUM(BZ147:CC147)</f>
        <v>37245</v>
      </c>
      <c r="ER147" s="223">
        <f>SUM(CD147:CG147)</f>
        <v>37007</v>
      </c>
      <c r="ES147" s="223">
        <f>SUM(CH147:CK147)</f>
        <v>36848</v>
      </c>
      <c r="ET147" s="1392">
        <f>SUM(CL147:CO147)</f>
        <v>36848</v>
      </c>
      <c r="EU147" s="198">
        <f>SUM(CP147:CS147)</f>
        <v>35831</v>
      </c>
      <c r="EV147" s="198">
        <f>SUM(CT147:CW147)</f>
        <v>36055</v>
      </c>
      <c r="EW147" s="198">
        <f>SUM(CX147:DA147)</f>
        <v>36365</v>
      </c>
      <c r="EX147" s="198">
        <f>SUM(DB147:DE147)</f>
        <v>36248</v>
      </c>
      <c r="EY147" s="198">
        <f>SUM(DF147:DI147)</f>
        <v>38662</v>
      </c>
      <c r="EZ147" s="1736">
        <f>SUM(DJ147:DM147)</f>
        <v>38770.871087017003</v>
      </c>
      <c r="FA147" s="198">
        <f t="shared" ref="FA147" si="673">+FA125+FA128+FA145</f>
        <v>39162.611516171703</v>
      </c>
      <c r="FB147" s="198">
        <f t="shared" ref="FB147:FH147" si="674">+FB125+FB128</f>
        <v>39548.571247331325</v>
      </c>
      <c r="FC147" s="198">
        <f t="shared" si="674"/>
        <v>39917.56132006611</v>
      </c>
      <c r="FD147" s="198">
        <f t="shared" si="674"/>
        <v>40463.212782604562</v>
      </c>
      <c r="FE147" s="198">
        <f t="shared" si="674"/>
        <v>41030.623253519152</v>
      </c>
      <c r="FF147" s="198">
        <f t="shared" si="674"/>
        <v>41620.869646848121</v>
      </c>
      <c r="FG147" s="198">
        <f t="shared" si="674"/>
        <v>42235.082652090554</v>
      </c>
      <c r="FH147" s="198">
        <f t="shared" si="674"/>
        <v>42874.449423367441</v>
      </c>
      <c r="FI147" s="1384"/>
      <c r="FJ147"/>
      <c r="FK147"/>
      <c r="FL147"/>
      <c r="FM147"/>
      <c r="FN147"/>
      <c r="FO147"/>
      <c r="FS147" s="1392"/>
      <c r="FT147" s="1392"/>
      <c r="FU147"/>
      <c r="FV147"/>
      <c r="FW147" s="198"/>
      <c r="FX147" s="198"/>
      <c r="FY147" s="198"/>
      <c r="FZ147"/>
      <c r="GA147"/>
      <c r="GB147"/>
      <c r="GC147"/>
      <c r="GD147"/>
      <c r="GE147"/>
      <c r="GF147"/>
      <c r="GG147"/>
      <c r="GH147"/>
      <c r="GI147"/>
      <c r="GJ147"/>
      <c r="GK147"/>
      <c r="GL147"/>
      <c r="GM147"/>
      <c r="GN147"/>
      <c r="GO147"/>
      <c r="GP147"/>
      <c r="GQ147"/>
      <c r="GR147"/>
      <c r="GS147"/>
      <c r="GT147"/>
      <c r="GU147"/>
      <c r="GV147"/>
      <c r="GW147"/>
      <c r="GX147"/>
      <c r="GY147"/>
      <c r="GZ147"/>
      <c r="HA147"/>
      <c r="HB147"/>
      <c r="HC147"/>
      <c r="HD147"/>
      <c r="HE147"/>
      <c r="HF147"/>
      <c r="HG147"/>
      <c r="HH147"/>
      <c r="HI147"/>
      <c r="HJ147"/>
      <c r="HK147"/>
      <c r="HL147"/>
      <c r="HM147"/>
      <c r="HN147"/>
      <c r="HO147"/>
      <c r="HP147"/>
      <c r="HQ147"/>
      <c r="HR147"/>
      <c r="HS147"/>
      <c r="HT147"/>
      <c r="HU147"/>
      <c r="HV147"/>
      <c r="HW147"/>
      <c r="HX147"/>
      <c r="HY147"/>
      <c r="HZ147"/>
      <c r="IA147"/>
      <c r="IB147"/>
      <c r="IC147"/>
      <c r="ID147"/>
      <c r="IE147"/>
      <c r="IF147"/>
      <c r="IG147"/>
      <c r="IH147"/>
      <c r="II147"/>
      <c r="IJ147"/>
      <c r="IK147"/>
      <c r="IL147"/>
      <c r="IM147"/>
      <c r="IN147"/>
      <c r="IO147"/>
      <c r="IP147"/>
      <c r="IQ147"/>
      <c r="IR147"/>
      <c r="IS147"/>
      <c r="IT147"/>
      <c r="IU147"/>
      <c r="IV147"/>
      <c r="IW147"/>
      <c r="IX147"/>
      <c r="IY147"/>
      <c r="IZ147"/>
    </row>
    <row r="148" spans="1:260" s="4" customFormat="1" x14ac:dyDescent="0.2">
      <c r="A148" s="287" t="s">
        <v>44</v>
      </c>
      <c r="B148" s="383" t="s">
        <v>483</v>
      </c>
      <c r="C148" s="383" t="s">
        <v>483</v>
      </c>
      <c r="D148" s="383" t="s">
        <v>483</v>
      </c>
      <c r="E148" s="549" t="s">
        <v>483</v>
      </c>
      <c r="F148" s="15">
        <f t="shared" ref="F148:AK148" si="675">F147/B147-1</f>
        <v>0.92207169187113469</v>
      </c>
      <c r="G148" s="15">
        <f t="shared" si="675"/>
        <v>0.65755799495541578</v>
      </c>
      <c r="H148" s="15">
        <f t="shared" si="675"/>
        <v>0.66964882074421506</v>
      </c>
      <c r="I148" s="518">
        <f t="shared" si="675"/>
        <v>0.63189566520472118</v>
      </c>
      <c r="J148" s="15">
        <f t="shared" si="675"/>
        <v>0.50066988462444084</v>
      </c>
      <c r="K148" s="15">
        <f t="shared" si="675"/>
        <v>0.54088528159867644</v>
      </c>
      <c r="L148" s="15">
        <f t="shared" si="675"/>
        <v>0.42923064500237418</v>
      </c>
      <c r="M148" s="518">
        <f t="shared" si="675"/>
        <v>0.32276177372527792</v>
      </c>
      <c r="N148" s="15">
        <f t="shared" si="675"/>
        <v>0.28439932249077993</v>
      </c>
      <c r="O148" s="15">
        <f t="shared" si="675"/>
        <v>0.23696111929041508</v>
      </c>
      <c r="P148" s="15">
        <f t="shared" si="675"/>
        <v>4.0454014638644509E-2</v>
      </c>
      <c r="Q148" s="518">
        <f t="shared" si="675"/>
        <v>-8.853555959005488E-2</v>
      </c>
      <c r="R148" s="15">
        <f t="shared" si="675"/>
        <v>-1.8710786325788709E-2</v>
      </c>
      <c r="S148" s="15">
        <f t="shared" si="675"/>
        <v>8.1882786848377354E-3</v>
      </c>
      <c r="T148" s="15">
        <f t="shared" si="675"/>
        <v>4.9327861371657011E-2</v>
      </c>
      <c r="U148" s="518">
        <f t="shared" si="675"/>
        <v>0.21493225873096677</v>
      </c>
      <c r="V148" s="15">
        <f t="shared" si="675"/>
        <v>0.20654930967021912</v>
      </c>
      <c r="W148" s="15">
        <f t="shared" si="675"/>
        <v>0.21445524324059062</v>
      </c>
      <c r="X148" s="15">
        <f t="shared" si="675"/>
        <v>0.18331599679254218</v>
      </c>
      <c r="Y148" s="518">
        <f t="shared" si="675"/>
        <v>0.21175093685486046</v>
      </c>
      <c r="Z148" s="15">
        <f t="shared" si="675"/>
        <v>0.23062934414922132</v>
      </c>
      <c r="AA148" s="15">
        <f t="shared" si="675"/>
        <v>0.23366789636719454</v>
      </c>
      <c r="AB148" s="15">
        <f t="shared" si="675"/>
        <v>0.24669133031650969</v>
      </c>
      <c r="AC148" s="518">
        <f t="shared" si="675"/>
        <v>0.24843100320309697</v>
      </c>
      <c r="AD148" s="15">
        <f t="shared" si="675"/>
        <v>0.24242453460192293</v>
      </c>
      <c r="AE148" s="15">
        <f t="shared" si="675"/>
        <v>0.17960389185004311</v>
      </c>
      <c r="AF148" s="15">
        <f t="shared" si="675"/>
        <v>0.20105415022573991</v>
      </c>
      <c r="AG148" s="518">
        <f t="shared" si="675"/>
        <v>0.26583322034526824</v>
      </c>
      <c r="AH148" s="15">
        <f t="shared" si="675"/>
        <v>0.12493833758812412</v>
      </c>
      <c r="AI148" s="15">
        <f t="shared" si="675"/>
        <v>0.19526526022104851</v>
      </c>
      <c r="AJ148" s="15">
        <f t="shared" si="675"/>
        <v>0.1328803241088079</v>
      </c>
      <c r="AK148" s="518">
        <f t="shared" si="675"/>
        <v>7.3315190852176082E-2</v>
      </c>
      <c r="AL148" s="15">
        <f t="shared" ref="AL148:BQ148" si="676">AL147/AH147-1</f>
        <v>0.16946610677864427</v>
      </c>
      <c r="AM148" s="15">
        <f t="shared" si="676"/>
        <v>0.13252375923970439</v>
      </c>
      <c r="AN148" s="15">
        <f t="shared" si="676"/>
        <v>0.1140018921475876</v>
      </c>
      <c r="AO148" s="518">
        <f t="shared" si="676"/>
        <v>9.3654042988741137E-2</v>
      </c>
      <c r="AP148" s="15">
        <f t="shared" si="676"/>
        <v>9.7717363426519599E-2</v>
      </c>
      <c r="AQ148" s="15">
        <f t="shared" si="676"/>
        <v>0.14452214452214451</v>
      </c>
      <c r="AR148" s="15">
        <f t="shared" si="676"/>
        <v>0.15286624203821653</v>
      </c>
      <c r="AS148" s="518">
        <f t="shared" si="676"/>
        <v>0.18624239588207758</v>
      </c>
      <c r="AT148" s="15">
        <f t="shared" si="676"/>
        <v>0.16355140186915884</v>
      </c>
      <c r="AU148" s="15">
        <f t="shared" si="676"/>
        <v>0.12138492871690421</v>
      </c>
      <c r="AV148" s="15">
        <f t="shared" si="676"/>
        <v>8.9871086556169377E-2</v>
      </c>
      <c r="AW148" s="518">
        <f t="shared" si="676"/>
        <v>7.9815910585141259E-2</v>
      </c>
      <c r="AX148" s="15">
        <f t="shared" si="676"/>
        <v>0.10281124497991967</v>
      </c>
      <c r="AY148" s="15">
        <f t="shared" si="676"/>
        <v>8.9175444969124662E-2</v>
      </c>
      <c r="AZ148" s="15">
        <f t="shared" si="676"/>
        <v>9.2598850963163226E-2</v>
      </c>
      <c r="BA148" s="518">
        <f t="shared" si="676"/>
        <v>0.14771066731612281</v>
      </c>
      <c r="BB148" s="77">
        <f t="shared" si="676"/>
        <v>0.12199563000728331</v>
      </c>
      <c r="BC148" s="77">
        <f t="shared" si="676"/>
        <v>0.10405202601300645</v>
      </c>
      <c r="BD148" s="77">
        <f t="shared" si="676"/>
        <v>0.10794927312094038</v>
      </c>
      <c r="BE148" s="487">
        <f t="shared" si="676"/>
        <v>0.17602122015915111</v>
      </c>
      <c r="BF148" s="77">
        <f t="shared" si="676"/>
        <v>8.7958455047062678E-2</v>
      </c>
      <c r="BG148" s="77">
        <f t="shared" si="676"/>
        <v>9.2584201782208053E-2</v>
      </c>
      <c r="BH148" s="77">
        <f t="shared" si="676"/>
        <v>0.14544946957007254</v>
      </c>
      <c r="BI148" s="487">
        <f t="shared" si="676"/>
        <v>9.0220137134608969E-3</v>
      </c>
      <c r="BJ148" s="77">
        <f t="shared" si="676"/>
        <v>0.11172434367541761</v>
      </c>
      <c r="BK148" s="77">
        <f t="shared" si="676"/>
        <v>0.1242742604368261</v>
      </c>
      <c r="BL148" s="77">
        <f t="shared" si="676"/>
        <v>-1.2186205215696244E-3</v>
      </c>
      <c r="BM148" s="487">
        <f t="shared" si="676"/>
        <v>9.2989985693847643E-3</v>
      </c>
      <c r="BN148" s="77">
        <f t="shared" si="676"/>
        <v>9.6605393801154626E-3</v>
      </c>
      <c r="BO148" s="77">
        <f t="shared" si="676"/>
        <v>1.7336776097381046E-2</v>
      </c>
      <c r="BP148" s="77">
        <f t="shared" si="676"/>
        <v>8.9677891654465602E-2</v>
      </c>
      <c r="BQ148" s="487">
        <f t="shared" si="676"/>
        <v>0.11481218993621556</v>
      </c>
      <c r="BR148" s="77">
        <f t="shared" ref="BR148:BY148" si="677">BR147/BN147-1</f>
        <v>5.2890365448504895E-2</v>
      </c>
      <c r="BS148" s="77">
        <f t="shared" si="677"/>
        <v>1.9579405366207503E-2</v>
      </c>
      <c r="BT148" s="77">
        <f t="shared" si="677"/>
        <v>-2.4745269286754024E-2</v>
      </c>
      <c r="BU148" s="487">
        <f t="shared" si="677"/>
        <v>-3.7110616656071183E-2</v>
      </c>
      <c r="BV148" s="77">
        <f t="shared" si="677"/>
        <v>-8.0777483276536222E-3</v>
      </c>
      <c r="BW148" s="15">
        <f t="shared" si="677"/>
        <v>-1.4817449027975327E-2</v>
      </c>
      <c r="BX148" s="15">
        <f t="shared" si="677"/>
        <v>2.0091848450057403E-2</v>
      </c>
      <c r="BY148" s="518">
        <f t="shared" si="677"/>
        <v>3.9861351819757473E-2</v>
      </c>
      <c r="BZ148" s="77">
        <f>BZ147/BN147-1</f>
        <v>0.13102990033222595</v>
      </c>
      <c r="CA148" s="77">
        <f>CA147/BO147-1</f>
        <v>-1.0756586898718834E-2</v>
      </c>
      <c r="CB148" s="77">
        <f>CB147/BP147-1</f>
        <v>-0.11118575747396708</v>
      </c>
      <c r="CC148" s="487">
        <f>CC147/BQ147-1</f>
        <v>2.1455816910362913E-3</v>
      </c>
      <c r="CD148" s="77">
        <f t="shared" ref="CD148:CK148" si="678">CD147/BZ147-1</f>
        <v>-1.3981905769004821E-2</v>
      </c>
      <c r="CE148" s="15">
        <f t="shared" si="678"/>
        <v>-2.5412339645693338E-2</v>
      </c>
      <c r="CF148" s="15">
        <f t="shared" si="678"/>
        <v>1.473922902494329E-2</v>
      </c>
      <c r="CG148" s="518">
        <f t="shared" si="678"/>
        <v>-2.2202838791530732E-3</v>
      </c>
      <c r="CH148" s="77">
        <f t="shared" si="678"/>
        <v>5.1239275500476689E-2</v>
      </c>
      <c r="CI148" s="15">
        <f t="shared" si="678"/>
        <v>-2.1812711545693864E-2</v>
      </c>
      <c r="CJ148" s="15">
        <f t="shared" si="678"/>
        <v>-4.7423960273122234E-2</v>
      </c>
      <c r="CK148" s="518">
        <f t="shared" si="678"/>
        <v>-2.6225860287689695E-3</v>
      </c>
      <c r="CL148" s="77">
        <f>CL147/CD147-1</f>
        <v>5.1239275500476689E-2</v>
      </c>
      <c r="CM148" s="15">
        <f>CM147/CE147-1</f>
        <v>-2.1812711545693864E-2</v>
      </c>
      <c r="CN148" s="15">
        <f>CN147/CF147-1</f>
        <v>-4.7423960273122234E-2</v>
      </c>
      <c r="CO148" s="518">
        <f>CO147/CG147-1</f>
        <v>-2.6225860287689695E-3</v>
      </c>
      <c r="CP148" s="77">
        <f>CP147/CL147-1</f>
        <v>-9.9297211516662931E-2</v>
      </c>
      <c r="CQ148" s="77">
        <f>CQ147/CM147-1</f>
        <v>-3.5883634499551675E-3</v>
      </c>
      <c r="CR148" s="15">
        <f>CR147/CJ147-1</f>
        <v>1.8115469829271369E-2</v>
      </c>
      <c r="CS148" s="487">
        <f t="shared" ref="CS148:DA148" si="679">CS147/CO147-1</f>
        <v>-2.0079681274900452E-2</v>
      </c>
      <c r="CT148" s="77">
        <f t="shared" si="679"/>
        <v>-2.0765164862824093E-2</v>
      </c>
      <c r="CU148" s="77">
        <f t="shared" si="679"/>
        <v>-2.4437299035369731E-2</v>
      </c>
      <c r="CV148" s="77">
        <f t="shared" si="679"/>
        <v>2.3041474654377891E-2</v>
      </c>
      <c r="CW148" s="487">
        <f>CW147/CS147-1</f>
        <v>3.2444299886160266E-2</v>
      </c>
      <c r="CX148" s="77">
        <f t="shared" si="679"/>
        <v>1.400848220023132E-2</v>
      </c>
      <c r="CY148" s="77">
        <f>CY147/CU147-1</f>
        <v>3.8628872775214207E-2</v>
      </c>
      <c r="CZ148" s="77">
        <f>CZ147/CV147-1</f>
        <v>1.2262262262262347E-2</v>
      </c>
      <c r="DA148" s="487">
        <f t="shared" si="679"/>
        <v>-1.4964164763329957E-2</v>
      </c>
      <c r="DB148" s="77">
        <f t="shared" ref="DB148:DM148" si="680">DB147/CX147-1</f>
        <v>-7.7313054499366096E-3</v>
      </c>
      <c r="DC148" s="77">
        <f t="shared" si="680"/>
        <v>1.3962934755014089E-3</v>
      </c>
      <c r="DD148" s="70">
        <f t="shared" si="680"/>
        <v>1.2608158220024812E-2</v>
      </c>
      <c r="DE148" s="487">
        <f t="shared" si="680"/>
        <v>-1.351243303749905E-2</v>
      </c>
      <c r="DF148" s="70">
        <f t="shared" si="680"/>
        <v>1.0601609400945122E-2</v>
      </c>
      <c r="DG148" s="70">
        <f t="shared" si="680"/>
        <v>4.8548611991380497E-2</v>
      </c>
      <c r="DH148" s="70">
        <f t="shared" si="680"/>
        <v>3.64990234375E-2</v>
      </c>
      <c r="DI148" s="487">
        <f t="shared" si="680"/>
        <v>0.1336521316258712</v>
      </c>
      <c r="DJ148" s="1673">
        <f t="shared" si="680"/>
        <v>2.174898265883618E-2</v>
      </c>
      <c r="DK148" s="70">
        <f t="shared" si="680"/>
        <v>5.7633880793726E-3</v>
      </c>
      <c r="DL148" s="70">
        <f t="shared" si="680"/>
        <v>8.2041994751991254E-3</v>
      </c>
      <c r="DM148" s="487">
        <f t="shared" si="680"/>
        <v>-1.290794793137906E-2</v>
      </c>
      <c r="DN148" s="580"/>
      <c r="DO148" s="487"/>
      <c r="DP148" s="384" t="s">
        <v>483</v>
      </c>
      <c r="DQ148" s="161">
        <f t="shared" ref="DQ148:DW148" si="681">DQ147/DP147-1</f>
        <v>1.1169232945003271</v>
      </c>
      <c r="DR148" s="161">
        <f t="shared" si="681"/>
        <v>0.83318301767044134</v>
      </c>
      <c r="DS148" s="161">
        <f t="shared" si="681"/>
        <v>0.15404974489795897</v>
      </c>
      <c r="DT148" s="161">
        <f t="shared" si="681"/>
        <v>1.2189297260171372E-2</v>
      </c>
      <c r="DU148" s="161">
        <f t="shared" si="681"/>
        <v>0.29633031100711693</v>
      </c>
      <c r="DV148" s="161">
        <f t="shared" si="681"/>
        <v>0.39840528982902224</v>
      </c>
      <c r="DW148" s="161">
        <f t="shared" si="681"/>
        <v>0.74248891030577879</v>
      </c>
      <c r="DX148" s="383" t="s">
        <v>483</v>
      </c>
      <c r="DY148" s="15">
        <f t="shared" ref="DY148:EP148" si="682">DY147/DX147-1</f>
        <v>0.68950492494014703</v>
      </c>
      <c r="DZ148" s="15">
        <f t="shared" si="682"/>
        <v>0.42087691163436802</v>
      </c>
      <c r="EA148" s="15">
        <f t="shared" si="682"/>
        <v>7.6656467732726163E-2</v>
      </c>
      <c r="EB148" s="15">
        <f t="shared" si="682"/>
        <v>7.5605837993905967E-2</v>
      </c>
      <c r="EC148" s="15">
        <f t="shared" si="682"/>
        <v>0.20416544630704836</v>
      </c>
      <c r="ED148" s="15">
        <f t="shared" si="682"/>
        <v>0.24137729235583638</v>
      </c>
      <c r="EE148" s="15">
        <f t="shared" si="682"/>
        <v>0.22671072399978787</v>
      </c>
      <c r="EF148" s="15">
        <f t="shared" si="682"/>
        <v>0.12301840622731075</v>
      </c>
      <c r="EG148" s="15">
        <f t="shared" si="682"/>
        <v>0.12189170346270051</v>
      </c>
      <c r="EH148" s="15">
        <f t="shared" si="682"/>
        <v>0.15095805282237174</v>
      </c>
      <c r="EI148" s="15">
        <f t="shared" si="682"/>
        <v>0.10758155230596178</v>
      </c>
      <c r="EJ148" s="15">
        <f t="shared" si="682"/>
        <v>0.11228469288267795</v>
      </c>
      <c r="EK148" s="15">
        <f t="shared" si="682"/>
        <v>0.133345507669832</v>
      </c>
      <c r="EL148" s="15">
        <f t="shared" si="682"/>
        <v>7.4022751442106349E-2</v>
      </c>
      <c r="EM148" s="15">
        <f t="shared" si="682"/>
        <v>5.2268362938070023E-2</v>
      </c>
      <c r="EN148" s="15">
        <f t="shared" si="682"/>
        <v>6.3986313088109537E-2</v>
      </c>
      <c r="EO148" s="15">
        <f t="shared" si="682"/>
        <v>-3.4303478587125458E-3</v>
      </c>
      <c r="EP148" s="15">
        <f t="shared" si="682"/>
        <v>1.2612273436239496E-2</v>
      </c>
      <c r="EQ148" s="77">
        <f>EQ147/EN147-1</f>
        <v>-1.8491718925872647E-3</v>
      </c>
      <c r="ER148" s="15">
        <f>ER147/EQ147-1</f>
        <v>-6.3901194791247118E-3</v>
      </c>
      <c r="ES148" s="15">
        <f>ES147/ER147-1</f>
        <v>-4.2964844488880827E-3</v>
      </c>
      <c r="ET148" s="15">
        <f>ET147/ER147-1</f>
        <v>-4.2964844488880827E-3</v>
      </c>
      <c r="EU148" s="15">
        <f>EU147/ES147-1</f>
        <v>-2.7599869735128069E-2</v>
      </c>
      <c r="EV148" s="15">
        <f t="shared" ref="EV148:FC148" si="683">EV147/EU147-1</f>
        <v>6.2515698696659072E-3</v>
      </c>
      <c r="EW148" s="15">
        <f t="shared" si="683"/>
        <v>8.597975315490114E-3</v>
      </c>
      <c r="EX148" s="77">
        <f t="shared" si="683"/>
        <v>-3.217379348274485E-3</v>
      </c>
      <c r="EY148" s="77">
        <f>EY147/EX147-1</f>
        <v>6.6596777753255454E-2</v>
      </c>
      <c r="EZ148" s="1680">
        <f>EZ147/EY147-1</f>
        <v>2.8159714194042618E-3</v>
      </c>
      <c r="FA148" s="15">
        <f t="shared" si="683"/>
        <v>1.0103988333805658E-2</v>
      </c>
      <c r="FB148" s="15">
        <f t="shared" si="683"/>
        <v>9.8553113854586982E-3</v>
      </c>
      <c r="FC148" s="15">
        <f t="shared" si="683"/>
        <v>9.3300481179754424E-3</v>
      </c>
      <c r="FD148" s="15">
        <f>FD147/FC147-1</f>
        <v>1.3669458867071604E-2</v>
      </c>
      <c r="FE148" s="15">
        <f>FE147/FD147-1</f>
        <v>1.4022872428917088E-2</v>
      </c>
      <c r="FF148" s="15">
        <f>FF147/FE147-1</f>
        <v>1.4385508835241589E-2</v>
      </c>
      <c r="FG148" s="15">
        <f>FG147/FF147-1</f>
        <v>1.4757332330006756E-2</v>
      </c>
      <c r="FH148" s="15">
        <f>FH147/FG147-1</f>
        <v>1.5138286257035283E-2</v>
      </c>
      <c r="FI148" s="580"/>
      <c r="FJ148"/>
      <c r="FK148"/>
      <c r="FL148"/>
      <c r="FM148"/>
      <c r="FN148"/>
      <c r="FO148"/>
      <c r="FP148" s="3"/>
      <c r="FS148" s="70"/>
      <c r="FT148" s="70"/>
      <c r="FU148"/>
      <c r="FV148"/>
      <c r="FW148" s="70"/>
      <c r="FX148" s="70"/>
      <c r="FY148" s="70"/>
      <c r="FZ148"/>
      <c r="GA148"/>
      <c r="GB148"/>
      <c r="GC148"/>
      <c r="GD148"/>
      <c r="GE148"/>
      <c r="GF148"/>
      <c r="GG148"/>
      <c r="GH148"/>
      <c r="GI148"/>
      <c r="GJ148"/>
      <c r="GK148"/>
      <c r="GL148"/>
      <c r="GM148"/>
      <c r="GN148"/>
      <c r="GO148"/>
      <c r="GP148"/>
      <c r="GQ148"/>
      <c r="GR148"/>
      <c r="GS148"/>
      <c r="GT148"/>
      <c r="GU148"/>
      <c r="GV148"/>
      <c r="GW148"/>
      <c r="GX148"/>
      <c r="GY148"/>
      <c r="GZ148"/>
      <c r="HA148"/>
      <c r="HB148"/>
      <c r="HC148"/>
      <c r="HD148"/>
      <c r="HE148"/>
      <c r="HF148"/>
      <c r="HG148"/>
      <c r="HH148"/>
      <c r="HI148"/>
      <c r="HJ148"/>
      <c r="HK148"/>
      <c r="HL148"/>
      <c r="HM148"/>
      <c r="HN148"/>
      <c r="HO148"/>
      <c r="HP148"/>
      <c r="HQ148"/>
      <c r="HR148"/>
      <c r="HS148"/>
      <c r="HT148"/>
      <c r="HU148"/>
      <c r="HV148"/>
      <c r="HW148"/>
      <c r="HX148"/>
      <c r="HY148"/>
      <c r="HZ148"/>
      <c r="IA148"/>
      <c r="IB148"/>
      <c r="IC148"/>
      <c r="ID148"/>
      <c r="IE148"/>
      <c r="IF148"/>
      <c r="IG148"/>
      <c r="IH148"/>
      <c r="II148"/>
      <c r="IJ148"/>
      <c r="IK148"/>
      <c r="IL148"/>
      <c r="IM148"/>
      <c r="IN148"/>
      <c r="IO148"/>
      <c r="IP148"/>
      <c r="IQ148"/>
      <c r="IR148"/>
      <c r="IS148"/>
      <c r="IT148"/>
      <c r="IU148"/>
      <c r="IV148"/>
      <c r="IW148"/>
      <c r="IX148"/>
      <c r="IY148"/>
      <c r="IZ148"/>
    </row>
    <row r="149" spans="1:260" s="4" customFormat="1" x14ac:dyDescent="0.2">
      <c r="A149" s="287"/>
      <c r="B149" s="383"/>
      <c r="C149" s="383"/>
      <c r="D149" s="383"/>
      <c r="E149" s="549"/>
      <c r="F149" s="15"/>
      <c r="G149" s="15"/>
      <c r="H149" s="15"/>
      <c r="I149" s="518"/>
      <c r="J149" s="15"/>
      <c r="K149" s="15"/>
      <c r="L149" s="15"/>
      <c r="M149" s="518"/>
      <c r="N149" s="15"/>
      <c r="O149" s="15"/>
      <c r="P149" s="15"/>
      <c r="Q149" s="518"/>
      <c r="R149" s="15"/>
      <c r="S149" s="15"/>
      <c r="T149" s="15"/>
      <c r="U149" s="518"/>
      <c r="V149" s="15"/>
      <c r="W149" s="15"/>
      <c r="X149" s="15"/>
      <c r="Y149" s="518"/>
      <c r="Z149" s="15"/>
      <c r="AA149" s="15"/>
      <c r="AB149" s="15"/>
      <c r="AC149" s="518"/>
      <c r="AD149" s="15"/>
      <c r="AE149" s="15"/>
      <c r="AF149" s="15"/>
      <c r="AG149" s="518"/>
      <c r="AH149" s="15"/>
      <c r="AI149" s="15"/>
      <c r="AJ149" s="15"/>
      <c r="AK149" s="518"/>
      <c r="AL149" s="15"/>
      <c r="AM149" s="15"/>
      <c r="AN149" s="15"/>
      <c r="AO149" s="518"/>
      <c r="AP149" s="15"/>
      <c r="AQ149" s="15"/>
      <c r="AR149" s="15"/>
      <c r="AS149" s="518"/>
      <c r="AT149" s="15"/>
      <c r="AU149" s="15"/>
      <c r="AV149" s="15"/>
      <c r="AW149" s="518"/>
      <c r="AX149" s="15"/>
      <c r="AY149" s="15"/>
      <c r="AZ149" s="15"/>
      <c r="BA149" s="518"/>
      <c r="BB149" s="77"/>
      <c r="BC149" s="77"/>
      <c r="BD149" s="77"/>
      <c r="BE149" s="487"/>
      <c r="BF149" s="77"/>
      <c r="BG149" s="77"/>
      <c r="BH149" s="77"/>
      <c r="BI149" s="487"/>
      <c r="BJ149" s="77"/>
      <c r="BK149" s="77"/>
      <c r="BL149" s="77"/>
      <c r="BM149" s="487"/>
      <c r="BN149" s="77"/>
      <c r="BO149" s="77"/>
      <c r="BP149" s="77"/>
      <c r="BQ149" s="487"/>
      <c r="BR149" s="77"/>
      <c r="BS149" s="77"/>
      <c r="BT149" s="77"/>
      <c r="BU149" s="487"/>
      <c r="BV149" s="77"/>
      <c r="BW149" s="15"/>
      <c r="BX149" s="15"/>
      <c r="BY149" s="518"/>
      <c r="BZ149" s="77"/>
      <c r="CA149" s="77"/>
      <c r="CB149" s="77"/>
      <c r="CC149" s="487"/>
      <c r="CD149" s="77"/>
      <c r="CE149" s="15"/>
      <c r="CF149" s="15"/>
      <c r="CG149" s="518"/>
      <c r="CH149" s="77"/>
      <c r="CI149" s="15"/>
      <c r="CJ149" s="15"/>
      <c r="CK149" s="518"/>
      <c r="CL149" s="77"/>
      <c r="CM149" s="15"/>
      <c r="CN149" s="15"/>
      <c r="CO149" s="518"/>
      <c r="CP149" s="77"/>
      <c r="CQ149" s="77"/>
      <c r="CR149" s="15"/>
      <c r="CS149" s="487"/>
      <c r="CT149" s="77"/>
      <c r="CU149" s="77"/>
      <c r="CV149" s="77"/>
      <c r="CW149" s="487"/>
      <c r="CX149" s="77"/>
      <c r="CY149" s="77"/>
      <c r="CZ149" s="77"/>
      <c r="DA149" s="487"/>
      <c r="DB149" s="77"/>
      <c r="DC149" s="77"/>
      <c r="DD149" s="70"/>
      <c r="DE149" s="487"/>
      <c r="DF149" s="70"/>
      <c r="DG149" s="70"/>
      <c r="DH149" s="70"/>
      <c r="DI149" s="487"/>
      <c r="DJ149" s="1673"/>
      <c r="DK149" s="70"/>
      <c r="DL149" s="70"/>
      <c r="DM149" s="487"/>
      <c r="DN149" s="580"/>
      <c r="DO149" s="487"/>
      <c r="DP149" s="384"/>
      <c r="DQ149" s="161"/>
      <c r="DR149" s="161"/>
      <c r="DS149" s="161"/>
      <c r="DT149" s="161"/>
      <c r="DU149" s="161"/>
      <c r="DV149" s="161"/>
      <c r="DW149" s="161"/>
      <c r="DX149" s="383"/>
      <c r="DY149" s="15"/>
      <c r="DZ149" s="15"/>
      <c r="EA149" s="15"/>
      <c r="EB149" s="15"/>
      <c r="EC149" s="15"/>
      <c r="ED149" s="15"/>
      <c r="EE149" s="15"/>
      <c r="EF149" s="15"/>
      <c r="EG149" s="15"/>
      <c r="EH149" s="15"/>
      <c r="EI149" s="15"/>
      <c r="EJ149" s="15"/>
      <c r="EK149" s="15"/>
      <c r="EL149" s="15"/>
      <c r="EM149" s="15"/>
      <c r="EN149" s="15"/>
      <c r="EO149" s="15"/>
      <c r="EP149" s="15"/>
      <c r="EQ149" s="77"/>
      <c r="ER149" s="15"/>
      <c r="ES149" s="15"/>
      <c r="ET149" s="15"/>
      <c r="EU149" s="15"/>
      <c r="EV149" s="15"/>
      <c r="EW149" s="15"/>
      <c r="EX149" s="77"/>
      <c r="EY149" s="77"/>
      <c r="EZ149" s="1680"/>
      <c r="FA149" s="15"/>
      <c r="FB149" s="15"/>
      <c r="FC149" s="15"/>
      <c r="FD149" s="15"/>
      <c r="FE149" s="15"/>
      <c r="FF149" s="15"/>
      <c r="FG149" s="15"/>
      <c r="FH149" s="15"/>
      <c r="FI149" s="580"/>
      <c r="FJ149"/>
      <c r="FK149"/>
      <c r="FL149"/>
      <c r="FM149"/>
      <c r="FN149"/>
      <c r="FO149"/>
      <c r="FP149" s="3"/>
      <c r="FS149" s="70"/>
      <c r="FT149" s="70"/>
      <c r="FU149"/>
      <c r="FV149"/>
      <c r="FW149" s="70"/>
      <c r="FX149" s="70"/>
      <c r="FY149" s="70"/>
      <c r="FZ149"/>
      <c r="GA149"/>
      <c r="GB149"/>
      <c r="GC149"/>
      <c r="GD149"/>
      <c r="GE149"/>
      <c r="GF149"/>
      <c r="GG149"/>
      <c r="GH149"/>
      <c r="GI149"/>
      <c r="GJ149"/>
      <c r="GK149"/>
      <c r="GL149"/>
      <c r="GM149"/>
      <c r="GN149"/>
      <c r="GO149"/>
      <c r="GP149"/>
      <c r="GQ149"/>
      <c r="GR149"/>
      <c r="GS149"/>
      <c r="GT149"/>
      <c r="GU149"/>
      <c r="GV149"/>
      <c r="GW149"/>
      <c r="GX149"/>
      <c r="GY149"/>
      <c r="GZ149"/>
      <c r="HA149"/>
      <c r="HB149"/>
      <c r="HC149"/>
      <c r="HD149"/>
      <c r="HE149"/>
      <c r="HF149"/>
      <c r="HG149"/>
      <c r="HH149"/>
      <c r="HI149"/>
      <c r="HJ149"/>
      <c r="HK149"/>
      <c r="HL149"/>
      <c r="HM149"/>
      <c r="HN149"/>
      <c r="HO149"/>
      <c r="HP149"/>
      <c r="HQ149"/>
      <c r="HR149"/>
      <c r="HS149"/>
      <c r="HT149"/>
      <c r="HU149"/>
      <c r="HV149"/>
      <c r="HW149"/>
      <c r="HX149"/>
      <c r="HY149"/>
      <c r="HZ149"/>
      <c r="IA149"/>
      <c r="IB149"/>
      <c r="IC149"/>
      <c r="ID149"/>
      <c r="IE149"/>
      <c r="IF149"/>
      <c r="IG149"/>
      <c r="IH149"/>
      <c r="II149"/>
      <c r="IJ149"/>
      <c r="IK149"/>
      <c r="IL149"/>
      <c r="IM149"/>
      <c r="IN149"/>
      <c r="IO149"/>
      <c r="IP149"/>
      <c r="IQ149"/>
      <c r="IR149"/>
      <c r="IS149"/>
      <c r="IT149"/>
      <c r="IU149"/>
      <c r="IV149"/>
      <c r="IW149"/>
      <c r="IX149"/>
      <c r="IY149"/>
      <c r="IZ149"/>
    </row>
    <row r="150" spans="1:260" s="6" customFormat="1" hidden="1" outlineLevel="1" x14ac:dyDescent="0.2">
      <c r="A150" s="1591" t="s">
        <v>576</v>
      </c>
      <c r="B150" s="1591"/>
      <c r="C150" s="1591"/>
      <c r="D150" s="1591"/>
      <c r="E150" s="1591"/>
      <c r="F150" s="1591"/>
      <c r="G150" s="1591"/>
      <c r="H150" s="1591"/>
      <c r="I150" s="1591"/>
      <c r="J150" s="1591"/>
      <c r="K150" s="1591"/>
      <c r="L150" s="1591"/>
      <c r="M150" s="1591"/>
      <c r="N150" s="1591"/>
      <c r="O150" s="1591"/>
      <c r="P150" s="1591"/>
      <c r="Q150" s="1591"/>
      <c r="R150" s="1591"/>
      <c r="S150" s="1591"/>
      <c r="T150" s="1591"/>
      <c r="U150" s="1591"/>
      <c r="V150" s="1591"/>
      <c r="W150" s="1591"/>
      <c r="X150" s="1591"/>
      <c r="Y150" s="1591"/>
      <c r="Z150" s="1591"/>
      <c r="AA150" s="1591"/>
      <c r="AB150" s="1591"/>
      <c r="AC150" s="1591"/>
      <c r="AD150" s="1591"/>
      <c r="AE150" s="1591"/>
      <c r="AF150" s="1591"/>
      <c r="AG150" s="1591"/>
      <c r="AH150" s="1591"/>
      <c r="AI150" s="1591"/>
      <c r="AJ150" s="1591"/>
      <c r="AK150" s="1591"/>
      <c r="AL150" s="1591"/>
      <c r="AM150" s="1591"/>
      <c r="AN150" s="1591"/>
      <c r="AO150" s="1591"/>
      <c r="AP150" s="1591"/>
      <c r="AQ150" s="1591"/>
      <c r="AR150" s="1591"/>
      <c r="AS150" s="1591"/>
      <c r="AT150" s="1591"/>
      <c r="AU150" s="1591"/>
      <c r="AV150" s="1591"/>
      <c r="AW150" s="1591"/>
      <c r="AX150" s="1591"/>
      <c r="AY150" s="1591"/>
      <c r="AZ150" s="1591"/>
      <c r="BA150" s="1591"/>
      <c r="BB150" s="1591"/>
      <c r="BC150" s="1591"/>
      <c r="BD150" s="1591"/>
      <c r="BE150" s="1591"/>
      <c r="BF150" s="1591"/>
      <c r="BG150" s="1591"/>
      <c r="BH150" s="1591"/>
      <c r="BI150" s="1591"/>
      <c r="BJ150" s="1591"/>
      <c r="BK150" s="1591"/>
      <c r="BL150" s="1591"/>
      <c r="BM150" s="1591"/>
      <c r="BN150" s="1591"/>
      <c r="BO150" s="1591"/>
      <c r="BP150" s="1591"/>
      <c r="BQ150" s="1591"/>
      <c r="BR150" s="1591"/>
      <c r="BS150" s="1591"/>
      <c r="BT150" s="1591"/>
      <c r="BU150" s="1591"/>
      <c r="BV150" s="1591"/>
      <c r="BW150" s="1591"/>
      <c r="BX150" s="1591"/>
      <c r="BY150" s="1591"/>
      <c r="BZ150" s="1591"/>
      <c r="CA150" s="1591"/>
      <c r="CB150" s="1591"/>
      <c r="CC150" s="1591"/>
      <c r="CD150" s="1591"/>
      <c r="CE150" s="1591"/>
      <c r="CF150" s="1591"/>
      <c r="CG150" s="1591"/>
      <c r="CH150" s="1591"/>
      <c r="CI150" s="1591"/>
      <c r="CJ150" s="1591"/>
      <c r="CK150" s="1591"/>
      <c r="CL150" s="1591"/>
      <c r="CM150" s="1591"/>
      <c r="CN150" s="1591"/>
      <c r="CO150" s="1591"/>
      <c r="CP150" s="1591"/>
      <c r="CQ150" s="1591"/>
      <c r="CR150" s="1591"/>
      <c r="CS150" s="1591"/>
      <c r="CT150" s="1591"/>
      <c r="CU150" s="1591"/>
      <c r="CV150" s="1591"/>
      <c r="CW150" s="1591"/>
      <c r="CX150" s="1591"/>
      <c r="CY150" s="1591"/>
      <c r="CZ150" s="1591"/>
      <c r="DA150" s="1591"/>
      <c r="DB150" s="1591"/>
      <c r="DC150" s="1591"/>
      <c r="DD150" s="1591"/>
      <c r="DE150" s="1591"/>
      <c r="DF150" s="1591"/>
      <c r="DG150" s="1591"/>
      <c r="DH150" s="1591"/>
      <c r="DI150" s="1591"/>
      <c r="DJ150" s="1591"/>
      <c r="DK150" s="1591"/>
      <c r="DL150" s="1591"/>
      <c r="DM150" s="1592"/>
      <c r="DN150" s="587"/>
      <c r="DO150" s="484"/>
      <c r="DP150" s="435"/>
      <c r="DQ150" s="435"/>
      <c r="DR150" s="435"/>
      <c r="DS150" s="435"/>
      <c r="DT150" s="435"/>
      <c r="DU150" s="435"/>
      <c r="DV150" s="435"/>
      <c r="DW150" s="435"/>
      <c r="DX150" s="435"/>
      <c r="DY150" s="435"/>
      <c r="DZ150" s="435"/>
      <c r="EA150" s="435"/>
      <c r="EB150" s="435"/>
      <c r="EC150" s="435"/>
      <c r="ED150" s="435"/>
      <c r="EE150" s="435"/>
      <c r="EF150" s="435"/>
      <c r="EG150" s="435"/>
      <c r="EH150" s="435"/>
      <c r="EI150" s="435"/>
      <c r="EJ150" s="435"/>
      <c r="EK150" s="435"/>
      <c r="EL150" s="435"/>
      <c r="EM150" s="435"/>
      <c r="EN150" s="435"/>
      <c r="EO150" s="435"/>
      <c r="EP150" s="435"/>
      <c r="EQ150" s="435"/>
      <c r="ER150" s="435"/>
      <c r="ES150" s="435"/>
      <c r="ET150" s="435"/>
      <c r="EU150" s="1593"/>
      <c r="EV150" s="1593"/>
      <c r="EW150" s="1593"/>
      <c r="EX150" s="1593"/>
      <c r="EY150" s="1593"/>
      <c r="EZ150" s="1593"/>
      <c r="FA150" s="1593"/>
      <c r="FB150" s="1593"/>
      <c r="FC150" s="1593"/>
      <c r="FD150" s="1593"/>
      <c r="FE150" s="1593"/>
      <c r="FF150" s="1593"/>
      <c r="FG150" s="1593"/>
      <c r="FH150" s="1594"/>
      <c r="FI150" s="587"/>
      <c r="FJ150"/>
      <c r="FK150"/>
      <c r="FL150"/>
      <c r="FM150"/>
      <c r="FN150"/>
      <c r="FO150"/>
      <c r="FP150" s="7"/>
      <c r="FS150" s="335"/>
      <c r="FT150" s="335"/>
      <c r="FU150"/>
      <c r="FV150"/>
      <c r="FW150" s="134"/>
      <c r="FX150" s="134"/>
      <c r="FY150" s="134"/>
      <c r="FZ150"/>
      <c r="GA150"/>
      <c r="GB150"/>
      <c r="GC150"/>
      <c r="GD150"/>
      <c r="GE150"/>
      <c r="GF150"/>
      <c r="GG150"/>
      <c r="GH150"/>
      <c r="GI150"/>
      <c r="GJ150"/>
      <c r="GK150"/>
      <c r="GL150"/>
      <c r="GM150"/>
      <c r="GN150"/>
      <c r="GO150"/>
      <c r="GP150"/>
      <c r="GQ150"/>
      <c r="GR150"/>
      <c r="GS150"/>
      <c r="GT150"/>
      <c r="GU150"/>
      <c r="GV150"/>
      <c r="GW150"/>
      <c r="GX150"/>
      <c r="GY150"/>
      <c r="GZ150"/>
      <c r="HA150"/>
      <c r="HB150"/>
      <c r="HC150"/>
      <c r="HD150"/>
      <c r="HE150"/>
      <c r="HF150"/>
      <c r="HG150"/>
      <c r="HH150"/>
      <c r="HI150"/>
      <c r="HJ150"/>
      <c r="HK150"/>
      <c r="HL150"/>
      <c r="HM150"/>
      <c r="HN150"/>
      <c r="HO150"/>
      <c r="HP150"/>
      <c r="HQ150"/>
      <c r="HR150"/>
      <c r="HS150"/>
      <c r="HT150"/>
      <c r="HU150"/>
      <c r="HV150"/>
      <c r="HW150"/>
      <c r="HX150"/>
      <c r="HY150"/>
      <c r="HZ150"/>
      <c r="IA150"/>
      <c r="IB150"/>
      <c r="IC150"/>
      <c r="ID150"/>
      <c r="IE150"/>
      <c r="IF150"/>
      <c r="IG150"/>
      <c r="IH150"/>
      <c r="II150"/>
      <c r="IJ150"/>
      <c r="IK150"/>
      <c r="IL150"/>
      <c r="IM150"/>
      <c r="IN150"/>
      <c r="IO150"/>
      <c r="IP150"/>
      <c r="IQ150"/>
      <c r="IR150"/>
      <c r="IS150"/>
      <c r="IT150"/>
      <c r="IU150"/>
      <c r="IV150"/>
      <c r="IW150"/>
      <c r="IX150"/>
      <c r="IY150"/>
      <c r="IZ150"/>
    </row>
    <row r="151" spans="1:260" s="4" customFormat="1" hidden="1" outlineLevel="1" x14ac:dyDescent="0.2">
      <c r="A151" s="79"/>
      <c r="E151" s="470"/>
      <c r="I151" s="470"/>
      <c r="M151" s="470"/>
      <c r="Q151" s="470"/>
      <c r="U151" s="470"/>
      <c r="Y151" s="470"/>
      <c r="AC151" s="470"/>
      <c r="AG151" s="470"/>
      <c r="AK151" s="470"/>
      <c r="AO151" s="470"/>
      <c r="AS151" s="470"/>
      <c r="AW151" s="470"/>
      <c r="BA151" s="470"/>
      <c r="BE151" s="470"/>
      <c r="BI151" s="470"/>
      <c r="BM151" s="470"/>
      <c r="BQ151" s="470"/>
      <c r="BU151" s="470"/>
      <c r="BY151" s="470"/>
      <c r="CC151" s="470"/>
      <c r="CG151" s="470"/>
      <c r="CK151" s="470"/>
      <c r="CO151" s="470"/>
      <c r="CP151" s="6"/>
      <c r="CQ151" s="6"/>
      <c r="CR151" s="6"/>
      <c r="CS151" s="484"/>
      <c r="CT151" s="6"/>
      <c r="CU151" s="6"/>
      <c r="CV151" s="6"/>
      <c r="CW151" s="484"/>
      <c r="CX151" s="6"/>
      <c r="CY151" s="6"/>
      <c r="CZ151" s="6"/>
      <c r="DA151" s="484"/>
      <c r="DB151" s="6"/>
      <c r="DC151" s="6"/>
      <c r="DD151" s="7"/>
      <c r="DE151" s="1290"/>
      <c r="DF151" s="7"/>
      <c r="DG151" s="7"/>
      <c r="DH151" s="7"/>
      <c r="DI151" s="1290"/>
      <c r="DJ151" s="1671"/>
      <c r="DK151" s="7"/>
      <c r="DL151" s="7"/>
      <c r="DM151" s="484"/>
      <c r="DN151" s="671"/>
      <c r="DO151" s="484"/>
      <c r="EX151" s="6"/>
      <c r="EY151" s="6"/>
      <c r="EZ151" s="1734"/>
      <c r="FI151" s="671"/>
      <c r="FJ151"/>
      <c r="FK151"/>
      <c r="FL151"/>
      <c r="FM151"/>
      <c r="FN151"/>
      <c r="FO151"/>
      <c r="FP151" s="3"/>
      <c r="FS151" s="7"/>
      <c r="FT151" s="7"/>
      <c r="FU151"/>
      <c r="FV151"/>
      <c r="FW151" s="7"/>
      <c r="FX151" s="7"/>
      <c r="FY151" s="7"/>
      <c r="FZ151"/>
      <c r="GA151"/>
      <c r="GB151"/>
      <c r="GC151"/>
      <c r="GD151"/>
      <c r="GE151"/>
      <c r="GF151"/>
      <c r="GG151"/>
      <c r="GH151"/>
      <c r="GI151"/>
      <c r="GJ151"/>
      <c r="GK151"/>
      <c r="GL151"/>
      <c r="GM151"/>
      <c r="GN151"/>
      <c r="GO151"/>
      <c r="GP151"/>
      <c r="GQ151"/>
      <c r="GR151"/>
      <c r="GS151"/>
      <c r="GT151"/>
      <c r="GU151"/>
      <c r="GV151"/>
      <c r="GW151"/>
      <c r="GX151"/>
      <c r="GY151"/>
      <c r="GZ151"/>
      <c r="HA151"/>
      <c r="HB151"/>
      <c r="HC151"/>
      <c r="HD151"/>
      <c r="HE151"/>
      <c r="HF151"/>
      <c r="HG151"/>
      <c r="HH151"/>
      <c r="HI151"/>
      <c r="HJ151"/>
      <c r="HK151"/>
      <c r="HL151"/>
      <c r="HM151"/>
      <c r="HN151"/>
      <c r="HO151"/>
      <c r="HP151"/>
      <c r="HQ151"/>
      <c r="HR151"/>
      <c r="HS151"/>
      <c r="HT151"/>
      <c r="HU151"/>
      <c r="HV151"/>
      <c r="HW151"/>
      <c r="HX151"/>
      <c r="HY151"/>
      <c r="HZ151"/>
      <c r="IA151"/>
      <c r="IB151"/>
      <c r="IC151"/>
      <c r="ID151"/>
      <c r="IE151"/>
      <c r="IF151"/>
      <c r="IG151"/>
      <c r="IH151"/>
      <c r="II151"/>
      <c r="IJ151"/>
      <c r="IK151"/>
      <c r="IL151"/>
      <c r="IM151"/>
      <c r="IN151"/>
      <c r="IO151"/>
      <c r="IP151"/>
      <c r="IQ151"/>
      <c r="IR151"/>
      <c r="IS151"/>
      <c r="IT151"/>
      <c r="IU151"/>
      <c r="IV151"/>
      <c r="IW151"/>
      <c r="IX151"/>
      <c r="IY151"/>
      <c r="IZ151"/>
    </row>
    <row r="152" spans="1:260" s="4" customFormat="1" hidden="1" outlineLevel="1" x14ac:dyDescent="0.2">
      <c r="A152" s="19" t="s">
        <v>86</v>
      </c>
      <c r="E152" s="470"/>
      <c r="I152" s="470"/>
      <c r="M152" s="470"/>
      <c r="Q152" s="470"/>
      <c r="U152" s="470"/>
      <c r="Y152" s="470"/>
      <c r="AC152" s="470"/>
      <c r="AG152" s="470"/>
      <c r="AK152" s="470"/>
      <c r="AO152" s="470"/>
      <c r="AS152" s="470"/>
      <c r="AW152" s="470"/>
      <c r="BA152" s="470"/>
      <c r="BB152" s="6"/>
      <c r="BC152" s="6"/>
      <c r="BE152" s="484"/>
      <c r="BF152" s="873">
        <f t="shared" ref="BF152:CR152" si="684">BF181*BF$176</f>
        <v>2681.6000000000004</v>
      </c>
      <c r="BG152" s="873">
        <f t="shared" si="684"/>
        <v>2821.26</v>
      </c>
      <c r="BH152" s="873">
        <f t="shared" si="684"/>
        <v>3446.52</v>
      </c>
      <c r="BI152" s="874">
        <f t="shared" si="684"/>
        <v>4697.28</v>
      </c>
      <c r="BJ152" s="873">
        <f t="shared" si="684"/>
        <v>2906.67</v>
      </c>
      <c r="BK152" s="873">
        <f t="shared" si="684"/>
        <v>3090.54</v>
      </c>
      <c r="BL152" s="873">
        <f t="shared" si="684"/>
        <v>3196.44</v>
      </c>
      <c r="BM152" s="874">
        <f t="shared" si="684"/>
        <v>4515.2</v>
      </c>
      <c r="BN152" s="873">
        <f t="shared" si="684"/>
        <v>2784.25</v>
      </c>
      <c r="BO152" s="873">
        <f t="shared" si="684"/>
        <v>3144.12</v>
      </c>
      <c r="BP152" s="873">
        <f t="shared" si="684"/>
        <v>3483.09</v>
      </c>
      <c r="BQ152" s="874">
        <f t="shared" si="684"/>
        <v>4907.76</v>
      </c>
      <c r="BR152" s="873">
        <f t="shared" si="684"/>
        <v>2931.5099999999998</v>
      </c>
      <c r="BS152" s="873">
        <f t="shared" si="684"/>
        <v>3036.96</v>
      </c>
      <c r="BT152" s="873">
        <f t="shared" si="684"/>
        <v>3135.6</v>
      </c>
      <c r="BU152" s="874">
        <f t="shared" si="684"/>
        <v>4725.63</v>
      </c>
      <c r="BV152" s="873">
        <f t="shared" si="684"/>
        <v>2750.6499999999996</v>
      </c>
      <c r="BW152" s="873">
        <f t="shared" si="684"/>
        <v>2908.85</v>
      </c>
      <c r="BX152" s="873">
        <f t="shared" si="684"/>
        <v>3109.75</v>
      </c>
      <c r="BY152" s="874">
        <f t="shared" si="684"/>
        <v>4788</v>
      </c>
      <c r="BZ152" s="873">
        <f t="shared" si="684"/>
        <v>2978.85</v>
      </c>
      <c r="CA152" s="873">
        <f t="shared" si="684"/>
        <v>3110.3</v>
      </c>
      <c r="CB152" s="873">
        <f t="shared" si="684"/>
        <v>2778.2999999999997</v>
      </c>
      <c r="CC152" s="874">
        <f t="shared" si="684"/>
        <v>4918.29</v>
      </c>
      <c r="CD152" s="873">
        <f t="shared" si="684"/>
        <v>2937.2</v>
      </c>
      <c r="CE152" s="873">
        <f t="shared" si="684"/>
        <v>2871.72</v>
      </c>
      <c r="CF152" s="873">
        <f t="shared" si="684"/>
        <v>2658.15</v>
      </c>
      <c r="CG152" s="874">
        <f t="shared" si="684"/>
        <v>4781.54</v>
      </c>
      <c r="CH152" s="873">
        <f t="shared" si="684"/>
        <v>3175.92</v>
      </c>
      <c r="CI152" s="873">
        <f t="shared" si="684"/>
        <v>2574.9900000000002</v>
      </c>
      <c r="CJ152" s="873">
        <f t="shared" si="684"/>
        <v>2378.63</v>
      </c>
      <c r="CK152" s="874">
        <f t="shared" si="684"/>
        <v>4392.5</v>
      </c>
      <c r="CL152" s="873">
        <f t="shared" si="684"/>
        <v>2999.48</v>
      </c>
      <c r="CM152" s="873">
        <f t="shared" si="684"/>
        <v>2574.9900000000002</v>
      </c>
      <c r="CN152" s="873">
        <f t="shared" si="684"/>
        <v>2378.63</v>
      </c>
      <c r="CO152" s="874">
        <f t="shared" si="684"/>
        <v>4392.5</v>
      </c>
      <c r="CP152" s="873">
        <f t="shared" si="684"/>
        <v>2383.7999999999997</v>
      </c>
      <c r="CQ152" s="873">
        <f t="shared" si="684"/>
        <v>2332.5</v>
      </c>
      <c r="CR152" s="873">
        <f t="shared" si="684"/>
        <v>2265.48</v>
      </c>
      <c r="CS152" s="874">
        <f t="shared" ref="CS152:CZ152" si="685">CS181*CS$176</f>
        <v>3935.36</v>
      </c>
      <c r="CT152" s="873">
        <f t="shared" si="685"/>
        <v>2256.4899999999998</v>
      </c>
      <c r="CU152" s="873">
        <f t="shared" si="685"/>
        <v>2351.35</v>
      </c>
      <c r="CV152" s="873">
        <f t="shared" si="685"/>
        <v>2317.6799999999998</v>
      </c>
      <c r="CW152" s="874">
        <f t="shared" si="685"/>
        <v>4190.01</v>
      </c>
      <c r="CX152" s="873">
        <f t="shared" si="685"/>
        <v>2445.9</v>
      </c>
      <c r="CY152" s="873">
        <f t="shared" si="685"/>
        <v>2520.96</v>
      </c>
      <c r="CZ152" s="873">
        <f t="shared" si="685"/>
        <v>2427</v>
      </c>
      <c r="DA152" s="874">
        <f t="shared" ref="DA152:DI152" si="686">DA181*DA$176</f>
        <v>4377.45</v>
      </c>
      <c r="DB152" s="873">
        <f t="shared" si="686"/>
        <v>2583.5700000000002</v>
      </c>
      <c r="DC152" s="873">
        <f t="shared" si="686"/>
        <v>2603.3700000000003</v>
      </c>
      <c r="DD152" s="947">
        <f t="shared" si="686"/>
        <v>2539.52</v>
      </c>
      <c r="DE152" s="874">
        <f t="shared" si="686"/>
        <v>4565.0599999999995</v>
      </c>
      <c r="DF152" s="947">
        <f t="shared" si="686"/>
        <v>2610.96</v>
      </c>
      <c r="DG152" s="947">
        <f t="shared" ref="DG152" si="687">DG181*DG$176</f>
        <v>2647.04</v>
      </c>
      <c r="DH152" s="947">
        <f>DH181*DH$176</f>
        <v>2632.21</v>
      </c>
      <c r="DI152" s="874">
        <f t="shared" si="686"/>
        <v>5035.32</v>
      </c>
      <c r="DJ152" s="1669">
        <f>DJ181*DJ$176</f>
        <v>3071.949621302751</v>
      </c>
      <c r="DK152" s="947">
        <f>DK181*DK$176</f>
        <v>3161.4764035531766</v>
      </c>
      <c r="DL152" s="947">
        <f>DL181*DL$176</f>
        <v>3253.0515059426884</v>
      </c>
      <c r="DM152" s="874">
        <f t="shared" ref="DM152" si="688">DM181*DM$176</f>
        <v>5246.4534822678443</v>
      </c>
      <c r="DN152" s="588"/>
      <c r="DO152" s="1284"/>
      <c r="EJ152" s="19"/>
      <c r="EK152" s="88"/>
      <c r="EL152" s="789">
        <f>SUM(BF152:BI152)</f>
        <v>13646.66</v>
      </c>
      <c r="EM152" s="789">
        <f>SUM(BJ152:BM152)</f>
        <v>13708.849999999999</v>
      </c>
      <c r="EN152" s="789">
        <f>SUM(BN152:BQ152)</f>
        <v>14319.22</v>
      </c>
      <c r="EO152" s="789">
        <f>SUM(BR152:BU152)</f>
        <v>13829.7</v>
      </c>
      <c r="EP152" s="789">
        <f>SUM(BV152:BY152)</f>
        <v>13557.25</v>
      </c>
      <c r="EQ152" s="789">
        <f>SUM(BZ152:CC152)</f>
        <v>13785.739999999998</v>
      </c>
      <c r="ER152" s="789">
        <f>SUM(CD152:CG152)</f>
        <v>13248.61</v>
      </c>
      <c r="ES152" s="789">
        <f>SUM(CH152:CK152)</f>
        <v>12522.04</v>
      </c>
      <c r="ET152" s="789">
        <f>SUM(CL152:CO152)</f>
        <v>12345.6</v>
      </c>
      <c r="EU152" s="789">
        <f>SUM(CP152:CS152)</f>
        <v>10917.14</v>
      </c>
      <c r="EV152" s="789">
        <f>SUM(CT152:CW152)</f>
        <v>11115.53</v>
      </c>
      <c r="EW152" s="789">
        <f>SUM(CX152:DA152)</f>
        <v>11771.310000000001</v>
      </c>
      <c r="EX152" s="789">
        <f>SUM(DB152:DE152)</f>
        <v>12291.52</v>
      </c>
      <c r="EY152" s="789">
        <f>SUM(DF152:DI152)</f>
        <v>12925.529999999999</v>
      </c>
      <c r="EZ152" s="1737">
        <f>SUM(DJ152:DM152)</f>
        <v>14732.93101306646</v>
      </c>
      <c r="FA152" s="789">
        <f t="shared" ref="FA152:FH152" si="689">EZ152*(1+FA153)</f>
        <v>16793.064287172401</v>
      </c>
      <c r="FB152" s="789">
        <f t="shared" si="689"/>
        <v>16625.133644300677</v>
      </c>
      <c r="FC152" s="789">
        <f t="shared" si="689"/>
        <v>16625.133644300677</v>
      </c>
      <c r="FD152" s="789">
        <f t="shared" si="689"/>
        <v>16625.133644300677</v>
      </c>
      <c r="FE152" s="789">
        <f t="shared" si="689"/>
        <v>16625.133644300677</v>
      </c>
      <c r="FF152" s="789">
        <f t="shared" si="689"/>
        <v>16625.133644300677</v>
      </c>
      <c r="FG152" s="789">
        <f t="shared" si="689"/>
        <v>16625.133644300677</v>
      </c>
      <c r="FH152" s="789">
        <f t="shared" si="689"/>
        <v>16625.133644300677</v>
      </c>
      <c r="FI152" s="1194"/>
      <c r="FJ152"/>
      <c r="FK152"/>
      <c r="FL152"/>
      <c r="FM152"/>
      <c r="FN152"/>
      <c r="FO152"/>
      <c r="FP152" s="3"/>
      <c r="FS152" s="880"/>
      <c r="FT152" s="880"/>
      <c r="FU152"/>
      <c r="FV152"/>
      <c r="FW152" s="880"/>
      <c r="FX152" s="880"/>
      <c r="FY152" s="880"/>
      <c r="FZ152"/>
      <c r="GA152"/>
      <c r="GB152"/>
      <c r="GC152"/>
      <c r="GD152"/>
      <c r="GE152"/>
      <c r="GF152"/>
      <c r="GG152"/>
      <c r="GH152"/>
      <c r="GI152"/>
      <c r="GJ152"/>
      <c r="GK152"/>
      <c r="GL152"/>
      <c r="GM152"/>
      <c r="GN152"/>
      <c r="GO152"/>
      <c r="GP152"/>
      <c r="GQ152"/>
      <c r="GR152"/>
      <c r="GS152"/>
      <c r="GT152"/>
      <c r="GU152"/>
      <c r="GV152"/>
      <c r="GW152"/>
      <c r="GX152"/>
      <c r="GY152"/>
      <c r="GZ152"/>
      <c r="HA152"/>
      <c r="HB152"/>
      <c r="HC152"/>
      <c r="HD152"/>
      <c r="HE152"/>
      <c r="HF152"/>
      <c r="HG152"/>
      <c r="HH152"/>
      <c r="HI152"/>
      <c r="HJ152"/>
      <c r="HK152"/>
      <c r="HL152"/>
      <c r="HM152"/>
      <c r="HN152"/>
      <c r="HO152"/>
      <c r="HP152"/>
      <c r="HQ152"/>
      <c r="HR152"/>
      <c r="HS152"/>
      <c r="HT152"/>
      <c r="HU152"/>
      <c r="HV152"/>
      <c r="HW152"/>
      <c r="HX152"/>
      <c r="HY152"/>
      <c r="HZ152"/>
      <c r="IA152"/>
      <c r="IB152"/>
      <c r="IC152"/>
      <c r="ID152"/>
      <c r="IE152"/>
      <c r="IF152"/>
      <c r="IG152"/>
      <c r="IH152"/>
      <c r="II152"/>
      <c r="IJ152"/>
      <c r="IK152"/>
      <c r="IL152"/>
      <c r="IM152"/>
      <c r="IN152"/>
      <c r="IO152"/>
      <c r="IP152"/>
      <c r="IQ152"/>
      <c r="IR152"/>
      <c r="IS152"/>
      <c r="IT152"/>
      <c r="IU152"/>
      <c r="IV152"/>
      <c r="IW152"/>
      <c r="IX152"/>
      <c r="IY152"/>
      <c r="IZ152"/>
    </row>
    <row r="153" spans="1:260" s="4" customFormat="1" hidden="1" outlineLevel="1" x14ac:dyDescent="0.2">
      <c r="A153" s="4" t="s">
        <v>482</v>
      </c>
      <c r="E153" s="470"/>
      <c r="I153" s="470"/>
      <c r="M153" s="470"/>
      <c r="Q153" s="470"/>
      <c r="U153" s="470"/>
      <c r="Y153" s="470"/>
      <c r="AC153" s="470"/>
      <c r="AG153" s="470"/>
      <c r="AK153" s="470"/>
      <c r="AO153" s="470"/>
      <c r="AS153" s="470"/>
      <c r="AW153" s="470"/>
      <c r="BA153" s="470"/>
      <c r="BB153" s="6"/>
      <c r="BC153" s="6"/>
      <c r="BE153" s="484"/>
      <c r="BF153" s="6"/>
      <c r="BG153" s="6"/>
      <c r="BH153" s="6"/>
      <c r="BI153" s="484"/>
      <c r="BJ153" s="6"/>
      <c r="BK153" s="6"/>
      <c r="BL153" s="6"/>
      <c r="BM153" s="484"/>
      <c r="BN153" s="77">
        <f t="shared" ref="BN153:BY153" si="690">BN152/BJ152-1</f>
        <v>-4.2116924177839299E-2</v>
      </c>
      <c r="BO153" s="77">
        <f t="shared" si="690"/>
        <v>1.7336776097381046E-2</v>
      </c>
      <c r="BP153" s="77">
        <f t="shared" si="690"/>
        <v>8.9677891654465602E-2</v>
      </c>
      <c r="BQ153" s="487">
        <f t="shared" si="690"/>
        <v>8.6941885187810097E-2</v>
      </c>
      <c r="BR153" s="77">
        <f t="shared" si="690"/>
        <v>5.2890365448504895E-2</v>
      </c>
      <c r="BS153" s="77">
        <f t="shared" si="690"/>
        <v>-3.4082668600435073E-2</v>
      </c>
      <c r="BT153" s="77">
        <f t="shared" si="690"/>
        <v>-9.9764863957003791E-2</v>
      </c>
      <c r="BU153" s="487">
        <f t="shared" si="690"/>
        <v>-3.7110616656071183E-2</v>
      </c>
      <c r="BV153" s="77">
        <f t="shared" si="690"/>
        <v>-6.1695167336969781E-2</v>
      </c>
      <c r="BW153" s="77">
        <f t="shared" si="690"/>
        <v>-4.2183630999420463E-2</v>
      </c>
      <c r="BX153" s="77">
        <f t="shared" si="690"/>
        <v>-8.2440362291108515E-3</v>
      </c>
      <c r="BY153" s="487">
        <f t="shared" si="690"/>
        <v>1.3198240234635339E-2</v>
      </c>
      <c r="BZ153" s="77">
        <f>BZ152/BN152-1</f>
        <v>6.9893148962916429E-2</v>
      </c>
      <c r="CA153" s="77">
        <f>CA152/BO152-1</f>
        <v>-1.0756586898718834E-2</v>
      </c>
      <c r="CB153" s="77">
        <f>CB152/BP152-1</f>
        <v>-0.20234619260484232</v>
      </c>
      <c r="CC153" s="487">
        <f>CC152/BQ152-1</f>
        <v>2.1455816910362913E-3</v>
      </c>
      <c r="CD153" s="77">
        <f t="shared" ref="CD153:CK153" si="691">CD152/BZ152-1</f>
        <v>-1.3981905769004821E-2</v>
      </c>
      <c r="CE153" s="77">
        <f t="shared" si="691"/>
        <v>-7.6706427032762203E-2</v>
      </c>
      <c r="CF153" s="77">
        <f t="shared" si="691"/>
        <v>-4.3245869776481927E-2</v>
      </c>
      <c r="CG153" s="487">
        <f t="shared" si="691"/>
        <v>-2.7804379164303006E-2</v>
      </c>
      <c r="CH153" s="77">
        <f t="shared" si="691"/>
        <v>8.1274683371918899E-2</v>
      </c>
      <c r="CI153" s="77">
        <f t="shared" si="691"/>
        <v>-0.10332831891688588</v>
      </c>
      <c r="CJ153" s="77">
        <f t="shared" si="691"/>
        <v>-0.10515584146869061</v>
      </c>
      <c r="CK153" s="487">
        <f t="shared" si="691"/>
        <v>-8.1362908184392513E-2</v>
      </c>
      <c r="CL153" s="77">
        <f>CL152/CD152-1</f>
        <v>2.1203867629034479E-2</v>
      </c>
      <c r="CM153" s="77">
        <f>CM152/CE152-1</f>
        <v>-0.10332831891688588</v>
      </c>
      <c r="CN153" s="77">
        <f>CN152/CF152-1</f>
        <v>-0.10515584146869061</v>
      </c>
      <c r="CO153" s="487">
        <f>CO152/CG152-1</f>
        <v>-8.1362908184392513E-2</v>
      </c>
      <c r="CP153" s="77">
        <f t="shared" ref="CP153:CX153" si="692">CP152/CL152-1</f>
        <v>-0.20526224545587912</v>
      </c>
      <c r="CQ153" s="77">
        <f t="shared" si="692"/>
        <v>-9.4171239499959314E-2</v>
      </c>
      <c r="CR153" s="77">
        <f t="shared" si="692"/>
        <v>-4.7569399191971895E-2</v>
      </c>
      <c r="CS153" s="487">
        <f t="shared" si="692"/>
        <v>-0.10407285145133749</v>
      </c>
      <c r="CT153" s="77">
        <f t="shared" si="692"/>
        <v>-5.3406326034063256E-2</v>
      </c>
      <c r="CU153" s="77">
        <f t="shared" si="692"/>
        <v>8.0814576634511415E-3</v>
      </c>
      <c r="CV153" s="77">
        <f t="shared" si="692"/>
        <v>2.3041474654377891E-2</v>
      </c>
      <c r="CW153" s="487">
        <f t="shared" si="692"/>
        <v>6.4708184257602941E-2</v>
      </c>
      <c r="CX153" s="77">
        <f t="shared" si="692"/>
        <v>8.3940101662316469E-2</v>
      </c>
      <c r="CY153" s="77">
        <f t="shared" ref="CY153:DE153" si="693">CY152/CU152-1</f>
        <v>7.2133029961511497E-2</v>
      </c>
      <c r="CZ153" s="77">
        <f t="shared" si="693"/>
        <v>4.7167857512685263E-2</v>
      </c>
      <c r="DA153" s="487">
        <f t="shared" si="693"/>
        <v>4.4734976766165113E-2</v>
      </c>
      <c r="DB153" s="77">
        <f t="shared" si="693"/>
        <v>5.6286029682325545E-2</v>
      </c>
      <c r="DC153" s="77">
        <f t="shared" si="693"/>
        <v>3.2689927646610828E-2</v>
      </c>
      <c r="DD153" s="70">
        <f t="shared" si="693"/>
        <v>4.6361763494025432E-2</v>
      </c>
      <c r="DE153" s="487">
        <f t="shared" si="693"/>
        <v>4.2858285074643732E-2</v>
      </c>
      <c r="DF153" s="70">
        <f t="shared" ref="DF153:DM153" si="694">DF152/DB152-1</f>
        <v>1.0601609400945122E-2</v>
      </c>
      <c r="DG153" s="70">
        <f t="shared" si="694"/>
        <v>1.6774411628005081E-2</v>
      </c>
      <c r="DH153" s="70">
        <f t="shared" si="694"/>
        <v>3.64990234375E-2</v>
      </c>
      <c r="DI153" s="487">
        <f t="shared" si="694"/>
        <v>0.10301288482517212</v>
      </c>
      <c r="DJ153" s="1673">
        <f t="shared" si="694"/>
        <v>0.17655943457684176</v>
      </c>
      <c r="DK153" s="70">
        <f t="shared" si="694"/>
        <v>0.19434402334425505</v>
      </c>
      <c r="DL153" s="70">
        <f t="shared" si="694"/>
        <v>0.23586321225992157</v>
      </c>
      <c r="DM153" s="487">
        <f t="shared" si="694"/>
        <v>4.1930499405766541E-2</v>
      </c>
      <c r="DN153" s="1285"/>
      <c r="DO153" s="487"/>
      <c r="EJ153" s="19"/>
      <c r="EK153" s="88"/>
      <c r="EL153" s="88"/>
      <c r="EM153" s="88"/>
      <c r="EN153" s="77">
        <f>EN152/EM152-1</f>
        <v>4.4523793024214386E-2</v>
      </c>
      <c r="EO153" s="77">
        <f>EO152/EN152-1</f>
        <v>-3.4186219640455207E-2</v>
      </c>
      <c r="EP153" s="77">
        <f>EP152/EO152-1</f>
        <v>-1.970035503300871E-2</v>
      </c>
      <c r="EQ153" s="77">
        <f>EQ152/EN152-1</f>
        <v>-3.7256219263339885E-2</v>
      </c>
      <c r="ER153" s="77">
        <f>ER152/EQ152-1</f>
        <v>-3.8962725250874963E-2</v>
      </c>
      <c r="ES153" s="77">
        <f>ES152/ER152-1</f>
        <v>-5.4841224853022341E-2</v>
      </c>
      <c r="ET153" s="77">
        <f>ET152/ER152-1</f>
        <v>-6.8158848362205537E-2</v>
      </c>
      <c r="EU153" s="77">
        <f>EU152/ES152-1</f>
        <v>-0.12816601767763092</v>
      </c>
      <c r="EV153" s="77">
        <f>EV152/EU152-1</f>
        <v>1.8172341840445583E-2</v>
      </c>
      <c r="EW153" s="77">
        <f>EW152/EV152-1</f>
        <v>5.8996736997696031E-2</v>
      </c>
      <c r="EX153" s="77">
        <f>EX152/EW152-1</f>
        <v>4.4193042235740831E-2</v>
      </c>
      <c r="EY153" s="77">
        <f>EY152/EX152-1</f>
        <v>5.1581090052328582E-2</v>
      </c>
      <c r="EZ153" s="1680">
        <f>EZ152/EY152-1</f>
        <v>0.13983186864031572</v>
      </c>
      <c r="FA153" s="1610">
        <f>EZ153</f>
        <v>0.13983186864031572</v>
      </c>
      <c r="FB153" s="1610">
        <v>-0.01</v>
      </c>
      <c r="FC153" s="1610">
        <v>0</v>
      </c>
      <c r="FD153" s="1610">
        <v>0</v>
      </c>
      <c r="FE153" s="1610">
        <v>0</v>
      </c>
      <c r="FF153" s="1610">
        <v>0</v>
      </c>
      <c r="FG153" s="1610">
        <v>0</v>
      </c>
      <c r="FH153" s="1610">
        <v>0</v>
      </c>
      <c r="FI153" s="1285"/>
      <c r="FJ153"/>
      <c r="FK153"/>
      <c r="FL153"/>
      <c r="FM153"/>
      <c r="FN153"/>
      <c r="FO153"/>
      <c r="FP153" s="3"/>
      <c r="FS153" s="1226"/>
      <c r="FT153" s="1226"/>
      <c r="FU153"/>
      <c r="FV153"/>
      <c r="FW153" s="1606"/>
      <c r="FX153" s="1606"/>
      <c r="FY153" s="1606"/>
      <c r="FZ153"/>
      <c r="GA153"/>
      <c r="GB153"/>
      <c r="GC153"/>
      <c r="GD153"/>
      <c r="GE153"/>
      <c r="GF153"/>
      <c r="GG153"/>
      <c r="GH153"/>
      <c r="GI153"/>
      <c r="GJ153"/>
      <c r="GK153"/>
      <c r="GL153"/>
      <c r="GM153"/>
      <c r="GN153"/>
      <c r="GO153"/>
      <c r="GP153"/>
      <c r="GQ153"/>
      <c r="GR153"/>
      <c r="GS153"/>
      <c r="GT153"/>
      <c r="GU153"/>
      <c r="GV153"/>
      <c r="GW153"/>
      <c r="GX153"/>
      <c r="GY153"/>
      <c r="GZ153"/>
      <c r="HA153"/>
      <c r="HB153"/>
      <c r="HC153"/>
      <c r="HD153"/>
      <c r="HE153"/>
      <c r="HF153"/>
      <c r="HG153"/>
      <c r="HH153"/>
      <c r="HI153"/>
      <c r="HJ153"/>
      <c r="HK153"/>
      <c r="HL153"/>
      <c r="HM153"/>
      <c r="HN153"/>
      <c r="HO153"/>
      <c r="HP153"/>
      <c r="HQ153"/>
      <c r="HR153"/>
      <c r="HS153"/>
      <c r="HT153"/>
      <c r="HU153"/>
      <c r="HV153"/>
      <c r="HW153"/>
      <c r="HX153"/>
      <c r="HY153"/>
      <c r="HZ153"/>
      <c r="IA153"/>
      <c r="IB153"/>
      <c r="IC153"/>
      <c r="ID153"/>
      <c r="IE153"/>
      <c r="IF153"/>
      <c r="IG153"/>
      <c r="IH153"/>
      <c r="II153"/>
      <c r="IJ153"/>
      <c r="IK153"/>
      <c r="IL153"/>
      <c r="IM153"/>
      <c r="IN153"/>
      <c r="IO153"/>
      <c r="IP153"/>
      <c r="IQ153"/>
      <c r="IR153"/>
      <c r="IS153"/>
      <c r="IT153"/>
      <c r="IU153"/>
      <c r="IV153"/>
      <c r="IW153"/>
      <c r="IX153"/>
      <c r="IY153"/>
      <c r="IZ153"/>
    </row>
    <row r="154" spans="1:260" s="4" customFormat="1" hidden="1" outlineLevel="1" x14ac:dyDescent="0.2">
      <c r="A154" s="4" t="s">
        <v>4</v>
      </c>
      <c r="E154" s="470"/>
      <c r="I154" s="470"/>
      <c r="M154" s="470"/>
      <c r="Q154" s="470"/>
      <c r="U154" s="470"/>
      <c r="Y154" s="470"/>
      <c r="AC154" s="470"/>
      <c r="AG154" s="470"/>
      <c r="AK154" s="470"/>
      <c r="AO154" s="470"/>
      <c r="AS154" s="470"/>
      <c r="AW154" s="470"/>
      <c r="BA154" s="470"/>
      <c r="BB154" s="6"/>
      <c r="BC154" s="6"/>
      <c r="BE154" s="484"/>
      <c r="BF154" s="6"/>
      <c r="BG154" s="6"/>
      <c r="BH154" s="6"/>
      <c r="BI154" s="484"/>
      <c r="BJ154" s="6"/>
      <c r="BK154" s="6"/>
      <c r="BL154" s="6"/>
      <c r="BM154" s="484"/>
      <c r="BN154" s="77"/>
      <c r="BO154" s="77"/>
      <c r="BP154" s="77"/>
      <c r="BQ154" s="487"/>
      <c r="BR154" s="77"/>
      <c r="BS154" s="77"/>
      <c r="BT154" s="77"/>
      <c r="BU154" s="487"/>
      <c r="BV154" s="77"/>
      <c r="BW154" s="77"/>
      <c r="BX154" s="77"/>
      <c r="BY154" s="487"/>
      <c r="BZ154" s="77"/>
      <c r="CA154" s="77"/>
      <c r="CB154" s="77"/>
      <c r="CC154" s="487"/>
      <c r="CD154" s="77">
        <f t="shared" ref="CD154:CX154" si="695">+CD153+BZ153</f>
        <v>5.5911243193911608E-2</v>
      </c>
      <c r="CE154" s="77">
        <f t="shared" si="695"/>
        <v>-8.7463013931481037E-2</v>
      </c>
      <c r="CF154" s="77">
        <f t="shared" si="695"/>
        <v>-0.24559206238132425</v>
      </c>
      <c r="CG154" s="487">
        <f t="shared" si="695"/>
        <v>-2.5658797473266715E-2</v>
      </c>
      <c r="CH154" s="77">
        <f t="shared" si="695"/>
        <v>6.7292777602914078E-2</v>
      </c>
      <c r="CI154" s="77">
        <f t="shared" si="695"/>
        <v>-0.18003474594964808</v>
      </c>
      <c r="CJ154" s="77">
        <f t="shared" si="695"/>
        <v>-0.14840171124517254</v>
      </c>
      <c r="CK154" s="487">
        <f t="shared" si="695"/>
        <v>-0.10916728734869552</v>
      </c>
      <c r="CL154" s="77">
        <f t="shared" si="695"/>
        <v>0.10247855100095338</v>
      </c>
      <c r="CM154" s="77">
        <f t="shared" si="695"/>
        <v>-0.20665663783377175</v>
      </c>
      <c r="CN154" s="77">
        <f t="shared" si="695"/>
        <v>-0.21031168293738123</v>
      </c>
      <c r="CO154" s="487">
        <f t="shared" si="695"/>
        <v>-0.16272581636878503</v>
      </c>
      <c r="CP154" s="77">
        <f t="shared" si="695"/>
        <v>-0.18405837782684464</v>
      </c>
      <c r="CQ154" s="77">
        <f t="shared" si="695"/>
        <v>-0.19749955841684519</v>
      </c>
      <c r="CR154" s="77">
        <f t="shared" si="695"/>
        <v>-0.15272524066066251</v>
      </c>
      <c r="CS154" s="487">
        <f t="shared" si="695"/>
        <v>-0.18543575963573</v>
      </c>
      <c r="CT154" s="77">
        <f t="shared" si="695"/>
        <v>-0.25866857148994238</v>
      </c>
      <c r="CU154" s="77">
        <f t="shared" si="695"/>
        <v>-8.6089781836508172E-2</v>
      </c>
      <c r="CV154" s="77">
        <f t="shared" si="695"/>
        <v>-2.4527924537594004E-2</v>
      </c>
      <c r="CW154" s="487">
        <f>+CW153+CS153</f>
        <v>-3.9364667193734548E-2</v>
      </c>
      <c r="CX154" s="77">
        <f t="shared" si="695"/>
        <v>3.0533775628253212E-2</v>
      </c>
      <c r="CY154" s="77">
        <f t="shared" ref="CY154:DE154" si="696">+CY153+CU153</f>
        <v>8.0214487624962638E-2</v>
      </c>
      <c r="CZ154" s="77">
        <f t="shared" si="696"/>
        <v>7.0209332167063154E-2</v>
      </c>
      <c r="DA154" s="487">
        <f t="shared" si="696"/>
        <v>0.10944316102376805</v>
      </c>
      <c r="DB154" s="77">
        <f t="shared" si="696"/>
        <v>0.14022613134464201</v>
      </c>
      <c r="DC154" s="77">
        <f t="shared" si="696"/>
        <v>0.10482295760812232</v>
      </c>
      <c r="DD154" s="70">
        <f t="shared" si="696"/>
        <v>9.3529621006710695E-2</v>
      </c>
      <c r="DE154" s="487">
        <f t="shared" si="696"/>
        <v>8.7593261840808845E-2</v>
      </c>
      <c r="DF154" s="70">
        <f t="shared" ref="DF154:DM154" si="697">+DF153+DB153</f>
        <v>6.6887639083270667E-2</v>
      </c>
      <c r="DG154" s="70">
        <f t="shared" si="697"/>
        <v>4.9464339274615909E-2</v>
      </c>
      <c r="DH154" s="70">
        <f t="shared" si="697"/>
        <v>8.2860786931525432E-2</v>
      </c>
      <c r="DI154" s="487">
        <f t="shared" si="697"/>
        <v>0.14587116989981586</v>
      </c>
      <c r="DJ154" s="1673">
        <f t="shared" si="697"/>
        <v>0.18716104397778688</v>
      </c>
      <c r="DK154" s="70">
        <f t="shared" si="697"/>
        <v>0.21111843497226013</v>
      </c>
      <c r="DL154" s="70">
        <f t="shared" si="697"/>
        <v>0.27236223569742157</v>
      </c>
      <c r="DM154" s="487">
        <f t="shared" si="697"/>
        <v>0.14494338423093867</v>
      </c>
      <c r="DN154" s="580"/>
      <c r="DO154" s="487"/>
      <c r="EJ154" s="19"/>
      <c r="EK154" s="88"/>
      <c r="EL154" s="88"/>
      <c r="EM154" s="88"/>
      <c r="EN154" s="77"/>
      <c r="EO154" s="77"/>
      <c r="EP154" s="77"/>
      <c r="EQ154" s="77"/>
      <c r="ER154" s="77">
        <f>AVERAGE(ER153,EQ153)</f>
        <v>-3.8109472257107424E-2</v>
      </c>
      <c r="ES154" s="77">
        <f>AVERAGE(ES153,ER153)</f>
        <v>-4.6901975051948652E-2</v>
      </c>
      <c r="ET154" s="77">
        <f>AVERAGE(ET153,ER153)</f>
        <v>-5.356078680654025E-2</v>
      </c>
      <c r="EU154" s="77">
        <f>AVERAGE(EU153,ES153)</f>
        <v>-9.1503621265326629E-2</v>
      </c>
      <c r="EV154" s="77">
        <f>AVERAGE(EV153,EU153)</f>
        <v>-5.4996837918592667E-2</v>
      </c>
      <c r="EW154" s="77">
        <f>AVERAGE(EW153,EV153)</f>
        <v>3.8584539419070807E-2</v>
      </c>
      <c r="EX154" s="77">
        <f>AVERAGE(EX153,EW153)</f>
        <v>5.1594889616718431E-2</v>
      </c>
      <c r="EY154" s="77">
        <f>AVERAGE(EY153,EX153)</f>
        <v>4.7887066144034707E-2</v>
      </c>
      <c r="EZ154" s="1680">
        <f>AVERAGE(EZ153,EY153)</f>
        <v>9.5706479346322149E-2</v>
      </c>
      <c r="FA154" s="77">
        <f t="shared" ref="FA154:FH154" si="698">FA153+EZ153</f>
        <v>0.27966373728063143</v>
      </c>
      <c r="FB154" s="77">
        <f t="shared" si="698"/>
        <v>0.12983186864031571</v>
      </c>
      <c r="FC154" s="77">
        <f t="shared" si="698"/>
        <v>-0.01</v>
      </c>
      <c r="FD154" s="77">
        <f t="shared" si="698"/>
        <v>0</v>
      </c>
      <c r="FE154" s="77">
        <f t="shared" si="698"/>
        <v>0</v>
      </c>
      <c r="FF154" s="77">
        <f t="shared" si="698"/>
        <v>0</v>
      </c>
      <c r="FG154" s="77">
        <f t="shared" si="698"/>
        <v>0</v>
      </c>
      <c r="FH154" s="77">
        <f t="shared" si="698"/>
        <v>0</v>
      </c>
      <c r="FI154" s="580"/>
      <c r="FJ154"/>
      <c r="FK154"/>
      <c r="FL154"/>
      <c r="FM154"/>
      <c r="FN154"/>
      <c r="FO154"/>
      <c r="FP154" s="3"/>
      <c r="FS154" s="70"/>
      <c r="FT154" s="70"/>
      <c r="FU154"/>
      <c r="FV154"/>
      <c r="FW154" s="70"/>
      <c r="FX154" s="70"/>
      <c r="FY154" s="70"/>
      <c r="FZ154"/>
      <c r="GA154"/>
      <c r="GB154"/>
      <c r="GC154"/>
      <c r="GD154"/>
      <c r="GE154"/>
      <c r="GF154"/>
      <c r="GG154"/>
      <c r="GH154"/>
      <c r="GI154"/>
      <c r="GJ154"/>
      <c r="GK154"/>
      <c r="GL154"/>
      <c r="GM154"/>
      <c r="GN154"/>
      <c r="GO154"/>
      <c r="GP154"/>
      <c r="GQ154"/>
      <c r="GR154"/>
      <c r="GS154"/>
      <c r="GT154"/>
      <c r="GU154"/>
      <c r="GV154"/>
      <c r="GW154"/>
      <c r="GX154"/>
      <c r="GY154"/>
      <c r="GZ154"/>
      <c r="HA154"/>
      <c r="HB154"/>
      <c r="HC154"/>
      <c r="HD154"/>
      <c r="HE154"/>
      <c r="HF154"/>
      <c r="HG154"/>
      <c r="HH154"/>
      <c r="HI154"/>
      <c r="HJ154"/>
      <c r="HK154"/>
      <c r="HL154"/>
      <c r="HM154"/>
      <c r="HN154"/>
      <c r="HO154"/>
      <c r="HP154"/>
      <c r="HQ154"/>
      <c r="HR154"/>
      <c r="HS154"/>
      <c r="HT154"/>
      <c r="HU154"/>
      <c r="HV154"/>
      <c r="HW154"/>
      <c r="HX154"/>
      <c r="HY154"/>
      <c r="HZ154"/>
      <c r="IA154"/>
      <c r="IB154"/>
      <c r="IC154"/>
      <c r="ID154"/>
      <c r="IE154"/>
      <c r="IF154"/>
      <c r="IG154"/>
      <c r="IH154"/>
      <c r="II154"/>
      <c r="IJ154"/>
      <c r="IK154"/>
      <c r="IL154"/>
      <c r="IM154"/>
      <c r="IN154"/>
      <c r="IO154"/>
      <c r="IP154"/>
      <c r="IQ154"/>
      <c r="IR154"/>
      <c r="IS154"/>
      <c r="IT154"/>
      <c r="IU154"/>
      <c r="IV154"/>
      <c r="IW154"/>
      <c r="IX154"/>
      <c r="IY154"/>
      <c r="IZ154"/>
    </row>
    <row r="155" spans="1:260" s="4" customFormat="1" hidden="1" outlineLevel="1" x14ac:dyDescent="0.2">
      <c r="E155" s="470"/>
      <c r="I155" s="470"/>
      <c r="M155" s="470"/>
      <c r="Q155" s="470"/>
      <c r="U155" s="470"/>
      <c r="Y155" s="470"/>
      <c r="AC155" s="470"/>
      <c r="AG155" s="470"/>
      <c r="AK155" s="470"/>
      <c r="AO155" s="470"/>
      <c r="AS155" s="470"/>
      <c r="AW155" s="470"/>
      <c r="BA155" s="470"/>
      <c r="BB155" s="6"/>
      <c r="BC155" s="6"/>
      <c r="BE155" s="484"/>
      <c r="BF155" s="6"/>
      <c r="BG155" s="6"/>
      <c r="BH155" s="6"/>
      <c r="BI155" s="484"/>
      <c r="BJ155" s="6"/>
      <c r="BK155" s="6"/>
      <c r="BL155" s="6"/>
      <c r="BM155" s="484"/>
      <c r="BN155" s="6"/>
      <c r="BO155" s="6"/>
      <c r="BP155" s="6"/>
      <c r="BQ155" s="484"/>
      <c r="BR155" s="6"/>
      <c r="BS155" s="6"/>
      <c r="BT155" s="6"/>
      <c r="BU155" s="499"/>
      <c r="BV155" s="77"/>
      <c r="BW155" s="77"/>
      <c r="BX155" s="77"/>
      <c r="BY155" s="487"/>
      <c r="BZ155" s="6"/>
      <c r="CA155" s="6"/>
      <c r="CB155" s="6"/>
      <c r="CC155" s="499"/>
      <c r="CD155" s="77"/>
      <c r="CE155" s="77"/>
      <c r="CF155" s="77"/>
      <c r="CG155" s="487"/>
      <c r="CH155" s="77"/>
      <c r="CI155" s="77"/>
      <c r="CJ155" s="77"/>
      <c r="CK155" s="487"/>
      <c r="CL155" s="77"/>
      <c r="CM155" s="77"/>
      <c r="CN155" s="77"/>
      <c r="CO155" s="487"/>
      <c r="CP155" s="77"/>
      <c r="CQ155" s="77"/>
      <c r="CR155" s="77"/>
      <c r="CS155" s="487"/>
      <c r="CT155" s="77"/>
      <c r="CU155" s="77"/>
      <c r="CV155" s="77"/>
      <c r="CW155" s="487"/>
      <c r="CX155" s="77"/>
      <c r="CY155" s="77"/>
      <c r="CZ155" s="77"/>
      <c r="DA155" s="487"/>
      <c r="DB155" s="77"/>
      <c r="DC155" s="77"/>
      <c r="DD155" s="70"/>
      <c r="DE155" s="487"/>
      <c r="DF155" s="70"/>
      <c r="DG155" s="70"/>
      <c r="DH155" s="70"/>
      <c r="DI155" s="487"/>
      <c r="DJ155" s="1673"/>
      <c r="DK155" s="70"/>
      <c r="DL155" s="70"/>
      <c r="DM155" s="487"/>
      <c r="DN155" s="580"/>
      <c r="DO155" s="484"/>
      <c r="EJ155" s="19"/>
      <c r="EK155" s="88"/>
      <c r="EL155" s="88"/>
      <c r="EM155" s="88"/>
      <c r="EN155" s="88"/>
      <c r="EO155" s="88"/>
      <c r="EP155" s="88"/>
      <c r="EQ155" s="77"/>
      <c r="ER155" s="77"/>
      <c r="ES155" s="77"/>
      <c r="ET155" s="77"/>
      <c r="EU155" s="77"/>
      <c r="EV155" s="77"/>
      <c r="EW155" s="77"/>
      <c r="EX155" s="77"/>
      <c r="EY155" s="77"/>
      <c r="EZ155" s="1680"/>
      <c r="FA155" s="88"/>
      <c r="FB155" s="88"/>
      <c r="FC155" s="88"/>
      <c r="FD155" s="88"/>
      <c r="FE155" s="88"/>
      <c r="FF155" s="88"/>
      <c r="FG155" s="88"/>
      <c r="FH155" s="88"/>
      <c r="FI155" s="590"/>
      <c r="FJ155"/>
      <c r="FK155"/>
      <c r="FL155"/>
      <c r="FM155"/>
      <c r="FN155"/>
      <c r="FO155"/>
      <c r="FP155" s="3"/>
      <c r="FS155" s="53"/>
      <c r="FT155" s="53"/>
      <c r="FU155"/>
      <c r="FV155"/>
      <c r="FW155" s="53"/>
      <c r="FX155" s="53"/>
      <c r="FY155" s="53"/>
      <c r="FZ155"/>
      <c r="GA155"/>
      <c r="GB155"/>
      <c r="GC155"/>
      <c r="GD155"/>
      <c r="GE155"/>
      <c r="GF155"/>
      <c r="GG155"/>
      <c r="GH155"/>
      <c r="GI155"/>
      <c r="GJ155"/>
      <c r="GK155"/>
      <c r="GL155"/>
      <c r="GM155"/>
      <c r="GN155"/>
      <c r="GO155"/>
      <c r="GP155"/>
      <c r="GQ155"/>
      <c r="GR155"/>
      <c r="GS155"/>
      <c r="GT155"/>
      <c r="GU155"/>
      <c r="GV155"/>
      <c r="GW155"/>
      <c r="GX155"/>
      <c r="GY155"/>
      <c r="GZ155"/>
      <c r="HA155"/>
      <c r="HB155"/>
      <c r="HC155"/>
      <c r="HD155"/>
      <c r="HE155"/>
      <c r="HF155"/>
      <c r="HG155"/>
      <c r="HH155"/>
      <c r="HI155"/>
      <c r="HJ155"/>
      <c r="HK155"/>
      <c r="HL155"/>
      <c r="HM155"/>
      <c r="HN155"/>
      <c r="HO155"/>
      <c r="HP155"/>
      <c r="HQ155"/>
      <c r="HR155"/>
      <c r="HS155"/>
      <c r="HT155"/>
      <c r="HU155"/>
      <c r="HV155"/>
      <c r="HW155"/>
      <c r="HX155"/>
      <c r="HY155"/>
      <c r="HZ155"/>
      <c r="IA155"/>
      <c r="IB155"/>
      <c r="IC155"/>
      <c r="ID155"/>
      <c r="IE155"/>
      <c r="IF155"/>
      <c r="IG155"/>
      <c r="IH155"/>
      <c r="II155"/>
      <c r="IJ155"/>
      <c r="IK155"/>
      <c r="IL155"/>
      <c r="IM155"/>
      <c r="IN155"/>
      <c r="IO155"/>
      <c r="IP155"/>
      <c r="IQ155"/>
      <c r="IR155"/>
      <c r="IS155"/>
      <c r="IT155"/>
      <c r="IU155"/>
      <c r="IV155"/>
      <c r="IW155"/>
      <c r="IX155"/>
      <c r="IY155"/>
      <c r="IZ155"/>
    </row>
    <row r="156" spans="1:260" s="4" customFormat="1" hidden="1" outlineLevel="1" x14ac:dyDescent="0.2">
      <c r="A156" s="1475" t="s">
        <v>305</v>
      </c>
      <c r="E156" s="470"/>
      <c r="I156" s="470"/>
      <c r="M156" s="470"/>
      <c r="Q156" s="470"/>
      <c r="U156" s="470"/>
      <c r="Y156" s="470"/>
      <c r="AC156" s="470"/>
      <c r="AG156" s="470"/>
      <c r="AK156" s="470"/>
      <c r="AO156" s="470"/>
      <c r="AS156" s="470"/>
      <c r="AW156" s="470"/>
      <c r="BA156" s="470"/>
      <c r="BB156" s="6"/>
      <c r="BC156" s="6"/>
      <c r="BE156" s="484"/>
      <c r="BF156" s="873">
        <f t="shared" ref="BF156:CS156" si="699">BF182*BF$176</f>
        <v>1944.1599999999999</v>
      </c>
      <c r="BG156" s="873">
        <f t="shared" si="699"/>
        <v>2242.54</v>
      </c>
      <c r="BH156" s="873">
        <f t="shared" si="699"/>
        <v>2215.6200000000003</v>
      </c>
      <c r="BI156" s="874">
        <f t="shared" si="699"/>
        <v>2907.84</v>
      </c>
      <c r="BJ156" s="873">
        <f t="shared" si="699"/>
        <v>2310.4299999999998</v>
      </c>
      <c r="BK156" s="873">
        <f t="shared" si="699"/>
        <v>2765.2200000000003</v>
      </c>
      <c r="BL156" s="873">
        <f t="shared" si="699"/>
        <v>2622.7200000000003</v>
      </c>
      <c r="BM156" s="874">
        <f t="shared" si="699"/>
        <v>3386.4</v>
      </c>
      <c r="BN156" s="873">
        <f t="shared" si="699"/>
        <v>2633.75</v>
      </c>
      <c r="BO156" s="873">
        <f t="shared" si="699"/>
        <v>3061.38</v>
      </c>
      <c r="BP156" s="873">
        <f t="shared" si="699"/>
        <v>2947.23</v>
      </c>
      <c r="BQ156" s="874">
        <f t="shared" si="699"/>
        <v>4152.72</v>
      </c>
      <c r="BR156" s="873">
        <f t="shared" si="699"/>
        <v>2931.5099999999998</v>
      </c>
      <c r="BS156" s="873">
        <f t="shared" si="699"/>
        <v>3290.04</v>
      </c>
      <c r="BT156" s="873">
        <f t="shared" si="699"/>
        <v>3222.7</v>
      </c>
      <c r="BU156" s="874">
        <f t="shared" si="699"/>
        <v>4119.7800000000007</v>
      </c>
      <c r="BV156" s="873">
        <f t="shared" si="699"/>
        <v>3143.6000000000004</v>
      </c>
      <c r="BW156" s="873">
        <f t="shared" si="699"/>
        <v>3490.62</v>
      </c>
      <c r="BX156" s="873">
        <f t="shared" si="699"/>
        <v>3554</v>
      </c>
      <c r="BY156" s="874">
        <f t="shared" si="699"/>
        <v>4788</v>
      </c>
      <c r="BZ156" s="873">
        <f t="shared" si="699"/>
        <v>3319.29</v>
      </c>
      <c r="CA156" s="873">
        <f t="shared" si="699"/>
        <v>3028.45</v>
      </c>
      <c r="CB156" s="873">
        <f t="shared" si="699"/>
        <v>3254.58</v>
      </c>
      <c r="CC156" s="874">
        <f t="shared" si="699"/>
        <v>4161.63</v>
      </c>
      <c r="CD156" s="873">
        <f t="shared" si="699"/>
        <v>3356.8</v>
      </c>
      <c r="CE156" s="873">
        <f t="shared" si="699"/>
        <v>3190.8</v>
      </c>
      <c r="CF156" s="873">
        <f t="shared" si="699"/>
        <v>3463.65</v>
      </c>
      <c r="CG156" s="874">
        <f t="shared" si="699"/>
        <v>4655.71</v>
      </c>
      <c r="CH156" s="873">
        <f t="shared" si="699"/>
        <v>4058.1200000000003</v>
      </c>
      <c r="CI156" s="873">
        <f t="shared" si="699"/>
        <v>3433.32</v>
      </c>
      <c r="CJ156" s="873">
        <f t="shared" si="699"/>
        <v>3452.85</v>
      </c>
      <c r="CK156" s="874">
        <f t="shared" si="699"/>
        <v>5271</v>
      </c>
      <c r="CL156" s="873">
        <f t="shared" si="699"/>
        <v>3793.46</v>
      </c>
      <c r="CM156" s="873">
        <f t="shared" si="699"/>
        <v>3433.32</v>
      </c>
      <c r="CN156" s="873">
        <f t="shared" si="699"/>
        <v>3452.85</v>
      </c>
      <c r="CO156" s="874">
        <f t="shared" si="699"/>
        <v>5271</v>
      </c>
      <c r="CP156" s="873">
        <f t="shared" si="699"/>
        <v>3734.62</v>
      </c>
      <c r="CQ156" s="873">
        <f t="shared" si="699"/>
        <v>3809.75</v>
      </c>
      <c r="CR156" s="873">
        <f t="shared" si="699"/>
        <v>3827.88</v>
      </c>
      <c r="CS156" s="874">
        <f t="shared" si="699"/>
        <v>5657.08</v>
      </c>
      <c r="CT156" s="873">
        <f t="shared" ref="CT156:CZ156" si="700">CT182*CT$176</f>
        <v>3812.69</v>
      </c>
      <c r="CU156" s="873">
        <f t="shared" si="700"/>
        <v>3564.95</v>
      </c>
      <c r="CV156" s="873">
        <f t="shared" si="700"/>
        <v>3916.08</v>
      </c>
      <c r="CW156" s="874">
        <f t="shared" si="700"/>
        <v>5713.6500000000005</v>
      </c>
      <c r="CX156" s="873">
        <f t="shared" si="700"/>
        <v>3708.2999999999997</v>
      </c>
      <c r="CY156" s="873">
        <f t="shared" si="700"/>
        <v>3623.88</v>
      </c>
      <c r="CZ156" s="873">
        <f t="shared" si="700"/>
        <v>3964.1</v>
      </c>
      <c r="DA156" s="874">
        <f t="shared" ref="DA156:DI156" si="701">DA182*DA$176</f>
        <v>5378.01</v>
      </c>
      <c r="DB156" s="873">
        <f t="shared" si="701"/>
        <v>3679.6299999999997</v>
      </c>
      <c r="DC156" s="873">
        <f t="shared" si="701"/>
        <v>3628.94</v>
      </c>
      <c r="DD156" s="947">
        <f t="shared" si="701"/>
        <v>4014.08</v>
      </c>
      <c r="DE156" s="874">
        <f t="shared" si="701"/>
        <v>5181.96</v>
      </c>
      <c r="DF156" s="947">
        <f t="shared" si="701"/>
        <v>3560.4</v>
      </c>
      <c r="DG156" s="947">
        <f t="shared" ref="DG156" si="702">DG182*DG$176</f>
        <v>3887.8399999999997</v>
      </c>
      <c r="DH156" s="947">
        <f t="shared" si="701"/>
        <v>4075.68</v>
      </c>
      <c r="DI156" s="874">
        <f t="shared" si="701"/>
        <v>5874.54</v>
      </c>
      <c r="DJ156" s="1669">
        <f t="shared" ref="DJ156:DK156" si="703">DJ182*DJ$176</f>
        <v>3274.0515700726687</v>
      </c>
      <c r="DK156" s="947">
        <f t="shared" si="703"/>
        <v>3369.468272207991</v>
      </c>
      <c r="DL156" s="947">
        <f t="shared" ref="DL156:DM156" si="704">DL182*DL$176</f>
        <v>3467.0680523862866</v>
      </c>
      <c r="DM156" s="874">
        <f t="shared" si="704"/>
        <v>5591.6148955749395</v>
      </c>
      <c r="DN156" s="588"/>
      <c r="DO156" s="1284"/>
      <c r="EJ156" s="19"/>
      <c r="EK156" s="88"/>
      <c r="EL156" s="789">
        <f>SUM(BF156:BI156)</f>
        <v>9310.16</v>
      </c>
      <c r="EM156" s="789">
        <f>SUM(BJ156:BM156)</f>
        <v>11084.77</v>
      </c>
      <c r="EN156" s="789">
        <f>SUM(BN156:BQ156)</f>
        <v>12795.080000000002</v>
      </c>
      <c r="EO156" s="789">
        <f>SUM(BR156:BU156)</f>
        <v>13564.03</v>
      </c>
      <c r="EP156" s="789">
        <f>SUM(BV156:BY156)</f>
        <v>14976.220000000001</v>
      </c>
      <c r="EQ156" s="789">
        <f>SUM(BZ156:CC156)</f>
        <v>13763.95</v>
      </c>
      <c r="ER156" s="789">
        <f>SUM(CD156:CG156)</f>
        <v>14666.96</v>
      </c>
      <c r="ES156" s="789">
        <f>SUM(CH156:CK156)</f>
        <v>16215.29</v>
      </c>
      <c r="ET156" s="789">
        <f>SUM(CL156:CO156)</f>
        <v>15950.630000000001</v>
      </c>
      <c r="EU156" s="789">
        <f>SUM(CP156:CS156)</f>
        <v>17029.330000000002</v>
      </c>
      <c r="EV156" s="789">
        <f>SUM(CT156:CW156)</f>
        <v>17007.37</v>
      </c>
      <c r="EW156" s="789">
        <f>SUM(CX156:DA156)</f>
        <v>16674.29</v>
      </c>
      <c r="EX156" s="789">
        <f>SUM(DB156:DE156)</f>
        <v>16504.61</v>
      </c>
      <c r="EY156" s="789">
        <f>SUM(DF156:DI156)</f>
        <v>17398.46</v>
      </c>
      <c r="EZ156" s="1737">
        <f>SUM(DJ156:DM156)</f>
        <v>15702.202790241887</v>
      </c>
      <c r="FA156" s="789">
        <f t="shared" ref="FA156:FH156" si="705">EZ156*(1+FA157)</f>
        <v>16016.246846046724</v>
      </c>
      <c r="FB156" s="789">
        <f t="shared" si="705"/>
        <v>16304.539289275566</v>
      </c>
      <c r="FC156" s="789">
        <f t="shared" si="705"/>
        <v>16568.672825761831</v>
      </c>
      <c r="FD156" s="789">
        <f t="shared" si="705"/>
        <v>16810.244075561437</v>
      </c>
      <c r="FE156" s="789">
        <f t="shared" si="705"/>
        <v>17030.828098320955</v>
      </c>
      <c r="FF156" s="789">
        <f t="shared" si="705"/>
        <v>17231.958771996506</v>
      </c>
      <c r="FG156" s="789">
        <f t="shared" si="705"/>
        <v>17415.114160031477</v>
      </c>
      <c r="FH156" s="789">
        <f t="shared" si="705"/>
        <v>17581.706062349258</v>
      </c>
      <c r="FI156" s="1194"/>
      <c r="FJ156"/>
      <c r="FK156"/>
      <c r="FL156"/>
      <c r="FM156"/>
      <c r="FN156"/>
      <c r="FO156"/>
      <c r="FP156" s="3"/>
      <c r="FS156" s="880"/>
      <c r="FT156" s="880"/>
      <c r="FU156"/>
      <c r="FV156"/>
      <c r="FW156" s="880"/>
      <c r="FX156" s="880"/>
      <c r="FY156" s="880"/>
      <c r="FZ156"/>
      <c r="GA156"/>
      <c r="GB156"/>
      <c r="GC156"/>
      <c r="GD156"/>
      <c r="GE156"/>
      <c r="GF156"/>
      <c r="GG156"/>
      <c r="GH156"/>
      <c r="GI156"/>
      <c r="GJ156"/>
      <c r="GK156"/>
      <c r="GL156"/>
      <c r="GM156"/>
      <c r="GN156"/>
      <c r="GO156"/>
      <c r="GP156"/>
      <c r="GQ156"/>
      <c r="GR156"/>
      <c r="GS156"/>
      <c r="GT156"/>
      <c r="GU156"/>
      <c r="GV156"/>
      <c r="GW156"/>
      <c r="GX156"/>
      <c r="GY156"/>
      <c r="GZ156"/>
      <c r="HA156"/>
      <c r="HB156"/>
      <c r="HC156"/>
      <c r="HD156"/>
      <c r="HE156"/>
      <c r="HF156"/>
      <c r="HG156"/>
      <c r="HH156"/>
      <c r="HI156"/>
      <c r="HJ156"/>
      <c r="HK156"/>
      <c r="HL156"/>
      <c r="HM156"/>
      <c r="HN156"/>
      <c r="HO156"/>
      <c r="HP156"/>
      <c r="HQ156"/>
      <c r="HR156"/>
      <c r="HS156"/>
      <c r="HT156"/>
      <c r="HU156"/>
      <c r="HV156"/>
      <c r="HW156"/>
      <c r="HX156"/>
      <c r="HY156"/>
      <c r="HZ156"/>
      <c r="IA156"/>
      <c r="IB156"/>
      <c r="IC156"/>
      <c r="ID156"/>
      <c r="IE156"/>
      <c r="IF156"/>
      <c r="IG156"/>
      <c r="IH156"/>
      <c r="II156"/>
      <c r="IJ156"/>
      <c r="IK156"/>
      <c r="IL156"/>
      <c r="IM156"/>
      <c r="IN156"/>
      <c r="IO156"/>
      <c r="IP156"/>
      <c r="IQ156"/>
      <c r="IR156"/>
      <c r="IS156"/>
      <c r="IT156"/>
      <c r="IU156"/>
      <c r="IV156"/>
      <c r="IW156"/>
      <c r="IX156"/>
      <c r="IY156"/>
      <c r="IZ156"/>
    </row>
    <row r="157" spans="1:260" s="4" customFormat="1" hidden="1" outlineLevel="1" x14ac:dyDescent="0.2">
      <c r="A157" s="4" t="s">
        <v>482</v>
      </c>
      <c r="E157" s="470"/>
      <c r="I157" s="470"/>
      <c r="M157" s="470"/>
      <c r="Q157" s="470"/>
      <c r="U157" s="470"/>
      <c r="Y157" s="470"/>
      <c r="AC157" s="470"/>
      <c r="AG157" s="470"/>
      <c r="AK157" s="470"/>
      <c r="AO157" s="470"/>
      <c r="AS157" s="470"/>
      <c r="AW157" s="470"/>
      <c r="BA157" s="470"/>
      <c r="BB157" s="6"/>
      <c r="BC157" s="6"/>
      <c r="BE157" s="484"/>
      <c r="BF157" s="213" t="s">
        <v>483</v>
      </c>
      <c r="BG157" s="213" t="s">
        <v>483</v>
      </c>
      <c r="BH157" s="213" t="s">
        <v>483</v>
      </c>
      <c r="BI157" s="490" t="s">
        <v>483</v>
      </c>
      <c r="BJ157" s="77">
        <f t="shared" ref="BJ157:BY157" si="706">BJ156/BF156-1</f>
        <v>0.18839498806682586</v>
      </c>
      <c r="BK157" s="77">
        <f t="shared" si="706"/>
        <v>0.23307499531780951</v>
      </c>
      <c r="BL157" s="77">
        <f t="shared" si="706"/>
        <v>0.18374089419665829</v>
      </c>
      <c r="BM157" s="487">
        <f t="shared" si="706"/>
        <v>0.16457576758005943</v>
      </c>
      <c r="BN157" s="77">
        <f t="shared" si="706"/>
        <v>0.13993931865496911</v>
      </c>
      <c r="BO157" s="77">
        <f t="shared" si="706"/>
        <v>0.10710178575303231</v>
      </c>
      <c r="BP157" s="77">
        <f t="shared" si="706"/>
        <v>0.12373032576866749</v>
      </c>
      <c r="BQ157" s="487">
        <f t="shared" si="706"/>
        <v>0.22629340892983696</v>
      </c>
      <c r="BR157" s="77">
        <f t="shared" si="706"/>
        <v>0.11305552918841943</v>
      </c>
      <c r="BS157" s="77">
        <f t="shared" si="706"/>
        <v>7.4691805656272647E-2</v>
      </c>
      <c r="BT157" s="77">
        <f t="shared" si="706"/>
        <v>9.346742534515462E-2</v>
      </c>
      <c r="BU157" s="487">
        <f t="shared" si="706"/>
        <v>-7.9321504941338716E-3</v>
      </c>
      <c r="BV157" s="77">
        <f t="shared" si="706"/>
        <v>7.2348380186320504E-2</v>
      </c>
      <c r="BW157" s="77">
        <f t="shared" si="706"/>
        <v>6.0965824123718759E-2</v>
      </c>
      <c r="BX157" s="77">
        <f t="shared" si="706"/>
        <v>0.10280199832438641</v>
      </c>
      <c r="BY157" s="487">
        <f t="shared" si="706"/>
        <v>0.16219798144561093</v>
      </c>
      <c r="BZ157" s="77">
        <f>BZ156/BN156-1</f>
        <v>0.26029046037019454</v>
      </c>
      <c r="CA157" s="77">
        <f>CA156/BO156-1</f>
        <v>-1.0756586898718945E-2</v>
      </c>
      <c r="CB157" s="77">
        <f>CB156/BP156-1</f>
        <v>0.10428436192628321</v>
      </c>
      <c r="CC157" s="487">
        <f>CC156/BQ156-1</f>
        <v>2.1455816910362913E-3</v>
      </c>
      <c r="CD157" s="77">
        <f t="shared" ref="CD157:CK157" si="707">CD156/BZ156-1</f>
        <v>1.1300609467687517E-2</v>
      </c>
      <c r="CE157" s="77">
        <f t="shared" si="707"/>
        <v>5.3608281464115448E-2</v>
      </c>
      <c r="CF157" s="77">
        <f t="shared" si="707"/>
        <v>6.4238703611525949E-2</v>
      </c>
      <c r="CG157" s="487">
        <f t="shared" si="707"/>
        <v>0.11872271201428286</v>
      </c>
      <c r="CH157" s="77">
        <f t="shared" si="707"/>
        <v>0.20892516682554807</v>
      </c>
      <c r="CI157" s="77">
        <f t="shared" si="707"/>
        <v>7.6006017299736772E-2</v>
      </c>
      <c r="CJ157" s="77">
        <f t="shared" si="707"/>
        <v>-3.1180979602443148E-3</v>
      </c>
      <c r="CK157" s="487">
        <f t="shared" si="707"/>
        <v>0.13215814558896488</v>
      </c>
      <c r="CL157" s="77">
        <f>CL156/CD156-1</f>
        <v>0.13008222116301238</v>
      </c>
      <c r="CM157" s="77">
        <f>CM156/CE156-1</f>
        <v>7.6006017299736772E-2</v>
      </c>
      <c r="CN157" s="77">
        <f>CN156/CF156-1</f>
        <v>-3.1180979602443148E-3</v>
      </c>
      <c r="CO157" s="487">
        <f>CO156/CG156-1</f>
        <v>0.13215814558896488</v>
      </c>
      <c r="CP157" s="77">
        <f t="shared" ref="CP157:CX157" si="708">CP156/CL156-1</f>
        <v>-1.5510905611236248E-2</v>
      </c>
      <c r="CQ157" s="77">
        <f t="shared" si="708"/>
        <v>0.10964023161254999</v>
      </c>
      <c r="CR157" s="77">
        <f t="shared" si="708"/>
        <v>0.1086146227029845</v>
      </c>
      <c r="CS157" s="487">
        <f t="shared" si="708"/>
        <v>7.3246063365585368E-2</v>
      </c>
      <c r="CT157" s="77">
        <f t="shared" si="708"/>
        <v>2.0904402589821736E-2</v>
      </c>
      <c r="CU157" s="77">
        <f t="shared" si="708"/>
        <v>-6.425618478902817E-2</v>
      </c>
      <c r="CV157" s="77">
        <f t="shared" si="708"/>
        <v>2.3041474654377891E-2</v>
      </c>
      <c r="CW157" s="487">
        <f t="shared" si="708"/>
        <v>9.9998585842873133E-3</v>
      </c>
      <c r="CX157" s="77">
        <f t="shared" si="708"/>
        <v>-2.7379619114063947E-2</v>
      </c>
      <c r="CY157" s="77">
        <f t="shared" ref="CY157:DE157" si="709">CY156/CU156-1</f>
        <v>1.6530386120422458E-2</v>
      </c>
      <c r="CZ157" s="77">
        <f t="shared" si="709"/>
        <v>1.2262262262262347E-2</v>
      </c>
      <c r="DA157" s="487">
        <f t="shared" si="709"/>
        <v>-5.8743535218293119E-2</v>
      </c>
      <c r="DB157" s="77">
        <f t="shared" si="709"/>
        <v>-7.7313054499366096E-3</v>
      </c>
      <c r="DC157" s="77">
        <f t="shared" si="709"/>
        <v>1.3962934755014089E-3</v>
      </c>
      <c r="DD157" s="70">
        <f t="shared" si="709"/>
        <v>1.2608158220024812E-2</v>
      </c>
      <c r="DE157" s="487">
        <f t="shared" si="709"/>
        <v>-3.6454004362208359E-2</v>
      </c>
      <c r="DF157" s="70">
        <f t="shared" ref="DF157:DM157" si="710">DF156/DB156-1</f>
        <v>-3.2402714403350186E-2</v>
      </c>
      <c r="DG157" s="70">
        <f t="shared" si="710"/>
        <v>7.1343147034671262E-2</v>
      </c>
      <c r="DH157" s="70">
        <f t="shared" si="710"/>
        <v>1.5345982142857206E-2</v>
      </c>
      <c r="DI157" s="487">
        <f t="shared" si="710"/>
        <v>0.1336521316258712</v>
      </c>
      <c r="DJ157" s="1673">
        <f t="shared" si="710"/>
        <v>-8.0425915607047371E-2</v>
      </c>
      <c r="DK157" s="70">
        <f t="shared" si="710"/>
        <v>-0.13333154856990226</v>
      </c>
      <c r="DL157" s="70">
        <f t="shared" si="710"/>
        <v>-0.14932770669280049</v>
      </c>
      <c r="DM157" s="487">
        <f t="shared" si="710"/>
        <v>-4.8161235505258415E-2</v>
      </c>
      <c r="DN157" s="1285"/>
      <c r="DO157" s="487"/>
      <c r="EJ157" s="19"/>
      <c r="EK157" s="88"/>
      <c r="EL157" s="213" t="s">
        <v>483</v>
      </c>
      <c r="EM157" s="77">
        <f>EM156/EL156-1</f>
        <v>0.19061004322159891</v>
      </c>
      <c r="EN157" s="77">
        <f>EN156/EM156-1</f>
        <v>0.15429368403674593</v>
      </c>
      <c r="EO157" s="77">
        <f>EO156/EN156-1</f>
        <v>6.0097318656858745E-2</v>
      </c>
      <c r="EP157" s="77">
        <f>EP156/EO156-1</f>
        <v>0.10411286321248192</v>
      </c>
      <c r="EQ157" s="77">
        <f>EQ156/EN156-1</f>
        <v>7.5722074422355901E-2</v>
      </c>
      <c r="ER157" s="77">
        <f>ER156/EQ156-1</f>
        <v>6.5606893369999142E-2</v>
      </c>
      <c r="ES157" s="77">
        <f>ES156/ER156-1</f>
        <v>0.10556584322859019</v>
      </c>
      <c r="ET157" s="77">
        <f>ET156/ER156-1</f>
        <v>8.7521204121372209E-2</v>
      </c>
      <c r="EU157" s="77">
        <f>EU156/ES156-1</f>
        <v>5.0202000704273608E-2</v>
      </c>
      <c r="EV157" s="77">
        <f>EV156/EU156-1</f>
        <v>-1.2895398703297589E-3</v>
      </c>
      <c r="EW157" s="77">
        <f>EW156/EV156-1</f>
        <v>-1.9584450741060966E-2</v>
      </c>
      <c r="EX157" s="77">
        <f>EX156/EW156-1</f>
        <v>-1.0176145431079808E-2</v>
      </c>
      <c r="EY157" s="77">
        <f>EY156/EX156-1</f>
        <v>5.4157595968641337E-2</v>
      </c>
      <c r="EZ157" s="1680">
        <f>EZ156/EY156-1</f>
        <v>-9.7494675376907591E-2</v>
      </c>
      <c r="FA157" s="1610">
        <v>0.02</v>
      </c>
      <c r="FB157" s="1610">
        <f t="shared" ref="FB157:FH157" si="711">FA157*0.9</f>
        <v>1.8000000000000002E-2</v>
      </c>
      <c r="FC157" s="1610">
        <f t="shared" si="711"/>
        <v>1.6200000000000003E-2</v>
      </c>
      <c r="FD157" s="1610">
        <f t="shared" si="711"/>
        <v>1.4580000000000003E-2</v>
      </c>
      <c r="FE157" s="1610">
        <f t="shared" si="711"/>
        <v>1.3122000000000003E-2</v>
      </c>
      <c r="FF157" s="1610">
        <f t="shared" si="711"/>
        <v>1.1809800000000004E-2</v>
      </c>
      <c r="FG157" s="1610">
        <f t="shared" si="711"/>
        <v>1.0628820000000004E-2</v>
      </c>
      <c r="FH157" s="1610">
        <f t="shared" si="711"/>
        <v>9.5659380000000047E-3</v>
      </c>
      <c r="FI157" s="1285"/>
      <c r="FJ157"/>
      <c r="FK157"/>
      <c r="FL157"/>
      <c r="FM157"/>
      <c r="FN157"/>
      <c r="FO157"/>
      <c r="FP157" s="3"/>
      <c r="FS157" s="1226"/>
      <c r="FT157" s="1226"/>
      <c r="FU157"/>
      <c r="FV157"/>
      <c r="FW157" s="1606"/>
      <c r="FX157" s="1606"/>
      <c r="FY157" s="1606"/>
      <c r="FZ157"/>
      <c r="GA157"/>
      <c r="GB157"/>
      <c r="GC157"/>
      <c r="GD157"/>
      <c r="GE157"/>
      <c r="GF157"/>
      <c r="GG157"/>
      <c r="GH157"/>
      <c r="GI157"/>
      <c r="GJ157"/>
      <c r="GK157"/>
      <c r="GL157"/>
      <c r="GM157"/>
      <c r="GN157"/>
      <c r="GO157"/>
      <c r="GP157"/>
      <c r="GQ157"/>
      <c r="GR157"/>
      <c r="GS157"/>
      <c r="GT157"/>
      <c r="GU157"/>
      <c r="GV157"/>
      <c r="GW157"/>
      <c r="GX157"/>
      <c r="GY157"/>
      <c r="GZ157"/>
      <c r="HA157"/>
      <c r="HB157"/>
      <c r="HC157"/>
      <c r="HD157"/>
      <c r="HE157"/>
      <c r="HF157"/>
      <c r="HG157"/>
      <c r="HH157"/>
      <c r="HI157"/>
      <c r="HJ157"/>
      <c r="HK157"/>
      <c r="HL157"/>
      <c r="HM157"/>
      <c r="HN157"/>
      <c r="HO157"/>
      <c r="HP157"/>
      <c r="HQ157"/>
      <c r="HR157"/>
      <c r="HS157"/>
      <c r="HT157"/>
      <c r="HU157"/>
      <c r="HV157"/>
      <c r="HW157"/>
      <c r="HX157"/>
      <c r="HY157"/>
      <c r="HZ157"/>
      <c r="IA157"/>
      <c r="IB157"/>
      <c r="IC157"/>
      <c r="ID157"/>
      <c r="IE157"/>
      <c r="IF157"/>
      <c r="IG157"/>
      <c r="IH157"/>
      <c r="II157"/>
      <c r="IJ157"/>
      <c r="IK157"/>
      <c r="IL157"/>
      <c r="IM157"/>
      <c r="IN157"/>
      <c r="IO157"/>
      <c r="IP157"/>
      <c r="IQ157"/>
      <c r="IR157"/>
      <c r="IS157"/>
      <c r="IT157"/>
      <c r="IU157"/>
      <c r="IV157"/>
      <c r="IW157"/>
      <c r="IX157"/>
      <c r="IY157"/>
      <c r="IZ157"/>
    </row>
    <row r="158" spans="1:260" s="4" customFormat="1" hidden="1" outlineLevel="1" x14ac:dyDescent="0.2">
      <c r="A158" s="4" t="s">
        <v>4</v>
      </c>
      <c r="E158" s="470"/>
      <c r="I158" s="470"/>
      <c r="M158" s="470"/>
      <c r="Q158" s="470"/>
      <c r="U158" s="470"/>
      <c r="Y158" s="470"/>
      <c r="AC158" s="470"/>
      <c r="AG158" s="470"/>
      <c r="AK158" s="470"/>
      <c r="AO158" s="470"/>
      <c r="AS158" s="470"/>
      <c r="AW158" s="470"/>
      <c r="BA158" s="470"/>
      <c r="BB158" s="6"/>
      <c r="BC158" s="6"/>
      <c r="BE158" s="484"/>
      <c r="BF158" s="6"/>
      <c r="BG158" s="6"/>
      <c r="BH158" s="6"/>
      <c r="BI158" s="484"/>
      <c r="BJ158" s="6"/>
      <c r="BK158" s="6"/>
      <c r="BL158" s="6"/>
      <c r="BM158" s="484"/>
      <c r="BN158" s="77"/>
      <c r="BO158" s="77"/>
      <c r="BP158" s="77"/>
      <c r="BQ158" s="487"/>
      <c r="BR158" s="77"/>
      <c r="BS158" s="77"/>
      <c r="BT158" s="77"/>
      <c r="BU158" s="487"/>
      <c r="BV158" s="77"/>
      <c r="BW158" s="77"/>
      <c r="BX158" s="77"/>
      <c r="BY158" s="487"/>
      <c r="BZ158" s="77"/>
      <c r="CA158" s="77"/>
      <c r="CB158" s="77"/>
      <c r="CC158" s="487"/>
      <c r="CD158" s="77">
        <f t="shared" ref="CD158:DB158" si="712">+CD157+BZ157</f>
        <v>0.27159106983788206</v>
      </c>
      <c r="CE158" s="77">
        <f t="shared" si="712"/>
        <v>4.2851694565396503E-2</v>
      </c>
      <c r="CF158" s="77">
        <f t="shared" si="712"/>
        <v>0.16852306553780916</v>
      </c>
      <c r="CG158" s="487">
        <f t="shared" si="712"/>
        <v>0.12086829370531915</v>
      </c>
      <c r="CH158" s="77">
        <f t="shared" si="712"/>
        <v>0.22022577629323559</v>
      </c>
      <c r="CI158" s="77">
        <f t="shared" si="712"/>
        <v>0.12961429876385222</v>
      </c>
      <c r="CJ158" s="77">
        <f t="shared" si="712"/>
        <v>6.1120605651281634E-2</v>
      </c>
      <c r="CK158" s="487">
        <f t="shared" si="712"/>
        <v>0.25088085760324774</v>
      </c>
      <c r="CL158" s="77">
        <f t="shared" si="712"/>
        <v>0.33900738798856045</v>
      </c>
      <c r="CM158" s="77">
        <f t="shared" si="712"/>
        <v>0.15201203459947354</v>
      </c>
      <c r="CN158" s="77">
        <f t="shared" si="712"/>
        <v>-6.2361959204886297E-3</v>
      </c>
      <c r="CO158" s="487">
        <f t="shared" si="712"/>
        <v>0.26431629117792976</v>
      </c>
      <c r="CP158" s="77">
        <f t="shared" si="712"/>
        <v>0.11457131555177613</v>
      </c>
      <c r="CQ158" s="77">
        <f t="shared" si="712"/>
        <v>0.18564624891228676</v>
      </c>
      <c r="CR158" s="77">
        <f t="shared" si="712"/>
        <v>0.10549652474274018</v>
      </c>
      <c r="CS158" s="487">
        <f t="shared" si="712"/>
        <v>0.20540420895455025</v>
      </c>
      <c r="CT158" s="77">
        <f t="shared" si="712"/>
        <v>5.393496978585488E-3</v>
      </c>
      <c r="CU158" s="77">
        <f t="shared" si="712"/>
        <v>4.5384046823521818E-2</v>
      </c>
      <c r="CV158" s="77">
        <f t="shared" si="712"/>
        <v>0.13165609735736239</v>
      </c>
      <c r="CW158" s="487">
        <f t="shared" si="712"/>
        <v>8.3245921949872681E-2</v>
      </c>
      <c r="CX158" s="77">
        <f t="shared" si="712"/>
        <v>-6.4752165242422111E-3</v>
      </c>
      <c r="CY158" s="77">
        <f t="shared" si="712"/>
        <v>-4.7725798668605712E-2</v>
      </c>
      <c r="CZ158" s="77">
        <f t="shared" si="712"/>
        <v>3.5303736916640238E-2</v>
      </c>
      <c r="DA158" s="487">
        <f t="shared" si="712"/>
        <v>-4.8743676634005806E-2</v>
      </c>
      <c r="DB158" s="77">
        <f t="shared" si="712"/>
        <v>-3.5110924564000556E-2</v>
      </c>
      <c r="DC158" s="77">
        <f t="shared" ref="DC158:DM158" si="713">+DC157+CY157</f>
        <v>1.7926679595923867E-2</v>
      </c>
      <c r="DD158" s="70">
        <f t="shared" si="713"/>
        <v>2.4870420482287159E-2</v>
      </c>
      <c r="DE158" s="487">
        <f t="shared" si="713"/>
        <v>-9.5197539580501478E-2</v>
      </c>
      <c r="DF158" s="70">
        <f t="shared" si="713"/>
        <v>-4.0134019853286795E-2</v>
      </c>
      <c r="DG158" s="70">
        <f t="shared" si="713"/>
        <v>7.273944051017267E-2</v>
      </c>
      <c r="DH158" s="70">
        <f t="shared" si="713"/>
        <v>2.7954140362882018E-2</v>
      </c>
      <c r="DI158" s="487">
        <f t="shared" si="713"/>
        <v>9.7198127263662837E-2</v>
      </c>
      <c r="DJ158" s="1673">
        <f t="shared" si="713"/>
        <v>-0.11282863001039756</v>
      </c>
      <c r="DK158" s="70">
        <f t="shared" si="713"/>
        <v>-6.1988401535230997E-2</v>
      </c>
      <c r="DL158" s="70">
        <f t="shared" si="713"/>
        <v>-0.13398172454994328</v>
      </c>
      <c r="DM158" s="487">
        <f t="shared" si="713"/>
        <v>8.549089612061278E-2</v>
      </c>
      <c r="DN158" s="580"/>
      <c r="DO158" s="487"/>
      <c r="EJ158" s="19"/>
      <c r="EK158" s="88"/>
      <c r="EL158" s="88"/>
      <c r="EM158" s="88"/>
      <c r="EN158" s="77"/>
      <c r="EO158" s="77"/>
      <c r="EP158" s="77"/>
      <c r="EQ158" s="77"/>
      <c r="ER158" s="77">
        <f>AVERAGE(ER157,EQ157)</f>
        <v>7.0664483896177521E-2</v>
      </c>
      <c r="ES158" s="77">
        <f>AVERAGE(ES157,ER157)</f>
        <v>8.5586368299294668E-2</v>
      </c>
      <c r="ET158" s="77">
        <f>AVERAGE(ET157,ER157)</f>
        <v>7.6564048745685676E-2</v>
      </c>
      <c r="EU158" s="77">
        <f>AVERAGE(EU157,ES157)</f>
        <v>7.7883921966431902E-2</v>
      </c>
      <c r="EV158" s="77">
        <f>AVERAGE(EV157,EU157)</f>
        <v>2.4456230416971925E-2</v>
      </c>
      <c r="EW158" s="77">
        <f>AVERAGE(EW157,EV157)</f>
        <v>-1.0436995305695362E-2</v>
      </c>
      <c r="EX158" s="77">
        <f>AVERAGE(EX157,EW157)</f>
        <v>-1.4880298086070387E-2</v>
      </c>
      <c r="EY158" s="77">
        <f>AVERAGE(EY157,EX157)</f>
        <v>2.1990725268780764E-2</v>
      </c>
      <c r="EZ158" s="1680">
        <f>AVERAGE(EZ157,EY157)</f>
        <v>-2.1668539704133127E-2</v>
      </c>
      <c r="FA158" s="77">
        <f t="shared" ref="FA158:FH158" si="714">FA157+EZ157</f>
        <v>-7.7494675376907587E-2</v>
      </c>
      <c r="FB158" s="77">
        <f t="shared" si="714"/>
        <v>3.8000000000000006E-2</v>
      </c>
      <c r="FC158" s="77">
        <f t="shared" si="714"/>
        <v>3.4200000000000008E-2</v>
      </c>
      <c r="FD158" s="77">
        <f t="shared" si="714"/>
        <v>3.0780000000000005E-2</v>
      </c>
      <c r="FE158" s="77">
        <f t="shared" si="714"/>
        <v>2.7702000000000004E-2</v>
      </c>
      <c r="FF158" s="77">
        <f t="shared" si="714"/>
        <v>2.4931800000000007E-2</v>
      </c>
      <c r="FG158" s="77">
        <f t="shared" si="714"/>
        <v>2.2438620000000006E-2</v>
      </c>
      <c r="FH158" s="77">
        <f t="shared" si="714"/>
        <v>2.0194758000000007E-2</v>
      </c>
      <c r="FI158" s="580"/>
      <c r="FJ158"/>
      <c r="FK158"/>
      <c r="FL158"/>
      <c r="FM158"/>
      <c r="FN158"/>
      <c r="FO158"/>
      <c r="FP158" s="3"/>
      <c r="FS158" s="70"/>
      <c r="FT158" s="70"/>
      <c r="FU158"/>
      <c r="FV158"/>
      <c r="FW158" s="70"/>
      <c r="FX158" s="70"/>
      <c r="FY158" s="70"/>
      <c r="FZ158"/>
      <c r="GA158"/>
      <c r="GB158"/>
      <c r="GC158"/>
      <c r="GD158"/>
      <c r="GE158"/>
      <c r="GF158"/>
      <c r="GG158"/>
      <c r="GH158"/>
      <c r="GI158"/>
      <c r="GJ158"/>
      <c r="GK158"/>
      <c r="GL158"/>
      <c r="GM158"/>
      <c r="GN158"/>
      <c r="GO158"/>
      <c r="GP158"/>
      <c r="GQ158"/>
      <c r="GR158"/>
      <c r="GS158"/>
      <c r="GT158"/>
      <c r="GU158"/>
      <c r="GV158"/>
      <c r="GW158"/>
      <c r="GX158"/>
      <c r="GY158"/>
      <c r="GZ158"/>
      <c r="HA158"/>
      <c r="HB158"/>
      <c r="HC158"/>
      <c r="HD158"/>
      <c r="HE158"/>
      <c r="HF158"/>
      <c r="HG158"/>
      <c r="HH158"/>
      <c r="HI158"/>
      <c r="HJ158"/>
      <c r="HK158"/>
      <c r="HL158"/>
      <c r="HM158"/>
      <c r="HN158"/>
      <c r="HO158"/>
      <c r="HP158"/>
      <c r="HQ158"/>
      <c r="HR158"/>
      <c r="HS158"/>
      <c r="HT158"/>
      <c r="HU158"/>
      <c r="HV158"/>
      <c r="HW158"/>
      <c r="HX158"/>
      <c r="HY158"/>
      <c r="HZ158"/>
      <c r="IA158"/>
      <c r="IB158"/>
      <c r="IC158"/>
      <c r="ID158"/>
      <c r="IE158"/>
      <c r="IF158"/>
      <c r="IG158"/>
      <c r="IH158"/>
      <c r="II158"/>
      <c r="IJ158"/>
      <c r="IK158"/>
      <c r="IL158"/>
      <c r="IM158"/>
      <c r="IN158"/>
      <c r="IO158"/>
      <c r="IP158"/>
      <c r="IQ158"/>
      <c r="IR158"/>
      <c r="IS158"/>
      <c r="IT158"/>
      <c r="IU158"/>
      <c r="IV158"/>
      <c r="IW158"/>
      <c r="IX158"/>
      <c r="IY158"/>
      <c r="IZ158"/>
    </row>
    <row r="159" spans="1:260" s="4" customFormat="1" hidden="1" outlineLevel="1" x14ac:dyDescent="0.2">
      <c r="E159" s="470"/>
      <c r="I159" s="470"/>
      <c r="M159" s="470"/>
      <c r="Q159" s="470"/>
      <c r="U159" s="470"/>
      <c r="Y159" s="470"/>
      <c r="AC159" s="470"/>
      <c r="AG159" s="470"/>
      <c r="AK159" s="470"/>
      <c r="AO159" s="470"/>
      <c r="AS159" s="470"/>
      <c r="AW159" s="470"/>
      <c r="BA159" s="470"/>
      <c r="BB159" s="6"/>
      <c r="BC159" s="6"/>
      <c r="BE159" s="484"/>
      <c r="BF159" s="6"/>
      <c r="BG159" s="6"/>
      <c r="BH159" s="6"/>
      <c r="BI159" s="484"/>
      <c r="BJ159" s="6"/>
      <c r="BK159" s="6"/>
      <c r="BL159" s="6"/>
      <c r="BM159" s="484"/>
      <c r="BN159" s="6"/>
      <c r="BO159" s="6"/>
      <c r="BP159" s="6"/>
      <c r="BQ159" s="484"/>
      <c r="BR159" s="6"/>
      <c r="BS159" s="6"/>
      <c r="BT159" s="6"/>
      <c r="BU159" s="499"/>
      <c r="BV159" s="77"/>
      <c r="BW159" s="77"/>
      <c r="BX159" s="77"/>
      <c r="BY159" s="487"/>
      <c r="BZ159" s="6"/>
      <c r="CA159" s="6"/>
      <c r="CB159" s="6"/>
      <c r="CC159" s="499"/>
      <c r="CD159" s="77"/>
      <c r="CE159" s="77"/>
      <c r="CF159" s="77"/>
      <c r="CG159" s="487"/>
      <c r="CH159" s="77"/>
      <c r="CI159" s="77"/>
      <c r="CJ159" s="77"/>
      <c r="CK159" s="487"/>
      <c r="CL159" s="77"/>
      <c r="CM159" s="77"/>
      <c r="CN159" s="77"/>
      <c r="CO159" s="487"/>
      <c r="CP159" s="77"/>
      <c r="CQ159" s="77"/>
      <c r="CR159" s="77"/>
      <c r="CS159" s="487"/>
      <c r="CT159" s="77"/>
      <c r="CU159" s="77"/>
      <c r="CV159" s="77"/>
      <c r="CW159" s="487"/>
      <c r="CX159" s="77"/>
      <c r="CY159" s="77"/>
      <c r="CZ159" s="77"/>
      <c r="DA159" s="487"/>
      <c r="DB159" s="77"/>
      <c r="DC159" s="77"/>
      <c r="DD159" s="70"/>
      <c r="DE159" s="487"/>
      <c r="DF159" s="70"/>
      <c r="DG159" s="70"/>
      <c r="DH159" s="70"/>
      <c r="DI159" s="487"/>
      <c r="DJ159" s="1673"/>
      <c r="DK159" s="70"/>
      <c r="DL159" s="70"/>
      <c r="DM159" s="487"/>
      <c r="DN159" s="580"/>
      <c r="DO159" s="484"/>
      <c r="EJ159" s="19"/>
      <c r="EK159" s="88"/>
      <c r="EL159" s="88"/>
      <c r="EM159" s="88"/>
      <c r="EN159" s="88"/>
      <c r="EO159" s="88"/>
      <c r="EP159" s="77"/>
      <c r="EQ159" s="88"/>
      <c r="ER159" s="77"/>
      <c r="ES159" s="77"/>
      <c r="ET159" s="77"/>
      <c r="EU159" s="77"/>
      <c r="EV159" s="77"/>
      <c r="EW159" s="77"/>
      <c r="EX159" s="77"/>
      <c r="EY159" s="77"/>
      <c r="EZ159" s="1680"/>
      <c r="FA159" s="88"/>
      <c r="FB159" s="88"/>
      <c r="FC159" s="88"/>
      <c r="FD159" s="88"/>
      <c r="FE159" s="88"/>
      <c r="FF159" s="88"/>
      <c r="FG159" s="88"/>
      <c r="FH159" s="88"/>
      <c r="FI159" s="590"/>
      <c r="FJ159"/>
      <c r="FK159"/>
      <c r="FL159"/>
      <c r="FM159"/>
      <c r="FN159"/>
      <c r="FO159"/>
      <c r="FP159" s="3"/>
      <c r="FS159" s="53"/>
      <c r="FT159" s="53"/>
      <c r="FU159"/>
      <c r="FV159"/>
      <c r="FW159" s="53"/>
      <c r="FX159" s="53"/>
      <c r="FY159" s="53"/>
      <c r="FZ159"/>
      <c r="GA159"/>
      <c r="GB159"/>
      <c r="GC159"/>
      <c r="GD159"/>
      <c r="GE159"/>
      <c r="GF159"/>
      <c r="GG159"/>
      <c r="GH159"/>
      <c r="GI159"/>
      <c r="GJ159"/>
      <c r="GK159"/>
      <c r="GL159"/>
      <c r="GM159"/>
      <c r="GN159"/>
      <c r="GO159"/>
      <c r="GP159"/>
      <c r="GQ159"/>
      <c r="GR159"/>
      <c r="GS159"/>
      <c r="GT159"/>
      <c r="GU159"/>
      <c r="GV159"/>
      <c r="GW159"/>
      <c r="GX159"/>
      <c r="GY159"/>
      <c r="GZ159"/>
      <c r="HA159"/>
      <c r="HB159"/>
      <c r="HC159"/>
      <c r="HD159"/>
      <c r="HE159"/>
      <c r="HF159"/>
      <c r="HG159"/>
      <c r="HH159"/>
      <c r="HI159"/>
      <c r="HJ159"/>
      <c r="HK159"/>
      <c r="HL159"/>
      <c r="HM159"/>
      <c r="HN159"/>
      <c r="HO159"/>
      <c r="HP159"/>
      <c r="HQ159"/>
      <c r="HR159"/>
      <c r="HS159"/>
      <c r="HT159"/>
      <c r="HU159"/>
      <c r="HV159"/>
      <c r="HW159"/>
      <c r="HX159"/>
      <c r="HY159"/>
      <c r="HZ159"/>
      <c r="IA159"/>
      <c r="IB159"/>
      <c r="IC159"/>
      <c r="ID159"/>
      <c r="IE159"/>
      <c r="IF159"/>
      <c r="IG159"/>
      <c r="IH159"/>
      <c r="II159"/>
      <c r="IJ159"/>
      <c r="IK159"/>
      <c r="IL159"/>
      <c r="IM159"/>
      <c r="IN159"/>
      <c r="IO159"/>
      <c r="IP159"/>
      <c r="IQ159"/>
      <c r="IR159"/>
      <c r="IS159"/>
      <c r="IT159"/>
      <c r="IU159"/>
      <c r="IV159"/>
      <c r="IW159"/>
      <c r="IX159"/>
      <c r="IY159"/>
      <c r="IZ159"/>
    </row>
    <row r="160" spans="1:260" s="4" customFormat="1" hidden="1" outlineLevel="1" x14ac:dyDescent="0.2">
      <c r="A160" s="19" t="s">
        <v>303</v>
      </c>
      <c r="B160" s="47"/>
      <c r="C160" s="47"/>
      <c r="D160" s="47"/>
      <c r="E160" s="709"/>
      <c r="F160" s="47"/>
      <c r="G160" s="47"/>
      <c r="H160" s="47"/>
      <c r="I160" s="709"/>
      <c r="J160" s="47"/>
      <c r="K160" s="47"/>
      <c r="L160" s="47"/>
      <c r="M160" s="709"/>
      <c r="N160" s="47"/>
      <c r="O160" s="47"/>
      <c r="P160" s="47"/>
      <c r="Q160" s="709"/>
      <c r="R160" s="47"/>
      <c r="S160" s="47"/>
      <c r="T160" s="47"/>
      <c r="U160" s="709"/>
      <c r="V160" s="47"/>
      <c r="W160" s="47"/>
      <c r="X160" s="47"/>
      <c r="Y160" s="709"/>
      <c r="Z160" s="47"/>
      <c r="AA160" s="47"/>
      <c r="AB160" s="47"/>
      <c r="AC160" s="709"/>
      <c r="AD160" s="47"/>
      <c r="AE160" s="47"/>
      <c r="AF160" s="47"/>
      <c r="AG160" s="709"/>
      <c r="AH160" s="47"/>
      <c r="AI160" s="47"/>
      <c r="AJ160" s="47"/>
      <c r="AK160" s="709"/>
      <c r="AL160" s="47"/>
      <c r="AM160" s="47"/>
      <c r="AN160" s="47"/>
      <c r="AO160" s="709"/>
      <c r="AP160" s="47"/>
      <c r="AQ160" s="47"/>
      <c r="AR160" s="47"/>
      <c r="AS160" s="709"/>
      <c r="AT160" s="47"/>
      <c r="AU160" s="47"/>
      <c r="AV160" s="47"/>
      <c r="AW160" s="709"/>
      <c r="AX160" s="47"/>
      <c r="AY160" s="47"/>
      <c r="AZ160" s="47"/>
      <c r="BA160" s="709"/>
      <c r="BB160" s="873"/>
      <c r="BC160" s="873"/>
      <c r="BD160" s="47"/>
      <c r="BE160" s="874"/>
      <c r="BF160" s="873">
        <f t="shared" ref="BF160:CS160" si="715">BF183*BF$176</f>
        <v>1206.72</v>
      </c>
      <c r="BG160" s="873">
        <f t="shared" si="715"/>
        <v>1229.7800000000002</v>
      </c>
      <c r="BH160" s="873">
        <f t="shared" si="715"/>
        <v>1641.2</v>
      </c>
      <c r="BI160" s="874">
        <f t="shared" si="715"/>
        <v>2572.3200000000002</v>
      </c>
      <c r="BJ160" s="873">
        <f t="shared" si="715"/>
        <v>1341.54</v>
      </c>
      <c r="BK160" s="873">
        <f t="shared" si="715"/>
        <v>1301.28</v>
      </c>
      <c r="BL160" s="873">
        <f t="shared" si="715"/>
        <v>1557.24</v>
      </c>
      <c r="BM160" s="874">
        <f t="shared" si="715"/>
        <v>2370.48</v>
      </c>
      <c r="BN160" s="873">
        <f t="shared" si="715"/>
        <v>1128.75</v>
      </c>
      <c r="BO160" s="873">
        <f t="shared" si="715"/>
        <v>1075.6200000000001</v>
      </c>
      <c r="BP160" s="873">
        <f t="shared" si="715"/>
        <v>1428.96</v>
      </c>
      <c r="BQ160" s="874">
        <f t="shared" si="715"/>
        <v>2265.12</v>
      </c>
      <c r="BR160" s="873">
        <f t="shared" si="715"/>
        <v>1029.99</v>
      </c>
      <c r="BS160" s="873">
        <f t="shared" si="715"/>
        <v>1012.3199999999999</v>
      </c>
      <c r="BT160" s="873">
        <f t="shared" si="715"/>
        <v>1306.5</v>
      </c>
      <c r="BU160" s="874">
        <f t="shared" si="715"/>
        <v>2059.8900000000003</v>
      </c>
      <c r="BV160" s="873">
        <f t="shared" si="715"/>
        <v>943.07999999999993</v>
      </c>
      <c r="BW160" s="873">
        <f t="shared" si="715"/>
        <v>747.99</v>
      </c>
      <c r="BX160" s="873">
        <f t="shared" si="715"/>
        <v>1155.05</v>
      </c>
      <c r="BY160" s="874">
        <f t="shared" si="715"/>
        <v>1638</v>
      </c>
      <c r="BZ160" s="873">
        <f t="shared" si="715"/>
        <v>1191.5400000000002</v>
      </c>
      <c r="CA160" s="873">
        <f t="shared" si="715"/>
        <v>982.19999999999993</v>
      </c>
      <c r="CB160" s="873">
        <f t="shared" si="715"/>
        <v>952.56</v>
      </c>
      <c r="CC160" s="874">
        <f t="shared" si="715"/>
        <v>2269.98</v>
      </c>
      <c r="CD160" s="873">
        <f t="shared" si="715"/>
        <v>1090.96</v>
      </c>
      <c r="CE160" s="873">
        <f t="shared" si="715"/>
        <v>797.7</v>
      </c>
      <c r="CF160" s="873">
        <f t="shared" si="715"/>
        <v>805.5</v>
      </c>
      <c r="CG160" s="874">
        <f t="shared" si="715"/>
        <v>1887.4499999999998</v>
      </c>
      <c r="CH160" s="873">
        <f t="shared" si="715"/>
        <v>511.67600000000004</v>
      </c>
      <c r="CI160" s="873">
        <f t="shared" si="715"/>
        <v>624.24</v>
      </c>
      <c r="CJ160" s="873">
        <f t="shared" si="715"/>
        <v>690.56999999999994</v>
      </c>
      <c r="CK160" s="874">
        <f t="shared" si="715"/>
        <v>1506</v>
      </c>
      <c r="CL160" s="873">
        <f t="shared" si="715"/>
        <v>793.98</v>
      </c>
      <c r="CM160" s="873">
        <f t="shared" si="715"/>
        <v>624.24</v>
      </c>
      <c r="CN160" s="873">
        <f t="shared" si="715"/>
        <v>690.56999999999994</v>
      </c>
      <c r="CO160" s="874">
        <f t="shared" si="715"/>
        <v>1506</v>
      </c>
      <c r="CP160" s="873">
        <f t="shared" si="715"/>
        <v>635.68000000000006</v>
      </c>
      <c r="CQ160" s="873">
        <f t="shared" si="715"/>
        <v>388.75</v>
      </c>
      <c r="CR160" s="873">
        <f t="shared" si="715"/>
        <v>468.71999999999997</v>
      </c>
      <c r="CS160" s="874">
        <f t="shared" si="715"/>
        <v>1352.78</v>
      </c>
      <c r="CT160" s="873">
        <f t="shared" ref="CT160:CZ160" si="716">CT183*CT$176</f>
        <v>622.48</v>
      </c>
      <c r="CU160" s="873">
        <f t="shared" si="716"/>
        <v>455.09999999999997</v>
      </c>
      <c r="CV160" s="873">
        <f t="shared" si="716"/>
        <v>559.44000000000005</v>
      </c>
      <c r="CW160" s="874">
        <f t="shared" si="716"/>
        <v>1396.67</v>
      </c>
      <c r="CX160" s="873">
        <f t="shared" si="716"/>
        <v>552.30000000000007</v>
      </c>
      <c r="CY160" s="873">
        <f t="shared" si="716"/>
        <v>472.68</v>
      </c>
      <c r="CZ160" s="873">
        <f t="shared" si="716"/>
        <v>485.4</v>
      </c>
      <c r="DA160" s="874">
        <f t="shared" ref="DA160:DI160" si="717">DA183*DA$176</f>
        <v>1375.77</v>
      </c>
      <c r="DB160" s="873">
        <f t="shared" si="717"/>
        <v>469.74</v>
      </c>
      <c r="DC160" s="873">
        <f t="shared" si="717"/>
        <v>394.45000000000005</v>
      </c>
      <c r="DD160" s="947">
        <f t="shared" si="717"/>
        <v>491.52</v>
      </c>
      <c r="DE160" s="874">
        <f t="shared" si="717"/>
        <v>1110.4199999999998</v>
      </c>
      <c r="DF160" s="947">
        <f t="shared" si="717"/>
        <v>553.84</v>
      </c>
      <c r="DG160" s="947">
        <f t="shared" ref="DG160" si="718">DG183*DG$176</f>
        <v>496.32</v>
      </c>
      <c r="DH160" s="947">
        <f t="shared" si="717"/>
        <v>509.46</v>
      </c>
      <c r="DI160" s="874">
        <f t="shared" si="717"/>
        <v>1398.7</v>
      </c>
      <c r="DJ160" s="1669">
        <f t="shared" ref="DJ160:DK160" si="719">DJ183*DJ$176</f>
        <v>808.40779507967136</v>
      </c>
      <c r="DK160" s="947">
        <f t="shared" si="719"/>
        <v>831.96747461925702</v>
      </c>
      <c r="DL160" s="947">
        <f t="shared" ref="DL160:DM160" si="720">DL183*DL$176</f>
        <v>856.06618577439167</v>
      </c>
      <c r="DM160" s="874">
        <f t="shared" si="720"/>
        <v>1380.6456532283801</v>
      </c>
      <c r="DN160" s="588"/>
      <c r="DO160" s="1284"/>
      <c r="EJ160" s="19"/>
      <c r="EK160" s="88"/>
      <c r="EL160" s="789">
        <f>SUM(BF160:BI160)</f>
        <v>6650.02</v>
      </c>
      <c r="EM160" s="789">
        <f>SUM(BJ160:BM160)</f>
        <v>6570.5399999999991</v>
      </c>
      <c r="EN160" s="789">
        <f>SUM(BN160:BQ160)</f>
        <v>5898.45</v>
      </c>
      <c r="EO160" s="789">
        <f>SUM(BR160:BU160)</f>
        <v>5408.7000000000007</v>
      </c>
      <c r="EP160" s="789">
        <f>SUM(BV160:BY160)</f>
        <v>4484.12</v>
      </c>
      <c r="EQ160" s="789">
        <f>SUM(BZ160:CC160)</f>
        <v>5396.2800000000007</v>
      </c>
      <c r="ER160" s="789">
        <f>SUM(CD160:CG160)</f>
        <v>4581.6099999999997</v>
      </c>
      <c r="ES160" s="789">
        <f>SUM(CH160:CK160)</f>
        <v>3332.4859999999999</v>
      </c>
      <c r="ET160" s="789">
        <f>SUM(CL160:CO160)</f>
        <v>3614.79</v>
      </c>
      <c r="EU160" s="789">
        <f>SUM(CP160:CS160)</f>
        <v>2845.9300000000003</v>
      </c>
      <c r="EV160" s="789">
        <f>SUM(CT160:CW160)</f>
        <v>3033.69</v>
      </c>
      <c r="EW160" s="789">
        <f>SUM(CX160:DA160)</f>
        <v>2886.15</v>
      </c>
      <c r="EX160" s="789">
        <f>SUM(DB160:DE160)</f>
        <v>2466.13</v>
      </c>
      <c r="EY160" s="789">
        <f>SUM(DF160:DI160)</f>
        <v>2958.32</v>
      </c>
      <c r="EZ160" s="1737">
        <f>SUM(DJ160:DM160)</f>
        <v>3877.0871087017003</v>
      </c>
      <c r="FA160" s="789">
        <f t="shared" ref="FA160:FH160" si="721">EZ160*(1+FA161)</f>
        <v>3683.232753266615</v>
      </c>
      <c r="FB160" s="789">
        <f t="shared" si="721"/>
        <v>3499.0711156032839</v>
      </c>
      <c r="FC160" s="789">
        <f t="shared" si="721"/>
        <v>3324.1175598231198</v>
      </c>
      <c r="FD160" s="789">
        <f t="shared" si="721"/>
        <v>3157.9116818319635</v>
      </c>
      <c r="FE160" s="789">
        <f t="shared" si="721"/>
        <v>3000.0160977403652</v>
      </c>
      <c r="FF160" s="789">
        <f t="shared" si="721"/>
        <v>2850.0152928533466</v>
      </c>
      <c r="FG160" s="789">
        <f t="shared" si="721"/>
        <v>2707.5145282106791</v>
      </c>
      <c r="FH160" s="789">
        <f t="shared" si="721"/>
        <v>2572.1388018001448</v>
      </c>
      <c r="FI160" s="1194"/>
      <c r="FJ160"/>
      <c r="FK160"/>
      <c r="FL160"/>
      <c r="FM160"/>
      <c r="FN160"/>
      <c r="FO160"/>
      <c r="FP160" s="3"/>
      <c r="FS160" s="880"/>
      <c r="FT160" s="880"/>
      <c r="FU160"/>
      <c r="FV160"/>
      <c r="FW160" s="880"/>
      <c r="FX160" s="880"/>
      <c r="FY160" s="880"/>
      <c r="FZ160"/>
      <c r="GA160"/>
      <c r="GB160"/>
      <c r="GC160"/>
      <c r="GD160"/>
      <c r="GE160"/>
      <c r="GF160"/>
      <c r="GG160"/>
      <c r="GH160"/>
      <c r="GI160"/>
      <c r="GJ160"/>
      <c r="GK160"/>
      <c r="GL160"/>
      <c r="GM160"/>
      <c r="GN160"/>
      <c r="GO160"/>
      <c r="GP160"/>
      <c r="GQ160"/>
      <c r="GR160"/>
      <c r="GS160"/>
      <c r="GT160"/>
      <c r="GU160"/>
      <c r="GV160"/>
      <c r="GW160"/>
      <c r="GX160"/>
      <c r="GY160"/>
      <c r="GZ160"/>
      <c r="HA160"/>
      <c r="HB160"/>
      <c r="HC160"/>
      <c r="HD160"/>
      <c r="HE160"/>
      <c r="HF160"/>
      <c r="HG160"/>
      <c r="HH160"/>
      <c r="HI160"/>
      <c r="HJ160"/>
      <c r="HK160"/>
      <c r="HL160"/>
      <c r="HM160"/>
      <c r="HN160"/>
      <c r="HO160"/>
      <c r="HP160"/>
      <c r="HQ160"/>
      <c r="HR160"/>
      <c r="HS160"/>
      <c r="HT160"/>
      <c r="HU160"/>
      <c r="HV160"/>
      <c r="HW160"/>
      <c r="HX160"/>
      <c r="HY160"/>
      <c r="HZ160"/>
      <c r="IA160"/>
      <c r="IB160"/>
      <c r="IC160"/>
      <c r="ID160"/>
      <c r="IE160"/>
      <c r="IF160"/>
      <c r="IG160"/>
      <c r="IH160"/>
      <c r="II160"/>
      <c r="IJ160"/>
      <c r="IK160"/>
      <c r="IL160"/>
      <c r="IM160"/>
      <c r="IN160"/>
      <c r="IO160"/>
      <c r="IP160"/>
      <c r="IQ160"/>
      <c r="IR160"/>
      <c r="IS160"/>
      <c r="IT160"/>
      <c r="IU160"/>
      <c r="IV160"/>
      <c r="IW160"/>
      <c r="IX160"/>
      <c r="IY160"/>
      <c r="IZ160"/>
    </row>
    <row r="161" spans="1:260" s="4" customFormat="1" hidden="1" outlineLevel="1" x14ac:dyDescent="0.2">
      <c r="A161" s="4" t="s">
        <v>482</v>
      </c>
      <c r="E161" s="470"/>
      <c r="I161" s="470"/>
      <c r="M161" s="470"/>
      <c r="Q161" s="470"/>
      <c r="U161" s="470"/>
      <c r="Y161" s="470"/>
      <c r="AC161" s="470"/>
      <c r="AG161" s="470"/>
      <c r="AK161" s="470"/>
      <c r="AO161" s="470"/>
      <c r="AS161" s="470"/>
      <c r="AW161" s="470"/>
      <c r="BA161" s="470"/>
      <c r="BB161" s="6"/>
      <c r="BC161" s="6"/>
      <c r="BE161" s="484"/>
      <c r="BF161" s="213" t="s">
        <v>483</v>
      </c>
      <c r="BG161" s="213" t="s">
        <v>483</v>
      </c>
      <c r="BH161" s="213" t="s">
        <v>483</v>
      </c>
      <c r="BI161" s="490" t="s">
        <v>483</v>
      </c>
      <c r="BJ161" s="77">
        <f t="shared" ref="BJ161:BY161" si="722">BJ160/BF160-1</f>
        <v>0.11172434367541761</v>
      </c>
      <c r="BK161" s="77">
        <f t="shared" si="722"/>
        <v>5.8140480411130291E-2</v>
      </c>
      <c r="BL161" s="77">
        <f t="shared" si="722"/>
        <v>-5.1157689495491154E-2</v>
      </c>
      <c r="BM161" s="487">
        <f t="shared" si="722"/>
        <v>-7.8466131740996481E-2</v>
      </c>
      <c r="BN161" s="77">
        <f t="shared" si="722"/>
        <v>-0.15861621718323715</v>
      </c>
      <c r="BO161" s="77">
        <f t="shared" si="722"/>
        <v>-0.17341386942087778</v>
      </c>
      <c r="BP161" s="77">
        <f t="shared" si="722"/>
        <v>-8.2376512290976311E-2</v>
      </c>
      <c r="BQ161" s="487">
        <f t="shared" si="722"/>
        <v>-4.4446694340386839E-2</v>
      </c>
      <c r="BR161" s="77">
        <f t="shared" si="722"/>
        <v>-8.7495016611295662E-2</v>
      </c>
      <c r="BS161" s="77">
        <f t="shared" si="722"/>
        <v>-5.8849779661962587E-2</v>
      </c>
      <c r="BT161" s="77">
        <f t="shared" si="722"/>
        <v>-8.5698689956331897E-2</v>
      </c>
      <c r="BU161" s="487">
        <f t="shared" si="722"/>
        <v>-9.0604471286289234E-2</v>
      </c>
      <c r="BV161" s="77">
        <f t="shared" si="722"/>
        <v>-8.4379459994757267E-2</v>
      </c>
      <c r="BW161" s="77">
        <f t="shared" si="722"/>
        <v>-0.26111308677098144</v>
      </c>
      <c r="BX161" s="77">
        <f t="shared" si="722"/>
        <v>-0.11592039800995024</v>
      </c>
      <c r="BY161" s="487">
        <f t="shared" si="722"/>
        <v>-0.20481190743195032</v>
      </c>
      <c r="BZ161" s="77">
        <f>BZ160/BN160-1</f>
        <v>5.5627906976744246E-2</v>
      </c>
      <c r="CA161" s="77">
        <f>CA160/BO160-1</f>
        <v>-8.6852234060356026E-2</v>
      </c>
      <c r="CB161" s="77">
        <f>CB160/BP160-1</f>
        <v>-0.33338931810547534</v>
      </c>
      <c r="CC161" s="487">
        <f>CC160/BQ160-1</f>
        <v>2.1455816910362913E-3</v>
      </c>
      <c r="CD161" s="77">
        <f t="shared" ref="CD161:CK161" si="723">CD160/BZ160-1</f>
        <v>-8.4411769642647405E-2</v>
      </c>
      <c r="CE161" s="77">
        <f t="shared" si="723"/>
        <v>-0.187843616371411</v>
      </c>
      <c r="CF161" s="77">
        <f t="shared" si="723"/>
        <v>-0.15438397581254715</v>
      </c>
      <c r="CG161" s="487">
        <f t="shared" si="723"/>
        <v>-0.16851690323262769</v>
      </c>
      <c r="CH161" s="77">
        <f t="shared" si="723"/>
        <v>-0.5309855540074796</v>
      </c>
      <c r="CI161" s="77">
        <f t="shared" si="723"/>
        <v>-0.21745016923655514</v>
      </c>
      <c r="CJ161" s="77">
        <f t="shared" si="723"/>
        <v>-0.14268156424581013</v>
      </c>
      <c r="CK161" s="487">
        <f t="shared" si="723"/>
        <v>-0.20209806882301506</v>
      </c>
      <c r="CL161" s="77">
        <f>CL160/CD160-1</f>
        <v>-0.27221896311505467</v>
      </c>
      <c r="CM161" s="77">
        <f>CM160/CE160-1</f>
        <v>-0.21745016923655514</v>
      </c>
      <c r="CN161" s="77">
        <f>CN160/CF160-1</f>
        <v>-0.14268156424581013</v>
      </c>
      <c r="CO161" s="487">
        <f>CO160/CG160-1</f>
        <v>-0.20209806882301506</v>
      </c>
      <c r="CP161" s="77">
        <f t="shared" ref="CP161:CX161" si="724">CP160/CL160-1</f>
        <v>-0.19937529912592256</v>
      </c>
      <c r="CQ161" s="77">
        <f t="shared" si="724"/>
        <v>-0.37724272715622198</v>
      </c>
      <c r="CR161" s="77">
        <f t="shared" si="724"/>
        <v>-0.32125635344715231</v>
      </c>
      <c r="CS161" s="487">
        <f t="shared" si="724"/>
        <v>-0.10173970783532538</v>
      </c>
      <c r="CT161" s="77">
        <f t="shared" si="724"/>
        <v>-2.0765164862824093E-2</v>
      </c>
      <c r="CU161" s="77">
        <f t="shared" si="724"/>
        <v>0.17067524115755628</v>
      </c>
      <c r="CV161" s="77">
        <f t="shared" si="724"/>
        <v>0.19354838709677447</v>
      </c>
      <c r="CW161" s="487">
        <f t="shared" si="724"/>
        <v>3.2444299886160488E-2</v>
      </c>
      <c r="CX161" s="77">
        <f t="shared" si="724"/>
        <v>-0.11274257807479748</v>
      </c>
      <c r="CY161" s="77">
        <f t="shared" ref="CY161:DE161" si="725">CY160/CU160-1</f>
        <v>3.8628872775214429E-2</v>
      </c>
      <c r="CZ161" s="77">
        <f t="shared" si="725"/>
        <v>-0.13234663234663246</v>
      </c>
      <c r="DA161" s="487">
        <f t="shared" si="725"/>
        <v>-1.4964164763329957E-2</v>
      </c>
      <c r="DB161" s="77">
        <f t="shared" si="725"/>
        <v>-0.14948397609994579</v>
      </c>
      <c r="DC161" s="77">
        <f t="shared" si="725"/>
        <v>-0.16550308877041542</v>
      </c>
      <c r="DD161" s="70">
        <f t="shared" si="725"/>
        <v>1.2608158220024812E-2</v>
      </c>
      <c r="DE161" s="487">
        <f t="shared" si="725"/>
        <v>-0.19287380884886296</v>
      </c>
      <c r="DF161" s="70">
        <f t="shared" ref="DF161:DM161" si="726">DF160/DB160-1</f>
        <v>0.17903521096776953</v>
      </c>
      <c r="DG161" s="70">
        <f t="shared" si="726"/>
        <v>0.25825833438965629</v>
      </c>
      <c r="DH161" s="70">
        <f t="shared" si="726"/>
        <v>3.64990234375E-2</v>
      </c>
      <c r="DI161" s="487">
        <f t="shared" si="726"/>
        <v>0.2596134795843017</v>
      </c>
      <c r="DJ161" s="1673">
        <f t="shared" si="726"/>
        <v>0.45964140379833762</v>
      </c>
      <c r="DK161" s="70">
        <f t="shared" si="726"/>
        <v>0.676272313465621</v>
      </c>
      <c r="DL161" s="70">
        <f t="shared" si="726"/>
        <v>0.68034033245866543</v>
      </c>
      <c r="DM161" s="487">
        <f t="shared" si="726"/>
        <v>-1.2907947931379171E-2</v>
      </c>
      <c r="DN161" s="1285"/>
      <c r="DO161" s="487"/>
      <c r="EJ161" s="19"/>
      <c r="EK161" s="88"/>
      <c r="EL161" s="213" t="s">
        <v>483</v>
      </c>
      <c r="EM161" s="77">
        <f>EM160/EL160-1</f>
        <v>-1.1951843753853608E-2</v>
      </c>
      <c r="EN161" s="77">
        <f>EN160/EM160-1</f>
        <v>-0.10228839638751142</v>
      </c>
      <c r="EO161" s="77">
        <f>EO160/EN160-1</f>
        <v>-8.3030287617933407E-2</v>
      </c>
      <c r="EP161" s="77">
        <f>EP160/EO160-1</f>
        <v>-0.17094311017434882</v>
      </c>
      <c r="EQ161" s="77">
        <f>EQ160/EN160-1</f>
        <v>-8.5135925539760349E-2</v>
      </c>
      <c r="ER161" s="77">
        <f>ER160/EQ160-1</f>
        <v>-0.1509688155544191</v>
      </c>
      <c r="ES161" s="77">
        <f>ES160/ER160-1</f>
        <v>-0.27263865758979922</v>
      </c>
      <c r="ET161" s="77">
        <f>ET160/ER160-1</f>
        <v>-0.21102188968506697</v>
      </c>
      <c r="EU161" s="77">
        <f>EU160/ES160-1</f>
        <v>-0.14600391419498826</v>
      </c>
      <c r="EV161" s="77">
        <f>EV160/EU160-1</f>
        <v>6.5974918567919705E-2</v>
      </c>
      <c r="EW161" s="77">
        <f>EW160/EV160-1</f>
        <v>-4.8633841954847101E-2</v>
      </c>
      <c r="EX161" s="77">
        <f>EX160/EW160-1</f>
        <v>-0.14552951163314454</v>
      </c>
      <c r="EY161" s="77">
        <f>EY160/EX160-1</f>
        <v>0.19957990860173624</v>
      </c>
      <c r="EZ161" s="1680">
        <f>EZ160/EY160-1</f>
        <v>0.31057056325945132</v>
      </c>
      <c r="FA161" s="1610">
        <v>-0.05</v>
      </c>
      <c r="FB161" s="1610">
        <f t="shared" ref="FB161:FH161" si="727">FA161</f>
        <v>-0.05</v>
      </c>
      <c r="FC161" s="1610">
        <f t="shared" si="727"/>
        <v>-0.05</v>
      </c>
      <c r="FD161" s="1610">
        <f t="shared" si="727"/>
        <v>-0.05</v>
      </c>
      <c r="FE161" s="1610">
        <f t="shared" si="727"/>
        <v>-0.05</v>
      </c>
      <c r="FF161" s="1610">
        <f t="shared" si="727"/>
        <v>-0.05</v>
      </c>
      <c r="FG161" s="1610">
        <f t="shared" si="727"/>
        <v>-0.05</v>
      </c>
      <c r="FH161" s="1610">
        <f t="shared" si="727"/>
        <v>-0.05</v>
      </c>
      <c r="FI161" s="1285"/>
      <c r="FJ161"/>
      <c r="FK161"/>
      <c r="FL161"/>
      <c r="FM161"/>
      <c r="FN161"/>
      <c r="FO161"/>
      <c r="FP161" s="3"/>
      <c r="FS161" s="1226"/>
      <c r="FT161" s="1226"/>
      <c r="FU161"/>
      <c r="FV161"/>
      <c r="FW161" s="1606"/>
      <c r="FX161" s="1606"/>
      <c r="FY161" s="1606"/>
      <c r="FZ161"/>
      <c r="GA161"/>
      <c r="GB161"/>
      <c r="GC161"/>
      <c r="GD161"/>
      <c r="GE161"/>
      <c r="GF161"/>
      <c r="GG161"/>
      <c r="GH161"/>
      <c r="GI161"/>
      <c r="GJ161"/>
      <c r="GK161"/>
      <c r="GL161"/>
      <c r="GM161"/>
      <c r="GN161"/>
      <c r="GO161"/>
      <c r="GP161"/>
      <c r="GQ161"/>
      <c r="GR161"/>
      <c r="GS161"/>
      <c r="GT161"/>
      <c r="GU161"/>
      <c r="GV161"/>
      <c r="GW161"/>
      <c r="GX161"/>
      <c r="GY161"/>
      <c r="GZ161"/>
      <c r="HA161"/>
      <c r="HB161"/>
      <c r="HC161"/>
      <c r="HD161"/>
      <c r="HE161"/>
      <c r="HF161"/>
      <c r="HG161"/>
      <c r="HH161"/>
      <c r="HI161"/>
      <c r="HJ161"/>
      <c r="HK161"/>
      <c r="HL161"/>
      <c r="HM161"/>
      <c r="HN161"/>
      <c r="HO161"/>
      <c r="HP161"/>
      <c r="HQ161"/>
      <c r="HR161"/>
      <c r="HS161"/>
      <c r="HT161"/>
      <c r="HU161"/>
      <c r="HV161"/>
      <c r="HW161"/>
      <c r="HX161"/>
      <c r="HY161"/>
      <c r="HZ161"/>
      <c r="IA161"/>
      <c r="IB161"/>
      <c r="IC161"/>
      <c r="ID161"/>
      <c r="IE161"/>
      <c r="IF161"/>
      <c r="IG161"/>
      <c r="IH161"/>
      <c r="II161"/>
      <c r="IJ161"/>
      <c r="IK161"/>
      <c r="IL161"/>
      <c r="IM161"/>
      <c r="IN161"/>
      <c r="IO161"/>
      <c r="IP161"/>
      <c r="IQ161"/>
      <c r="IR161"/>
      <c r="IS161"/>
      <c r="IT161"/>
      <c r="IU161"/>
      <c r="IV161"/>
      <c r="IW161"/>
      <c r="IX161"/>
      <c r="IY161"/>
      <c r="IZ161"/>
    </row>
    <row r="162" spans="1:260" s="4" customFormat="1" hidden="1" outlineLevel="1" x14ac:dyDescent="0.2">
      <c r="A162" s="4" t="s">
        <v>4</v>
      </c>
      <c r="E162" s="470"/>
      <c r="I162" s="470"/>
      <c r="M162" s="470"/>
      <c r="Q162" s="470"/>
      <c r="U162" s="470"/>
      <c r="Y162" s="470"/>
      <c r="AC162" s="470"/>
      <c r="AG162" s="470"/>
      <c r="AK162" s="470"/>
      <c r="AO162" s="470"/>
      <c r="AS162" s="470"/>
      <c r="AW162" s="470"/>
      <c r="BA162" s="470"/>
      <c r="BB162" s="6"/>
      <c r="BC162" s="6"/>
      <c r="BE162" s="484"/>
      <c r="BF162" s="6"/>
      <c r="BG162" s="6"/>
      <c r="BH162" s="6"/>
      <c r="BI162" s="484"/>
      <c r="BJ162" s="6"/>
      <c r="BK162" s="6"/>
      <c r="BL162" s="6"/>
      <c r="BM162" s="484"/>
      <c r="BN162" s="77"/>
      <c r="BO162" s="77"/>
      <c r="BP162" s="77"/>
      <c r="BQ162" s="487"/>
      <c r="BR162" s="77"/>
      <c r="BS162" s="77"/>
      <c r="BT162" s="77"/>
      <c r="BU162" s="487"/>
      <c r="BV162" s="77"/>
      <c r="BW162" s="77"/>
      <c r="BX162" s="77"/>
      <c r="BY162" s="487"/>
      <c r="BZ162" s="77"/>
      <c r="CA162" s="77"/>
      <c r="CB162" s="77"/>
      <c r="CC162" s="487"/>
      <c r="CD162" s="77">
        <f t="shared" ref="CD162:DB162" si="728">+CD161+BZ161</f>
        <v>-2.8783862665903159E-2</v>
      </c>
      <c r="CE162" s="77">
        <f t="shared" si="728"/>
        <v>-0.27469585043176703</v>
      </c>
      <c r="CF162" s="77">
        <f t="shared" si="728"/>
        <v>-0.48777329391802249</v>
      </c>
      <c r="CG162" s="487">
        <f t="shared" si="728"/>
        <v>-0.1663713215415914</v>
      </c>
      <c r="CH162" s="77">
        <f t="shared" si="728"/>
        <v>-0.615397323650127</v>
      </c>
      <c r="CI162" s="77">
        <f t="shared" si="728"/>
        <v>-0.40529378560796614</v>
      </c>
      <c r="CJ162" s="77">
        <f t="shared" si="728"/>
        <v>-0.29706554005835728</v>
      </c>
      <c r="CK162" s="487">
        <f t="shared" si="728"/>
        <v>-0.37061497205564276</v>
      </c>
      <c r="CL162" s="77">
        <f t="shared" si="728"/>
        <v>-0.80320451712253427</v>
      </c>
      <c r="CM162" s="77">
        <f t="shared" si="728"/>
        <v>-0.43490033847311027</v>
      </c>
      <c r="CN162" s="77">
        <f t="shared" si="728"/>
        <v>-0.28536312849162027</v>
      </c>
      <c r="CO162" s="487">
        <f t="shared" si="728"/>
        <v>-0.40419613764603013</v>
      </c>
      <c r="CP162" s="77">
        <f t="shared" si="728"/>
        <v>-0.47159426224097722</v>
      </c>
      <c r="CQ162" s="77">
        <f t="shared" si="728"/>
        <v>-0.59469289639277712</v>
      </c>
      <c r="CR162" s="77">
        <f t="shared" si="728"/>
        <v>-0.46393791769296244</v>
      </c>
      <c r="CS162" s="487">
        <f t="shared" si="728"/>
        <v>-0.30383777665834044</v>
      </c>
      <c r="CT162" s="77">
        <f t="shared" si="728"/>
        <v>-0.22014046398874665</v>
      </c>
      <c r="CU162" s="77">
        <f t="shared" si="728"/>
        <v>-0.2065674859986657</v>
      </c>
      <c r="CV162" s="77">
        <f t="shared" si="728"/>
        <v>-0.12770796635037784</v>
      </c>
      <c r="CW162" s="487">
        <f t="shared" si="728"/>
        <v>-6.9295407949164889E-2</v>
      </c>
      <c r="CX162" s="77">
        <f t="shared" si="728"/>
        <v>-0.13350774293762158</v>
      </c>
      <c r="CY162" s="77">
        <f t="shared" si="728"/>
        <v>0.20930411393277071</v>
      </c>
      <c r="CZ162" s="77">
        <f t="shared" si="728"/>
        <v>6.1201754750142001E-2</v>
      </c>
      <c r="DA162" s="487">
        <f t="shared" si="728"/>
        <v>1.7480135122830531E-2</v>
      </c>
      <c r="DB162" s="77">
        <f t="shared" si="728"/>
        <v>-0.26222655417474328</v>
      </c>
      <c r="DC162" s="77">
        <f t="shared" ref="DC162:DM162" si="729">+DC161+CY161</f>
        <v>-0.12687421599520099</v>
      </c>
      <c r="DD162" s="70">
        <f t="shared" si="729"/>
        <v>-0.11973847412660765</v>
      </c>
      <c r="DE162" s="487">
        <f t="shared" si="729"/>
        <v>-0.20783797361219292</v>
      </c>
      <c r="DF162" s="70">
        <f t="shared" si="729"/>
        <v>2.9551234867823739E-2</v>
      </c>
      <c r="DG162" s="70">
        <f t="shared" si="729"/>
        <v>9.2755245619240867E-2</v>
      </c>
      <c r="DH162" s="70">
        <f t="shared" si="729"/>
        <v>4.9107181657524812E-2</v>
      </c>
      <c r="DI162" s="487">
        <f t="shared" si="729"/>
        <v>6.6739670735438739E-2</v>
      </c>
      <c r="DJ162" s="1673">
        <f t="shared" si="729"/>
        <v>0.63867661476610715</v>
      </c>
      <c r="DK162" s="70">
        <f t="shared" si="729"/>
        <v>0.93453064785527729</v>
      </c>
      <c r="DL162" s="70">
        <f t="shared" si="729"/>
        <v>0.71683935589616543</v>
      </c>
      <c r="DM162" s="487">
        <f t="shared" si="729"/>
        <v>0.24670553165292253</v>
      </c>
      <c r="DN162" s="580"/>
      <c r="DO162" s="487"/>
      <c r="EJ162" s="19"/>
      <c r="EK162" s="88"/>
      <c r="EL162" s="88"/>
      <c r="EM162" s="88"/>
      <c r="EN162" s="77"/>
      <c r="EO162" s="77"/>
      <c r="EP162" s="77"/>
      <c r="EQ162" s="77"/>
      <c r="ER162" s="77">
        <f>AVERAGE(ER161,EQ161)</f>
        <v>-0.11805237054708972</v>
      </c>
      <c r="ES162" s="77">
        <f>AVERAGE(ES161,ER161)</f>
        <v>-0.21180373657210916</v>
      </c>
      <c r="ET162" s="77">
        <f>AVERAGE(ET161,ER161)</f>
        <v>-0.18099535261974303</v>
      </c>
      <c r="EU162" s="77">
        <f>AVERAGE(EU161,ES161)</f>
        <v>-0.20932128589239374</v>
      </c>
      <c r="EV162" s="77">
        <f>AVERAGE(EV161,EU161)</f>
        <v>-4.0014497813534278E-2</v>
      </c>
      <c r="EW162" s="77">
        <f>AVERAGE(EW161,EV161)</f>
        <v>8.6705383065363018E-3</v>
      </c>
      <c r="EX162" s="77">
        <f>AVERAGE(EX161,EW161)</f>
        <v>-9.7081676793995819E-2</v>
      </c>
      <c r="EY162" s="77">
        <f>AVERAGE(EY161,EX161)</f>
        <v>2.7025198484295854E-2</v>
      </c>
      <c r="EZ162" s="1680">
        <f>AVERAGE(EZ161,EY161)</f>
        <v>0.25507523593059378</v>
      </c>
      <c r="FA162" s="77">
        <f t="shared" ref="FA162:FH162" si="730">FA161+EZ161</f>
        <v>0.26057056325945133</v>
      </c>
      <c r="FB162" s="77">
        <f t="shared" si="730"/>
        <v>-0.1</v>
      </c>
      <c r="FC162" s="77">
        <f t="shared" si="730"/>
        <v>-0.1</v>
      </c>
      <c r="FD162" s="77">
        <f t="shared" si="730"/>
        <v>-0.1</v>
      </c>
      <c r="FE162" s="77">
        <f t="shared" si="730"/>
        <v>-0.1</v>
      </c>
      <c r="FF162" s="77">
        <f t="shared" si="730"/>
        <v>-0.1</v>
      </c>
      <c r="FG162" s="77">
        <f t="shared" si="730"/>
        <v>-0.1</v>
      </c>
      <c r="FH162" s="77">
        <f t="shared" si="730"/>
        <v>-0.1</v>
      </c>
      <c r="FI162" s="580"/>
      <c r="FJ162"/>
      <c r="FK162"/>
      <c r="FL162"/>
      <c r="FM162"/>
      <c r="FN162"/>
      <c r="FO162"/>
      <c r="FP162" s="3"/>
      <c r="FS162" s="70"/>
      <c r="FT162" s="70"/>
      <c r="FU162"/>
      <c r="FV162"/>
      <c r="FW162" s="70"/>
      <c r="FX162" s="70"/>
      <c r="FY162" s="70"/>
      <c r="FZ162"/>
      <c r="GA162"/>
      <c r="GB162"/>
      <c r="GC162"/>
      <c r="GD162"/>
      <c r="GE162"/>
      <c r="GF162"/>
      <c r="GG162"/>
      <c r="GH162"/>
      <c r="GI162"/>
      <c r="GJ162"/>
      <c r="GK162"/>
      <c r="GL162"/>
      <c r="GM162"/>
      <c r="GN162"/>
      <c r="GO162"/>
      <c r="GP162"/>
      <c r="GQ162"/>
      <c r="GR162"/>
      <c r="GS162"/>
      <c r="GT162"/>
      <c r="GU162"/>
      <c r="GV162"/>
      <c r="GW162"/>
      <c r="GX162"/>
      <c r="GY162"/>
      <c r="GZ162"/>
      <c r="HA162"/>
      <c r="HB162"/>
      <c r="HC162"/>
      <c r="HD162"/>
      <c r="HE162"/>
      <c r="HF162"/>
      <c r="HG162"/>
      <c r="HH162"/>
      <c r="HI162"/>
      <c r="HJ162"/>
      <c r="HK162"/>
      <c r="HL162"/>
      <c r="HM162"/>
      <c r="HN162"/>
      <c r="HO162"/>
      <c r="HP162"/>
      <c r="HQ162"/>
      <c r="HR162"/>
      <c r="HS162"/>
      <c r="HT162"/>
      <c r="HU162"/>
      <c r="HV162"/>
      <c r="HW162"/>
      <c r="HX162"/>
      <c r="HY162"/>
      <c r="HZ162"/>
      <c r="IA162"/>
      <c r="IB162"/>
      <c r="IC162"/>
      <c r="ID162"/>
      <c r="IE162"/>
      <c r="IF162"/>
      <c r="IG162"/>
      <c r="IH162"/>
      <c r="II162"/>
      <c r="IJ162"/>
      <c r="IK162"/>
      <c r="IL162"/>
      <c r="IM162"/>
      <c r="IN162"/>
      <c r="IO162"/>
      <c r="IP162"/>
      <c r="IQ162"/>
      <c r="IR162"/>
      <c r="IS162"/>
      <c r="IT162"/>
      <c r="IU162"/>
      <c r="IV162"/>
      <c r="IW162"/>
      <c r="IX162"/>
      <c r="IY162"/>
      <c r="IZ162"/>
    </row>
    <row r="163" spans="1:260" s="4" customFormat="1" hidden="1" outlineLevel="1" x14ac:dyDescent="0.2">
      <c r="E163" s="470"/>
      <c r="I163" s="470"/>
      <c r="M163" s="470"/>
      <c r="Q163" s="470"/>
      <c r="U163" s="470"/>
      <c r="Y163" s="470"/>
      <c r="AC163" s="470"/>
      <c r="AG163" s="470"/>
      <c r="AK163" s="470"/>
      <c r="AO163" s="470"/>
      <c r="AS163" s="470"/>
      <c r="AW163" s="470"/>
      <c r="BA163" s="470"/>
      <c r="BB163" s="6"/>
      <c r="BC163" s="6"/>
      <c r="BE163" s="484"/>
      <c r="BF163" s="6"/>
      <c r="BG163" s="6"/>
      <c r="BH163" s="6"/>
      <c r="BI163" s="484"/>
      <c r="BJ163" s="6"/>
      <c r="BK163" s="6"/>
      <c r="BL163" s="6"/>
      <c r="BM163" s="484"/>
      <c r="BN163" s="6"/>
      <c r="BO163" s="6"/>
      <c r="BP163" s="6"/>
      <c r="BQ163" s="484"/>
      <c r="BR163" s="6"/>
      <c r="BS163" s="6"/>
      <c r="BT163" s="6"/>
      <c r="BU163" s="499"/>
      <c r="BV163" s="6"/>
      <c r="BW163" s="6"/>
      <c r="BX163" s="6"/>
      <c r="BY163" s="484"/>
      <c r="BZ163" s="6"/>
      <c r="CA163" s="6"/>
      <c r="CB163" s="6"/>
      <c r="CC163" s="499"/>
      <c r="CD163" s="246"/>
      <c r="CE163" s="246"/>
      <c r="CF163" s="246"/>
      <c r="CG163" s="512"/>
      <c r="CH163" s="246"/>
      <c r="CI163" s="246"/>
      <c r="CJ163" s="246"/>
      <c r="CK163" s="512"/>
      <c r="CL163" s="246"/>
      <c r="CM163" s="246"/>
      <c r="CN163" s="246"/>
      <c r="CO163" s="512"/>
      <c r="CP163" s="246"/>
      <c r="CQ163" s="246"/>
      <c r="CR163" s="246"/>
      <c r="CS163" s="568"/>
      <c r="CT163" s="246"/>
      <c r="CU163" s="246"/>
      <c r="CV163" s="246"/>
      <c r="CW163" s="512"/>
      <c r="CX163" s="246"/>
      <c r="CY163" s="246"/>
      <c r="CZ163" s="246"/>
      <c r="DA163" s="512"/>
      <c r="DB163" s="246"/>
      <c r="DC163" s="246"/>
      <c r="DD163" s="573"/>
      <c r="DE163" s="568"/>
      <c r="DF163" s="573"/>
      <c r="DG163" s="573"/>
      <c r="DH163" s="573"/>
      <c r="DI163" s="568"/>
      <c r="DJ163" s="1672"/>
      <c r="DK163" s="573"/>
      <c r="DL163" s="573"/>
      <c r="DM163" s="568"/>
      <c r="DN163" s="1211"/>
      <c r="DO163" s="484"/>
      <c r="EJ163" s="19"/>
      <c r="EK163" s="88"/>
      <c r="EL163" s="88"/>
      <c r="EM163" s="88"/>
      <c r="EN163" s="88"/>
      <c r="EO163" s="88"/>
      <c r="EP163" s="88"/>
      <c r="EQ163" s="88"/>
      <c r="ER163" s="382"/>
      <c r="ES163" s="382"/>
      <c r="ET163" s="382"/>
      <c r="EU163" s="382"/>
      <c r="EV163" s="382"/>
      <c r="EW163" s="382"/>
      <c r="EX163" s="382"/>
      <c r="EY163" s="382"/>
      <c r="EZ163" s="1746"/>
      <c r="FA163" s="88"/>
      <c r="FB163" s="88"/>
      <c r="FC163" s="88"/>
      <c r="FD163" s="88"/>
      <c r="FE163" s="88"/>
      <c r="FF163" s="88"/>
      <c r="FG163" s="88"/>
      <c r="FH163" s="88"/>
      <c r="FI163" s="590"/>
      <c r="FJ163"/>
      <c r="FK163"/>
      <c r="FL163"/>
      <c r="FM163"/>
      <c r="FN163"/>
      <c r="FO163"/>
      <c r="FP163" s="3"/>
      <c r="FS163" s="53"/>
      <c r="FT163" s="53"/>
      <c r="FU163"/>
      <c r="FV163"/>
      <c r="FW163" s="53"/>
      <c r="FX163" s="53"/>
      <c r="FY163" s="53"/>
      <c r="FZ163"/>
      <c r="GA163"/>
      <c r="GB163"/>
      <c r="GC163"/>
      <c r="GD163"/>
      <c r="GE163"/>
      <c r="GF163"/>
      <c r="GG163"/>
      <c r="GH163"/>
      <c r="GI163"/>
      <c r="GJ163"/>
      <c r="GK163"/>
      <c r="GL163"/>
      <c r="GM163"/>
      <c r="GN163"/>
      <c r="GO163"/>
      <c r="GP163"/>
      <c r="GQ163"/>
      <c r="GR163"/>
      <c r="GS163"/>
      <c r="GT163"/>
      <c r="GU163"/>
      <c r="GV163"/>
      <c r="GW163"/>
      <c r="GX163"/>
      <c r="GY163"/>
      <c r="GZ163"/>
      <c r="HA163"/>
      <c r="HB163"/>
      <c r="HC163"/>
      <c r="HD163"/>
      <c r="HE163"/>
      <c r="HF163"/>
      <c r="HG163"/>
      <c r="HH163"/>
      <c r="HI163"/>
      <c r="HJ163"/>
      <c r="HK163"/>
      <c r="HL163"/>
      <c r="HM163"/>
      <c r="HN163"/>
      <c r="HO163"/>
      <c r="HP163"/>
      <c r="HQ163"/>
      <c r="HR163"/>
      <c r="HS163"/>
      <c r="HT163"/>
      <c r="HU163"/>
      <c r="HV163"/>
      <c r="HW163"/>
      <c r="HX163"/>
      <c r="HY163"/>
      <c r="HZ163"/>
      <c r="IA163"/>
      <c r="IB163"/>
      <c r="IC163"/>
      <c r="ID163"/>
      <c r="IE163"/>
      <c r="IF163"/>
      <c r="IG163"/>
      <c r="IH163"/>
      <c r="II163"/>
      <c r="IJ163"/>
      <c r="IK163"/>
      <c r="IL163"/>
      <c r="IM163"/>
      <c r="IN163"/>
      <c r="IO163"/>
      <c r="IP163"/>
      <c r="IQ163"/>
      <c r="IR163"/>
      <c r="IS163"/>
      <c r="IT163"/>
      <c r="IU163"/>
      <c r="IV163"/>
      <c r="IW163"/>
      <c r="IX163"/>
      <c r="IY163"/>
      <c r="IZ163"/>
    </row>
    <row r="164" spans="1:260" s="4" customFormat="1" hidden="1" outlineLevel="1" x14ac:dyDescent="0.2">
      <c r="A164" s="19" t="s">
        <v>87</v>
      </c>
      <c r="B164" s="47"/>
      <c r="C164" s="47"/>
      <c r="D164" s="47"/>
      <c r="E164" s="709"/>
      <c r="F164" s="47"/>
      <c r="G164" s="47"/>
      <c r="H164" s="47"/>
      <c r="I164" s="709"/>
      <c r="J164" s="47"/>
      <c r="K164" s="47"/>
      <c r="L164" s="47"/>
      <c r="M164" s="709"/>
      <c r="N164" s="47"/>
      <c r="O164" s="47"/>
      <c r="P164" s="47"/>
      <c r="Q164" s="709"/>
      <c r="R164" s="47"/>
      <c r="S164" s="47"/>
      <c r="T164" s="47"/>
      <c r="U164" s="709"/>
      <c r="V164" s="47"/>
      <c r="W164" s="47"/>
      <c r="X164" s="47"/>
      <c r="Y164" s="709"/>
      <c r="Z164" s="47"/>
      <c r="AA164" s="47"/>
      <c r="AB164" s="47"/>
      <c r="AC164" s="709"/>
      <c r="AD164" s="47"/>
      <c r="AE164" s="47"/>
      <c r="AF164" s="47"/>
      <c r="AG164" s="709"/>
      <c r="AH164" s="47"/>
      <c r="AI164" s="47"/>
      <c r="AJ164" s="47"/>
      <c r="AK164" s="709"/>
      <c r="AL164" s="47"/>
      <c r="AM164" s="47"/>
      <c r="AN164" s="47"/>
      <c r="AO164" s="709"/>
      <c r="AP164" s="47"/>
      <c r="AQ164" s="47"/>
      <c r="AR164" s="47"/>
      <c r="AS164" s="709"/>
      <c r="AT164" s="47"/>
      <c r="AU164" s="47"/>
      <c r="AV164" s="47"/>
      <c r="AW164" s="709"/>
      <c r="AX164" s="47"/>
      <c r="AY164" s="47"/>
      <c r="AZ164" s="47"/>
      <c r="BA164" s="709"/>
      <c r="BB164" s="873"/>
      <c r="BC164" s="873"/>
      <c r="BD164" s="47"/>
      <c r="BE164" s="874"/>
      <c r="BF164" s="873">
        <f t="shared" ref="BF164:CS164" si="731">BF184*BF$176</f>
        <v>402.24</v>
      </c>
      <c r="BG164" s="873">
        <f t="shared" si="731"/>
        <v>434.03999999999996</v>
      </c>
      <c r="BH164" s="873">
        <f t="shared" si="731"/>
        <v>410.3</v>
      </c>
      <c r="BI164" s="874">
        <f t="shared" si="731"/>
        <v>447.36</v>
      </c>
      <c r="BJ164" s="873">
        <f t="shared" si="731"/>
        <v>447.18</v>
      </c>
      <c r="BK164" s="873">
        <f t="shared" si="731"/>
        <v>406.65000000000003</v>
      </c>
      <c r="BL164" s="873">
        <f t="shared" si="731"/>
        <v>327.84000000000003</v>
      </c>
      <c r="BM164" s="874">
        <f t="shared" si="731"/>
        <v>451.52</v>
      </c>
      <c r="BN164" s="873">
        <f t="shared" si="731"/>
        <v>376.25</v>
      </c>
      <c r="BO164" s="873">
        <f t="shared" si="731"/>
        <v>413.70000000000005</v>
      </c>
      <c r="BP164" s="873">
        <f t="shared" si="731"/>
        <v>446.55</v>
      </c>
      <c r="BQ164" s="874">
        <f t="shared" si="731"/>
        <v>503.36</v>
      </c>
      <c r="BR164" s="873">
        <f t="shared" si="731"/>
        <v>475.38</v>
      </c>
      <c r="BS164" s="873">
        <f t="shared" si="731"/>
        <v>506.15999999999997</v>
      </c>
      <c r="BT164" s="873">
        <f t="shared" si="731"/>
        <v>435.5</v>
      </c>
      <c r="BU164" s="874">
        <f t="shared" si="731"/>
        <v>484.68</v>
      </c>
      <c r="BV164" s="873">
        <f t="shared" si="731"/>
        <v>471.53999999999996</v>
      </c>
      <c r="BW164" s="873">
        <f t="shared" si="731"/>
        <v>498.65999999999997</v>
      </c>
      <c r="BX164" s="873">
        <f t="shared" si="731"/>
        <v>444.25</v>
      </c>
      <c r="BY164" s="874">
        <f t="shared" si="731"/>
        <v>630</v>
      </c>
      <c r="BZ164" s="873">
        <f t="shared" si="731"/>
        <v>425.55</v>
      </c>
      <c r="CA164" s="873">
        <f t="shared" si="731"/>
        <v>491.09999999999997</v>
      </c>
      <c r="CB164" s="873">
        <f t="shared" si="731"/>
        <v>396.90000000000003</v>
      </c>
      <c r="CC164" s="874">
        <f t="shared" si="731"/>
        <v>504.44</v>
      </c>
      <c r="CD164" s="873">
        <f t="shared" si="731"/>
        <v>419.6</v>
      </c>
      <c r="CE164" s="873">
        <f t="shared" si="731"/>
        <v>478.62</v>
      </c>
      <c r="CF164" s="873">
        <f t="shared" si="731"/>
        <v>483.29999999999995</v>
      </c>
      <c r="CG164" s="874">
        <f t="shared" si="731"/>
        <v>503.32</v>
      </c>
      <c r="CH164" s="873">
        <f t="shared" si="731"/>
        <v>485.21</v>
      </c>
      <c r="CI164" s="873">
        <f t="shared" si="731"/>
        <v>546.21</v>
      </c>
      <c r="CJ164" s="873">
        <f t="shared" si="731"/>
        <v>537.11</v>
      </c>
      <c r="CK164" s="874">
        <f t="shared" si="731"/>
        <v>627.5</v>
      </c>
      <c r="CL164" s="873">
        <f t="shared" si="731"/>
        <v>485.21</v>
      </c>
      <c r="CM164" s="873">
        <f t="shared" si="731"/>
        <v>546.21</v>
      </c>
      <c r="CN164" s="873">
        <f t="shared" si="731"/>
        <v>537.11</v>
      </c>
      <c r="CO164" s="874">
        <f t="shared" si="731"/>
        <v>627.5</v>
      </c>
      <c r="CP164" s="873">
        <f t="shared" si="731"/>
        <v>556.22</v>
      </c>
      <c r="CQ164" s="873">
        <f t="shared" si="731"/>
        <v>622</v>
      </c>
      <c r="CR164" s="873">
        <f t="shared" si="731"/>
        <v>624.96</v>
      </c>
      <c r="CS164" s="874">
        <f t="shared" si="731"/>
        <v>614.90000000000009</v>
      </c>
      <c r="CT164" s="873">
        <f t="shared" ref="CT164:CZ164" si="732">CT184*CT$176</f>
        <v>544.67000000000007</v>
      </c>
      <c r="CU164" s="873">
        <f t="shared" si="732"/>
        <v>682.65</v>
      </c>
      <c r="CV164" s="873">
        <f t="shared" si="732"/>
        <v>639.36</v>
      </c>
      <c r="CW164" s="874">
        <f t="shared" si="732"/>
        <v>761.81999999999994</v>
      </c>
      <c r="CX164" s="873">
        <f t="shared" si="732"/>
        <v>631.20000000000005</v>
      </c>
      <c r="CY164" s="873">
        <f t="shared" si="732"/>
        <v>787.80000000000007</v>
      </c>
      <c r="CZ164" s="873">
        <f t="shared" si="732"/>
        <v>728.1</v>
      </c>
      <c r="DA164" s="874">
        <f t="shared" ref="DA164:DI164" si="733">DA184*DA$176</f>
        <v>875.49000000000012</v>
      </c>
      <c r="DB164" s="873">
        <f t="shared" si="733"/>
        <v>704.61</v>
      </c>
      <c r="DC164" s="873">
        <f t="shared" si="733"/>
        <v>867.79</v>
      </c>
      <c r="DD164" s="947">
        <f t="shared" si="733"/>
        <v>737.28</v>
      </c>
      <c r="DE164" s="874">
        <f t="shared" si="733"/>
        <v>863.66000000000008</v>
      </c>
      <c r="DF164" s="947">
        <f t="shared" si="733"/>
        <v>791.2</v>
      </c>
      <c r="DG164" s="947">
        <f t="shared" ref="DG164" si="734">DG184*DG$176</f>
        <v>909.92</v>
      </c>
      <c r="DH164" s="947">
        <f t="shared" si="733"/>
        <v>849.1</v>
      </c>
      <c r="DI164" s="874">
        <f t="shared" si="733"/>
        <v>1118.96</v>
      </c>
      <c r="DJ164" s="1669">
        <f t="shared" ref="DJ164:DK164" si="735">DJ184*DJ$176</f>
        <v>565.88545655576991</v>
      </c>
      <c r="DK164" s="947">
        <f t="shared" si="735"/>
        <v>582.37723223347996</v>
      </c>
      <c r="DL164" s="947">
        <f t="shared" ref="DL164:DM164" si="736">DL184*DL$176</f>
        <v>599.24633004207419</v>
      </c>
      <c r="DM164" s="874">
        <f t="shared" si="736"/>
        <v>966.45195725986616</v>
      </c>
      <c r="DN164" s="588"/>
      <c r="DO164" s="1284"/>
      <c r="EJ164" s="19"/>
      <c r="EK164" s="88"/>
      <c r="EL164" s="789">
        <f>SUM(BF164:BI164)</f>
        <v>1693.94</v>
      </c>
      <c r="EM164" s="789">
        <f>SUM(BJ164:BM164)</f>
        <v>1633.19</v>
      </c>
      <c r="EN164" s="789">
        <f>SUM(BN164:BQ164)</f>
        <v>1739.8600000000001</v>
      </c>
      <c r="EO164" s="789">
        <f>SUM(BR164:BU164)</f>
        <v>1901.72</v>
      </c>
      <c r="EP164" s="789">
        <f>SUM(BV164:BY164)</f>
        <v>2044.4499999999998</v>
      </c>
      <c r="EQ164" s="789">
        <f>SUM(BZ164:CC164)</f>
        <v>1817.99</v>
      </c>
      <c r="ER164" s="789">
        <f>SUM(CD164:CG164)</f>
        <v>1884.84</v>
      </c>
      <c r="ES164" s="789">
        <f>SUM(CH164:CK164)</f>
        <v>2196.0300000000002</v>
      </c>
      <c r="ET164" s="789">
        <f>SUM(CL164:CO164)</f>
        <v>2196.0300000000002</v>
      </c>
      <c r="EU164" s="789">
        <f>SUM(CP164:CS164)</f>
        <v>2418.08</v>
      </c>
      <c r="EV164" s="789">
        <f>SUM(CT164:CW164)</f>
        <v>2628.5</v>
      </c>
      <c r="EW164" s="789">
        <f>SUM(CX164:DA164)</f>
        <v>3022.59</v>
      </c>
      <c r="EX164" s="789">
        <f>SUM(DB164:DE164)</f>
        <v>3173.34</v>
      </c>
      <c r="EY164" s="789">
        <f>SUM(DF164:DI164)</f>
        <v>3669.18</v>
      </c>
      <c r="EZ164" s="1737">
        <f>SUM(DJ164:DM164)</f>
        <v>2713.9609760911899</v>
      </c>
      <c r="FA164" s="789">
        <f t="shared" ref="FA164:FH164" si="737">EZ164*(1+FA165)</f>
        <v>2007.4196904337875</v>
      </c>
      <c r="FB164" s="789">
        <f t="shared" si="737"/>
        <v>1484.8164174214282</v>
      </c>
      <c r="FC164" s="789">
        <f t="shared" si="737"/>
        <v>1098.2655017037275</v>
      </c>
      <c r="FD164" s="789">
        <f t="shared" si="737"/>
        <v>812.34763980266132</v>
      </c>
      <c r="FE164" s="789">
        <f t="shared" si="737"/>
        <v>600.86444203996678</v>
      </c>
      <c r="FF164" s="789">
        <f t="shared" si="737"/>
        <v>444.43789828170776</v>
      </c>
      <c r="FG164" s="789">
        <f t="shared" si="737"/>
        <v>328.73478876275914</v>
      </c>
      <c r="FH164" s="789">
        <f t="shared" si="737"/>
        <v>243.15334439458107</v>
      </c>
      <c r="FI164" s="1194"/>
      <c r="FJ164"/>
      <c r="FK164"/>
      <c r="FL164"/>
      <c r="FM164"/>
      <c r="FN164"/>
      <c r="FO164"/>
      <c r="FP164" s="3"/>
      <c r="FS164" s="880"/>
      <c r="FT164" s="880"/>
      <c r="FU164"/>
      <c r="FV164"/>
      <c r="FW164" s="880"/>
      <c r="FX164" s="880"/>
      <c r="FY164" s="880"/>
      <c r="FZ164"/>
      <c r="GA164"/>
      <c r="GB164"/>
      <c r="GC164"/>
      <c r="GD164"/>
      <c r="GE164"/>
      <c r="GF164"/>
      <c r="GG164"/>
      <c r="GH164"/>
      <c r="GI164"/>
      <c r="GJ164"/>
      <c r="GK164"/>
      <c r="GL164"/>
      <c r="GM164"/>
      <c r="GN164"/>
      <c r="GO164"/>
      <c r="GP164"/>
      <c r="GQ164"/>
      <c r="GR164"/>
      <c r="GS164"/>
      <c r="GT164"/>
      <c r="GU164"/>
      <c r="GV164"/>
      <c r="GW164"/>
      <c r="GX164"/>
      <c r="GY164"/>
      <c r="GZ164"/>
      <c r="HA164"/>
      <c r="HB164"/>
      <c r="HC164"/>
      <c r="HD164"/>
      <c r="HE164"/>
      <c r="HF164"/>
      <c r="HG164"/>
      <c r="HH164"/>
      <c r="HI164"/>
      <c r="HJ164"/>
      <c r="HK164"/>
      <c r="HL164"/>
      <c r="HM164"/>
      <c r="HN164"/>
      <c r="HO164"/>
      <c r="HP164"/>
      <c r="HQ164"/>
      <c r="HR164"/>
      <c r="HS164"/>
      <c r="HT164"/>
      <c r="HU164"/>
      <c r="HV164"/>
      <c r="HW164"/>
      <c r="HX164"/>
      <c r="HY164"/>
      <c r="HZ164"/>
      <c r="IA164"/>
      <c r="IB164"/>
      <c r="IC164"/>
      <c r="ID164"/>
      <c r="IE164"/>
      <c r="IF164"/>
      <c r="IG164"/>
      <c r="IH164"/>
      <c r="II164"/>
      <c r="IJ164"/>
      <c r="IK164"/>
      <c r="IL164"/>
      <c r="IM164"/>
      <c r="IN164"/>
      <c r="IO164"/>
      <c r="IP164"/>
      <c r="IQ164"/>
      <c r="IR164"/>
      <c r="IS164"/>
      <c r="IT164"/>
      <c r="IU164"/>
      <c r="IV164"/>
      <c r="IW164"/>
      <c r="IX164"/>
      <c r="IY164"/>
      <c r="IZ164"/>
    </row>
    <row r="165" spans="1:260" s="4" customFormat="1" hidden="1" outlineLevel="1" x14ac:dyDescent="0.2">
      <c r="A165" s="4" t="s">
        <v>482</v>
      </c>
      <c r="E165" s="470"/>
      <c r="I165" s="470"/>
      <c r="M165" s="470"/>
      <c r="Q165" s="470"/>
      <c r="U165" s="470"/>
      <c r="Y165" s="470"/>
      <c r="AC165" s="470"/>
      <c r="AG165" s="470"/>
      <c r="AK165" s="470"/>
      <c r="AO165" s="470"/>
      <c r="AS165" s="470"/>
      <c r="AW165" s="470"/>
      <c r="BA165" s="470"/>
      <c r="BB165" s="6"/>
      <c r="BC165" s="6"/>
      <c r="BE165" s="484"/>
      <c r="BF165" s="213" t="s">
        <v>483</v>
      </c>
      <c r="BG165" s="213" t="s">
        <v>483</v>
      </c>
      <c r="BH165" s="213" t="s">
        <v>483</v>
      </c>
      <c r="BI165" s="490" t="s">
        <v>483</v>
      </c>
      <c r="BJ165" s="77">
        <f t="shared" ref="BJ165:BY165" si="738">BJ164/BF164-1</f>
        <v>0.11172434367541761</v>
      </c>
      <c r="BK165" s="77">
        <f t="shared" si="738"/>
        <v>-6.3104782969311435E-2</v>
      </c>
      <c r="BL165" s="77">
        <f t="shared" si="738"/>
        <v>-0.20097489641725563</v>
      </c>
      <c r="BM165" s="487">
        <f t="shared" si="738"/>
        <v>9.2989985693847643E-3</v>
      </c>
      <c r="BN165" s="77">
        <f t="shared" si="738"/>
        <v>-0.15861621718323715</v>
      </c>
      <c r="BO165" s="77">
        <f t="shared" si="738"/>
        <v>1.7336776097381046E-2</v>
      </c>
      <c r="BP165" s="77">
        <f t="shared" si="738"/>
        <v>0.36209736456808184</v>
      </c>
      <c r="BQ165" s="487">
        <f t="shared" si="738"/>
        <v>0.11481218993621556</v>
      </c>
      <c r="BR165" s="77">
        <f t="shared" si="738"/>
        <v>0.26346843853820601</v>
      </c>
      <c r="BS165" s="77">
        <f t="shared" si="738"/>
        <v>0.2234952864394486</v>
      </c>
      <c r="BT165" s="77">
        <f t="shared" si="738"/>
        <v>-2.4745269286754024E-2</v>
      </c>
      <c r="BU165" s="487">
        <f t="shared" si="738"/>
        <v>-3.7110616656071183E-2</v>
      </c>
      <c r="BV165" s="77">
        <f t="shared" si="738"/>
        <v>-8.0777483276537332E-3</v>
      </c>
      <c r="BW165" s="77">
        <f t="shared" si="738"/>
        <v>-1.4817449027975327E-2</v>
      </c>
      <c r="BX165" s="77">
        <f t="shared" si="738"/>
        <v>2.0091848450057403E-2</v>
      </c>
      <c r="BY165" s="487">
        <f t="shared" si="738"/>
        <v>0.29982668977469662</v>
      </c>
      <c r="BZ165" s="77">
        <f>BZ164/BN164-1</f>
        <v>0.13102990033222595</v>
      </c>
      <c r="CA165" s="77">
        <f>CA164/BO164-1</f>
        <v>0.18709209572153718</v>
      </c>
      <c r="CB165" s="77">
        <f>CB164/BP164-1</f>
        <v>-0.11118575747396697</v>
      </c>
      <c r="CC165" s="487">
        <f>CC164/BQ164-1</f>
        <v>2.1455816910362913E-3</v>
      </c>
      <c r="CD165" s="77">
        <f t="shared" ref="CD165:CK165" si="739">CD164/BZ164-1</f>
        <v>-1.3981905769004821E-2</v>
      </c>
      <c r="CE165" s="77">
        <f t="shared" si="739"/>
        <v>-2.5412339645693227E-2</v>
      </c>
      <c r="CF165" s="77">
        <f t="shared" si="739"/>
        <v>0.21768707482993177</v>
      </c>
      <c r="CG165" s="487">
        <f t="shared" si="739"/>
        <v>-2.2202838791531843E-3</v>
      </c>
      <c r="CH165" s="77">
        <f t="shared" si="739"/>
        <v>0.1563632030505242</v>
      </c>
      <c r="CI165" s="77">
        <f t="shared" si="739"/>
        <v>0.1412185031966906</v>
      </c>
      <c r="CJ165" s="77">
        <f t="shared" si="739"/>
        <v>0.11133871301469078</v>
      </c>
      <c r="CK165" s="487">
        <f t="shared" si="739"/>
        <v>0.24672176746403873</v>
      </c>
      <c r="CL165" s="77">
        <f>CL164/CD164-1</f>
        <v>0.1563632030505242</v>
      </c>
      <c r="CM165" s="77">
        <f>CM164/CE164-1</f>
        <v>0.1412185031966906</v>
      </c>
      <c r="CN165" s="77">
        <f>CN164/CF164-1</f>
        <v>0.11133871301469078</v>
      </c>
      <c r="CO165" s="487">
        <f>CO164/CG164-1</f>
        <v>0.24672176746403873</v>
      </c>
      <c r="CP165" s="77">
        <f t="shared" ref="CP165:CX165" si="740">CP164/CL164-1</f>
        <v>0.1463490035242474</v>
      </c>
      <c r="CQ165" s="77">
        <f t="shared" si="740"/>
        <v>0.13875615605719394</v>
      </c>
      <c r="CR165" s="77">
        <f t="shared" si="740"/>
        <v>0.16356053694773887</v>
      </c>
      <c r="CS165" s="487">
        <f t="shared" si="740"/>
        <v>-2.007968127490023E-2</v>
      </c>
      <c r="CT165" s="77">
        <f t="shared" si="740"/>
        <v>-2.0765164862823982E-2</v>
      </c>
      <c r="CU165" s="77">
        <f t="shared" si="740"/>
        <v>9.7508038585208956E-2</v>
      </c>
      <c r="CV165" s="77">
        <f t="shared" si="740"/>
        <v>2.3041474654377891E-2</v>
      </c>
      <c r="CW165" s="487">
        <f t="shared" si="740"/>
        <v>0.23893315986339214</v>
      </c>
      <c r="CX165" s="77">
        <f t="shared" si="740"/>
        <v>0.15886683680026437</v>
      </c>
      <c r="CY165" s="77">
        <f t="shared" ref="CY165:DE165" si="741">CY164/CU164-1</f>
        <v>0.15403208086134934</v>
      </c>
      <c r="CZ165" s="77">
        <f t="shared" si="741"/>
        <v>0.13879504504504503</v>
      </c>
      <c r="DA165" s="487">
        <f t="shared" si="741"/>
        <v>0.14920847444278196</v>
      </c>
      <c r="DB165" s="77">
        <f t="shared" si="741"/>
        <v>0.11630228136882126</v>
      </c>
      <c r="DC165" s="77">
        <f t="shared" si="741"/>
        <v>0.10153592282305146</v>
      </c>
      <c r="DD165" s="70">
        <f t="shared" si="741"/>
        <v>1.260815822002459E-2</v>
      </c>
      <c r="DE165" s="487">
        <f t="shared" si="741"/>
        <v>-1.351243303749905E-2</v>
      </c>
      <c r="DF165" s="70">
        <f t="shared" ref="DF165:DM165" si="742">DF164/DB164-1</f>
        <v>0.1228906771121614</v>
      </c>
      <c r="DG165" s="70">
        <f t="shared" si="742"/>
        <v>4.8548611991380497E-2</v>
      </c>
      <c r="DH165" s="70">
        <f t="shared" si="742"/>
        <v>0.15166558159722232</v>
      </c>
      <c r="DI165" s="487">
        <f t="shared" si="742"/>
        <v>0.29560243614385273</v>
      </c>
      <c r="DJ165" s="1673">
        <f t="shared" si="742"/>
        <v>-0.28477571213881459</v>
      </c>
      <c r="DK165" s="70">
        <f t="shared" si="742"/>
        <v>-0.35996875304039921</v>
      </c>
      <c r="DL165" s="70">
        <f t="shared" si="742"/>
        <v>-0.29425706036736055</v>
      </c>
      <c r="DM165" s="487">
        <f t="shared" si="742"/>
        <v>-0.13629445443995658</v>
      </c>
      <c r="DN165" s="1285"/>
      <c r="DO165" s="487"/>
      <c r="EJ165" s="19"/>
      <c r="EK165" s="88"/>
      <c r="EL165" s="213" t="s">
        <v>483</v>
      </c>
      <c r="EM165" s="77">
        <f>EM164/EL164-1</f>
        <v>-3.5863135648252054E-2</v>
      </c>
      <c r="EN165" s="77">
        <f>EN164/EM164-1</f>
        <v>6.5313894892817137E-2</v>
      </c>
      <c r="EO165" s="77">
        <f>EO164/EN164-1</f>
        <v>9.303047371627593E-2</v>
      </c>
      <c r="EP165" s="77">
        <f>EP164/EO164-1</f>
        <v>7.5053109816376695E-2</v>
      </c>
      <c r="EQ165" s="77">
        <f>EQ164/EN164-1</f>
        <v>4.4905911969928436E-2</v>
      </c>
      <c r="ER165" s="77">
        <f>ER164/EQ164-1</f>
        <v>3.677137938052466E-2</v>
      </c>
      <c r="ES165" s="77">
        <f>ES164/ER164-1</f>
        <v>0.1651015470809194</v>
      </c>
      <c r="ET165" s="77">
        <f>ET164/ER164-1</f>
        <v>0.1651015470809194</v>
      </c>
      <c r="EU165" s="77">
        <f>EU164/ES164-1</f>
        <v>0.10111428350250207</v>
      </c>
      <c r="EV165" s="77">
        <f>EV164/EU164-1</f>
        <v>8.7019453450671636E-2</v>
      </c>
      <c r="EW165" s="77">
        <f>EW164/EV164-1</f>
        <v>0.14992961765265367</v>
      </c>
      <c r="EX165" s="77">
        <f>EX164/EW164-1</f>
        <v>4.9874445425942548E-2</v>
      </c>
      <c r="EY165" s="77">
        <f>EY164/EX164-1</f>
        <v>0.15625177258030964</v>
      </c>
      <c r="EZ165" s="1680">
        <f>EZ164/EY164-1</f>
        <v>-0.26033583086924328</v>
      </c>
      <c r="FA165" s="1610">
        <f t="shared" ref="FA165:FH165" si="743">EZ165</f>
        <v>-0.26033583086924328</v>
      </c>
      <c r="FB165" s="1610">
        <f t="shared" si="743"/>
        <v>-0.26033583086924328</v>
      </c>
      <c r="FC165" s="1610">
        <f t="shared" si="743"/>
        <v>-0.26033583086924328</v>
      </c>
      <c r="FD165" s="1610">
        <f t="shared" si="743"/>
        <v>-0.26033583086924328</v>
      </c>
      <c r="FE165" s="1610">
        <f t="shared" si="743"/>
        <v>-0.26033583086924328</v>
      </c>
      <c r="FF165" s="1610">
        <f t="shared" si="743"/>
        <v>-0.26033583086924328</v>
      </c>
      <c r="FG165" s="1610">
        <f t="shared" si="743"/>
        <v>-0.26033583086924328</v>
      </c>
      <c r="FH165" s="1610">
        <f t="shared" si="743"/>
        <v>-0.26033583086924328</v>
      </c>
      <c r="FI165" s="1285"/>
      <c r="FJ165"/>
      <c r="FK165"/>
      <c r="FL165"/>
      <c r="FM165"/>
      <c r="FN165"/>
      <c r="FO165"/>
      <c r="FP165" s="3"/>
      <c r="FS165" s="1226"/>
      <c r="FT165" s="1226"/>
      <c r="FU165"/>
      <c r="FV165"/>
      <c r="FW165" s="1606"/>
      <c r="FX165" s="1606"/>
      <c r="FY165" s="1606"/>
      <c r="FZ165"/>
      <c r="GA165"/>
      <c r="GB165"/>
      <c r="GC165"/>
      <c r="GD165"/>
      <c r="GE165"/>
      <c r="GF165"/>
      <c r="GG165"/>
      <c r="GH165"/>
      <c r="GI165"/>
      <c r="GJ165"/>
      <c r="GK165"/>
      <c r="GL165"/>
      <c r="GM165"/>
      <c r="GN165"/>
      <c r="GO165"/>
      <c r="GP165"/>
      <c r="GQ165"/>
      <c r="GR165"/>
      <c r="GS165"/>
      <c r="GT165"/>
      <c r="GU165"/>
      <c r="GV165"/>
      <c r="GW165"/>
      <c r="GX165"/>
      <c r="GY165"/>
      <c r="GZ165"/>
      <c r="HA165"/>
      <c r="HB165"/>
      <c r="HC165"/>
      <c r="HD165"/>
      <c r="HE165"/>
      <c r="HF165"/>
      <c r="HG165"/>
      <c r="HH165"/>
      <c r="HI165"/>
      <c r="HJ165"/>
      <c r="HK165"/>
      <c r="HL165"/>
      <c r="HM165"/>
      <c r="HN165"/>
      <c r="HO165"/>
      <c r="HP165"/>
      <c r="HQ165"/>
      <c r="HR165"/>
      <c r="HS165"/>
      <c r="HT165"/>
      <c r="HU165"/>
      <c r="HV165"/>
      <c r="HW165"/>
      <c r="HX165"/>
      <c r="HY165"/>
      <c r="HZ165"/>
      <c r="IA165"/>
      <c r="IB165"/>
      <c r="IC165"/>
      <c r="ID165"/>
      <c r="IE165"/>
      <c r="IF165"/>
      <c r="IG165"/>
      <c r="IH165"/>
      <c r="II165"/>
      <c r="IJ165"/>
      <c r="IK165"/>
      <c r="IL165"/>
      <c r="IM165"/>
      <c r="IN165"/>
      <c r="IO165"/>
      <c r="IP165"/>
      <c r="IQ165"/>
      <c r="IR165"/>
      <c r="IS165"/>
      <c r="IT165"/>
      <c r="IU165"/>
      <c r="IV165"/>
      <c r="IW165"/>
      <c r="IX165"/>
      <c r="IY165"/>
      <c r="IZ165"/>
    </row>
    <row r="166" spans="1:260" s="4" customFormat="1" hidden="1" outlineLevel="1" x14ac:dyDescent="0.2">
      <c r="A166" s="4" t="s">
        <v>4</v>
      </c>
      <c r="E166" s="470"/>
      <c r="I166" s="470"/>
      <c r="M166" s="470"/>
      <c r="Q166" s="470"/>
      <c r="U166" s="470"/>
      <c r="Y166" s="470"/>
      <c r="AC166" s="470"/>
      <c r="AG166" s="470"/>
      <c r="AK166" s="470"/>
      <c r="AO166" s="470"/>
      <c r="AS166" s="470"/>
      <c r="AW166" s="470"/>
      <c r="BA166" s="470"/>
      <c r="BB166" s="6"/>
      <c r="BC166" s="6"/>
      <c r="BE166" s="484"/>
      <c r="BF166" s="6"/>
      <c r="BG166" s="6"/>
      <c r="BH166" s="6"/>
      <c r="BI166" s="484"/>
      <c r="BJ166" s="6"/>
      <c r="BK166" s="6"/>
      <c r="BL166" s="6"/>
      <c r="BM166" s="484"/>
      <c r="BN166" s="77"/>
      <c r="BO166" s="77"/>
      <c r="BP166" s="77"/>
      <c r="BQ166" s="487"/>
      <c r="BR166" s="77"/>
      <c r="BS166" s="77"/>
      <c r="BT166" s="77"/>
      <c r="BU166" s="487"/>
      <c r="BV166" s="77"/>
      <c r="BW166" s="77"/>
      <c r="BX166" s="77"/>
      <c r="BY166" s="487"/>
      <c r="BZ166" s="77"/>
      <c r="CA166" s="77"/>
      <c r="CB166" s="77"/>
      <c r="CC166" s="487"/>
      <c r="CD166" s="77">
        <f t="shared" ref="CD166:DB166" si="744">+CD165+BZ165</f>
        <v>0.11704799456322112</v>
      </c>
      <c r="CE166" s="77">
        <f t="shared" si="744"/>
        <v>0.16167975607584395</v>
      </c>
      <c r="CF166" s="77">
        <f t="shared" si="744"/>
        <v>0.1065013173559648</v>
      </c>
      <c r="CG166" s="487">
        <f t="shared" si="744"/>
        <v>-7.4702188116892998E-5</v>
      </c>
      <c r="CH166" s="77">
        <f t="shared" si="744"/>
        <v>0.14238129728151938</v>
      </c>
      <c r="CI166" s="77">
        <f t="shared" si="744"/>
        <v>0.11580616355099738</v>
      </c>
      <c r="CJ166" s="77">
        <f t="shared" si="744"/>
        <v>0.32902578784462255</v>
      </c>
      <c r="CK166" s="487">
        <f t="shared" si="744"/>
        <v>0.24450148358488555</v>
      </c>
      <c r="CL166" s="77">
        <f t="shared" si="744"/>
        <v>0.3127264061010484</v>
      </c>
      <c r="CM166" s="77">
        <f t="shared" si="744"/>
        <v>0.28243700639338121</v>
      </c>
      <c r="CN166" s="77">
        <f t="shared" si="744"/>
        <v>0.22267742602938156</v>
      </c>
      <c r="CO166" s="487">
        <f t="shared" si="744"/>
        <v>0.49344353492807747</v>
      </c>
      <c r="CP166" s="77">
        <f t="shared" si="744"/>
        <v>0.3027122065747716</v>
      </c>
      <c r="CQ166" s="77">
        <f t="shared" si="744"/>
        <v>0.27997465925388454</v>
      </c>
      <c r="CR166" s="77">
        <f t="shared" si="744"/>
        <v>0.27489924996242965</v>
      </c>
      <c r="CS166" s="487">
        <f t="shared" si="744"/>
        <v>0.2266420861891385</v>
      </c>
      <c r="CT166" s="77">
        <f t="shared" si="744"/>
        <v>0.12558383866142342</v>
      </c>
      <c r="CU166" s="77">
        <f t="shared" si="744"/>
        <v>0.23626419464240289</v>
      </c>
      <c r="CV166" s="77">
        <f t="shared" si="744"/>
        <v>0.18660201160211676</v>
      </c>
      <c r="CW166" s="487">
        <f t="shared" si="744"/>
        <v>0.21885347858849191</v>
      </c>
      <c r="CX166" s="77">
        <f t="shared" si="744"/>
        <v>0.13810167193744038</v>
      </c>
      <c r="CY166" s="77">
        <f t="shared" si="744"/>
        <v>0.2515401194465583</v>
      </c>
      <c r="CZ166" s="77">
        <f t="shared" si="744"/>
        <v>0.16183651969942292</v>
      </c>
      <c r="DA166" s="487">
        <f t="shared" si="744"/>
        <v>0.3881416343061741</v>
      </c>
      <c r="DB166" s="77">
        <f t="shared" si="744"/>
        <v>0.27516911816908562</v>
      </c>
      <c r="DC166" s="77">
        <f t="shared" ref="DC166:DM166" si="745">+DC165+CY165</f>
        <v>0.2555680036844008</v>
      </c>
      <c r="DD166" s="70">
        <f t="shared" si="745"/>
        <v>0.15140320326506962</v>
      </c>
      <c r="DE166" s="487">
        <f t="shared" si="745"/>
        <v>0.13569604140528291</v>
      </c>
      <c r="DF166" s="70">
        <f t="shared" si="745"/>
        <v>0.23919295848098265</v>
      </c>
      <c r="DG166" s="70">
        <f t="shared" si="745"/>
        <v>0.15008453481443196</v>
      </c>
      <c r="DH166" s="70">
        <f t="shared" si="745"/>
        <v>0.16427373981724691</v>
      </c>
      <c r="DI166" s="487">
        <f t="shared" si="745"/>
        <v>0.28209000310635368</v>
      </c>
      <c r="DJ166" s="1673">
        <f t="shared" si="745"/>
        <v>-0.16188503502665319</v>
      </c>
      <c r="DK166" s="70">
        <f t="shared" si="745"/>
        <v>-0.31142014104901872</v>
      </c>
      <c r="DL166" s="70">
        <f t="shared" si="745"/>
        <v>-0.14259147877013822</v>
      </c>
      <c r="DM166" s="487">
        <f t="shared" si="745"/>
        <v>0.15930798170389615</v>
      </c>
      <c r="DN166" s="580"/>
      <c r="DO166" s="487"/>
      <c r="EJ166" s="19"/>
      <c r="EK166" s="88"/>
      <c r="EL166" s="88"/>
      <c r="EM166" s="88"/>
      <c r="EN166" s="77"/>
      <c r="EO166" s="77"/>
      <c r="EP166" s="77"/>
      <c r="EQ166" s="77"/>
      <c r="ER166" s="77">
        <f>AVERAGE(ER165,EQ165)</f>
        <v>4.0838645675226548E-2</v>
      </c>
      <c r="ES166" s="77">
        <f>AVERAGE(ES165,ER165)</f>
        <v>0.10093646323072203</v>
      </c>
      <c r="ET166" s="77">
        <f>AVERAGE(ET165,ER165)</f>
        <v>0.10093646323072203</v>
      </c>
      <c r="EU166" s="77">
        <f>AVERAGE(EU165,ES165)</f>
        <v>0.13310791529171073</v>
      </c>
      <c r="EV166" s="77">
        <f>AVERAGE(EV165,EU165)</f>
        <v>9.4066868476586851E-2</v>
      </c>
      <c r="EW166" s="77">
        <f>AVERAGE(EW165,EV165)</f>
        <v>0.11847453555166265</v>
      </c>
      <c r="EX166" s="77">
        <f>AVERAGE(EX165,EW165)</f>
        <v>9.9902031539298108E-2</v>
      </c>
      <c r="EY166" s="77">
        <f>AVERAGE(EY165,EX165)</f>
        <v>0.1030631090031261</v>
      </c>
      <c r="EZ166" s="1680">
        <f>AVERAGE(EZ165,EY165)</f>
        <v>-5.2042029144466817E-2</v>
      </c>
      <c r="FA166" s="77">
        <f t="shared" ref="FA166:FH166" si="746">FA165+EZ165</f>
        <v>-0.52067166173848656</v>
      </c>
      <c r="FB166" s="77">
        <f t="shared" si="746"/>
        <v>-0.52067166173848656</v>
      </c>
      <c r="FC166" s="77">
        <f t="shared" si="746"/>
        <v>-0.52067166173848656</v>
      </c>
      <c r="FD166" s="77">
        <f t="shared" si="746"/>
        <v>-0.52067166173848656</v>
      </c>
      <c r="FE166" s="77">
        <f t="shared" si="746"/>
        <v>-0.52067166173848656</v>
      </c>
      <c r="FF166" s="77">
        <f t="shared" si="746"/>
        <v>-0.52067166173848656</v>
      </c>
      <c r="FG166" s="77">
        <f t="shared" si="746"/>
        <v>-0.52067166173848656</v>
      </c>
      <c r="FH166" s="77">
        <f t="shared" si="746"/>
        <v>-0.52067166173848656</v>
      </c>
      <c r="FI166" s="580"/>
      <c r="FJ166"/>
      <c r="FK166"/>
      <c r="FL166"/>
      <c r="FM166"/>
      <c r="FN166"/>
      <c r="FO166"/>
      <c r="FP166" s="3"/>
      <c r="FS166" s="70"/>
      <c r="FT166" s="70"/>
      <c r="FU166"/>
      <c r="FV166"/>
      <c r="FW166" s="70"/>
      <c r="FX166" s="70"/>
      <c r="FY166" s="70"/>
      <c r="FZ166"/>
      <c r="GA166"/>
      <c r="GB166"/>
      <c r="GC166"/>
      <c r="GD166"/>
      <c r="GE166"/>
      <c r="GF166"/>
      <c r="GG166"/>
      <c r="GH166"/>
      <c r="GI166"/>
      <c r="GJ166"/>
      <c r="GK166"/>
      <c r="GL166"/>
      <c r="GM166"/>
      <c r="GN166"/>
      <c r="GO166"/>
      <c r="GP166"/>
      <c r="GQ166"/>
      <c r="GR166"/>
      <c r="GS166"/>
      <c r="GT166"/>
      <c r="GU166"/>
      <c r="GV166"/>
      <c r="GW166"/>
      <c r="GX166"/>
      <c r="GY166"/>
      <c r="GZ166"/>
      <c r="HA166"/>
      <c r="HB166"/>
      <c r="HC166"/>
      <c r="HD166"/>
      <c r="HE166"/>
      <c r="HF166"/>
      <c r="HG166"/>
      <c r="HH166"/>
      <c r="HI166"/>
      <c r="HJ166"/>
      <c r="HK166"/>
      <c r="HL166"/>
      <c r="HM166"/>
      <c r="HN166"/>
      <c r="HO166"/>
      <c r="HP166"/>
      <c r="HQ166"/>
      <c r="HR166"/>
      <c r="HS166"/>
      <c r="HT166"/>
      <c r="HU166"/>
      <c r="HV166"/>
      <c r="HW166"/>
      <c r="HX166"/>
      <c r="HY166"/>
      <c r="HZ166"/>
      <c r="IA166"/>
      <c r="IB166"/>
      <c r="IC166"/>
      <c r="ID166"/>
      <c r="IE166"/>
      <c r="IF166"/>
      <c r="IG166"/>
      <c r="IH166"/>
      <c r="II166"/>
      <c r="IJ166"/>
      <c r="IK166"/>
      <c r="IL166"/>
      <c r="IM166"/>
      <c r="IN166"/>
      <c r="IO166"/>
      <c r="IP166"/>
      <c r="IQ166"/>
      <c r="IR166"/>
      <c r="IS166"/>
      <c r="IT166"/>
      <c r="IU166"/>
      <c r="IV166"/>
      <c r="IW166"/>
      <c r="IX166"/>
      <c r="IY166"/>
      <c r="IZ166"/>
    </row>
    <row r="167" spans="1:260" s="4" customFormat="1" hidden="1" outlineLevel="1" x14ac:dyDescent="0.2">
      <c r="E167" s="470"/>
      <c r="I167" s="470"/>
      <c r="M167" s="470"/>
      <c r="Q167" s="470"/>
      <c r="U167" s="470"/>
      <c r="Y167" s="470"/>
      <c r="AC167" s="470"/>
      <c r="AG167" s="470"/>
      <c r="AK167" s="470"/>
      <c r="AO167" s="470"/>
      <c r="AS167" s="470"/>
      <c r="AW167" s="470"/>
      <c r="BA167" s="470"/>
      <c r="BB167" s="6"/>
      <c r="BC167" s="6"/>
      <c r="BE167" s="484"/>
      <c r="BF167" s="6"/>
      <c r="BG167" s="6"/>
      <c r="BH167" s="6"/>
      <c r="BI167" s="484"/>
      <c r="BJ167" s="6"/>
      <c r="BK167" s="6"/>
      <c r="BL167" s="6"/>
      <c r="BM167" s="484"/>
      <c r="BN167" s="6"/>
      <c r="BO167" s="6"/>
      <c r="BP167" s="6"/>
      <c r="BQ167" s="484"/>
      <c r="BR167" s="6"/>
      <c r="BS167" s="6"/>
      <c r="BT167" s="6"/>
      <c r="BU167" s="499"/>
      <c r="BV167" s="6"/>
      <c r="BW167" s="382"/>
      <c r="BX167" s="382"/>
      <c r="BY167" s="568"/>
      <c r="BZ167" s="6"/>
      <c r="CA167" s="6"/>
      <c r="CB167" s="6"/>
      <c r="CC167" s="499"/>
      <c r="CD167" s="6"/>
      <c r="CE167" s="382"/>
      <c r="CF167" s="382"/>
      <c r="CG167" s="568"/>
      <c r="CH167" s="6"/>
      <c r="CI167" s="382"/>
      <c r="CJ167" s="382"/>
      <c r="CK167" s="568"/>
      <c r="CL167" s="6"/>
      <c r="CM167" s="382"/>
      <c r="CN167" s="382"/>
      <c r="CO167" s="568"/>
      <c r="CP167" s="6"/>
      <c r="CQ167" s="382"/>
      <c r="CR167" s="382"/>
      <c r="CS167" s="499"/>
      <c r="CT167" s="6"/>
      <c r="CU167" s="382"/>
      <c r="CV167" s="382"/>
      <c r="CW167" s="568"/>
      <c r="CX167" s="382"/>
      <c r="CY167" s="382"/>
      <c r="CZ167" s="382"/>
      <c r="DA167" s="568"/>
      <c r="DB167" s="382"/>
      <c r="DC167" s="382"/>
      <c r="DD167" s="53"/>
      <c r="DE167" s="499"/>
      <c r="DF167" s="53"/>
      <c r="DG167" s="53"/>
      <c r="DH167" s="53"/>
      <c r="DI167" s="499"/>
      <c r="DJ167" s="2740"/>
      <c r="DK167" s="53"/>
      <c r="DL167" s="53"/>
      <c r="DM167" s="499"/>
      <c r="DN167" s="590"/>
      <c r="DO167" s="484"/>
      <c r="EJ167" s="19"/>
      <c r="EK167" s="88"/>
      <c r="EL167" s="88"/>
      <c r="EM167" s="88"/>
      <c r="EN167" s="88"/>
      <c r="EO167" s="88"/>
      <c r="EP167" s="88"/>
      <c r="EQ167" s="88"/>
      <c r="ER167" s="88"/>
      <c r="ES167" s="88"/>
      <c r="ET167" s="88"/>
      <c r="EU167" s="88"/>
      <c r="EV167" s="88"/>
      <c r="EW167" s="88"/>
      <c r="EX167" s="88"/>
      <c r="EY167" s="88"/>
      <c r="EZ167" s="1738"/>
      <c r="FA167" s="88"/>
      <c r="FB167" s="88"/>
      <c r="FC167" s="88"/>
      <c r="FD167" s="88"/>
      <c r="FE167" s="88"/>
      <c r="FF167" s="88"/>
      <c r="FG167" s="88"/>
      <c r="FH167" s="88"/>
      <c r="FI167" s="590"/>
      <c r="FJ167"/>
      <c r="FK167"/>
      <c r="FL167"/>
      <c r="FM167"/>
      <c r="FN167"/>
      <c r="FO167"/>
      <c r="FP167" s="3"/>
      <c r="FS167" s="53"/>
      <c r="FT167" s="53"/>
      <c r="FU167"/>
      <c r="FV167"/>
      <c r="FW167" s="53"/>
      <c r="FX167" s="53"/>
      <c r="FY167" s="53"/>
      <c r="FZ167"/>
      <c r="GA167"/>
      <c r="GB167"/>
      <c r="GC167"/>
      <c r="GD167"/>
      <c r="GE167"/>
      <c r="GF167"/>
      <c r="GG167"/>
      <c r="GH167"/>
      <c r="GI167"/>
      <c r="GJ167"/>
      <c r="GK167"/>
      <c r="GL167"/>
      <c r="GM167"/>
      <c r="GN167"/>
      <c r="GO167"/>
      <c r="GP167"/>
      <c r="GQ167"/>
      <c r="GR167"/>
      <c r="GS167"/>
      <c r="GT167"/>
      <c r="GU167"/>
      <c r="GV167"/>
      <c r="GW167"/>
      <c r="GX167"/>
      <c r="GY167"/>
      <c r="GZ167"/>
      <c r="HA167"/>
      <c r="HB167"/>
      <c r="HC167"/>
      <c r="HD167"/>
      <c r="HE167"/>
      <c r="HF167"/>
      <c r="HG167"/>
      <c r="HH167"/>
      <c r="HI167"/>
      <c r="HJ167"/>
      <c r="HK167"/>
      <c r="HL167"/>
      <c r="HM167"/>
      <c r="HN167"/>
      <c r="HO167"/>
      <c r="HP167"/>
      <c r="HQ167"/>
      <c r="HR167"/>
      <c r="HS167"/>
      <c r="HT167"/>
      <c r="HU167"/>
      <c r="HV167"/>
      <c r="HW167"/>
      <c r="HX167"/>
      <c r="HY167"/>
      <c r="HZ167"/>
      <c r="IA167"/>
      <c r="IB167"/>
      <c r="IC167"/>
      <c r="ID167"/>
      <c r="IE167"/>
      <c r="IF167"/>
      <c r="IG167"/>
      <c r="IH167"/>
      <c r="II167"/>
      <c r="IJ167"/>
      <c r="IK167"/>
      <c r="IL167"/>
      <c r="IM167"/>
      <c r="IN167"/>
      <c r="IO167"/>
      <c r="IP167"/>
      <c r="IQ167"/>
      <c r="IR167"/>
      <c r="IS167"/>
      <c r="IT167"/>
      <c r="IU167"/>
      <c r="IV167"/>
      <c r="IW167"/>
      <c r="IX167"/>
      <c r="IY167"/>
      <c r="IZ167"/>
    </row>
    <row r="168" spans="1:260" s="4" customFormat="1" hidden="1" outlineLevel="1" x14ac:dyDescent="0.2">
      <c r="A168" s="19" t="s">
        <v>376</v>
      </c>
      <c r="B168" s="47"/>
      <c r="C168" s="47"/>
      <c r="D168" s="47"/>
      <c r="E168" s="709"/>
      <c r="F168" s="47"/>
      <c r="G168" s="47"/>
      <c r="H168" s="47"/>
      <c r="I168" s="709"/>
      <c r="J168" s="47"/>
      <c r="K168" s="47"/>
      <c r="L168" s="47"/>
      <c r="M168" s="709"/>
      <c r="N168" s="47"/>
      <c r="O168" s="47"/>
      <c r="P168" s="47"/>
      <c r="Q168" s="709"/>
      <c r="R168" s="47"/>
      <c r="S168" s="47"/>
      <c r="T168" s="47"/>
      <c r="U168" s="709"/>
      <c r="V168" s="47"/>
      <c r="W168" s="47"/>
      <c r="X168" s="47"/>
      <c r="Y168" s="709"/>
      <c r="Z168" s="47"/>
      <c r="AA168" s="47"/>
      <c r="AB168" s="47"/>
      <c r="AC168" s="709"/>
      <c r="AD168" s="47"/>
      <c r="AE168" s="47"/>
      <c r="AF168" s="47"/>
      <c r="AG168" s="709"/>
      <c r="AH168" s="47"/>
      <c r="AI168" s="47"/>
      <c r="AJ168" s="47"/>
      <c r="AK168" s="709"/>
      <c r="AL168" s="47"/>
      <c r="AM168" s="47"/>
      <c r="AN168" s="47"/>
      <c r="AO168" s="709"/>
      <c r="AP168" s="47"/>
      <c r="AQ168" s="47"/>
      <c r="AR168" s="47"/>
      <c r="AS168" s="709"/>
      <c r="AT168" s="47"/>
      <c r="AU168" s="47"/>
      <c r="AV168" s="47"/>
      <c r="AW168" s="709"/>
      <c r="AX168" s="47"/>
      <c r="AY168" s="47"/>
      <c r="AZ168" s="47"/>
      <c r="BA168" s="709"/>
      <c r="BB168" s="873"/>
      <c r="BC168" s="873"/>
      <c r="BD168" s="47"/>
      <c r="BE168" s="874"/>
      <c r="BF168" s="873">
        <f t="shared" ref="BF168:CS168" si="747">BF185*BF$176</f>
        <v>402.24</v>
      </c>
      <c r="BG168" s="873">
        <f t="shared" si="747"/>
        <v>506.38000000000005</v>
      </c>
      <c r="BH168" s="873">
        <f t="shared" si="747"/>
        <v>492.35999999999996</v>
      </c>
      <c r="BI168" s="874">
        <f t="shared" si="747"/>
        <v>559.20000000000005</v>
      </c>
      <c r="BJ168" s="873">
        <f t="shared" si="747"/>
        <v>447.18</v>
      </c>
      <c r="BK168" s="873">
        <f t="shared" si="747"/>
        <v>569.31000000000006</v>
      </c>
      <c r="BL168" s="873">
        <f t="shared" si="747"/>
        <v>491.76</v>
      </c>
      <c r="BM168" s="874">
        <f t="shared" si="747"/>
        <v>564.4</v>
      </c>
      <c r="BN168" s="873">
        <f t="shared" si="747"/>
        <v>526.75</v>
      </c>
      <c r="BO168" s="873">
        <f t="shared" si="747"/>
        <v>496.44</v>
      </c>
      <c r="BP168" s="873">
        <f t="shared" si="747"/>
        <v>535.86</v>
      </c>
      <c r="BQ168" s="874">
        <f t="shared" si="747"/>
        <v>629.20000000000005</v>
      </c>
      <c r="BR168" s="873">
        <f t="shared" si="747"/>
        <v>475.38</v>
      </c>
      <c r="BS168" s="873">
        <f t="shared" si="747"/>
        <v>506.15999999999997</v>
      </c>
      <c r="BT168" s="873">
        <f t="shared" si="747"/>
        <v>522.6</v>
      </c>
      <c r="BU168" s="874">
        <f t="shared" si="747"/>
        <v>605.85</v>
      </c>
      <c r="BV168" s="873">
        <f t="shared" si="747"/>
        <v>471.53999999999996</v>
      </c>
      <c r="BW168" s="873">
        <f t="shared" si="747"/>
        <v>581.7700000000001</v>
      </c>
      <c r="BX168" s="873">
        <f t="shared" si="747"/>
        <v>533.1</v>
      </c>
      <c r="BY168" s="874">
        <f t="shared" si="747"/>
        <v>630</v>
      </c>
      <c r="BZ168" s="873">
        <f t="shared" si="747"/>
        <v>510.65999999999997</v>
      </c>
      <c r="CA168" s="873">
        <f t="shared" si="747"/>
        <v>491.09999999999997</v>
      </c>
      <c r="CB168" s="873">
        <f t="shared" si="747"/>
        <v>476.28</v>
      </c>
      <c r="CC168" s="874">
        <f t="shared" si="747"/>
        <v>630.55000000000007</v>
      </c>
      <c r="CD168" s="873">
        <f t="shared" si="747"/>
        <v>503.52</v>
      </c>
      <c r="CE168" s="873">
        <f t="shared" si="747"/>
        <v>558.3900000000001</v>
      </c>
      <c r="CF168" s="873">
        <f t="shared" si="747"/>
        <v>563.85</v>
      </c>
      <c r="CG168" s="874">
        <f t="shared" si="747"/>
        <v>629.15000000000009</v>
      </c>
      <c r="CH168" s="873">
        <f t="shared" si="747"/>
        <v>511.67600000000004</v>
      </c>
      <c r="CI168" s="873">
        <f t="shared" si="747"/>
        <v>546.21</v>
      </c>
      <c r="CJ168" s="873">
        <f t="shared" si="747"/>
        <v>537.11</v>
      </c>
      <c r="CK168" s="874">
        <f t="shared" si="747"/>
        <v>627.5</v>
      </c>
      <c r="CL168" s="873">
        <f t="shared" si="747"/>
        <v>617.54000000000008</v>
      </c>
      <c r="CM168" s="873">
        <f t="shared" si="747"/>
        <v>546.21</v>
      </c>
      <c r="CN168" s="873">
        <f t="shared" si="747"/>
        <v>537.11</v>
      </c>
      <c r="CO168" s="874">
        <f t="shared" si="747"/>
        <v>627.5</v>
      </c>
      <c r="CP168" s="873">
        <f t="shared" si="747"/>
        <v>556.22</v>
      </c>
      <c r="CQ168" s="873">
        <f t="shared" si="747"/>
        <v>544.25</v>
      </c>
      <c r="CR168" s="873">
        <f t="shared" si="747"/>
        <v>546.84</v>
      </c>
      <c r="CS168" s="874">
        <f t="shared" si="747"/>
        <v>614.90000000000009</v>
      </c>
      <c r="CT168" s="873">
        <f t="shared" ref="CT168:CZ168" si="748">CT185*CT$176</f>
        <v>466.85999999999996</v>
      </c>
      <c r="CU168" s="873">
        <f t="shared" si="748"/>
        <v>455.09999999999997</v>
      </c>
      <c r="CV168" s="873">
        <f t="shared" si="748"/>
        <v>479.52</v>
      </c>
      <c r="CW168" s="874">
        <f t="shared" si="748"/>
        <v>507.88</v>
      </c>
      <c r="CX168" s="873">
        <f t="shared" si="748"/>
        <v>394.5</v>
      </c>
      <c r="CY168" s="873">
        <f t="shared" si="748"/>
        <v>393.90000000000003</v>
      </c>
      <c r="CZ168" s="873">
        <f t="shared" si="748"/>
        <v>404.5</v>
      </c>
      <c r="DA168" s="874">
        <f t="shared" ref="DA168:DI168" si="749">DA185*DA$176</f>
        <v>500.28000000000003</v>
      </c>
      <c r="DB168" s="873">
        <f t="shared" si="749"/>
        <v>391.45000000000005</v>
      </c>
      <c r="DC168" s="873">
        <f t="shared" si="749"/>
        <v>394.45000000000005</v>
      </c>
      <c r="DD168" s="947">
        <f t="shared" si="749"/>
        <v>409.6</v>
      </c>
      <c r="DE168" s="874">
        <f t="shared" si="749"/>
        <v>616.90000000000009</v>
      </c>
      <c r="DF168" s="947">
        <f t="shared" si="749"/>
        <v>395.6</v>
      </c>
      <c r="DG168" s="947">
        <f t="shared" ref="DG168" si="750">DG185*DG$176</f>
        <v>330.88</v>
      </c>
      <c r="DH168" s="947">
        <f t="shared" si="749"/>
        <v>424.55</v>
      </c>
      <c r="DI168" s="874">
        <f t="shared" si="749"/>
        <v>559.48</v>
      </c>
      <c r="DJ168" s="1669">
        <f t="shared" ref="DJ168:DK168" si="751">DJ185*DJ$176</f>
        <v>363.78350778585207</v>
      </c>
      <c r="DK168" s="947">
        <f t="shared" si="751"/>
        <v>374.38536357866565</v>
      </c>
      <c r="DL168" s="947">
        <f t="shared" ref="DL168:DM168" si="752">DL185*DL$176</f>
        <v>385.22978359847622</v>
      </c>
      <c r="DM168" s="874">
        <f t="shared" si="752"/>
        <v>621.29054395277103</v>
      </c>
      <c r="DN168" s="588"/>
      <c r="DO168" s="1284"/>
      <c r="EJ168" s="19"/>
      <c r="EK168" s="88"/>
      <c r="EL168" s="789">
        <f>SUM(BF168:BI168)</f>
        <v>1960.18</v>
      </c>
      <c r="EM168" s="789">
        <f>SUM(BJ168:BM168)</f>
        <v>2072.65</v>
      </c>
      <c r="EN168" s="789">
        <f>SUM(BN168:BQ168)</f>
        <v>2188.25</v>
      </c>
      <c r="EO168" s="789">
        <f>SUM(BR168:BU168)</f>
        <v>2109.9899999999998</v>
      </c>
      <c r="EP168" s="789">
        <f>SUM(BV168:BY168)</f>
        <v>2216.41</v>
      </c>
      <c r="EQ168" s="789">
        <f>SUM(BZ168:CC168)</f>
        <v>2108.59</v>
      </c>
      <c r="ER168" s="789">
        <f>SUM(CD168:CG168)</f>
        <v>2254.9100000000003</v>
      </c>
      <c r="ES168" s="789">
        <f>SUM(CH168:CK168)</f>
        <v>2222.4960000000001</v>
      </c>
      <c r="ET168" s="789">
        <f>SUM(CL168:CO168)</f>
        <v>2328.36</v>
      </c>
      <c r="EU168" s="789">
        <f>SUM(CP168:CS168)</f>
        <v>2262.21</v>
      </c>
      <c r="EV168" s="789">
        <f>SUM(CT168:CW168)</f>
        <v>1909.3600000000001</v>
      </c>
      <c r="EW168" s="789">
        <f>SUM(CX168:DA168)</f>
        <v>1693.18</v>
      </c>
      <c r="EX168" s="789">
        <f>SUM(DB168:DE168)</f>
        <v>1812.4</v>
      </c>
      <c r="EY168" s="789">
        <f>SUM(DF168:DI168)</f>
        <v>1710.51</v>
      </c>
      <c r="EZ168" s="1737">
        <f>SUM(DJ168:DM168)</f>
        <v>1744.689198915765</v>
      </c>
      <c r="FA168" s="789">
        <f t="shared" ref="FA168:FH168" si="753">EZ168*(1+FA169)</f>
        <v>1776.0651460065953</v>
      </c>
      <c r="FB168" s="789">
        <f t="shared" si="753"/>
        <v>1804.8113281214619</v>
      </c>
      <c r="FC168" s="789">
        <f t="shared" si="753"/>
        <v>1831.1016315565732</v>
      </c>
      <c r="FD168" s="789">
        <f t="shared" si="753"/>
        <v>1855.1075733897458</v>
      </c>
      <c r="FE168" s="789">
        <f t="shared" si="753"/>
        <v>1876.9961695005438</v>
      </c>
      <c r="FF168" s="789">
        <f t="shared" si="753"/>
        <v>1896.9283451223466</v>
      </c>
      <c r="FG168" s="789">
        <f t="shared" si="753"/>
        <v>1915.0578003541673</v>
      </c>
      <c r="FH168" s="789">
        <f t="shared" si="753"/>
        <v>1931.5302513418019</v>
      </c>
      <c r="FI168" s="1194"/>
      <c r="FJ168"/>
      <c r="FK168"/>
      <c r="FL168"/>
      <c r="FM168"/>
      <c r="FN168"/>
      <c r="FO168"/>
      <c r="FP168" s="3"/>
      <c r="FS168" s="880"/>
      <c r="FT168" s="880"/>
      <c r="FU168"/>
      <c r="FV168"/>
      <c r="FW168" s="880"/>
      <c r="FX168" s="880"/>
      <c r="FY168" s="880"/>
      <c r="FZ168"/>
      <c r="GA168"/>
      <c r="GB168"/>
      <c r="GC168"/>
      <c r="GD168"/>
      <c r="GE168"/>
      <c r="GF168"/>
      <c r="GG168"/>
      <c r="GH168"/>
      <c r="GI168"/>
      <c r="GJ168"/>
      <c r="GK168"/>
      <c r="GL168"/>
      <c r="GM168"/>
      <c r="GN168"/>
      <c r="GO168"/>
      <c r="GP168"/>
      <c r="GQ168"/>
      <c r="GR168"/>
      <c r="GS168"/>
      <c r="GT168"/>
      <c r="GU168"/>
      <c r="GV168"/>
      <c r="GW168"/>
      <c r="GX168"/>
      <c r="GY168"/>
      <c r="GZ168"/>
      <c r="HA168"/>
      <c r="HB168"/>
      <c r="HC168"/>
      <c r="HD168"/>
      <c r="HE168"/>
      <c r="HF168"/>
      <c r="HG168"/>
      <c r="HH168"/>
      <c r="HI168"/>
      <c r="HJ168"/>
      <c r="HK168"/>
      <c r="HL168"/>
      <c r="HM168"/>
      <c r="HN168"/>
      <c r="HO168"/>
      <c r="HP168"/>
      <c r="HQ168"/>
      <c r="HR168"/>
      <c r="HS168"/>
      <c r="HT168"/>
      <c r="HU168"/>
      <c r="HV168"/>
      <c r="HW168"/>
      <c r="HX168"/>
      <c r="HY168"/>
      <c r="HZ168"/>
      <c r="IA168"/>
      <c r="IB168"/>
      <c r="IC168"/>
      <c r="ID168"/>
      <c r="IE168"/>
      <c r="IF168"/>
      <c r="IG168"/>
      <c r="IH168"/>
      <c r="II168"/>
      <c r="IJ168"/>
      <c r="IK168"/>
      <c r="IL168"/>
      <c r="IM168"/>
      <c r="IN168"/>
      <c r="IO168"/>
      <c r="IP168"/>
      <c r="IQ168"/>
      <c r="IR168"/>
      <c r="IS168"/>
      <c r="IT168"/>
      <c r="IU168"/>
      <c r="IV168"/>
      <c r="IW168"/>
      <c r="IX168"/>
      <c r="IY168"/>
      <c r="IZ168"/>
    </row>
    <row r="169" spans="1:260" s="4" customFormat="1" hidden="1" outlineLevel="1" x14ac:dyDescent="0.2">
      <c r="A169" s="1388" t="s">
        <v>482</v>
      </c>
      <c r="E169" s="470"/>
      <c r="I169" s="470"/>
      <c r="M169" s="470"/>
      <c r="Q169" s="470"/>
      <c r="U169" s="470"/>
      <c r="Y169" s="470"/>
      <c r="AC169" s="470"/>
      <c r="AG169" s="470"/>
      <c r="AK169" s="470"/>
      <c r="AO169" s="470"/>
      <c r="AS169" s="470"/>
      <c r="AW169" s="470"/>
      <c r="BA169" s="470"/>
      <c r="BB169" s="6"/>
      <c r="BC169" s="6"/>
      <c r="BE169" s="484"/>
      <c r="BF169" s="213" t="s">
        <v>483</v>
      </c>
      <c r="BG169" s="213" t="s">
        <v>483</v>
      </c>
      <c r="BH169" s="213" t="s">
        <v>483</v>
      </c>
      <c r="BI169" s="490" t="s">
        <v>483</v>
      </c>
      <c r="BJ169" s="77">
        <f t="shared" ref="BJ169:BY169" si="754">BJ168/BF168-1</f>
        <v>0.11172434367541761</v>
      </c>
      <c r="BK169" s="77">
        <f t="shared" si="754"/>
        <v>0.1242742604368261</v>
      </c>
      <c r="BL169" s="77">
        <f t="shared" si="754"/>
        <v>-1.2186205215695134E-3</v>
      </c>
      <c r="BM169" s="487">
        <f t="shared" si="754"/>
        <v>9.2989985693847643E-3</v>
      </c>
      <c r="BN169" s="77">
        <f t="shared" si="754"/>
        <v>0.17793729594346797</v>
      </c>
      <c r="BO169" s="77">
        <f t="shared" si="754"/>
        <v>-0.1279970490593878</v>
      </c>
      <c r="BP169" s="77">
        <f t="shared" si="754"/>
        <v>8.9677891654465602E-2</v>
      </c>
      <c r="BQ169" s="487">
        <f t="shared" si="754"/>
        <v>0.11481218993621556</v>
      </c>
      <c r="BR169" s="77">
        <f t="shared" si="754"/>
        <v>-9.7522543901281455E-2</v>
      </c>
      <c r="BS169" s="77">
        <f t="shared" si="754"/>
        <v>1.9579405366207281E-2</v>
      </c>
      <c r="BT169" s="77">
        <f t="shared" si="754"/>
        <v>-2.4745269286754024E-2</v>
      </c>
      <c r="BU169" s="487">
        <f t="shared" si="754"/>
        <v>-3.7110616656071183E-2</v>
      </c>
      <c r="BV169" s="77">
        <f t="shared" si="754"/>
        <v>-8.0777483276537332E-3</v>
      </c>
      <c r="BW169" s="77">
        <f t="shared" si="754"/>
        <v>0.14937964280069571</v>
      </c>
      <c r="BX169" s="77">
        <f t="shared" si="754"/>
        <v>2.0091848450057403E-2</v>
      </c>
      <c r="BY169" s="487">
        <f t="shared" si="754"/>
        <v>3.9861351819757251E-2</v>
      </c>
      <c r="BZ169" s="77">
        <f>BZ168/BN168-1</f>
        <v>-3.0545799715234967E-2</v>
      </c>
      <c r="CA169" s="77">
        <f>CA168/BO168-1</f>
        <v>-1.0756586898718945E-2</v>
      </c>
      <c r="CB169" s="77">
        <f>CB168/BP168-1</f>
        <v>-0.11118575747396719</v>
      </c>
      <c r="CC169" s="487">
        <f>CC168/BQ168-1</f>
        <v>2.1455816910362913E-3</v>
      </c>
      <c r="CD169" s="77">
        <f t="shared" ref="CD169:CK169" si="755">CD168/BZ168-1</f>
        <v>-1.3981905769004821E-2</v>
      </c>
      <c r="CE169" s="77">
        <f t="shared" si="755"/>
        <v>0.13701893708002477</v>
      </c>
      <c r="CF169" s="77">
        <f t="shared" si="755"/>
        <v>0.18386243386243395</v>
      </c>
      <c r="CG169" s="487">
        <f t="shared" si="755"/>
        <v>-2.2202838791530732E-3</v>
      </c>
      <c r="CH169" s="77">
        <f t="shared" si="755"/>
        <v>1.6197966317127444E-2</v>
      </c>
      <c r="CI169" s="77">
        <f t="shared" si="755"/>
        <v>-2.1812711545693975E-2</v>
      </c>
      <c r="CJ169" s="77">
        <f t="shared" si="755"/>
        <v>-4.7423960273122345E-2</v>
      </c>
      <c r="CK169" s="487">
        <f t="shared" si="755"/>
        <v>-2.6225860287690805E-3</v>
      </c>
      <c r="CL169" s="77">
        <f>CL168/CD168-1</f>
        <v>0.22644582141722291</v>
      </c>
      <c r="CM169" s="77">
        <f>CM168/CE168-1</f>
        <v>-2.1812711545693975E-2</v>
      </c>
      <c r="CN169" s="77">
        <f>CN168/CF168-1</f>
        <v>-4.7423960273122345E-2</v>
      </c>
      <c r="CO169" s="487">
        <f>CO168/CG168-1</f>
        <v>-2.6225860287690805E-3</v>
      </c>
      <c r="CP169" s="77">
        <f t="shared" ref="CP169:CX169" si="756">CP168/CL168-1</f>
        <v>-9.9297211516662931E-2</v>
      </c>
      <c r="CQ169" s="77">
        <f t="shared" si="756"/>
        <v>-3.5883634499551675E-3</v>
      </c>
      <c r="CR169" s="77">
        <f t="shared" si="756"/>
        <v>1.8115469829271591E-2</v>
      </c>
      <c r="CS169" s="487">
        <f t="shared" si="756"/>
        <v>-2.007968127490023E-2</v>
      </c>
      <c r="CT169" s="77">
        <f t="shared" si="756"/>
        <v>-0.16065585559670648</v>
      </c>
      <c r="CU169" s="77">
        <f t="shared" si="756"/>
        <v>-0.1638033991731741</v>
      </c>
      <c r="CV169" s="77">
        <f t="shared" si="756"/>
        <v>-0.12310730743910481</v>
      </c>
      <c r="CW169" s="487">
        <f t="shared" si="756"/>
        <v>-0.17404456009107183</v>
      </c>
      <c r="CX169" s="77">
        <f t="shared" si="756"/>
        <v>-0.1549929314998072</v>
      </c>
      <c r="CY169" s="77">
        <f t="shared" ref="CY169:DE169" si="757">CY168/CU168-1</f>
        <v>-0.13447593935398805</v>
      </c>
      <c r="CZ169" s="77">
        <f t="shared" si="757"/>
        <v>-0.15644811478144804</v>
      </c>
      <c r="DA169" s="487">
        <f t="shared" si="757"/>
        <v>-1.4964164763329846E-2</v>
      </c>
      <c r="DB169" s="77">
        <f t="shared" si="757"/>
        <v>-7.7313054499364986E-3</v>
      </c>
      <c r="DC169" s="77">
        <f t="shared" si="757"/>
        <v>1.3962934755014089E-3</v>
      </c>
      <c r="DD169" s="70">
        <f t="shared" si="757"/>
        <v>1.2608158220024812E-2</v>
      </c>
      <c r="DE169" s="487">
        <f t="shared" si="757"/>
        <v>0.23310945870312638</v>
      </c>
      <c r="DF169" s="70">
        <f t="shared" ref="DF169:DM169" si="758">DF168/DB168-1</f>
        <v>1.0601609400945122E-2</v>
      </c>
      <c r="DG169" s="70">
        <f t="shared" si="758"/>
        <v>-0.16116111040689574</v>
      </c>
      <c r="DH169" s="70">
        <f t="shared" si="758"/>
        <v>3.64990234375E-2</v>
      </c>
      <c r="DI169" s="487">
        <f t="shared" si="758"/>
        <v>-9.3078294699303066E-2</v>
      </c>
      <c r="DJ169" s="1673">
        <f t="shared" si="758"/>
        <v>-8.0425915607047371E-2</v>
      </c>
      <c r="DK169" s="70">
        <f t="shared" si="758"/>
        <v>0.13148381158929423</v>
      </c>
      <c r="DL169" s="70">
        <f t="shared" si="758"/>
        <v>-9.2616220472320765E-2</v>
      </c>
      <c r="DM169" s="487">
        <f t="shared" si="758"/>
        <v>0.11047855857719857</v>
      </c>
      <c r="DN169" s="1285"/>
      <c r="DO169" s="487"/>
      <c r="EJ169" s="19"/>
      <c r="EK169" s="88"/>
      <c r="EL169" s="213" t="s">
        <v>483</v>
      </c>
      <c r="EM169" s="77">
        <f>EM168/EL168-1</f>
        <v>5.7377383709659391E-2</v>
      </c>
      <c r="EN169" s="77">
        <f>EN168/EM168-1</f>
        <v>5.577400911876107E-2</v>
      </c>
      <c r="EO169" s="77">
        <f>EO168/EN168-1</f>
        <v>-3.5763738146921131E-2</v>
      </c>
      <c r="EP169" s="77">
        <f>EP168/EO168-1</f>
        <v>5.0436257991744116E-2</v>
      </c>
      <c r="EQ169" s="77">
        <f>EQ168/EN168-1</f>
        <v>-3.6403518793556411E-2</v>
      </c>
      <c r="ER169" s="77">
        <f>ER168/EQ168-1</f>
        <v>6.9392342750368874E-2</v>
      </c>
      <c r="ES169" s="77">
        <f>ES168/ER168-1</f>
        <v>-1.437485309834996E-2</v>
      </c>
      <c r="ET169" s="77">
        <f>ET168/ER168-1</f>
        <v>3.257336212975237E-2</v>
      </c>
      <c r="EU169" s="77">
        <f>EU168/ES168-1</f>
        <v>1.7869098527061533E-2</v>
      </c>
      <c r="EV169" s="77">
        <f>EV168/EU168-1</f>
        <v>-0.15597579358238178</v>
      </c>
      <c r="EW169" s="77">
        <f>EW168/EV168-1</f>
        <v>-0.11322118406167514</v>
      </c>
      <c r="EX169" s="77">
        <f>EX168/EW168-1</f>
        <v>7.041188769061768E-2</v>
      </c>
      <c r="EY169" s="77">
        <f>EY168/EX168-1</f>
        <v>-5.6218274111675126E-2</v>
      </c>
      <c r="EZ169" s="1680">
        <f>EZ168/EY168-1</f>
        <v>1.9981876116342612E-2</v>
      </c>
      <c r="FA169" s="1610">
        <f t="shared" ref="FA169:FH169" si="759">EZ169*0.9</f>
        <v>1.7983688504708353E-2</v>
      </c>
      <c r="FB169" s="1610">
        <f t="shared" si="759"/>
        <v>1.6185319654237518E-2</v>
      </c>
      <c r="FC169" s="1610">
        <f t="shared" si="759"/>
        <v>1.4566787688813768E-2</v>
      </c>
      <c r="FD169" s="1610">
        <f t="shared" si="759"/>
        <v>1.3110108919932391E-2</v>
      </c>
      <c r="FE169" s="1610">
        <f t="shared" si="759"/>
        <v>1.1799098027939152E-2</v>
      </c>
      <c r="FF169" s="1610">
        <f t="shared" si="759"/>
        <v>1.0619188225145237E-2</v>
      </c>
      <c r="FG169" s="1610">
        <f t="shared" si="759"/>
        <v>9.5572694026307137E-3</v>
      </c>
      <c r="FH169" s="1610">
        <f t="shared" si="759"/>
        <v>8.6015424623676427E-3</v>
      </c>
      <c r="FI169" s="1285"/>
      <c r="FJ169"/>
      <c r="FK169"/>
      <c r="FL169"/>
      <c r="FM169"/>
      <c r="FN169"/>
      <c r="FO169"/>
      <c r="FP169" s="3"/>
      <c r="FS169" s="1226"/>
      <c r="FT169" s="1226"/>
      <c r="FU169"/>
      <c r="FV169"/>
      <c r="FW169" s="1606"/>
      <c r="FX169" s="1606"/>
      <c r="FY169" s="1606"/>
      <c r="FZ169"/>
      <c r="GA169"/>
      <c r="GB169"/>
      <c r="GC169"/>
      <c r="GD169"/>
      <c r="GE169"/>
      <c r="GF169"/>
      <c r="GG169"/>
      <c r="GH169"/>
      <c r="GI169"/>
      <c r="GJ169"/>
      <c r="GK169"/>
      <c r="GL169"/>
      <c r="GM169"/>
      <c r="GN169"/>
      <c r="GO169"/>
      <c r="GP169"/>
      <c r="GQ169"/>
      <c r="GR169"/>
      <c r="GS169"/>
      <c r="GT169"/>
      <c r="GU169"/>
      <c r="GV169"/>
      <c r="GW169"/>
      <c r="GX169"/>
      <c r="GY169"/>
      <c r="GZ169"/>
      <c r="HA169"/>
      <c r="HB169"/>
      <c r="HC169"/>
      <c r="HD169"/>
      <c r="HE169"/>
      <c r="HF169"/>
      <c r="HG169"/>
      <c r="HH169"/>
      <c r="HI169"/>
      <c r="HJ169"/>
      <c r="HK169"/>
      <c r="HL169"/>
      <c r="HM169"/>
      <c r="HN169"/>
      <c r="HO169"/>
      <c r="HP169"/>
      <c r="HQ169"/>
      <c r="HR169"/>
      <c r="HS169"/>
      <c r="HT169"/>
      <c r="HU169"/>
      <c r="HV169"/>
      <c r="HW169"/>
      <c r="HX169"/>
      <c r="HY169"/>
      <c r="HZ169"/>
      <c r="IA169"/>
      <c r="IB169"/>
      <c r="IC169"/>
      <c r="ID169"/>
      <c r="IE169"/>
      <c r="IF169"/>
      <c r="IG169"/>
      <c r="IH169"/>
      <c r="II169"/>
      <c r="IJ169"/>
      <c r="IK169"/>
      <c r="IL169"/>
      <c r="IM169"/>
      <c r="IN169"/>
      <c r="IO169"/>
      <c r="IP169"/>
      <c r="IQ169"/>
      <c r="IR169"/>
      <c r="IS169"/>
      <c r="IT169"/>
      <c r="IU169"/>
      <c r="IV169"/>
      <c r="IW169"/>
      <c r="IX169"/>
      <c r="IY169"/>
      <c r="IZ169"/>
    </row>
    <row r="170" spans="1:260" s="4" customFormat="1" hidden="1" outlineLevel="1" x14ac:dyDescent="0.2">
      <c r="A170" s="4" t="s">
        <v>4</v>
      </c>
      <c r="E170" s="470"/>
      <c r="I170" s="470"/>
      <c r="M170" s="470"/>
      <c r="Q170" s="470"/>
      <c r="U170" s="470"/>
      <c r="Y170" s="470"/>
      <c r="AC170" s="470"/>
      <c r="AG170" s="470"/>
      <c r="AK170" s="470"/>
      <c r="AO170" s="470"/>
      <c r="AS170" s="470"/>
      <c r="AW170" s="470"/>
      <c r="BA170" s="470"/>
      <c r="BB170" s="6"/>
      <c r="BC170" s="6"/>
      <c r="BE170" s="484"/>
      <c r="BF170" s="6"/>
      <c r="BG170" s="6"/>
      <c r="BH170" s="6"/>
      <c r="BI170" s="484"/>
      <c r="BJ170" s="6"/>
      <c r="BK170" s="6"/>
      <c r="BL170" s="6"/>
      <c r="BM170" s="484"/>
      <c r="BN170" s="77"/>
      <c r="BO170" s="77"/>
      <c r="BP170" s="77"/>
      <c r="BQ170" s="487"/>
      <c r="BR170" s="77"/>
      <c r="BS170" s="77"/>
      <c r="BT170" s="77"/>
      <c r="BU170" s="487"/>
      <c r="BV170" s="77"/>
      <c r="BW170" s="77"/>
      <c r="BX170" s="77"/>
      <c r="BY170" s="487"/>
      <c r="BZ170" s="77"/>
      <c r="CA170" s="77"/>
      <c r="CB170" s="77"/>
      <c r="CC170" s="487"/>
      <c r="CD170" s="77">
        <f t="shared" ref="CD170:DB170" si="760">+CD169+BZ169</f>
        <v>-4.4527705484239788E-2</v>
      </c>
      <c r="CE170" s="77">
        <f t="shared" si="760"/>
        <v>0.12626235018130583</v>
      </c>
      <c r="CF170" s="77">
        <f t="shared" si="760"/>
        <v>7.2676676388466754E-2</v>
      </c>
      <c r="CG170" s="487">
        <f t="shared" si="760"/>
        <v>-7.4702188116781976E-5</v>
      </c>
      <c r="CH170" s="77">
        <f t="shared" si="760"/>
        <v>2.2160605481226225E-3</v>
      </c>
      <c r="CI170" s="77">
        <f t="shared" si="760"/>
        <v>0.1152062255343308</v>
      </c>
      <c r="CJ170" s="77">
        <f t="shared" si="760"/>
        <v>0.1364384735893116</v>
      </c>
      <c r="CK170" s="487">
        <f t="shared" si="760"/>
        <v>-4.8428699079221538E-3</v>
      </c>
      <c r="CL170" s="77">
        <f t="shared" si="760"/>
        <v>0.24264378773435036</v>
      </c>
      <c r="CM170" s="77">
        <f t="shared" si="760"/>
        <v>-4.3625423091387949E-2</v>
      </c>
      <c r="CN170" s="77">
        <f t="shared" si="760"/>
        <v>-9.4847920546244691E-2</v>
      </c>
      <c r="CO170" s="487">
        <f t="shared" si="760"/>
        <v>-5.2451720575381611E-3</v>
      </c>
      <c r="CP170" s="77">
        <f t="shared" si="760"/>
        <v>0.12714860990055998</v>
      </c>
      <c r="CQ170" s="77">
        <f t="shared" si="760"/>
        <v>-2.5401074995649142E-2</v>
      </c>
      <c r="CR170" s="77">
        <f t="shared" si="760"/>
        <v>-2.9308490443850754E-2</v>
      </c>
      <c r="CS170" s="487">
        <f t="shared" si="760"/>
        <v>-2.270226730366931E-2</v>
      </c>
      <c r="CT170" s="77">
        <f t="shared" si="760"/>
        <v>-0.25995306711336941</v>
      </c>
      <c r="CU170" s="77">
        <f t="shared" si="760"/>
        <v>-0.16739176262312927</v>
      </c>
      <c r="CV170" s="77">
        <f t="shared" si="760"/>
        <v>-0.10499183760983322</v>
      </c>
      <c r="CW170" s="487">
        <f t="shared" si="760"/>
        <v>-0.19412424136597206</v>
      </c>
      <c r="CX170" s="77">
        <f t="shared" si="760"/>
        <v>-0.31564878709651367</v>
      </c>
      <c r="CY170" s="77">
        <f t="shared" si="760"/>
        <v>-0.29827933852716215</v>
      </c>
      <c r="CZ170" s="77">
        <f t="shared" si="760"/>
        <v>-0.27955542222055285</v>
      </c>
      <c r="DA170" s="487">
        <f t="shared" si="760"/>
        <v>-0.18900872485440168</v>
      </c>
      <c r="DB170" s="77">
        <f t="shared" si="760"/>
        <v>-0.16272423694974369</v>
      </c>
      <c r="DC170" s="77">
        <f t="shared" ref="DC170:DM170" si="761">+DC169+CY169</f>
        <v>-0.13307964587848664</v>
      </c>
      <c r="DD170" s="70">
        <f t="shared" si="761"/>
        <v>-0.14383995656142323</v>
      </c>
      <c r="DE170" s="487">
        <f t="shared" si="761"/>
        <v>0.21814529393979654</v>
      </c>
      <c r="DF170" s="70">
        <f t="shared" si="761"/>
        <v>2.8703039510086237E-3</v>
      </c>
      <c r="DG170" s="70">
        <f t="shared" si="761"/>
        <v>-0.15976481693139433</v>
      </c>
      <c r="DH170" s="70">
        <f t="shared" si="761"/>
        <v>4.9107181657524812E-2</v>
      </c>
      <c r="DI170" s="487">
        <f t="shared" si="761"/>
        <v>0.14003116400382332</v>
      </c>
      <c r="DJ170" s="1673">
        <f t="shared" si="761"/>
        <v>-6.9824306206102249E-2</v>
      </c>
      <c r="DK170" s="70">
        <f t="shared" si="761"/>
        <v>-2.9677298817601505E-2</v>
      </c>
      <c r="DL170" s="70">
        <f t="shared" si="761"/>
        <v>-5.6117197034820765E-2</v>
      </c>
      <c r="DM170" s="487">
        <f t="shared" si="761"/>
        <v>1.7400263877895505E-2</v>
      </c>
      <c r="DN170" s="580"/>
      <c r="DO170" s="487"/>
      <c r="EJ170" s="19"/>
      <c r="EK170" s="88"/>
      <c r="EL170" s="88"/>
      <c r="EM170" s="88"/>
      <c r="EN170" s="77"/>
      <c r="EO170" s="77"/>
      <c r="EP170" s="77"/>
      <c r="EQ170" s="77"/>
      <c r="ER170" s="77">
        <f>AVERAGE(ER169,EQ169)</f>
        <v>1.6494411978406232E-2</v>
      </c>
      <c r="ES170" s="77">
        <f>AVERAGE(ES169,ER169)</f>
        <v>2.7508744826009457E-2</v>
      </c>
      <c r="ET170" s="77">
        <f>AVERAGE(ET169,ER169)</f>
        <v>5.0982852440060622E-2</v>
      </c>
      <c r="EU170" s="77">
        <f>AVERAGE(EU169,ES169)</f>
        <v>1.7471227143557866E-3</v>
      </c>
      <c r="EV170" s="77">
        <f>AVERAGE(EV169,EU169)</f>
        <v>-6.9053347527660125E-2</v>
      </c>
      <c r="EW170" s="77">
        <f>AVERAGE(EW169,EV169)</f>
        <v>-0.13459848882202846</v>
      </c>
      <c r="EX170" s="77">
        <f>AVERAGE(EX169,EW169)</f>
        <v>-2.140464818552873E-2</v>
      </c>
      <c r="EY170" s="77">
        <f>AVERAGE(EY169,EX169)</f>
        <v>7.0968067894712772E-3</v>
      </c>
      <c r="EZ170" s="1680">
        <f>AVERAGE(EZ169,EY169)</f>
        <v>-1.8118198997666257E-2</v>
      </c>
      <c r="FA170" s="77">
        <f t="shared" ref="FA170:FH170" si="762">FA169+EZ169</f>
        <v>3.7965564621050968E-2</v>
      </c>
      <c r="FB170" s="77">
        <f t="shared" si="762"/>
        <v>3.4169008158945871E-2</v>
      </c>
      <c r="FC170" s="77">
        <f t="shared" si="762"/>
        <v>3.0752107343051286E-2</v>
      </c>
      <c r="FD170" s="77">
        <f t="shared" si="762"/>
        <v>2.7676896608746157E-2</v>
      </c>
      <c r="FE170" s="77">
        <f t="shared" si="762"/>
        <v>2.4909206947871541E-2</v>
      </c>
      <c r="FF170" s="77">
        <f t="shared" si="762"/>
        <v>2.2418286253084389E-2</v>
      </c>
      <c r="FG170" s="77">
        <f t="shared" si="762"/>
        <v>2.0176457627775951E-2</v>
      </c>
      <c r="FH170" s="77">
        <f t="shared" si="762"/>
        <v>1.8158811864998355E-2</v>
      </c>
      <c r="FI170" s="580"/>
      <c r="FJ170"/>
      <c r="FK170"/>
      <c r="FL170"/>
      <c r="FM170"/>
      <c r="FN170"/>
      <c r="FO170"/>
      <c r="FP170" s="3"/>
      <c r="FS170" s="70"/>
      <c r="FT170" s="70"/>
      <c r="FU170"/>
      <c r="FV170"/>
      <c r="FW170" s="70"/>
      <c r="FX170" s="70"/>
      <c r="FY170" s="70"/>
      <c r="FZ170"/>
      <c r="GA170"/>
      <c r="GB170"/>
      <c r="GC170"/>
      <c r="GD170"/>
      <c r="GE170"/>
      <c r="GF170"/>
      <c r="GG170"/>
      <c r="GH170"/>
      <c r="GI170"/>
      <c r="GJ170"/>
      <c r="GK170"/>
      <c r="GL170"/>
      <c r="GM170"/>
      <c r="GN170"/>
      <c r="GO170"/>
      <c r="GP170"/>
      <c r="GQ170"/>
      <c r="GR170"/>
      <c r="GS170"/>
      <c r="GT170"/>
      <c r="GU170"/>
      <c r="GV170"/>
      <c r="GW170"/>
      <c r="GX170"/>
      <c r="GY170"/>
      <c r="GZ170"/>
      <c r="HA170"/>
      <c r="HB170"/>
      <c r="HC170"/>
      <c r="HD170"/>
      <c r="HE170"/>
      <c r="HF170"/>
      <c r="HG170"/>
      <c r="HH170"/>
      <c r="HI170"/>
      <c r="HJ170"/>
      <c r="HK170"/>
      <c r="HL170"/>
      <c r="HM170"/>
      <c r="HN170"/>
      <c r="HO170"/>
      <c r="HP170"/>
      <c r="HQ170"/>
      <c r="HR170"/>
      <c r="HS170"/>
      <c r="HT170"/>
      <c r="HU170"/>
      <c r="HV170"/>
      <c r="HW170"/>
      <c r="HX170"/>
      <c r="HY170"/>
      <c r="HZ170"/>
      <c r="IA170"/>
      <c r="IB170"/>
      <c r="IC170"/>
      <c r="ID170"/>
      <c r="IE170"/>
      <c r="IF170"/>
      <c r="IG170"/>
      <c r="IH170"/>
      <c r="II170"/>
      <c r="IJ170"/>
      <c r="IK170"/>
      <c r="IL170"/>
      <c r="IM170"/>
      <c r="IN170"/>
      <c r="IO170"/>
      <c r="IP170"/>
      <c r="IQ170"/>
      <c r="IR170"/>
      <c r="IS170"/>
      <c r="IT170"/>
      <c r="IU170"/>
      <c r="IV170"/>
      <c r="IW170"/>
      <c r="IX170"/>
      <c r="IY170"/>
      <c r="IZ170"/>
    </row>
    <row r="171" spans="1:260" s="4" customFormat="1" hidden="1" outlineLevel="1" x14ac:dyDescent="0.2">
      <c r="E171" s="470"/>
      <c r="I171" s="470"/>
      <c r="M171" s="470"/>
      <c r="Q171" s="470"/>
      <c r="U171" s="470"/>
      <c r="Y171" s="470"/>
      <c r="AC171" s="470"/>
      <c r="AG171" s="470"/>
      <c r="AK171" s="470"/>
      <c r="AO171" s="470"/>
      <c r="AS171" s="470"/>
      <c r="AW171" s="470"/>
      <c r="BA171" s="470"/>
      <c r="BB171" s="6"/>
      <c r="BC171" s="6"/>
      <c r="BE171" s="484"/>
      <c r="BF171" s="6"/>
      <c r="BG171" s="6"/>
      <c r="BH171" s="6"/>
      <c r="BI171" s="484"/>
      <c r="BJ171" s="6"/>
      <c r="BK171" s="6"/>
      <c r="BL171" s="6"/>
      <c r="BM171" s="484"/>
      <c r="BN171" s="6"/>
      <c r="BO171" s="6"/>
      <c r="BP171" s="6"/>
      <c r="BQ171" s="484"/>
      <c r="BR171" s="6"/>
      <c r="BS171" s="6"/>
      <c r="BT171" s="6"/>
      <c r="BU171" s="499"/>
      <c r="BV171" s="6"/>
      <c r="BW171" s="6"/>
      <c r="BX171" s="6"/>
      <c r="BY171" s="484"/>
      <c r="BZ171" s="6"/>
      <c r="CA171" s="6"/>
      <c r="CB171" s="6"/>
      <c r="CC171" s="499"/>
      <c r="CD171" s="6"/>
      <c r="CE171" s="6"/>
      <c r="CF171" s="6"/>
      <c r="CG171" s="484"/>
      <c r="CH171" s="6"/>
      <c r="CI171" s="6"/>
      <c r="CJ171" s="6"/>
      <c r="CK171" s="484"/>
      <c r="CL171" s="6"/>
      <c r="CM171" s="6"/>
      <c r="CN171" s="6"/>
      <c r="CO171" s="484"/>
      <c r="CP171" s="6"/>
      <c r="CQ171" s="6"/>
      <c r="CR171" s="6"/>
      <c r="CS171" s="570"/>
      <c r="CT171" s="6"/>
      <c r="CU171" s="6"/>
      <c r="CV171" s="6"/>
      <c r="CW171" s="484"/>
      <c r="CX171" s="6"/>
      <c r="CY171" s="6"/>
      <c r="CZ171" s="6"/>
      <c r="DA171" s="484"/>
      <c r="DB171" s="6"/>
      <c r="DC171" s="6"/>
      <c r="DD171" s="7"/>
      <c r="DE171" s="570"/>
      <c r="DF171" s="433"/>
      <c r="DG171" s="433"/>
      <c r="DH171" s="433"/>
      <c r="DI171" s="570"/>
      <c r="DJ171" s="1927"/>
      <c r="DK171" s="433"/>
      <c r="DL171" s="433"/>
      <c r="DM171" s="570"/>
      <c r="DN171" s="581"/>
      <c r="DO171" s="484"/>
      <c r="EJ171" s="19"/>
      <c r="EK171" s="88"/>
      <c r="EL171" s="88"/>
      <c r="EM171" s="88"/>
      <c r="EN171" s="88"/>
      <c r="EO171" s="88"/>
      <c r="EP171" s="88"/>
      <c r="EQ171" s="88"/>
      <c r="ER171" s="88"/>
      <c r="ES171" s="88"/>
      <c r="ET171" s="88"/>
      <c r="EU171" s="88"/>
      <c r="EV171" s="88"/>
      <c r="EW171" s="88"/>
      <c r="EX171" s="88"/>
      <c r="EY171" s="88"/>
      <c r="EZ171" s="1738"/>
      <c r="FA171" s="88"/>
      <c r="FB171" s="88"/>
      <c r="FC171" s="88"/>
      <c r="FD171" s="88"/>
      <c r="FE171" s="88"/>
      <c r="FF171" s="88"/>
      <c r="FG171" s="88"/>
      <c r="FH171" s="88"/>
      <c r="FI171" s="590"/>
      <c r="FJ171"/>
      <c r="FK171"/>
      <c r="FL171"/>
      <c r="FM171"/>
      <c r="FN171"/>
      <c r="FO171"/>
      <c r="FP171" s="3"/>
      <c r="FS171" s="53"/>
      <c r="FT171" s="53"/>
      <c r="FU171"/>
      <c r="FV171"/>
      <c r="FW171" s="53"/>
      <c r="FX171" s="53"/>
      <c r="FY171" s="53"/>
      <c r="FZ171"/>
      <c r="GA171"/>
      <c r="GB171"/>
      <c r="GC171"/>
      <c r="GD171"/>
      <c r="GE171"/>
      <c r="GF171"/>
      <c r="GG171"/>
      <c r="GH171"/>
      <c r="GI171"/>
      <c r="GJ171"/>
      <c r="GK171"/>
      <c r="GL171"/>
      <c r="GM171"/>
      <c r="GN171"/>
      <c r="GO171"/>
      <c r="GP171"/>
      <c r="GQ171"/>
      <c r="GR171"/>
      <c r="GS171"/>
      <c r="GT171"/>
      <c r="GU171"/>
      <c r="GV171"/>
      <c r="GW171"/>
      <c r="GX171"/>
      <c r="GY171"/>
      <c r="GZ171"/>
      <c r="HA171"/>
      <c r="HB171"/>
      <c r="HC171"/>
      <c r="HD171"/>
      <c r="HE171"/>
      <c r="HF171"/>
      <c r="HG171"/>
      <c r="HH171"/>
      <c r="HI171"/>
      <c r="HJ171"/>
      <c r="HK171"/>
      <c r="HL171"/>
      <c r="HM171"/>
      <c r="HN171"/>
      <c r="HO171"/>
      <c r="HP171"/>
      <c r="HQ171"/>
      <c r="HR171"/>
      <c r="HS171"/>
      <c r="HT171"/>
      <c r="HU171"/>
      <c r="HV171"/>
      <c r="HW171"/>
      <c r="HX171"/>
      <c r="HY171"/>
      <c r="HZ171"/>
      <c r="IA171"/>
      <c r="IB171"/>
      <c r="IC171"/>
      <c r="ID171"/>
      <c r="IE171"/>
      <c r="IF171"/>
      <c r="IG171"/>
      <c r="IH171"/>
      <c r="II171"/>
      <c r="IJ171"/>
      <c r="IK171"/>
      <c r="IL171"/>
      <c r="IM171"/>
      <c r="IN171"/>
      <c r="IO171"/>
      <c r="IP171"/>
      <c r="IQ171"/>
      <c r="IR171"/>
      <c r="IS171"/>
      <c r="IT171"/>
      <c r="IU171"/>
      <c r="IV171"/>
      <c r="IW171"/>
      <c r="IX171"/>
      <c r="IY171"/>
      <c r="IZ171"/>
    </row>
    <row r="172" spans="1:260" s="4" customFormat="1" hidden="1" outlineLevel="1" x14ac:dyDescent="0.2">
      <c r="A172" s="19" t="s">
        <v>479</v>
      </c>
      <c r="B172" s="47"/>
      <c r="C172" s="47"/>
      <c r="D172" s="47"/>
      <c r="E172" s="709"/>
      <c r="F172" s="47"/>
      <c r="G172" s="47"/>
      <c r="H172" s="47"/>
      <c r="I172" s="709"/>
      <c r="J172" s="47"/>
      <c r="K172" s="47"/>
      <c r="L172" s="47"/>
      <c r="M172" s="709"/>
      <c r="N172" s="47"/>
      <c r="O172" s="47"/>
      <c r="P172" s="47"/>
      <c r="Q172" s="709"/>
      <c r="R172" s="47"/>
      <c r="S172" s="47"/>
      <c r="T172" s="47"/>
      <c r="U172" s="709"/>
      <c r="V172" s="47"/>
      <c r="W172" s="47"/>
      <c r="X172" s="47"/>
      <c r="Y172" s="709"/>
      <c r="Z172" s="47"/>
      <c r="AA172" s="47"/>
      <c r="AB172" s="47"/>
      <c r="AC172" s="709"/>
      <c r="AD172" s="47"/>
      <c r="AE172" s="47"/>
      <c r="AF172" s="47"/>
      <c r="AG172" s="709"/>
      <c r="AH172" s="47"/>
      <c r="AI172" s="47"/>
      <c r="AJ172" s="47"/>
      <c r="AK172" s="709"/>
      <c r="AL172" s="47"/>
      <c r="AM172" s="47"/>
      <c r="AN172" s="47"/>
      <c r="AO172" s="709"/>
      <c r="AP172" s="47"/>
      <c r="AQ172" s="47"/>
      <c r="AR172" s="47"/>
      <c r="AS172" s="709"/>
      <c r="AT172" s="47"/>
      <c r="AU172" s="47"/>
      <c r="AV172" s="47"/>
      <c r="AW172" s="709"/>
      <c r="AX172" s="47"/>
      <c r="AY172" s="47"/>
      <c r="AZ172" s="47"/>
      <c r="BA172" s="709"/>
      <c r="BB172" s="873"/>
      <c r="BC172" s="873"/>
      <c r="BD172" s="47"/>
      <c r="BE172" s="874"/>
      <c r="BF172" s="873">
        <f t="shared" ref="BF172:CS172" si="763">BF176-BF168-BF164-BF160-BF156-BF152</f>
        <v>67.039999999999964</v>
      </c>
      <c r="BG172" s="873">
        <f t="shared" si="763"/>
        <v>0</v>
      </c>
      <c r="BH172" s="873">
        <f t="shared" si="763"/>
        <v>0</v>
      </c>
      <c r="BI172" s="874">
        <f t="shared" si="763"/>
        <v>0</v>
      </c>
      <c r="BJ172" s="873">
        <f t="shared" si="763"/>
        <v>0</v>
      </c>
      <c r="BK172" s="873">
        <f t="shared" si="763"/>
        <v>0</v>
      </c>
      <c r="BL172" s="873">
        <f t="shared" si="763"/>
        <v>0</v>
      </c>
      <c r="BM172" s="874">
        <f t="shared" si="763"/>
        <v>0</v>
      </c>
      <c r="BN172" s="873">
        <f t="shared" si="763"/>
        <v>75.25</v>
      </c>
      <c r="BO172" s="873">
        <f t="shared" si="763"/>
        <v>82.740000000000691</v>
      </c>
      <c r="BP172" s="873">
        <f t="shared" si="763"/>
        <v>89.309999999999036</v>
      </c>
      <c r="BQ172" s="874">
        <f t="shared" si="763"/>
        <v>125.83999999999924</v>
      </c>
      <c r="BR172" s="873">
        <f t="shared" si="763"/>
        <v>79.230000000000473</v>
      </c>
      <c r="BS172" s="873">
        <f t="shared" si="763"/>
        <v>84.360000000000582</v>
      </c>
      <c r="BT172" s="873">
        <f t="shared" si="763"/>
        <v>87.099999999999909</v>
      </c>
      <c r="BU172" s="874">
        <f t="shared" si="763"/>
        <v>121.16999999999734</v>
      </c>
      <c r="BV172" s="873">
        <f t="shared" si="763"/>
        <v>78.590000000000146</v>
      </c>
      <c r="BW172" s="873">
        <f t="shared" si="763"/>
        <v>83.110000000000127</v>
      </c>
      <c r="BX172" s="873">
        <f t="shared" si="763"/>
        <v>88.849999999999454</v>
      </c>
      <c r="BY172" s="874">
        <f t="shared" si="763"/>
        <v>126</v>
      </c>
      <c r="BZ172" s="873">
        <f t="shared" si="763"/>
        <v>85.110000000000127</v>
      </c>
      <c r="CA172" s="873">
        <f t="shared" si="763"/>
        <v>81.849999999999454</v>
      </c>
      <c r="CB172" s="873">
        <f t="shared" si="763"/>
        <v>79.380000000000564</v>
      </c>
      <c r="CC172" s="874">
        <f t="shared" si="763"/>
        <v>126.11000000000058</v>
      </c>
      <c r="CD172" s="873">
        <f t="shared" si="763"/>
        <v>83.919999999999163</v>
      </c>
      <c r="CE172" s="873">
        <f t="shared" si="763"/>
        <v>79.769999999999982</v>
      </c>
      <c r="CF172" s="873">
        <f t="shared" si="763"/>
        <v>80.549999999999272</v>
      </c>
      <c r="CG172" s="874">
        <f t="shared" si="763"/>
        <v>125.83000000000175</v>
      </c>
      <c r="CH172" s="873">
        <f t="shared" si="763"/>
        <v>79.397999999999683</v>
      </c>
      <c r="CI172" s="873">
        <f t="shared" si="763"/>
        <v>78.029999999999745</v>
      </c>
      <c r="CJ172" s="873">
        <f t="shared" si="763"/>
        <v>76.730000000000928</v>
      </c>
      <c r="CK172" s="874">
        <f t="shared" si="763"/>
        <v>125.5</v>
      </c>
      <c r="CL172" s="873">
        <f t="shared" si="763"/>
        <v>132.32999999999856</v>
      </c>
      <c r="CM172" s="873">
        <f t="shared" si="763"/>
        <v>78.029999999999745</v>
      </c>
      <c r="CN172" s="873">
        <f t="shared" si="763"/>
        <v>76.730000000000928</v>
      </c>
      <c r="CO172" s="874">
        <f t="shared" si="763"/>
        <v>125.5</v>
      </c>
      <c r="CP172" s="873">
        <f t="shared" si="763"/>
        <v>79.459999999999582</v>
      </c>
      <c r="CQ172" s="873">
        <f t="shared" si="763"/>
        <v>77.75</v>
      </c>
      <c r="CR172" s="873">
        <f t="shared" si="763"/>
        <v>78.119999999999436</v>
      </c>
      <c r="CS172" s="874">
        <f t="shared" si="763"/>
        <v>122.98000000000002</v>
      </c>
      <c r="CT172" s="873">
        <f t="shared" ref="CT172:CZ172" si="764">CT176-CT168-CT164-CT160-CT156-CT152</f>
        <v>77.809999999999945</v>
      </c>
      <c r="CU172" s="873">
        <f t="shared" si="764"/>
        <v>75.849999999999909</v>
      </c>
      <c r="CV172" s="873">
        <f t="shared" si="764"/>
        <v>79.920000000000528</v>
      </c>
      <c r="CW172" s="874">
        <f t="shared" si="764"/>
        <v>126.97000000000025</v>
      </c>
      <c r="CX172" s="873">
        <f>CX176-CX168-CX164-CX160-CX156-CX152</f>
        <v>157.80000000000018</v>
      </c>
      <c r="CY172" s="873">
        <f t="shared" si="764"/>
        <v>78.779999999999745</v>
      </c>
      <c r="CZ172" s="873">
        <f t="shared" si="764"/>
        <v>80.900000000000091</v>
      </c>
      <c r="DA172" s="874">
        <f t="shared" ref="DA172:DI172" si="765">DA176-DA168-DA164-DA160-DA156-DA152</f>
        <v>0</v>
      </c>
      <c r="DB172" s="873">
        <f t="shared" si="765"/>
        <v>0</v>
      </c>
      <c r="DC172" s="873">
        <f t="shared" si="765"/>
        <v>0</v>
      </c>
      <c r="DD172" s="947">
        <f t="shared" si="765"/>
        <v>0</v>
      </c>
      <c r="DE172" s="874">
        <f t="shared" si="765"/>
        <v>0</v>
      </c>
      <c r="DF172" s="947">
        <f t="shared" si="765"/>
        <v>0</v>
      </c>
      <c r="DG172" s="947">
        <f t="shared" ref="DG172" si="766">DG176-DG168-DG164-DG160-DG156-DG152</f>
        <v>0</v>
      </c>
      <c r="DH172" s="947">
        <f t="shared" si="765"/>
        <v>0</v>
      </c>
      <c r="DI172" s="874">
        <f t="shared" si="765"/>
        <v>0</v>
      </c>
      <c r="DJ172" s="1669">
        <f t="shared" ref="DJ172:DK172" si="767">DJ176-DJ168-DJ164-DJ160-DJ156-DJ152</f>
        <v>0</v>
      </c>
      <c r="DK172" s="947">
        <f t="shared" si="767"/>
        <v>0</v>
      </c>
      <c r="DL172" s="947">
        <f t="shared" ref="DL172:DM172" si="768">DL176-DL168-DL164-DL160-DL156-DL152</f>
        <v>0</v>
      </c>
      <c r="DM172" s="874">
        <f t="shared" si="768"/>
        <v>0</v>
      </c>
      <c r="DN172" s="591"/>
      <c r="DO172" s="1284"/>
      <c r="EJ172" s="19"/>
      <c r="EK172" s="376"/>
      <c r="EL172" s="789">
        <f>SUM(BF172:BI172)</f>
        <v>67.039999999999964</v>
      </c>
      <c r="EM172" s="789">
        <f>SUM(BJ172:BM172)</f>
        <v>0</v>
      </c>
      <c r="EN172" s="789">
        <f>SUM(BN172:BQ172)</f>
        <v>373.13999999999896</v>
      </c>
      <c r="EO172" s="789">
        <f>SUM(BR172:BU172)</f>
        <v>371.85999999999831</v>
      </c>
      <c r="EP172" s="789">
        <f>SUM(BV172:BY172)</f>
        <v>376.54999999999973</v>
      </c>
      <c r="EQ172" s="789">
        <f>SUM(BZ172:CC172)</f>
        <v>372.45000000000073</v>
      </c>
      <c r="ER172" s="789">
        <f>SUM(CD172:CG172)</f>
        <v>370.07000000000016</v>
      </c>
      <c r="ES172" s="789">
        <f>SUM(CH172:CK172)</f>
        <v>359.65800000000036</v>
      </c>
      <c r="ET172" s="789">
        <f>SUM(CL172:CO172)</f>
        <v>412.58999999999924</v>
      </c>
      <c r="EU172" s="789">
        <f>SUM(CP172:CS172)</f>
        <v>358.30999999999904</v>
      </c>
      <c r="EV172" s="789">
        <f>SUM(CT172:CW172)</f>
        <v>360.55000000000064</v>
      </c>
      <c r="EW172" s="789">
        <f>SUM(CX172:DA172)</f>
        <v>317.48</v>
      </c>
      <c r="EX172" s="789">
        <f>SUM(DB172:DE172)</f>
        <v>0</v>
      </c>
      <c r="EY172" s="789">
        <f>SUM(DF172:DI172)</f>
        <v>0</v>
      </c>
      <c r="EZ172" s="1737">
        <f>SUM(DJ172:DM172)</f>
        <v>0</v>
      </c>
      <c r="FA172" s="789">
        <f t="shared" ref="FA172:FF172" si="769">FA176-FA168-FA164-FA160-FA156-FA152</f>
        <v>-1113.4172067544205</v>
      </c>
      <c r="FB172" s="789">
        <f t="shared" si="769"/>
        <v>-169.80054739108891</v>
      </c>
      <c r="FC172" s="789">
        <f t="shared" si="769"/>
        <v>470.2701569201854</v>
      </c>
      <c r="FD172" s="789">
        <f t="shared" si="769"/>
        <v>1202.4681677180743</v>
      </c>
      <c r="FE172" s="789">
        <f t="shared" si="769"/>
        <v>1896.7848016166499</v>
      </c>
      <c r="FF172" s="789">
        <f t="shared" si="769"/>
        <v>2572.3956942935365</v>
      </c>
      <c r="FG172" s="789">
        <f>FG176-FG168-FG164-FG160-FG156-FG152</f>
        <v>3243.5277304307892</v>
      </c>
      <c r="FH172" s="789">
        <f>FH176-FH168-FH164-FH160-FH156-FH152</f>
        <v>3920.7873191809813</v>
      </c>
      <c r="FI172" s="1194"/>
      <c r="FJ172"/>
      <c r="FK172"/>
      <c r="FL172"/>
      <c r="FM172"/>
      <c r="FN172"/>
      <c r="FO172"/>
      <c r="FP172" s="3"/>
      <c r="FS172" s="880"/>
      <c r="FT172" s="880"/>
      <c r="FU172"/>
      <c r="FV172"/>
      <c r="FW172" s="880"/>
      <c r="FX172" s="880"/>
      <c r="FY172" s="880"/>
      <c r="FZ172"/>
      <c r="GA172"/>
      <c r="GB172"/>
      <c r="GC172"/>
      <c r="GD172"/>
      <c r="GE172"/>
      <c r="GF172"/>
      <c r="GG172"/>
      <c r="GH172"/>
      <c r="GI172"/>
      <c r="GJ172"/>
      <c r="GK172"/>
      <c r="GL172"/>
      <c r="GM172"/>
      <c r="GN172"/>
      <c r="GO172"/>
      <c r="GP172"/>
      <c r="GQ172"/>
      <c r="GR172"/>
      <c r="GS172"/>
      <c r="GT172"/>
      <c r="GU172"/>
      <c r="GV172"/>
      <c r="GW172"/>
      <c r="GX172"/>
      <c r="GY172"/>
      <c r="GZ172"/>
      <c r="HA172"/>
      <c r="HB172"/>
      <c r="HC172"/>
      <c r="HD172"/>
      <c r="HE172"/>
      <c r="HF172"/>
      <c r="HG172"/>
      <c r="HH172"/>
      <c r="HI172"/>
      <c r="HJ172"/>
      <c r="HK172"/>
      <c r="HL172"/>
      <c r="HM172"/>
      <c r="HN172"/>
      <c r="HO172"/>
      <c r="HP172"/>
      <c r="HQ172"/>
      <c r="HR172"/>
      <c r="HS172"/>
      <c r="HT172"/>
      <c r="HU172"/>
      <c r="HV172"/>
      <c r="HW172"/>
      <c r="HX172"/>
      <c r="HY172"/>
      <c r="HZ172"/>
      <c r="IA172"/>
      <c r="IB172"/>
      <c r="IC172"/>
      <c r="ID172"/>
      <c r="IE172"/>
      <c r="IF172"/>
      <c r="IG172"/>
      <c r="IH172"/>
      <c r="II172"/>
      <c r="IJ172"/>
      <c r="IK172"/>
      <c r="IL172"/>
      <c r="IM172"/>
      <c r="IN172"/>
      <c r="IO172"/>
      <c r="IP172"/>
      <c r="IQ172"/>
      <c r="IR172"/>
      <c r="IS172"/>
      <c r="IT172"/>
      <c r="IU172"/>
      <c r="IV172"/>
      <c r="IW172"/>
      <c r="IX172"/>
      <c r="IY172"/>
      <c r="IZ172"/>
    </row>
    <row r="173" spans="1:260" s="4" customFormat="1" hidden="1" outlineLevel="1" x14ac:dyDescent="0.2">
      <c r="A173" s="4" t="s">
        <v>482</v>
      </c>
      <c r="E173" s="470"/>
      <c r="I173" s="470"/>
      <c r="M173" s="470"/>
      <c r="Q173" s="470"/>
      <c r="U173" s="470"/>
      <c r="Y173" s="470"/>
      <c r="AC173" s="470"/>
      <c r="AG173" s="470"/>
      <c r="AK173" s="470"/>
      <c r="AO173" s="470"/>
      <c r="AS173" s="470"/>
      <c r="AW173" s="470"/>
      <c r="BA173" s="470"/>
      <c r="BB173" s="6"/>
      <c r="BC173" s="6"/>
      <c r="BE173" s="484"/>
      <c r="BF173" s="212" t="s">
        <v>483</v>
      </c>
      <c r="BG173" s="212" t="s">
        <v>483</v>
      </c>
      <c r="BH173" s="212" t="s">
        <v>483</v>
      </c>
      <c r="BI173" s="566" t="s">
        <v>483</v>
      </c>
      <c r="BJ173" s="212" t="s">
        <v>483</v>
      </c>
      <c r="BK173" s="212" t="s">
        <v>483</v>
      </c>
      <c r="BL173" s="212" t="s">
        <v>483</v>
      </c>
      <c r="BM173" s="566" t="s">
        <v>483</v>
      </c>
      <c r="BN173" s="212" t="s">
        <v>483</v>
      </c>
      <c r="BO173" s="212" t="s">
        <v>483</v>
      </c>
      <c r="BP173" s="212" t="s">
        <v>483</v>
      </c>
      <c r="BQ173" s="566" t="s">
        <v>483</v>
      </c>
      <c r="BR173" s="213">
        <f t="shared" ref="BR173:BY173" si="770">BR172/BN172-1</f>
        <v>5.2890365448511334E-2</v>
      </c>
      <c r="BS173" s="213">
        <f t="shared" si="770"/>
        <v>1.9579405366205949E-2</v>
      </c>
      <c r="BT173" s="213">
        <f t="shared" si="770"/>
        <v>-2.4745269286744476E-2</v>
      </c>
      <c r="BU173" s="490">
        <f t="shared" si="770"/>
        <v>-3.7110616656086504E-2</v>
      </c>
      <c r="BV173" s="213">
        <f t="shared" si="770"/>
        <v>-8.07774832765773E-3</v>
      </c>
      <c r="BW173" s="213">
        <f t="shared" si="770"/>
        <v>-1.4817449027980656E-2</v>
      </c>
      <c r="BX173" s="213">
        <f t="shared" si="770"/>
        <v>2.0091848450052296E-2</v>
      </c>
      <c r="BY173" s="490">
        <f t="shared" si="770"/>
        <v>3.9861351819780122E-2</v>
      </c>
      <c r="BZ173" s="77">
        <f>BZ172/BN172-1</f>
        <v>0.1310299003322275</v>
      </c>
      <c r="CA173" s="77">
        <f>CA172/BO172-1</f>
        <v>-1.0756586898733711E-2</v>
      </c>
      <c r="CB173" s="77">
        <f>CB172/BP172-1</f>
        <v>-0.11118575747395121</v>
      </c>
      <c r="CC173" s="487">
        <f>CC172/BQ172-1</f>
        <v>2.1455816910469494E-3</v>
      </c>
      <c r="CD173" s="213">
        <f t="shared" ref="CD173:CK173" si="771">CD172/BZ172-1</f>
        <v>-1.3981905769016145E-2</v>
      </c>
      <c r="CE173" s="213">
        <f t="shared" si="771"/>
        <v>-2.5412339645687121E-2</v>
      </c>
      <c r="CF173" s="213">
        <f t="shared" si="771"/>
        <v>1.4739229024926859E-2</v>
      </c>
      <c r="CG173" s="490">
        <f t="shared" si="771"/>
        <v>-2.2202838791438584E-3</v>
      </c>
      <c r="CH173" s="213">
        <f t="shared" si="771"/>
        <v>-5.3884652049565385E-2</v>
      </c>
      <c r="CI173" s="213">
        <f t="shared" si="771"/>
        <v>-2.1812711545696861E-2</v>
      </c>
      <c r="CJ173" s="213">
        <f t="shared" si="771"/>
        <v>-4.7423960273102139E-2</v>
      </c>
      <c r="CK173" s="490">
        <f t="shared" si="771"/>
        <v>-2.6225860287828473E-3</v>
      </c>
      <c r="CL173" s="213">
        <f>CL172/CD172-1</f>
        <v>0.57685891325071359</v>
      </c>
      <c r="CM173" s="213">
        <f>CM172/CE172-1</f>
        <v>-2.1812711545696861E-2</v>
      </c>
      <c r="CN173" s="213">
        <f>CN172/CF172-1</f>
        <v>-4.7423960273102139E-2</v>
      </c>
      <c r="CO173" s="490">
        <f>CO172/CG172-1</f>
        <v>-2.6225860287828473E-3</v>
      </c>
      <c r="CP173" s="77">
        <f>CP172/CL172-1</f>
        <v>-0.39953147434443859</v>
      </c>
      <c r="CQ173" s="77">
        <f>CQ172/CM172-1</f>
        <v>-3.5883634499519479E-3</v>
      </c>
      <c r="CR173" s="77">
        <f>CR172/CN172-1</f>
        <v>1.8115469829251829E-2</v>
      </c>
      <c r="CS173" s="487">
        <f>CS172/CO172-1</f>
        <v>-2.007968127490023E-2</v>
      </c>
      <c r="CT173" s="77">
        <f t="shared" ref="CT173:DD173" si="772">IFERROR(CT172/CP172-1,"NA")</f>
        <v>-2.0765164862819541E-2</v>
      </c>
      <c r="CU173" s="77">
        <f t="shared" si="772"/>
        <v>-2.4437299035370952E-2</v>
      </c>
      <c r="CV173" s="77">
        <f t="shared" si="772"/>
        <v>2.3041474654392102E-2</v>
      </c>
      <c r="CW173" s="487">
        <f t="shared" si="772"/>
        <v>3.2444299886162264E-2</v>
      </c>
      <c r="CX173" s="77">
        <f t="shared" si="772"/>
        <v>1.0280169644004666</v>
      </c>
      <c r="CY173" s="77">
        <f t="shared" si="772"/>
        <v>3.8628872775212209E-2</v>
      </c>
      <c r="CZ173" s="77">
        <f t="shared" si="772"/>
        <v>1.2262262262256796E-2</v>
      </c>
      <c r="DA173" s="487">
        <f t="shared" si="772"/>
        <v>-1</v>
      </c>
      <c r="DB173" s="77">
        <f t="shared" si="772"/>
        <v>-1</v>
      </c>
      <c r="DC173" s="77">
        <f t="shared" si="772"/>
        <v>-1</v>
      </c>
      <c r="DD173" s="70">
        <f t="shared" si="772"/>
        <v>-1</v>
      </c>
      <c r="DE173" s="1416" t="str">
        <f t="shared" ref="DE173:DM173" si="773">IFERROR(DE172/DA172-1,"NA")</f>
        <v>NA</v>
      </c>
      <c r="DF173" s="75" t="str">
        <f t="shared" si="773"/>
        <v>NA</v>
      </c>
      <c r="DG173" s="75" t="str">
        <f t="shared" si="773"/>
        <v>NA</v>
      </c>
      <c r="DH173" s="75" t="str">
        <f t="shared" si="773"/>
        <v>NA</v>
      </c>
      <c r="DI173" s="1416" t="str">
        <f t="shared" si="773"/>
        <v>NA</v>
      </c>
      <c r="DJ173" s="2709" t="str">
        <f t="shared" si="773"/>
        <v>NA</v>
      </c>
      <c r="DK173" s="75" t="str">
        <f t="shared" si="773"/>
        <v>NA</v>
      </c>
      <c r="DL173" s="75" t="str">
        <f t="shared" si="773"/>
        <v>NA</v>
      </c>
      <c r="DM173" s="1416" t="str">
        <f t="shared" si="773"/>
        <v>NA</v>
      </c>
      <c r="DN173" s="1212"/>
      <c r="DO173" s="487"/>
      <c r="EJ173" s="19"/>
      <c r="EK173" s="88"/>
      <c r="EL173" s="212" t="s">
        <v>483</v>
      </c>
      <c r="EM173" s="212" t="s">
        <v>483</v>
      </c>
      <c r="EN173" s="212" t="s">
        <v>483</v>
      </c>
      <c r="EO173" s="213">
        <f>EO172/EN172-1</f>
        <v>-3.4303478587143221E-3</v>
      </c>
      <c r="EP173" s="213">
        <f>EP172/EO172-1</f>
        <v>1.2612273436243271E-2</v>
      </c>
      <c r="EQ173" s="77">
        <f>EQ172/EN172-1</f>
        <v>-1.8491718925824907E-3</v>
      </c>
      <c r="ER173" s="213">
        <f>ER172/EQ172-1</f>
        <v>-6.3901194791262661E-3</v>
      </c>
      <c r="ES173" s="213">
        <f>ES172/ER172-1</f>
        <v>-2.8135217661522938E-2</v>
      </c>
      <c r="ET173" s="213">
        <f>ET172/ER172-1</f>
        <v>0.11489718161428653</v>
      </c>
      <c r="EU173" s="213">
        <f>EU172/ES172-1</f>
        <v>-3.7480050492448846E-3</v>
      </c>
      <c r="EV173" s="213">
        <f t="shared" ref="EV173:EX173" si="774">EV172/EU172-1</f>
        <v>6.2515698696703481E-3</v>
      </c>
      <c r="EW173" s="213">
        <f t="shared" si="774"/>
        <v>-0.11945638607682862</v>
      </c>
      <c r="EX173" s="213">
        <f t="shared" si="774"/>
        <v>-1</v>
      </c>
      <c r="EY173" s="213" t="str">
        <f>IFERROR(EY172/EX172-1,"NA")</f>
        <v>NA</v>
      </c>
      <c r="EZ173" s="1747" t="str">
        <f>IFERROR(EZ172/EY172-1,"NA")</f>
        <v>NA</v>
      </c>
      <c r="FA173" s="15" t="str">
        <f t="shared" ref="FA173" si="775">IFERROR(FA172/EZ172-1,"NA")</f>
        <v>NA</v>
      </c>
      <c r="FB173" s="15">
        <f t="shared" ref="FB173" si="776">IFERROR(FB172/FA172-1,"NA")</f>
        <v>-0.84749602722051276</v>
      </c>
      <c r="FC173" s="15">
        <f t="shared" ref="FC173" si="777">IFERROR(FC172/FB172-1,"NA")</f>
        <v>-3.7695444104608642</v>
      </c>
      <c r="FD173" s="15">
        <f t="shared" ref="FD173" si="778">IFERROR(FD172/FC172-1,"NA")</f>
        <v>1.5569731568617442</v>
      </c>
      <c r="FE173" s="15">
        <f t="shared" ref="FE173" si="779">IFERROR(FE172/FD172-1,"NA")</f>
        <v>0.57740957518749236</v>
      </c>
      <c r="FF173" s="15">
        <f t="shared" ref="FF173" si="780">IFERROR(FF172/FE172-1,"NA")</f>
        <v>0.35618742416169513</v>
      </c>
      <c r="FG173" s="15">
        <f t="shared" ref="FG173" si="781">IFERROR(FG172/FF172-1,"NA")</f>
        <v>0.26089766734801167</v>
      </c>
      <c r="FH173" s="15">
        <f t="shared" ref="FH173" si="782">IFERROR(FH172/FG172-1,"NA")</f>
        <v>0.20880339094873146</v>
      </c>
      <c r="FI173" s="580"/>
      <c r="FJ173"/>
      <c r="FK173"/>
      <c r="FL173"/>
      <c r="FM173"/>
      <c r="FN173"/>
      <c r="FO173"/>
      <c r="FP173" s="3"/>
      <c r="FS173" s="70"/>
      <c r="FT173" s="70"/>
      <c r="FU173"/>
      <c r="FV173"/>
      <c r="FW173" s="70"/>
      <c r="FX173" s="70"/>
      <c r="FY173" s="70"/>
      <c r="FZ173"/>
      <c r="GA173"/>
      <c r="GB173"/>
      <c r="GC173"/>
      <c r="GD173"/>
      <c r="GE173"/>
      <c r="GF173"/>
      <c r="GG173"/>
      <c r="GH173"/>
      <c r="GI173"/>
      <c r="GJ173"/>
      <c r="GK173"/>
      <c r="GL173"/>
      <c r="GM173"/>
      <c r="GN173"/>
      <c r="GO173"/>
      <c r="GP173"/>
      <c r="GQ173"/>
      <c r="GR173"/>
      <c r="GS173"/>
      <c r="GT173"/>
      <c r="GU173"/>
      <c r="GV173"/>
      <c r="GW173"/>
      <c r="GX173"/>
      <c r="GY173"/>
      <c r="GZ173"/>
      <c r="HA173"/>
      <c r="HB173"/>
      <c r="HC173"/>
      <c r="HD173"/>
      <c r="HE173"/>
      <c r="HF173"/>
      <c r="HG173"/>
      <c r="HH173"/>
      <c r="HI173"/>
      <c r="HJ173"/>
      <c r="HK173"/>
      <c r="HL173"/>
      <c r="HM173"/>
      <c r="HN173"/>
      <c r="HO173"/>
      <c r="HP173"/>
      <c r="HQ173"/>
      <c r="HR173"/>
      <c r="HS173"/>
      <c r="HT173"/>
      <c r="HU173"/>
      <c r="HV173"/>
      <c r="HW173"/>
      <c r="HX173"/>
      <c r="HY173"/>
      <c r="HZ173"/>
      <c r="IA173"/>
      <c r="IB173"/>
      <c r="IC173"/>
      <c r="ID173"/>
      <c r="IE173"/>
      <c r="IF173"/>
      <c r="IG173"/>
      <c r="IH173"/>
      <c r="II173"/>
      <c r="IJ173"/>
      <c r="IK173"/>
      <c r="IL173"/>
      <c r="IM173"/>
      <c r="IN173"/>
      <c r="IO173"/>
      <c r="IP173"/>
      <c r="IQ173"/>
      <c r="IR173"/>
      <c r="IS173"/>
      <c r="IT173"/>
      <c r="IU173"/>
      <c r="IV173"/>
      <c r="IW173"/>
      <c r="IX173"/>
      <c r="IY173"/>
      <c r="IZ173"/>
    </row>
    <row r="174" spans="1:260" s="4" customFormat="1" hidden="1" outlineLevel="1" x14ac:dyDescent="0.2">
      <c r="A174" s="4" t="s">
        <v>4</v>
      </c>
      <c r="E174" s="470"/>
      <c r="I174" s="470"/>
      <c r="M174" s="470"/>
      <c r="Q174" s="470"/>
      <c r="U174" s="470"/>
      <c r="Y174" s="470"/>
      <c r="AC174" s="470"/>
      <c r="AG174" s="470"/>
      <c r="AK174" s="470"/>
      <c r="AO174" s="470"/>
      <c r="AS174" s="470"/>
      <c r="AW174" s="470"/>
      <c r="BA174" s="470"/>
      <c r="BB174" s="6"/>
      <c r="BC174" s="6"/>
      <c r="BE174" s="484"/>
      <c r="BF174" s="6"/>
      <c r="BG174" s="6"/>
      <c r="BH174" s="6"/>
      <c r="BI174" s="484"/>
      <c r="BJ174" s="6"/>
      <c r="BK174" s="6"/>
      <c r="BL174" s="6"/>
      <c r="BM174" s="484"/>
      <c r="BN174" s="77"/>
      <c r="BO174" s="77"/>
      <c r="BP174" s="77"/>
      <c r="BQ174" s="487"/>
      <c r="BR174" s="77"/>
      <c r="BS174" s="77"/>
      <c r="BT174" s="77"/>
      <c r="BU174" s="487"/>
      <c r="BV174" s="77"/>
      <c r="BW174" s="77"/>
      <c r="BX174" s="77"/>
      <c r="BY174" s="487"/>
      <c r="BZ174" s="77"/>
      <c r="CA174" s="77"/>
      <c r="CB174" s="77"/>
      <c r="CC174" s="487"/>
      <c r="CD174" s="77">
        <f t="shared" ref="CD174:CS174" si="783">+CD173+BZ173</f>
        <v>0.11704799456321135</v>
      </c>
      <c r="CE174" s="77">
        <f t="shared" si="783"/>
        <v>-3.6168926544420832E-2</v>
      </c>
      <c r="CF174" s="77">
        <f t="shared" si="783"/>
        <v>-9.6446528449024349E-2</v>
      </c>
      <c r="CG174" s="487">
        <f t="shared" si="783"/>
        <v>-7.4702188096908984E-5</v>
      </c>
      <c r="CH174" s="77">
        <f t="shared" si="783"/>
        <v>-6.786655781858153E-2</v>
      </c>
      <c r="CI174" s="77">
        <f t="shared" si="783"/>
        <v>-4.7225051191383982E-2</v>
      </c>
      <c r="CJ174" s="77">
        <f t="shared" si="783"/>
        <v>-3.2684731248175281E-2</v>
      </c>
      <c r="CK174" s="487">
        <f t="shared" si="783"/>
        <v>-4.8428699079267057E-3</v>
      </c>
      <c r="CL174" s="77">
        <f t="shared" si="783"/>
        <v>0.52297426120114821</v>
      </c>
      <c r="CM174" s="77">
        <f t="shared" si="783"/>
        <v>-4.3625423091393722E-2</v>
      </c>
      <c r="CN174" s="77">
        <f t="shared" si="783"/>
        <v>-9.4847920546204278E-2</v>
      </c>
      <c r="CO174" s="487">
        <f t="shared" si="783"/>
        <v>-5.2451720575656946E-3</v>
      </c>
      <c r="CP174" s="77">
        <f t="shared" si="783"/>
        <v>0.177327438906275</v>
      </c>
      <c r="CQ174" s="77">
        <f t="shared" si="783"/>
        <v>-2.5401074995648809E-2</v>
      </c>
      <c r="CR174" s="77">
        <f t="shared" si="783"/>
        <v>-2.930849044385031E-2</v>
      </c>
      <c r="CS174" s="487">
        <f t="shared" si="783"/>
        <v>-2.2702267303683077E-2</v>
      </c>
      <c r="CT174" s="77">
        <f t="shared" ref="CT174:DD174" si="784">+IFERROR(CT173+CP173,"NA")</f>
        <v>-0.42029663920725813</v>
      </c>
      <c r="CU174" s="77">
        <f t="shared" si="784"/>
        <v>-2.80256624853229E-2</v>
      </c>
      <c r="CV174" s="77">
        <f t="shared" si="784"/>
        <v>4.1156944483643931E-2</v>
      </c>
      <c r="CW174" s="487">
        <f t="shared" si="784"/>
        <v>1.2364618611262035E-2</v>
      </c>
      <c r="CX174" s="77">
        <f t="shared" si="784"/>
        <v>1.0072517995376471</v>
      </c>
      <c r="CY174" s="77">
        <f t="shared" si="784"/>
        <v>1.4191573739841257E-2</v>
      </c>
      <c r="CZ174" s="77">
        <f t="shared" si="784"/>
        <v>3.5303736916648898E-2</v>
      </c>
      <c r="DA174" s="487">
        <f t="shared" si="784"/>
        <v>-0.96755570011383774</v>
      </c>
      <c r="DB174" s="77">
        <f t="shared" si="784"/>
        <v>2.8016964400466637E-2</v>
      </c>
      <c r="DC174" s="77">
        <f t="shared" si="784"/>
        <v>-0.96137112722478779</v>
      </c>
      <c r="DD174" s="70">
        <f t="shared" si="784"/>
        <v>-0.9877377377377432</v>
      </c>
      <c r="DE174" s="1416" t="str">
        <f t="shared" ref="DE174:DM174" si="785">+IFERROR(DE173+DA173,"NA")</f>
        <v>NA</v>
      </c>
      <c r="DF174" s="75" t="str">
        <f t="shared" si="785"/>
        <v>NA</v>
      </c>
      <c r="DG174" s="75" t="str">
        <f t="shared" si="785"/>
        <v>NA</v>
      </c>
      <c r="DH174" s="75" t="str">
        <f t="shared" si="785"/>
        <v>NA</v>
      </c>
      <c r="DI174" s="1416" t="str">
        <f t="shared" si="785"/>
        <v>NA</v>
      </c>
      <c r="DJ174" s="2709" t="str">
        <f t="shared" si="785"/>
        <v>NA</v>
      </c>
      <c r="DK174" s="75" t="str">
        <f t="shared" si="785"/>
        <v>NA</v>
      </c>
      <c r="DL174" s="75" t="str">
        <f t="shared" si="785"/>
        <v>NA</v>
      </c>
      <c r="DM174" s="1416" t="str">
        <f t="shared" si="785"/>
        <v>NA</v>
      </c>
      <c r="DN174" s="580"/>
      <c r="DO174" s="487"/>
      <c r="EJ174" s="19"/>
      <c r="EK174" s="88"/>
      <c r="EL174" s="88"/>
      <c r="EM174" s="88"/>
      <c r="EN174" s="77"/>
      <c r="EO174" s="77"/>
      <c r="EP174" s="77"/>
      <c r="EQ174" s="77"/>
      <c r="ER174" s="77">
        <f>AVERAGE(ER173,EQ173)</f>
        <v>-4.1196456858543784E-3</v>
      </c>
      <c r="ES174" s="77">
        <f>AVERAGE(ES173,ER173)</f>
        <v>-1.7262668570324602E-2</v>
      </c>
      <c r="ET174" s="77">
        <f>AVERAGE(ET173,ER173)</f>
        <v>5.425353106758013E-2</v>
      </c>
      <c r="EU174" s="77">
        <f>AVERAGE(EU173,ES173)</f>
        <v>-1.5941611355383911E-2</v>
      </c>
      <c r="EV174" s="77">
        <f>AVERAGE(EV173,EU173)</f>
        <v>1.2517824102127317E-3</v>
      </c>
      <c r="EW174" s="77">
        <f>AVERAGE(EW173,EV173)</f>
        <v>-5.6602408103579138E-2</v>
      </c>
      <c r="EX174" s="77">
        <f>AVERAGE(EX173,EW173)</f>
        <v>-0.55972819303841437</v>
      </c>
      <c r="EY174" s="77">
        <f>IFERROR(AVERAGE(EY173,EX173),"NA")</f>
        <v>-1</v>
      </c>
      <c r="EZ174" s="1680" t="str">
        <f>IFERROR(AVERAGE(EZ173,EY173),"NA")</f>
        <v>NA</v>
      </c>
      <c r="FA174" s="77" t="str">
        <f t="shared" ref="FA174:FH174" si="786">IFERROR(AVERAGE(FA173,EZ173),"NA")</f>
        <v>NA</v>
      </c>
      <c r="FB174" s="77">
        <f t="shared" si="786"/>
        <v>-0.84749602722051276</v>
      </c>
      <c r="FC174" s="77">
        <f t="shared" si="786"/>
        <v>-2.3085202188406884</v>
      </c>
      <c r="FD174" s="77">
        <f t="shared" si="786"/>
        <v>-1.10628562679956</v>
      </c>
      <c r="FE174" s="77">
        <f t="shared" si="786"/>
        <v>1.0671913660246184</v>
      </c>
      <c r="FF174" s="77">
        <f t="shared" si="786"/>
        <v>0.46679849967459375</v>
      </c>
      <c r="FG174" s="77">
        <f t="shared" si="786"/>
        <v>0.3085425457548534</v>
      </c>
      <c r="FH174" s="77">
        <f t="shared" si="786"/>
        <v>0.23485052914837157</v>
      </c>
      <c r="FI174" s="580"/>
      <c r="FJ174"/>
      <c r="FK174"/>
      <c r="FL174"/>
      <c r="FM174"/>
      <c r="FN174"/>
      <c r="FO174"/>
      <c r="FP174" s="3"/>
      <c r="FS174" s="70"/>
      <c r="FT174" s="70"/>
      <c r="FU174"/>
      <c r="FV174"/>
      <c r="FW174" s="70"/>
      <c r="FX174" s="70"/>
      <c r="FY174" s="70"/>
      <c r="FZ174"/>
      <c r="GA174"/>
      <c r="GB174"/>
      <c r="GC174"/>
      <c r="GD174"/>
      <c r="GE174"/>
      <c r="GF174"/>
      <c r="GG174"/>
      <c r="GH174"/>
      <c r="GI174"/>
      <c r="GJ174"/>
      <c r="GK174"/>
      <c r="GL174"/>
      <c r="GM174"/>
      <c r="GN174"/>
      <c r="GO174"/>
      <c r="GP174"/>
      <c r="GQ174"/>
      <c r="GR174"/>
      <c r="GS174"/>
      <c r="GT174"/>
      <c r="GU174"/>
      <c r="GV174"/>
      <c r="GW174"/>
      <c r="GX174"/>
      <c r="GY174"/>
      <c r="GZ174"/>
      <c r="HA174"/>
      <c r="HB174"/>
      <c r="HC174"/>
      <c r="HD174"/>
      <c r="HE174"/>
      <c r="HF174"/>
      <c r="HG174"/>
      <c r="HH174"/>
      <c r="HI174"/>
      <c r="HJ174"/>
      <c r="HK174"/>
      <c r="HL174"/>
      <c r="HM174"/>
      <c r="HN174"/>
      <c r="HO174"/>
      <c r="HP174"/>
      <c r="HQ174"/>
      <c r="HR174"/>
      <c r="HS174"/>
      <c r="HT174"/>
      <c r="HU174"/>
      <c r="HV174"/>
      <c r="HW174"/>
      <c r="HX174"/>
      <c r="HY174"/>
      <c r="HZ174"/>
      <c r="IA174"/>
      <c r="IB174"/>
      <c r="IC174"/>
      <c r="ID174"/>
      <c r="IE174"/>
      <c r="IF174"/>
      <c r="IG174"/>
      <c r="IH174"/>
      <c r="II174"/>
      <c r="IJ174"/>
      <c r="IK174"/>
      <c r="IL174"/>
      <c r="IM174"/>
      <c r="IN174"/>
      <c r="IO174"/>
      <c r="IP174"/>
      <c r="IQ174"/>
      <c r="IR174"/>
      <c r="IS174"/>
      <c r="IT174"/>
      <c r="IU174"/>
      <c r="IV174"/>
      <c r="IW174"/>
      <c r="IX174"/>
      <c r="IY174"/>
      <c r="IZ174"/>
    </row>
    <row r="175" spans="1:260" s="4" customFormat="1" hidden="1" outlineLevel="1" x14ac:dyDescent="0.2">
      <c r="E175" s="470"/>
      <c r="I175" s="470"/>
      <c r="M175" s="470"/>
      <c r="Q175" s="470"/>
      <c r="U175" s="470"/>
      <c r="Y175" s="470"/>
      <c r="AC175" s="470"/>
      <c r="AG175" s="470"/>
      <c r="AK175" s="470"/>
      <c r="AO175" s="470"/>
      <c r="AS175" s="470"/>
      <c r="AW175" s="470"/>
      <c r="BA175" s="470"/>
      <c r="BB175" s="6"/>
      <c r="BC175" s="6"/>
      <c r="BE175" s="484"/>
      <c r="BF175" s="6"/>
      <c r="BG175" s="6"/>
      <c r="BH175" s="6"/>
      <c r="BI175" s="484"/>
      <c r="BJ175" s="6"/>
      <c r="BK175" s="6"/>
      <c r="BL175" s="6"/>
      <c r="BM175" s="484"/>
      <c r="BN175" s="6"/>
      <c r="BO175" s="6"/>
      <c r="BP175" s="6"/>
      <c r="BQ175" s="484"/>
      <c r="BR175" s="6"/>
      <c r="BS175" s="6"/>
      <c r="BT175" s="6"/>
      <c r="BU175" s="499"/>
      <c r="BV175" s="6"/>
      <c r="BW175" s="6"/>
      <c r="BX175" s="6"/>
      <c r="BY175" s="484"/>
      <c r="BZ175" s="6"/>
      <c r="CA175" s="6"/>
      <c r="CB175" s="6"/>
      <c r="CC175" s="499"/>
      <c r="CD175" s="6"/>
      <c r="CE175" s="6"/>
      <c r="CF175" s="6"/>
      <c r="CG175" s="484"/>
      <c r="CH175" s="6"/>
      <c r="CI175" s="6"/>
      <c r="CJ175" s="6"/>
      <c r="CK175" s="484"/>
      <c r="CL175" s="6"/>
      <c r="CM175" s="6"/>
      <c r="CN175" s="6"/>
      <c r="CO175" s="484"/>
      <c r="CP175" s="6"/>
      <c r="CQ175" s="6"/>
      <c r="CR175" s="6"/>
      <c r="CS175" s="499"/>
      <c r="CT175" s="6"/>
      <c r="CU175" s="6"/>
      <c r="CV175" s="6"/>
      <c r="CW175" s="484"/>
      <c r="CX175" s="6"/>
      <c r="CY175" s="6"/>
      <c r="CZ175" s="6"/>
      <c r="DA175" s="484"/>
      <c r="DB175" s="6"/>
      <c r="DC175" s="6"/>
      <c r="DD175" s="53"/>
      <c r="DE175" s="499"/>
      <c r="DF175" s="53"/>
      <c r="DG175" s="53"/>
      <c r="DH175" s="53"/>
      <c r="DI175" s="499"/>
      <c r="DJ175" s="2740"/>
      <c r="DK175" s="53"/>
      <c r="DL175" s="53"/>
      <c r="DM175" s="499"/>
      <c r="DN175" s="590"/>
      <c r="DO175" s="484"/>
      <c r="EJ175" s="19"/>
      <c r="EK175" s="88"/>
      <c r="EL175" s="88"/>
      <c r="EM175" s="88"/>
      <c r="EN175" s="88"/>
      <c r="EO175" s="88"/>
      <c r="EP175" s="88"/>
      <c r="EQ175" s="88"/>
      <c r="ER175" s="88"/>
      <c r="ES175" s="88"/>
      <c r="ET175" s="88"/>
      <c r="EU175" s="88"/>
      <c r="EV175" s="88"/>
      <c r="EW175" s="88"/>
      <c r="EX175" s="88"/>
      <c r="EY175" s="88"/>
      <c r="EZ175" s="1738"/>
      <c r="FI175" s="671"/>
      <c r="FJ175"/>
      <c r="FK175"/>
      <c r="FL175"/>
      <c r="FM175"/>
      <c r="FN175"/>
      <c r="FO175"/>
      <c r="FP175" s="3"/>
      <c r="FS175" s="7"/>
      <c r="FT175" s="7"/>
      <c r="FU175"/>
      <c r="FV175"/>
      <c r="FW175" s="7"/>
      <c r="FX175" s="7"/>
      <c r="FY175" s="7"/>
      <c r="FZ175"/>
      <c r="GA175"/>
      <c r="GB175"/>
      <c r="GC175"/>
      <c r="GD175"/>
      <c r="GE175"/>
      <c r="GF175"/>
      <c r="GG175"/>
      <c r="GH175"/>
      <c r="GI175"/>
      <c r="GJ175"/>
      <c r="GK175"/>
      <c r="GL175"/>
      <c r="GM175"/>
      <c r="GN175"/>
      <c r="GO175"/>
      <c r="GP175"/>
      <c r="GQ175"/>
      <c r="GR175"/>
      <c r="GS175"/>
      <c r="GT175"/>
      <c r="GU175"/>
      <c r="GV175"/>
      <c r="GW175"/>
      <c r="GX175"/>
      <c r="GY175"/>
      <c r="GZ175"/>
      <c r="HA175"/>
      <c r="HB175"/>
      <c r="HC175"/>
      <c r="HD175"/>
      <c r="HE175"/>
      <c r="HF175"/>
      <c r="HG175"/>
      <c r="HH175"/>
      <c r="HI175"/>
      <c r="HJ175"/>
      <c r="HK175"/>
      <c r="HL175"/>
      <c r="HM175"/>
      <c r="HN175"/>
      <c r="HO175"/>
      <c r="HP175"/>
      <c r="HQ175"/>
      <c r="HR175"/>
      <c r="HS175"/>
      <c r="HT175"/>
      <c r="HU175"/>
      <c r="HV175"/>
      <c r="HW175"/>
      <c r="HX175"/>
      <c r="HY175"/>
      <c r="HZ175"/>
      <c r="IA175"/>
      <c r="IB175"/>
      <c r="IC175"/>
      <c r="ID175"/>
      <c r="IE175"/>
      <c r="IF175"/>
      <c r="IG175"/>
      <c r="IH175"/>
      <c r="II175"/>
      <c r="IJ175"/>
      <c r="IK175"/>
      <c r="IL175"/>
      <c r="IM175"/>
      <c r="IN175"/>
      <c r="IO175"/>
      <c r="IP175"/>
      <c r="IQ175"/>
      <c r="IR175"/>
      <c r="IS175"/>
      <c r="IT175"/>
      <c r="IU175"/>
      <c r="IV175"/>
      <c r="IW175"/>
      <c r="IX175"/>
      <c r="IY175"/>
      <c r="IZ175"/>
    </row>
    <row r="176" spans="1:260" s="19" customFormat="1" hidden="1" outlineLevel="1" x14ac:dyDescent="0.2">
      <c r="A176" s="19" t="s">
        <v>457</v>
      </c>
      <c r="E176" s="469"/>
      <c r="I176" s="469"/>
      <c r="M176" s="469"/>
      <c r="Q176" s="469"/>
      <c r="U176" s="469"/>
      <c r="Y176" s="469"/>
      <c r="AC176" s="469"/>
      <c r="AG176" s="469"/>
      <c r="AK176" s="469"/>
      <c r="AO176" s="469"/>
      <c r="AS176" s="469"/>
      <c r="AW176" s="469"/>
      <c r="AY176" s="377"/>
      <c r="AZ176" s="377"/>
      <c r="BA176"/>
      <c r="BB176" s="376"/>
      <c r="BC176" s="376"/>
      <c r="BD176" s="377"/>
      <c r="BE176" s="1291"/>
      <c r="BF176" s="884">
        <f t="shared" ref="BF176:CR176" si="787">BF147</f>
        <v>6704</v>
      </c>
      <c r="BG176" s="884">
        <f t="shared" si="787"/>
        <v>7234</v>
      </c>
      <c r="BH176" s="884">
        <f t="shared" si="787"/>
        <v>8206</v>
      </c>
      <c r="BI176" s="1291">
        <f t="shared" si="787"/>
        <v>11184</v>
      </c>
      <c r="BJ176" s="884">
        <f t="shared" si="787"/>
        <v>7453</v>
      </c>
      <c r="BK176" s="884">
        <f t="shared" si="787"/>
        <v>8133</v>
      </c>
      <c r="BL176" s="884">
        <f t="shared" si="787"/>
        <v>8196</v>
      </c>
      <c r="BM176" s="1291">
        <f t="shared" si="787"/>
        <v>11288</v>
      </c>
      <c r="BN176" s="884">
        <f t="shared" si="787"/>
        <v>7525</v>
      </c>
      <c r="BO176" s="884">
        <f t="shared" si="787"/>
        <v>8274</v>
      </c>
      <c r="BP176" s="884">
        <f t="shared" si="787"/>
        <v>8931</v>
      </c>
      <c r="BQ176" s="1291">
        <f t="shared" si="787"/>
        <v>12584</v>
      </c>
      <c r="BR176" s="884">
        <f t="shared" si="787"/>
        <v>7923</v>
      </c>
      <c r="BS176" s="884">
        <f t="shared" si="787"/>
        <v>8436</v>
      </c>
      <c r="BT176" s="884">
        <f t="shared" si="787"/>
        <v>8710</v>
      </c>
      <c r="BU176" s="1291">
        <f t="shared" si="787"/>
        <v>12117</v>
      </c>
      <c r="BV176" s="884">
        <f t="shared" si="787"/>
        <v>7859</v>
      </c>
      <c r="BW176" s="884">
        <f t="shared" si="787"/>
        <v>8311</v>
      </c>
      <c r="BX176" s="884">
        <f t="shared" si="787"/>
        <v>8885</v>
      </c>
      <c r="BY176" s="1291">
        <f t="shared" si="787"/>
        <v>12600</v>
      </c>
      <c r="BZ176" s="884">
        <f t="shared" si="787"/>
        <v>8511</v>
      </c>
      <c r="CA176" s="884">
        <f t="shared" si="787"/>
        <v>8185</v>
      </c>
      <c r="CB176" s="884">
        <f t="shared" si="787"/>
        <v>7938</v>
      </c>
      <c r="CC176" s="1291">
        <f t="shared" si="787"/>
        <v>12611</v>
      </c>
      <c r="CD176" s="884">
        <f t="shared" si="787"/>
        <v>8392</v>
      </c>
      <c r="CE176" s="884">
        <f t="shared" si="787"/>
        <v>7977</v>
      </c>
      <c r="CF176" s="884">
        <f t="shared" si="787"/>
        <v>8055</v>
      </c>
      <c r="CG176" s="1291">
        <f t="shared" si="787"/>
        <v>12583</v>
      </c>
      <c r="CH176" s="884">
        <f t="shared" si="787"/>
        <v>8822</v>
      </c>
      <c r="CI176" s="884">
        <f t="shared" si="787"/>
        <v>7803</v>
      </c>
      <c r="CJ176" s="884">
        <f t="shared" si="787"/>
        <v>7673</v>
      </c>
      <c r="CK176" s="1291">
        <f t="shared" si="787"/>
        <v>12550</v>
      </c>
      <c r="CL176" s="884">
        <f t="shared" si="787"/>
        <v>8822</v>
      </c>
      <c r="CM176" s="884">
        <f t="shared" si="787"/>
        <v>7803</v>
      </c>
      <c r="CN176" s="884">
        <f t="shared" si="787"/>
        <v>7673</v>
      </c>
      <c r="CO176" s="1291">
        <f t="shared" si="787"/>
        <v>12550</v>
      </c>
      <c r="CP176" s="884">
        <f t="shared" si="787"/>
        <v>7946</v>
      </c>
      <c r="CQ176" s="884">
        <f t="shared" si="787"/>
        <v>7775</v>
      </c>
      <c r="CR176" s="884">
        <f t="shared" si="787"/>
        <v>7812</v>
      </c>
      <c r="CS176" s="1291">
        <f t="shared" ref="CS176:DB176" si="788">CS147</f>
        <v>12298</v>
      </c>
      <c r="CT176" s="884">
        <f t="shared" si="788"/>
        <v>7781</v>
      </c>
      <c r="CU176" s="884">
        <f t="shared" si="788"/>
        <v>7585</v>
      </c>
      <c r="CV176" s="884">
        <f t="shared" si="788"/>
        <v>7992</v>
      </c>
      <c r="CW176" s="1291">
        <f t="shared" si="788"/>
        <v>12697</v>
      </c>
      <c r="CX176" s="376">
        <f>CX147</f>
        <v>7890</v>
      </c>
      <c r="CY176" s="376">
        <f t="shared" si="788"/>
        <v>7878</v>
      </c>
      <c r="CZ176" s="376">
        <f t="shared" si="788"/>
        <v>8090</v>
      </c>
      <c r="DA176" s="1509">
        <f>DA147</f>
        <v>12507</v>
      </c>
      <c r="DB176" s="376">
        <f t="shared" si="788"/>
        <v>7829</v>
      </c>
      <c r="DC176" s="376">
        <f t="shared" ref="DC176:DI176" si="789">DC147</f>
        <v>7889</v>
      </c>
      <c r="DD176" s="376">
        <f t="shared" si="789"/>
        <v>8192</v>
      </c>
      <c r="DE176" s="1509">
        <f t="shared" si="789"/>
        <v>12338</v>
      </c>
      <c r="DF176" s="376">
        <f t="shared" si="789"/>
        <v>7912</v>
      </c>
      <c r="DG176" s="376">
        <f t="shared" ref="DG176" si="790">DG147</f>
        <v>8272</v>
      </c>
      <c r="DH176" s="376">
        <f t="shared" si="789"/>
        <v>8491</v>
      </c>
      <c r="DI176" s="1509">
        <f t="shared" si="789"/>
        <v>13987</v>
      </c>
      <c r="DJ176" s="2741">
        <f t="shared" ref="DJ176:DK176" si="791">DJ147</f>
        <v>8084.0779507967127</v>
      </c>
      <c r="DK176" s="2599">
        <f t="shared" si="791"/>
        <v>8319.6747461925697</v>
      </c>
      <c r="DL176" s="2599">
        <f t="shared" ref="DL176:DM176" si="792">DL147</f>
        <v>8560.6618577439167</v>
      </c>
      <c r="DM176" s="1509">
        <f t="shared" si="792"/>
        <v>13806.456532283801</v>
      </c>
      <c r="DN176"/>
      <c r="DO176" s="466"/>
      <c r="EJ176" s="377"/>
      <c r="EK176" s="376"/>
      <c r="EL176" s="884">
        <f>SUM(BF176:BI176)</f>
        <v>33328</v>
      </c>
      <c r="EM176" s="884">
        <f>SUM(BJ176:BM176)</f>
        <v>35070</v>
      </c>
      <c r="EN176" s="884">
        <f>SUM(BN176:BQ176)</f>
        <v>37314</v>
      </c>
      <c r="EO176" s="884">
        <f>SUM(BR176:BU176)</f>
        <v>37186</v>
      </c>
      <c r="EP176" s="884">
        <f>SUM(BV176:BY176)</f>
        <v>37655</v>
      </c>
      <c r="EQ176" s="884">
        <f>SUM(BZ176:CC176)</f>
        <v>37245</v>
      </c>
      <c r="ER176" s="884">
        <f>SUM(CD176:CG176)</f>
        <v>37007</v>
      </c>
      <c r="ES176" s="884">
        <f>SUM(CH176:CK176)</f>
        <v>36848</v>
      </c>
      <c r="ET176" s="884">
        <f>SUM(CL176:CO176)</f>
        <v>36848</v>
      </c>
      <c r="EU176" s="761">
        <f>SUM(CP176:CS176)</f>
        <v>35831</v>
      </c>
      <c r="EV176" s="198">
        <f>SUM(CT176:CW176)</f>
        <v>36055</v>
      </c>
      <c r="EW176" s="198">
        <f>SUM(CX176:DA176)</f>
        <v>36365</v>
      </c>
      <c r="EX176" s="198">
        <f>SUM(DB176:DE176)</f>
        <v>36248</v>
      </c>
      <c r="EY176" s="198">
        <f>SUM(DF176:DI176)</f>
        <v>38662</v>
      </c>
      <c r="EZ176" s="1736">
        <f>SUM(DJ176:DM176)</f>
        <v>38770.871087017003</v>
      </c>
      <c r="FA176" s="198">
        <f t="shared" ref="FA176:FF176" si="793">FA147</f>
        <v>39162.611516171703</v>
      </c>
      <c r="FB176" s="198">
        <f t="shared" si="793"/>
        <v>39548.571247331325</v>
      </c>
      <c r="FC176" s="198">
        <f t="shared" si="793"/>
        <v>39917.56132006611</v>
      </c>
      <c r="FD176" s="198">
        <f t="shared" si="793"/>
        <v>40463.212782604562</v>
      </c>
      <c r="FE176" s="198">
        <f t="shared" si="793"/>
        <v>41030.623253519152</v>
      </c>
      <c r="FF176" s="198">
        <f t="shared" si="793"/>
        <v>41620.869646848121</v>
      </c>
      <c r="FG176" s="198">
        <f>FG147</f>
        <v>42235.082652090554</v>
      </c>
      <c r="FH176" s="198">
        <f>FH147</f>
        <v>42874.449423367441</v>
      </c>
      <c r="FI176" s="1292"/>
      <c r="FJ176"/>
      <c r="FK176"/>
      <c r="FL176"/>
      <c r="FM176"/>
      <c r="FN176"/>
      <c r="FO176"/>
      <c r="FP176" s="401"/>
      <c r="FW176" s="198"/>
      <c r="FX176" s="198"/>
      <c r="FY176" s="198"/>
    </row>
    <row r="177" spans="1:260" s="4" customFormat="1" hidden="1" outlineLevel="1" x14ac:dyDescent="0.2">
      <c r="A177" s="4" t="s">
        <v>482</v>
      </c>
      <c r="E177" s="470"/>
      <c r="I177" s="470"/>
      <c r="M177" s="470"/>
      <c r="Q177" s="470"/>
      <c r="U177" s="470"/>
      <c r="Y177" s="470"/>
      <c r="AC177" s="470"/>
      <c r="AG177" s="470"/>
      <c r="AK177" s="470"/>
      <c r="AO177" s="470"/>
      <c r="AS177" s="470"/>
      <c r="AW177" s="470"/>
      <c r="BA177" s="470"/>
      <c r="BB177" s="6"/>
      <c r="BC177" s="6"/>
      <c r="BE177" s="484"/>
      <c r="BF177" s="212" t="s">
        <v>483</v>
      </c>
      <c r="BG177" s="212" t="s">
        <v>483</v>
      </c>
      <c r="BH177" s="212" t="s">
        <v>483</v>
      </c>
      <c r="BI177" s="566" t="s">
        <v>483</v>
      </c>
      <c r="BJ177" s="77">
        <f t="shared" ref="BJ177:BY177" si="794">BJ176/BF176-1</f>
        <v>0.11172434367541761</v>
      </c>
      <c r="BK177" s="77">
        <f t="shared" si="794"/>
        <v>0.1242742604368261</v>
      </c>
      <c r="BL177" s="77">
        <f t="shared" si="794"/>
        <v>-1.2186205215696244E-3</v>
      </c>
      <c r="BM177" s="487">
        <f t="shared" si="794"/>
        <v>9.2989985693847643E-3</v>
      </c>
      <c r="BN177" s="77">
        <f t="shared" si="794"/>
        <v>9.6605393801154626E-3</v>
      </c>
      <c r="BO177" s="77">
        <f t="shared" si="794"/>
        <v>1.7336776097381046E-2</v>
      </c>
      <c r="BP177" s="77">
        <f t="shared" si="794"/>
        <v>8.9677891654465602E-2</v>
      </c>
      <c r="BQ177" s="487">
        <f t="shared" si="794"/>
        <v>0.11481218993621556</v>
      </c>
      <c r="BR177" s="77">
        <f t="shared" si="794"/>
        <v>5.2890365448504895E-2</v>
      </c>
      <c r="BS177" s="77">
        <f t="shared" si="794"/>
        <v>1.9579405366207503E-2</v>
      </c>
      <c r="BT177" s="77">
        <f t="shared" si="794"/>
        <v>-2.4745269286754024E-2</v>
      </c>
      <c r="BU177" s="487">
        <f t="shared" si="794"/>
        <v>-3.7110616656071183E-2</v>
      </c>
      <c r="BV177" s="77">
        <f t="shared" si="794"/>
        <v>-8.0777483276536222E-3</v>
      </c>
      <c r="BW177" s="77">
        <f t="shared" si="794"/>
        <v>-1.4817449027975327E-2</v>
      </c>
      <c r="BX177" s="77">
        <f t="shared" si="794"/>
        <v>2.0091848450057403E-2</v>
      </c>
      <c r="BY177" s="487">
        <f t="shared" si="794"/>
        <v>3.9861351819757473E-2</v>
      </c>
      <c r="BZ177" s="77">
        <f>BZ176/BN176-1</f>
        <v>0.13102990033222595</v>
      </c>
      <c r="CA177" s="77">
        <f>CA176/BO176-1</f>
        <v>-1.0756586898718834E-2</v>
      </c>
      <c r="CB177" s="77">
        <f>CB176/BP176-1</f>
        <v>-0.11118575747396708</v>
      </c>
      <c r="CC177" s="487">
        <f>CC176/BQ176-1</f>
        <v>2.1455816910362913E-3</v>
      </c>
      <c r="CD177" s="77">
        <f t="shared" ref="CD177:CK177" si="795">CD176/BZ176-1</f>
        <v>-1.3981905769004821E-2</v>
      </c>
      <c r="CE177" s="77">
        <f t="shared" si="795"/>
        <v>-2.5412339645693338E-2</v>
      </c>
      <c r="CF177" s="77">
        <f t="shared" si="795"/>
        <v>1.473922902494329E-2</v>
      </c>
      <c r="CG177" s="487">
        <f t="shared" si="795"/>
        <v>-2.2202838791530732E-3</v>
      </c>
      <c r="CH177" s="77">
        <f t="shared" si="795"/>
        <v>5.1239275500476689E-2</v>
      </c>
      <c r="CI177" s="77">
        <f t="shared" si="795"/>
        <v>-2.1812711545693864E-2</v>
      </c>
      <c r="CJ177" s="77">
        <f t="shared" si="795"/>
        <v>-4.7423960273122234E-2</v>
      </c>
      <c r="CK177" s="487">
        <f t="shared" si="795"/>
        <v>-2.6225860287689695E-3</v>
      </c>
      <c r="CL177" s="77">
        <f>CL176/CD176-1</f>
        <v>5.1239275500476689E-2</v>
      </c>
      <c r="CM177" s="77">
        <f>CM176/CE176-1</f>
        <v>-2.1812711545693864E-2</v>
      </c>
      <c r="CN177" s="77">
        <f>CN176/CF176-1</f>
        <v>-4.7423960273122234E-2</v>
      </c>
      <c r="CO177" s="487">
        <f>CO176/CG176-1</f>
        <v>-2.6225860287689695E-3</v>
      </c>
      <c r="CP177" s="77">
        <f t="shared" ref="CP177:CX177" si="796">CP176/CL176-1</f>
        <v>-9.9297211516662931E-2</v>
      </c>
      <c r="CQ177" s="77">
        <f t="shared" si="796"/>
        <v>-3.5883634499551675E-3</v>
      </c>
      <c r="CR177" s="77">
        <f t="shared" si="796"/>
        <v>1.8115469829271369E-2</v>
      </c>
      <c r="CS177" s="487">
        <f t="shared" si="796"/>
        <v>-2.0079681274900452E-2</v>
      </c>
      <c r="CT177" s="77">
        <f t="shared" si="796"/>
        <v>-2.0765164862824093E-2</v>
      </c>
      <c r="CU177" s="77">
        <f t="shared" si="796"/>
        <v>-2.4437299035369731E-2</v>
      </c>
      <c r="CV177" s="77">
        <f t="shared" si="796"/>
        <v>2.3041474654377891E-2</v>
      </c>
      <c r="CW177" s="487">
        <f t="shared" si="796"/>
        <v>3.2444299886160266E-2</v>
      </c>
      <c r="CX177" s="77">
        <f t="shared" si="796"/>
        <v>1.400848220023132E-2</v>
      </c>
      <c r="CY177" s="77">
        <f t="shared" ref="CY177:DE177" si="797">CY176/CU176-1</f>
        <v>3.8628872775214207E-2</v>
      </c>
      <c r="CZ177" s="77">
        <f t="shared" si="797"/>
        <v>1.2262262262262347E-2</v>
      </c>
      <c r="DA177" s="487">
        <f t="shared" si="797"/>
        <v>-1.4964164763329957E-2</v>
      </c>
      <c r="DB177" s="77">
        <f t="shared" si="797"/>
        <v>-7.7313054499366096E-3</v>
      </c>
      <c r="DC177" s="77">
        <f t="shared" si="797"/>
        <v>1.3962934755014089E-3</v>
      </c>
      <c r="DD177" s="70">
        <f t="shared" si="797"/>
        <v>1.2608158220024812E-2</v>
      </c>
      <c r="DE177" s="487">
        <f t="shared" si="797"/>
        <v>-1.351243303749905E-2</v>
      </c>
      <c r="DF177" s="70">
        <f t="shared" ref="DF177:DM177" si="798">DF176/DB176-1</f>
        <v>1.0601609400945122E-2</v>
      </c>
      <c r="DG177" s="70">
        <f t="shared" si="798"/>
        <v>4.8548611991380497E-2</v>
      </c>
      <c r="DH177" s="70">
        <f t="shared" si="798"/>
        <v>3.64990234375E-2</v>
      </c>
      <c r="DI177" s="487">
        <f t="shared" si="798"/>
        <v>0.1336521316258712</v>
      </c>
      <c r="DJ177" s="1673">
        <f t="shared" si="798"/>
        <v>2.174898265883618E-2</v>
      </c>
      <c r="DK177" s="70">
        <f t="shared" si="798"/>
        <v>5.7633880793726E-3</v>
      </c>
      <c r="DL177" s="70">
        <f t="shared" si="798"/>
        <v>8.2041994751991254E-3</v>
      </c>
      <c r="DM177" s="487">
        <f t="shared" si="798"/>
        <v>-1.290794793137906E-2</v>
      </c>
      <c r="DN177" s="580"/>
      <c r="DO177" s="487"/>
      <c r="EJ177" s="19"/>
      <c r="EK177" s="88"/>
      <c r="EL177" s="212" t="s">
        <v>483</v>
      </c>
      <c r="EM177" s="77">
        <f>EM176/EL176-1</f>
        <v>5.2268362938070023E-2</v>
      </c>
      <c r="EN177" s="77">
        <f>EN176/EM176-1</f>
        <v>6.3986313088109537E-2</v>
      </c>
      <c r="EO177" s="77">
        <f>EO176/EN176-1</f>
        <v>-3.4303478587125458E-3</v>
      </c>
      <c r="EP177" s="77">
        <f>EP176/EO176-1</f>
        <v>1.2612273436239496E-2</v>
      </c>
      <c r="EQ177" s="77">
        <f>EQ176/EN176-1</f>
        <v>-1.8491718925872647E-3</v>
      </c>
      <c r="ER177" s="77">
        <f>ER176/EQ176-1</f>
        <v>-6.3901194791247118E-3</v>
      </c>
      <c r="ES177" s="77">
        <f>ES176/ER176-1</f>
        <v>-4.2964844488880827E-3</v>
      </c>
      <c r="ET177" s="77">
        <f>ET176/ER176-1</f>
        <v>-4.2964844488880827E-3</v>
      </c>
      <c r="EU177" s="77">
        <f>EU176/ES176-1</f>
        <v>-2.7599869735128069E-2</v>
      </c>
      <c r="EV177" s="77">
        <f t="shared" ref="EV177:FH177" si="799">EV176/EU176-1</f>
        <v>6.2515698696659072E-3</v>
      </c>
      <c r="EW177" s="77">
        <f t="shared" si="799"/>
        <v>8.597975315490114E-3</v>
      </c>
      <c r="EX177" s="77">
        <f t="shared" si="799"/>
        <v>-3.217379348274485E-3</v>
      </c>
      <c r="EY177" s="77">
        <f t="shared" si="799"/>
        <v>6.6596777753255454E-2</v>
      </c>
      <c r="EZ177" s="1680">
        <f t="shared" si="799"/>
        <v>2.8159714194042618E-3</v>
      </c>
      <c r="FA177" s="15">
        <f t="shared" si="799"/>
        <v>1.0103988333805658E-2</v>
      </c>
      <c r="FB177" s="15">
        <f t="shared" si="799"/>
        <v>9.8553113854586982E-3</v>
      </c>
      <c r="FC177" s="15">
        <f t="shared" si="799"/>
        <v>9.3300481179754424E-3</v>
      </c>
      <c r="FD177" s="15">
        <f t="shared" si="799"/>
        <v>1.3669458867071604E-2</v>
      </c>
      <c r="FE177" s="15">
        <f t="shared" si="799"/>
        <v>1.4022872428917088E-2</v>
      </c>
      <c r="FF177" s="15">
        <f t="shared" si="799"/>
        <v>1.4385508835241589E-2</v>
      </c>
      <c r="FG177" s="15">
        <f t="shared" si="799"/>
        <v>1.4757332330006756E-2</v>
      </c>
      <c r="FH177" s="15">
        <f t="shared" si="799"/>
        <v>1.5138286257035283E-2</v>
      </c>
      <c r="FI177" s="580"/>
      <c r="FJ177"/>
      <c r="FK177"/>
      <c r="FL177"/>
      <c r="FM177"/>
      <c r="FN177"/>
      <c r="FO177"/>
      <c r="FP177" s="3"/>
      <c r="FS177" s="70"/>
      <c r="FT177" s="70"/>
      <c r="FU177"/>
      <c r="FV177"/>
      <c r="FW177" s="70"/>
      <c r="FX177" s="70"/>
      <c r="FY177" s="70"/>
      <c r="FZ177"/>
      <c r="GA177"/>
      <c r="GB177"/>
      <c r="GC177"/>
      <c r="GD177"/>
      <c r="GE177"/>
      <c r="GF177"/>
      <c r="GG177"/>
      <c r="GH177"/>
      <c r="GI177"/>
      <c r="GJ177"/>
      <c r="GK177"/>
      <c r="GL177"/>
      <c r="GM177"/>
      <c r="GN177"/>
      <c r="GO177"/>
      <c r="GP177"/>
      <c r="GQ177"/>
      <c r="GR177"/>
      <c r="GS177"/>
      <c r="GT177"/>
      <c r="GU177"/>
      <c r="GV177"/>
      <c r="GW177"/>
      <c r="GX177"/>
      <c r="GY177"/>
      <c r="GZ177"/>
      <c r="HA177"/>
      <c r="HB177"/>
      <c r="HC177"/>
      <c r="HD177"/>
      <c r="HE177"/>
      <c r="HF177"/>
      <c r="HG177"/>
      <c r="HH177"/>
      <c r="HI177"/>
      <c r="HJ177"/>
      <c r="HK177"/>
      <c r="HL177"/>
      <c r="HM177"/>
      <c r="HN177"/>
      <c r="HO177"/>
      <c r="HP177"/>
      <c r="HQ177"/>
      <c r="HR177"/>
      <c r="HS177"/>
      <c r="HT177"/>
      <c r="HU177"/>
      <c r="HV177"/>
      <c r="HW177"/>
      <c r="HX177"/>
      <c r="HY177"/>
      <c r="HZ177"/>
      <c r="IA177"/>
      <c r="IB177"/>
      <c r="IC177"/>
      <c r="ID177"/>
      <c r="IE177"/>
      <c r="IF177"/>
      <c r="IG177"/>
      <c r="IH177"/>
      <c r="II177"/>
      <c r="IJ177"/>
      <c r="IK177"/>
      <c r="IL177"/>
      <c r="IM177"/>
      <c r="IN177"/>
      <c r="IO177"/>
      <c r="IP177"/>
      <c r="IQ177"/>
      <c r="IR177"/>
      <c r="IS177"/>
      <c r="IT177"/>
      <c r="IU177"/>
      <c r="IV177"/>
      <c r="IW177"/>
      <c r="IX177"/>
      <c r="IY177"/>
      <c r="IZ177"/>
    </row>
    <row r="178" spans="1:260" s="4" customFormat="1" hidden="1" outlineLevel="1" x14ac:dyDescent="0.2">
      <c r="A178" s="4" t="s">
        <v>4</v>
      </c>
      <c r="E178" s="470"/>
      <c r="I178" s="470"/>
      <c r="M178" s="470"/>
      <c r="Q178" s="470"/>
      <c r="U178" s="470"/>
      <c r="Y178" s="470"/>
      <c r="AC178" s="470"/>
      <c r="AG178" s="470"/>
      <c r="AK178" s="470"/>
      <c r="AO178" s="470"/>
      <c r="AS178" s="470"/>
      <c r="AW178" s="470"/>
      <c r="BA178" s="470"/>
      <c r="BB178" s="6"/>
      <c r="BC178" s="6"/>
      <c r="BE178" s="484"/>
      <c r="BF178" s="6"/>
      <c r="BG178" s="6"/>
      <c r="BH178" s="6"/>
      <c r="BI178" s="484"/>
      <c r="BJ178" s="6"/>
      <c r="BK178" s="6"/>
      <c r="BL178" s="6"/>
      <c r="BM178" s="484"/>
      <c r="BN178" s="77"/>
      <c r="BO178" s="77"/>
      <c r="BP178" s="77"/>
      <c r="BQ178" s="487"/>
      <c r="BR178" s="77"/>
      <c r="BS178" s="77"/>
      <c r="BT178" s="77"/>
      <c r="BU178" s="487"/>
      <c r="BV178" s="77"/>
      <c r="BW178" s="77"/>
      <c r="BX178" s="77"/>
      <c r="BY178" s="487"/>
      <c r="BZ178" s="77"/>
      <c r="CA178" s="77"/>
      <c r="CB178" s="77"/>
      <c r="CC178" s="487"/>
      <c r="CD178" s="77">
        <f t="shared" ref="CD178:DB178" si="800">+CD177+BZ177</f>
        <v>0.11704799456322112</v>
      </c>
      <c r="CE178" s="77">
        <f t="shared" si="800"/>
        <v>-3.6168926544412172E-2</v>
      </c>
      <c r="CF178" s="77">
        <f t="shared" si="800"/>
        <v>-9.6446528449023794E-2</v>
      </c>
      <c r="CG178" s="487">
        <f t="shared" si="800"/>
        <v>-7.4702188116781976E-5</v>
      </c>
      <c r="CH178" s="77">
        <f t="shared" si="800"/>
        <v>3.7257369731471868E-2</v>
      </c>
      <c r="CI178" s="77">
        <f t="shared" si="800"/>
        <v>-4.7225051191387202E-2</v>
      </c>
      <c r="CJ178" s="77">
        <f t="shared" si="800"/>
        <v>-3.2684731248178944E-2</v>
      </c>
      <c r="CK178" s="487">
        <f t="shared" si="800"/>
        <v>-4.8428699079220427E-3</v>
      </c>
      <c r="CL178" s="77">
        <f t="shared" si="800"/>
        <v>0.10247855100095338</v>
      </c>
      <c r="CM178" s="77">
        <f t="shared" si="800"/>
        <v>-4.3625423091387727E-2</v>
      </c>
      <c r="CN178" s="77">
        <f t="shared" si="800"/>
        <v>-9.4847920546244469E-2</v>
      </c>
      <c r="CO178" s="487">
        <f t="shared" si="800"/>
        <v>-5.245172057537939E-3</v>
      </c>
      <c r="CP178" s="77">
        <f t="shared" si="800"/>
        <v>-4.8057936016186242E-2</v>
      </c>
      <c r="CQ178" s="77">
        <f t="shared" si="800"/>
        <v>-2.5401074995649031E-2</v>
      </c>
      <c r="CR178" s="77">
        <f t="shared" si="800"/>
        <v>-2.9308490443850865E-2</v>
      </c>
      <c r="CS178" s="487">
        <f t="shared" si="800"/>
        <v>-2.2702267303669421E-2</v>
      </c>
      <c r="CT178" s="77">
        <f t="shared" si="800"/>
        <v>-0.12006237637948702</v>
      </c>
      <c r="CU178" s="77">
        <f t="shared" si="800"/>
        <v>-2.8025662485324898E-2</v>
      </c>
      <c r="CV178" s="77">
        <f t="shared" si="800"/>
        <v>4.115694448364926E-2</v>
      </c>
      <c r="CW178" s="487">
        <f t="shared" si="800"/>
        <v>1.2364618611259814E-2</v>
      </c>
      <c r="CX178" s="77">
        <f t="shared" si="800"/>
        <v>-6.7566826625927723E-3</v>
      </c>
      <c r="CY178" s="77">
        <f t="shared" si="800"/>
        <v>1.4191573739844476E-2</v>
      </c>
      <c r="CZ178" s="77">
        <f t="shared" si="800"/>
        <v>3.5303736916640238E-2</v>
      </c>
      <c r="DA178" s="487">
        <f t="shared" si="800"/>
        <v>1.7480135122830309E-2</v>
      </c>
      <c r="DB178" s="77">
        <f t="shared" si="800"/>
        <v>6.2771767502947107E-3</v>
      </c>
      <c r="DC178" s="77">
        <f t="shared" ref="DC178:DM178" si="801">+DC177+CY177</f>
        <v>4.0025166250715616E-2</v>
      </c>
      <c r="DD178" s="70">
        <f t="shared" si="801"/>
        <v>2.4870420482287159E-2</v>
      </c>
      <c r="DE178" s="487">
        <f t="shared" si="801"/>
        <v>-2.8476597800829007E-2</v>
      </c>
      <c r="DF178" s="70">
        <f t="shared" si="801"/>
        <v>2.8703039510085127E-3</v>
      </c>
      <c r="DG178" s="70">
        <f t="shared" si="801"/>
        <v>4.9944905466881906E-2</v>
      </c>
      <c r="DH178" s="70">
        <f t="shared" si="801"/>
        <v>4.9107181657524812E-2</v>
      </c>
      <c r="DI178" s="487">
        <f t="shared" si="801"/>
        <v>0.12013969858837215</v>
      </c>
      <c r="DJ178" s="1673">
        <f t="shared" si="801"/>
        <v>3.2350592059781302E-2</v>
      </c>
      <c r="DK178" s="70">
        <f t="shared" si="801"/>
        <v>5.4312000070753097E-2</v>
      </c>
      <c r="DL178" s="70">
        <f t="shared" si="801"/>
        <v>4.4703222912699125E-2</v>
      </c>
      <c r="DM178" s="487">
        <f t="shared" si="801"/>
        <v>0.12074418369449214</v>
      </c>
      <c r="DN178" s="580"/>
      <c r="DO178" s="487"/>
      <c r="EJ178" s="19"/>
      <c r="EK178" s="88"/>
      <c r="EL178" s="88"/>
      <c r="EM178" s="88"/>
      <c r="EN178" s="77"/>
      <c r="EO178" s="77"/>
      <c r="EP178" s="77"/>
      <c r="EQ178" s="77"/>
      <c r="ER178" s="77">
        <f>AVERAGE(ER177,EQ177)</f>
        <v>-4.1196456858559882E-3</v>
      </c>
      <c r="ES178" s="77">
        <f>AVERAGE(ES177,ER177)</f>
        <v>-5.3433019640063972E-3</v>
      </c>
      <c r="ET178" s="77">
        <f>AVERAGE(ET177,ER177)</f>
        <v>-5.3433019640063972E-3</v>
      </c>
      <c r="EU178" s="77">
        <f>AVERAGE(EU177,ES177)</f>
        <v>-1.5948177092008076E-2</v>
      </c>
      <c r="EV178" s="77">
        <f>AVERAGE(EV177,EU177)</f>
        <v>-1.0674149932731081E-2</v>
      </c>
      <c r="EW178" s="77">
        <f>AVERAGE(EW177,EV177)</f>
        <v>7.4247725925780106E-3</v>
      </c>
      <c r="EX178" s="77">
        <f>AVERAGE(EX177,EW177)</f>
        <v>2.6902979836078145E-3</v>
      </c>
      <c r="EY178" s="77">
        <f>AVERAGE(EY177,EX177)</f>
        <v>3.1689699202490484E-2</v>
      </c>
      <c r="EZ178" s="1680">
        <f>AVERAGE(EZ177,EY177)</f>
        <v>3.4706374586329858E-2</v>
      </c>
      <c r="FA178" s="77">
        <f t="shared" ref="FA178:FH178" si="802">FA177+EZ177</f>
        <v>1.291995975320992E-2</v>
      </c>
      <c r="FB178" s="77">
        <f t="shared" si="802"/>
        <v>1.9959299719264356E-2</v>
      </c>
      <c r="FC178" s="77">
        <f t="shared" si="802"/>
        <v>1.9185359503434141E-2</v>
      </c>
      <c r="FD178" s="77">
        <f t="shared" si="802"/>
        <v>2.2999506985047047E-2</v>
      </c>
      <c r="FE178" s="77">
        <f t="shared" si="802"/>
        <v>2.7692331295988692E-2</v>
      </c>
      <c r="FF178" s="77">
        <f t="shared" si="802"/>
        <v>2.8408381264158677E-2</v>
      </c>
      <c r="FG178" s="77">
        <f t="shared" si="802"/>
        <v>2.9142841165248345E-2</v>
      </c>
      <c r="FH178" s="77">
        <f t="shared" si="802"/>
        <v>2.9895618587042039E-2</v>
      </c>
      <c r="FI178" s="580"/>
      <c r="FJ178"/>
      <c r="FK178"/>
      <c r="FL178"/>
      <c r="FM178"/>
      <c r="FN178"/>
      <c r="FO178"/>
      <c r="FP178" s="3"/>
      <c r="FS178" s="70"/>
      <c r="FT178" s="70"/>
      <c r="FU178"/>
      <c r="FV178"/>
      <c r="FW178" s="70"/>
      <c r="FX178" s="70"/>
      <c r="FY178" s="70"/>
      <c r="FZ178"/>
      <c r="GA178"/>
      <c r="GB178"/>
      <c r="GC178"/>
      <c r="GD178"/>
      <c r="GE178"/>
      <c r="GF178"/>
      <c r="GG178"/>
      <c r="GH178"/>
      <c r="GI178"/>
      <c r="GJ178"/>
      <c r="GK178"/>
      <c r="GL178"/>
      <c r="GM178"/>
      <c r="GN178"/>
      <c r="GO178"/>
      <c r="GP178"/>
      <c r="GQ178"/>
      <c r="GR178"/>
      <c r="GS178"/>
      <c r="GT178"/>
      <c r="GU178"/>
      <c r="GV178"/>
      <c r="GW178"/>
      <c r="GX178"/>
      <c r="GY178"/>
      <c r="GZ178"/>
      <c r="HA178"/>
      <c r="HB178"/>
      <c r="HC178"/>
      <c r="HD178"/>
      <c r="HE178"/>
      <c r="HF178"/>
      <c r="HG178"/>
      <c r="HH178"/>
      <c r="HI178"/>
      <c r="HJ178"/>
      <c r="HK178"/>
      <c r="HL178"/>
      <c r="HM178"/>
      <c r="HN178"/>
      <c r="HO178"/>
      <c r="HP178"/>
      <c r="HQ178"/>
      <c r="HR178"/>
      <c r="HS178"/>
      <c r="HT178"/>
      <c r="HU178"/>
      <c r="HV178"/>
      <c r="HW178"/>
      <c r="HX178"/>
      <c r="HY178"/>
      <c r="HZ178"/>
      <c r="IA178"/>
      <c r="IB178"/>
      <c r="IC178"/>
      <c r="ID178"/>
      <c r="IE178"/>
      <c r="IF178"/>
      <c r="IG178"/>
      <c r="IH178"/>
      <c r="II178"/>
      <c r="IJ178"/>
      <c r="IK178"/>
      <c r="IL178"/>
      <c r="IM178"/>
      <c r="IN178"/>
      <c r="IO178"/>
      <c r="IP178"/>
      <c r="IQ178"/>
      <c r="IR178"/>
      <c r="IS178"/>
      <c r="IT178"/>
      <c r="IU178"/>
      <c r="IV178"/>
      <c r="IW178"/>
      <c r="IX178"/>
      <c r="IY178"/>
      <c r="IZ178"/>
    </row>
    <row r="179" spans="1:260" s="4" customFormat="1" hidden="1" outlineLevel="1" x14ac:dyDescent="0.2">
      <c r="E179" s="470"/>
      <c r="I179" s="470"/>
      <c r="M179" s="470"/>
      <c r="Q179" s="470"/>
      <c r="U179" s="470"/>
      <c r="Y179" s="470"/>
      <c r="AC179" s="470"/>
      <c r="AG179" s="470"/>
      <c r="AK179" s="470"/>
      <c r="AO179" s="470"/>
      <c r="AS179" s="470"/>
      <c r="AW179" s="470"/>
      <c r="BA179" s="470"/>
      <c r="BB179" s="6"/>
      <c r="BC179" s="6"/>
      <c r="BE179" s="484"/>
      <c r="BF179" s="6"/>
      <c r="BG179" s="6"/>
      <c r="BH179" s="6"/>
      <c r="BI179" s="484"/>
      <c r="BJ179" s="6"/>
      <c r="BK179" s="6"/>
      <c r="BL179" s="6"/>
      <c r="BM179" s="484"/>
      <c r="BN179" s="6"/>
      <c r="BO179" s="6"/>
      <c r="BP179" s="6"/>
      <c r="BQ179" s="484"/>
      <c r="BR179" s="6"/>
      <c r="BS179" s="6"/>
      <c r="BT179" s="6"/>
      <c r="BU179" s="499"/>
      <c r="BV179" s="6"/>
      <c r="BW179" s="6"/>
      <c r="BX179" s="6"/>
      <c r="BY179" s="499"/>
      <c r="BZ179" s="6"/>
      <c r="CA179" s="6"/>
      <c r="CB179" s="6"/>
      <c r="CC179" s="499"/>
      <c r="CD179" s="6"/>
      <c r="CE179" s="6"/>
      <c r="CF179" s="6"/>
      <c r="CG179" s="499"/>
      <c r="CH179" s="88"/>
      <c r="CI179" s="6"/>
      <c r="CJ179" s="6"/>
      <c r="CK179" s="499"/>
      <c r="CL179" s="88"/>
      <c r="CM179" s="6"/>
      <c r="CN179" s="6"/>
      <c r="CO179" s="499"/>
      <c r="CP179" s="88"/>
      <c r="CQ179" s="6"/>
      <c r="CR179" s="88"/>
      <c r="CS179" s="499"/>
      <c r="CT179" s="88"/>
      <c r="CU179" s="6"/>
      <c r="CV179" s="88"/>
      <c r="CW179" s="499"/>
      <c r="CX179" s="6"/>
      <c r="CY179" s="88"/>
      <c r="CZ179" s="88"/>
      <c r="DA179" s="499"/>
      <c r="DB179" s="88"/>
      <c r="DC179" s="88"/>
      <c r="DD179" s="53"/>
      <c r="DE179" s="499"/>
      <c r="DF179" s="53"/>
      <c r="DG179" s="53"/>
      <c r="DH179" s="53"/>
      <c r="DI179" s="499"/>
      <c r="DJ179" s="2740"/>
      <c r="DK179" s="53"/>
      <c r="DL179" s="53"/>
      <c r="DM179" s="499"/>
      <c r="DN179" s="590"/>
      <c r="DO179" s="484"/>
      <c r="EJ179" s="19"/>
      <c r="EK179" s="88"/>
      <c r="EL179" s="88"/>
      <c r="EM179" s="88"/>
      <c r="EN179" s="88"/>
      <c r="EO179" s="6"/>
      <c r="EP179" s="6"/>
      <c r="EQ179" s="6"/>
      <c r="ER179" s="6"/>
      <c r="ES179" s="6"/>
      <c r="ET179" s="6"/>
      <c r="EU179" s="6"/>
      <c r="EV179" s="6"/>
      <c r="EW179" s="6"/>
      <c r="EX179" s="6"/>
      <c r="EY179" s="6"/>
      <c r="EZ179" s="1734"/>
      <c r="FI179" s="671"/>
      <c r="FJ179"/>
      <c r="FK179"/>
      <c r="FL179"/>
      <c r="FM179"/>
      <c r="FN179"/>
      <c r="FO179"/>
      <c r="FP179" s="3"/>
      <c r="FS179" s="7"/>
      <c r="FT179" s="7"/>
      <c r="FU179"/>
      <c r="FV179"/>
      <c r="FW179" s="7"/>
      <c r="FX179" s="7"/>
      <c r="FY179" s="7"/>
      <c r="FZ179"/>
      <c r="GA179"/>
      <c r="GB179"/>
      <c r="GC179"/>
      <c r="GD179"/>
      <c r="GE179"/>
      <c r="GF179"/>
      <c r="GG179"/>
      <c r="GH179"/>
      <c r="GI179"/>
      <c r="GJ179"/>
      <c r="GK179"/>
      <c r="GL179"/>
      <c r="GM179"/>
      <c r="GN179"/>
      <c r="GO179"/>
      <c r="GP179"/>
      <c r="GQ179"/>
      <c r="GR179"/>
      <c r="GS179"/>
      <c r="GT179"/>
      <c r="GU179"/>
      <c r="GV179"/>
      <c r="GW179"/>
      <c r="GX179"/>
      <c r="GY179"/>
      <c r="GZ179"/>
      <c r="HA179"/>
      <c r="HB179"/>
      <c r="HC179"/>
      <c r="HD179"/>
      <c r="HE179"/>
      <c r="HF179"/>
      <c r="HG179"/>
      <c r="HH179"/>
      <c r="HI179"/>
      <c r="HJ179"/>
      <c r="HK179"/>
      <c r="HL179"/>
      <c r="HM179"/>
      <c r="HN179"/>
      <c r="HO179"/>
      <c r="HP179"/>
      <c r="HQ179"/>
      <c r="HR179"/>
      <c r="HS179"/>
      <c r="HT179"/>
      <c r="HU179"/>
      <c r="HV179"/>
      <c r="HW179"/>
      <c r="HX179"/>
      <c r="HY179"/>
      <c r="HZ179"/>
      <c r="IA179"/>
      <c r="IB179"/>
      <c r="IC179"/>
      <c r="ID179"/>
      <c r="IE179"/>
      <c r="IF179"/>
      <c r="IG179"/>
      <c r="IH179"/>
      <c r="II179"/>
      <c r="IJ179"/>
      <c r="IK179"/>
      <c r="IL179"/>
      <c r="IM179"/>
      <c r="IN179"/>
      <c r="IO179"/>
      <c r="IP179"/>
      <c r="IQ179"/>
      <c r="IR179"/>
      <c r="IS179"/>
      <c r="IT179"/>
      <c r="IU179"/>
      <c r="IV179"/>
      <c r="IW179"/>
      <c r="IX179"/>
      <c r="IY179"/>
      <c r="IZ179"/>
    </row>
    <row r="180" spans="1:260" s="4" customFormat="1" hidden="1" outlineLevel="1" x14ac:dyDescent="0.2">
      <c r="A180" s="79" t="s">
        <v>75</v>
      </c>
      <c r="E180" s="470"/>
      <c r="I180" s="470"/>
      <c r="M180" s="470"/>
      <c r="Q180" s="470"/>
      <c r="U180" s="470"/>
      <c r="Y180" s="470"/>
      <c r="AC180" s="470"/>
      <c r="AG180" s="470"/>
      <c r="AK180" s="470"/>
      <c r="AO180" s="470"/>
      <c r="AS180" s="470"/>
      <c r="AW180" s="470"/>
      <c r="BA180" s="470"/>
      <c r="BB180" s="6"/>
      <c r="BC180" s="6"/>
      <c r="BE180" s="484"/>
      <c r="BF180" s="6"/>
      <c r="BG180" s="6"/>
      <c r="BH180" s="6"/>
      <c r="BI180" s="484"/>
      <c r="BJ180" s="6"/>
      <c r="BK180" s="6"/>
      <c r="BL180" s="6"/>
      <c r="BM180" s="484"/>
      <c r="BN180" s="6"/>
      <c r="BO180" s="6"/>
      <c r="BP180" s="6"/>
      <c r="BQ180" s="484"/>
      <c r="BR180" s="6"/>
      <c r="BS180" s="6"/>
      <c r="BT180" s="6"/>
      <c r="BU180" s="499"/>
      <c r="BV180" s="281"/>
      <c r="BW180" s="6"/>
      <c r="BX180" s="6"/>
      <c r="BY180" s="499"/>
      <c r="BZ180" s="6"/>
      <c r="CA180" s="6"/>
      <c r="CB180" s="6"/>
      <c r="CC180" s="499"/>
      <c r="CD180" s="281"/>
      <c r="CE180" s="6"/>
      <c r="CF180" s="6"/>
      <c r="CG180" s="499"/>
      <c r="CH180" s="88"/>
      <c r="CI180" s="6"/>
      <c r="CJ180" s="6"/>
      <c r="CK180" s="499"/>
      <c r="CL180" s="88"/>
      <c r="CM180" s="6"/>
      <c r="CN180" s="6"/>
      <c r="CO180" s="499"/>
      <c r="CP180" s="88"/>
      <c r="CQ180" s="6"/>
      <c r="CR180" s="88"/>
      <c r="CS180" s="499"/>
      <c r="CT180" s="88"/>
      <c r="CU180" s="6"/>
      <c r="CV180" s="88"/>
      <c r="CW180" s="499"/>
      <c r="CX180" s="6"/>
      <c r="CY180" s="88"/>
      <c r="CZ180" s="88"/>
      <c r="DA180" s="499"/>
      <c r="DB180" s="88"/>
      <c r="DC180" s="88"/>
      <c r="DD180" s="88"/>
      <c r="DE180" s="499"/>
      <c r="DF180" s="53"/>
      <c r="DG180" s="53"/>
      <c r="DH180" s="53"/>
      <c r="DI180" s="499"/>
      <c r="DJ180" s="2740"/>
      <c r="DK180" s="53"/>
      <c r="DL180" s="53"/>
      <c r="DM180" s="499"/>
      <c r="DN180" s="590"/>
      <c r="DO180" s="484"/>
      <c r="EJ180" s="19"/>
      <c r="EK180" s="88"/>
      <c r="EL180" s="88"/>
      <c r="EM180" s="88"/>
      <c r="EN180" s="88"/>
      <c r="EO180" s="6"/>
      <c r="EP180" s="6"/>
      <c r="EQ180" s="6"/>
      <c r="ER180" s="6"/>
      <c r="ES180" s="6"/>
      <c r="ET180" s="6"/>
      <c r="EU180" s="6"/>
      <c r="EV180" s="6"/>
      <c r="EW180" s="6"/>
      <c r="EX180" s="6"/>
      <c r="EY180" s="6"/>
      <c r="EZ180" s="1734"/>
      <c r="FI180" s="671"/>
      <c r="FJ180"/>
      <c r="FK180"/>
      <c r="FL180"/>
      <c r="FM180"/>
      <c r="FN180"/>
      <c r="FO180"/>
      <c r="FP180" s="3"/>
      <c r="FS180" s="7"/>
      <c r="FT180" s="7"/>
      <c r="FU180"/>
      <c r="FV180"/>
      <c r="FW180" s="7"/>
      <c r="FX180" s="7"/>
      <c r="FY180" s="7"/>
      <c r="FZ180"/>
      <c r="GA180"/>
      <c r="GB180"/>
      <c r="GC180"/>
      <c r="GD180"/>
      <c r="GE180"/>
      <c r="GF180"/>
      <c r="GG180"/>
      <c r="GH180"/>
      <c r="GI180"/>
      <c r="GJ180"/>
      <c r="GK180"/>
      <c r="GL180"/>
      <c r="GM180"/>
      <c r="GN180"/>
      <c r="GO180"/>
      <c r="GP180"/>
      <c r="GQ180"/>
      <c r="GR180"/>
      <c r="GS180"/>
      <c r="GT180"/>
      <c r="GU180"/>
      <c r="GV180"/>
      <c r="GW180"/>
      <c r="GX180"/>
      <c r="GY180"/>
      <c r="GZ180"/>
      <c r="HA180"/>
      <c r="HB180"/>
      <c r="HC180"/>
      <c r="HD180"/>
      <c r="HE180"/>
      <c r="HF180"/>
      <c r="HG180"/>
      <c r="HH180"/>
      <c r="HI180"/>
      <c r="HJ180"/>
      <c r="HK180"/>
      <c r="HL180"/>
      <c r="HM180"/>
      <c r="HN180"/>
      <c r="HO180"/>
      <c r="HP180"/>
      <c r="HQ180"/>
      <c r="HR180"/>
      <c r="HS180"/>
      <c r="HT180"/>
      <c r="HU180"/>
      <c r="HV180"/>
      <c r="HW180"/>
      <c r="HX180"/>
      <c r="HY180"/>
      <c r="HZ180"/>
      <c r="IA180"/>
      <c r="IB180"/>
      <c r="IC180"/>
      <c r="ID180"/>
      <c r="IE180"/>
      <c r="IF180"/>
      <c r="IG180"/>
      <c r="IH180"/>
      <c r="II180"/>
      <c r="IJ180"/>
      <c r="IK180"/>
      <c r="IL180"/>
      <c r="IM180"/>
      <c r="IN180"/>
      <c r="IO180"/>
      <c r="IP180"/>
      <c r="IQ180"/>
      <c r="IR180"/>
      <c r="IS180"/>
      <c r="IT180"/>
      <c r="IU180"/>
      <c r="IV180"/>
      <c r="IW180"/>
      <c r="IX180"/>
      <c r="IY180"/>
      <c r="IZ180"/>
    </row>
    <row r="181" spans="1:260" s="15" customFormat="1" hidden="1" outlineLevel="1" x14ac:dyDescent="0.2">
      <c r="A181" s="15" t="s">
        <v>86</v>
      </c>
      <c r="E181" s="518"/>
      <c r="I181" s="518"/>
      <c r="M181" s="518"/>
      <c r="Q181" s="518"/>
      <c r="U181" s="518"/>
      <c r="Y181" s="518"/>
      <c r="AC181" s="518"/>
      <c r="AG181" s="518"/>
      <c r="AK181" s="518"/>
      <c r="AO181" s="518"/>
      <c r="AS181" s="518"/>
      <c r="AW181" s="518"/>
      <c r="BA181" s="518"/>
      <c r="BB181" s="4"/>
      <c r="BC181" s="77">
        <v>0.41</v>
      </c>
      <c r="BD181" s="77"/>
      <c r="BE181" s="487"/>
      <c r="BF181" s="77">
        <v>0.4</v>
      </c>
      <c r="BG181" s="77">
        <v>0.39</v>
      </c>
      <c r="BH181" s="77">
        <v>0.42</v>
      </c>
      <c r="BI181" s="487">
        <v>0.42</v>
      </c>
      <c r="BJ181" s="77">
        <v>0.39</v>
      </c>
      <c r="BK181" s="77">
        <v>0.38</v>
      </c>
      <c r="BL181" s="77">
        <v>0.39</v>
      </c>
      <c r="BM181" s="487">
        <v>0.4</v>
      </c>
      <c r="BN181" s="77">
        <v>0.37</v>
      </c>
      <c r="BO181" s="77">
        <v>0.38</v>
      </c>
      <c r="BP181" s="77">
        <v>0.39</v>
      </c>
      <c r="BQ181" s="487">
        <v>0.39</v>
      </c>
      <c r="BR181" s="77">
        <v>0.37</v>
      </c>
      <c r="BS181" s="77">
        <v>0.36</v>
      </c>
      <c r="BT181" s="77">
        <v>0.36</v>
      </c>
      <c r="BU181" s="487">
        <v>0.39</v>
      </c>
      <c r="BV181" s="77">
        <v>0.35</v>
      </c>
      <c r="BW181" s="77">
        <v>0.35</v>
      </c>
      <c r="BX181" s="77">
        <v>0.35</v>
      </c>
      <c r="BY181" s="487">
        <v>0.38</v>
      </c>
      <c r="BZ181" s="77">
        <v>0.35</v>
      </c>
      <c r="CA181" s="77">
        <v>0.38</v>
      </c>
      <c r="CB181" s="77">
        <v>0.35</v>
      </c>
      <c r="CC181" s="487">
        <v>0.39</v>
      </c>
      <c r="CD181" s="77">
        <v>0.35</v>
      </c>
      <c r="CE181" s="77">
        <v>0.36</v>
      </c>
      <c r="CF181" s="77">
        <v>0.33</v>
      </c>
      <c r="CG181" s="487">
        <v>0.38</v>
      </c>
      <c r="CH181" s="77">
        <v>0.36</v>
      </c>
      <c r="CI181" s="77">
        <v>0.33</v>
      </c>
      <c r="CJ181" s="77">
        <v>0.31</v>
      </c>
      <c r="CK181" s="487">
        <v>0.35</v>
      </c>
      <c r="CL181" s="77">
        <v>0.34</v>
      </c>
      <c r="CM181" s="77">
        <v>0.33</v>
      </c>
      <c r="CN181" s="77">
        <v>0.31</v>
      </c>
      <c r="CO181" s="487">
        <v>0.35</v>
      </c>
      <c r="CP181" s="77">
        <v>0.3</v>
      </c>
      <c r="CQ181" s="77">
        <v>0.3</v>
      </c>
      <c r="CR181" s="77">
        <v>0.28999999999999998</v>
      </c>
      <c r="CS181" s="487">
        <v>0.32</v>
      </c>
      <c r="CT181" s="77">
        <v>0.28999999999999998</v>
      </c>
      <c r="CU181" s="77">
        <v>0.31</v>
      </c>
      <c r="CV181" s="77">
        <v>0.28999999999999998</v>
      </c>
      <c r="CW181" s="487">
        <v>0.33</v>
      </c>
      <c r="CX181" s="77">
        <v>0.31</v>
      </c>
      <c r="CY181" s="77">
        <v>0.32</v>
      </c>
      <c r="CZ181" s="77">
        <v>0.3</v>
      </c>
      <c r="DA181" s="487">
        <v>0.35</v>
      </c>
      <c r="DB181" s="77">
        <v>0.33</v>
      </c>
      <c r="DC181" s="77">
        <v>0.33</v>
      </c>
      <c r="DD181" s="1506">
        <v>0.31</v>
      </c>
      <c r="DE181" s="1569">
        <v>0.37</v>
      </c>
      <c r="DF181" s="52">
        <v>0.33</v>
      </c>
      <c r="DG181" s="52">
        <v>0.32</v>
      </c>
      <c r="DH181" s="52">
        <v>0.31</v>
      </c>
      <c r="DI181" s="1569">
        <v>0.36</v>
      </c>
      <c r="DJ181" s="2383">
        <v>0.38</v>
      </c>
      <c r="DK181" s="1554">
        <v>0.38</v>
      </c>
      <c r="DL181" s="1554">
        <v>0.38</v>
      </c>
      <c r="DM181" s="1553">
        <v>0.38</v>
      </c>
      <c r="DN181" s="580"/>
      <c r="DO181" s="487"/>
      <c r="EJ181" s="77">
        <v>0.41</v>
      </c>
      <c r="EK181" s="77">
        <v>0.42</v>
      </c>
      <c r="EL181" s="77">
        <v>0.41</v>
      </c>
      <c r="EM181" s="77">
        <v>0.39</v>
      </c>
      <c r="EN181" s="77">
        <f t="shared" ref="EN181:EU181" si="803">EN152/EN$176</f>
        <v>0.38374926301120221</v>
      </c>
      <c r="EO181" s="77">
        <f t="shared" si="803"/>
        <v>0.37190609369117411</v>
      </c>
      <c r="EP181" s="77">
        <f t="shared" si="803"/>
        <v>0.36003850750232375</v>
      </c>
      <c r="EQ181" s="77">
        <f t="shared" si="803"/>
        <v>0.37013666263928041</v>
      </c>
      <c r="ER181" s="77">
        <f t="shared" si="803"/>
        <v>0.35800281027913639</v>
      </c>
      <c r="ES181" s="77">
        <f t="shared" si="803"/>
        <v>0.33982957012592274</v>
      </c>
      <c r="ET181" s="77">
        <f t="shared" si="803"/>
        <v>0.33504125054277029</v>
      </c>
      <c r="EU181" s="77">
        <f t="shared" si="803"/>
        <v>0.30468421199519968</v>
      </c>
      <c r="EV181" s="77">
        <f t="shared" ref="EV181:FF181" si="804">EV152/EV$176</f>
        <v>0.30829371793093885</v>
      </c>
      <c r="EW181" s="77">
        <f t="shared" si="804"/>
        <v>0.32369888629176408</v>
      </c>
      <c r="EX181" s="77">
        <f t="shared" si="804"/>
        <v>0.33909512248951668</v>
      </c>
      <c r="EY181" s="77">
        <f>EY152/EY$176</f>
        <v>0.33432129739796179</v>
      </c>
      <c r="EZ181" s="1680">
        <f>EZ152/EZ$176</f>
        <v>0.37999999999999995</v>
      </c>
      <c r="FA181" s="77">
        <f t="shared" si="804"/>
        <v>0.42880348467665186</v>
      </c>
      <c r="FB181" s="77">
        <f t="shared" si="804"/>
        <v>0.42037254747660485</v>
      </c>
      <c r="FC181" s="77">
        <f t="shared" si="804"/>
        <v>0.41648670646479119</v>
      </c>
      <c r="FD181" s="77">
        <f t="shared" si="804"/>
        <v>0.41087033137042311</v>
      </c>
      <c r="FE181" s="77">
        <f t="shared" si="804"/>
        <v>0.40518842576622954</v>
      </c>
      <c r="FF181" s="77">
        <f t="shared" si="804"/>
        <v>0.39944224580996157</v>
      </c>
      <c r="FG181" s="77">
        <f>FG152/FG$176</f>
        <v>0.39363326884546218</v>
      </c>
      <c r="FH181" s="77">
        <f>FH152/FH$176</f>
        <v>0.38776319854593033</v>
      </c>
      <c r="FI181" s="580"/>
      <c r="FJ181"/>
      <c r="FK181"/>
      <c r="FL181"/>
      <c r="FM181"/>
      <c r="FN181"/>
      <c r="FO181"/>
      <c r="FP181" s="161"/>
      <c r="FS181" s="70"/>
      <c r="FT181" s="70"/>
      <c r="FU181"/>
      <c r="FV181"/>
      <c r="FW181" s="70"/>
      <c r="FX181" s="70"/>
      <c r="FY181" s="70"/>
      <c r="FZ181"/>
      <c r="GA181"/>
      <c r="GB181"/>
      <c r="GC181"/>
      <c r="GD181"/>
      <c r="GE181"/>
      <c r="GF181"/>
      <c r="GG181"/>
      <c r="GH181"/>
      <c r="GI181"/>
      <c r="GJ181"/>
      <c r="GK181"/>
      <c r="GL181"/>
      <c r="GM181"/>
      <c r="GN181"/>
      <c r="GO181"/>
      <c r="GP181"/>
      <c r="GQ181"/>
      <c r="GR181"/>
      <c r="GS181"/>
      <c r="GT181"/>
      <c r="GU181"/>
      <c r="GV181"/>
      <c r="GW181"/>
      <c r="GX181"/>
      <c r="GY181"/>
      <c r="GZ181"/>
      <c r="HA181"/>
      <c r="HB181"/>
      <c r="HC181"/>
      <c r="HD181"/>
      <c r="HE181"/>
      <c r="HF181"/>
      <c r="HG181"/>
      <c r="HH181"/>
      <c r="HI181"/>
      <c r="HJ181"/>
      <c r="HK181"/>
      <c r="HL181"/>
      <c r="HM181"/>
      <c r="HN181"/>
      <c r="HO181"/>
      <c r="HP181"/>
      <c r="HQ181"/>
      <c r="HR181"/>
      <c r="HS181"/>
      <c r="HT181"/>
      <c r="HU181"/>
      <c r="HV181"/>
      <c r="HW181"/>
      <c r="HX181"/>
      <c r="HY181"/>
      <c r="HZ181"/>
      <c r="IA181"/>
      <c r="IB181"/>
      <c r="IC181"/>
      <c r="ID181"/>
      <c r="IE181"/>
      <c r="IF181"/>
      <c r="IG181"/>
      <c r="IH181"/>
      <c r="II181"/>
      <c r="IJ181"/>
      <c r="IK181"/>
      <c r="IL181"/>
      <c r="IM181"/>
      <c r="IN181"/>
      <c r="IO181"/>
      <c r="IP181"/>
      <c r="IQ181"/>
      <c r="IR181"/>
      <c r="IS181"/>
      <c r="IT181"/>
      <c r="IU181"/>
      <c r="IV181"/>
      <c r="IW181"/>
      <c r="IX181"/>
      <c r="IY181"/>
      <c r="IZ181"/>
    </row>
    <row r="182" spans="1:260" s="15" customFormat="1" hidden="1" outlineLevel="1" x14ac:dyDescent="0.2">
      <c r="A182" s="15" t="s">
        <v>305</v>
      </c>
      <c r="E182" s="518"/>
      <c r="I182" s="518"/>
      <c r="M182" s="518"/>
      <c r="Q182" s="518"/>
      <c r="U182" s="518"/>
      <c r="Y182" s="518"/>
      <c r="AC182" s="518"/>
      <c r="AG182" s="518"/>
      <c r="AK182" s="518"/>
      <c r="AO182" s="518"/>
      <c r="AS182" s="518"/>
      <c r="AW182" s="518"/>
      <c r="BA182" s="518"/>
      <c r="BB182" s="4"/>
      <c r="BC182" s="77">
        <v>0.28999999999999998</v>
      </c>
      <c r="BD182" s="77"/>
      <c r="BE182" s="487"/>
      <c r="BF182" s="77">
        <v>0.28999999999999998</v>
      </c>
      <c r="BG182" s="77">
        <v>0.31</v>
      </c>
      <c r="BH182" s="77">
        <v>0.27</v>
      </c>
      <c r="BI182" s="487">
        <v>0.26</v>
      </c>
      <c r="BJ182" s="77">
        <v>0.31</v>
      </c>
      <c r="BK182" s="77">
        <v>0.34</v>
      </c>
      <c r="BL182" s="77">
        <v>0.32</v>
      </c>
      <c r="BM182" s="487">
        <v>0.3</v>
      </c>
      <c r="BN182" s="77">
        <v>0.35</v>
      </c>
      <c r="BO182" s="77">
        <v>0.37</v>
      </c>
      <c r="BP182" s="77">
        <v>0.33</v>
      </c>
      <c r="BQ182" s="487">
        <v>0.33</v>
      </c>
      <c r="BR182" s="77">
        <v>0.37</v>
      </c>
      <c r="BS182" s="77">
        <v>0.39</v>
      </c>
      <c r="BT182" s="77">
        <v>0.37</v>
      </c>
      <c r="BU182" s="487">
        <v>0.34</v>
      </c>
      <c r="BV182" s="77">
        <v>0.4</v>
      </c>
      <c r="BW182" s="77">
        <v>0.42</v>
      </c>
      <c r="BX182" s="77">
        <v>0.4</v>
      </c>
      <c r="BY182" s="487">
        <v>0.38</v>
      </c>
      <c r="BZ182" s="77">
        <v>0.39</v>
      </c>
      <c r="CA182" s="77">
        <v>0.37</v>
      </c>
      <c r="CB182" s="77">
        <v>0.41</v>
      </c>
      <c r="CC182" s="487">
        <v>0.33</v>
      </c>
      <c r="CD182" s="77">
        <v>0.4</v>
      </c>
      <c r="CE182" s="77">
        <v>0.4</v>
      </c>
      <c r="CF182" s="77">
        <v>0.43</v>
      </c>
      <c r="CG182" s="487">
        <v>0.37</v>
      </c>
      <c r="CH182" s="77">
        <v>0.46</v>
      </c>
      <c r="CI182" s="77">
        <v>0.44</v>
      </c>
      <c r="CJ182" s="77">
        <v>0.45</v>
      </c>
      <c r="CK182" s="487">
        <v>0.42</v>
      </c>
      <c r="CL182" s="77">
        <v>0.43</v>
      </c>
      <c r="CM182" s="77">
        <v>0.44</v>
      </c>
      <c r="CN182" s="77">
        <v>0.45</v>
      </c>
      <c r="CO182" s="487">
        <v>0.42</v>
      </c>
      <c r="CP182" s="77">
        <v>0.47</v>
      </c>
      <c r="CQ182" s="77">
        <v>0.49</v>
      </c>
      <c r="CR182" s="77">
        <v>0.49</v>
      </c>
      <c r="CS182" s="487">
        <v>0.46</v>
      </c>
      <c r="CT182" s="77">
        <v>0.49</v>
      </c>
      <c r="CU182" s="77">
        <v>0.47</v>
      </c>
      <c r="CV182" s="77">
        <v>0.49</v>
      </c>
      <c r="CW182" s="487">
        <v>0.45</v>
      </c>
      <c r="CX182" s="77">
        <v>0.47</v>
      </c>
      <c r="CY182" s="77">
        <v>0.46</v>
      </c>
      <c r="CZ182" s="77">
        <v>0.49</v>
      </c>
      <c r="DA182" s="487">
        <v>0.43</v>
      </c>
      <c r="DB182" s="77">
        <v>0.47</v>
      </c>
      <c r="DC182" s="77">
        <v>0.46</v>
      </c>
      <c r="DD182" s="1506">
        <v>0.49</v>
      </c>
      <c r="DE182" s="1569">
        <v>0.42</v>
      </c>
      <c r="DF182" s="52">
        <v>0.45</v>
      </c>
      <c r="DG182" s="52">
        <v>0.47</v>
      </c>
      <c r="DH182" s="52">
        <v>0.48</v>
      </c>
      <c r="DI182" s="1569">
        <v>0.42</v>
      </c>
      <c r="DJ182" s="2383">
        <v>0.40500000000000003</v>
      </c>
      <c r="DK182" s="1554">
        <v>0.40500000000000003</v>
      </c>
      <c r="DL182" s="1554">
        <v>0.40500000000000003</v>
      </c>
      <c r="DM182" s="1553">
        <v>0.40500000000000003</v>
      </c>
      <c r="DN182" s="580"/>
      <c r="DO182" s="487"/>
      <c r="EJ182" s="77">
        <v>0.28000000000000003</v>
      </c>
      <c r="EK182" s="77">
        <v>0.27</v>
      </c>
      <c r="EL182" s="77">
        <v>0.28000000000000003</v>
      </c>
      <c r="EM182" s="77">
        <v>0.31</v>
      </c>
      <c r="EN182" s="77">
        <f t="shared" ref="EN182:EU182" si="805">EN156/EN$176</f>
        <v>0.34290293187543552</v>
      </c>
      <c r="EO182" s="77">
        <f t="shared" si="805"/>
        <v>0.36476173828860325</v>
      </c>
      <c r="EP182" s="77">
        <f t="shared" si="805"/>
        <v>0.39772194927632454</v>
      </c>
      <c r="EQ182" s="77">
        <f t="shared" si="805"/>
        <v>0.36955161766680095</v>
      </c>
      <c r="ER182" s="77">
        <f t="shared" si="805"/>
        <v>0.39632934309725187</v>
      </c>
      <c r="ES182" s="77">
        <f t="shared" si="805"/>
        <v>0.44005889057750763</v>
      </c>
      <c r="ET182" s="77">
        <f t="shared" si="805"/>
        <v>0.43287641120277903</v>
      </c>
      <c r="EU182" s="77">
        <f t="shared" si="805"/>
        <v>0.47526806396695603</v>
      </c>
      <c r="EV182" s="77">
        <f t="shared" ref="EV182:FF182" si="806">EV156/EV$176</f>
        <v>0.47170628206906112</v>
      </c>
      <c r="EW182" s="77">
        <f t="shared" si="806"/>
        <v>0.45852578028323943</v>
      </c>
      <c r="EX182" s="77">
        <f t="shared" si="806"/>
        <v>0.45532470757007287</v>
      </c>
      <c r="EY182" s="77">
        <f>EY156/EY$176</f>
        <v>0.4500144845067508</v>
      </c>
      <c r="EZ182" s="1680">
        <f>EZ156/EZ$176</f>
        <v>0.40500000000000003</v>
      </c>
      <c r="FA182" s="77">
        <f t="shared" si="806"/>
        <v>0.40896779417871609</v>
      </c>
      <c r="FB182" s="77">
        <f t="shared" si="806"/>
        <v>0.41226620267289099</v>
      </c>
      <c r="FC182" s="77">
        <f t="shared" si="806"/>
        <v>0.41507227089629206</v>
      </c>
      <c r="FD182" s="77">
        <f t="shared" si="806"/>
        <v>0.41544511469905543</v>
      </c>
      <c r="FE182" s="77">
        <f t="shared" si="806"/>
        <v>0.41507602731479931</v>
      </c>
      <c r="FF182" s="77">
        <f t="shared" si="806"/>
        <v>0.41402207397897206</v>
      </c>
      <c r="FG182" s="77">
        <f>FG156/FG$176</f>
        <v>0.41233763654466205</v>
      </c>
      <c r="FH182" s="77">
        <f>FH156/FH$176</f>
        <v>0.41007421200298544</v>
      </c>
      <c r="FI182" s="580"/>
      <c r="FJ182"/>
      <c r="FK182"/>
      <c r="FL182"/>
      <c r="FM182"/>
      <c r="FN182"/>
      <c r="FO182"/>
      <c r="FP182" s="161"/>
      <c r="FS182" s="70"/>
      <c r="FT182" s="70"/>
      <c r="FU182"/>
      <c r="FV182"/>
      <c r="FW182" s="70"/>
      <c r="FX182" s="70"/>
      <c r="FY182" s="70"/>
      <c r="FZ182"/>
      <c r="GA182"/>
      <c r="GB182"/>
      <c r="GC182"/>
      <c r="GD182"/>
      <c r="GE182"/>
      <c r="GF182"/>
      <c r="GG182"/>
      <c r="GH182"/>
      <c r="GI182"/>
      <c r="GJ182"/>
      <c r="GK182"/>
      <c r="GL182"/>
      <c r="GM182"/>
      <c r="GN182"/>
      <c r="GO182"/>
      <c r="GP182"/>
      <c r="GQ182"/>
      <c r="GR182"/>
      <c r="GS182"/>
      <c r="GT182"/>
      <c r="GU182"/>
      <c r="GV182"/>
      <c r="GW182"/>
      <c r="GX182"/>
      <c r="GY182"/>
      <c r="GZ182"/>
      <c r="HA182"/>
      <c r="HB182"/>
      <c r="HC182"/>
      <c r="HD182"/>
      <c r="HE182"/>
      <c r="HF182"/>
      <c r="HG182"/>
      <c r="HH182"/>
      <c r="HI182"/>
      <c r="HJ182"/>
      <c r="HK182"/>
      <c r="HL182"/>
      <c r="HM182"/>
      <c r="HN182"/>
      <c r="HO182"/>
      <c r="HP182"/>
      <c r="HQ182"/>
      <c r="HR182"/>
      <c r="HS182"/>
      <c r="HT182"/>
      <c r="HU182"/>
      <c r="HV182"/>
      <c r="HW182"/>
      <c r="HX182"/>
      <c r="HY182"/>
      <c r="HZ182"/>
      <c r="IA182"/>
      <c r="IB182"/>
      <c r="IC182"/>
      <c r="ID182"/>
      <c r="IE182"/>
      <c r="IF182"/>
      <c r="IG182"/>
      <c r="IH182"/>
      <c r="II182"/>
      <c r="IJ182"/>
      <c r="IK182"/>
      <c r="IL182"/>
      <c r="IM182"/>
      <c r="IN182"/>
      <c r="IO182"/>
      <c r="IP182"/>
      <c r="IQ182"/>
      <c r="IR182"/>
      <c r="IS182"/>
      <c r="IT182"/>
      <c r="IU182"/>
      <c r="IV182"/>
      <c r="IW182"/>
      <c r="IX182"/>
      <c r="IY182"/>
      <c r="IZ182"/>
    </row>
    <row r="183" spans="1:260" s="15" customFormat="1" hidden="1" outlineLevel="1" x14ac:dyDescent="0.2">
      <c r="A183" s="15" t="s">
        <v>303</v>
      </c>
      <c r="E183" s="518"/>
      <c r="I183" s="518"/>
      <c r="M183" s="518"/>
      <c r="Q183" s="518"/>
      <c r="U183" s="518"/>
      <c r="Y183" s="518"/>
      <c r="AC183" s="518"/>
      <c r="AG183" s="518"/>
      <c r="AK183" s="518"/>
      <c r="AO183" s="518"/>
      <c r="AS183" s="518"/>
      <c r="AW183" s="518"/>
      <c r="BA183" s="518"/>
      <c r="BB183" s="4"/>
      <c r="BC183" s="77">
        <v>0.16</v>
      </c>
      <c r="BD183" s="77"/>
      <c r="BE183" s="487"/>
      <c r="BF183" s="77">
        <v>0.18</v>
      </c>
      <c r="BG183" s="77">
        <v>0.17</v>
      </c>
      <c r="BH183" s="77">
        <v>0.2</v>
      </c>
      <c r="BI183" s="487">
        <v>0.23</v>
      </c>
      <c r="BJ183" s="77">
        <v>0.18</v>
      </c>
      <c r="BK183" s="77">
        <v>0.16</v>
      </c>
      <c r="BL183" s="77">
        <v>0.19</v>
      </c>
      <c r="BM183" s="487">
        <v>0.21</v>
      </c>
      <c r="BN183" s="77">
        <v>0.15</v>
      </c>
      <c r="BO183" s="77">
        <v>0.13</v>
      </c>
      <c r="BP183" s="77">
        <v>0.16</v>
      </c>
      <c r="BQ183" s="487">
        <v>0.18</v>
      </c>
      <c r="BR183" s="77">
        <v>0.13</v>
      </c>
      <c r="BS183" s="77">
        <v>0.12</v>
      </c>
      <c r="BT183" s="77">
        <v>0.15</v>
      </c>
      <c r="BU183" s="487">
        <v>0.17</v>
      </c>
      <c r="BV183" s="77">
        <v>0.12</v>
      </c>
      <c r="BW183" s="77">
        <v>0.09</v>
      </c>
      <c r="BX183" s="77">
        <v>0.13</v>
      </c>
      <c r="BY183" s="487">
        <v>0.13</v>
      </c>
      <c r="BZ183" s="77">
        <v>0.14000000000000001</v>
      </c>
      <c r="CA183" s="77">
        <v>0.12</v>
      </c>
      <c r="CB183" s="77">
        <v>0.12</v>
      </c>
      <c r="CC183" s="487">
        <v>0.18</v>
      </c>
      <c r="CD183" s="77">
        <v>0.13</v>
      </c>
      <c r="CE183" s="77">
        <v>0.1</v>
      </c>
      <c r="CF183" s="77">
        <v>0.1</v>
      </c>
      <c r="CG183" s="487">
        <v>0.15</v>
      </c>
      <c r="CH183" s="77">
        <v>5.8000000000000003E-2</v>
      </c>
      <c r="CI183" s="77">
        <v>0.08</v>
      </c>
      <c r="CJ183" s="77">
        <v>0.09</v>
      </c>
      <c r="CK183" s="487">
        <v>0.12</v>
      </c>
      <c r="CL183" s="77">
        <v>0.09</v>
      </c>
      <c r="CM183" s="77">
        <v>0.08</v>
      </c>
      <c r="CN183" s="77">
        <v>0.09</v>
      </c>
      <c r="CO183" s="487">
        <v>0.12</v>
      </c>
      <c r="CP183" s="77">
        <v>0.08</v>
      </c>
      <c r="CQ183" s="77">
        <v>0.05</v>
      </c>
      <c r="CR183" s="77">
        <v>0.06</v>
      </c>
      <c r="CS183" s="487">
        <v>0.11</v>
      </c>
      <c r="CT183" s="77">
        <v>0.08</v>
      </c>
      <c r="CU183" s="77">
        <v>0.06</v>
      </c>
      <c r="CV183" s="77">
        <v>7.0000000000000007E-2</v>
      </c>
      <c r="CW183" s="487">
        <v>0.11</v>
      </c>
      <c r="CX183" s="77">
        <v>7.0000000000000007E-2</v>
      </c>
      <c r="CY183" s="77">
        <v>0.06</v>
      </c>
      <c r="CZ183" s="77">
        <v>0.06</v>
      </c>
      <c r="DA183" s="487">
        <v>0.11</v>
      </c>
      <c r="DB183" s="77">
        <v>0.06</v>
      </c>
      <c r="DC183" s="77">
        <v>0.05</v>
      </c>
      <c r="DD183" s="1506">
        <v>0.06</v>
      </c>
      <c r="DE183" s="1569">
        <v>0.09</v>
      </c>
      <c r="DF183" s="52">
        <v>7.0000000000000007E-2</v>
      </c>
      <c r="DG183" s="52">
        <v>0.06</v>
      </c>
      <c r="DH183" s="52">
        <v>0.06</v>
      </c>
      <c r="DI183" s="1569">
        <v>0.1</v>
      </c>
      <c r="DJ183" s="2383">
        <v>0.1</v>
      </c>
      <c r="DK183" s="1554">
        <v>0.1</v>
      </c>
      <c r="DL183" s="1554">
        <v>0.1</v>
      </c>
      <c r="DM183" s="1553">
        <v>0.1</v>
      </c>
      <c r="DN183" s="580"/>
      <c r="DO183" s="487"/>
      <c r="EJ183" s="77">
        <v>0.2</v>
      </c>
      <c r="EK183" s="77">
        <v>0.19</v>
      </c>
      <c r="EL183" s="77">
        <v>0.2</v>
      </c>
      <c r="EM183" s="77">
        <v>0.19</v>
      </c>
      <c r="EN183" s="77">
        <f t="shared" ref="EN183:EU183" si="807">EN160/EN$176</f>
        <v>0.1580760572439299</v>
      </c>
      <c r="EO183" s="77">
        <f t="shared" si="807"/>
        <v>0.14544990050018827</v>
      </c>
      <c r="EP183" s="77">
        <f t="shared" si="807"/>
        <v>0.11908431815163989</v>
      </c>
      <c r="EQ183" s="77">
        <f t="shared" si="807"/>
        <v>0.14488602496979461</v>
      </c>
      <c r="ER183" s="77">
        <f t="shared" si="807"/>
        <v>0.12380387494257843</v>
      </c>
      <c r="ES183" s="77">
        <f t="shared" si="807"/>
        <v>9.0438721233174119E-2</v>
      </c>
      <c r="ET183" s="77">
        <f t="shared" si="807"/>
        <v>9.8100032566217979E-2</v>
      </c>
      <c r="EU183" s="77">
        <f t="shared" si="807"/>
        <v>7.9426474282046286E-2</v>
      </c>
      <c r="EV183" s="77">
        <f t="shared" ref="EV183:FF183" si="808">EV160/EV$176</f>
        <v>8.4140618499514638E-2</v>
      </c>
      <c r="EW183" s="77">
        <f t="shared" si="808"/>
        <v>7.9366148769421149E-2</v>
      </c>
      <c r="EX183" s="77">
        <f t="shared" si="808"/>
        <v>6.8034926064886342E-2</v>
      </c>
      <c r="EY183" s="77">
        <f>EY160/EY$176</f>
        <v>7.651751073405412E-2</v>
      </c>
      <c r="EZ183" s="1680">
        <f>EZ160/EZ$176</f>
        <v>0.1</v>
      </c>
      <c r="FA183" s="77">
        <f t="shared" si="808"/>
        <v>9.4049722699051125E-2</v>
      </c>
      <c r="FB183" s="77">
        <f t="shared" si="808"/>
        <v>8.8475285079720689E-2</v>
      </c>
      <c r="FC183" s="77">
        <f t="shared" si="808"/>
        <v>8.3274565126104622E-2</v>
      </c>
      <c r="FD183" s="77">
        <f t="shared" si="808"/>
        <v>7.8044017384343078E-2</v>
      </c>
      <c r="FE183" s="77">
        <f t="shared" si="808"/>
        <v>7.3116512981144077E-2</v>
      </c>
      <c r="FF183" s="77">
        <f t="shared" si="808"/>
        <v>6.8475630543898866E-2</v>
      </c>
      <c r="FG183" s="77">
        <f>FG160/FG$176</f>
        <v>6.4105818153919553E-2</v>
      </c>
      <c r="FH183" s="77">
        <f>FH160/FH$176</f>
        <v>5.9992345940150481E-2</v>
      </c>
      <c r="FI183" s="580"/>
      <c r="FJ183"/>
      <c r="FK183"/>
      <c r="FL183"/>
      <c r="FM183"/>
      <c r="FN183"/>
      <c r="FO183"/>
      <c r="FP183" s="161"/>
      <c r="FS183" s="70"/>
      <c r="FT183" s="70"/>
      <c r="FU183"/>
      <c r="FV183"/>
      <c r="FW183" s="70"/>
      <c r="FX183" s="70"/>
      <c r="FY183" s="70"/>
      <c r="FZ183"/>
      <c r="GA183"/>
      <c r="GB183"/>
      <c r="GC183"/>
      <c r="GD183"/>
      <c r="GE183"/>
      <c r="GF183"/>
      <c r="GG183"/>
      <c r="GH183"/>
      <c r="GI183"/>
      <c r="GJ183"/>
      <c r="GK183"/>
      <c r="GL183"/>
      <c r="GM183"/>
      <c r="GN183"/>
      <c r="GO183"/>
      <c r="GP183"/>
      <c r="GQ183"/>
      <c r="GR183"/>
      <c r="GS183"/>
      <c r="GT183"/>
      <c r="GU183"/>
      <c r="GV183"/>
      <c r="GW183"/>
      <c r="GX183"/>
      <c r="GY183"/>
      <c r="GZ183"/>
      <c r="HA183"/>
      <c r="HB183"/>
      <c r="HC183"/>
      <c r="HD183"/>
      <c r="HE183"/>
      <c r="HF183"/>
      <c r="HG183"/>
      <c r="HH183"/>
      <c r="HI183"/>
      <c r="HJ183"/>
      <c r="HK183"/>
      <c r="HL183"/>
      <c r="HM183"/>
      <c r="HN183"/>
      <c r="HO183"/>
      <c r="HP183"/>
      <c r="HQ183"/>
      <c r="HR183"/>
      <c r="HS183"/>
      <c r="HT183"/>
      <c r="HU183"/>
      <c r="HV183"/>
      <c r="HW183"/>
      <c r="HX183"/>
      <c r="HY183"/>
      <c r="HZ183"/>
      <c r="IA183"/>
      <c r="IB183"/>
      <c r="IC183"/>
      <c r="ID183"/>
      <c r="IE183"/>
      <c r="IF183"/>
      <c r="IG183"/>
      <c r="IH183"/>
      <c r="II183"/>
      <c r="IJ183"/>
      <c r="IK183"/>
      <c r="IL183"/>
      <c r="IM183"/>
      <c r="IN183"/>
      <c r="IO183"/>
      <c r="IP183"/>
      <c r="IQ183"/>
      <c r="IR183"/>
      <c r="IS183"/>
      <c r="IT183"/>
      <c r="IU183"/>
      <c r="IV183"/>
      <c r="IW183"/>
      <c r="IX183"/>
      <c r="IY183"/>
      <c r="IZ183"/>
    </row>
    <row r="184" spans="1:260" s="15" customFormat="1" hidden="1" outlineLevel="1" x14ac:dyDescent="0.2">
      <c r="A184" s="15" t="s">
        <v>87</v>
      </c>
      <c r="E184" s="518"/>
      <c r="I184" s="518"/>
      <c r="M184" s="518"/>
      <c r="Q184" s="518"/>
      <c r="U184" s="518"/>
      <c r="Y184" s="518"/>
      <c r="AC184" s="518"/>
      <c r="AG184" s="518"/>
      <c r="AK184" s="518"/>
      <c r="AO184" s="518"/>
      <c r="AS184" s="518"/>
      <c r="AW184" s="518"/>
      <c r="BA184" s="518"/>
      <c r="BB184" s="4"/>
      <c r="BC184" s="77">
        <v>7.0000000000000007E-2</v>
      </c>
      <c r="BD184" s="77"/>
      <c r="BE184" s="487"/>
      <c r="BF184" s="77">
        <v>0.06</v>
      </c>
      <c r="BG184" s="77">
        <v>0.06</v>
      </c>
      <c r="BH184" s="77">
        <v>0.05</v>
      </c>
      <c r="BI184" s="487">
        <v>0.04</v>
      </c>
      <c r="BJ184" s="77">
        <v>0.06</v>
      </c>
      <c r="BK184" s="77">
        <v>0.05</v>
      </c>
      <c r="BL184" s="77">
        <v>0.04</v>
      </c>
      <c r="BM184" s="487">
        <v>0.04</v>
      </c>
      <c r="BN184" s="77">
        <v>0.05</v>
      </c>
      <c r="BO184" s="77">
        <v>0.05</v>
      </c>
      <c r="BP184" s="77">
        <v>0.05</v>
      </c>
      <c r="BQ184" s="487">
        <v>0.04</v>
      </c>
      <c r="BR184" s="77">
        <v>0.06</v>
      </c>
      <c r="BS184" s="77">
        <v>0.06</v>
      </c>
      <c r="BT184" s="77">
        <v>0.05</v>
      </c>
      <c r="BU184" s="487">
        <v>0.04</v>
      </c>
      <c r="BV184" s="77">
        <v>0.06</v>
      </c>
      <c r="BW184" s="77">
        <v>0.06</v>
      </c>
      <c r="BX184" s="77">
        <v>0.05</v>
      </c>
      <c r="BY184" s="487">
        <v>0.05</v>
      </c>
      <c r="BZ184" s="77">
        <v>0.05</v>
      </c>
      <c r="CA184" s="77">
        <v>0.06</v>
      </c>
      <c r="CB184" s="77">
        <v>0.05</v>
      </c>
      <c r="CC184" s="487">
        <v>0.04</v>
      </c>
      <c r="CD184" s="77">
        <v>0.05</v>
      </c>
      <c r="CE184" s="77">
        <v>0.06</v>
      </c>
      <c r="CF184" s="77">
        <v>0.06</v>
      </c>
      <c r="CG184" s="487">
        <v>0.04</v>
      </c>
      <c r="CH184" s="77">
        <v>5.5E-2</v>
      </c>
      <c r="CI184" s="77">
        <v>7.0000000000000007E-2</v>
      </c>
      <c r="CJ184" s="77">
        <v>7.0000000000000007E-2</v>
      </c>
      <c r="CK184" s="487">
        <v>0.05</v>
      </c>
      <c r="CL184" s="77">
        <v>5.5E-2</v>
      </c>
      <c r="CM184" s="77">
        <v>7.0000000000000007E-2</v>
      </c>
      <c r="CN184" s="77">
        <v>7.0000000000000007E-2</v>
      </c>
      <c r="CO184" s="487">
        <v>0.05</v>
      </c>
      <c r="CP184" s="77">
        <v>7.0000000000000007E-2</v>
      </c>
      <c r="CQ184" s="77">
        <v>0.08</v>
      </c>
      <c r="CR184" s="77">
        <v>0.08</v>
      </c>
      <c r="CS184" s="487">
        <v>0.05</v>
      </c>
      <c r="CT184" s="77">
        <v>7.0000000000000007E-2</v>
      </c>
      <c r="CU184" s="77">
        <v>0.09</v>
      </c>
      <c r="CV184" s="77">
        <v>0.08</v>
      </c>
      <c r="CW184" s="487">
        <v>0.06</v>
      </c>
      <c r="CX184" s="77">
        <v>0.08</v>
      </c>
      <c r="CY184" s="77">
        <v>0.1</v>
      </c>
      <c r="CZ184" s="77">
        <v>0.09</v>
      </c>
      <c r="DA184" s="487">
        <v>7.0000000000000007E-2</v>
      </c>
      <c r="DB184" s="77">
        <v>0.09</v>
      </c>
      <c r="DC184" s="77">
        <v>0.11</v>
      </c>
      <c r="DD184" s="1506">
        <v>0.09</v>
      </c>
      <c r="DE184" s="1569">
        <v>7.0000000000000007E-2</v>
      </c>
      <c r="DF184" s="52">
        <v>0.1</v>
      </c>
      <c r="DG184" s="52">
        <v>0.11</v>
      </c>
      <c r="DH184" s="52">
        <v>0.1</v>
      </c>
      <c r="DI184" s="1569">
        <v>0.08</v>
      </c>
      <c r="DJ184" s="2383">
        <v>7.0000000000000007E-2</v>
      </c>
      <c r="DK184" s="1554">
        <v>7.0000000000000007E-2</v>
      </c>
      <c r="DL184" s="1554">
        <v>7.0000000000000007E-2</v>
      </c>
      <c r="DM184" s="1553">
        <v>7.0000000000000007E-2</v>
      </c>
      <c r="DN184" s="580"/>
      <c r="DO184" s="487"/>
      <c r="EJ184" s="77">
        <v>0.05</v>
      </c>
      <c r="EK184" s="77">
        <v>0.06</v>
      </c>
      <c r="EL184" s="77">
        <v>0.05</v>
      </c>
      <c r="EM184" s="77">
        <v>0.05</v>
      </c>
      <c r="EN184" s="77">
        <f t="shared" ref="EN184:EU184" si="809">EN164/EN$176</f>
        <v>4.6627539261403228E-2</v>
      </c>
      <c r="EO184" s="77">
        <f t="shared" si="809"/>
        <v>5.1140751895874789E-2</v>
      </c>
      <c r="EP184" s="77">
        <f t="shared" si="809"/>
        <v>5.429425043154959E-2</v>
      </c>
      <c r="EQ184" s="77">
        <f t="shared" si="809"/>
        <v>4.8811652570814872E-2</v>
      </c>
      <c r="ER184" s="77">
        <f t="shared" si="809"/>
        <v>5.0931985840516655E-2</v>
      </c>
      <c r="ES184" s="77">
        <f t="shared" si="809"/>
        <v>5.9596993052540168E-2</v>
      </c>
      <c r="ET184" s="77">
        <f t="shared" si="809"/>
        <v>5.9596993052540168E-2</v>
      </c>
      <c r="EU184" s="77">
        <f t="shared" si="809"/>
        <v>6.7485696743043735E-2</v>
      </c>
      <c r="EV184" s="77">
        <f t="shared" ref="EV184:FF184" si="810">EV164/EV$176</f>
        <v>7.2902510054084033E-2</v>
      </c>
      <c r="EW184" s="77">
        <f t="shared" si="810"/>
        <v>8.3118108070947341E-2</v>
      </c>
      <c r="EX184" s="77">
        <f t="shared" si="810"/>
        <v>8.7545243875524176E-2</v>
      </c>
      <c r="EY184" s="77">
        <f>EY164/EY$176</f>
        <v>9.4904040142775842E-2</v>
      </c>
      <c r="EZ184" s="1680">
        <f>EZ164/EZ$176</f>
        <v>6.9999999999999993E-2</v>
      </c>
      <c r="FA184" s="77">
        <f t="shared" si="810"/>
        <v>5.1258575787389689E-2</v>
      </c>
      <c r="FB184" s="77">
        <f t="shared" si="810"/>
        <v>3.754412284923242E-2</v>
      </c>
      <c r="FC184" s="77">
        <f t="shared" si="810"/>
        <v>2.7513341631710396E-2</v>
      </c>
      <c r="FD184" s="77">
        <f t="shared" si="810"/>
        <v>2.0076202158418217E-2</v>
      </c>
      <c r="FE184" s="77">
        <f t="shared" si="810"/>
        <v>1.4644292345435706E-2</v>
      </c>
      <c r="FF184" s="77">
        <f t="shared" si="810"/>
        <v>1.067824632336495E-2</v>
      </c>
      <c r="FG184" s="77">
        <f>FG164/FG$176</f>
        <v>7.7834531891578388E-3</v>
      </c>
      <c r="FH184" s="77">
        <f>FH164/FH$176</f>
        <v>5.6712878570997485E-3</v>
      </c>
      <c r="FI184" s="580"/>
      <c r="FJ184"/>
      <c r="FK184"/>
      <c r="FL184"/>
      <c r="FM184"/>
      <c r="FN184"/>
      <c r="FO184"/>
      <c r="FP184" s="161"/>
      <c r="FS184" s="70"/>
      <c r="FT184" s="70"/>
      <c r="FU184"/>
      <c r="FV184"/>
      <c r="FW184" s="70"/>
      <c r="FX184" s="70"/>
      <c r="FY184" s="70"/>
      <c r="FZ184"/>
      <c r="GA184"/>
      <c r="GB184"/>
      <c r="GC184"/>
      <c r="GD184"/>
      <c r="GE184"/>
      <c r="GF184"/>
      <c r="GG184"/>
      <c r="GH184"/>
      <c r="GI184"/>
      <c r="GJ184"/>
      <c r="GK184"/>
      <c r="GL184"/>
      <c r="GM184"/>
      <c r="GN184"/>
      <c r="GO184"/>
      <c r="GP184"/>
      <c r="GQ184"/>
      <c r="GR184"/>
      <c r="GS184"/>
      <c r="GT184"/>
      <c r="GU184"/>
      <c r="GV184"/>
      <c r="GW184"/>
      <c r="GX184"/>
      <c r="GY184"/>
      <c r="GZ184"/>
      <c r="HA184"/>
      <c r="HB184"/>
      <c r="HC184"/>
      <c r="HD184"/>
      <c r="HE184"/>
      <c r="HF184"/>
      <c r="HG184"/>
      <c r="HH184"/>
      <c r="HI184"/>
      <c r="HJ184"/>
      <c r="HK184"/>
      <c r="HL184"/>
      <c r="HM184"/>
      <c r="HN184"/>
      <c r="HO184"/>
      <c r="HP184"/>
      <c r="HQ184"/>
      <c r="HR184"/>
      <c r="HS184"/>
      <c r="HT184"/>
      <c r="HU184"/>
      <c r="HV184"/>
      <c r="HW184"/>
      <c r="HX184"/>
      <c r="HY184"/>
      <c r="HZ184"/>
      <c r="IA184"/>
      <c r="IB184"/>
      <c r="IC184"/>
      <c r="ID184"/>
      <c r="IE184"/>
      <c r="IF184"/>
      <c r="IG184"/>
      <c r="IH184"/>
      <c r="II184"/>
      <c r="IJ184"/>
      <c r="IK184"/>
      <c r="IL184"/>
      <c r="IM184"/>
      <c r="IN184"/>
      <c r="IO184"/>
      <c r="IP184"/>
      <c r="IQ184"/>
      <c r="IR184"/>
      <c r="IS184"/>
      <c r="IT184"/>
      <c r="IU184"/>
      <c r="IV184"/>
      <c r="IW184"/>
      <c r="IX184"/>
      <c r="IY184"/>
      <c r="IZ184"/>
    </row>
    <row r="185" spans="1:260" s="15" customFormat="1" hidden="1" outlineLevel="1" x14ac:dyDescent="0.2">
      <c r="A185" s="15" t="s">
        <v>376</v>
      </c>
      <c r="E185" s="518"/>
      <c r="I185" s="518"/>
      <c r="M185" s="518"/>
      <c r="Q185" s="518"/>
      <c r="U185" s="518"/>
      <c r="Y185" s="518"/>
      <c r="AC185" s="518"/>
      <c r="AG185" s="518"/>
      <c r="AK185" s="518"/>
      <c r="AO185" s="518"/>
      <c r="AS185" s="518"/>
      <c r="AW185" s="518"/>
      <c r="BA185" s="518"/>
      <c r="BB185" s="4"/>
      <c r="BC185" s="77">
        <v>0.06</v>
      </c>
      <c r="BD185" s="77"/>
      <c r="BE185" s="487"/>
      <c r="BF185" s="77">
        <v>0.06</v>
      </c>
      <c r="BG185" s="77">
        <v>7.0000000000000007E-2</v>
      </c>
      <c r="BH185" s="77">
        <v>0.06</v>
      </c>
      <c r="BI185" s="487">
        <v>0.05</v>
      </c>
      <c r="BJ185" s="77">
        <v>0.06</v>
      </c>
      <c r="BK185" s="77">
        <v>7.0000000000000007E-2</v>
      </c>
      <c r="BL185" s="77">
        <v>0.06</v>
      </c>
      <c r="BM185" s="487">
        <v>0.05</v>
      </c>
      <c r="BN185" s="77">
        <v>7.0000000000000007E-2</v>
      </c>
      <c r="BO185" s="77">
        <v>0.06</v>
      </c>
      <c r="BP185" s="77">
        <v>0.06</v>
      </c>
      <c r="BQ185" s="487">
        <v>0.05</v>
      </c>
      <c r="BR185" s="77">
        <v>0.06</v>
      </c>
      <c r="BS185" s="77">
        <v>0.06</v>
      </c>
      <c r="BT185" s="77">
        <v>0.06</v>
      </c>
      <c r="BU185" s="487">
        <v>0.05</v>
      </c>
      <c r="BV185" s="77">
        <v>0.06</v>
      </c>
      <c r="BW185" s="77">
        <v>7.0000000000000007E-2</v>
      </c>
      <c r="BX185" s="77">
        <v>0.06</v>
      </c>
      <c r="BY185" s="487">
        <v>0.05</v>
      </c>
      <c r="BZ185" s="77">
        <v>0.06</v>
      </c>
      <c r="CA185" s="77">
        <v>0.06</v>
      </c>
      <c r="CB185" s="77">
        <v>0.06</v>
      </c>
      <c r="CC185" s="487">
        <v>0.05</v>
      </c>
      <c r="CD185" s="77">
        <v>0.06</v>
      </c>
      <c r="CE185" s="77">
        <v>7.0000000000000007E-2</v>
      </c>
      <c r="CF185" s="77">
        <v>7.0000000000000007E-2</v>
      </c>
      <c r="CG185" s="487">
        <v>0.05</v>
      </c>
      <c r="CH185" s="77">
        <v>5.8000000000000003E-2</v>
      </c>
      <c r="CI185" s="77">
        <v>7.0000000000000007E-2</v>
      </c>
      <c r="CJ185" s="77">
        <v>7.0000000000000007E-2</v>
      </c>
      <c r="CK185" s="487">
        <v>0.05</v>
      </c>
      <c r="CL185" s="77">
        <v>7.0000000000000007E-2</v>
      </c>
      <c r="CM185" s="77">
        <v>7.0000000000000007E-2</v>
      </c>
      <c r="CN185" s="77">
        <v>7.0000000000000007E-2</v>
      </c>
      <c r="CO185" s="487">
        <v>0.05</v>
      </c>
      <c r="CP185" s="77">
        <v>7.0000000000000007E-2</v>
      </c>
      <c r="CQ185" s="77">
        <v>7.0000000000000007E-2</v>
      </c>
      <c r="CR185" s="77">
        <v>7.0000000000000007E-2</v>
      </c>
      <c r="CS185" s="487">
        <v>0.05</v>
      </c>
      <c r="CT185" s="77">
        <v>0.06</v>
      </c>
      <c r="CU185" s="77">
        <v>0.06</v>
      </c>
      <c r="CV185" s="77">
        <v>0.06</v>
      </c>
      <c r="CW185" s="487">
        <v>0.04</v>
      </c>
      <c r="CX185" s="77">
        <v>0.05</v>
      </c>
      <c r="CY185" s="77">
        <v>0.05</v>
      </c>
      <c r="CZ185" s="77">
        <v>0.05</v>
      </c>
      <c r="DA185" s="487">
        <v>0.04</v>
      </c>
      <c r="DB185" s="77">
        <v>0.05</v>
      </c>
      <c r="DC185" s="77">
        <v>0.05</v>
      </c>
      <c r="DD185" s="1506">
        <v>0.05</v>
      </c>
      <c r="DE185" s="1569">
        <v>0.05</v>
      </c>
      <c r="DF185" s="52">
        <v>0.05</v>
      </c>
      <c r="DG185" s="52">
        <v>0.04</v>
      </c>
      <c r="DH185" s="52">
        <v>0.05</v>
      </c>
      <c r="DI185" s="1569">
        <v>0.04</v>
      </c>
      <c r="DJ185" s="2383">
        <v>4.4999999999999998E-2</v>
      </c>
      <c r="DK185" s="1554">
        <v>4.4999999999999998E-2</v>
      </c>
      <c r="DL185" s="1554">
        <v>4.4999999999999998E-2</v>
      </c>
      <c r="DM185" s="1553">
        <v>4.4999999999999998E-2</v>
      </c>
      <c r="DN185" s="580"/>
      <c r="DO185" s="487"/>
      <c r="EJ185" s="77">
        <v>0.05</v>
      </c>
      <c r="EK185" s="77">
        <v>0.05</v>
      </c>
      <c r="EL185" s="77">
        <v>0.06</v>
      </c>
      <c r="EM185" s="77">
        <v>0.06</v>
      </c>
      <c r="EN185" s="77">
        <f t="shared" ref="EN185:EU185" si="811">EN168/EN$176</f>
        <v>5.8644208608029158E-2</v>
      </c>
      <c r="EO185" s="77">
        <f t="shared" si="811"/>
        <v>5.6741515624159626E-2</v>
      </c>
      <c r="EP185" s="77">
        <f t="shared" si="811"/>
        <v>5.8860974638162256E-2</v>
      </c>
      <c r="EQ185" s="77">
        <f t="shared" si="811"/>
        <v>5.6614042153309174E-2</v>
      </c>
      <c r="ER185" s="77">
        <f t="shared" si="811"/>
        <v>6.0931985840516664E-2</v>
      </c>
      <c r="ES185" s="77">
        <f t="shared" si="811"/>
        <v>6.0315240990013029E-2</v>
      </c>
      <c r="ET185" s="77">
        <f t="shared" si="811"/>
        <v>6.3188232739904482E-2</v>
      </c>
      <c r="EU185" s="77">
        <f t="shared" si="811"/>
        <v>6.3135553012754322E-2</v>
      </c>
      <c r="EV185" s="77">
        <f t="shared" ref="EV185:FF185" si="812">EV168/EV$176</f>
        <v>5.2956871446401335E-2</v>
      </c>
      <c r="EW185" s="77">
        <f t="shared" si="812"/>
        <v>4.6560703973600993E-2</v>
      </c>
      <c r="EX185" s="77">
        <f t="shared" si="812"/>
        <v>0.05</v>
      </c>
      <c r="EY185" s="77">
        <f>EY168/EY$176</f>
        <v>4.4242667218457397E-2</v>
      </c>
      <c r="EZ185" s="1680">
        <f>EZ168/EZ$176</f>
        <v>4.4999999999999998E-2</v>
      </c>
      <c r="FA185" s="77">
        <f t="shared" si="812"/>
        <v>4.5351039607590821E-2</v>
      </c>
      <c r="FB185" s="77">
        <f t="shared" si="812"/>
        <v>4.5635310485287066E-2</v>
      </c>
      <c r="FC185" s="77">
        <f t="shared" si="812"/>
        <v>4.5872081635310195E-2</v>
      </c>
      <c r="FD185" s="77">
        <f t="shared" si="812"/>
        <v>4.584676909756584E-2</v>
      </c>
      <c r="FE185" s="77">
        <f t="shared" si="812"/>
        <v>4.5746226127324444E-2</v>
      </c>
      <c r="FF185" s="77">
        <f t="shared" si="812"/>
        <v>4.5576374574047319E-2</v>
      </c>
      <c r="FG185" s="77">
        <f>FG168/FG$176</f>
        <v>4.5342821183265179E-2</v>
      </c>
      <c r="FH185" s="77">
        <f>FH168/FH$176</f>
        <v>4.5050846770502875E-2</v>
      </c>
      <c r="FI185" s="580"/>
      <c r="FJ185"/>
      <c r="FK185"/>
      <c r="FL185"/>
      <c r="FM185"/>
      <c r="FN185"/>
      <c r="FO185"/>
      <c r="FP185" s="161"/>
      <c r="FS185" s="70"/>
      <c r="FT185" s="70"/>
      <c r="FU185"/>
      <c r="FV185"/>
      <c r="FW185" s="70"/>
      <c r="FX185" s="70"/>
      <c r="FY185" s="70"/>
      <c r="FZ185"/>
      <c r="GA185"/>
      <c r="GB185"/>
      <c r="GC185"/>
      <c r="GD185"/>
      <c r="GE185"/>
      <c r="GF185"/>
      <c r="GG185"/>
      <c r="GH185"/>
      <c r="GI185"/>
      <c r="GJ185"/>
      <c r="GK185"/>
      <c r="GL185"/>
      <c r="GM185"/>
      <c r="GN185"/>
      <c r="GO185"/>
      <c r="GP185"/>
      <c r="GQ185"/>
      <c r="GR185"/>
      <c r="GS185"/>
      <c r="GT185"/>
      <c r="GU185"/>
      <c r="GV185"/>
      <c r="GW185"/>
      <c r="GX185"/>
      <c r="GY185"/>
      <c r="GZ185"/>
      <c r="HA185"/>
      <c r="HB185"/>
      <c r="HC185"/>
      <c r="HD185"/>
      <c r="HE185"/>
      <c r="HF185"/>
      <c r="HG185"/>
      <c r="HH185"/>
      <c r="HI185"/>
      <c r="HJ185"/>
      <c r="HK185"/>
      <c r="HL185"/>
      <c r="HM185"/>
      <c r="HN185"/>
      <c r="HO185"/>
      <c r="HP185"/>
      <c r="HQ185"/>
      <c r="HR185"/>
      <c r="HS185"/>
      <c r="HT185"/>
      <c r="HU185"/>
      <c r="HV185"/>
      <c r="HW185"/>
      <c r="HX185"/>
      <c r="HY185"/>
      <c r="HZ185"/>
      <c r="IA185"/>
      <c r="IB185"/>
      <c r="IC185"/>
      <c r="ID185"/>
      <c r="IE185"/>
      <c r="IF185"/>
      <c r="IG185"/>
      <c r="IH185"/>
      <c r="II185"/>
      <c r="IJ185"/>
      <c r="IK185"/>
      <c r="IL185"/>
      <c r="IM185"/>
      <c r="IN185"/>
      <c r="IO185"/>
      <c r="IP185"/>
      <c r="IQ185"/>
      <c r="IR185"/>
      <c r="IS185"/>
      <c r="IT185"/>
      <c r="IU185"/>
      <c r="IV185"/>
      <c r="IW185"/>
      <c r="IX185"/>
      <c r="IY185"/>
      <c r="IZ185"/>
    </row>
    <row r="186" spans="1:260" s="15" customFormat="1" hidden="1" outlineLevel="1" x14ac:dyDescent="0.2">
      <c r="A186" s="15" t="s">
        <v>479</v>
      </c>
      <c r="E186" s="518"/>
      <c r="I186" s="518"/>
      <c r="M186" s="518"/>
      <c r="Q186" s="518"/>
      <c r="U186" s="518"/>
      <c r="Y186" s="518"/>
      <c r="AC186" s="518"/>
      <c r="AG186" s="518"/>
      <c r="AK186" s="518"/>
      <c r="AO186" s="518"/>
      <c r="AS186" s="518"/>
      <c r="AW186" s="518"/>
      <c r="BA186" s="518"/>
      <c r="BB186" s="4"/>
      <c r="BC186" s="77">
        <v>0.01</v>
      </c>
      <c r="BD186" s="77"/>
      <c r="BE186" s="487"/>
      <c r="BF186" s="77">
        <v>0.01</v>
      </c>
      <c r="BG186" s="1042" t="s">
        <v>384</v>
      </c>
      <c r="BH186" s="1042" t="s">
        <v>384</v>
      </c>
      <c r="BI186" s="1362" t="s">
        <v>384</v>
      </c>
      <c r="BJ186" s="1042" t="s">
        <v>384</v>
      </c>
      <c r="BK186" s="1042" t="s">
        <v>384</v>
      </c>
      <c r="BL186" s="1042" t="s">
        <v>384</v>
      </c>
      <c r="BM186" s="1362" t="s">
        <v>384</v>
      </c>
      <c r="BN186" s="77">
        <f t="shared" ref="BN186:BY186" si="813">BN172/BN$176</f>
        <v>0.01</v>
      </c>
      <c r="BO186" s="77">
        <f t="shared" si="813"/>
        <v>1.0000000000000083E-2</v>
      </c>
      <c r="BP186" s="77">
        <f t="shared" si="813"/>
        <v>9.9999999999998927E-3</v>
      </c>
      <c r="BQ186" s="487">
        <f t="shared" si="813"/>
        <v>9.9999999999999395E-3</v>
      </c>
      <c r="BR186" s="77">
        <f t="shared" si="813"/>
        <v>1.0000000000000059E-2</v>
      </c>
      <c r="BS186" s="77">
        <f t="shared" si="813"/>
        <v>1.000000000000007E-2</v>
      </c>
      <c r="BT186" s="77">
        <f t="shared" si="813"/>
        <v>9.9999999999999898E-3</v>
      </c>
      <c r="BU186" s="487">
        <f t="shared" si="813"/>
        <v>9.9999999999997816E-3</v>
      </c>
      <c r="BV186" s="77">
        <f t="shared" si="813"/>
        <v>1.0000000000000019E-2</v>
      </c>
      <c r="BW186" s="77">
        <f t="shared" si="813"/>
        <v>1.0000000000000016E-2</v>
      </c>
      <c r="BX186" s="77">
        <f t="shared" si="813"/>
        <v>9.9999999999999378E-3</v>
      </c>
      <c r="BY186" s="487">
        <f t="shared" si="813"/>
        <v>0.01</v>
      </c>
      <c r="BZ186" s="77">
        <v>0.01</v>
      </c>
      <c r="CA186" s="77">
        <v>0.01</v>
      </c>
      <c r="CB186" s="77">
        <v>0.01</v>
      </c>
      <c r="CC186" s="487">
        <v>0.01</v>
      </c>
      <c r="CD186" s="77">
        <v>0.01</v>
      </c>
      <c r="CE186" s="77">
        <v>0.01</v>
      </c>
      <c r="CF186" s="77">
        <v>0.01</v>
      </c>
      <c r="CG186" s="487">
        <v>0.01</v>
      </c>
      <c r="CH186" s="77">
        <v>0.01</v>
      </c>
      <c r="CI186" s="77">
        <v>0.01</v>
      </c>
      <c r="CJ186" s="77">
        <v>0.01</v>
      </c>
      <c r="CK186" s="487">
        <v>0.01</v>
      </c>
      <c r="CL186" s="77">
        <v>0.01</v>
      </c>
      <c r="CM186" s="77">
        <v>0.01</v>
      </c>
      <c r="CN186" s="77">
        <v>0.01</v>
      </c>
      <c r="CO186" s="487">
        <v>0.01</v>
      </c>
      <c r="CP186" s="77">
        <v>0.01</v>
      </c>
      <c r="CQ186" s="77">
        <v>0.01</v>
      </c>
      <c r="CR186" s="77">
        <v>0.01</v>
      </c>
      <c r="CS186" s="487">
        <v>0.01</v>
      </c>
      <c r="CT186" s="77">
        <v>0.01</v>
      </c>
      <c r="CU186" s="77">
        <v>0.01</v>
      </c>
      <c r="CV186" s="77">
        <v>0.01</v>
      </c>
      <c r="CW186" s="487">
        <v>0.01</v>
      </c>
      <c r="CX186" s="77">
        <v>0.02</v>
      </c>
      <c r="CY186" s="77">
        <v>0.01</v>
      </c>
      <c r="CZ186" s="77">
        <v>0.01</v>
      </c>
      <c r="DA186" s="487">
        <v>0</v>
      </c>
      <c r="DB186" s="77">
        <v>0</v>
      </c>
      <c r="DC186" s="77">
        <v>0</v>
      </c>
      <c r="DD186" s="1506">
        <v>0</v>
      </c>
      <c r="DE186" s="1569">
        <v>0</v>
      </c>
      <c r="DF186" s="52">
        <v>0</v>
      </c>
      <c r="DG186" s="52">
        <v>0</v>
      </c>
      <c r="DH186" s="52">
        <v>0</v>
      </c>
      <c r="DI186" s="1569">
        <v>0</v>
      </c>
      <c r="DJ186" s="2383">
        <v>0</v>
      </c>
      <c r="DK186" s="1554">
        <v>0</v>
      </c>
      <c r="DL186" s="1554">
        <v>0</v>
      </c>
      <c r="DM186" s="1553">
        <v>0</v>
      </c>
      <c r="DN186" s="580"/>
      <c r="DO186" s="487"/>
      <c r="EJ186" s="77">
        <v>0.01</v>
      </c>
      <c r="EK186" s="77">
        <v>0.01</v>
      </c>
      <c r="EL186" s="1042" t="s">
        <v>384</v>
      </c>
      <c r="EM186" s="1042" t="s">
        <v>384</v>
      </c>
      <c r="EN186" s="77">
        <f t="shared" ref="EN186:EU186" si="814">EN172/EN$176</f>
        <v>9.9999999999999725E-3</v>
      </c>
      <c r="EO186" s="77">
        <f t="shared" si="814"/>
        <v>9.9999999999999551E-3</v>
      </c>
      <c r="EP186" s="77">
        <f t="shared" si="814"/>
        <v>9.9999999999999933E-3</v>
      </c>
      <c r="EQ186" s="77">
        <f t="shared" si="814"/>
        <v>1.0000000000000019E-2</v>
      </c>
      <c r="ER186" s="77">
        <f t="shared" si="814"/>
        <v>1.0000000000000004E-2</v>
      </c>
      <c r="ES186" s="77">
        <f t="shared" si="814"/>
        <v>9.7605840208423895E-3</v>
      </c>
      <c r="ET186" s="77">
        <f t="shared" si="814"/>
        <v>1.1197079895788081E-2</v>
      </c>
      <c r="EU186" s="77">
        <f t="shared" si="814"/>
        <v>9.9999999999999725E-3</v>
      </c>
      <c r="EV186" s="77">
        <f t="shared" ref="EV186:FF186" si="815">EV172/EV$176</f>
        <v>1.0000000000000018E-2</v>
      </c>
      <c r="EW186" s="77">
        <f t="shared" si="815"/>
        <v>8.7303726110270867E-3</v>
      </c>
      <c r="EX186" s="77">
        <f t="shared" si="815"/>
        <v>0</v>
      </c>
      <c r="EY186" s="77">
        <f>EY172/EY$176</f>
        <v>0</v>
      </c>
      <c r="EZ186" s="1680">
        <f>EZ172/EZ$176</f>
        <v>0</v>
      </c>
      <c r="FA186" s="77">
        <f t="shared" si="815"/>
        <v>-2.843061694939953E-2</v>
      </c>
      <c r="FB186" s="77">
        <f t="shared" si="815"/>
        <v>-4.2934685637359598E-3</v>
      </c>
      <c r="FC186" s="77">
        <f t="shared" si="815"/>
        <v>1.178103424579161E-2</v>
      </c>
      <c r="FD186" s="77">
        <f t="shared" si="815"/>
        <v>2.9717565290194266E-2</v>
      </c>
      <c r="FE186" s="77">
        <f t="shared" si="815"/>
        <v>4.6228515465067052E-2</v>
      </c>
      <c r="FF186" s="77">
        <f t="shared" si="815"/>
        <v>6.1805428769755172E-2</v>
      </c>
      <c r="FG186" s="77">
        <f>FG172/FG$176</f>
        <v>7.6797002083533059E-2</v>
      </c>
      <c r="FH186" s="77">
        <f>FH172/FH$176</f>
        <v>9.1448108883331172E-2</v>
      </c>
      <c r="FI186" s="580"/>
      <c r="FJ186"/>
      <c r="FK186"/>
      <c r="FL186"/>
      <c r="FM186"/>
      <c r="FN186"/>
      <c r="FO186"/>
      <c r="FP186" s="161"/>
      <c r="FS186" s="70"/>
      <c r="FT186" s="70"/>
      <c r="FU186"/>
      <c r="FV186"/>
      <c r="FW186" s="70"/>
      <c r="FX186" s="70"/>
      <c r="FY186" s="70"/>
      <c r="FZ186"/>
      <c r="GA186"/>
      <c r="GB186"/>
      <c r="GC186"/>
      <c r="GD186"/>
      <c r="GE186"/>
      <c r="GF186"/>
      <c r="GG186"/>
      <c r="GH186"/>
      <c r="GI186"/>
      <c r="GJ186"/>
      <c r="GK186"/>
      <c r="GL186"/>
      <c r="GM186"/>
      <c r="GN186"/>
      <c r="GO186"/>
      <c r="GP186"/>
      <c r="GQ186"/>
      <c r="GR186"/>
      <c r="GS186"/>
      <c r="GT186"/>
      <c r="GU186"/>
      <c r="GV186"/>
      <c r="GW186"/>
      <c r="GX186"/>
      <c r="GY186"/>
      <c r="GZ186"/>
      <c r="HA186"/>
      <c r="HB186"/>
      <c r="HC186"/>
      <c r="HD186"/>
      <c r="HE186"/>
      <c r="HF186"/>
      <c r="HG186"/>
      <c r="HH186"/>
      <c r="HI186"/>
      <c r="HJ186"/>
      <c r="HK186"/>
      <c r="HL186"/>
      <c r="HM186"/>
      <c r="HN186"/>
      <c r="HO186"/>
      <c r="HP186"/>
      <c r="HQ186"/>
      <c r="HR186"/>
      <c r="HS186"/>
      <c r="HT186"/>
      <c r="HU186"/>
      <c r="HV186"/>
      <c r="HW186"/>
      <c r="HX186"/>
      <c r="HY186"/>
      <c r="HZ186"/>
      <c r="IA186"/>
      <c r="IB186"/>
      <c r="IC186"/>
      <c r="ID186"/>
      <c r="IE186"/>
      <c r="IF186"/>
      <c r="IG186"/>
      <c r="IH186"/>
      <c r="II186"/>
      <c r="IJ186"/>
      <c r="IK186"/>
      <c r="IL186"/>
      <c r="IM186"/>
      <c r="IN186"/>
      <c r="IO186"/>
      <c r="IP186"/>
      <c r="IQ186"/>
      <c r="IR186"/>
      <c r="IS186"/>
      <c r="IT186"/>
      <c r="IU186"/>
      <c r="IV186"/>
      <c r="IW186"/>
      <c r="IX186"/>
      <c r="IY186"/>
      <c r="IZ186"/>
    </row>
    <row r="187" spans="1:260" s="15" customFormat="1" hidden="1" outlineLevel="1" x14ac:dyDescent="0.2">
      <c r="A187" s="50" t="s">
        <v>457</v>
      </c>
      <c r="E187" s="518"/>
      <c r="I187" s="518"/>
      <c r="M187" s="518"/>
      <c r="Q187" s="518"/>
      <c r="U187" s="518"/>
      <c r="Y187" s="518"/>
      <c r="AC187" s="518"/>
      <c r="AG187" s="518"/>
      <c r="AK187" s="518"/>
      <c r="AO187" s="518"/>
      <c r="AS187" s="518"/>
      <c r="AW187" s="518"/>
      <c r="BA187" s="518"/>
      <c r="BB187" s="208"/>
      <c r="BC187" s="77">
        <f>SUM(BC181:BC186)</f>
        <v>1</v>
      </c>
      <c r="BD187" s="208"/>
      <c r="BE187" s="572"/>
      <c r="BF187" s="208">
        <f>SUM(BF181:BF186)</f>
        <v>1</v>
      </c>
      <c r="BG187" s="208">
        <v>1</v>
      </c>
      <c r="BH187" s="208">
        <v>1</v>
      </c>
      <c r="BI187" s="572">
        <v>2</v>
      </c>
      <c r="BJ187" s="208">
        <f t="shared" ref="BJ187:BU187" si="816">SUM(BJ181:BJ186)</f>
        <v>1</v>
      </c>
      <c r="BK187" s="208">
        <f t="shared" si="816"/>
        <v>1</v>
      </c>
      <c r="BL187" s="208">
        <f t="shared" si="816"/>
        <v>1</v>
      </c>
      <c r="BM187" s="572">
        <f t="shared" si="816"/>
        <v>1</v>
      </c>
      <c r="BN187" s="208">
        <f t="shared" si="816"/>
        <v>1</v>
      </c>
      <c r="BO187" s="208">
        <f t="shared" si="816"/>
        <v>1</v>
      </c>
      <c r="BP187" s="208">
        <f t="shared" si="816"/>
        <v>0.99999999999999989</v>
      </c>
      <c r="BQ187" s="572">
        <f t="shared" si="816"/>
        <v>0.99999999999999989</v>
      </c>
      <c r="BR187" s="208">
        <f t="shared" si="816"/>
        <v>1</v>
      </c>
      <c r="BS187" s="208">
        <f t="shared" si="816"/>
        <v>1</v>
      </c>
      <c r="BT187" s="208">
        <f t="shared" si="816"/>
        <v>1</v>
      </c>
      <c r="BU187" s="572">
        <f t="shared" si="816"/>
        <v>0.99999999999999989</v>
      </c>
      <c r="BV187" s="50">
        <f>BV176/BV147</f>
        <v>1</v>
      </c>
      <c r="BW187" s="50">
        <f>BW176/BW147</f>
        <v>1</v>
      </c>
      <c r="BX187" s="50">
        <f>BX176/BX147</f>
        <v>1</v>
      </c>
      <c r="BY187" s="550">
        <f>BY176/BY147</f>
        <v>1</v>
      </c>
      <c r="BZ187" s="208">
        <f>SUM(BZ181:BZ186)</f>
        <v>1</v>
      </c>
      <c r="CA187" s="208">
        <f>SUM(CA181:CA186)</f>
        <v>1</v>
      </c>
      <c r="CB187" s="208">
        <f>SUM(CB181:CB186)</f>
        <v>1</v>
      </c>
      <c r="CC187" s="572">
        <f>SUM(CC181:CC186)</f>
        <v>1</v>
      </c>
      <c r="CD187" s="50">
        <f t="shared" ref="CD187:CV187" si="817">CD176/CD147</f>
        <v>1</v>
      </c>
      <c r="CE187" s="50">
        <f t="shared" si="817"/>
        <v>1</v>
      </c>
      <c r="CF187" s="50">
        <f t="shared" si="817"/>
        <v>1</v>
      </c>
      <c r="CG187" s="550">
        <f t="shared" si="817"/>
        <v>1</v>
      </c>
      <c r="CH187" s="50">
        <f t="shared" si="817"/>
        <v>1</v>
      </c>
      <c r="CI187" s="50">
        <f t="shared" si="817"/>
        <v>1</v>
      </c>
      <c r="CJ187" s="50">
        <f t="shared" si="817"/>
        <v>1</v>
      </c>
      <c r="CK187" s="550">
        <f t="shared" si="817"/>
        <v>1</v>
      </c>
      <c r="CL187" s="50">
        <f t="shared" si="817"/>
        <v>1</v>
      </c>
      <c r="CM187" s="50">
        <f t="shared" si="817"/>
        <v>1</v>
      </c>
      <c r="CN187" s="50">
        <f t="shared" si="817"/>
        <v>1</v>
      </c>
      <c r="CO187" s="550">
        <f t="shared" si="817"/>
        <v>1</v>
      </c>
      <c r="CP187" s="208">
        <f t="shared" si="817"/>
        <v>1</v>
      </c>
      <c r="CQ187" s="50">
        <f t="shared" si="817"/>
        <v>1</v>
      </c>
      <c r="CR187" s="208">
        <f t="shared" si="817"/>
        <v>1</v>
      </c>
      <c r="CS187" s="572">
        <f t="shared" si="817"/>
        <v>1</v>
      </c>
      <c r="CT187" s="208">
        <f t="shared" si="817"/>
        <v>1</v>
      </c>
      <c r="CU187" s="208">
        <f t="shared" si="817"/>
        <v>1</v>
      </c>
      <c r="CV187" s="208">
        <f t="shared" si="817"/>
        <v>1</v>
      </c>
      <c r="CW187" s="572">
        <f>CW176/CW147</f>
        <v>1</v>
      </c>
      <c r="CX187" s="208">
        <f>CX176/CX147</f>
        <v>1</v>
      </c>
      <c r="CY187" s="208">
        <f>CY176/CY147</f>
        <v>1</v>
      </c>
      <c r="CZ187" s="208">
        <f t="shared" ref="CZ187:DE187" si="818">SUM(CZ181:CZ186)</f>
        <v>1</v>
      </c>
      <c r="DA187" s="572">
        <f>SUM(DA181:DA186)</f>
        <v>1</v>
      </c>
      <c r="DB187" s="208">
        <f>SUM(DB181:DB186)</f>
        <v>1</v>
      </c>
      <c r="DC187" s="208">
        <f t="shared" si="818"/>
        <v>1</v>
      </c>
      <c r="DD187" s="197">
        <f t="shared" si="818"/>
        <v>1</v>
      </c>
      <c r="DE187" s="572">
        <f t="shared" si="818"/>
        <v>1</v>
      </c>
      <c r="DF187" s="197">
        <f t="shared" ref="DF187:DM187" si="819">SUM(DF181:DF186)</f>
        <v>1</v>
      </c>
      <c r="DG187" s="197">
        <f t="shared" si="819"/>
        <v>1</v>
      </c>
      <c r="DH187" s="197">
        <f t="shared" si="819"/>
        <v>1</v>
      </c>
      <c r="DI187" s="572">
        <f t="shared" si="819"/>
        <v>1</v>
      </c>
      <c r="DJ187" s="1713">
        <f t="shared" si="819"/>
        <v>1</v>
      </c>
      <c r="DK187" s="197">
        <f t="shared" si="819"/>
        <v>1</v>
      </c>
      <c r="DL187" s="197">
        <f t="shared" si="819"/>
        <v>1</v>
      </c>
      <c r="DM187" s="572">
        <f t="shared" si="819"/>
        <v>1</v>
      </c>
      <c r="DN187" s="578"/>
      <c r="DO187" s="487"/>
      <c r="EJ187" s="208">
        <f t="shared" ref="EJ187:EU187" si="820">SUM(EJ181:EJ186)</f>
        <v>1</v>
      </c>
      <c r="EK187" s="208">
        <f t="shared" si="820"/>
        <v>1</v>
      </c>
      <c r="EL187" s="208">
        <f t="shared" si="820"/>
        <v>1</v>
      </c>
      <c r="EM187" s="208">
        <f t="shared" si="820"/>
        <v>1</v>
      </c>
      <c r="EN187" s="208">
        <f t="shared" si="820"/>
        <v>1.0000000000000002</v>
      </c>
      <c r="EO187" s="208">
        <f t="shared" si="820"/>
        <v>1</v>
      </c>
      <c r="EP187" s="208">
        <f t="shared" si="820"/>
        <v>1</v>
      </c>
      <c r="EQ187" s="208">
        <f t="shared" si="820"/>
        <v>1</v>
      </c>
      <c r="ER187" s="208">
        <f t="shared" si="820"/>
        <v>0.99999999999999989</v>
      </c>
      <c r="ES187" s="208">
        <f t="shared" si="820"/>
        <v>1.0000000000000002</v>
      </c>
      <c r="ET187" s="208">
        <f t="shared" si="820"/>
        <v>1</v>
      </c>
      <c r="EU187" s="208">
        <f t="shared" si="820"/>
        <v>1</v>
      </c>
      <c r="EV187" s="208">
        <f>SUM(EV181:EV186)</f>
        <v>1</v>
      </c>
      <c r="EW187" s="208">
        <f>SUM(EW181:EW186)</f>
        <v>1</v>
      </c>
      <c r="EX187" s="208">
        <f>SUM(EX181:EX186)</f>
        <v>1</v>
      </c>
      <c r="EY187" s="208">
        <f>SUM(EY181:EY186)</f>
        <v>0.99999999999999989</v>
      </c>
      <c r="EZ187" s="1739">
        <f>SUM(EZ181:EZ186)</f>
        <v>0.99999999999999989</v>
      </c>
      <c r="FA187" s="50">
        <f t="shared" ref="FA187:FF187" si="821">FA176/FA147</f>
        <v>1</v>
      </c>
      <c r="FB187" s="50">
        <f t="shared" si="821"/>
        <v>1</v>
      </c>
      <c r="FC187" s="50">
        <f t="shared" si="821"/>
        <v>1</v>
      </c>
      <c r="FD187" s="50">
        <f t="shared" si="821"/>
        <v>1</v>
      </c>
      <c r="FE187" s="50">
        <f t="shared" si="821"/>
        <v>1</v>
      </c>
      <c r="FF187" s="50">
        <f t="shared" si="821"/>
        <v>1</v>
      </c>
      <c r="FG187" s="50">
        <f>FG176/FG147</f>
        <v>1</v>
      </c>
      <c r="FH187" s="50">
        <f>FH176/FH147</f>
        <v>1</v>
      </c>
      <c r="FI187" s="578"/>
      <c r="FJ187"/>
      <c r="FK187"/>
      <c r="FL187"/>
      <c r="FM187"/>
      <c r="FN187"/>
      <c r="FO187"/>
      <c r="FP187" s="161"/>
      <c r="FS187" s="197"/>
      <c r="FT187" s="197"/>
      <c r="FU187"/>
      <c r="FV187"/>
      <c r="FW187" s="197"/>
      <c r="FX187" s="197"/>
      <c r="FY187" s="197"/>
      <c r="FZ187"/>
      <c r="GA187"/>
      <c r="GB187"/>
      <c r="GC187"/>
      <c r="GD187"/>
      <c r="GE187"/>
      <c r="GF187"/>
      <c r="GG187"/>
      <c r="GH187"/>
      <c r="GI187"/>
      <c r="GJ187"/>
      <c r="GK187"/>
      <c r="GL187"/>
      <c r="GM187"/>
      <c r="GN187"/>
      <c r="GO187"/>
      <c r="GP187"/>
      <c r="GQ187"/>
      <c r="GR187"/>
      <c r="GS187"/>
      <c r="GT187"/>
      <c r="GU187"/>
      <c r="GV187"/>
      <c r="GW187"/>
      <c r="GX187"/>
      <c r="GY187"/>
      <c r="GZ187"/>
      <c r="HA187"/>
      <c r="HB187"/>
      <c r="HC187"/>
      <c r="HD187"/>
      <c r="HE187"/>
      <c r="HF187"/>
      <c r="HG187"/>
      <c r="HH187"/>
      <c r="HI187"/>
      <c r="HJ187"/>
      <c r="HK187"/>
      <c r="HL187"/>
      <c r="HM187"/>
      <c r="HN187"/>
      <c r="HO187"/>
      <c r="HP187"/>
      <c r="HQ187"/>
      <c r="HR187"/>
      <c r="HS187"/>
      <c r="HT187"/>
      <c r="HU187"/>
      <c r="HV187"/>
      <c r="HW187"/>
      <c r="HX187"/>
      <c r="HY187"/>
      <c r="HZ187"/>
      <c r="IA187"/>
      <c r="IB187"/>
      <c r="IC187"/>
      <c r="ID187"/>
      <c r="IE187"/>
      <c r="IF187"/>
      <c r="IG187"/>
      <c r="IH187"/>
      <c r="II187"/>
      <c r="IJ187"/>
      <c r="IK187"/>
      <c r="IL187"/>
      <c r="IM187"/>
      <c r="IN187"/>
      <c r="IO187"/>
      <c r="IP187"/>
      <c r="IQ187"/>
      <c r="IR187"/>
      <c r="IS187"/>
      <c r="IT187"/>
      <c r="IU187"/>
      <c r="IV187"/>
      <c r="IW187"/>
      <c r="IX187"/>
      <c r="IY187"/>
      <c r="IZ187"/>
    </row>
    <row r="188" spans="1:260" s="4" customFormat="1" hidden="1" outlineLevel="1" x14ac:dyDescent="0.2">
      <c r="E188" s="470"/>
      <c r="I188" s="470"/>
      <c r="M188" s="470"/>
      <c r="Q188" s="470"/>
      <c r="U188" s="470"/>
      <c r="Y188" s="470"/>
      <c r="AC188" s="470"/>
      <c r="AG188" s="470"/>
      <c r="AK188" s="470"/>
      <c r="AO188" s="470"/>
      <c r="AS188" s="470"/>
      <c r="AW188" s="470"/>
      <c r="BA188" s="470"/>
      <c r="BE188" s="470"/>
      <c r="BI188" s="470"/>
      <c r="BM188" s="470"/>
      <c r="BQ188" s="470"/>
      <c r="BU188" s="470"/>
      <c r="BV188" s="783"/>
      <c r="BW188" s="783"/>
      <c r="BX188" s="783"/>
      <c r="BY188" s="470"/>
      <c r="CC188" s="470"/>
      <c r="CD188" s="783"/>
      <c r="CE188" s="783"/>
      <c r="CF188" s="783"/>
      <c r="CG188" s="470"/>
      <c r="CH188" s="783"/>
      <c r="CI188" s="783"/>
      <c r="CJ188" s="783"/>
      <c r="CK188" s="470"/>
      <c r="CL188" s="783"/>
      <c r="CM188" s="783"/>
      <c r="CN188" s="783"/>
      <c r="CO188" s="470"/>
      <c r="CP188" s="6"/>
      <c r="CQ188" s="6"/>
      <c r="CR188" s="6"/>
      <c r="CS188" s="484"/>
      <c r="CT188" s="6"/>
      <c r="CU188" s="6"/>
      <c r="CV188" s="6"/>
      <c r="CW188" s="7"/>
      <c r="CX188" s="671"/>
      <c r="CY188" s="6"/>
      <c r="CZ188" s="6"/>
      <c r="DA188" s="484"/>
      <c r="DB188" s="6"/>
      <c r="DC188" s="6"/>
      <c r="DD188" s="1495"/>
      <c r="DE188" s="491"/>
      <c r="DF188" s="39"/>
      <c r="DG188" s="39"/>
      <c r="DH188" s="39"/>
      <c r="DI188" s="491"/>
      <c r="DJ188" s="2742"/>
      <c r="DK188" s="1357"/>
      <c r="DL188" s="1357"/>
      <c r="DM188" s="2610"/>
      <c r="DN188" s="671"/>
      <c r="DO188" s="484"/>
      <c r="EX188" s="6"/>
      <c r="EY188" s="6"/>
      <c r="EZ188" s="1734"/>
      <c r="FI188" s="671"/>
      <c r="FJ188"/>
      <c r="FK188"/>
      <c r="FL188"/>
      <c r="FM188"/>
      <c r="FN188"/>
      <c r="FO188"/>
      <c r="FP188" s="3"/>
      <c r="FS188" s="7"/>
      <c r="FT188" s="7"/>
      <c r="FU188"/>
      <c r="FV188"/>
      <c r="FW188" s="7"/>
      <c r="FX188" s="7"/>
      <c r="FY188" s="7"/>
      <c r="FZ188"/>
      <c r="GA188"/>
      <c r="GB188"/>
      <c r="GC188"/>
      <c r="GD188"/>
      <c r="GE188"/>
      <c r="GF188"/>
      <c r="GG188"/>
      <c r="GH188"/>
      <c r="GI188"/>
      <c r="GJ188"/>
      <c r="GK188"/>
      <c r="GL188"/>
      <c r="GM188"/>
      <c r="GN188"/>
      <c r="GO188"/>
      <c r="GP188"/>
      <c r="GQ188"/>
      <c r="GR188"/>
      <c r="GS188"/>
      <c r="GT188"/>
      <c r="GU188"/>
      <c r="GV188"/>
      <c r="GW188"/>
      <c r="GX188"/>
      <c r="GY188"/>
      <c r="GZ188"/>
      <c r="HA188"/>
      <c r="HB188"/>
      <c r="HC188"/>
      <c r="HD188"/>
      <c r="HE188"/>
      <c r="HF188"/>
      <c r="HG188"/>
      <c r="HH188"/>
      <c r="HI188"/>
      <c r="HJ188"/>
      <c r="HK188"/>
      <c r="HL188"/>
      <c r="HM188"/>
      <c r="HN188"/>
      <c r="HO188"/>
      <c r="HP188"/>
      <c r="HQ188"/>
      <c r="HR188"/>
      <c r="HS188"/>
      <c r="HT188"/>
      <c r="HU188"/>
      <c r="HV188"/>
      <c r="HW188"/>
      <c r="HX188"/>
      <c r="HY188"/>
      <c r="HZ188"/>
      <c r="IA188"/>
      <c r="IB188"/>
      <c r="IC188"/>
      <c r="ID188"/>
      <c r="IE188"/>
      <c r="IF188"/>
      <c r="IG188"/>
      <c r="IH188"/>
      <c r="II188"/>
      <c r="IJ188"/>
      <c r="IK188"/>
      <c r="IL188"/>
      <c r="IM188"/>
      <c r="IN188"/>
      <c r="IO188"/>
      <c r="IP188"/>
      <c r="IQ188"/>
      <c r="IR188"/>
      <c r="IS188"/>
      <c r="IT188"/>
      <c r="IU188"/>
      <c r="IV188"/>
      <c r="IW188"/>
      <c r="IX188"/>
      <c r="IY188"/>
      <c r="IZ188"/>
    </row>
    <row r="189" spans="1:260" s="6" customFormat="1" hidden="1" outlineLevel="1" x14ac:dyDescent="0.2">
      <c r="A189" s="1820" t="s">
        <v>648</v>
      </c>
      <c r="B189" s="1593"/>
      <c r="C189" s="1593"/>
      <c r="D189" s="1593"/>
      <c r="E189" s="1593"/>
      <c r="F189" s="1593"/>
      <c r="G189" s="1593"/>
      <c r="H189" s="1593"/>
      <c r="I189" s="1593"/>
      <c r="J189" s="1593"/>
      <c r="K189" s="1593"/>
      <c r="L189" s="1593"/>
      <c r="M189" s="1593"/>
      <c r="N189" s="1593"/>
      <c r="O189" s="1593"/>
      <c r="P189" s="1593"/>
      <c r="Q189" s="1593"/>
      <c r="R189" s="1593"/>
      <c r="S189" s="1593"/>
      <c r="T189" s="1593"/>
      <c r="U189" s="1593"/>
      <c r="V189" s="1593"/>
      <c r="W189" s="1593"/>
      <c r="X189" s="1593"/>
      <c r="Y189" s="1593"/>
      <c r="Z189" s="1593"/>
      <c r="AA189" s="1593"/>
      <c r="AB189" s="1593"/>
      <c r="AC189" s="1593"/>
      <c r="AD189" s="1593"/>
      <c r="AE189" s="1593"/>
      <c r="AF189" s="1593"/>
      <c r="AG189" s="1593"/>
      <c r="AH189" s="1593"/>
      <c r="AI189" s="1593"/>
      <c r="AJ189" s="1593"/>
      <c r="AK189" s="1593"/>
      <c r="AL189" s="1593"/>
      <c r="AM189" s="1593"/>
      <c r="AN189" s="1593"/>
      <c r="AO189" s="1593"/>
      <c r="AP189" s="1593"/>
      <c r="AQ189" s="1593"/>
      <c r="AR189" s="1593"/>
      <c r="AS189" s="1593"/>
      <c r="AT189" s="1593"/>
      <c r="AU189" s="1593"/>
      <c r="AV189" s="1593"/>
      <c r="AW189" s="1593"/>
      <c r="AX189" s="1593"/>
      <c r="AY189" s="1593"/>
      <c r="AZ189" s="1593"/>
      <c r="BA189" s="1593"/>
      <c r="BB189" s="1821"/>
      <c r="BC189" s="1593"/>
      <c r="BD189" s="1593"/>
      <c r="BE189" s="1594"/>
      <c r="BF189" s="1821"/>
      <c r="BG189" s="1593"/>
      <c r="BH189" s="1593"/>
      <c r="BI189" s="1594"/>
      <c r="BJ189" s="1821"/>
      <c r="BK189" s="1593"/>
      <c r="BL189" s="1593"/>
      <c r="BM189" s="1594"/>
      <c r="BN189" s="1821"/>
      <c r="BO189" s="1593"/>
      <c r="BP189" s="1593"/>
      <c r="BQ189" s="1594"/>
      <c r="BR189" s="1821"/>
      <c r="BS189" s="1593"/>
      <c r="BT189" s="1593"/>
      <c r="BU189" s="1594"/>
      <c r="BV189" s="1821"/>
      <c r="BW189" s="1593"/>
      <c r="BX189" s="1593"/>
      <c r="BY189" s="1594"/>
      <c r="BZ189" s="1821"/>
      <c r="CA189" s="1593"/>
      <c r="CB189" s="1593"/>
      <c r="CC189" s="1594"/>
      <c r="CD189" s="1821"/>
      <c r="CE189" s="1593"/>
      <c r="CF189" s="1593"/>
      <c r="CG189" s="1594"/>
      <c r="CH189" s="1821"/>
      <c r="CI189" s="1593"/>
      <c r="CJ189" s="1593"/>
      <c r="CK189" s="1594"/>
      <c r="CL189" s="1821"/>
      <c r="CM189" s="1593"/>
      <c r="CN189" s="1593"/>
      <c r="CO189" s="1594"/>
      <c r="CP189" s="1821"/>
      <c r="CQ189" s="1593"/>
      <c r="CR189" s="1593"/>
      <c r="CS189" s="1594"/>
      <c r="CT189" s="1821"/>
      <c r="CU189" s="1593"/>
      <c r="CV189" s="1593"/>
      <c r="CW189" s="1594"/>
      <c r="CX189" s="1822"/>
      <c r="CY189" s="1823"/>
      <c r="CZ189" s="1823"/>
      <c r="DA189" s="1824"/>
      <c r="DB189" s="1823"/>
      <c r="DC189" s="1823"/>
      <c r="DD189" s="1823"/>
      <c r="DE189" s="1594"/>
      <c r="DF189" s="1593"/>
      <c r="DG189" s="1593"/>
      <c r="DH189" s="1593"/>
      <c r="DI189" s="1594"/>
      <c r="DJ189" s="1593"/>
      <c r="DK189" s="1593"/>
      <c r="DL189" s="1593"/>
      <c r="DM189" s="1594"/>
      <c r="DN189" s="587"/>
      <c r="DO189" s="484"/>
      <c r="DP189" s="1826"/>
      <c r="DQ189" s="1827"/>
      <c r="DR189" s="1827"/>
      <c r="DS189" s="1827"/>
      <c r="DT189" s="1827"/>
      <c r="DU189" s="1827"/>
      <c r="DV189" s="1827"/>
      <c r="DW189" s="1827"/>
      <c r="DX189" s="1827"/>
      <c r="DY189" s="1827"/>
      <c r="DZ189" s="1827"/>
      <c r="EA189" s="1827"/>
      <c r="EB189" s="1827"/>
      <c r="EC189" s="1827"/>
      <c r="ED189" s="1827"/>
      <c r="EE189" s="1827"/>
      <c r="EF189" s="1827"/>
      <c r="EG189" s="1827"/>
      <c r="EH189" s="1827"/>
      <c r="EI189" s="1827"/>
      <c r="EJ189" s="1827"/>
      <c r="EK189" s="1827"/>
      <c r="EL189" s="1827"/>
      <c r="EM189" s="1827"/>
      <c r="EN189" s="1827"/>
      <c r="EO189" s="1827"/>
      <c r="EP189" s="1827"/>
      <c r="EQ189" s="1827"/>
      <c r="ER189" s="1827"/>
      <c r="ES189" s="1827"/>
      <c r="ET189" s="1827"/>
      <c r="EU189" s="1593"/>
      <c r="EV189" s="1593"/>
      <c r="EW189" s="1593"/>
      <c r="EX189" s="1593"/>
      <c r="EY189" s="1593"/>
      <c r="EZ189" s="1593"/>
      <c r="FA189" s="1593"/>
      <c r="FB189" s="1593"/>
      <c r="FC189" s="1593"/>
      <c r="FD189" s="1593"/>
      <c r="FE189" s="1593"/>
      <c r="FF189" s="1593"/>
      <c r="FG189" s="1593"/>
      <c r="FH189" s="1594"/>
      <c r="FI189" s="587"/>
      <c r="FJ189"/>
      <c r="FK189"/>
      <c r="FL189"/>
      <c r="FM189"/>
      <c r="FN189"/>
      <c r="FO189"/>
      <c r="FP189" s="7"/>
      <c r="FS189" s="335"/>
      <c r="FT189" s="335"/>
      <c r="FU189"/>
      <c r="FV189"/>
      <c r="FW189" s="134"/>
      <c r="FX189" s="134"/>
      <c r="FY189" s="134"/>
      <c r="FZ189"/>
      <c r="GA189"/>
      <c r="GB189"/>
      <c r="GC189"/>
      <c r="GD189"/>
      <c r="GE189"/>
      <c r="GF189"/>
      <c r="GG189"/>
      <c r="GH189"/>
      <c r="GI189"/>
      <c r="GJ189"/>
      <c r="GK189"/>
      <c r="GL189"/>
      <c r="GM189"/>
      <c r="GN189"/>
      <c r="GO189"/>
      <c r="GP189"/>
      <c r="GQ189"/>
      <c r="GR189"/>
      <c r="GS189"/>
      <c r="GT189"/>
      <c r="GU189"/>
      <c r="GV189"/>
      <c r="GW189"/>
      <c r="GX189"/>
      <c r="GY189"/>
      <c r="GZ189"/>
      <c r="HA189"/>
      <c r="HB189"/>
      <c r="HC189"/>
      <c r="HD189"/>
      <c r="HE189"/>
      <c r="HF189"/>
      <c r="HG189"/>
      <c r="HH189"/>
      <c r="HI189"/>
      <c r="HJ189"/>
      <c r="HK189"/>
      <c r="HL189"/>
      <c r="HM189"/>
      <c r="HN189"/>
      <c r="HO189"/>
      <c r="HP189"/>
      <c r="HQ189"/>
      <c r="HR189"/>
      <c r="HS189"/>
      <c r="HT189"/>
      <c r="HU189"/>
      <c r="HV189"/>
      <c r="HW189"/>
      <c r="HX189"/>
      <c r="HY189"/>
      <c r="HZ189"/>
      <c r="IA189"/>
      <c r="IB189"/>
      <c r="IC189"/>
      <c r="ID189"/>
      <c r="IE189"/>
      <c r="IF189"/>
      <c r="IG189"/>
      <c r="IH189"/>
      <c r="II189"/>
      <c r="IJ189"/>
      <c r="IK189"/>
      <c r="IL189"/>
      <c r="IM189"/>
      <c r="IN189"/>
      <c r="IO189"/>
      <c r="IP189"/>
      <c r="IQ189"/>
      <c r="IR189"/>
      <c r="IS189"/>
      <c r="IT189"/>
      <c r="IU189"/>
      <c r="IV189"/>
      <c r="IW189"/>
      <c r="IX189"/>
      <c r="IY189"/>
      <c r="IZ189"/>
    </row>
    <row r="190" spans="1:260" s="19" customFormat="1" hidden="1" outlineLevel="1" x14ac:dyDescent="0.2">
      <c r="A190" s="19" t="s">
        <v>86</v>
      </c>
      <c r="E190" s="469"/>
      <c r="I190" s="469"/>
      <c r="M190" s="469"/>
      <c r="Q190" s="469"/>
      <c r="U190" s="469"/>
      <c r="Y190" s="469"/>
      <c r="AC190" s="469"/>
      <c r="AG190" s="469"/>
      <c r="AK190" s="469"/>
      <c r="AO190" s="469"/>
      <c r="AS190" s="469"/>
      <c r="AW190" s="469"/>
      <c r="BA190" s="469"/>
      <c r="BB190" s="1157"/>
      <c r="BC190" s="219">
        <v>7.5999999999999998E-2</v>
      </c>
      <c r="BD190" s="219"/>
      <c r="BE190" s="572"/>
      <c r="BF190" s="1157">
        <v>-4.0000000000000001E-3</v>
      </c>
      <c r="BG190" s="219">
        <v>-3.3000000000000002E-2</v>
      </c>
      <c r="BH190" s="219">
        <v>1.7000000000000001E-2</v>
      </c>
      <c r="BI190" s="572">
        <v>-5.6000000000000001E-2</v>
      </c>
      <c r="BJ190" s="1157">
        <v>-6.0000000000000001E-3</v>
      </c>
      <c r="BK190" s="219">
        <v>0.02</v>
      </c>
      <c r="BL190" s="219">
        <v>-0.13700000000000001</v>
      </c>
      <c r="BM190" s="572">
        <v>-8.5999999999999993E-2</v>
      </c>
      <c r="BN190" s="1157">
        <v>-7.5999999999999998E-2</v>
      </c>
      <c r="BO190" s="219">
        <v>-2.4E-2</v>
      </c>
      <c r="BP190" s="219">
        <v>0.08</v>
      </c>
      <c r="BQ190" s="572">
        <v>4.2000000000000003E-2</v>
      </c>
      <c r="BR190" s="1157">
        <v>0</v>
      </c>
      <c r="BS190" s="219">
        <v>-6.7000000000000004E-2</v>
      </c>
      <c r="BT190" s="219">
        <v>-0.106</v>
      </c>
      <c r="BU190" s="572">
        <v>-6.5000000000000002E-2</v>
      </c>
      <c r="BV190" s="1157">
        <v>-6.8000000000000005E-2</v>
      </c>
      <c r="BW190" s="50">
        <v>-6.5000000000000002E-2</v>
      </c>
      <c r="BX190" s="50">
        <v>-4.8000000000000001E-2</v>
      </c>
      <c r="BY190" s="572">
        <v>-4.2000000000000003E-2</v>
      </c>
      <c r="BZ190" s="1157">
        <v>5.6000000000000008E-2</v>
      </c>
      <c r="CA190" s="50">
        <v>-4.9000000000000002E-2</v>
      </c>
      <c r="CB190" s="50">
        <v>-0.10800000000000001</v>
      </c>
      <c r="CC190" s="572">
        <v>-7.0999999999999994E-2</v>
      </c>
      <c r="CD190" s="1157">
        <v>-5.6000000000000008E-2</v>
      </c>
      <c r="CE190" s="50">
        <v>-8.5999999999999993E-2</v>
      </c>
      <c r="CF190" s="50">
        <v>-5.0999999999999997E-2</v>
      </c>
      <c r="CG190" s="572">
        <v>-4.8000000000000001E-2</v>
      </c>
      <c r="CH190" s="1157">
        <v>-5.3999999999999999E-2</v>
      </c>
      <c r="CI190" s="50">
        <v>-9.6000000000000002E-2</v>
      </c>
      <c r="CJ190" s="50">
        <v>-8.4000000000000005E-2</v>
      </c>
      <c r="CK190" s="572">
        <v>-5.8000000000000003E-2</v>
      </c>
      <c r="CL190" s="1157">
        <v>-5.3999999999999999E-2</v>
      </c>
      <c r="CM190" s="50">
        <v>-9.6000000000000002E-2</v>
      </c>
      <c r="CN190" s="50">
        <v>-8.4000000000000005E-2</v>
      </c>
      <c r="CO190" s="572">
        <v>-5.8000000000000003E-2</v>
      </c>
      <c r="CP190" s="1157">
        <v>-8.1000000000000003E-2</v>
      </c>
      <c r="CQ190" s="50">
        <v>-5.5E-2</v>
      </c>
      <c r="CR190" s="50">
        <v>-2.5000000000000001E-2</v>
      </c>
      <c r="CS190" s="572">
        <v>-5.8999999999999997E-2</v>
      </c>
      <c r="CT190" s="1157">
        <v>-4.1000000000000002E-2</v>
      </c>
      <c r="CU190" s="50">
        <v>2E-3</v>
      </c>
      <c r="CV190" s="50">
        <v>3.1E-2</v>
      </c>
      <c r="CW190" s="572">
        <v>0.107</v>
      </c>
      <c r="CX190" s="1157">
        <v>7.5999999999999998E-2</v>
      </c>
      <c r="CY190" s="50">
        <v>7.2999999999999995E-2</v>
      </c>
      <c r="CZ190" s="50">
        <v>0.03</v>
      </c>
      <c r="DA190" s="572">
        <v>2.7E-2</v>
      </c>
      <c r="DB190" s="50">
        <v>5.6000000000000001E-2</v>
      </c>
      <c r="DC190" s="208">
        <v>0.04</v>
      </c>
      <c r="DD190" s="197">
        <v>4.9000000000000002E-2</v>
      </c>
      <c r="DE190" s="572">
        <v>7.0000000000000007E-2</v>
      </c>
      <c r="DF190" s="208">
        <v>7.0000000000000001E-3</v>
      </c>
      <c r="DG190" s="208">
        <v>2.5000000000000001E-2</v>
      </c>
      <c r="DH190" s="208">
        <v>3.5000000000000003E-2</v>
      </c>
      <c r="DI190" s="572">
        <v>4.2999999999999997E-2</v>
      </c>
      <c r="DJ190" s="2704"/>
      <c r="DK190" s="1552"/>
      <c r="DL190" s="1552"/>
      <c r="DM190" s="1551"/>
      <c r="DN190" s="578"/>
      <c r="DO190" s="572"/>
      <c r="DP190" s="50"/>
      <c r="DQ190" s="50"/>
      <c r="DR190" s="50"/>
      <c r="DS190" s="50"/>
      <c r="DT190" s="50"/>
      <c r="DU190" s="50"/>
      <c r="DV190" s="50"/>
      <c r="DW190" s="50"/>
      <c r="DX190" s="50"/>
      <c r="DY190" s="50"/>
      <c r="DZ190" s="50"/>
      <c r="EA190" s="50"/>
      <c r="EB190" s="50"/>
      <c r="EC190" s="50"/>
      <c r="ED190" s="50"/>
      <c r="EE190" s="50"/>
      <c r="EF190" s="50"/>
      <c r="EG190" s="50"/>
      <c r="EH190" s="50"/>
      <c r="EI190" s="50"/>
      <c r="EJ190" s="50"/>
      <c r="EK190" s="197"/>
      <c r="EL190" s="197">
        <v>-2.4E-2</v>
      </c>
      <c r="EM190" s="197">
        <v>-5.8000000000000003E-2</v>
      </c>
      <c r="EN190" s="50">
        <v>1.0999999999999999E-2</v>
      </c>
      <c r="EO190" s="50">
        <v>-6.3E-2</v>
      </c>
      <c r="EP190" s="50"/>
      <c r="EQ190" s="50">
        <v>-4.9000000000000002E-2</v>
      </c>
      <c r="ER190" s="50">
        <v>-5.8999999999999997E-2</v>
      </c>
      <c r="ES190" s="50">
        <v>-7.0000000000000007E-2</v>
      </c>
      <c r="ET190" s="50">
        <v>-7.0000000000000007E-2</v>
      </c>
      <c r="EU190" s="50">
        <v>-5.6000000000000001E-2</v>
      </c>
      <c r="EV190" s="50">
        <v>3.6999999999999998E-2</v>
      </c>
      <c r="EW190" s="50">
        <v>4.7E-2</v>
      </c>
      <c r="EX190" s="208">
        <v>0.05</v>
      </c>
      <c r="EY190" s="2785">
        <v>9.5553607285694189E-3</v>
      </c>
      <c r="EZ190" s="1739"/>
      <c r="FA190" s="50"/>
      <c r="FB190" s="50"/>
      <c r="FC190" s="50"/>
      <c r="FD190" s="50"/>
      <c r="FE190" s="50"/>
      <c r="FF190" s="50"/>
      <c r="FG190" s="50"/>
      <c r="FH190" s="50"/>
      <c r="FI190" s="590"/>
      <c r="FJ190"/>
      <c r="FK190"/>
      <c r="FL190"/>
      <c r="FM190"/>
      <c r="FN190"/>
      <c r="FO190"/>
      <c r="FP190" s="401"/>
      <c r="FS190" s="53"/>
      <c r="FT190" s="53"/>
      <c r="FW190" s="197"/>
      <c r="FX190" s="197"/>
      <c r="FY190" s="197"/>
    </row>
    <row r="191" spans="1:260" s="4" customFormat="1" hidden="1" outlineLevel="1" x14ac:dyDescent="0.2">
      <c r="A191" s="4" t="s">
        <v>4</v>
      </c>
      <c r="E191" s="470"/>
      <c r="I191" s="470"/>
      <c r="M191" s="470"/>
      <c r="Q191" s="470"/>
      <c r="U191" s="470"/>
      <c r="Y191" s="470"/>
      <c r="AC191" s="470"/>
      <c r="AG191" s="470"/>
      <c r="AK191" s="470"/>
      <c r="AO191" s="470"/>
      <c r="AS191" s="470"/>
      <c r="AW191" s="470"/>
      <c r="BA191" s="470"/>
      <c r="BB191" s="580"/>
      <c r="BC191" s="70"/>
      <c r="BD191" s="70"/>
      <c r="BE191" s="487"/>
      <c r="BF191" s="580"/>
      <c r="BG191" s="70"/>
      <c r="BH191" s="70"/>
      <c r="BI191" s="487"/>
      <c r="BJ191" s="580">
        <f t="shared" ref="BJ191:DB191" si="822">BF190+BJ190</f>
        <v>-0.01</v>
      </c>
      <c r="BK191" s="70">
        <f t="shared" si="822"/>
        <v>-1.3000000000000001E-2</v>
      </c>
      <c r="BL191" s="70">
        <f t="shared" si="822"/>
        <v>-0.12000000000000001</v>
      </c>
      <c r="BM191" s="487">
        <f t="shared" si="822"/>
        <v>-0.14199999999999999</v>
      </c>
      <c r="BN191" s="580">
        <f t="shared" si="822"/>
        <v>-8.2000000000000003E-2</v>
      </c>
      <c r="BO191" s="70">
        <f t="shared" si="822"/>
        <v>-4.0000000000000001E-3</v>
      </c>
      <c r="BP191" s="70">
        <f t="shared" si="822"/>
        <v>-5.7000000000000009E-2</v>
      </c>
      <c r="BQ191" s="487">
        <f t="shared" si="822"/>
        <v>-4.3999999999999991E-2</v>
      </c>
      <c r="BR191" s="580">
        <f t="shared" si="822"/>
        <v>-7.5999999999999998E-2</v>
      </c>
      <c r="BS191" s="70">
        <f t="shared" si="822"/>
        <v>-9.0999999999999998E-2</v>
      </c>
      <c r="BT191" s="70">
        <f t="shared" si="822"/>
        <v>-2.5999999999999995E-2</v>
      </c>
      <c r="BU191" s="487">
        <f t="shared" si="822"/>
        <v>-2.3E-2</v>
      </c>
      <c r="BV191" s="580">
        <f t="shared" si="822"/>
        <v>-6.8000000000000005E-2</v>
      </c>
      <c r="BW191" s="70">
        <f t="shared" si="822"/>
        <v>-0.13200000000000001</v>
      </c>
      <c r="BX191" s="70">
        <f t="shared" si="822"/>
        <v>-0.154</v>
      </c>
      <c r="BY191" s="487">
        <f t="shared" si="822"/>
        <v>-0.10700000000000001</v>
      </c>
      <c r="BZ191" s="580">
        <f t="shared" si="822"/>
        <v>-1.1999999999999997E-2</v>
      </c>
      <c r="CA191" s="70">
        <f t="shared" si="822"/>
        <v>-0.114</v>
      </c>
      <c r="CB191" s="70">
        <f t="shared" si="822"/>
        <v>-0.15600000000000003</v>
      </c>
      <c r="CC191" s="487">
        <f t="shared" si="822"/>
        <v>-0.11299999999999999</v>
      </c>
      <c r="CD191" s="580">
        <f t="shared" si="822"/>
        <v>0</v>
      </c>
      <c r="CE191" s="70">
        <f t="shared" si="822"/>
        <v>-0.13500000000000001</v>
      </c>
      <c r="CF191" s="70">
        <f t="shared" si="822"/>
        <v>-0.159</v>
      </c>
      <c r="CG191" s="487">
        <f t="shared" si="822"/>
        <v>-0.11899999999999999</v>
      </c>
      <c r="CH191" s="580">
        <f t="shared" si="822"/>
        <v>-0.11000000000000001</v>
      </c>
      <c r="CI191" s="70">
        <f t="shared" si="822"/>
        <v>-0.182</v>
      </c>
      <c r="CJ191" s="70">
        <f t="shared" si="822"/>
        <v>-0.13500000000000001</v>
      </c>
      <c r="CK191" s="487">
        <f t="shared" si="822"/>
        <v>-0.10600000000000001</v>
      </c>
      <c r="CL191" s="580">
        <f t="shared" si="822"/>
        <v>-0.108</v>
      </c>
      <c r="CM191" s="70">
        <f t="shared" si="822"/>
        <v>-0.192</v>
      </c>
      <c r="CN191" s="70">
        <f t="shared" si="822"/>
        <v>-0.16800000000000001</v>
      </c>
      <c r="CO191" s="487">
        <f t="shared" si="822"/>
        <v>-0.11600000000000001</v>
      </c>
      <c r="CP191" s="580">
        <f t="shared" si="822"/>
        <v>-0.13500000000000001</v>
      </c>
      <c r="CQ191" s="70">
        <f t="shared" si="822"/>
        <v>-0.151</v>
      </c>
      <c r="CR191" s="70">
        <f t="shared" si="822"/>
        <v>-0.10900000000000001</v>
      </c>
      <c r="CS191" s="487">
        <f t="shared" si="822"/>
        <v>-0.11699999999999999</v>
      </c>
      <c r="CT191" s="580">
        <f t="shared" si="822"/>
        <v>-0.122</v>
      </c>
      <c r="CU191" s="70">
        <f t="shared" si="822"/>
        <v>-5.2999999999999999E-2</v>
      </c>
      <c r="CV191" s="70">
        <f t="shared" si="822"/>
        <v>5.9999999999999984E-3</v>
      </c>
      <c r="CW191" s="487">
        <f t="shared" si="822"/>
        <v>4.8000000000000001E-2</v>
      </c>
      <c r="CX191" s="580">
        <f t="shared" si="822"/>
        <v>3.4999999999999996E-2</v>
      </c>
      <c r="CY191" s="70">
        <f t="shared" si="822"/>
        <v>7.4999999999999997E-2</v>
      </c>
      <c r="CZ191" s="70">
        <f t="shared" si="822"/>
        <v>6.0999999999999999E-2</v>
      </c>
      <c r="DA191" s="487">
        <f t="shared" si="822"/>
        <v>0.13400000000000001</v>
      </c>
      <c r="DB191" s="70">
        <f t="shared" si="822"/>
        <v>0.13200000000000001</v>
      </c>
      <c r="DC191" s="70">
        <f t="shared" ref="DC191:DI191" si="823">CY190+DC190</f>
        <v>0.11299999999999999</v>
      </c>
      <c r="DD191" s="70">
        <f t="shared" si="823"/>
        <v>7.9000000000000001E-2</v>
      </c>
      <c r="DE191" s="1569">
        <f t="shared" si="823"/>
        <v>9.7000000000000003E-2</v>
      </c>
      <c r="DF191" s="70">
        <f t="shared" si="823"/>
        <v>6.3E-2</v>
      </c>
      <c r="DG191" s="70">
        <f t="shared" si="823"/>
        <v>6.5000000000000002E-2</v>
      </c>
      <c r="DH191" s="70">
        <f t="shared" si="823"/>
        <v>8.4000000000000005E-2</v>
      </c>
      <c r="DI191" s="1569">
        <f t="shared" si="823"/>
        <v>0.113</v>
      </c>
      <c r="DJ191" s="1673"/>
      <c r="DK191" s="70"/>
      <c r="DL191" s="70"/>
      <c r="DM191" s="487"/>
      <c r="DN191" s="580"/>
      <c r="DO191" s="487"/>
      <c r="DP191" s="15"/>
      <c r="DQ191" s="15"/>
      <c r="DR191" s="15"/>
      <c r="DS191" s="15"/>
      <c r="DT191" s="15"/>
      <c r="DU191" s="15"/>
      <c r="DV191" s="15"/>
      <c r="DW191" s="15"/>
      <c r="DX191" s="15"/>
      <c r="DY191" s="15"/>
      <c r="DZ191" s="15"/>
      <c r="EA191" s="15"/>
      <c r="EB191" s="15"/>
      <c r="EC191" s="15"/>
      <c r="ED191" s="15"/>
      <c r="EE191" s="15"/>
      <c r="EF191" s="15"/>
      <c r="EG191" s="15"/>
      <c r="EH191" s="15"/>
      <c r="EI191" s="15"/>
      <c r="EJ191" s="15"/>
      <c r="EK191" s="70"/>
      <c r="EL191" s="70"/>
      <c r="EM191" s="77">
        <f t="shared" ref="EM191" si="824">EM190+EL190</f>
        <v>-8.2000000000000003E-2</v>
      </c>
      <c r="EN191" s="77">
        <f t="shared" ref="EN191" si="825">EN190+EM190</f>
        <v>-4.7E-2</v>
      </c>
      <c r="EO191" s="77">
        <f t="shared" ref="EO191" si="826">EO190+EN190</f>
        <v>-5.2000000000000005E-2</v>
      </c>
      <c r="EP191" s="77">
        <f t="shared" ref="EP191" si="827">EP190+EO190</f>
        <v>-6.3E-2</v>
      </c>
      <c r="EQ191" s="77">
        <f>+EQ190+EN190</f>
        <v>-3.8000000000000006E-2</v>
      </c>
      <c r="ER191" s="77">
        <f>ER190+EQ190</f>
        <v>-0.108</v>
      </c>
      <c r="ES191" s="77">
        <f>+ES190+EP190</f>
        <v>-7.0000000000000007E-2</v>
      </c>
      <c r="ET191" s="77">
        <f>+ET190+ER190</f>
        <v>-0.129</v>
      </c>
      <c r="EU191" s="77">
        <f t="shared" ref="EU191" si="828">+EU190+ET190</f>
        <v>-0.126</v>
      </c>
      <c r="EV191" s="52">
        <f t="shared" ref="EV191" si="829">+EV190+EU190</f>
        <v>-1.9000000000000003E-2</v>
      </c>
      <c r="EW191" s="52">
        <f t="shared" ref="EW191" si="830">+EW190+EV190</f>
        <v>8.3999999999999991E-2</v>
      </c>
      <c r="EX191" s="52">
        <f t="shared" ref="EX191" si="831">+EX190+EW190</f>
        <v>9.7000000000000003E-2</v>
      </c>
      <c r="EY191" s="52">
        <f t="shared" ref="EY191" si="832">+EY190+EX190</f>
        <v>5.9555360728569422E-2</v>
      </c>
      <c r="EZ191" s="1680"/>
      <c r="FA191" s="15"/>
      <c r="FB191" s="15"/>
      <c r="FC191" s="15"/>
      <c r="FD191" s="15"/>
      <c r="FE191" s="15"/>
      <c r="FF191" s="15"/>
      <c r="FG191" s="15"/>
      <c r="FH191" s="15"/>
      <c r="FI191" s="671"/>
      <c r="FJ191"/>
      <c r="FK191"/>
      <c r="FL191"/>
      <c r="FM191"/>
      <c r="FN191"/>
      <c r="FO191"/>
      <c r="FP191" s="3"/>
      <c r="FS191" s="7"/>
      <c r="FT191" s="7"/>
      <c r="FU191"/>
      <c r="FV191"/>
      <c r="FW191" s="70"/>
      <c r="FX191" s="70"/>
      <c r="FY191" s="70"/>
      <c r="FZ191"/>
      <c r="GA191"/>
      <c r="GB191"/>
      <c r="GC191"/>
      <c r="GD191"/>
      <c r="GE191"/>
      <c r="GF191"/>
      <c r="GG191"/>
      <c r="GH191"/>
      <c r="GI191"/>
      <c r="GJ191"/>
      <c r="GK191"/>
      <c r="GL191"/>
      <c r="GM191"/>
      <c r="GN191"/>
      <c r="GO191"/>
      <c r="GP191"/>
      <c r="GQ191"/>
      <c r="GR191"/>
      <c r="GS191"/>
      <c r="GT191"/>
      <c r="GU191"/>
      <c r="GV191"/>
      <c r="GW191"/>
      <c r="GX191"/>
      <c r="GY191"/>
      <c r="GZ191"/>
      <c r="HA191"/>
      <c r="HB191"/>
      <c r="HC191"/>
      <c r="HD191"/>
      <c r="HE191"/>
      <c r="HF191"/>
      <c r="HG191"/>
      <c r="HH191"/>
      <c r="HI191"/>
      <c r="HJ191"/>
      <c r="HK191"/>
      <c r="HL191"/>
      <c r="HM191"/>
      <c r="HN191"/>
      <c r="HO191"/>
      <c r="HP191"/>
      <c r="HQ191"/>
      <c r="HR191"/>
      <c r="HS191"/>
      <c r="HT191"/>
      <c r="HU191"/>
      <c r="HV191"/>
      <c r="HW191"/>
      <c r="HX191"/>
      <c r="HY191"/>
      <c r="HZ191"/>
      <c r="IA191"/>
      <c r="IB191"/>
      <c r="IC191"/>
      <c r="ID191"/>
      <c r="IE191"/>
      <c r="IF191"/>
      <c r="IG191"/>
      <c r="IH191"/>
      <c r="II191"/>
      <c r="IJ191"/>
      <c r="IK191"/>
      <c r="IL191"/>
      <c r="IM191"/>
      <c r="IN191"/>
      <c r="IO191"/>
      <c r="IP191"/>
      <c r="IQ191"/>
      <c r="IR191"/>
      <c r="IS191"/>
      <c r="IT191"/>
      <c r="IU191"/>
      <c r="IV191"/>
      <c r="IW191"/>
      <c r="IX191"/>
      <c r="IY191"/>
      <c r="IZ191"/>
    </row>
    <row r="192" spans="1:260" s="4" customFormat="1" hidden="1" outlineLevel="1" x14ac:dyDescent="0.2">
      <c r="A192" s="4" t="s">
        <v>610</v>
      </c>
      <c r="E192" s="470"/>
      <c r="I192" s="470"/>
      <c r="M192" s="470"/>
      <c r="Q192" s="470"/>
      <c r="U192" s="470"/>
      <c r="Y192" s="470"/>
      <c r="AC192" s="470"/>
      <c r="AG192" s="470"/>
      <c r="AK192" s="470"/>
      <c r="AO192" s="470"/>
      <c r="AS192" s="470"/>
      <c r="AW192" s="470"/>
      <c r="BA192" s="470"/>
      <c r="BB192" s="580"/>
      <c r="BC192" s="70"/>
      <c r="BD192" s="70"/>
      <c r="BE192" s="487"/>
      <c r="BF192" s="580"/>
      <c r="BG192" s="70"/>
      <c r="BH192" s="70"/>
      <c r="BI192" s="487"/>
      <c r="BJ192" s="580"/>
      <c r="BK192" s="70"/>
      <c r="BL192" s="70"/>
      <c r="BM192" s="487"/>
      <c r="BN192" s="580">
        <f t="shared" ref="BN192:DB192" si="833">BN190+BJ190+BF190</f>
        <v>-8.6000000000000007E-2</v>
      </c>
      <c r="BO192" s="70">
        <f t="shared" si="833"/>
        <v>-3.7000000000000005E-2</v>
      </c>
      <c r="BP192" s="70">
        <f t="shared" si="833"/>
        <v>-4.0000000000000008E-2</v>
      </c>
      <c r="BQ192" s="487">
        <f t="shared" si="833"/>
        <v>-9.9999999999999992E-2</v>
      </c>
      <c r="BR192" s="580">
        <f t="shared" si="833"/>
        <v>-8.2000000000000003E-2</v>
      </c>
      <c r="BS192" s="70">
        <f t="shared" si="833"/>
        <v>-7.0999999999999994E-2</v>
      </c>
      <c r="BT192" s="70">
        <f t="shared" si="833"/>
        <v>-0.16300000000000001</v>
      </c>
      <c r="BU192" s="487">
        <f t="shared" si="833"/>
        <v>-0.10899999999999999</v>
      </c>
      <c r="BV192" s="580">
        <f t="shared" si="833"/>
        <v>-0.14400000000000002</v>
      </c>
      <c r="BW192" s="70">
        <f t="shared" si="833"/>
        <v>-0.156</v>
      </c>
      <c r="BX192" s="70">
        <f t="shared" si="833"/>
        <v>-7.3999999999999996E-2</v>
      </c>
      <c r="BY192" s="487">
        <f t="shared" si="833"/>
        <v>-6.5000000000000002E-2</v>
      </c>
      <c r="BZ192" s="580">
        <f t="shared" si="833"/>
        <v>-1.1999999999999997E-2</v>
      </c>
      <c r="CA192" s="70">
        <f t="shared" si="833"/>
        <v>-0.18099999999999999</v>
      </c>
      <c r="CB192" s="70">
        <f t="shared" si="833"/>
        <v>-0.26200000000000001</v>
      </c>
      <c r="CC192" s="487">
        <f t="shared" si="833"/>
        <v>-0.17799999999999999</v>
      </c>
      <c r="CD192" s="580">
        <f t="shared" si="833"/>
        <v>-6.8000000000000005E-2</v>
      </c>
      <c r="CE192" s="70">
        <f t="shared" si="833"/>
        <v>-0.2</v>
      </c>
      <c r="CF192" s="70">
        <f t="shared" si="833"/>
        <v>-0.20700000000000002</v>
      </c>
      <c r="CG192" s="487">
        <f t="shared" si="833"/>
        <v>-0.161</v>
      </c>
      <c r="CH192" s="580">
        <f t="shared" si="833"/>
        <v>-5.4000000000000006E-2</v>
      </c>
      <c r="CI192" s="70">
        <f t="shared" si="833"/>
        <v>-0.23099999999999998</v>
      </c>
      <c r="CJ192" s="70">
        <f t="shared" si="833"/>
        <v>-0.24300000000000002</v>
      </c>
      <c r="CK192" s="487">
        <f t="shared" si="833"/>
        <v>-0.17699999999999999</v>
      </c>
      <c r="CL192" s="580">
        <f t="shared" si="833"/>
        <v>-0.16400000000000001</v>
      </c>
      <c r="CM192" s="70">
        <f t="shared" si="833"/>
        <v>-0.27800000000000002</v>
      </c>
      <c r="CN192" s="70">
        <f t="shared" si="833"/>
        <v>-0.219</v>
      </c>
      <c r="CO192" s="487">
        <f t="shared" si="833"/>
        <v>-0.16400000000000001</v>
      </c>
      <c r="CP192" s="580">
        <f t="shared" si="833"/>
        <v>-0.189</v>
      </c>
      <c r="CQ192" s="70">
        <f t="shared" si="833"/>
        <v>-0.247</v>
      </c>
      <c r="CR192" s="70">
        <f t="shared" si="833"/>
        <v>-0.193</v>
      </c>
      <c r="CS192" s="487">
        <f>CS190+CO190+CK190</f>
        <v>-0.17499999999999999</v>
      </c>
      <c r="CT192" s="580">
        <f t="shared" si="833"/>
        <v>-0.17599999999999999</v>
      </c>
      <c r="CU192" s="70">
        <f t="shared" si="833"/>
        <v>-0.14899999999999999</v>
      </c>
      <c r="CV192" s="70">
        <f t="shared" si="833"/>
        <v>-7.8000000000000014E-2</v>
      </c>
      <c r="CW192" s="487">
        <f t="shared" si="833"/>
        <v>-1.0000000000000002E-2</v>
      </c>
      <c r="CX192" s="580">
        <f t="shared" si="833"/>
        <v>-4.6000000000000006E-2</v>
      </c>
      <c r="CY192" s="70">
        <f t="shared" si="833"/>
        <v>1.9999999999999997E-2</v>
      </c>
      <c r="CZ192" s="70">
        <f t="shared" si="833"/>
        <v>3.5999999999999997E-2</v>
      </c>
      <c r="DA192" s="487">
        <f t="shared" si="833"/>
        <v>7.5000000000000011E-2</v>
      </c>
      <c r="DB192" s="70">
        <f t="shared" si="833"/>
        <v>9.0999999999999998E-2</v>
      </c>
      <c r="DC192" s="70">
        <f t="shared" ref="DC192:DI192" si="834">DC190+CY190+CU190</f>
        <v>0.11499999999999999</v>
      </c>
      <c r="DD192" s="70">
        <f t="shared" si="834"/>
        <v>0.11</v>
      </c>
      <c r="DE192" s="1569">
        <f t="shared" si="834"/>
        <v>0.20400000000000001</v>
      </c>
      <c r="DF192" s="70">
        <f t="shared" si="834"/>
        <v>0.13900000000000001</v>
      </c>
      <c r="DG192" s="70">
        <f t="shared" si="834"/>
        <v>0.13800000000000001</v>
      </c>
      <c r="DH192" s="70">
        <f t="shared" si="834"/>
        <v>0.114</v>
      </c>
      <c r="DI192" s="1569">
        <f t="shared" si="834"/>
        <v>0.14000000000000001</v>
      </c>
      <c r="DJ192" s="1673"/>
      <c r="DK192" s="70"/>
      <c r="DL192" s="70"/>
      <c r="DM192" s="487"/>
      <c r="DN192" s="580"/>
      <c r="DO192" s="487"/>
      <c r="DP192" s="15"/>
      <c r="DQ192" s="15"/>
      <c r="DR192" s="15"/>
      <c r="DS192" s="15"/>
      <c r="DT192" s="15"/>
      <c r="DU192" s="15"/>
      <c r="DV192" s="15"/>
      <c r="DW192" s="15"/>
      <c r="DX192" s="15"/>
      <c r="DY192" s="15"/>
      <c r="DZ192" s="15"/>
      <c r="EA192" s="15"/>
      <c r="EB192" s="15"/>
      <c r="EC192" s="15"/>
      <c r="ED192" s="15"/>
      <c r="EE192" s="15"/>
      <c r="EF192" s="15"/>
      <c r="EG192" s="15"/>
      <c r="EH192" s="15"/>
      <c r="EI192" s="15"/>
      <c r="EJ192" s="15"/>
      <c r="EK192" s="70"/>
      <c r="EL192" s="70"/>
      <c r="EM192" s="70"/>
      <c r="EN192" s="77">
        <f>+EN190+EM190+EL190</f>
        <v>-7.1000000000000008E-2</v>
      </c>
      <c r="EO192" s="77">
        <f t="shared" ref="EO192" si="835">EO190+EN190+EK190</f>
        <v>-5.2000000000000005E-2</v>
      </c>
      <c r="EP192" s="77">
        <f t="shared" ref="EP192" si="836">EP190+EO190+EL190</f>
        <v>-8.6999999999999994E-2</v>
      </c>
      <c r="EQ192" s="77">
        <f>+EQ190+EN190+EM190</f>
        <v>-9.6000000000000002E-2</v>
      </c>
      <c r="ER192" s="77">
        <f t="shared" ref="ER192" si="837">ER190+EQ190+EN190</f>
        <v>-9.7000000000000003E-2</v>
      </c>
      <c r="ES192" s="77">
        <f>+ES190+EP190+EO190</f>
        <v>-0.13300000000000001</v>
      </c>
      <c r="ET192" s="77">
        <f>+ET190+ER190+EQ190</f>
        <v>-0.17799999999999999</v>
      </c>
      <c r="EU192" s="77">
        <f>EU190+ET190+ER190</f>
        <v>-0.185</v>
      </c>
      <c r="EV192" s="52">
        <f>EV190+EU190+ET190</f>
        <v>-8.900000000000001E-2</v>
      </c>
      <c r="EW192" s="52">
        <f>EW190+EV190+EU190</f>
        <v>2.799999999999999E-2</v>
      </c>
      <c r="EX192" s="52">
        <f t="shared" ref="EX192" si="838">EX190+EW190+EV190</f>
        <v>0.13400000000000001</v>
      </c>
      <c r="EY192" s="52">
        <f t="shared" ref="EY192" si="839">EY190+EX190+EW190</f>
        <v>0.10655536072856941</v>
      </c>
      <c r="EZ192" s="1680"/>
      <c r="FA192" s="15"/>
      <c r="FB192" s="15"/>
      <c r="FC192" s="15"/>
      <c r="FD192" s="15"/>
      <c r="FE192" s="15"/>
      <c r="FF192" s="15"/>
      <c r="FG192" s="15"/>
      <c r="FH192" s="15"/>
      <c r="FI192" s="671"/>
      <c r="FJ192"/>
      <c r="FK192"/>
      <c r="FL192"/>
      <c r="FM192"/>
      <c r="FN192"/>
      <c r="FO192"/>
      <c r="FP192" s="3"/>
      <c r="FS192" s="7"/>
      <c r="FT192" s="7"/>
      <c r="FU192"/>
      <c r="FV192"/>
      <c r="FW192" s="70"/>
      <c r="FX192" s="70"/>
      <c r="FY192" s="70"/>
      <c r="FZ192"/>
      <c r="GA192"/>
      <c r="GB192"/>
      <c r="GC192"/>
      <c r="GD192"/>
      <c r="GE192"/>
      <c r="GF192"/>
      <c r="GG192"/>
      <c r="GH192"/>
      <c r="GI192"/>
      <c r="GJ192"/>
      <c r="GK192"/>
      <c r="GL192"/>
      <c r="GM192"/>
      <c r="GN192"/>
      <c r="GO192"/>
      <c r="GP192"/>
      <c r="GQ192"/>
      <c r="GR192"/>
      <c r="GS192"/>
      <c r="GT192"/>
      <c r="GU192"/>
      <c r="GV192"/>
      <c r="GW192"/>
      <c r="GX192"/>
      <c r="GY192"/>
      <c r="GZ192"/>
      <c r="HA192"/>
      <c r="HB192"/>
      <c r="HC192"/>
      <c r="HD192"/>
      <c r="HE192"/>
      <c r="HF192"/>
      <c r="HG192"/>
      <c r="HH192"/>
      <c r="HI192"/>
      <c r="HJ192"/>
      <c r="HK192"/>
      <c r="HL192"/>
      <c r="HM192"/>
      <c r="HN192"/>
      <c r="HO192"/>
      <c r="HP192"/>
      <c r="HQ192"/>
      <c r="HR192"/>
      <c r="HS192"/>
      <c r="HT192"/>
      <c r="HU192"/>
      <c r="HV192"/>
      <c r="HW192"/>
      <c r="HX192"/>
      <c r="HY192"/>
      <c r="HZ192"/>
      <c r="IA192"/>
      <c r="IB192"/>
      <c r="IC192"/>
      <c r="ID192"/>
      <c r="IE192"/>
      <c r="IF192"/>
      <c r="IG192"/>
      <c r="IH192"/>
      <c r="II192"/>
      <c r="IJ192"/>
      <c r="IK192"/>
      <c r="IL192"/>
      <c r="IM192"/>
      <c r="IN192"/>
      <c r="IO192"/>
      <c r="IP192"/>
      <c r="IQ192"/>
      <c r="IR192"/>
      <c r="IS192"/>
      <c r="IT192"/>
      <c r="IU192"/>
      <c r="IV192"/>
      <c r="IW192"/>
      <c r="IX192"/>
      <c r="IY192"/>
      <c r="IZ192"/>
    </row>
    <row r="193" spans="1:260" s="4" customFormat="1" hidden="1" outlineLevel="1" x14ac:dyDescent="0.2">
      <c r="A193" s="4" t="s">
        <v>616</v>
      </c>
      <c r="E193" s="470"/>
      <c r="I193" s="470"/>
      <c r="M193" s="470"/>
      <c r="Q193" s="470"/>
      <c r="U193" s="470"/>
      <c r="Y193" s="470"/>
      <c r="AC193" s="470"/>
      <c r="AG193" s="470"/>
      <c r="AK193" s="470"/>
      <c r="AO193" s="470"/>
      <c r="AS193" s="470"/>
      <c r="AW193" s="470"/>
      <c r="BA193" s="470"/>
      <c r="BB193" s="580"/>
      <c r="BC193" s="70"/>
      <c r="BD193" s="70"/>
      <c r="BE193" s="487"/>
      <c r="BF193" s="580"/>
      <c r="BG193" s="70"/>
      <c r="BH193" s="70"/>
      <c r="BI193" s="487"/>
      <c r="BJ193" s="580"/>
      <c r="BK193" s="70"/>
      <c r="BL193" s="70"/>
      <c r="BM193" s="487"/>
      <c r="BN193" s="580"/>
      <c r="BO193" s="70"/>
      <c r="BP193" s="70"/>
      <c r="BQ193" s="487"/>
      <c r="BR193" s="580">
        <f>BR190+BN190+BJ190+BF190</f>
        <v>-8.6000000000000007E-2</v>
      </c>
      <c r="BS193" s="70">
        <f t="shared" ref="BS193:CX193" si="840">BS190+BO190+BK190+BG190</f>
        <v>-0.104</v>
      </c>
      <c r="BT193" s="70">
        <f t="shared" si="840"/>
        <v>-0.14600000000000002</v>
      </c>
      <c r="BU193" s="487">
        <f t="shared" si="840"/>
        <v>-0.16499999999999998</v>
      </c>
      <c r="BV193" s="580">
        <f t="shared" si="840"/>
        <v>-0.15000000000000002</v>
      </c>
      <c r="BW193" s="70">
        <f t="shared" si="840"/>
        <v>-0.13600000000000001</v>
      </c>
      <c r="BX193" s="70">
        <f t="shared" si="840"/>
        <v>-0.21100000000000002</v>
      </c>
      <c r="BY193" s="487">
        <f t="shared" si="840"/>
        <v>-0.151</v>
      </c>
      <c r="BZ193" s="580">
        <f t="shared" si="840"/>
        <v>-8.7999999999999995E-2</v>
      </c>
      <c r="CA193" s="70">
        <f t="shared" si="840"/>
        <v>-0.20499999999999999</v>
      </c>
      <c r="CB193" s="70">
        <f t="shared" si="840"/>
        <v>-0.182</v>
      </c>
      <c r="CC193" s="487">
        <f t="shared" si="840"/>
        <v>-0.13599999999999998</v>
      </c>
      <c r="CD193" s="580">
        <f t="shared" si="840"/>
        <v>-6.8000000000000005E-2</v>
      </c>
      <c r="CE193" s="70">
        <f t="shared" si="840"/>
        <v>-0.26700000000000002</v>
      </c>
      <c r="CF193" s="70">
        <f t="shared" si="840"/>
        <v>-0.313</v>
      </c>
      <c r="CG193" s="487">
        <f t="shared" si="840"/>
        <v>-0.22600000000000001</v>
      </c>
      <c r="CH193" s="580">
        <f t="shared" si="840"/>
        <v>-0.12200000000000001</v>
      </c>
      <c r="CI193" s="70">
        <f t="shared" si="840"/>
        <v>-0.29599999999999999</v>
      </c>
      <c r="CJ193" s="70">
        <f t="shared" si="840"/>
        <v>-0.29100000000000004</v>
      </c>
      <c r="CK193" s="487">
        <f t="shared" si="840"/>
        <v>-0.219</v>
      </c>
      <c r="CL193" s="580">
        <f t="shared" si="840"/>
        <v>-0.108</v>
      </c>
      <c r="CM193" s="70">
        <f t="shared" si="840"/>
        <v>-0.32700000000000001</v>
      </c>
      <c r="CN193" s="70">
        <f t="shared" si="840"/>
        <v>-0.32700000000000001</v>
      </c>
      <c r="CO193" s="487">
        <f t="shared" si="840"/>
        <v>-0.23499999999999999</v>
      </c>
      <c r="CP193" s="580">
        <f t="shared" si="840"/>
        <v>-0.245</v>
      </c>
      <c r="CQ193" s="70">
        <f t="shared" si="840"/>
        <v>-0.33299999999999996</v>
      </c>
      <c r="CR193" s="70">
        <f t="shared" si="840"/>
        <v>-0.24399999999999999</v>
      </c>
      <c r="CS193" s="487">
        <f t="shared" si="840"/>
        <v>-0.22299999999999998</v>
      </c>
      <c r="CT193" s="580">
        <f t="shared" si="840"/>
        <v>-0.22999999999999998</v>
      </c>
      <c r="CU193" s="70">
        <f t="shared" si="840"/>
        <v>-0.245</v>
      </c>
      <c r="CV193" s="70">
        <f t="shared" si="840"/>
        <v>-0.16200000000000003</v>
      </c>
      <c r="CW193" s="487">
        <f t="shared" si="840"/>
        <v>-6.8000000000000005E-2</v>
      </c>
      <c r="CX193" s="580">
        <f t="shared" si="840"/>
        <v>-0.1</v>
      </c>
      <c r="CY193" s="70">
        <f t="shared" ref="CY193:DE193" si="841">CY190+CU190+CQ190+CM190</f>
        <v>-7.6000000000000012E-2</v>
      </c>
      <c r="CZ193" s="70">
        <f t="shared" si="841"/>
        <v>-4.8000000000000008E-2</v>
      </c>
      <c r="DA193" s="487">
        <f t="shared" si="841"/>
        <v>1.7000000000000008E-2</v>
      </c>
      <c r="DB193" s="70">
        <f t="shared" si="841"/>
        <v>9.999999999999995E-3</v>
      </c>
      <c r="DC193" s="70">
        <f t="shared" si="841"/>
        <v>5.9999999999999991E-2</v>
      </c>
      <c r="DD193" s="70">
        <f t="shared" si="841"/>
        <v>8.4999999999999992E-2</v>
      </c>
      <c r="DE193" s="1569">
        <f t="shared" si="841"/>
        <v>0.14500000000000002</v>
      </c>
      <c r="DF193" s="70">
        <f>DF190+DB190+CX190+CT190</f>
        <v>9.8000000000000004E-2</v>
      </c>
      <c r="DG193" s="70">
        <f>DG190+DC190+CY190+CU190</f>
        <v>0.14000000000000001</v>
      </c>
      <c r="DH193" s="70">
        <f>DH190+DD190+CZ190+CV190</f>
        <v>0.14500000000000002</v>
      </c>
      <c r="DI193" s="1569">
        <f>DI190+DE190+DA190+CW190</f>
        <v>0.247</v>
      </c>
      <c r="DJ193" s="1673"/>
      <c r="DK193" s="70"/>
      <c r="DL193" s="70"/>
      <c r="DM193" s="487"/>
      <c r="DN193" s="580"/>
      <c r="DO193" s="487"/>
      <c r="DP193" s="15"/>
      <c r="DQ193" s="15"/>
      <c r="DR193" s="15"/>
      <c r="DS193" s="15"/>
      <c r="DT193" s="15"/>
      <c r="DU193" s="15"/>
      <c r="DV193" s="15"/>
      <c r="DW193" s="15"/>
      <c r="DX193" s="15"/>
      <c r="DY193" s="15"/>
      <c r="DZ193" s="15"/>
      <c r="EA193" s="15"/>
      <c r="EB193" s="15"/>
      <c r="EC193" s="15"/>
      <c r="ED193" s="15"/>
      <c r="EE193" s="15"/>
      <c r="EF193" s="15"/>
      <c r="EG193" s="15"/>
      <c r="EH193" s="15"/>
      <c r="EI193" s="15"/>
      <c r="EJ193" s="15"/>
      <c r="EK193" s="70"/>
      <c r="EL193" s="70"/>
      <c r="EM193" s="70"/>
      <c r="EN193" s="15"/>
      <c r="EO193" s="15"/>
      <c r="EP193" s="15"/>
      <c r="EQ193" s="15">
        <f>+EQ190+EN190+EM190+EL190</f>
        <v>-0.12</v>
      </c>
      <c r="ER193" s="77">
        <f>+ER190+EQ190+EN190+EM190</f>
        <v>-0.155</v>
      </c>
      <c r="ES193" s="77">
        <f>+ES190+EP190+EO190+EN190</f>
        <v>-0.12200000000000001</v>
      </c>
      <c r="ET193" s="77">
        <f>+ET190+ER190+EQ190+EN190</f>
        <v>-0.16699999999999998</v>
      </c>
      <c r="EU193" s="77">
        <f>EU190+ET190+ER190+EQ190</f>
        <v>-0.23399999999999999</v>
      </c>
      <c r="EV193" s="52">
        <f>EV190+EU190+ET190+ER190</f>
        <v>-0.14800000000000002</v>
      </c>
      <c r="EW193" s="52">
        <f>EW190+EV190+EU190+ET190</f>
        <v>-4.2000000000000016E-2</v>
      </c>
      <c r="EX193" s="52">
        <f t="shared" ref="EX193" si="842">EX190+EW190+EV190+EU190</f>
        <v>7.8000000000000014E-2</v>
      </c>
      <c r="EY193" s="52">
        <f t="shared" ref="EY193" si="843">EY190+EX190+EW190+EV190</f>
        <v>0.14355536072856942</v>
      </c>
      <c r="EZ193" s="1680"/>
      <c r="FA193" s="15"/>
      <c r="FB193" s="15"/>
      <c r="FC193" s="15"/>
      <c r="FD193" s="15"/>
      <c r="FE193" s="15"/>
      <c r="FF193" s="15"/>
      <c r="FG193" s="15"/>
      <c r="FH193" s="15"/>
      <c r="FI193" s="671"/>
      <c r="FJ193"/>
      <c r="FK193"/>
      <c r="FL193"/>
      <c r="FM193"/>
      <c r="FN193"/>
      <c r="FO193"/>
      <c r="FP193" s="3"/>
      <c r="FS193" s="7"/>
      <c r="FT193" s="7"/>
      <c r="FU193"/>
      <c r="FV193"/>
      <c r="FW193" s="70"/>
      <c r="FX193" s="70"/>
      <c r="FY193" s="70"/>
      <c r="FZ193"/>
      <c r="GA193"/>
      <c r="GB193"/>
      <c r="GC193"/>
      <c r="GD193"/>
      <c r="GE193"/>
      <c r="GF193"/>
      <c r="GG193"/>
      <c r="GH193"/>
      <c r="GI193"/>
      <c r="GJ193"/>
      <c r="GK193"/>
      <c r="GL193"/>
      <c r="GM193"/>
      <c r="GN193"/>
      <c r="GO193"/>
      <c r="GP193"/>
      <c r="GQ193"/>
      <c r="GR193"/>
      <c r="GS193"/>
      <c r="GT193"/>
      <c r="GU193"/>
      <c r="GV193"/>
      <c r="GW193"/>
      <c r="GX193"/>
      <c r="GY193"/>
      <c r="GZ193"/>
      <c r="HA193"/>
      <c r="HB193"/>
      <c r="HC193"/>
      <c r="HD193"/>
      <c r="HE193"/>
      <c r="HF193"/>
      <c r="HG193"/>
      <c r="HH193"/>
      <c r="HI193"/>
      <c r="HJ193"/>
      <c r="HK193"/>
      <c r="HL193"/>
      <c r="HM193"/>
      <c r="HN193"/>
      <c r="HO193"/>
      <c r="HP193"/>
      <c r="HQ193"/>
      <c r="HR193"/>
      <c r="HS193"/>
      <c r="HT193"/>
      <c r="HU193"/>
      <c r="HV193"/>
      <c r="HW193"/>
      <c r="HX193"/>
      <c r="HY193"/>
      <c r="HZ193"/>
      <c r="IA193"/>
      <c r="IB193"/>
      <c r="IC193"/>
      <c r="ID193"/>
      <c r="IE193"/>
      <c r="IF193"/>
      <c r="IG193"/>
      <c r="IH193"/>
      <c r="II193"/>
      <c r="IJ193"/>
      <c r="IK193"/>
      <c r="IL193"/>
      <c r="IM193"/>
      <c r="IN193"/>
      <c r="IO193"/>
      <c r="IP193"/>
      <c r="IQ193"/>
      <c r="IR193"/>
      <c r="IS193"/>
      <c r="IT193"/>
      <c r="IU193"/>
      <c r="IV193"/>
      <c r="IW193"/>
      <c r="IX193"/>
      <c r="IY193"/>
      <c r="IZ193"/>
    </row>
    <row r="194" spans="1:260" s="4" customFormat="1" hidden="1" outlineLevel="1" x14ac:dyDescent="0.2">
      <c r="E194" s="470"/>
      <c r="I194" s="470"/>
      <c r="M194" s="470"/>
      <c r="Q194" s="470"/>
      <c r="U194" s="470"/>
      <c r="Y194" s="470"/>
      <c r="AC194" s="470"/>
      <c r="AG194" s="470"/>
      <c r="AK194" s="470"/>
      <c r="AO194" s="470"/>
      <c r="AS194" s="470"/>
      <c r="AW194" s="470"/>
      <c r="BA194" s="470"/>
      <c r="BB194" s="580"/>
      <c r="BC194" s="70"/>
      <c r="BD194" s="70"/>
      <c r="BE194" s="487"/>
      <c r="BF194" s="580"/>
      <c r="BG194" s="70"/>
      <c r="BH194" s="70"/>
      <c r="BI194" s="487"/>
      <c r="BJ194" s="580"/>
      <c r="BK194" s="70"/>
      <c r="BL194" s="70"/>
      <c r="BM194" s="487"/>
      <c r="BN194" s="580"/>
      <c r="BO194" s="70"/>
      <c r="BP194" s="70"/>
      <c r="BQ194" s="487"/>
      <c r="BR194" s="580"/>
      <c r="BS194" s="70"/>
      <c r="BT194" s="70"/>
      <c r="BU194" s="487"/>
      <c r="BV194" s="580"/>
      <c r="BW194" s="77"/>
      <c r="BX194" s="70"/>
      <c r="BY194" s="487"/>
      <c r="BZ194" s="580"/>
      <c r="CA194" s="77"/>
      <c r="CB194" s="70"/>
      <c r="CC194" s="487"/>
      <c r="CD194" s="580"/>
      <c r="CE194" s="77"/>
      <c r="CF194" s="70"/>
      <c r="CG194" s="487"/>
      <c r="CH194" s="580"/>
      <c r="CI194" s="77"/>
      <c r="CJ194" s="70"/>
      <c r="CK194" s="487"/>
      <c r="CL194" s="580"/>
      <c r="CM194" s="77"/>
      <c r="CN194" s="70"/>
      <c r="CO194" s="487"/>
      <c r="CP194" s="580"/>
      <c r="CQ194" s="77"/>
      <c r="CR194" s="70"/>
      <c r="CS194" s="487"/>
      <c r="CT194" s="580"/>
      <c r="CU194" s="77"/>
      <c r="CV194" s="70"/>
      <c r="CW194" s="487"/>
      <c r="CX194" s="1812"/>
      <c r="CY194" s="1825"/>
      <c r="CZ194" s="1825"/>
      <c r="DA194" s="1811"/>
      <c r="DB194" s="91"/>
      <c r="DC194" s="91"/>
      <c r="DD194" s="91"/>
      <c r="DE194" s="1569"/>
      <c r="DF194" s="70"/>
      <c r="DG194" s="70"/>
      <c r="DH194" s="70"/>
      <c r="DI194" s="1569"/>
      <c r="DJ194" s="1673"/>
      <c r="DK194" s="70"/>
      <c r="DL194" s="70"/>
      <c r="DM194" s="487"/>
      <c r="DN194" s="580"/>
      <c r="DO194" s="487"/>
      <c r="DP194" s="15"/>
      <c r="DQ194" s="15"/>
      <c r="DR194" s="15"/>
      <c r="DS194" s="15"/>
      <c r="DT194" s="15"/>
      <c r="DU194" s="15"/>
      <c r="DV194" s="15"/>
      <c r="DW194" s="15"/>
      <c r="DX194" s="15"/>
      <c r="DY194" s="15"/>
      <c r="DZ194" s="15"/>
      <c r="EA194" s="15"/>
      <c r="EB194" s="15"/>
      <c r="EC194" s="15"/>
      <c r="ED194" s="15"/>
      <c r="EE194" s="15"/>
      <c r="EF194" s="15"/>
      <c r="EG194" s="15"/>
      <c r="EH194" s="15"/>
      <c r="EI194" s="15"/>
      <c r="EJ194" s="15"/>
      <c r="EK194" s="70"/>
      <c r="EL194" s="70"/>
      <c r="EM194" s="70"/>
      <c r="EN194" s="15"/>
      <c r="EO194" s="15"/>
      <c r="EP194" s="15"/>
      <c r="EQ194" s="15"/>
      <c r="ER194" s="77"/>
      <c r="ES194" s="77"/>
      <c r="ET194" s="77"/>
      <c r="EU194" s="77"/>
      <c r="EV194" s="52"/>
      <c r="EW194" s="52"/>
      <c r="EX194" s="52"/>
      <c r="EY194" s="52"/>
      <c r="EZ194" s="1680"/>
      <c r="FA194" s="15"/>
      <c r="FB194" s="15"/>
      <c r="FC194" s="15"/>
      <c r="FD194" s="15"/>
      <c r="FE194" s="15"/>
      <c r="FF194" s="15"/>
      <c r="FG194" s="15"/>
      <c r="FH194" s="15"/>
      <c r="FI194" s="671"/>
      <c r="FJ194"/>
      <c r="FK194"/>
      <c r="FL194"/>
      <c r="FM194"/>
      <c r="FN194"/>
      <c r="FO194"/>
      <c r="FP194" s="3"/>
      <c r="FS194" s="7"/>
      <c r="FT194" s="7"/>
      <c r="FU194"/>
      <c r="FV194"/>
      <c r="FW194" s="70"/>
      <c r="FX194" s="70"/>
      <c r="FY194" s="70"/>
      <c r="FZ194"/>
      <c r="GA194"/>
      <c r="GB194"/>
      <c r="GC194"/>
      <c r="GD194"/>
      <c r="GE194"/>
      <c r="GF194"/>
      <c r="GG194"/>
      <c r="GH194"/>
      <c r="GI194"/>
      <c r="GJ194"/>
      <c r="GK194"/>
      <c r="GL194"/>
      <c r="GM194"/>
      <c r="GN194"/>
      <c r="GO194"/>
      <c r="GP194"/>
      <c r="GQ194"/>
      <c r="GR194"/>
      <c r="GS194"/>
      <c r="GT194"/>
      <c r="GU194"/>
      <c r="GV194"/>
      <c r="GW194"/>
      <c r="GX194"/>
      <c r="GY194"/>
      <c r="GZ194"/>
      <c r="HA194"/>
      <c r="HB194"/>
      <c r="HC194"/>
      <c r="HD194"/>
      <c r="HE194"/>
      <c r="HF194"/>
      <c r="HG194"/>
      <c r="HH194"/>
      <c r="HI194"/>
      <c r="HJ194"/>
      <c r="HK194"/>
      <c r="HL194"/>
      <c r="HM194"/>
      <c r="HN194"/>
      <c r="HO194"/>
      <c r="HP194"/>
      <c r="HQ194"/>
      <c r="HR194"/>
      <c r="HS194"/>
      <c r="HT194"/>
      <c r="HU194"/>
      <c r="HV194"/>
      <c r="HW194"/>
      <c r="HX194"/>
      <c r="HY194"/>
      <c r="HZ194"/>
      <c r="IA194"/>
      <c r="IB194"/>
      <c r="IC194"/>
      <c r="ID194"/>
      <c r="IE194"/>
      <c r="IF194"/>
      <c r="IG194"/>
      <c r="IH194"/>
      <c r="II194"/>
      <c r="IJ194"/>
      <c r="IK194"/>
      <c r="IL194"/>
      <c r="IM194"/>
      <c r="IN194"/>
      <c r="IO194"/>
      <c r="IP194"/>
      <c r="IQ194"/>
      <c r="IR194"/>
      <c r="IS194"/>
      <c r="IT194"/>
      <c r="IU194"/>
      <c r="IV194"/>
      <c r="IW194"/>
      <c r="IX194"/>
      <c r="IY194"/>
      <c r="IZ194"/>
    </row>
    <row r="195" spans="1:260" s="19" customFormat="1" hidden="1" outlineLevel="1" x14ac:dyDescent="0.2">
      <c r="A195" s="1475" t="s">
        <v>305</v>
      </c>
      <c r="E195" s="469"/>
      <c r="I195" s="469"/>
      <c r="M195" s="469"/>
      <c r="Q195" s="469"/>
      <c r="U195" s="469"/>
      <c r="Y195" s="469"/>
      <c r="AC195" s="469"/>
      <c r="AG195" s="469"/>
      <c r="AK195" s="469"/>
      <c r="AO195" s="469"/>
      <c r="AS195" s="469"/>
      <c r="AW195" s="469"/>
      <c r="BA195" s="469"/>
      <c r="BB195" s="1157"/>
      <c r="BC195" s="219">
        <v>-1.7000000000000001E-2</v>
      </c>
      <c r="BD195" s="197"/>
      <c r="BE195" s="572"/>
      <c r="BF195" s="1157">
        <v>5.8999999999999997E-2</v>
      </c>
      <c r="BG195" s="219">
        <v>7.8E-2</v>
      </c>
      <c r="BH195" s="197">
        <v>0.08</v>
      </c>
      <c r="BI195" s="572">
        <v>6.3E-2</v>
      </c>
      <c r="BJ195" s="1157">
        <v>9.2999999999999999E-2</v>
      </c>
      <c r="BK195" s="219">
        <v>0.151</v>
      </c>
      <c r="BL195" s="197">
        <v>0.111</v>
      </c>
      <c r="BM195" s="572">
        <v>8.1000000000000003E-2</v>
      </c>
      <c r="BN195" s="1157">
        <v>9.5000000000000001E-2</v>
      </c>
      <c r="BO195" s="219">
        <v>7.2999999999999995E-2</v>
      </c>
      <c r="BP195" s="197">
        <v>0.1</v>
      </c>
      <c r="BQ195" s="572">
        <v>0.217</v>
      </c>
      <c r="BR195" s="1157">
        <v>9.7000000000000003E-2</v>
      </c>
      <c r="BS195" s="219">
        <v>5.7000000000000002E-2</v>
      </c>
      <c r="BT195" s="197">
        <v>4.8000000000000001E-2</v>
      </c>
      <c r="BU195" s="572">
        <v>-2.5000000000000001E-2</v>
      </c>
      <c r="BV195" s="50">
        <v>4.7E-2</v>
      </c>
      <c r="BW195" s="50">
        <v>2.7E-2</v>
      </c>
      <c r="BX195" s="197">
        <v>8.7999999999999995E-2</v>
      </c>
      <c r="BY195" s="572">
        <v>7.5999999999999998E-2</v>
      </c>
      <c r="BZ195" s="50">
        <v>0.12</v>
      </c>
      <c r="CA195" s="50">
        <v>0.08</v>
      </c>
      <c r="CB195" s="197">
        <v>7.0000000000000007E-2</v>
      </c>
      <c r="CC195" s="572">
        <v>-8.0000000000000002E-3</v>
      </c>
      <c r="CD195" s="50">
        <v>-1.0999999999999999E-2</v>
      </c>
      <c r="CE195" s="50">
        <v>2.1999999999999999E-2</v>
      </c>
      <c r="CF195" s="197">
        <v>5.8999999999999997E-2</v>
      </c>
      <c r="CG195" s="572">
        <v>0.111</v>
      </c>
      <c r="CH195" s="50">
        <v>3.5999999999999997E-2</v>
      </c>
      <c r="CI195" s="50">
        <v>8.2000000000000003E-2</v>
      </c>
      <c r="CJ195" s="197">
        <v>8.9999999999999993E-3</v>
      </c>
      <c r="CK195" s="572">
        <v>0.13400000000000001</v>
      </c>
      <c r="CL195" s="50">
        <v>3.5999999999999997E-2</v>
      </c>
      <c r="CM195" s="50">
        <v>8.2000000000000003E-2</v>
      </c>
      <c r="CN195" s="197">
        <v>8.9999999999999993E-3</v>
      </c>
      <c r="CO195" s="572">
        <v>0.13400000000000001</v>
      </c>
      <c r="CP195" s="50">
        <v>4.2999999999999997E-2</v>
      </c>
      <c r="CQ195" s="50">
        <v>5.8000000000000003E-2</v>
      </c>
      <c r="CR195" s="197">
        <v>6.7000000000000004E-2</v>
      </c>
      <c r="CS195" s="572">
        <v>2.9000000000000001E-2</v>
      </c>
      <c r="CT195" s="50">
        <v>6.0000000000000001E-3</v>
      </c>
      <c r="CU195" s="50">
        <v>-5.8999999999999997E-2</v>
      </c>
      <c r="CV195" s="197">
        <v>3.2000000000000001E-2</v>
      </c>
      <c r="CW195" s="572">
        <v>-3.0000000000000001E-3</v>
      </c>
      <c r="CX195" s="208">
        <v>-2.1999999999999999E-2</v>
      </c>
      <c r="CY195" s="208">
        <v>-8.0000000000000002E-3</v>
      </c>
      <c r="CZ195" s="197">
        <v>-1.4999999999999999E-2</v>
      </c>
      <c r="DA195" s="572">
        <v>-6.8000000000000005E-2</v>
      </c>
      <c r="DB195" s="208">
        <v>-3.5000000000000003E-2</v>
      </c>
      <c r="DC195" s="197">
        <v>3.0000000000000001E-3</v>
      </c>
      <c r="DD195" s="197">
        <v>1.6E-2</v>
      </c>
      <c r="DE195" s="572">
        <v>-4.3999999999999997E-2</v>
      </c>
      <c r="DF195" s="208">
        <v>-3.0000000000000001E-3</v>
      </c>
      <c r="DG195" s="208">
        <v>6.7000000000000004E-2</v>
      </c>
      <c r="DH195" s="208">
        <v>3.5000000000000003E-2</v>
      </c>
      <c r="DI195" s="572">
        <v>9.6000000000000002E-2</v>
      </c>
      <c r="DJ195" s="2704"/>
      <c r="DK195" s="1552"/>
      <c r="DL195" s="1552"/>
      <c r="DM195" s="1551"/>
      <c r="DN195" s="578"/>
      <c r="DO195" s="572"/>
      <c r="DP195" s="50"/>
      <c r="DQ195" s="50"/>
      <c r="DR195" s="50"/>
      <c r="DS195" s="50"/>
      <c r="DT195" s="50"/>
      <c r="DU195" s="50"/>
      <c r="DV195" s="50"/>
      <c r="DW195" s="50"/>
      <c r="DX195" s="50"/>
      <c r="DY195" s="50"/>
      <c r="DZ195" s="50"/>
      <c r="EA195" s="50"/>
      <c r="EB195" s="50"/>
      <c r="EC195" s="50"/>
      <c r="ED195" s="50"/>
      <c r="EE195" s="50"/>
      <c r="EF195" s="50"/>
      <c r="EG195" s="50"/>
      <c r="EH195" s="50"/>
      <c r="EI195" s="50"/>
      <c r="EJ195" s="50"/>
      <c r="EK195" s="197"/>
      <c r="EL195" s="197">
        <v>7.0000000000000007E-2</v>
      </c>
      <c r="EM195" s="197">
        <v>0.104</v>
      </c>
      <c r="EN195" s="50">
        <v>0.128</v>
      </c>
      <c r="EO195" s="50">
        <v>3.5999999999999997E-2</v>
      </c>
      <c r="EP195" s="50"/>
      <c r="EQ195" s="50">
        <v>5.800000000000001E-2</v>
      </c>
      <c r="ER195" s="50">
        <v>4.9000000000000002E-2</v>
      </c>
      <c r="ES195" s="50">
        <v>7.0000000000000007E-2</v>
      </c>
      <c r="ET195" s="50">
        <v>7.0000000000000007E-2</v>
      </c>
      <c r="EU195" s="50">
        <v>4.7E-2</v>
      </c>
      <c r="EV195" s="50">
        <v>-6.0000000000000001E-3</v>
      </c>
      <c r="EW195" s="50">
        <v>-2.5999999999999999E-2</v>
      </c>
      <c r="EX195" s="208">
        <v>-1.7999999999999999E-2</v>
      </c>
      <c r="EY195" s="2785">
        <v>4.7307659661096402E-2</v>
      </c>
      <c r="EZ195" s="1739"/>
      <c r="FA195" s="50"/>
      <c r="FB195" s="50"/>
      <c r="FC195" s="50"/>
      <c r="FD195" s="50"/>
      <c r="FE195" s="50"/>
      <c r="FF195" s="50"/>
      <c r="FG195" s="50"/>
      <c r="FH195" s="50"/>
      <c r="FI195" s="590"/>
      <c r="FJ195"/>
      <c r="FK195"/>
      <c r="FL195"/>
      <c r="FM195"/>
      <c r="FN195"/>
      <c r="FO195"/>
      <c r="FP195" s="401"/>
      <c r="FS195" s="53"/>
      <c r="FT195" s="53"/>
      <c r="FW195" s="197"/>
      <c r="FX195" s="197"/>
      <c r="FY195" s="197"/>
    </row>
    <row r="196" spans="1:260" s="4" customFormat="1" hidden="1" outlineLevel="1" x14ac:dyDescent="0.2">
      <c r="A196" s="4" t="s">
        <v>4</v>
      </c>
      <c r="E196" s="470"/>
      <c r="I196" s="470"/>
      <c r="M196" s="470"/>
      <c r="Q196" s="470"/>
      <c r="U196" s="470"/>
      <c r="Y196" s="470"/>
      <c r="AC196" s="470"/>
      <c r="AG196" s="470"/>
      <c r="AK196" s="470"/>
      <c r="AO196" s="470"/>
      <c r="AS196" s="470"/>
      <c r="AW196" s="470"/>
      <c r="BA196" s="470"/>
      <c r="BB196" s="580"/>
      <c r="BC196" s="70"/>
      <c r="BD196" s="70"/>
      <c r="BE196" s="487"/>
      <c r="BF196" s="580"/>
      <c r="BG196" s="70"/>
      <c r="BH196" s="70"/>
      <c r="BI196" s="487"/>
      <c r="BJ196" s="580">
        <f t="shared" ref="BJ196:DB196" si="844">BF195+BJ195</f>
        <v>0.152</v>
      </c>
      <c r="BK196" s="70">
        <f t="shared" si="844"/>
        <v>0.22899999999999998</v>
      </c>
      <c r="BL196" s="70">
        <f t="shared" si="844"/>
        <v>0.191</v>
      </c>
      <c r="BM196" s="487">
        <f t="shared" si="844"/>
        <v>0.14400000000000002</v>
      </c>
      <c r="BN196" s="580">
        <f t="shared" si="844"/>
        <v>0.188</v>
      </c>
      <c r="BO196" s="70">
        <f t="shared" si="844"/>
        <v>0.22399999999999998</v>
      </c>
      <c r="BP196" s="70">
        <f t="shared" si="844"/>
        <v>0.21100000000000002</v>
      </c>
      <c r="BQ196" s="487">
        <f t="shared" si="844"/>
        <v>0.29799999999999999</v>
      </c>
      <c r="BR196" s="580">
        <f t="shared" si="844"/>
        <v>0.192</v>
      </c>
      <c r="BS196" s="70">
        <f t="shared" si="844"/>
        <v>0.13</v>
      </c>
      <c r="BT196" s="70">
        <f t="shared" si="844"/>
        <v>0.14800000000000002</v>
      </c>
      <c r="BU196" s="487">
        <f t="shared" si="844"/>
        <v>0.192</v>
      </c>
      <c r="BV196" s="70">
        <f t="shared" si="844"/>
        <v>0.14400000000000002</v>
      </c>
      <c r="BW196" s="70">
        <f t="shared" si="844"/>
        <v>8.4000000000000005E-2</v>
      </c>
      <c r="BX196" s="70">
        <f t="shared" si="844"/>
        <v>0.13600000000000001</v>
      </c>
      <c r="BY196" s="487">
        <f t="shared" si="844"/>
        <v>5.0999999999999997E-2</v>
      </c>
      <c r="BZ196" s="70">
        <f t="shared" si="844"/>
        <v>0.16699999999999998</v>
      </c>
      <c r="CA196" s="70">
        <f t="shared" si="844"/>
        <v>0.107</v>
      </c>
      <c r="CB196" s="70">
        <f t="shared" si="844"/>
        <v>0.158</v>
      </c>
      <c r="CC196" s="487">
        <f t="shared" si="844"/>
        <v>6.8000000000000005E-2</v>
      </c>
      <c r="CD196" s="70">
        <f t="shared" si="844"/>
        <v>0.109</v>
      </c>
      <c r="CE196" s="70">
        <f t="shared" si="844"/>
        <v>0.10200000000000001</v>
      </c>
      <c r="CF196" s="70">
        <f t="shared" si="844"/>
        <v>0.129</v>
      </c>
      <c r="CG196" s="487">
        <f t="shared" si="844"/>
        <v>0.10300000000000001</v>
      </c>
      <c r="CH196" s="70">
        <f t="shared" si="844"/>
        <v>2.4999999999999998E-2</v>
      </c>
      <c r="CI196" s="70">
        <f t="shared" si="844"/>
        <v>0.10400000000000001</v>
      </c>
      <c r="CJ196" s="70">
        <f t="shared" si="844"/>
        <v>6.7999999999999991E-2</v>
      </c>
      <c r="CK196" s="487">
        <f t="shared" si="844"/>
        <v>0.245</v>
      </c>
      <c r="CL196" s="70">
        <f t="shared" si="844"/>
        <v>7.1999999999999995E-2</v>
      </c>
      <c r="CM196" s="70">
        <f t="shared" si="844"/>
        <v>0.16400000000000001</v>
      </c>
      <c r="CN196" s="70">
        <f t="shared" si="844"/>
        <v>1.7999999999999999E-2</v>
      </c>
      <c r="CO196" s="487">
        <f t="shared" si="844"/>
        <v>0.26800000000000002</v>
      </c>
      <c r="CP196" s="70">
        <f t="shared" si="844"/>
        <v>7.8999999999999987E-2</v>
      </c>
      <c r="CQ196" s="70">
        <f t="shared" si="844"/>
        <v>0.14000000000000001</v>
      </c>
      <c r="CR196" s="70">
        <f t="shared" si="844"/>
        <v>7.5999999999999998E-2</v>
      </c>
      <c r="CS196" s="487">
        <f t="shared" si="844"/>
        <v>0.16300000000000001</v>
      </c>
      <c r="CT196" s="70">
        <f t="shared" si="844"/>
        <v>4.8999999999999995E-2</v>
      </c>
      <c r="CU196" s="70">
        <f t="shared" si="844"/>
        <v>-9.9999999999999395E-4</v>
      </c>
      <c r="CV196" s="70">
        <f t="shared" si="844"/>
        <v>9.9000000000000005E-2</v>
      </c>
      <c r="CW196" s="487">
        <f t="shared" si="844"/>
        <v>2.6000000000000002E-2</v>
      </c>
      <c r="CX196" s="70">
        <f t="shared" si="844"/>
        <v>-1.6E-2</v>
      </c>
      <c r="CY196" s="70">
        <f t="shared" si="844"/>
        <v>-6.7000000000000004E-2</v>
      </c>
      <c r="CZ196" s="70">
        <f t="shared" si="844"/>
        <v>1.7000000000000001E-2</v>
      </c>
      <c r="DA196" s="487">
        <f t="shared" si="844"/>
        <v>-7.1000000000000008E-2</v>
      </c>
      <c r="DB196" s="70">
        <f t="shared" si="844"/>
        <v>-5.7000000000000002E-2</v>
      </c>
      <c r="DC196" s="70">
        <f t="shared" ref="DC196:DI196" si="845">CY195+DC195</f>
        <v>-5.0000000000000001E-3</v>
      </c>
      <c r="DD196" s="70">
        <f t="shared" si="845"/>
        <v>1.0000000000000009E-3</v>
      </c>
      <c r="DE196" s="1569">
        <f t="shared" si="845"/>
        <v>-0.112</v>
      </c>
      <c r="DF196" s="70">
        <f t="shared" si="845"/>
        <v>-3.8000000000000006E-2</v>
      </c>
      <c r="DG196" s="70">
        <f t="shared" si="845"/>
        <v>7.0000000000000007E-2</v>
      </c>
      <c r="DH196" s="70">
        <f t="shared" si="845"/>
        <v>5.1000000000000004E-2</v>
      </c>
      <c r="DI196" s="1569">
        <f t="shared" si="845"/>
        <v>5.2000000000000005E-2</v>
      </c>
      <c r="DJ196" s="1673"/>
      <c r="DK196" s="70"/>
      <c r="DL196" s="70"/>
      <c r="DM196" s="487"/>
      <c r="DN196" s="580"/>
      <c r="DO196" s="487"/>
      <c r="DP196" s="15"/>
      <c r="DQ196" s="15"/>
      <c r="DR196" s="15"/>
      <c r="DS196" s="15"/>
      <c r="DT196" s="15"/>
      <c r="DU196" s="15"/>
      <c r="DV196" s="15"/>
      <c r="DW196" s="15"/>
      <c r="DX196" s="15"/>
      <c r="DY196" s="15"/>
      <c r="DZ196" s="15"/>
      <c r="EA196" s="15"/>
      <c r="EB196" s="15"/>
      <c r="EC196" s="15"/>
      <c r="ED196" s="15"/>
      <c r="EE196" s="15"/>
      <c r="EF196" s="15"/>
      <c r="EG196" s="15"/>
      <c r="EH196" s="15"/>
      <c r="EI196" s="15"/>
      <c r="EJ196" s="15"/>
      <c r="EK196" s="70"/>
      <c r="EL196" s="70"/>
      <c r="EM196" s="77">
        <f t="shared" ref="EM196:EP196" si="846">EM195+EL195</f>
        <v>0.17399999999999999</v>
      </c>
      <c r="EN196" s="77">
        <f t="shared" si="846"/>
        <v>0.23199999999999998</v>
      </c>
      <c r="EO196" s="77">
        <f t="shared" si="846"/>
        <v>0.16400000000000001</v>
      </c>
      <c r="EP196" s="77">
        <f t="shared" si="846"/>
        <v>3.5999999999999997E-2</v>
      </c>
      <c r="EQ196" s="77">
        <f>+EQ195+EN195</f>
        <v>0.186</v>
      </c>
      <c r="ER196" s="77">
        <f>ER195+EQ195</f>
        <v>0.10700000000000001</v>
      </c>
      <c r="ES196" s="77">
        <f>+ES195+EP195</f>
        <v>7.0000000000000007E-2</v>
      </c>
      <c r="ET196" s="77">
        <f>+ET195+ER195</f>
        <v>0.11900000000000001</v>
      </c>
      <c r="EU196" s="77">
        <f t="shared" ref="EU196:EW196" si="847">+EU195+ET195</f>
        <v>0.11700000000000001</v>
      </c>
      <c r="EV196" s="52">
        <f t="shared" si="847"/>
        <v>4.1000000000000002E-2</v>
      </c>
      <c r="EW196" s="52">
        <f t="shared" si="847"/>
        <v>-3.2000000000000001E-2</v>
      </c>
      <c r="EX196" s="52">
        <f t="shared" ref="EX196" si="848">+EX195+EW195</f>
        <v>-4.3999999999999997E-2</v>
      </c>
      <c r="EY196" s="52">
        <f t="shared" ref="EY196" si="849">+EY195+EX195</f>
        <v>2.9307659661096403E-2</v>
      </c>
      <c r="EZ196" s="1680"/>
      <c r="FA196" s="15"/>
      <c r="FB196" s="15"/>
      <c r="FC196" s="15"/>
      <c r="FD196" s="15"/>
      <c r="FE196" s="15"/>
      <c r="FF196" s="15"/>
      <c r="FG196" s="15"/>
      <c r="FH196" s="15"/>
      <c r="FI196" s="671"/>
      <c r="FJ196"/>
      <c r="FK196"/>
      <c r="FL196"/>
      <c r="FM196"/>
      <c r="FN196"/>
      <c r="FO196"/>
      <c r="FP196" s="3"/>
      <c r="FS196" s="7"/>
      <c r="FT196" s="7"/>
      <c r="FU196"/>
      <c r="FV196"/>
      <c r="FW196" s="70"/>
      <c r="FX196" s="70"/>
      <c r="FY196" s="70"/>
      <c r="FZ196"/>
      <c r="GA196"/>
      <c r="GB196"/>
      <c r="GC196"/>
      <c r="GD196"/>
      <c r="GE196"/>
      <c r="GF196"/>
      <c r="GG196"/>
      <c r="GH196"/>
      <c r="GI196"/>
      <c r="GJ196"/>
      <c r="GK196"/>
      <c r="GL196"/>
      <c r="GM196"/>
      <c r="GN196"/>
      <c r="GO196"/>
      <c r="GP196"/>
      <c r="GQ196"/>
      <c r="GR196"/>
      <c r="GS196"/>
      <c r="GT196"/>
      <c r="GU196"/>
      <c r="GV196"/>
      <c r="GW196"/>
      <c r="GX196"/>
      <c r="GY196"/>
      <c r="GZ196"/>
      <c r="HA196"/>
      <c r="HB196"/>
      <c r="HC196"/>
      <c r="HD196"/>
      <c r="HE196"/>
      <c r="HF196"/>
      <c r="HG196"/>
      <c r="HH196"/>
      <c r="HI196"/>
      <c r="HJ196"/>
      <c r="HK196"/>
      <c r="HL196"/>
      <c r="HM196"/>
      <c r="HN196"/>
      <c r="HO196"/>
      <c r="HP196"/>
      <c r="HQ196"/>
      <c r="HR196"/>
      <c r="HS196"/>
      <c r="HT196"/>
      <c r="HU196"/>
      <c r="HV196"/>
      <c r="HW196"/>
      <c r="HX196"/>
      <c r="HY196"/>
      <c r="HZ196"/>
      <c r="IA196"/>
      <c r="IB196"/>
      <c r="IC196"/>
      <c r="ID196"/>
      <c r="IE196"/>
      <c r="IF196"/>
      <c r="IG196"/>
      <c r="IH196"/>
      <c r="II196"/>
      <c r="IJ196"/>
      <c r="IK196"/>
      <c r="IL196"/>
      <c r="IM196"/>
      <c r="IN196"/>
      <c r="IO196"/>
      <c r="IP196"/>
      <c r="IQ196"/>
      <c r="IR196"/>
      <c r="IS196"/>
      <c r="IT196"/>
      <c r="IU196"/>
      <c r="IV196"/>
      <c r="IW196"/>
      <c r="IX196"/>
      <c r="IY196"/>
      <c r="IZ196"/>
    </row>
    <row r="197" spans="1:260" s="4" customFormat="1" hidden="1" outlineLevel="1" x14ac:dyDescent="0.2">
      <c r="A197" s="4" t="s">
        <v>610</v>
      </c>
      <c r="E197" s="470"/>
      <c r="I197" s="470"/>
      <c r="M197" s="470"/>
      <c r="Q197" s="470"/>
      <c r="U197" s="470"/>
      <c r="Y197" s="470"/>
      <c r="AC197" s="470"/>
      <c r="AG197" s="470"/>
      <c r="AK197" s="470"/>
      <c r="AO197" s="470"/>
      <c r="AS197" s="470"/>
      <c r="AW197" s="470"/>
      <c r="BA197" s="470"/>
      <c r="BB197" s="580"/>
      <c r="BC197" s="70"/>
      <c r="BD197" s="70"/>
      <c r="BE197" s="487"/>
      <c r="BF197" s="580"/>
      <c r="BG197" s="70"/>
      <c r="BH197" s="70"/>
      <c r="BI197" s="487"/>
      <c r="BJ197" s="580"/>
      <c r="BK197" s="70"/>
      <c r="BL197" s="70"/>
      <c r="BM197" s="487"/>
      <c r="BN197" s="580">
        <f t="shared" ref="BN197:DB197" si="850">BN195+BJ195+BF195</f>
        <v>0.247</v>
      </c>
      <c r="BO197" s="70">
        <f t="shared" si="850"/>
        <v>0.30199999999999999</v>
      </c>
      <c r="BP197" s="70">
        <f t="shared" si="850"/>
        <v>0.29100000000000004</v>
      </c>
      <c r="BQ197" s="487">
        <f t="shared" si="850"/>
        <v>0.36099999999999999</v>
      </c>
      <c r="BR197" s="580">
        <f t="shared" si="850"/>
        <v>0.28500000000000003</v>
      </c>
      <c r="BS197" s="70">
        <f t="shared" si="850"/>
        <v>0.28100000000000003</v>
      </c>
      <c r="BT197" s="70">
        <f t="shared" si="850"/>
        <v>0.25900000000000001</v>
      </c>
      <c r="BU197" s="487">
        <f t="shared" si="850"/>
        <v>0.27300000000000002</v>
      </c>
      <c r="BV197" s="70">
        <f t="shared" si="850"/>
        <v>0.23900000000000002</v>
      </c>
      <c r="BW197" s="70">
        <f t="shared" si="850"/>
        <v>0.157</v>
      </c>
      <c r="BX197" s="70">
        <f t="shared" si="850"/>
        <v>0.23600000000000002</v>
      </c>
      <c r="BY197" s="487">
        <f t="shared" si="850"/>
        <v>0.26800000000000002</v>
      </c>
      <c r="BZ197" s="70">
        <f t="shared" si="850"/>
        <v>0.26400000000000001</v>
      </c>
      <c r="CA197" s="70">
        <f t="shared" si="850"/>
        <v>0.16400000000000001</v>
      </c>
      <c r="CB197" s="70">
        <f t="shared" si="850"/>
        <v>0.20600000000000002</v>
      </c>
      <c r="CC197" s="487">
        <f t="shared" si="850"/>
        <v>4.3000000000000003E-2</v>
      </c>
      <c r="CD197" s="70">
        <f t="shared" si="850"/>
        <v>0.156</v>
      </c>
      <c r="CE197" s="70">
        <f t="shared" si="850"/>
        <v>0.129</v>
      </c>
      <c r="CF197" s="70">
        <f t="shared" si="850"/>
        <v>0.217</v>
      </c>
      <c r="CG197" s="487">
        <f t="shared" si="850"/>
        <v>0.17899999999999999</v>
      </c>
      <c r="CH197" s="70">
        <f t="shared" si="850"/>
        <v>0.14499999999999999</v>
      </c>
      <c r="CI197" s="70">
        <f t="shared" si="850"/>
        <v>0.184</v>
      </c>
      <c r="CJ197" s="70">
        <f t="shared" si="850"/>
        <v>0.13800000000000001</v>
      </c>
      <c r="CK197" s="487">
        <f t="shared" si="850"/>
        <v>0.23699999999999999</v>
      </c>
      <c r="CL197" s="70">
        <f t="shared" si="850"/>
        <v>6.0999999999999999E-2</v>
      </c>
      <c r="CM197" s="70">
        <f t="shared" si="850"/>
        <v>0.186</v>
      </c>
      <c r="CN197" s="70">
        <f t="shared" si="850"/>
        <v>7.6999999999999999E-2</v>
      </c>
      <c r="CO197" s="487">
        <f t="shared" si="850"/>
        <v>0.379</v>
      </c>
      <c r="CP197" s="70">
        <f t="shared" si="850"/>
        <v>0.11499999999999999</v>
      </c>
      <c r="CQ197" s="70">
        <f t="shared" si="850"/>
        <v>0.22200000000000003</v>
      </c>
      <c r="CR197" s="70">
        <f t="shared" si="850"/>
        <v>8.4999999999999992E-2</v>
      </c>
      <c r="CS197" s="487">
        <f t="shared" si="850"/>
        <v>0.29700000000000004</v>
      </c>
      <c r="CT197" s="70">
        <f t="shared" si="850"/>
        <v>8.4999999999999992E-2</v>
      </c>
      <c r="CU197" s="70">
        <f t="shared" si="850"/>
        <v>8.1000000000000016E-2</v>
      </c>
      <c r="CV197" s="70">
        <f t="shared" si="850"/>
        <v>0.108</v>
      </c>
      <c r="CW197" s="487">
        <f t="shared" si="850"/>
        <v>0.16</v>
      </c>
      <c r="CX197" s="70">
        <f t="shared" si="850"/>
        <v>2.6999999999999996E-2</v>
      </c>
      <c r="CY197" s="70">
        <f t="shared" si="850"/>
        <v>-9.0000000000000011E-3</v>
      </c>
      <c r="CZ197" s="70">
        <f t="shared" si="850"/>
        <v>8.4000000000000005E-2</v>
      </c>
      <c r="DA197" s="487">
        <f t="shared" si="850"/>
        <v>-4.200000000000001E-2</v>
      </c>
      <c r="DB197" s="70">
        <f t="shared" si="850"/>
        <v>-5.1000000000000004E-2</v>
      </c>
      <c r="DC197" s="70">
        <f t="shared" ref="DC197:DI197" si="851">DC195+CY195+CU195</f>
        <v>-6.4000000000000001E-2</v>
      </c>
      <c r="DD197" s="70">
        <f t="shared" si="851"/>
        <v>3.3000000000000002E-2</v>
      </c>
      <c r="DE197" s="1569">
        <f t="shared" si="851"/>
        <v>-0.115</v>
      </c>
      <c r="DF197" s="70">
        <f t="shared" si="851"/>
        <v>-6.0000000000000005E-2</v>
      </c>
      <c r="DG197" s="70">
        <f t="shared" si="851"/>
        <v>6.2000000000000006E-2</v>
      </c>
      <c r="DH197" s="70">
        <f t="shared" si="851"/>
        <v>3.6000000000000004E-2</v>
      </c>
      <c r="DI197" s="1569">
        <f t="shared" si="851"/>
        <v>-1.6E-2</v>
      </c>
      <c r="DJ197" s="1673"/>
      <c r="DK197" s="70"/>
      <c r="DL197" s="70"/>
      <c r="DM197" s="487"/>
      <c r="DN197" s="580"/>
      <c r="DO197" s="487"/>
      <c r="DP197" s="15"/>
      <c r="DQ197" s="15"/>
      <c r="DR197" s="15"/>
      <c r="DS197" s="15"/>
      <c r="DT197" s="15"/>
      <c r="DU197" s="15"/>
      <c r="DV197" s="15"/>
      <c r="DW197" s="15"/>
      <c r="DX197" s="15"/>
      <c r="DY197" s="15"/>
      <c r="DZ197" s="15"/>
      <c r="EA197" s="15"/>
      <c r="EB197" s="15"/>
      <c r="EC197" s="15"/>
      <c r="ED197" s="15"/>
      <c r="EE197" s="15"/>
      <c r="EF197" s="15"/>
      <c r="EG197" s="15"/>
      <c r="EH197" s="15"/>
      <c r="EI197" s="15"/>
      <c r="EJ197" s="15"/>
      <c r="EK197" s="70"/>
      <c r="EL197" s="70"/>
      <c r="EM197" s="70"/>
      <c r="EN197" s="77">
        <f>+EN195+EM195+EL195</f>
        <v>0.30199999999999999</v>
      </c>
      <c r="EO197" s="77">
        <f t="shared" ref="EO197" si="852">EO195+EN195+EK195</f>
        <v>0.16400000000000001</v>
      </c>
      <c r="EP197" s="77">
        <f t="shared" ref="EP197" si="853">EP195+EO195+EL195</f>
        <v>0.10600000000000001</v>
      </c>
      <c r="EQ197" s="77">
        <f>+EQ195+EN195+EM195</f>
        <v>0.28999999999999998</v>
      </c>
      <c r="ER197" s="77">
        <f t="shared" ref="ER197" si="854">ER195+EQ195+EN195</f>
        <v>0.23500000000000001</v>
      </c>
      <c r="ES197" s="77">
        <f>+ES195+EP195+EO195</f>
        <v>0.10600000000000001</v>
      </c>
      <c r="ET197" s="77">
        <f>+ET195+ER195+EQ195</f>
        <v>0.17700000000000002</v>
      </c>
      <c r="EU197" s="77">
        <f>EU195+ET195+ER195</f>
        <v>0.16600000000000001</v>
      </c>
      <c r="EV197" s="52">
        <f>EV195+EU195+ET195</f>
        <v>0.11100000000000002</v>
      </c>
      <c r="EW197" s="52">
        <f>EW195+EV195+EU195</f>
        <v>1.4999999999999999E-2</v>
      </c>
      <c r="EX197" s="52">
        <f t="shared" ref="EX197:EY197" si="855">EX195+EW195+EV195</f>
        <v>-4.9999999999999996E-2</v>
      </c>
      <c r="EY197" s="52">
        <f t="shared" si="855"/>
        <v>3.3076596610964043E-3</v>
      </c>
      <c r="EZ197" s="1680"/>
      <c r="FA197" s="15"/>
      <c r="FB197" s="15"/>
      <c r="FC197" s="15"/>
      <c r="FD197" s="15"/>
      <c r="FE197" s="15"/>
      <c r="FF197" s="15"/>
      <c r="FG197" s="15"/>
      <c r="FH197" s="15"/>
      <c r="FI197" s="671"/>
      <c r="FJ197"/>
      <c r="FK197"/>
      <c r="FL197"/>
      <c r="FM197"/>
      <c r="FN197"/>
      <c r="FO197"/>
      <c r="FP197" s="3"/>
      <c r="FS197" s="7"/>
      <c r="FT197" s="7"/>
      <c r="FU197"/>
      <c r="FV197"/>
      <c r="FW197" s="70"/>
      <c r="FX197" s="70"/>
      <c r="FY197" s="70"/>
      <c r="FZ197"/>
      <c r="GA197"/>
      <c r="GB197"/>
      <c r="GC197"/>
      <c r="GD197"/>
      <c r="GE197"/>
      <c r="GF197"/>
      <c r="GG197"/>
      <c r="GH197"/>
      <c r="GI197"/>
      <c r="GJ197"/>
      <c r="GK197"/>
      <c r="GL197"/>
      <c r="GM197"/>
      <c r="GN197"/>
      <c r="GO197"/>
      <c r="GP197"/>
      <c r="GQ197"/>
      <c r="GR197"/>
      <c r="GS197"/>
      <c r="GT197"/>
      <c r="GU197"/>
      <c r="GV197"/>
      <c r="GW197"/>
      <c r="GX197"/>
      <c r="GY197"/>
      <c r="GZ197"/>
      <c r="HA197"/>
      <c r="HB197"/>
      <c r="HC197"/>
      <c r="HD197"/>
      <c r="HE197"/>
      <c r="HF197"/>
      <c r="HG197"/>
      <c r="HH197"/>
      <c r="HI197"/>
      <c r="HJ197"/>
      <c r="HK197"/>
      <c r="HL197"/>
      <c r="HM197"/>
      <c r="HN197"/>
      <c r="HO197"/>
      <c r="HP197"/>
      <c r="HQ197"/>
      <c r="HR197"/>
      <c r="HS197"/>
      <c r="HT197"/>
      <c r="HU197"/>
      <c r="HV197"/>
      <c r="HW197"/>
      <c r="HX197"/>
      <c r="HY197"/>
      <c r="HZ197"/>
      <c r="IA197"/>
      <c r="IB197"/>
      <c r="IC197"/>
      <c r="ID197"/>
      <c r="IE197"/>
      <c r="IF197"/>
      <c r="IG197"/>
      <c r="IH197"/>
      <c r="II197"/>
      <c r="IJ197"/>
      <c r="IK197"/>
      <c r="IL197"/>
      <c r="IM197"/>
      <c r="IN197"/>
      <c r="IO197"/>
      <c r="IP197"/>
      <c r="IQ197"/>
      <c r="IR197"/>
      <c r="IS197"/>
      <c r="IT197"/>
      <c r="IU197"/>
      <c r="IV197"/>
      <c r="IW197"/>
      <c r="IX197"/>
      <c r="IY197"/>
      <c r="IZ197"/>
    </row>
    <row r="198" spans="1:260" s="4" customFormat="1" hidden="1" outlineLevel="1" x14ac:dyDescent="0.2">
      <c r="A198" s="4" t="s">
        <v>616</v>
      </c>
      <c r="E198" s="470"/>
      <c r="I198" s="470"/>
      <c r="M198" s="470"/>
      <c r="Q198" s="470"/>
      <c r="U198" s="470"/>
      <c r="Y198" s="470"/>
      <c r="AC198" s="470"/>
      <c r="AG198" s="470"/>
      <c r="AK198" s="470"/>
      <c r="AO198" s="470"/>
      <c r="AS198" s="470"/>
      <c r="AW198" s="470"/>
      <c r="BA198" s="470"/>
      <c r="BB198" s="580"/>
      <c r="BC198" s="70"/>
      <c r="BD198" s="70"/>
      <c r="BE198" s="487"/>
      <c r="BF198" s="580"/>
      <c r="BG198" s="70"/>
      <c r="BH198" s="70"/>
      <c r="BI198" s="487"/>
      <c r="BJ198" s="580"/>
      <c r="BK198" s="70"/>
      <c r="BL198" s="70"/>
      <c r="BM198" s="487"/>
      <c r="BN198" s="580"/>
      <c r="BO198" s="70"/>
      <c r="BP198" s="70"/>
      <c r="BQ198" s="487"/>
      <c r="BR198" s="580">
        <f t="shared" ref="BR198:DB198" si="856">BR195+BN195+BJ195+BF195</f>
        <v>0.34400000000000003</v>
      </c>
      <c r="BS198" s="70">
        <f t="shared" si="856"/>
        <v>0.35900000000000004</v>
      </c>
      <c r="BT198" s="70">
        <f t="shared" si="856"/>
        <v>0.33900000000000002</v>
      </c>
      <c r="BU198" s="487">
        <f t="shared" si="856"/>
        <v>0.33600000000000002</v>
      </c>
      <c r="BV198" s="70">
        <f t="shared" si="856"/>
        <v>0.33200000000000002</v>
      </c>
      <c r="BW198" s="70">
        <f t="shared" si="856"/>
        <v>0.308</v>
      </c>
      <c r="BX198" s="70">
        <f t="shared" si="856"/>
        <v>0.34700000000000003</v>
      </c>
      <c r="BY198" s="487">
        <f t="shared" si="856"/>
        <v>0.34900000000000003</v>
      </c>
      <c r="BZ198" s="70">
        <f t="shared" si="856"/>
        <v>0.35899999999999999</v>
      </c>
      <c r="CA198" s="70">
        <f t="shared" si="856"/>
        <v>0.23699999999999999</v>
      </c>
      <c r="CB198" s="70">
        <f t="shared" si="856"/>
        <v>0.30600000000000005</v>
      </c>
      <c r="CC198" s="487">
        <f t="shared" si="856"/>
        <v>0.26</v>
      </c>
      <c r="CD198" s="70">
        <f t="shared" si="856"/>
        <v>0.253</v>
      </c>
      <c r="CE198" s="70">
        <f t="shared" si="856"/>
        <v>0.186</v>
      </c>
      <c r="CF198" s="70">
        <f t="shared" si="856"/>
        <v>0.26500000000000001</v>
      </c>
      <c r="CG198" s="487">
        <f t="shared" si="856"/>
        <v>0.154</v>
      </c>
      <c r="CH198" s="70">
        <f t="shared" si="856"/>
        <v>0.192</v>
      </c>
      <c r="CI198" s="70">
        <f t="shared" si="856"/>
        <v>0.21099999999999999</v>
      </c>
      <c r="CJ198" s="70">
        <f t="shared" si="856"/>
        <v>0.22600000000000001</v>
      </c>
      <c r="CK198" s="487">
        <f t="shared" si="856"/>
        <v>0.313</v>
      </c>
      <c r="CL198" s="70">
        <f t="shared" si="856"/>
        <v>0.18099999999999999</v>
      </c>
      <c r="CM198" s="70">
        <f t="shared" si="856"/>
        <v>0.26600000000000001</v>
      </c>
      <c r="CN198" s="70">
        <f t="shared" si="856"/>
        <v>0.14700000000000002</v>
      </c>
      <c r="CO198" s="487">
        <f t="shared" si="856"/>
        <v>0.371</v>
      </c>
      <c r="CP198" s="70">
        <f t="shared" si="856"/>
        <v>0.104</v>
      </c>
      <c r="CQ198" s="70">
        <f t="shared" si="856"/>
        <v>0.24400000000000002</v>
      </c>
      <c r="CR198" s="70">
        <f t="shared" si="856"/>
        <v>0.14399999999999999</v>
      </c>
      <c r="CS198" s="487">
        <f t="shared" si="856"/>
        <v>0.40800000000000003</v>
      </c>
      <c r="CT198" s="70">
        <f t="shared" si="856"/>
        <v>0.121</v>
      </c>
      <c r="CU198" s="70">
        <f t="shared" si="856"/>
        <v>0.16300000000000003</v>
      </c>
      <c r="CV198" s="70">
        <f t="shared" si="856"/>
        <v>0.11699999999999999</v>
      </c>
      <c r="CW198" s="487">
        <f t="shared" si="856"/>
        <v>0.29400000000000004</v>
      </c>
      <c r="CX198" s="70">
        <f t="shared" si="856"/>
        <v>6.3E-2</v>
      </c>
      <c r="CY198" s="70">
        <f t="shared" si="856"/>
        <v>7.3000000000000009E-2</v>
      </c>
      <c r="CZ198" s="70">
        <f t="shared" si="856"/>
        <v>9.2999999999999999E-2</v>
      </c>
      <c r="DA198" s="487">
        <f t="shared" si="856"/>
        <v>9.1999999999999998E-2</v>
      </c>
      <c r="DB198" s="70">
        <f t="shared" si="856"/>
        <v>-8.0000000000000071E-3</v>
      </c>
      <c r="DC198" s="70">
        <f t="shared" ref="DC198:DI198" si="857">DC195+CY195+CU195+CQ195</f>
        <v>-5.9999999999999984E-3</v>
      </c>
      <c r="DD198" s="70">
        <f t="shared" si="857"/>
        <v>0.1</v>
      </c>
      <c r="DE198" s="1569">
        <f t="shared" si="857"/>
        <v>-8.6000000000000007E-2</v>
      </c>
      <c r="DF198" s="70">
        <f t="shared" si="857"/>
        <v>-5.4000000000000006E-2</v>
      </c>
      <c r="DG198" s="70">
        <f t="shared" si="857"/>
        <v>3.0000000000000096E-3</v>
      </c>
      <c r="DH198" s="70">
        <f t="shared" si="857"/>
        <v>6.8000000000000005E-2</v>
      </c>
      <c r="DI198" s="1569">
        <f t="shared" si="857"/>
        <v>-1.9E-2</v>
      </c>
      <c r="DJ198" s="1673"/>
      <c r="DK198" s="70"/>
      <c r="DL198" s="70"/>
      <c r="DM198" s="487"/>
      <c r="DN198" s="580"/>
      <c r="DO198" s="487"/>
      <c r="DP198" s="15"/>
      <c r="DQ198" s="15"/>
      <c r="DR198" s="15"/>
      <c r="DS198" s="15"/>
      <c r="DT198" s="15"/>
      <c r="DU198" s="15"/>
      <c r="DV198" s="15"/>
      <c r="DW198" s="15"/>
      <c r="DX198" s="15"/>
      <c r="DY198" s="15"/>
      <c r="DZ198" s="15"/>
      <c r="EA198" s="15"/>
      <c r="EB198" s="15"/>
      <c r="EC198" s="15"/>
      <c r="ED198" s="15"/>
      <c r="EE198" s="15"/>
      <c r="EF198" s="15"/>
      <c r="EG198" s="15"/>
      <c r="EH198" s="15"/>
      <c r="EI198" s="15"/>
      <c r="EJ198" s="15"/>
      <c r="EK198" s="70"/>
      <c r="EL198" s="70"/>
      <c r="EM198" s="70"/>
      <c r="EN198" s="15"/>
      <c r="EO198" s="15"/>
      <c r="EP198" s="15"/>
      <c r="EQ198" s="77">
        <f>+EQ195+EN195+EM195+EL195</f>
        <v>0.36</v>
      </c>
      <c r="ER198" s="77">
        <f>+ER195+EQ195+EN195+EM195</f>
        <v>0.33900000000000002</v>
      </c>
      <c r="ES198" s="77">
        <f>+ES195+EP195+EO195+EN195</f>
        <v>0.23400000000000001</v>
      </c>
      <c r="ET198" s="77">
        <f>+ET195+ER195+EQ195+EN195</f>
        <v>0.30500000000000005</v>
      </c>
      <c r="EU198" s="77">
        <f>EU195+ET195+ER195+EQ195</f>
        <v>0.22400000000000003</v>
      </c>
      <c r="EV198" s="52">
        <f>EV195+EU195+ET195+ER195</f>
        <v>0.16000000000000003</v>
      </c>
      <c r="EW198" s="52">
        <f>EW195+EV195+EU195+ET195</f>
        <v>8.5000000000000006E-2</v>
      </c>
      <c r="EX198" s="52">
        <f t="shared" ref="EX198:EY198" si="858">EX195+EW195+EV195+EU195</f>
        <v>-2.9999999999999957E-3</v>
      </c>
      <c r="EY198" s="52">
        <f t="shared" si="858"/>
        <v>-2.6923403389035958E-3</v>
      </c>
      <c r="EZ198" s="1680"/>
      <c r="FA198" s="15"/>
      <c r="FB198" s="15"/>
      <c r="FC198" s="15"/>
      <c r="FD198" s="15"/>
      <c r="FE198" s="15"/>
      <c r="FF198" s="15"/>
      <c r="FG198" s="15"/>
      <c r="FH198" s="15"/>
      <c r="FI198" s="671"/>
      <c r="FJ198"/>
      <c r="FK198"/>
      <c r="FL198"/>
      <c r="FM198"/>
      <c r="FN198"/>
      <c r="FO198"/>
      <c r="FP198" s="3"/>
      <c r="FS198" s="7"/>
      <c r="FT198" s="7"/>
      <c r="FU198"/>
      <c r="FV198"/>
      <c r="FW198" s="70"/>
      <c r="FX198" s="70"/>
      <c r="FY198" s="70"/>
      <c r="FZ198"/>
      <c r="GA198"/>
      <c r="GB198"/>
      <c r="GC198"/>
      <c r="GD198"/>
      <c r="GE198"/>
      <c r="GF198"/>
      <c r="GG198"/>
      <c r="GH198"/>
      <c r="GI198"/>
      <c r="GJ198"/>
      <c r="GK198"/>
      <c r="GL198"/>
      <c r="GM198"/>
      <c r="GN198"/>
      <c r="GO198"/>
      <c r="GP198"/>
      <c r="GQ198"/>
      <c r="GR198"/>
      <c r="GS198"/>
      <c r="GT198"/>
      <c r="GU198"/>
      <c r="GV198"/>
      <c r="GW198"/>
      <c r="GX198"/>
      <c r="GY198"/>
      <c r="GZ198"/>
      <c r="HA198"/>
      <c r="HB198"/>
      <c r="HC198"/>
      <c r="HD198"/>
      <c r="HE198"/>
      <c r="HF198"/>
      <c r="HG198"/>
      <c r="HH198"/>
      <c r="HI198"/>
      <c r="HJ198"/>
      <c r="HK198"/>
      <c r="HL198"/>
      <c r="HM198"/>
      <c r="HN198"/>
      <c r="HO198"/>
      <c r="HP198"/>
      <c r="HQ198"/>
      <c r="HR198"/>
      <c r="HS198"/>
      <c r="HT198"/>
      <c r="HU198"/>
      <c r="HV198"/>
      <c r="HW198"/>
      <c r="HX198"/>
      <c r="HY198"/>
      <c r="HZ198"/>
      <c r="IA198"/>
      <c r="IB198"/>
      <c r="IC198"/>
      <c r="ID198"/>
      <c r="IE198"/>
      <c r="IF198"/>
      <c r="IG198"/>
      <c r="IH198"/>
      <c r="II198"/>
      <c r="IJ198"/>
      <c r="IK198"/>
      <c r="IL198"/>
      <c r="IM198"/>
      <c r="IN198"/>
      <c r="IO198"/>
      <c r="IP198"/>
      <c r="IQ198"/>
      <c r="IR198"/>
      <c r="IS198"/>
      <c r="IT198"/>
      <c r="IU198"/>
      <c r="IV198"/>
      <c r="IW198"/>
      <c r="IX198"/>
      <c r="IY198"/>
      <c r="IZ198"/>
    </row>
    <row r="199" spans="1:260" s="4" customFormat="1" hidden="1" outlineLevel="1" x14ac:dyDescent="0.2">
      <c r="E199" s="470"/>
      <c r="I199" s="470"/>
      <c r="M199" s="470"/>
      <c r="Q199" s="470"/>
      <c r="U199" s="470"/>
      <c r="Y199" s="470"/>
      <c r="AC199" s="470"/>
      <c r="AG199" s="470"/>
      <c r="AK199" s="470"/>
      <c r="AO199" s="470"/>
      <c r="AS199" s="470"/>
      <c r="AW199" s="470"/>
      <c r="BA199" s="470"/>
      <c r="BB199" s="580"/>
      <c r="BC199" s="70"/>
      <c r="BD199" s="70"/>
      <c r="BE199" s="487"/>
      <c r="BF199" s="580"/>
      <c r="BG199" s="70"/>
      <c r="BH199" s="70"/>
      <c r="BI199" s="487"/>
      <c r="BJ199" s="580"/>
      <c r="BK199" s="70"/>
      <c r="BL199" s="70"/>
      <c r="BM199" s="487"/>
      <c r="BN199" s="580"/>
      <c r="BO199" s="70"/>
      <c r="BP199" s="70"/>
      <c r="BQ199" s="487"/>
      <c r="BR199" s="580"/>
      <c r="BS199" s="70"/>
      <c r="BT199" s="70"/>
      <c r="BU199" s="487"/>
      <c r="BV199" s="77"/>
      <c r="BW199" s="77"/>
      <c r="BX199" s="70"/>
      <c r="BY199" s="487"/>
      <c r="BZ199" s="77"/>
      <c r="CA199" s="77"/>
      <c r="CB199" s="70"/>
      <c r="CC199" s="487"/>
      <c r="CD199" s="77"/>
      <c r="CE199" s="77"/>
      <c r="CF199" s="70"/>
      <c r="CG199" s="487"/>
      <c r="CH199" s="77"/>
      <c r="CI199" s="77"/>
      <c r="CJ199" s="70"/>
      <c r="CK199" s="487"/>
      <c r="CL199" s="77"/>
      <c r="CM199" s="77"/>
      <c r="CN199" s="70"/>
      <c r="CO199" s="487"/>
      <c r="CP199" s="77"/>
      <c r="CQ199" s="77"/>
      <c r="CR199" s="70"/>
      <c r="CS199" s="487"/>
      <c r="CT199" s="77"/>
      <c r="CU199" s="77"/>
      <c r="CV199" s="70"/>
      <c r="CW199" s="487"/>
      <c r="CX199" s="1812"/>
      <c r="CY199" s="1825"/>
      <c r="CZ199" s="1825"/>
      <c r="DA199" s="1811"/>
      <c r="DB199" s="1812"/>
      <c r="DC199" s="91"/>
      <c r="DD199" s="91"/>
      <c r="DE199" s="1569"/>
      <c r="DF199" s="70"/>
      <c r="DG199" s="70"/>
      <c r="DH199" s="70"/>
      <c r="DI199" s="1569"/>
      <c r="DJ199" s="1673"/>
      <c r="DK199" s="70"/>
      <c r="DL199" s="70"/>
      <c r="DM199" s="487"/>
      <c r="DN199" s="580"/>
      <c r="DO199" s="487"/>
      <c r="DP199" s="15"/>
      <c r="DQ199" s="15"/>
      <c r="DR199" s="15"/>
      <c r="DS199" s="15"/>
      <c r="DT199" s="15"/>
      <c r="DU199" s="15"/>
      <c r="DV199" s="15"/>
      <c r="DW199" s="15"/>
      <c r="DX199" s="15"/>
      <c r="DY199" s="15"/>
      <c r="DZ199" s="15"/>
      <c r="EA199" s="15"/>
      <c r="EB199" s="15"/>
      <c r="EC199" s="15"/>
      <c r="ED199" s="15"/>
      <c r="EE199" s="15"/>
      <c r="EF199" s="15"/>
      <c r="EG199" s="15"/>
      <c r="EH199" s="15"/>
      <c r="EI199" s="15"/>
      <c r="EJ199" s="15"/>
      <c r="EK199" s="70"/>
      <c r="EL199" s="70"/>
      <c r="EM199" s="70"/>
      <c r="EN199" s="15"/>
      <c r="EO199" s="15"/>
      <c r="EP199" s="15"/>
      <c r="EQ199" s="15"/>
      <c r="ER199" s="77"/>
      <c r="ES199" s="77"/>
      <c r="ET199" s="77"/>
      <c r="EU199" s="77"/>
      <c r="EV199" s="52"/>
      <c r="EW199" s="52"/>
      <c r="EX199" s="52"/>
      <c r="EY199" s="52"/>
      <c r="EZ199" s="1680"/>
      <c r="FA199" s="15"/>
      <c r="FB199" s="15"/>
      <c r="FC199" s="15"/>
      <c r="FD199" s="15"/>
      <c r="FE199" s="15"/>
      <c r="FF199" s="15"/>
      <c r="FG199" s="15"/>
      <c r="FH199" s="15"/>
      <c r="FI199" s="671"/>
      <c r="FJ199"/>
      <c r="FK199"/>
      <c r="FL199"/>
      <c r="FM199"/>
      <c r="FN199"/>
      <c r="FO199"/>
      <c r="FP199" s="3"/>
      <c r="FS199" s="7"/>
      <c r="FT199" s="7"/>
      <c r="FU199"/>
      <c r="FV199"/>
      <c r="FW199" s="70"/>
      <c r="FX199" s="70"/>
      <c r="FY199" s="70"/>
      <c r="FZ199"/>
      <c r="GA199"/>
      <c r="GB199"/>
      <c r="GC199"/>
      <c r="GD199"/>
      <c r="GE199"/>
      <c r="GF199"/>
      <c r="GG199"/>
      <c r="GH199"/>
      <c r="GI199"/>
      <c r="GJ199"/>
      <c r="GK199"/>
      <c r="GL199"/>
      <c r="GM199"/>
      <c r="GN199"/>
      <c r="GO199"/>
      <c r="GP199"/>
      <c r="GQ199"/>
      <c r="GR199"/>
      <c r="GS199"/>
      <c r="GT199"/>
      <c r="GU199"/>
      <c r="GV199"/>
      <c r="GW199"/>
      <c r="GX199"/>
      <c r="GY199"/>
      <c r="GZ199"/>
      <c r="HA199"/>
      <c r="HB199"/>
      <c r="HC199"/>
      <c r="HD199"/>
      <c r="HE199"/>
      <c r="HF199"/>
      <c r="HG199"/>
      <c r="HH199"/>
      <c r="HI199"/>
      <c r="HJ199"/>
      <c r="HK199"/>
      <c r="HL199"/>
      <c r="HM199"/>
      <c r="HN199"/>
      <c r="HO199"/>
      <c r="HP199"/>
      <c r="HQ199"/>
      <c r="HR199"/>
      <c r="HS199"/>
      <c r="HT199"/>
      <c r="HU199"/>
      <c r="HV199"/>
      <c r="HW199"/>
      <c r="HX199"/>
      <c r="HY199"/>
      <c r="HZ199"/>
      <c r="IA199"/>
      <c r="IB199"/>
      <c r="IC199"/>
      <c r="ID199"/>
      <c r="IE199"/>
      <c r="IF199"/>
      <c r="IG199"/>
      <c r="IH199"/>
      <c r="II199"/>
      <c r="IJ199"/>
      <c r="IK199"/>
      <c r="IL199"/>
      <c r="IM199"/>
      <c r="IN199"/>
      <c r="IO199"/>
      <c r="IP199"/>
      <c r="IQ199"/>
      <c r="IR199"/>
      <c r="IS199"/>
      <c r="IT199"/>
      <c r="IU199"/>
      <c r="IV199"/>
      <c r="IW199"/>
      <c r="IX199"/>
      <c r="IY199"/>
      <c r="IZ199"/>
    </row>
    <row r="200" spans="1:260" s="19" customFormat="1" hidden="1" outlineLevel="1" x14ac:dyDescent="0.2">
      <c r="A200" s="19" t="s">
        <v>385</v>
      </c>
      <c r="E200" s="469"/>
      <c r="I200" s="469"/>
      <c r="M200" s="469"/>
      <c r="Q200" s="469"/>
      <c r="U200" s="469"/>
      <c r="Y200" s="469"/>
      <c r="AC200" s="469"/>
      <c r="AG200" s="469"/>
      <c r="AK200" s="469"/>
      <c r="AO200" s="469"/>
      <c r="AS200" s="469"/>
      <c r="AW200" s="469"/>
      <c r="BA200" s="469"/>
      <c r="BB200" s="1157"/>
      <c r="BC200" s="219">
        <v>-2E-3</v>
      </c>
      <c r="BD200" s="197"/>
      <c r="BE200" s="572"/>
      <c r="BF200" s="1157">
        <v>-8.0000000000000002E-3</v>
      </c>
      <c r="BG200" s="219">
        <v>7.0000000000000007E-2</v>
      </c>
      <c r="BH200" s="197">
        <v>0.20899999999999999</v>
      </c>
      <c r="BI200" s="572">
        <v>0.01</v>
      </c>
      <c r="BJ200" s="1157">
        <v>8.2000000000000003E-2</v>
      </c>
      <c r="BK200" s="219">
        <v>0</v>
      </c>
      <c r="BL200" s="197">
        <v>-0.124</v>
      </c>
      <c r="BM200" s="572">
        <v>-0.11</v>
      </c>
      <c r="BN200" s="1157">
        <v>-0.20599999999999999</v>
      </c>
      <c r="BO200" s="219">
        <v>-0.23400000000000001</v>
      </c>
      <c r="BP200" s="197">
        <v>-0.109</v>
      </c>
      <c r="BQ200" s="572">
        <v>-4.9000000000000002E-2</v>
      </c>
      <c r="BR200" s="1157">
        <v>-0.128</v>
      </c>
      <c r="BS200" s="219">
        <v>-0.109</v>
      </c>
      <c r="BT200" s="197">
        <v>-0.13900000000000001</v>
      </c>
      <c r="BU200" s="572">
        <v>-0.14299999999999999</v>
      </c>
      <c r="BV200" s="50">
        <v>-0.13100000000000001</v>
      </c>
      <c r="BW200" s="50">
        <v>-0.2</v>
      </c>
      <c r="BX200" s="197">
        <v>-0.09</v>
      </c>
      <c r="BY200" s="572">
        <v>-0.21</v>
      </c>
      <c r="BZ200" s="50">
        <v>-0.127</v>
      </c>
      <c r="CA200" s="50">
        <v>-0.113</v>
      </c>
      <c r="CB200" s="197">
        <v>-0.17100000000000001</v>
      </c>
      <c r="CC200" s="572">
        <v>-0.128</v>
      </c>
      <c r="CD200" s="50">
        <v>-0.121</v>
      </c>
      <c r="CE200" s="50">
        <v>-0.182</v>
      </c>
      <c r="CF200" s="197">
        <v>-0.12</v>
      </c>
      <c r="CG200" s="572">
        <v>-0.17899999999999999</v>
      </c>
      <c r="CH200" s="50">
        <v>-0.27800000000000002</v>
      </c>
      <c r="CI200" s="50">
        <v>-0.221</v>
      </c>
      <c r="CJ200" s="197">
        <v>-0.185</v>
      </c>
      <c r="CK200" s="572">
        <v>-0.189</v>
      </c>
      <c r="CL200" s="50">
        <v>-0.27800000000000002</v>
      </c>
      <c r="CM200" s="50">
        <v>-0.221</v>
      </c>
      <c r="CN200" s="197">
        <v>-0.185</v>
      </c>
      <c r="CO200" s="572">
        <v>-0.189</v>
      </c>
      <c r="CP200" s="50">
        <v>-0.17199999999999999</v>
      </c>
      <c r="CQ200" s="50">
        <v>-0.29799999999999999</v>
      </c>
      <c r="CR200" s="197">
        <v>-0.26800000000000002</v>
      </c>
      <c r="CS200" s="572">
        <v>-5.6000000000000001E-2</v>
      </c>
      <c r="CT200" s="50">
        <v>1.4999999999999999E-2</v>
      </c>
      <c r="CU200" s="50">
        <v>0.161</v>
      </c>
      <c r="CV200" s="197">
        <v>0.16600000000000001</v>
      </c>
      <c r="CW200" s="572">
        <v>-1.7999999999999999E-2</v>
      </c>
      <c r="CX200" s="208">
        <v>-0.11</v>
      </c>
      <c r="CY200" s="208">
        <v>-0.02</v>
      </c>
      <c r="CZ200" s="197">
        <v>-0.06</v>
      </c>
      <c r="DA200" s="572">
        <v>1E-3</v>
      </c>
      <c r="DB200" s="208">
        <v>-0.11600000000000001</v>
      </c>
      <c r="DC200" s="197">
        <v>-0.18</v>
      </c>
      <c r="DD200" s="197">
        <v>-9.4E-2</v>
      </c>
      <c r="DE200" s="572">
        <v>-0.186</v>
      </c>
      <c r="DF200" s="208">
        <v>0.113</v>
      </c>
      <c r="DG200" s="208">
        <v>0.154</v>
      </c>
      <c r="DH200" s="208">
        <v>4.1000000000000002E-2</v>
      </c>
      <c r="DI200" s="572">
        <v>0.16800000000000001</v>
      </c>
      <c r="DJ200" s="2704"/>
      <c r="DK200" s="1552"/>
      <c r="DL200" s="1552"/>
      <c r="DM200" s="1551"/>
      <c r="DN200" s="578"/>
      <c r="DO200" s="572"/>
      <c r="DP200" s="50"/>
      <c r="DQ200" s="50"/>
      <c r="DR200" s="50"/>
      <c r="DS200" s="50"/>
      <c r="DT200" s="50"/>
      <c r="DU200" s="50"/>
      <c r="DV200" s="50"/>
      <c r="DW200" s="50"/>
      <c r="DX200" s="50"/>
      <c r="DY200" s="50"/>
      <c r="DZ200" s="50"/>
      <c r="EA200" s="50"/>
      <c r="EB200" s="50"/>
      <c r="EC200" s="50"/>
      <c r="ED200" s="50"/>
      <c r="EE200" s="50"/>
      <c r="EF200" s="50"/>
      <c r="EG200" s="50"/>
      <c r="EH200" s="50"/>
      <c r="EI200" s="50"/>
      <c r="EJ200" s="50"/>
      <c r="EK200" s="197"/>
      <c r="EL200" s="197">
        <v>6.0999999999999999E-2</v>
      </c>
      <c r="EM200" s="197">
        <v>-5.8999999999999997E-2</v>
      </c>
      <c r="EN200" s="50">
        <v>-0.13200000000000001</v>
      </c>
      <c r="EO200" s="50">
        <v>-0.13300000000000001</v>
      </c>
      <c r="EP200" s="50"/>
      <c r="EQ200" s="50">
        <v>-0.13300000000000001</v>
      </c>
      <c r="ER200" s="50">
        <v>-0.156</v>
      </c>
      <c r="ES200" s="50">
        <v>-0.215</v>
      </c>
      <c r="ET200" s="50">
        <v>-0.215</v>
      </c>
      <c r="EU200" s="50">
        <v>-0.16300000000000001</v>
      </c>
      <c r="EV200" s="50">
        <v>4.4999999999999998E-2</v>
      </c>
      <c r="EW200" s="50">
        <v>-3.5999999999999997E-2</v>
      </c>
      <c r="EX200" s="208">
        <v>-0.13800000000000001</v>
      </c>
      <c r="EY200" s="2785">
        <v>5.7952526422096612E-3</v>
      </c>
      <c r="EZ200" s="1739"/>
      <c r="FA200" s="50"/>
      <c r="FB200" s="50"/>
      <c r="FC200" s="50"/>
      <c r="FD200" s="50"/>
      <c r="FE200" s="50"/>
      <c r="FF200" s="50"/>
      <c r="FG200" s="50"/>
      <c r="FH200" s="50"/>
      <c r="FI200" s="590"/>
      <c r="FJ200"/>
      <c r="FK200"/>
      <c r="FL200"/>
      <c r="FM200"/>
      <c r="FN200"/>
      <c r="FO200"/>
      <c r="FP200" s="401"/>
      <c r="FS200" s="53"/>
      <c r="FT200" s="53"/>
      <c r="FW200" s="197"/>
      <c r="FX200" s="197"/>
      <c r="FY200" s="197"/>
    </row>
    <row r="201" spans="1:260" s="4" customFormat="1" hidden="1" outlineLevel="1" x14ac:dyDescent="0.2">
      <c r="A201" s="4" t="s">
        <v>4</v>
      </c>
      <c r="E201" s="470"/>
      <c r="I201" s="470"/>
      <c r="M201" s="470"/>
      <c r="Q201" s="470"/>
      <c r="U201" s="470"/>
      <c r="Y201" s="470"/>
      <c r="AC201" s="470"/>
      <c r="AG201" s="470"/>
      <c r="AK201" s="470"/>
      <c r="AO201" s="470"/>
      <c r="AS201" s="470"/>
      <c r="AW201" s="470"/>
      <c r="BA201" s="470"/>
      <c r="BB201" s="580"/>
      <c r="BC201" s="70"/>
      <c r="BD201" s="70"/>
      <c r="BE201" s="487"/>
      <c r="BF201" s="580"/>
      <c r="BG201" s="70"/>
      <c r="BH201" s="70"/>
      <c r="BI201" s="487"/>
      <c r="BJ201" s="580">
        <f t="shared" ref="BJ201:DB201" si="859">BF200+BJ200</f>
        <v>7.400000000000001E-2</v>
      </c>
      <c r="BK201" s="70">
        <f t="shared" si="859"/>
        <v>7.0000000000000007E-2</v>
      </c>
      <c r="BL201" s="70">
        <f t="shared" si="859"/>
        <v>8.4999999999999992E-2</v>
      </c>
      <c r="BM201" s="487">
        <f t="shared" si="859"/>
        <v>-0.1</v>
      </c>
      <c r="BN201" s="580">
        <f t="shared" si="859"/>
        <v>-0.12399999999999999</v>
      </c>
      <c r="BO201" s="70">
        <f t="shared" si="859"/>
        <v>-0.23400000000000001</v>
      </c>
      <c r="BP201" s="70">
        <f t="shared" si="859"/>
        <v>-0.23299999999999998</v>
      </c>
      <c r="BQ201" s="487">
        <f t="shared" si="859"/>
        <v>-0.159</v>
      </c>
      <c r="BR201" s="580">
        <f t="shared" si="859"/>
        <v>-0.33399999999999996</v>
      </c>
      <c r="BS201" s="70">
        <f t="shared" si="859"/>
        <v>-0.34300000000000003</v>
      </c>
      <c r="BT201" s="70">
        <f t="shared" si="859"/>
        <v>-0.248</v>
      </c>
      <c r="BU201" s="487">
        <f t="shared" si="859"/>
        <v>-0.192</v>
      </c>
      <c r="BV201" s="70">
        <f t="shared" si="859"/>
        <v>-0.25900000000000001</v>
      </c>
      <c r="BW201" s="70">
        <f t="shared" si="859"/>
        <v>-0.309</v>
      </c>
      <c r="BX201" s="70">
        <f t="shared" si="859"/>
        <v>-0.22900000000000001</v>
      </c>
      <c r="BY201" s="487">
        <f t="shared" si="859"/>
        <v>-0.35299999999999998</v>
      </c>
      <c r="BZ201" s="70">
        <f t="shared" si="859"/>
        <v>-0.25800000000000001</v>
      </c>
      <c r="CA201" s="70">
        <f t="shared" si="859"/>
        <v>-0.313</v>
      </c>
      <c r="CB201" s="70">
        <f t="shared" si="859"/>
        <v>-0.26100000000000001</v>
      </c>
      <c r="CC201" s="487">
        <f t="shared" si="859"/>
        <v>-0.33799999999999997</v>
      </c>
      <c r="CD201" s="70">
        <f t="shared" si="859"/>
        <v>-0.248</v>
      </c>
      <c r="CE201" s="70">
        <f t="shared" si="859"/>
        <v>-0.29499999999999998</v>
      </c>
      <c r="CF201" s="70">
        <f t="shared" si="859"/>
        <v>-0.29100000000000004</v>
      </c>
      <c r="CG201" s="487">
        <f t="shared" si="859"/>
        <v>-0.307</v>
      </c>
      <c r="CH201" s="70">
        <f t="shared" si="859"/>
        <v>-0.39900000000000002</v>
      </c>
      <c r="CI201" s="70">
        <f t="shared" si="859"/>
        <v>-0.40300000000000002</v>
      </c>
      <c r="CJ201" s="70">
        <f t="shared" si="859"/>
        <v>-0.30499999999999999</v>
      </c>
      <c r="CK201" s="487">
        <f t="shared" si="859"/>
        <v>-0.36799999999999999</v>
      </c>
      <c r="CL201" s="70">
        <f t="shared" si="859"/>
        <v>-0.55600000000000005</v>
      </c>
      <c r="CM201" s="70">
        <f t="shared" si="859"/>
        <v>-0.442</v>
      </c>
      <c r="CN201" s="70">
        <f t="shared" si="859"/>
        <v>-0.37</v>
      </c>
      <c r="CO201" s="487">
        <f t="shared" si="859"/>
        <v>-0.378</v>
      </c>
      <c r="CP201" s="70">
        <f t="shared" si="859"/>
        <v>-0.45</v>
      </c>
      <c r="CQ201" s="70">
        <f t="shared" si="859"/>
        <v>-0.51900000000000002</v>
      </c>
      <c r="CR201" s="70">
        <f t="shared" si="859"/>
        <v>-0.45300000000000001</v>
      </c>
      <c r="CS201" s="487">
        <f t="shared" si="859"/>
        <v>-0.245</v>
      </c>
      <c r="CT201" s="70">
        <f t="shared" si="859"/>
        <v>-0.15699999999999997</v>
      </c>
      <c r="CU201" s="70">
        <f t="shared" si="859"/>
        <v>-0.13699999999999998</v>
      </c>
      <c r="CV201" s="70">
        <f t="shared" si="859"/>
        <v>-0.10200000000000001</v>
      </c>
      <c r="CW201" s="487">
        <f t="shared" si="859"/>
        <v>-7.3999999999999996E-2</v>
      </c>
      <c r="CX201" s="70">
        <f t="shared" si="859"/>
        <v>-9.5000000000000001E-2</v>
      </c>
      <c r="CY201" s="70">
        <f t="shared" si="859"/>
        <v>0.14100000000000001</v>
      </c>
      <c r="CZ201" s="70">
        <f t="shared" si="859"/>
        <v>0.10600000000000001</v>
      </c>
      <c r="DA201" s="487">
        <f t="shared" si="859"/>
        <v>-1.6999999999999998E-2</v>
      </c>
      <c r="DB201" s="70">
        <f t="shared" si="859"/>
        <v>-0.22600000000000001</v>
      </c>
      <c r="DC201" s="70">
        <f t="shared" ref="DC201:DI201" si="860">CY200+DC200</f>
        <v>-0.19999999999999998</v>
      </c>
      <c r="DD201" s="70">
        <f t="shared" si="860"/>
        <v>-0.154</v>
      </c>
      <c r="DE201" s="1569">
        <f t="shared" si="860"/>
        <v>-0.185</v>
      </c>
      <c r="DF201" s="70">
        <f t="shared" si="860"/>
        <v>-3.0000000000000027E-3</v>
      </c>
      <c r="DG201" s="70">
        <f t="shared" si="860"/>
        <v>-2.5999999999999995E-2</v>
      </c>
      <c r="DH201" s="70">
        <f t="shared" si="860"/>
        <v>-5.2999999999999999E-2</v>
      </c>
      <c r="DI201" s="1569">
        <f t="shared" si="860"/>
        <v>-1.7999999999999988E-2</v>
      </c>
      <c r="DJ201" s="1673"/>
      <c r="DK201" s="70"/>
      <c r="DL201" s="70"/>
      <c r="DM201" s="487"/>
      <c r="DN201" s="580"/>
      <c r="DO201" s="487"/>
      <c r="DP201" s="15"/>
      <c r="DQ201" s="15"/>
      <c r="DR201" s="15"/>
      <c r="DS201" s="15"/>
      <c r="DT201" s="15"/>
      <c r="DU201" s="15"/>
      <c r="DV201" s="15"/>
      <c r="DW201" s="15"/>
      <c r="DX201" s="15"/>
      <c r="DY201" s="15"/>
      <c r="DZ201" s="15"/>
      <c r="EA201" s="15"/>
      <c r="EB201" s="15"/>
      <c r="EC201" s="15"/>
      <c r="ED201" s="15"/>
      <c r="EE201" s="15"/>
      <c r="EF201" s="15"/>
      <c r="EG201" s="15"/>
      <c r="EH201" s="15"/>
      <c r="EI201" s="15"/>
      <c r="EJ201" s="15"/>
      <c r="EK201" s="70"/>
      <c r="EL201" s="70"/>
      <c r="EM201" s="70">
        <f t="shared" ref="EM201" si="861">EM200+EL200</f>
        <v>2.0000000000000018E-3</v>
      </c>
      <c r="EN201" s="15">
        <f t="shared" ref="EN201" si="862">EN200+EM200</f>
        <v>-0.191</v>
      </c>
      <c r="EO201" s="15">
        <f t="shared" ref="EO201" si="863">EO200+EN200</f>
        <v>-0.26500000000000001</v>
      </c>
      <c r="EP201" s="15">
        <f t="shared" ref="EP201" si="864">EP200+EO200</f>
        <v>-0.13300000000000001</v>
      </c>
      <c r="EQ201" s="15">
        <f>+EQ200+EN200</f>
        <v>-0.26500000000000001</v>
      </c>
      <c r="ER201" s="77">
        <f>ER200+EQ200</f>
        <v>-0.28900000000000003</v>
      </c>
      <c r="ES201" s="77">
        <f>+ES200+EP200</f>
        <v>-0.215</v>
      </c>
      <c r="ET201" s="77">
        <f>+ET200+ER200</f>
        <v>-0.371</v>
      </c>
      <c r="EU201" s="77">
        <f t="shared" ref="EU201" si="865">+EU200+ET200</f>
        <v>-0.378</v>
      </c>
      <c r="EV201" s="52">
        <f t="shared" ref="EV201" si="866">+EV200+EU200</f>
        <v>-0.11800000000000001</v>
      </c>
      <c r="EW201" s="52">
        <f t="shared" ref="EW201" si="867">+EW200+EV200</f>
        <v>9.0000000000000011E-3</v>
      </c>
      <c r="EX201" s="52">
        <f t="shared" ref="EX201" si="868">+EX200+EW200</f>
        <v>-0.17400000000000002</v>
      </c>
      <c r="EY201" s="52">
        <f t="shared" ref="EY201" si="869">+EY200+EX200</f>
        <v>-0.13220474735779036</v>
      </c>
      <c r="EZ201" s="1680"/>
      <c r="FA201" s="15"/>
      <c r="FB201" s="15"/>
      <c r="FC201" s="15"/>
      <c r="FD201" s="15"/>
      <c r="FE201" s="15"/>
      <c r="FF201" s="15"/>
      <c r="FG201" s="15"/>
      <c r="FH201" s="15"/>
      <c r="FI201" s="671"/>
      <c r="FJ201"/>
      <c r="FK201"/>
      <c r="FL201"/>
      <c r="FM201"/>
      <c r="FN201"/>
      <c r="FO201"/>
      <c r="FP201" s="3"/>
      <c r="FS201" s="7"/>
      <c r="FT201" s="7"/>
      <c r="FU201"/>
      <c r="FV201"/>
      <c r="FW201" s="70"/>
      <c r="FX201" s="70"/>
      <c r="FY201" s="70"/>
      <c r="FZ201"/>
      <c r="GA201"/>
      <c r="GB201"/>
      <c r="GC201"/>
      <c r="GD201"/>
      <c r="GE201"/>
      <c r="GF201"/>
      <c r="GG201"/>
      <c r="GH201"/>
      <c r="GI201"/>
      <c r="GJ201"/>
      <c r="GK201"/>
      <c r="GL201"/>
      <c r="GM201"/>
      <c r="GN201"/>
      <c r="GO201"/>
      <c r="GP201"/>
      <c r="GQ201"/>
      <c r="GR201"/>
      <c r="GS201"/>
      <c r="GT201"/>
      <c r="GU201"/>
      <c r="GV201"/>
      <c r="GW201"/>
      <c r="GX201"/>
      <c r="GY201"/>
      <c r="GZ201"/>
      <c r="HA201"/>
      <c r="HB201"/>
      <c r="HC201"/>
      <c r="HD201"/>
      <c r="HE201"/>
      <c r="HF201"/>
      <c r="HG201"/>
      <c r="HH201"/>
      <c r="HI201"/>
      <c r="HJ201"/>
      <c r="HK201"/>
      <c r="HL201"/>
      <c r="HM201"/>
      <c r="HN201"/>
      <c r="HO201"/>
      <c r="HP201"/>
      <c r="HQ201"/>
      <c r="HR201"/>
      <c r="HS201"/>
      <c r="HT201"/>
      <c r="HU201"/>
      <c r="HV201"/>
      <c r="HW201"/>
      <c r="HX201"/>
      <c r="HY201"/>
      <c r="HZ201"/>
      <c r="IA201"/>
      <c r="IB201"/>
      <c r="IC201"/>
      <c r="ID201"/>
      <c r="IE201"/>
      <c r="IF201"/>
      <c r="IG201"/>
      <c r="IH201"/>
      <c r="II201"/>
      <c r="IJ201"/>
      <c r="IK201"/>
      <c r="IL201"/>
      <c r="IM201"/>
      <c r="IN201"/>
      <c r="IO201"/>
      <c r="IP201"/>
      <c r="IQ201"/>
      <c r="IR201"/>
      <c r="IS201"/>
      <c r="IT201"/>
      <c r="IU201"/>
      <c r="IV201"/>
      <c r="IW201"/>
      <c r="IX201"/>
      <c r="IY201"/>
      <c r="IZ201"/>
    </row>
    <row r="202" spans="1:260" s="4" customFormat="1" hidden="1" outlineLevel="1" x14ac:dyDescent="0.2">
      <c r="A202" s="4" t="s">
        <v>610</v>
      </c>
      <c r="E202" s="470"/>
      <c r="I202" s="470"/>
      <c r="M202" s="470"/>
      <c r="Q202" s="470"/>
      <c r="U202" s="470"/>
      <c r="Y202" s="470"/>
      <c r="AC202" s="470"/>
      <c r="AG202" s="470"/>
      <c r="AK202" s="470"/>
      <c r="AO202" s="470"/>
      <c r="AS202" s="470"/>
      <c r="AW202" s="470"/>
      <c r="BA202" s="470"/>
      <c r="BB202" s="580"/>
      <c r="BC202" s="70"/>
      <c r="BD202" s="70"/>
      <c r="BE202" s="487"/>
      <c r="BF202" s="580"/>
      <c r="BG202" s="70"/>
      <c r="BH202" s="70"/>
      <c r="BI202" s="487"/>
      <c r="BJ202" s="580"/>
      <c r="BK202" s="70"/>
      <c r="BL202" s="70"/>
      <c r="BM202" s="487"/>
      <c r="BN202" s="580">
        <f t="shared" ref="BN202:DB202" si="870">BN200+BJ200+BF200</f>
        <v>-0.13199999999999998</v>
      </c>
      <c r="BO202" s="70">
        <f t="shared" si="870"/>
        <v>-0.16400000000000001</v>
      </c>
      <c r="BP202" s="70">
        <f t="shared" si="870"/>
        <v>-2.3999999999999994E-2</v>
      </c>
      <c r="BQ202" s="487">
        <f t="shared" si="870"/>
        <v>-0.14899999999999999</v>
      </c>
      <c r="BR202" s="580">
        <f t="shared" si="870"/>
        <v>-0.25199999999999995</v>
      </c>
      <c r="BS202" s="70">
        <f t="shared" si="870"/>
        <v>-0.34300000000000003</v>
      </c>
      <c r="BT202" s="70">
        <f t="shared" si="870"/>
        <v>-0.372</v>
      </c>
      <c r="BU202" s="487">
        <f t="shared" si="870"/>
        <v>-0.30199999999999999</v>
      </c>
      <c r="BV202" s="70">
        <f t="shared" si="870"/>
        <v>-0.46499999999999997</v>
      </c>
      <c r="BW202" s="70">
        <f t="shared" si="870"/>
        <v>-0.54300000000000004</v>
      </c>
      <c r="BX202" s="70">
        <f t="shared" si="870"/>
        <v>-0.33800000000000002</v>
      </c>
      <c r="BY202" s="487">
        <f t="shared" si="870"/>
        <v>-0.40199999999999997</v>
      </c>
      <c r="BZ202" s="70">
        <f t="shared" si="870"/>
        <v>-0.38600000000000001</v>
      </c>
      <c r="CA202" s="70">
        <f t="shared" si="870"/>
        <v>-0.42199999999999999</v>
      </c>
      <c r="CB202" s="70">
        <f t="shared" si="870"/>
        <v>-0.4</v>
      </c>
      <c r="CC202" s="487">
        <f t="shared" si="870"/>
        <v>-0.48099999999999998</v>
      </c>
      <c r="CD202" s="70">
        <f t="shared" si="870"/>
        <v>-0.379</v>
      </c>
      <c r="CE202" s="70">
        <f t="shared" si="870"/>
        <v>-0.495</v>
      </c>
      <c r="CF202" s="70">
        <f t="shared" si="870"/>
        <v>-0.38100000000000001</v>
      </c>
      <c r="CG202" s="487">
        <f t="shared" si="870"/>
        <v>-0.51700000000000002</v>
      </c>
      <c r="CH202" s="70">
        <f t="shared" si="870"/>
        <v>-0.52600000000000002</v>
      </c>
      <c r="CI202" s="70">
        <f t="shared" si="870"/>
        <v>-0.51600000000000001</v>
      </c>
      <c r="CJ202" s="70">
        <f t="shared" si="870"/>
        <v>-0.47599999999999998</v>
      </c>
      <c r="CK202" s="487">
        <f t="shared" si="870"/>
        <v>-0.496</v>
      </c>
      <c r="CL202" s="70">
        <f t="shared" si="870"/>
        <v>-0.67700000000000005</v>
      </c>
      <c r="CM202" s="70">
        <f t="shared" si="870"/>
        <v>-0.624</v>
      </c>
      <c r="CN202" s="70">
        <f t="shared" si="870"/>
        <v>-0.49</v>
      </c>
      <c r="CO202" s="487">
        <f t="shared" si="870"/>
        <v>-0.55699999999999994</v>
      </c>
      <c r="CP202" s="70">
        <f t="shared" si="870"/>
        <v>-0.72799999999999998</v>
      </c>
      <c r="CQ202" s="70">
        <f t="shared" si="870"/>
        <v>-0.74</v>
      </c>
      <c r="CR202" s="70">
        <f t="shared" si="870"/>
        <v>-0.63800000000000001</v>
      </c>
      <c r="CS202" s="487">
        <f t="shared" si="870"/>
        <v>-0.434</v>
      </c>
      <c r="CT202" s="70">
        <f t="shared" si="870"/>
        <v>-0.435</v>
      </c>
      <c r="CU202" s="70">
        <f t="shared" si="870"/>
        <v>-0.35799999999999998</v>
      </c>
      <c r="CV202" s="70">
        <f t="shared" si="870"/>
        <v>-0.28700000000000003</v>
      </c>
      <c r="CW202" s="487">
        <f t="shared" si="870"/>
        <v>-0.26300000000000001</v>
      </c>
      <c r="CX202" s="70">
        <f t="shared" si="870"/>
        <v>-0.26700000000000002</v>
      </c>
      <c r="CY202" s="70">
        <f t="shared" si="870"/>
        <v>-0.15699999999999997</v>
      </c>
      <c r="CZ202" s="70">
        <f t="shared" si="870"/>
        <v>-0.16200000000000001</v>
      </c>
      <c r="DA202" s="487">
        <f t="shared" si="870"/>
        <v>-7.2999999999999995E-2</v>
      </c>
      <c r="DB202" s="70">
        <f t="shared" si="870"/>
        <v>-0.21100000000000002</v>
      </c>
      <c r="DC202" s="70">
        <f t="shared" ref="DC202:DI202" si="871">DC200+CY200+CU200</f>
        <v>-3.8999999999999979E-2</v>
      </c>
      <c r="DD202" s="70">
        <f t="shared" si="871"/>
        <v>1.2000000000000011E-2</v>
      </c>
      <c r="DE202" s="1569">
        <f t="shared" si="871"/>
        <v>-0.20299999999999999</v>
      </c>
      <c r="DF202" s="70">
        <f t="shared" si="871"/>
        <v>-0.113</v>
      </c>
      <c r="DG202" s="70">
        <f t="shared" si="871"/>
        <v>-4.5999999999999999E-2</v>
      </c>
      <c r="DH202" s="70">
        <f t="shared" si="871"/>
        <v>-0.11299999999999999</v>
      </c>
      <c r="DI202" s="1569">
        <f t="shared" si="871"/>
        <v>-1.6999999999999987E-2</v>
      </c>
      <c r="DJ202" s="1673"/>
      <c r="DK202" s="70"/>
      <c r="DL202" s="70"/>
      <c r="DM202" s="487"/>
      <c r="DN202" s="580"/>
      <c r="DO202" s="487"/>
      <c r="DP202" s="15"/>
      <c r="DQ202" s="15"/>
      <c r="DR202" s="15"/>
      <c r="DS202" s="15"/>
      <c r="DT202" s="15"/>
      <c r="DU202" s="15"/>
      <c r="DV202" s="15"/>
      <c r="DW202" s="15"/>
      <c r="DX202" s="15"/>
      <c r="DY202" s="15"/>
      <c r="DZ202" s="15"/>
      <c r="EA202" s="15"/>
      <c r="EB202" s="15"/>
      <c r="EC202" s="15"/>
      <c r="ED202" s="15"/>
      <c r="EE202" s="15"/>
      <c r="EF202" s="15"/>
      <c r="EG202" s="15"/>
      <c r="EH202" s="15"/>
      <c r="EI202" s="15"/>
      <c r="EJ202" s="15"/>
      <c r="EK202" s="70"/>
      <c r="EL202" s="70"/>
      <c r="EM202" s="70"/>
      <c r="EN202" s="15">
        <f>+EN200+EM200+EL200</f>
        <v>-0.13</v>
      </c>
      <c r="EO202" s="15">
        <f t="shared" ref="EO202" si="872">EO200+EN200+EK200</f>
        <v>-0.26500000000000001</v>
      </c>
      <c r="EP202" s="15">
        <f t="shared" ref="EP202" si="873">EP200+EO200+EL200</f>
        <v>-7.2000000000000008E-2</v>
      </c>
      <c r="EQ202" s="15">
        <f>+EQ200+EN200+EM200</f>
        <v>-0.32400000000000001</v>
      </c>
      <c r="ER202" s="77">
        <f t="shared" ref="ER202" si="874">ER200+EQ200+EN200</f>
        <v>-0.42100000000000004</v>
      </c>
      <c r="ES202" s="77">
        <f>+ES200+EP200+EO200</f>
        <v>-0.34799999999999998</v>
      </c>
      <c r="ET202" s="77">
        <f>+ET200+ER200+EQ200</f>
        <v>-0.504</v>
      </c>
      <c r="EU202" s="77">
        <f>EU200+ET200+ER200</f>
        <v>-0.53400000000000003</v>
      </c>
      <c r="EV202" s="52">
        <f>EV200+EU200+ET200</f>
        <v>-0.33300000000000002</v>
      </c>
      <c r="EW202" s="52">
        <f>EW200+EV200+EU200</f>
        <v>-0.154</v>
      </c>
      <c r="EX202" s="52">
        <f t="shared" ref="EX202" si="875">EX200+EW200+EV200</f>
        <v>-0.129</v>
      </c>
      <c r="EY202" s="52">
        <f t="shared" ref="EY202" si="876">EY200+EX200+EW200</f>
        <v>-0.16820474735779037</v>
      </c>
      <c r="EZ202" s="1680"/>
      <c r="FA202" s="15"/>
      <c r="FB202" s="15"/>
      <c r="FC202" s="15"/>
      <c r="FD202" s="15"/>
      <c r="FE202" s="15"/>
      <c r="FF202" s="15"/>
      <c r="FG202" s="15"/>
      <c r="FH202" s="15"/>
      <c r="FI202" s="671"/>
      <c r="FJ202"/>
      <c r="FK202"/>
      <c r="FL202"/>
      <c r="FM202"/>
      <c r="FN202"/>
      <c r="FO202"/>
      <c r="FP202" s="3"/>
      <c r="FS202" s="7"/>
      <c r="FT202" s="7"/>
      <c r="FU202"/>
      <c r="FV202"/>
      <c r="FW202" s="70"/>
      <c r="FX202" s="70"/>
      <c r="FY202" s="70"/>
      <c r="FZ202"/>
      <c r="GA202"/>
      <c r="GB202"/>
      <c r="GC202"/>
      <c r="GD202"/>
      <c r="GE202"/>
      <c r="GF202"/>
      <c r="GG202"/>
      <c r="GH202"/>
      <c r="GI202"/>
      <c r="GJ202"/>
      <c r="GK202"/>
      <c r="GL202"/>
      <c r="GM202"/>
      <c r="GN202"/>
      <c r="GO202"/>
      <c r="GP202"/>
      <c r="GQ202"/>
      <c r="GR202"/>
      <c r="GS202"/>
      <c r="GT202"/>
      <c r="GU202"/>
      <c r="GV202"/>
      <c r="GW202"/>
      <c r="GX202"/>
      <c r="GY202"/>
      <c r="GZ202"/>
      <c r="HA202"/>
      <c r="HB202"/>
      <c r="HC202"/>
      <c r="HD202"/>
      <c r="HE202"/>
      <c r="HF202"/>
      <c r="HG202"/>
      <c r="HH202"/>
      <c r="HI202"/>
      <c r="HJ202"/>
      <c r="HK202"/>
      <c r="HL202"/>
      <c r="HM202"/>
      <c r="HN202"/>
      <c r="HO202"/>
      <c r="HP202"/>
      <c r="HQ202"/>
      <c r="HR202"/>
      <c r="HS202"/>
      <c r="HT202"/>
      <c r="HU202"/>
      <c r="HV202"/>
      <c r="HW202"/>
      <c r="HX202"/>
      <c r="HY202"/>
      <c r="HZ202"/>
      <c r="IA202"/>
      <c r="IB202"/>
      <c r="IC202"/>
      <c r="ID202"/>
      <c r="IE202"/>
      <c r="IF202"/>
      <c r="IG202"/>
      <c r="IH202"/>
      <c r="II202"/>
      <c r="IJ202"/>
      <c r="IK202"/>
      <c r="IL202"/>
      <c r="IM202"/>
      <c r="IN202"/>
      <c r="IO202"/>
      <c r="IP202"/>
      <c r="IQ202"/>
      <c r="IR202"/>
      <c r="IS202"/>
      <c r="IT202"/>
      <c r="IU202"/>
      <c r="IV202"/>
      <c r="IW202"/>
      <c r="IX202"/>
      <c r="IY202"/>
      <c r="IZ202"/>
    </row>
    <row r="203" spans="1:260" s="4" customFormat="1" hidden="1" outlineLevel="1" x14ac:dyDescent="0.2">
      <c r="A203" s="4" t="s">
        <v>616</v>
      </c>
      <c r="E203" s="470"/>
      <c r="I203" s="470"/>
      <c r="M203" s="470"/>
      <c r="Q203" s="470"/>
      <c r="U203" s="470"/>
      <c r="Y203" s="470"/>
      <c r="AC203" s="470"/>
      <c r="AG203" s="470"/>
      <c r="AK203" s="470"/>
      <c r="AO203" s="470"/>
      <c r="AS203" s="470"/>
      <c r="AW203" s="470"/>
      <c r="BA203" s="470"/>
      <c r="BB203" s="580"/>
      <c r="BC203" s="70"/>
      <c r="BD203" s="70"/>
      <c r="BE203" s="487"/>
      <c r="BF203" s="580"/>
      <c r="BG203" s="70"/>
      <c r="BH203" s="70"/>
      <c r="BI203" s="487"/>
      <c r="BJ203" s="580"/>
      <c r="BK203" s="70"/>
      <c r="BL203" s="70"/>
      <c r="BM203" s="487"/>
      <c r="BN203" s="580"/>
      <c r="BO203" s="70"/>
      <c r="BP203" s="70"/>
      <c r="BQ203" s="487"/>
      <c r="BR203" s="580">
        <f t="shared" ref="BR203:DB203" si="877">BR200+BN200+BJ200+BF200</f>
        <v>-0.25999999999999995</v>
      </c>
      <c r="BS203" s="70">
        <f t="shared" si="877"/>
        <v>-0.27300000000000002</v>
      </c>
      <c r="BT203" s="70">
        <f t="shared" si="877"/>
        <v>-0.16300000000000001</v>
      </c>
      <c r="BU203" s="487">
        <f t="shared" si="877"/>
        <v>-0.29199999999999998</v>
      </c>
      <c r="BV203" s="70">
        <f t="shared" si="877"/>
        <v>-0.38299999999999995</v>
      </c>
      <c r="BW203" s="70">
        <f t="shared" si="877"/>
        <v>-0.54300000000000004</v>
      </c>
      <c r="BX203" s="70">
        <f t="shared" si="877"/>
        <v>-0.46200000000000002</v>
      </c>
      <c r="BY203" s="487">
        <f t="shared" si="877"/>
        <v>-0.51200000000000001</v>
      </c>
      <c r="BZ203" s="70">
        <f t="shared" si="877"/>
        <v>-0.59199999999999997</v>
      </c>
      <c r="CA203" s="70">
        <f t="shared" si="877"/>
        <v>-0.65600000000000003</v>
      </c>
      <c r="CB203" s="70">
        <f t="shared" si="877"/>
        <v>-0.50900000000000001</v>
      </c>
      <c r="CC203" s="487">
        <f t="shared" si="877"/>
        <v>-0.53</v>
      </c>
      <c r="CD203" s="70">
        <f t="shared" si="877"/>
        <v>-0.50700000000000001</v>
      </c>
      <c r="CE203" s="70">
        <f t="shared" si="877"/>
        <v>-0.60399999999999998</v>
      </c>
      <c r="CF203" s="70">
        <f t="shared" si="877"/>
        <v>-0.52</v>
      </c>
      <c r="CG203" s="487">
        <f t="shared" si="877"/>
        <v>-0.66</v>
      </c>
      <c r="CH203" s="70">
        <f t="shared" si="877"/>
        <v>-0.65700000000000003</v>
      </c>
      <c r="CI203" s="70">
        <f t="shared" si="877"/>
        <v>-0.71599999999999997</v>
      </c>
      <c r="CJ203" s="70">
        <f t="shared" si="877"/>
        <v>-0.56599999999999995</v>
      </c>
      <c r="CK203" s="487">
        <f t="shared" si="877"/>
        <v>-0.70599999999999996</v>
      </c>
      <c r="CL203" s="70">
        <f t="shared" si="877"/>
        <v>-0.80400000000000005</v>
      </c>
      <c r="CM203" s="70">
        <f t="shared" si="877"/>
        <v>-0.73699999999999999</v>
      </c>
      <c r="CN203" s="70">
        <f t="shared" si="877"/>
        <v>-0.66100000000000003</v>
      </c>
      <c r="CO203" s="487">
        <f t="shared" si="877"/>
        <v>-0.68499999999999994</v>
      </c>
      <c r="CP203" s="70">
        <f t="shared" si="877"/>
        <v>-0.84899999999999998</v>
      </c>
      <c r="CQ203" s="70">
        <f t="shared" si="877"/>
        <v>-0.92199999999999993</v>
      </c>
      <c r="CR203" s="70">
        <f t="shared" si="877"/>
        <v>-0.75800000000000001</v>
      </c>
      <c r="CS203" s="487">
        <f t="shared" si="877"/>
        <v>-0.61299999999999999</v>
      </c>
      <c r="CT203" s="70">
        <f t="shared" si="877"/>
        <v>-0.71300000000000008</v>
      </c>
      <c r="CU203" s="70">
        <f t="shared" si="877"/>
        <v>-0.57899999999999996</v>
      </c>
      <c r="CV203" s="70">
        <f t="shared" si="877"/>
        <v>-0.47200000000000003</v>
      </c>
      <c r="CW203" s="487">
        <f t="shared" si="877"/>
        <v>-0.45200000000000001</v>
      </c>
      <c r="CX203" s="70">
        <f t="shared" si="877"/>
        <v>-0.54500000000000004</v>
      </c>
      <c r="CY203" s="70">
        <f t="shared" si="877"/>
        <v>-0.378</v>
      </c>
      <c r="CZ203" s="70">
        <f t="shared" si="877"/>
        <v>-0.34699999999999998</v>
      </c>
      <c r="DA203" s="487">
        <f t="shared" si="877"/>
        <v>-0.26200000000000001</v>
      </c>
      <c r="DB203" s="70">
        <f t="shared" si="877"/>
        <v>-0.38300000000000001</v>
      </c>
      <c r="DC203" s="70">
        <f t="shared" ref="DC203:DI203" si="878">DC200+CY200+CU200+CQ200</f>
        <v>-0.33699999999999997</v>
      </c>
      <c r="DD203" s="70">
        <f t="shared" si="878"/>
        <v>-0.25600000000000001</v>
      </c>
      <c r="DE203" s="1569">
        <f t="shared" si="878"/>
        <v>-0.25900000000000001</v>
      </c>
      <c r="DF203" s="70">
        <f t="shared" si="878"/>
        <v>-9.8000000000000004E-2</v>
      </c>
      <c r="DG203" s="70">
        <f t="shared" si="878"/>
        <v>0.115</v>
      </c>
      <c r="DH203" s="70">
        <f t="shared" si="878"/>
        <v>5.3000000000000019E-2</v>
      </c>
      <c r="DI203" s="1569">
        <f t="shared" si="878"/>
        <v>-3.4999999999999989E-2</v>
      </c>
      <c r="DJ203" s="1673"/>
      <c r="DK203" s="70"/>
      <c r="DL203" s="70"/>
      <c r="DM203" s="487"/>
      <c r="DN203" s="580"/>
      <c r="DO203" s="487"/>
      <c r="DP203" s="15"/>
      <c r="DQ203" s="15"/>
      <c r="DR203" s="15"/>
      <c r="DS203" s="15"/>
      <c r="DT203" s="15"/>
      <c r="DU203" s="15"/>
      <c r="DV203" s="15"/>
      <c r="DW203" s="15"/>
      <c r="DX203" s="15"/>
      <c r="DY203" s="15"/>
      <c r="DZ203" s="15"/>
      <c r="EA203" s="15"/>
      <c r="EB203" s="15"/>
      <c r="EC203" s="15"/>
      <c r="ED203" s="15"/>
      <c r="EE203" s="15"/>
      <c r="EF203" s="15"/>
      <c r="EG203" s="15"/>
      <c r="EH203" s="15"/>
      <c r="EI203" s="15"/>
      <c r="EJ203" s="15"/>
      <c r="EK203" s="70"/>
      <c r="EL203" s="70"/>
      <c r="EM203" s="70"/>
      <c r="EN203" s="15"/>
      <c r="EO203" s="15"/>
      <c r="EP203" s="15"/>
      <c r="EQ203" s="15">
        <f>+EQ200+EN200+EM200+EL200</f>
        <v>-0.26300000000000001</v>
      </c>
      <c r="ER203" s="77">
        <f>+ER200+EQ200+EN200+EM200</f>
        <v>-0.48000000000000004</v>
      </c>
      <c r="ES203" s="77">
        <f>+ES200+EP200+EO200+EN200</f>
        <v>-0.48</v>
      </c>
      <c r="ET203" s="77">
        <f>+ET200+ER200+EQ200+EN200</f>
        <v>-0.63600000000000001</v>
      </c>
      <c r="EU203" s="77">
        <f>EU200+ET200+ER200+EQ200</f>
        <v>-0.66700000000000004</v>
      </c>
      <c r="EV203" s="52">
        <f>EV200+EU200+ET200+ER200</f>
        <v>-0.48899999999999999</v>
      </c>
      <c r="EW203" s="52">
        <f>EW200+EV200+EU200+ET200</f>
        <v>-0.36899999999999999</v>
      </c>
      <c r="EX203" s="52">
        <f t="shared" ref="EX203" si="879">EX200+EW200+EV200+EU200</f>
        <v>-0.29200000000000004</v>
      </c>
      <c r="EY203" s="52">
        <f t="shared" ref="EY203" si="880">EY200+EX200+EW200+EV200</f>
        <v>-0.12320474735779037</v>
      </c>
      <c r="EZ203" s="1680"/>
      <c r="FA203" s="15"/>
      <c r="FB203" s="15"/>
      <c r="FC203" s="15"/>
      <c r="FD203" s="15"/>
      <c r="FE203" s="15"/>
      <c r="FF203" s="15"/>
      <c r="FG203" s="15"/>
      <c r="FH203" s="15"/>
      <c r="FI203" s="671"/>
      <c r="FJ203"/>
      <c r="FK203"/>
      <c r="FL203"/>
      <c r="FM203"/>
      <c r="FN203"/>
      <c r="FO203"/>
      <c r="FP203" s="3"/>
      <c r="FS203" s="7"/>
      <c r="FT203" s="7"/>
      <c r="FU203"/>
      <c r="FV203"/>
      <c r="FW203" s="70"/>
      <c r="FX203" s="70"/>
      <c r="FY203" s="70"/>
      <c r="FZ203"/>
      <c r="GA203"/>
      <c r="GB203"/>
      <c r="GC203"/>
      <c r="GD203"/>
      <c r="GE203"/>
      <c r="GF203"/>
      <c r="GG203"/>
      <c r="GH203"/>
      <c r="GI203"/>
      <c r="GJ203"/>
      <c r="GK203"/>
      <c r="GL203"/>
      <c r="GM203"/>
      <c r="GN203"/>
      <c r="GO203"/>
      <c r="GP203"/>
      <c r="GQ203"/>
      <c r="GR203"/>
      <c r="GS203"/>
      <c r="GT203"/>
      <c r="GU203"/>
      <c r="GV203"/>
      <c r="GW203"/>
      <c r="GX203"/>
      <c r="GY203"/>
      <c r="GZ203"/>
      <c r="HA203"/>
      <c r="HB203"/>
      <c r="HC203"/>
      <c r="HD203"/>
      <c r="HE203"/>
      <c r="HF203"/>
      <c r="HG203"/>
      <c r="HH203"/>
      <c r="HI203"/>
      <c r="HJ203"/>
      <c r="HK203"/>
      <c r="HL203"/>
      <c r="HM203"/>
      <c r="HN203"/>
      <c r="HO203"/>
      <c r="HP203"/>
      <c r="HQ203"/>
      <c r="HR203"/>
      <c r="HS203"/>
      <c r="HT203"/>
      <c r="HU203"/>
      <c r="HV203"/>
      <c r="HW203"/>
      <c r="HX203"/>
      <c r="HY203"/>
      <c r="HZ203"/>
      <c r="IA203"/>
      <c r="IB203"/>
      <c r="IC203"/>
      <c r="ID203"/>
      <c r="IE203"/>
      <c r="IF203"/>
      <c r="IG203"/>
      <c r="IH203"/>
      <c r="II203"/>
      <c r="IJ203"/>
      <c r="IK203"/>
      <c r="IL203"/>
      <c r="IM203"/>
      <c r="IN203"/>
      <c r="IO203"/>
      <c r="IP203"/>
      <c r="IQ203"/>
      <c r="IR203"/>
      <c r="IS203"/>
      <c r="IT203"/>
      <c r="IU203"/>
      <c r="IV203"/>
      <c r="IW203"/>
      <c r="IX203"/>
      <c r="IY203"/>
      <c r="IZ203"/>
    </row>
    <row r="204" spans="1:260" s="4" customFormat="1" hidden="1" outlineLevel="1" x14ac:dyDescent="0.2">
      <c r="E204" s="470"/>
      <c r="I204" s="470"/>
      <c r="M204" s="470"/>
      <c r="Q204" s="470"/>
      <c r="U204" s="470"/>
      <c r="Y204" s="470"/>
      <c r="AC204" s="470"/>
      <c r="AG204" s="470"/>
      <c r="AK204" s="470"/>
      <c r="AO204" s="470"/>
      <c r="AS204" s="470"/>
      <c r="AW204" s="470"/>
      <c r="BA204" s="470"/>
      <c r="BB204" s="580"/>
      <c r="BC204" s="70"/>
      <c r="BD204" s="70"/>
      <c r="BE204" s="487"/>
      <c r="BF204" s="580"/>
      <c r="BG204" s="70"/>
      <c r="BH204" s="70"/>
      <c r="BI204" s="487"/>
      <c r="BJ204" s="580"/>
      <c r="BK204" s="70"/>
      <c r="BL204" s="70"/>
      <c r="BM204" s="487"/>
      <c r="BN204" s="580"/>
      <c r="BO204" s="70"/>
      <c r="BP204" s="70"/>
      <c r="BQ204" s="487"/>
      <c r="BR204" s="580"/>
      <c r="BS204" s="70"/>
      <c r="BT204" s="70"/>
      <c r="BU204" s="487"/>
      <c r="BV204" s="77"/>
      <c r="BW204" s="77"/>
      <c r="BX204" s="70"/>
      <c r="BY204" s="487"/>
      <c r="BZ204" s="77"/>
      <c r="CA204" s="77"/>
      <c r="CB204" s="70"/>
      <c r="CC204" s="487"/>
      <c r="CD204" s="77"/>
      <c r="CE204" s="77"/>
      <c r="CF204" s="70"/>
      <c r="CG204" s="487"/>
      <c r="CH204" s="77"/>
      <c r="CI204" s="77"/>
      <c r="CJ204" s="70"/>
      <c r="CK204" s="487"/>
      <c r="CL204" s="77"/>
      <c r="CM204" s="77"/>
      <c r="CN204" s="70"/>
      <c r="CO204" s="487"/>
      <c r="CP204" s="77"/>
      <c r="CQ204" s="77"/>
      <c r="CR204" s="70"/>
      <c r="CS204" s="487"/>
      <c r="CT204" s="77"/>
      <c r="CU204" s="77"/>
      <c r="CV204" s="70"/>
      <c r="CW204" s="487"/>
      <c r="CX204" s="1812"/>
      <c r="CY204" s="1825"/>
      <c r="CZ204" s="1825"/>
      <c r="DA204" s="1811"/>
      <c r="DB204" s="1812"/>
      <c r="DC204" s="91"/>
      <c r="DD204" s="91"/>
      <c r="DE204" s="1569"/>
      <c r="DF204" s="70"/>
      <c r="DG204" s="70"/>
      <c r="DH204" s="70"/>
      <c r="DI204" s="1569"/>
      <c r="DJ204" s="1673"/>
      <c r="DK204" s="70"/>
      <c r="DL204" s="70"/>
      <c r="DM204" s="487"/>
      <c r="DN204" s="580"/>
      <c r="DO204" s="487"/>
      <c r="DP204" s="15"/>
      <c r="DQ204" s="15"/>
      <c r="DR204" s="15"/>
      <c r="DS204" s="15"/>
      <c r="DT204" s="15"/>
      <c r="DU204" s="15"/>
      <c r="DV204" s="15"/>
      <c r="DW204" s="15"/>
      <c r="DX204" s="15"/>
      <c r="DY204" s="15"/>
      <c r="DZ204" s="15"/>
      <c r="EA204" s="15"/>
      <c r="EB204" s="15"/>
      <c r="EC204" s="15"/>
      <c r="ED204" s="15"/>
      <c r="EE204" s="15"/>
      <c r="EF204" s="15"/>
      <c r="EG204" s="15"/>
      <c r="EH204" s="15"/>
      <c r="EI204" s="15"/>
      <c r="EJ204" s="15"/>
      <c r="EK204" s="70"/>
      <c r="EL204" s="70"/>
      <c r="EM204" s="70"/>
      <c r="EN204" s="15"/>
      <c r="EO204" s="15"/>
      <c r="EP204" s="15"/>
      <c r="EQ204" s="15"/>
      <c r="ER204" s="77"/>
      <c r="ES204" s="77"/>
      <c r="ET204" s="77"/>
      <c r="EU204" s="77"/>
      <c r="EV204" s="52"/>
      <c r="EW204" s="52"/>
      <c r="EX204" s="52"/>
      <c r="EY204" s="52"/>
      <c r="EZ204" s="1680"/>
      <c r="FA204" s="15"/>
      <c r="FB204" s="15"/>
      <c r="FC204" s="15"/>
      <c r="FD204" s="15"/>
      <c r="FE204" s="15"/>
      <c r="FF204" s="15"/>
      <c r="FG204" s="15"/>
      <c r="FH204" s="15"/>
      <c r="FI204" s="671"/>
      <c r="FJ204"/>
      <c r="FK204"/>
      <c r="FL204"/>
      <c r="FM204"/>
      <c r="FN204"/>
      <c r="FO204"/>
      <c r="FP204" s="3"/>
      <c r="FS204" s="7"/>
      <c r="FT204" s="7"/>
      <c r="FU204"/>
      <c r="FV204"/>
      <c r="FW204" s="70"/>
      <c r="FX204" s="70"/>
      <c r="FY204" s="70"/>
      <c r="FZ204"/>
      <c r="GA204"/>
      <c r="GB204"/>
      <c r="GC204"/>
      <c r="GD204"/>
      <c r="GE204"/>
      <c r="GF204"/>
      <c r="GG204"/>
      <c r="GH204"/>
      <c r="GI204"/>
      <c r="GJ204"/>
      <c r="GK204"/>
      <c r="GL204"/>
      <c r="GM204"/>
      <c r="GN204"/>
      <c r="GO204"/>
      <c r="GP204"/>
      <c r="GQ204"/>
      <c r="GR204"/>
      <c r="GS204"/>
      <c r="GT204"/>
      <c r="GU204"/>
      <c r="GV204"/>
      <c r="GW204"/>
      <c r="GX204"/>
      <c r="GY204"/>
      <c r="GZ204"/>
      <c r="HA204"/>
      <c r="HB204"/>
      <c r="HC204"/>
      <c r="HD204"/>
      <c r="HE204"/>
      <c r="HF204"/>
      <c r="HG204"/>
      <c r="HH204"/>
      <c r="HI204"/>
      <c r="HJ204"/>
      <c r="HK204"/>
      <c r="HL204"/>
      <c r="HM204"/>
      <c r="HN204"/>
      <c r="HO204"/>
      <c r="HP204"/>
      <c r="HQ204"/>
      <c r="HR204"/>
      <c r="HS204"/>
      <c r="HT204"/>
      <c r="HU204"/>
      <c r="HV204"/>
      <c r="HW204"/>
      <c r="HX204"/>
      <c r="HY204"/>
      <c r="HZ204"/>
      <c r="IA204"/>
      <c r="IB204"/>
      <c r="IC204"/>
      <c r="ID204"/>
      <c r="IE204"/>
      <c r="IF204"/>
      <c r="IG204"/>
      <c r="IH204"/>
      <c r="II204"/>
      <c r="IJ204"/>
      <c r="IK204"/>
      <c r="IL204"/>
      <c r="IM204"/>
      <c r="IN204"/>
      <c r="IO204"/>
      <c r="IP204"/>
      <c r="IQ204"/>
      <c r="IR204"/>
      <c r="IS204"/>
      <c r="IT204"/>
      <c r="IU204"/>
      <c r="IV204"/>
      <c r="IW204"/>
      <c r="IX204"/>
      <c r="IY204"/>
      <c r="IZ204"/>
    </row>
    <row r="205" spans="1:260" s="19" customFormat="1" hidden="1" outlineLevel="1" x14ac:dyDescent="0.2">
      <c r="A205" s="1475" t="s">
        <v>87</v>
      </c>
      <c r="E205" s="469"/>
      <c r="I205" s="469"/>
      <c r="M205" s="469"/>
      <c r="Q205" s="469"/>
      <c r="U205" s="469"/>
      <c r="Y205" s="469"/>
      <c r="AC205" s="469"/>
      <c r="AG205" s="469"/>
      <c r="AK205" s="469"/>
      <c r="AO205" s="469"/>
      <c r="AS205" s="469"/>
      <c r="AW205" s="469"/>
      <c r="BA205" s="469"/>
      <c r="BB205" s="1157"/>
      <c r="BC205" s="219">
        <v>-3.1E-2</v>
      </c>
      <c r="BD205" s="197"/>
      <c r="BE205" s="572"/>
      <c r="BF205" s="1157">
        <v>0.02</v>
      </c>
      <c r="BG205" s="219">
        <v>-7.3999999999999996E-2</v>
      </c>
      <c r="BH205" s="197">
        <v>-6.7000000000000004E-2</v>
      </c>
      <c r="BI205" s="572">
        <v>-0.06</v>
      </c>
      <c r="BJ205" s="1157">
        <v>-0.106</v>
      </c>
      <c r="BK205" s="219">
        <v>-9.8000000000000004E-2</v>
      </c>
      <c r="BL205" s="197">
        <v>-0.21</v>
      </c>
      <c r="BM205" s="572">
        <v>-0.20499999999999999</v>
      </c>
      <c r="BN205" s="1157">
        <v>-0.20100000000000001</v>
      </c>
      <c r="BO205" s="219">
        <v>-0.10100000000000001</v>
      </c>
      <c r="BP205" s="197">
        <v>0.1</v>
      </c>
      <c r="BQ205" s="572">
        <v>6.5000000000000002E-2</v>
      </c>
      <c r="BR205" s="1157">
        <v>0.14399999999999999</v>
      </c>
      <c r="BS205" s="219">
        <v>8.2000000000000003E-2</v>
      </c>
      <c r="BT205" s="197">
        <v>-0.1</v>
      </c>
      <c r="BU205" s="572">
        <v>6.5000000000000002E-2</v>
      </c>
      <c r="BV205" s="50">
        <v>2.9000000000000001E-2</v>
      </c>
      <c r="BW205" s="50">
        <v>0.122</v>
      </c>
      <c r="BX205" s="197">
        <v>0.13700000000000001</v>
      </c>
      <c r="BY205" s="572">
        <v>0.13200000000000001</v>
      </c>
      <c r="BZ205" s="50">
        <v>9.3000000000000013E-2</v>
      </c>
      <c r="CA205" s="50">
        <v>0.126</v>
      </c>
      <c r="CB205" s="197">
        <v>-1.3000000000000001E-2</v>
      </c>
      <c r="CC205" s="572">
        <v>6.6000000000000003E-2</v>
      </c>
      <c r="CD205" s="50">
        <v>4.2000000000000003E-2</v>
      </c>
      <c r="CE205" s="50">
        <v>5.4000000000000006E-2</v>
      </c>
      <c r="CF205" s="197">
        <v>0.14899999999999999</v>
      </c>
      <c r="CG205" s="572">
        <v>0.14499999999999999</v>
      </c>
      <c r="CH205" s="50">
        <v>8.8999999999999996E-2</v>
      </c>
      <c r="CI205" s="50">
        <v>0.09</v>
      </c>
      <c r="CJ205" s="197">
        <v>0.108</v>
      </c>
      <c r="CK205" s="572">
        <v>0.11700000000000001</v>
      </c>
      <c r="CL205" s="50">
        <v>8.8999999999999996E-2</v>
      </c>
      <c r="CM205" s="50">
        <v>0.09</v>
      </c>
      <c r="CN205" s="197">
        <v>0.108</v>
      </c>
      <c r="CO205" s="572">
        <v>0.11700000000000001</v>
      </c>
      <c r="CP205" s="50">
        <v>0.12</v>
      </c>
      <c r="CQ205" s="50">
        <v>0.14199999999999999</v>
      </c>
      <c r="CR205" s="197">
        <v>0.23499999999999999</v>
      </c>
      <c r="CS205" s="572">
        <v>0.17100000000000001</v>
      </c>
      <c r="CT205" s="50">
        <v>9.0999999999999998E-2</v>
      </c>
      <c r="CU205" s="50">
        <v>8.2000000000000003E-2</v>
      </c>
      <c r="CV205" s="197">
        <v>5.7000000000000002E-2</v>
      </c>
      <c r="CW205" s="572">
        <v>7.0000000000000007E-2</v>
      </c>
      <c r="CX205" s="208">
        <v>0.123</v>
      </c>
      <c r="CY205" s="208">
        <v>0.20699999999999999</v>
      </c>
      <c r="CZ205" s="197">
        <v>0.16400000000000001</v>
      </c>
      <c r="DA205" s="572">
        <v>0.121</v>
      </c>
      <c r="DB205" s="208">
        <v>0.14299999999999999</v>
      </c>
      <c r="DC205" s="197">
        <v>8.2000000000000003E-2</v>
      </c>
      <c r="DD205" s="197">
        <v>0.03</v>
      </c>
      <c r="DE205" s="572">
        <v>6.4000000000000001E-2</v>
      </c>
      <c r="DF205" s="208">
        <v>4.5999999999999999E-2</v>
      </c>
      <c r="DG205" s="208">
        <v>5.8000000000000003E-2</v>
      </c>
      <c r="DH205" s="208">
        <v>0.13500000000000001</v>
      </c>
      <c r="DI205" s="572">
        <v>0.20699999999999999</v>
      </c>
      <c r="DJ205" s="2704"/>
      <c r="DK205" s="1552"/>
      <c r="DL205" s="1552"/>
      <c r="DM205" s="1551"/>
      <c r="DN205" s="578"/>
      <c r="DO205" s="572"/>
      <c r="DP205" s="50"/>
      <c r="DQ205" s="50"/>
      <c r="DR205" s="50"/>
      <c r="DS205" s="50"/>
      <c r="DT205" s="50"/>
      <c r="DU205" s="50"/>
      <c r="DV205" s="50"/>
      <c r="DW205" s="50"/>
      <c r="DX205" s="50"/>
      <c r="DY205" s="50"/>
      <c r="DZ205" s="50"/>
      <c r="EA205" s="50"/>
      <c r="EB205" s="50"/>
      <c r="EC205" s="50"/>
      <c r="ED205" s="50"/>
      <c r="EE205" s="50"/>
      <c r="EF205" s="50"/>
      <c r="EG205" s="50"/>
      <c r="EH205" s="50"/>
      <c r="EI205" s="50"/>
      <c r="EJ205" s="50"/>
      <c r="EK205" s="197"/>
      <c r="EL205" s="197">
        <v>-0.05</v>
      </c>
      <c r="EM205" s="197">
        <v>-0.154</v>
      </c>
      <c r="EN205" s="50">
        <v>-4.2000000000000003E-2</v>
      </c>
      <c r="EO205" s="50">
        <v>7.0000000000000007E-2</v>
      </c>
      <c r="EP205" s="50"/>
      <c r="EQ205" s="50">
        <v>6.8000000000000005E-2</v>
      </c>
      <c r="ER205" s="50">
        <v>9.7000000000000017E-2</v>
      </c>
      <c r="ES205" s="50">
        <v>0.10100000000000001</v>
      </c>
      <c r="ET205" s="50">
        <v>0.10100000000000001</v>
      </c>
      <c r="EU205" s="50">
        <v>0.16700000000000001</v>
      </c>
      <c r="EV205" s="50">
        <v>7.4999999999999997E-2</v>
      </c>
      <c r="EW205" s="50">
        <v>0.154</v>
      </c>
      <c r="EX205" s="208">
        <v>7.8E-2</v>
      </c>
      <c r="EY205" s="2785">
        <v>7.993762041211977E-2</v>
      </c>
      <c r="EZ205" s="1739"/>
      <c r="FA205" s="50"/>
      <c r="FB205" s="50"/>
      <c r="FC205" s="50"/>
      <c r="FD205" s="50"/>
      <c r="FE205" s="50"/>
      <c r="FF205" s="50"/>
      <c r="FG205" s="50"/>
      <c r="FH205" s="50"/>
      <c r="FI205" s="590"/>
      <c r="FJ205"/>
      <c r="FK205"/>
      <c r="FL205"/>
      <c r="FM205"/>
      <c r="FN205"/>
      <c r="FO205"/>
      <c r="FP205" s="401"/>
      <c r="FS205" s="53"/>
      <c r="FT205" s="53"/>
      <c r="FW205" s="197"/>
      <c r="FX205" s="197"/>
      <c r="FY205" s="197"/>
    </row>
    <row r="206" spans="1:260" s="4" customFormat="1" hidden="1" outlineLevel="1" x14ac:dyDescent="0.2">
      <c r="A206" s="4" t="s">
        <v>4</v>
      </c>
      <c r="E206" s="470"/>
      <c r="I206" s="470"/>
      <c r="M206" s="470"/>
      <c r="Q206" s="470"/>
      <c r="U206" s="470"/>
      <c r="Y206" s="470"/>
      <c r="AC206" s="470"/>
      <c r="AG206" s="470"/>
      <c r="AK206" s="470"/>
      <c r="AO206" s="470"/>
      <c r="AS206" s="470"/>
      <c r="AW206" s="470"/>
      <c r="BA206" s="470"/>
      <c r="BB206" s="580"/>
      <c r="BC206" s="70"/>
      <c r="BD206" s="70"/>
      <c r="BE206" s="487"/>
      <c r="BF206" s="580"/>
      <c r="BG206" s="70"/>
      <c r="BH206" s="70"/>
      <c r="BI206" s="487"/>
      <c r="BJ206" s="580">
        <f t="shared" ref="BJ206:DB206" si="881">BF205+BJ205</f>
        <v>-8.5999999999999993E-2</v>
      </c>
      <c r="BK206" s="70">
        <f t="shared" si="881"/>
        <v>-0.17199999999999999</v>
      </c>
      <c r="BL206" s="70">
        <f t="shared" si="881"/>
        <v>-0.27700000000000002</v>
      </c>
      <c r="BM206" s="487">
        <f t="shared" si="881"/>
        <v>-0.26500000000000001</v>
      </c>
      <c r="BN206" s="580">
        <f t="shared" si="881"/>
        <v>-0.307</v>
      </c>
      <c r="BO206" s="70">
        <f t="shared" si="881"/>
        <v>-0.19900000000000001</v>
      </c>
      <c r="BP206" s="70">
        <f t="shared" si="881"/>
        <v>-0.10999999999999999</v>
      </c>
      <c r="BQ206" s="487">
        <f t="shared" si="881"/>
        <v>-0.13999999999999999</v>
      </c>
      <c r="BR206" s="580">
        <f t="shared" si="881"/>
        <v>-5.7000000000000023E-2</v>
      </c>
      <c r="BS206" s="70">
        <f t="shared" si="881"/>
        <v>-1.9000000000000003E-2</v>
      </c>
      <c r="BT206" s="70">
        <f t="shared" si="881"/>
        <v>0</v>
      </c>
      <c r="BU206" s="487">
        <f t="shared" si="881"/>
        <v>0.13</v>
      </c>
      <c r="BV206" s="70">
        <f t="shared" si="881"/>
        <v>0.17299999999999999</v>
      </c>
      <c r="BW206" s="70">
        <f t="shared" si="881"/>
        <v>0.20400000000000001</v>
      </c>
      <c r="BX206" s="70">
        <f t="shared" si="881"/>
        <v>3.7000000000000005E-2</v>
      </c>
      <c r="BY206" s="487">
        <f t="shared" si="881"/>
        <v>0.19700000000000001</v>
      </c>
      <c r="BZ206" s="70">
        <f t="shared" si="881"/>
        <v>0.12200000000000001</v>
      </c>
      <c r="CA206" s="70">
        <f t="shared" si="881"/>
        <v>0.248</v>
      </c>
      <c r="CB206" s="70">
        <f t="shared" si="881"/>
        <v>0.12400000000000001</v>
      </c>
      <c r="CC206" s="487">
        <f t="shared" si="881"/>
        <v>0.19800000000000001</v>
      </c>
      <c r="CD206" s="70">
        <f t="shared" si="881"/>
        <v>0.13500000000000001</v>
      </c>
      <c r="CE206" s="70">
        <f t="shared" si="881"/>
        <v>0.18</v>
      </c>
      <c r="CF206" s="70">
        <f t="shared" si="881"/>
        <v>0.13599999999999998</v>
      </c>
      <c r="CG206" s="487">
        <f t="shared" si="881"/>
        <v>0.21099999999999999</v>
      </c>
      <c r="CH206" s="70">
        <f t="shared" si="881"/>
        <v>0.13100000000000001</v>
      </c>
      <c r="CI206" s="70">
        <f t="shared" si="881"/>
        <v>0.14400000000000002</v>
      </c>
      <c r="CJ206" s="70">
        <f t="shared" si="881"/>
        <v>0.25700000000000001</v>
      </c>
      <c r="CK206" s="487">
        <f t="shared" si="881"/>
        <v>0.26200000000000001</v>
      </c>
      <c r="CL206" s="70">
        <f t="shared" si="881"/>
        <v>0.17799999999999999</v>
      </c>
      <c r="CM206" s="70">
        <f t="shared" si="881"/>
        <v>0.18</v>
      </c>
      <c r="CN206" s="70">
        <f t="shared" si="881"/>
        <v>0.216</v>
      </c>
      <c r="CO206" s="487">
        <f t="shared" si="881"/>
        <v>0.23400000000000001</v>
      </c>
      <c r="CP206" s="70">
        <f t="shared" si="881"/>
        <v>0.20899999999999999</v>
      </c>
      <c r="CQ206" s="70">
        <f t="shared" si="881"/>
        <v>0.23199999999999998</v>
      </c>
      <c r="CR206" s="70">
        <f t="shared" si="881"/>
        <v>0.34299999999999997</v>
      </c>
      <c r="CS206" s="487">
        <f t="shared" si="881"/>
        <v>0.28800000000000003</v>
      </c>
      <c r="CT206" s="70">
        <f t="shared" si="881"/>
        <v>0.21099999999999999</v>
      </c>
      <c r="CU206" s="70">
        <f t="shared" si="881"/>
        <v>0.22399999999999998</v>
      </c>
      <c r="CV206" s="70">
        <f t="shared" si="881"/>
        <v>0.29199999999999998</v>
      </c>
      <c r="CW206" s="487">
        <f t="shared" si="881"/>
        <v>0.24100000000000002</v>
      </c>
      <c r="CX206" s="70">
        <f t="shared" si="881"/>
        <v>0.214</v>
      </c>
      <c r="CY206" s="70">
        <f t="shared" si="881"/>
        <v>0.28899999999999998</v>
      </c>
      <c r="CZ206" s="70">
        <f t="shared" si="881"/>
        <v>0.221</v>
      </c>
      <c r="DA206" s="487">
        <f t="shared" si="881"/>
        <v>0.191</v>
      </c>
      <c r="DB206" s="70">
        <f t="shared" si="881"/>
        <v>0.26600000000000001</v>
      </c>
      <c r="DC206" s="70">
        <f t="shared" ref="DC206:DI206" si="882">CY205+DC205</f>
        <v>0.28899999999999998</v>
      </c>
      <c r="DD206" s="70">
        <f t="shared" si="882"/>
        <v>0.19400000000000001</v>
      </c>
      <c r="DE206" s="1569">
        <f t="shared" si="882"/>
        <v>0.185</v>
      </c>
      <c r="DF206" s="70">
        <f t="shared" si="882"/>
        <v>0.189</v>
      </c>
      <c r="DG206" s="70">
        <f t="shared" si="882"/>
        <v>0.14000000000000001</v>
      </c>
      <c r="DH206" s="70">
        <f t="shared" si="882"/>
        <v>0.16500000000000001</v>
      </c>
      <c r="DI206" s="1569">
        <f t="shared" si="882"/>
        <v>0.27100000000000002</v>
      </c>
      <c r="DJ206" s="1673"/>
      <c r="DK206" s="70"/>
      <c r="DL206" s="70"/>
      <c r="DM206" s="487"/>
      <c r="DN206" s="580"/>
      <c r="DO206" s="487"/>
      <c r="DP206" s="15"/>
      <c r="DQ206" s="15"/>
      <c r="DR206" s="15"/>
      <c r="DS206" s="15"/>
      <c r="DT206" s="15"/>
      <c r="DU206" s="15"/>
      <c r="DV206" s="15"/>
      <c r="DW206" s="15"/>
      <c r="DX206" s="15"/>
      <c r="DY206" s="15"/>
      <c r="DZ206" s="15"/>
      <c r="EA206" s="15"/>
      <c r="EB206" s="15"/>
      <c r="EC206" s="15"/>
      <c r="ED206" s="15"/>
      <c r="EE206" s="15"/>
      <c r="EF206" s="15"/>
      <c r="EG206" s="15"/>
      <c r="EH206" s="15"/>
      <c r="EI206" s="15"/>
      <c r="EJ206" s="15"/>
      <c r="EK206" s="70"/>
      <c r="EL206" s="70"/>
      <c r="EM206" s="70">
        <f t="shared" ref="EM206" si="883">EM205+EL205</f>
        <v>-0.20400000000000001</v>
      </c>
      <c r="EN206" s="15">
        <f t="shared" ref="EN206" si="884">EN205+EM205</f>
        <v>-0.19600000000000001</v>
      </c>
      <c r="EO206" s="15">
        <f t="shared" ref="EO206" si="885">EO205+EN205</f>
        <v>2.8000000000000004E-2</v>
      </c>
      <c r="EP206" s="15">
        <f t="shared" ref="EP206" si="886">EP205+EO205</f>
        <v>7.0000000000000007E-2</v>
      </c>
      <c r="EQ206" s="15">
        <f>+EQ205+EN205</f>
        <v>2.6000000000000002E-2</v>
      </c>
      <c r="ER206" s="77">
        <f>ER205+EQ205</f>
        <v>0.16500000000000004</v>
      </c>
      <c r="ES206" s="77">
        <f>+ES205+EP205</f>
        <v>0.10100000000000001</v>
      </c>
      <c r="ET206" s="77">
        <f>+ET205+ER205</f>
        <v>0.19800000000000001</v>
      </c>
      <c r="EU206" s="77">
        <f t="shared" ref="EU206" si="887">+EU205+ET205</f>
        <v>0.26800000000000002</v>
      </c>
      <c r="EV206" s="52">
        <f t="shared" ref="EV206" si="888">+EV205+EU205</f>
        <v>0.24199999999999999</v>
      </c>
      <c r="EW206" s="52">
        <f t="shared" ref="EW206" si="889">+EW205+EV205</f>
        <v>0.22899999999999998</v>
      </c>
      <c r="EX206" s="52">
        <f t="shared" ref="EX206" si="890">+EX205+EW205</f>
        <v>0.23199999999999998</v>
      </c>
      <c r="EY206" s="52">
        <f t="shared" ref="EY206" si="891">+EY205+EX205</f>
        <v>0.15793762041211978</v>
      </c>
      <c r="EZ206" s="1680"/>
      <c r="FA206" s="15"/>
      <c r="FB206" s="15"/>
      <c r="FC206" s="15"/>
      <c r="FD206" s="15"/>
      <c r="FE206" s="15"/>
      <c r="FF206" s="15"/>
      <c r="FG206" s="15"/>
      <c r="FH206" s="15"/>
      <c r="FI206" s="671"/>
      <c r="FJ206"/>
      <c r="FK206"/>
      <c r="FL206"/>
      <c r="FM206"/>
      <c r="FN206"/>
      <c r="FO206"/>
      <c r="FP206" s="3"/>
      <c r="FS206" s="7"/>
      <c r="FT206" s="7"/>
      <c r="FU206"/>
      <c r="FV206"/>
      <c r="FW206" s="70"/>
      <c r="FX206" s="70"/>
      <c r="FY206" s="70"/>
      <c r="FZ206"/>
      <c r="GA206"/>
      <c r="GB206"/>
      <c r="GC206"/>
      <c r="GD206"/>
      <c r="GE206"/>
      <c r="GF206"/>
      <c r="GG206"/>
      <c r="GH206"/>
      <c r="GI206"/>
      <c r="GJ206"/>
      <c r="GK206"/>
      <c r="GL206"/>
      <c r="GM206"/>
      <c r="GN206"/>
      <c r="GO206"/>
      <c r="GP206"/>
      <c r="GQ206"/>
      <c r="GR206"/>
      <c r="GS206"/>
      <c r="GT206"/>
      <c r="GU206"/>
      <c r="GV206"/>
      <c r="GW206"/>
      <c r="GX206"/>
      <c r="GY206"/>
      <c r="GZ206"/>
      <c r="HA206"/>
      <c r="HB206"/>
      <c r="HC206"/>
      <c r="HD206"/>
      <c r="HE206"/>
      <c r="HF206"/>
      <c r="HG206"/>
      <c r="HH206"/>
      <c r="HI206"/>
      <c r="HJ206"/>
      <c r="HK206"/>
      <c r="HL206"/>
      <c r="HM206"/>
      <c r="HN206"/>
      <c r="HO206"/>
      <c r="HP206"/>
      <c r="HQ206"/>
      <c r="HR206"/>
      <c r="HS206"/>
      <c r="HT206"/>
      <c r="HU206"/>
      <c r="HV206"/>
      <c r="HW206"/>
      <c r="HX206"/>
      <c r="HY206"/>
      <c r="HZ206"/>
      <c r="IA206"/>
      <c r="IB206"/>
      <c r="IC206"/>
      <c r="ID206"/>
      <c r="IE206"/>
      <c r="IF206"/>
      <c r="IG206"/>
      <c r="IH206"/>
      <c r="II206"/>
      <c r="IJ206"/>
      <c r="IK206"/>
      <c r="IL206"/>
      <c r="IM206"/>
      <c r="IN206"/>
      <c r="IO206"/>
      <c r="IP206"/>
      <c r="IQ206"/>
      <c r="IR206"/>
      <c r="IS206"/>
      <c r="IT206"/>
      <c r="IU206"/>
      <c r="IV206"/>
      <c r="IW206"/>
      <c r="IX206"/>
      <c r="IY206"/>
      <c r="IZ206"/>
    </row>
    <row r="207" spans="1:260" s="4" customFormat="1" hidden="1" outlineLevel="1" x14ac:dyDescent="0.2">
      <c r="A207" s="4" t="s">
        <v>610</v>
      </c>
      <c r="E207" s="470"/>
      <c r="I207" s="470"/>
      <c r="M207" s="470"/>
      <c r="Q207" s="470"/>
      <c r="U207" s="470"/>
      <c r="Y207" s="470"/>
      <c r="AC207" s="470"/>
      <c r="AG207" s="470"/>
      <c r="AK207" s="470"/>
      <c r="AO207" s="470"/>
      <c r="AS207" s="470"/>
      <c r="AW207" s="470"/>
      <c r="BA207" s="470"/>
      <c r="BB207" s="580"/>
      <c r="BC207" s="70"/>
      <c r="BD207" s="70"/>
      <c r="BE207" s="487"/>
      <c r="BF207" s="580"/>
      <c r="BG207" s="70"/>
      <c r="BH207" s="70"/>
      <c r="BI207" s="487"/>
      <c r="BJ207" s="580"/>
      <c r="BK207" s="70"/>
      <c r="BL207" s="70"/>
      <c r="BM207" s="487"/>
      <c r="BN207" s="580">
        <f t="shared" ref="BN207:DB207" si="892">BN205+BJ205+BF205</f>
        <v>-0.28699999999999998</v>
      </c>
      <c r="BO207" s="70">
        <f t="shared" si="892"/>
        <v>-0.27300000000000002</v>
      </c>
      <c r="BP207" s="70">
        <f t="shared" si="892"/>
        <v>-0.17699999999999999</v>
      </c>
      <c r="BQ207" s="487">
        <f t="shared" si="892"/>
        <v>-0.19999999999999998</v>
      </c>
      <c r="BR207" s="580">
        <f t="shared" si="892"/>
        <v>-0.16300000000000003</v>
      </c>
      <c r="BS207" s="70">
        <f t="shared" si="892"/>
        <v>-0.11700000000000001</v>
      </c>
      <c r="BT207" s="70">
        <f t="shared" si="892"/>
        <v>-0.21</v>
      </c>
      <c r="BU207" s="487">
        <f t="shared" si="892"/>
        <v>-7.4999999999999983E-2</v>
      </c>
      <c r="BV207" s="70">
        <f t="shared" si="892"/>
        <v>-2.8000000000000025E-2</v>
      </c>
      <c r="BW207" s="70">
        <f t="shared" si="892"/>
        <v>0.10300000000000001</v>
      </c>
      <c r="BX207" s="70">
        <f t="shared" si="892"/>
        <v>0.13700000000000001</v>
      </c>
      <c r="BY207" s="487">
        <f t="shared" si="892"/>
        <v>0.26200000000000001</v>
      </c>
      <c r="BZ207" s="70">
        <f t="shared" si="892"/>
        <v>0.26600000000000001</v>
      </c>
      <c r="CA207" s="70">
        <f t="shared" si="892"/>
        <v>0.33</v>
      </c>
      <c r="CB207" s="70">
        <f t="shared" si="892"/>
        <v>2.4000000000000007E-2</v>
      </c>
      <c r="CC207" s="487">
        <f t="shared" si="892"/>
        <v>0.26300000000000001</v>
      </c>
      <c r="CD207" s="70">
        <f t="shared" si="892"/>
        <v>0.16400000000000001</v>
      </c>
      <c r="CE207" s="70">
        <f t="shared" si="892"/>
        <v>0.30199999999999999</v>
      </c>
      <c r="CF207" s="70">
        <f t="shared" si="892"/>
        <v>0.27300000000000002</v>
      </c>
      <c r="CG207" s="487">
        <f t="shared" si="892"/>
        <v>0.34299999999999997</v>
      </c>
      <c r="CH207" s="70">
        <f t="shared" si="892"/>
        <v>0.22400000000000003</v>
      </c>
      <c r="CI207" s="70">
        <f t="shared" si="892"/>
        <v>0.27</v>
      </c>
      <c r="CJ207" s="70">
        <f t="shared" si="892"/>
        <v>0.24399999999999999</v>
      </c>
      <c r="CK207" s="487">
        <f t="shared" si="892"/>
        <v>0.32800000000000001</v>
      </c>
      <c r="CL207" s="70">
        <f t="shared" si="892"/>
        <v>0.22</v>
      </c>
      <c r="CM207" s="70">
        <f t="shared" si="892"/>
        <v>0.23399999999999999</v>
      </c>
      <c r="CN207" s="70">
        <f t="shared" si="892"/>
        <v>0.36499999999999999</v>
      </c>
      <c r="CO207" s="487">
        <f t="shared" si="892"/>
        <v>0.379</v>
      </c>
      <c r="CP207" s="70">
        <f t="shared" si="892"/>
        <v>0.29799999999999999</v>
      </c>
      <c r="CQ207" s="70">
        <f t="shared" si="892"/>
        <v>0.32199999999999995</v>
      </c>
      <c r="CR207" s="70">
        <f t="shared" si="892"/>
        <v>0.45099999999999996</v>
      </c>
      <c r="CS207" s="487">
        <f t="shared" si="892"/>
        <v>0.40500000000000003</v>
      </c>
      <c r="CT207" s="70">
        <f t="shared" si="892"/>
        <v>0.3</v>
      </c>
      <c r="CU207" s="70">
        <f t="shared" si="892"/>
        <v>0.31399999999999995</v>
      </c>
      <c r="CV207" s="70">
        <f t="shared" si="892"/>
        <v>0.39999999999999997</v>
      </c>
      <c r="CW207" s="487">
        <f t="shared" si="892"/>
        <v>0.35800000000000004</v>
      </c>
      <c r="CX207" s="70">
        <f t="shared" si="892"/>
        <v>0.33399999999999996</v>
      </c>
      <c r="CY207" s="70">
        <f t="shared" si="892"/>
        <v>0.43099999999999994</v>
      </c>
      <c r="CZ207" s="70">
        <f t="shared" si="892"/>
        <v>0.45599999999999996</v>
      </c>
      <c r="DA207" s="487">
        <f t="shared" si="892"/>
        <v>0.36199999999999999</v>
      </c>
      <c r="DB207" s="70">
        <f t="shared" si="892"/>
        <v>0.35699999999999998</v>
      </c>
      <c r="DC207" s="70">
        <f t="shared" ref="DC207:DI207" si="893">DC205+CY205+CU205</f>
        <v>0.371</v>
      </c>
      <c r="DD207" s="70">
        <f t="shared" si="893"/>
        <v>0.251</v>
      </c>
      <c r="DE207" s="1569">
        <f t="shared" si="893"/>
        <v>0.255</v>
      </c>
      <c r="DF207" s="70">
        <f t="shared" si="893"/>
        <v>0.312</v>
      </c>
      <c r="DG207" s="70">
        <f t="shared" si="893"/>
        <v>0.34699999999999998</v>
      </c>
      <c r="DH207" s="70">
        <f t="shared" si="893"/>
        <v>0.32900000000000001</v>
      </c>
      <c r="DI207" s="1569">
        <f t="shared" si="893"/>
        <v>0.39200000000000002</v>
      </c>
      <c r="DJ207" s="1673"/>
      <c r="DK207" s="70"/>
      <c r="DL207" s="70"/>
      <c r="DM207" s="487"/>
      <c r="DN207" s="580"/>
      <c r="DO207" s="487"/>
      <c r="DP207" s="15"/>
      <c r="DQ207" s="15"/>
      <c r="DR207" s="15"/>
      <c r="DS207" s="15"/>
      <c r="DT207" s="15"/>
      <c r="DU207" s="15"/>
      <c r="DV207" s="15"/>
      <c r="DW207" s="15"/>
      <c r="DX207" s="15"/>
      <c r="DY207" s="15"/>
      <c r="DZ207" s="15"/>
      <c r="EA207" s="15"/>
      <c r="EB207" s="15"/>
      <c r="EC207" s="15"/>
      <c r="ED207" s="15"/>
      <c r="EE207" s="15"/>
      <c r="EF207" s="15"/>
      <c r="EG207" s="15"/>
      <c r="EH207" s="15"/>
      <c r="EI207" s="15"/>
      <c r="EJ207" s="15"/>
      <c r="EK207" s="70"/>
      <c r="EL207" s="70"/>
      <c r="EM207" s="70"/>
      <c r="EN207" s="15">
        <f>+EN205+EM205+EL205</f>
        <v>-0.246</v>
      </c>
      <c r="EO207" s="15">
        <f t="shared" ref="EO207" si="894">EO205+EN205+EK205</f>
        <v>2.8000000000000004E-2</v>
      </c>
      <c r="EP207" s="15">
        <f t="shared" ref="EP207" si="895">EP205+EO205+EL205</f>
        <v>2.0000000000000004E-2</v>
      </c>
      <c r="EQ207" s="15">
        <f>+EQ205+EN205+EM205</f>
        <v>-0.128</v>
      </c>
      <c r="ER207" s="77">
        <f t="shared" ref="ER207" si="896">ER205+EQ205+EN205</f>
        <v>0.12300000000000003</v>
      </c>
      <c r="ES207" s="77">
        <f>+ES205+EP205+EO205</f>
        <v>0.17100000000000001</v>
      </c>
      <c r="ET207" s="77">
        <f>+ET205+ER205+EQ205</f>
        <v>0.26600000000000001</v>
      </c>
      <c r="EU207" s="77">
        <f>EU205+ET205+ER205</f>
        <v>0.36500000000000005</v>
      </c>
      <c r="EV207" s="52">
        <f>EV205+EU205+ET205</f>
        <v>0.34299999999999997</v>
      </c>
      <c r="EW207" s="52">
        <f>EW205+EV205+EU205</f>
        <v>0.39600000000000002</v>
      </c>
      <c r="EX207" s="52">
        <f t="shared" ref="EX207" si="897">EX205+EW205+EV205</f>
        <v>0.307</v>
      </c>
      <c r="EY207" s="52">
        <f t="shared" ref="EY207" si="898">EY205+EX205+EW205</f>
        <v>0.31193762041211981</v>
      </c>
      <c r="EZ207" s="1680"/>
      <c r="FA207" s="15"/>
      <c r="FB207" s="15"/>
      <c r="FC207" s="15"/>
      <c r="FD207" s="15"/>
      <c r="FE207" s="15"/>
      <c r="FF207" s="15"/>
      <c r="FG207" s="15"/>
      <c r="FH207" s="15"/>
      <c r="FI207" s="671"/>
      <c r="FJ207"/>
      <c r="FK207"/>
      <c r="FL207"/>
      <c r="FM207"/>
      <c r="FN207"/>
      <c r="FO207"/>
      <c r="FP207" s="3"/>
      <c r="FS207" s="7"/>
      <c r="FT207" s="7"/>
      <c r="FU207"/>
      <c r="FV207"/>
      <c r="FW207" s="70"/>
      <c r="FX207" s="70"/>
      <c r="FY207" s="70"/>
      <c r="FZ207"/>
      <c r="GA207"/>
      <c r="GB207"/>
      <c r="GC207"/>
      <c r="GD207"/>
      <c r="GE207"/>
      <c r="GF207"/>
      <c r="GG207"/>
      <c r="GH207"/>
      <c r="GI207"/>
      <c r="GJ207"/>
      <c r="GK207"/>
      <c r="GL207"/>
      <c r="GM207"/>
      <c r="GN207"/>
      <c r="GO207"/>
      <c r="GP207"/>
      <c r="GQ207"/>
      <c r="GR207"/>
      <c r="GS207"/>
      <c r="GT207"/>
      <c r="GU207"/>
      <c r="GV207"/>
      <c r="GW207"/>
      <c r="GX207"/>
      <c r="GY207"/>
      <c r="GZ207"/>
      <c r="HA207"/>
      <c r="HB207"/>
      <c r="HC207"/>
      <c r="HD207"/>
      <c r="HE207"/>
      <c r="HF207"/>
      <c r="HG207"/>
      <c r="HH207"/>
      <c r="HI207"/>
      <c r="HJ207"/>
      <c r="HK207"/>
      <c r="HL207"/>
      <c r="HM207"/>
      <c r="HN207"/>
      <c r="HO207"/>
      <c r="HP207"/>
      <c r="HQ207"/>
      <c r="HR207"/>
      <c r="HS207"/>
      <c r="HT207"/>
      <c r="HU207"/>
      <c r="HV207"/>
      <c r="HW207"/>
      <c r="HX207"/>
      <c r="HY207"/>
      <c r="HZ207"/>
      <c r="IA207"/>
      <c r="IB207"/>
      <c r="IC207"/>
      <c r="ID207"/>
      <c r="IE207"/>
      <c r="IF207"/>
      <c r="IG207"/>
      <c r="IH207"/>
      <c r="II207"/>
      <c r="IJ207"/>
      <c r="IK207"/>
      <c r="IL207"/>
      <c r="IM207"/>
      <c r="IN207"/>
      <c r="IO207"/>
      <c r="IP207"/>
      <c r="IQ207"/>
      <c r="IR207"/>
      <c r="IS207"/>
      <c r="IT207"/>
      <c r="IU207"/>
      <c r="IV207"/>
      <c r="IW207"/>
      <c r="IX207"/>
      <c r="IY207"/>
      <c r="IZ207"/>
    </row>
    <row r="208" spans="1:260" s="4" customFormat="1" hidden="1" outlineLevel="1" x14ac:dyDescent="0.2">
      <c r="A208" s="4" t="s">
        <v>616</v>
      </c>
      <c r="E208" s="470"/>
      <c r="I208" s="470"/>
      <c r="M208" s="470"/>
      <c r="Q208" s="470"/>
      <c r="U208" s="470"/>
      <c r="Y208" s="470"/>
      <c r="AC208" s="470"/>
      <c r="AG208" s="470"/>
      <c r="AK208" s="470"/>
      <c r="AO208" s="470"/>
      <c r="AS208" s="470"/>
      <c r="AW208" s="470"/>
      <c r="BA208" s="470"/>
      <c r="BB208" s="580"/>
      <c r="BC208" s="70"/>
      <c r="BD208" s="70"/>
      <c r="BE208" s="487"/>
      <c r="BF208" s="580"/>
      <c r="BG208" s="70"/>
      <c r="BH208" s="70"/>
      <c r="BI208" s="487"/>
      <c r="BJ208" s="580"/>
      <c r="BK208" s="70"/>
      <c r="BL208" s="70"/>
      <c r="BM208" s="487"/>
      <c r="BN208" s="580"/>
      <c r="BO208" s="70"/>
      <c r="BP208" s="70"/>
      <c r="BQ208" s="487"/>
      <c r="BR208" s="580">
        <f t="shared" ref="BR208:DB208" si="899">BR205+BN205+BJ205+BF205</f>
        <v>-0.14300000000000004</v>
      </c>
      <c r="BS208" s="70">
        <f t="shared" si="899"/>
        <v>-0.191</v>
      </c>
      <c r="BT208" s="70">
        <f t="shared" si="899"/>
        <v>-0.27700000000000002</v>
      </c>
      <c r="BU208" s="487">
        <f t="shared" si="899"/>
        <v>-0.13499999999999998</v>
      </c>
      <c r="BV208" s="70">
        <f t="shared" si="899"/>
        <v>-0.13400000000000001</v>
      </c>
      <c r="BW208" s="70">
        <f t="shared" si="899"/>
        <v>5.0000000000000044E-3</v>
      </c>
      <c r="BX208" s="70">
        <f t="shared" si="899"/>
        <v>-7.2999999999999982E-2</v>
      </c>
      <c r="BY208" s="487">
        <f t="shared" si="899"/>
        <v>5.7000000000000023E-2</v>
      </c>
      <c r="BZ208" s="70">
        <f t="shared" si="899"/>
        <v>6.5000000000000002E-2</v>
      </c>
      <c r="CA208" s="70">
        <f t="shared" si="899"/>
        <v>0.22900000000000001</v>
      </c>
      <c r="CB208" s="70">
        <f t="shared" si="899"/>
        <v>0.12400000000000001</v>
      </c>
      <c r="CC208" s="487">
        <f t="shared" si="899"/>
        <v>0.32800000000000001</v>
      </c>
      <c r="CD208" s="70">
        <f t="shared" si="899"/>
        <v>0.308</v>
      </c>
      <c r="CE208" s="70">
        <f t="shared" si="899"/>
        <v>0.38400000000000001</v>
      </c>
      <c r="CF208" s="70">
        <f t="shared" si="899"/>
        <v>0.17300000000000001</v>
      </c>
      <c r="CG208" s="487">
        <f t="shared" si="899"/>
        <v>0.40799999999999997</v>
      </c>
      <c r="CH208" s="70">
        <f t="shared" si="899"/>
        <v>0.25300000000000006</v>
      </c>
      <c r="CI208" s="70">
        <f t="shared" si="899"/>
        <v>0.39200000000000002</v>
      </c>
      <c r="CJ208" s="70">
        <f t="shared" si="899"/>
        <v>0.38100000000000001</v>
      </c>
      <c r="CK208" s="487">
        <f t="shared" si="899"/>
        <v>0.46</v>
      </c>
      <c r="CL208" s="70">
        <f t="shared" si="899"/>
        <v>0.313</v>
      </c>
      <c r="CM208" s="70">
        <f t="shared" si="899"/>
        <v>0.36</v>
      </c>
      <c r="CN208" s="70">
        <f t="shared" si="899"/>
        <v>0.35199999999999998</v>
      </c>
      <c r="CO208" s="487">
        <f t="shared" si="899"/>
        <v>0.44500000000000001</v>
      </c>
      <c r="CP208" s="70">
        <f t="shared" si="899"/>
        <v>0.33999999999999997</v>
      </c>
      <c r="CQ208" s="70">
        <f t="shared" si="899"/>
        <v>0.37599999999999995</v>
      </c>
      <c r="CR208" s="70">
        <f t="shared" si="899"/>
        <v>0.6</v>
      </c>
      <c r="CS208" s="487">
        <f t="shared" si="899"/>
        <v>0.55000000000000004</v>
      </c>
      <c r="CT208" s="70">
        <f t="shared" si="899"/>
        <v>0.38900000000000001</v>
      </c>
      <c r="CU208" s="70">
        <f t="shared" si="899"/>
        <v>0.40399999999999991</v>
      </c>
      <c r="CV208" s="70">
        <f t="shared" si="899"/>
        <v>0.50800000000000001</v>
      </c>
      <c r="CW208" s="487">
        <f t="shared" si="899"/>
        <v>0.47500000000000003</v>
      </c>
      <c r="CX208" s="70">
        <f t="shared" si="899"/>
        <v>0.42299999999999993</v>
      </c>
      <c r="CY208" s="70">
        <f t="shared" si="899"/>
        <v>0.52099999999999991</v>
      </c>
      <c r="CZ208" s="70">
        <f t="shared" si="899"/>
        <v>0.56399999999999995</v>
      </c>
      <c r="DA208" s="487">
        <f t="shared" si="899"/>
        <v>0.47899999999999998</v>
      </c>
      <c r="DB208" s="70">
        <f t="shared" si="899"/>
        <v>0.47699999999999998</v>
      </c>
      <c r="DC208" s="70">
        <f t="shared" ref="DC208:DI208" si="900">DC205+CY205+CU205+CQ205</f>
        <v>0.51300000000000001</v>
      </c>
      <c r="DD208" s="70">
        <f t="shared" si="900"/>
        <v>0.48599999999999999</v>
      </c>
      <c r="DE208" s="1569">
        <f t="shared" si="900"/>
        <v>0.42600000000000005</v>
      </c>
      <c r="DF208" s="70">
        <f t="shared" si="900"/>
        <v>0.40300000000000002</v>
      </c>
      <c r="DG208" s="70">
        <f t="shared" si="900"/>
        <v>0.42899999999999999</v>
      </c>
      <c r="DH208" s="70">
        <f t="shared" si="900"/>
        <v>0.38600000000000001</v>
      </c>
      <c r="DI208" s="1569">
        <f t="shared" si="900"/>
        <v>0.46200000000000002</v>
      </c>
      <c r="DJ208" s="1673"/>
      <c r="DK208" s="70"/>
      <c r="DL208" s="70"/>
      <c r="DM208" s="487"/>
      <c r="DN208" s="580"/>
      <c r="DO208" s="487"/>
      <c r="DP208" s="15"/>
      <c r="DQ208" s="15"/>
      <c r="DR208" s="15"/>
      <c r="DS208" s="15"/>
      <c r="DT208" s="15"/>
      <c r="DU208" s="15"/>
      <c r="DV208" s="15"/>
      <c r="DW208" s="15"/>
      <c r="DX208" s="15"/>
      <c r="DY208" s="15"/>
      <c r="DZ208" s="15"/>
      <c r="EA208" s="15"/>
      <c r="EB208" s="15"/>
      <c r="EC208" s="15"/>
      <c r="ED208" s="15"/>
      <c r="EE208" s="15"/>
      <c r="EF208" s="15"/>
      <c r="EG208" s="15"/>
      <c r="EH208" s="15"/>
      <c r="EI208" s="15"/>
      <c r="EJ208" s="15"/>
      <c r="EK208" s="70"/>
      <c r="EL208" s="70"/>
      <c r="EM208" s="70"/>
      <c r="EN208" s="15"/>
      <c r="EO208" s="15"/>
      <c r="EP208" s="15"/>
      <c r="EQ208" s="15">
        <f>+EQ205+EN205+EM205+EL205</f>
        <v>-0.17799999999999999</v>
      </c>
      <c r="ER208" s="77">
        <f>+ER205+EQ205+EN205+EM205</f>
        <v>-3.0999999999999972E-2</v>
      </c>
      <c r="ES208" s="77">
        <f>+ES205+EP205+EO205+EN205</f>
        <v>0.129</v>
      </c>
      <c r="ET208" s="77">
        <f>+ET205+ER205+EQ205+EN205</f>
        <v>0.224</v>
      </c>
      <c r="EU208" s="77">
        <f>EU205+ET205+ER205+EQ205</f>
        <v>0.43300000000000005</v>
      </c>
      <c r="EV208" s="52">
        <f>EV205+EU205+ET205+ER205</f>
        <v>0.44</v>
      </c>
      <c r="EW208" s="52">
        <f>EW205+EV205+EU205+ET205</f>
        <v>0.497</v>
      </c>
      <c r="EX208" s="52">
        <f t="shared" ref="EX208" si="901">EX205+EW205+EV205+EU205</f>
        <v>0.47399999999999998</v>
      </c>
      <c r="EY208" s="52">
        <f t="shared" ref="EY208" si="902">EY205+EX205+EW205+EV205</f>
        <v>0.38693762041211982</v>
      </c>
      <c r="EZ208" s="1680"/>
      <c r="FA208" s="15"/>
      <c r="FB208" s="15"/>
      <c r="FC208" s="15"/>
      <c r="FD208" s="15"/>
      <c r="FE208" s="15"/>
      <c r="FF208" s="15"/>
      <c r="FG208" s="15"/>
      <c r="FH208" s="15"/>
      <c r="FI208" s="671"/>
      <c r="FJ208"/>
      <c r="FK208"/>
      <c r="FL208"/>
      <c r="FM208"/>
      <c r="FN208"/>
      <c r="FO208"/>
      <c r="FP208" s="3"/>
      <c r="FS208" s="7"/>
      <c r="FT208" s="7"/>
      <c r="FU208"/>
      <c r="FV208"/>
      <c r="FW208" s="70"/>
      <c r="FX208" s="70"/>
      <c r="FY208" s="70"/>
      <c r="FZ208"/>
      <c r="GA208"/>
      <c r="GB208"/>
      <c r="GC208"/>
      <c r="GD208"/>
      <c r="GE208"/>
      <c r="GF208"/>
      <c r="GG208"/>
      <c r="GH208"/>
      <c r="GI208"/>
      <c r="GJ208"/>
      <c r="GK208"/>
      <c r="GL208"/>
      <c r="GM208"/>
      <c r="GN208"/>
      <c r="GO208"/>
      <c r="GP208"/>
      <c r="GQ208"/>
      <c r="GR208"/>
      <c r="GS208"/>
      <c r="GT208"/>
      <c r="GU208"/>
      <c r="GV208"/>
      <c r="GW208"/>
      <c r="GX208"/>
      <c r="GY208"/>
      <c r="GZ208"/>
      <c r="HA208"/>
      <c r="HB208"/>
      <c r="HC208"/>
      <c r="HD208"/>
      <c r="HE208"/>
      <c r="HF208"/>
      <c r="HG208"/>
      <c r="HH208"/>
      <c r="HI208"/>
      <c r="HJ208"/>
      <c r="HK208"/>
      <c r="HL208"/>
      <c r="HM208"/>
      <c r="HN208"/>
      <c r="HO208"/>
      <c r="HP208"/>
      <c r="HQ208"/>
      <c r="HR208"/>
      <c r="HS208"/>
      <c r="HT208"/>
      <c r="HU208"/>
      <c r="HV208"/>
      <c r="HW208"/>
      <c r="HX208"/>
      <c r="HY208"/>
      <c r="HZ208"/>
      <c r="IA208"/>
      <c r="IB208"/>
      <c r="IC208"/>
      <c r="ID208"/>
      <c r="IE208"/>
      <c r="IF208"/>
      <c r="IG208"/>
      <c r="IH208"/>
      <c r="II208"/>
      <c r="IJ208"/>
      <c r="IK208"/>
      <c r="IL208"/>
      <c r="IM208"/>
      <c r="IN208"/>
      <c r="IO208"/>
      <c r="IP208"/>
      <c r="IQ208"/>
      <c r="IR208"/>
      <c r="IS208"/>
      <c r="IT208"/>
      <c r="IU208"/>
      <c r="IV208"/>
      <c r="IW208"/>
      <c r="IX208"/>
      <c r="IY208"/>
      <c r="IZ208"/>
    </row>
    <row r="209" spans="1:260" s="4" customFormat="1" hidden="1" outlineLevel="1" x14ac:dyDescent="0.2">
      <c r="E209" s="470"/>
      <c r="I209" s="470"/>
      <c r="M209" s="470"/>
      <c r="Q209" s="470"/>
      <c r="U209" s="470"/>
      <c r="Y209" s="470"/>
      <c r="AC209" s="470"/>
      <c r="AG209" s="470"/>
      <c r="AK209" s="470"/>
      <c r="AO209" s="470"/>
      <c r="AS209" s="470"/>
      <c r="AW209" s="470"/>
      <c r="BA209" s="470"/>
      <c r="BB209" s="580"/>
      <c r="BC209" s="70"/>
      <c r="BD209" s="70"/>
      <c r="BE209" s="487"/>
      <c r="BF209" s="580"/>
      <c r="BG209" s="70"/>
      <c r="BH209" s="70"/>
      <c r="BI209" s="487"/>
      <c r="BJ209" s="580"/>
      <c r="BK209" s="70"/>
      <c r="BL209" s="70"/>
      <c r="BM209" s="487"/>
      <c r="BN209" s="580"/>
      <c r="BO209" s="70"/>
      <c r="BP209" s="70"/>
      <c r="BQ209" s="487"/>
      <c r="BR209" s="580"/>
      <c r="BS209" s="70"/>
      <c r="BT209" s="70"/>
      <c r="BU209" s="487"/>
      <c r="BV209" s="77"/>
      <c r="BW209" s="77"/>
      <c r="BX209" s="70"/>
      <c r="BY209" s="487"/>
      <c r="BZ209" s="77"/>
      <c r="CA209" s="77"/>
      <c r="CB209" s="70"/>
      <c r="CC209" s="487"/>
      <c r="CD209" s="77"/>
      <c r="CE209" s="77"/>
      <c r="CF209" s="70"/>
      <c r="CG209" s="487"/>
      <c r="CH209" s="77"/>
      <c r="CI209" s="77"/>
      <c r="CJ209" s="70"/>
      <c r="CK209" s="487"/>
      <c r="CL209" s="77"/>
      <c r="CM209" s="77"/>
      <c r="CN209" s="70"/>
      <c r="CO209" s="487"/>
      <c r="CP209" s="77"/>
      <c r="CQ209" s="77"/>
      <c r="CR209" s="70"/>
      <c r="CS209" s="487"/>
      <c r="CT209" s="77"/>
      <c r="CU209" s="77"/>
      <c r="CV209" s="70"/>
      <c r="CW209" s="487"/>
      <c r="CX209" s="1812"/>
      <c r="CY209" s="1825"/>
      <c r="CZ209" s="1825"/>
      <c r="DA209" s="1811"/>
      <c r="DB209" s="91"/>
      <c r="DC209" s="91"/>
      <c r="DD209" s="91"/>
      <c r="DE209" s="1569"/>
      <c r="DF209" s="70"/>
      <c r="DG209" s="70"/>
      <c r="DH209" s="70"/>
      <c r="DI209" s="1569"/>
      <c r="DJ209" s="1673"/>
      <c r="DK209" s="70"/>
      <c r="DL209" s="70"/>
      <c r="DM209" s="487"/>
      <c r="DN209" s="580"/>
      <c r="DO209" s="487"/>
      <c r="DP209" s="15"/>
      <c r="DQ209" s="15"/>
      <c r="DR209" s="15"/>
      <c r="DS209" s="15"/>
      <c r="DT209" s="15"/>
      <c r="DU209" s="15"/>
      <c r="DV209" s="15"/>
      <c r="DW209" s="15"/>
      <c r="DX209" s="15"/>
      <c r="DY209" s="15"/>
      <c r="DZ209" s="15"/>
      <c r="EA209" s="15"/>
      <c r="EB209" s="15"/>
      <c r="EC209" s="15"/>
      <c r="ED209" s="15"/>
      <c r="EE209" s="15"/>
      <c r="EF209" s="15"/>
      <c r="EG209" s="15"/>
      <c r="EH209" s="15"/>
      <c r="EI209" s="15"/>
      <c r="EJ209" s="15"/>
      <c r="EK209" s="70"/>
      <c r="EL209" s="70"/>
      <c r="EM209" s="70"/>
      <c r="EN209" s="15"/>
      <c r="EO209" s="15"/>
      <c r="EP209" s="15"/>
      <c r="EQ209" s="15"/>
      <c r="ER209" s="77"/>
      <c r="ES209" s="77"/>
      <c r="ET209" s="77"/>
      <c r="EU209" s="77"/>
      <c r="EV209" s="52"/>
      <c r="EW209" s="52"/>
      <c r="EX209" s="52"/>
      <c r="EY209" s="52"/>
      <c r="EZ209" s="1680"/>
      <c r="FA209" s="15"/>
      <c r="FB209" s="15"/>
      <c r="FC209" s="15"/>
      <c r="FD209" s="15"/>
      <c r="FE209" s="15"/>
      <c r="FF209" s="15"/>
      <c r="FG209" s="15"/>
      <c r="FH209" s="15"/>
      <c r="FI209" s="671"/>
      <c r="FJ209"/>
      <c r="FK209"/>
      <c r="FL209"/>
      <c r="FM209"/>
      <c r="FN209"/>
      <c r="FO209"/>
      <c r="FP209" s="3"/>
      <c r="FS209" s="7"/>
      <c r="FT209" s="7"/>
      <c r="FU209"/>
      <c r="FV209"/>
      <c r="FW209" s="70"/>
      <c r="FX209" s="70"/>
      <c r="FY209" s="70"/>
      <c r="FZ209"/>
      <c r="GA209"/>
      <c r="GB209"/>
      <c r="GC209"/>
      <c r="GD209"/>
      <c r="GE209"/>
      <c r="GF209"/>
      <c r="GG209"/>
      <c r="GH209"/>
      <c r="GI209"/>
      <c r="GJ209"/>
      <c r="GK209"/>
      <c r="GL209"/>
      <c r="GM209"/>
      <c r="GN209"/>
      <c r="GO209"/>
      <c r="GP209"/>
      <c r="GQ209"/>
      <c r="GR209"/>
      <c r="GS209"/>
      <c r="GT209"/>
      <c r="GU209"/>
      <c r="GV209"/>
      <c r="GW209"/>
      <c r="GX209"/>
      <c r="GY209"/>
      <c r="GZ209"/>
      <c r="HA209"/>
      <c r="HB209"/>
      <c r="HC209"/>
      <c r="HD209"/>
      <c r="HE209"/>
      <c r="HF209"/>
      <c r="HG209"/>
      <c r="HH209"/>
      <c r="HI209"/>
      <c r="HJ209"/>
      <c r="HK209"/>
      <c r="HL209"/>
      <c r="HM209"/>
      <c r="HN209"/>
      <c r="HO209"/>
      <c r="HP209"/>
      <c r="HQ209"/>
      <c r="HR209"/>
      <c r="HS209"/>
      <c r="HT209"/>
      <c r="HU209"/>
      <c r="HV209"/>
      <c r="HW209"/>
      <c r="HX209"/>
      <c r="HY209"/>
      <c r="HZ209"/>
      <c r="IA209"/>
      <c r="IB209"/>
      <c r="IC209"/>
      <c r="ID209"/>
      <c r="IE209"/>
      <c r="IF209"/>
      <c r="IG209"/>
      <c r="IH209"/>
      <c r="II209"/>
      <c r="IJ209"/>
      <c r="IK209"/>
      <c r="IL209"/>
      <c r="IM209"/>
      <c r="IN209"/>
      <c r="IO209"/>
      <c r="IP209"/>
      <c r="IQ209"/>
      <c r="IR209"/>
      <c r="IS209"/>
      <c r="IT209"/>
      <c r="IU209"/>
      <c r="IV209"/>
      <c r="IW209"/>
      <c r="IX209"/>
      <c r="IY209"/>
      <c r="IZ209"/>
    </row>
    <row r="210" spans="1:260" s="19" customFormat="1" hidden="1" outlineLevel="1" x14ac:dyDescent="0.2">
      <c r="A210" s="1475" t="s">
        <v>376</v>
      </c>
      <c r="E210" s="469"/>
      <c r="I210" s="469"/>
      <c r="M210" s="469"/>
      <c r="Q210" s="469"/>
      <c r="U210" s="469"/>
      <c r="Y210" s="469"/>
      <c r="AC210" s="469"/>
      <c r="AG210" s="469"/>
      <c r="AK210" s="469"/>
      <c r="AO210" s="469"/>
      <c r="AS210" s="469"/>
      <c r="AW210" s="469"/>
      <c r="BA210" s="469"/>
      <c r="BB210" s="1157"/>
      <c r="BC210" s="219">
        <v>0.124</v>
      </c>
      <c r="BD210" s="197"/>
      <c r="BE210" s="572"/>
      <c r="BF210" s="1157">
        <v>7.2999999999999995E-2</v>
      </c>
      <c r="BG210" s="219">
        <v>3.2000000000000001E-2</v>
      </c>
      <c r="BH210" s="197">
        <v>4.4999999999999998E-2</v>
      </c>
      <c r="BI210" s="572">
        <v>2.5999999999999999E-2</v>
      </c>
      <c r="BJ210" s="1157">
        <v>0.05</v>
      </c>
      <c r="BK210" s="219">
        <v>8.6999999999999994E-2</v>
      </c>
      <c r="BL210" s="197">
        <v>1.2999999999999999E-2</v>
      </c>
      <c r="BM210" s="572">
        <v>2.1999999999999999E-2</v>
      </c>
      <c r="BN210" s="1157">
        <v>1.7000000000000001E-2</v>
      </c>
      <c r="BO210" s="219">
        <v>-3.6999999999999998E-2</v>
      </c>
      <c r="BP210" s="197">
        <v>4.0000000000000001E-3</v>
      </c>
      <c r="BQ210" s="572">
        <v>-2.3E-2</v>
      </c>
      <c r="BR210" s="1157">
        <v>-4.2000000000000003E-2</v>
      </c>
      <c r="BS210" s="219">
        <v>-8.0000000000000002E-3</v>
      </c>
      <c r="BT210" s="197">
        <v>-1.4999999999999999E-2</v>
      </c>
      <c r="BU210" s="572">
        <v>7.4999999999999997E-2</v>
      </c>
      <c r="BV210" s="50">
        <v>8.0000000000000002E-3</v>
      </c>
      <c r="BW210" s="50">
        <v>3.2000000000000001E-2</v>
      </c>
      <c r="BX210" s="197">
        <v>-7.0000000000000001E-3</v>
      </c>
      <c r="BY210" s="572">
        <v>-4.4999999999999998E-2</v>
      </c>
      <c r="BZ210" s="50">
        <v>-0.03</v>
      </c>
      <c r="CA210" s="50">
        <v>-2.4E-2</v>
      </c>
      <c r="CB210" s="197">
        <v>4.0000000000000001E-3</v>
      </c>
      <c r="CC210" s="572">
        <v>4.4999999999999998E-2</v>
      </c>
      <c r="CD210" s="50">
        <v>3.9E-2</v>
      </c>
      <c r="CE210" s="50">
        <v>3.4000000000000002E-2</v>
      </c>
      <c r="CF210" s="197">
        <v>5.0000000000000001E-3</v>
      </c>
      <c r="CG210" s="572">
        <v>-4.9000000000000002E-2</v>
      </c>
      <c r="CH210" s="50">
        <v>-2.3E-2</v>
      </c>
      <c r="CI210" s="50">
        <v>1.2E-2</v>
      </c>
      <c r="CJ210" s="197">
        <v>-4.5999999999999999E-2</v>
      </c>
      <c r="CK210" s="572">
        <v>6.2E-2</v>
      </c>
      <c r="CL210" s="50">
        <v>-2.3E-2</v>
      </c>
      <c r="CM210" s="50">
        <v>1.2E-2</v>
      </c>
      <c r="CN210" s="197">
        <v>-4.5999999999999999E-2</v>
      </c>
      <c r="CO210" s="572">
        <v>6.2E-2</v>
      </c>
      <c r="CP210" s="50">
        <v>6.5000000000000002E-2</v>
      </c>
      <c r="CQ210" s="50">
        <v>1.4999999999999999E-2</v>
      </c>
      <c r="CR210" s="197">
        <v>4.2000000000000003E-2</v>
      </c>
      <c r="CS210" s="572">
        <v>-9.1999999999999998E-2</v>
      </c>
      <c r="CT210" s="50">
        <v>-0.13500000000000001</v>
      </c>
      <c r="CU210" s="50">
        <v>-8.8999999999999996E-2</v>
      </c>
      <c r="CV210" s="197">
        <v>-0.10299999999999999</v>
      </c>
      <c r="CW210" s="572">
        <v>-0.114</v>
      </c>
      <c r="CX210" s="208">
        <v>-0.10299999999999999</v>
      </c>
      <c r="CY210" s="208">
        <v>-0.13100000000000001</v>
      </c>
      <c r="CZ210" s="197">
        <v>-0.111</v>
      </c>
      <c r="DA210" s="572">
        <v>-0.11899999999999999</v>
      </c>
      <c r="DB210" s="208">
        <v>-0.107</v>
      </c>
      <c r="DC210" s="197">
        <v>-7.1999999999999995E-2</v>
      </c>
      <c r="DD210" s="197">
        <v>-1.7999999999999999E-2</v>
      </c>
      <c r="DE210" s="572">
        <v>6.3E-2</v>
      </c>
      <c r="DF210" s="208">
        <v>4.2000000000000003E-2</v>
      </c>
      <c r="DG210" s="208">
        <v>1.4999999999999999E-2</v>
      </c>
      <c r="DH210" s="208">
        <v>3.2000000000000001E-2</v>
      </c>
      <c r="DI210" s="572">
        <v>6.7000000000000004E-2</v>
      </c>
      <c r="DJ210" s="2704"/>
      <c r="DK210" s="1552"/>
      <c r="DL210" s="1552"/>
      <c r="DM210" s="1551"/>
      <c r="DN210" s="578"/>
      <c r="DO210" s="572"/>
      <c r="DP210" s="50"/>
      <c r="DQ210" s="50"/>
      <c r="DR210" s="50"/>
      <c r="DS210" s="50"/>
      <c r="DT210" s="50"/>
      <c r="DU210" s="50"/>
      <c r="DV210" s="50"/>
      <c r="DW210" s="50"/>
      <c r="DX210" s="50"/>
      <c r="DY210" s="50"/>
      <c r="DZ210" s="50"/>
      <c r="EA210" s="50"/>
      <c r="EB210" s="50"/>
      <c r="EC210" s="50"/>
      <c r="ED210" s="50"/>
      <c r="EE210" s="50"/>
      <c r="EF210" s="50"/>
      <c r="EG210" s="50"/>
      <c r="EH210" s="50"/>
      <c r="EI210" s="50"/>
      <c r="EJ210" s="50"/>
      <c r="EK210" s="197"/>
      <c r="EL210" s="197">
        <v>4.1000000000000002E-2</v>
      </c>
      <c r="EM210" s="197">
        <v>4.1000000000000002E-2</v>
      </c>
      <c r="EN210" s="50">
        <v>-1.0999999999999999E-2</v>
      </c>
      <c r="EO210" s="50">
        <v>5.0000000000000001E-3</v>
      </c>
      <c r="EP210" s="50"/>
      <c r="EQ210" s="50">
        <v>1E-3</v>
      </c>
      <c r="ER210" s="50">
        <v>3.0000000000000001E-3</v>
      </c>
      <c r="ES210" s="50">
        <v>3.0000000000000001E-3</v>
      </c>
      <c r="ET210" s="50">
        <v>3.0000000000000001E-3</v>
      </c>
      <c r="EU210" s="50">
        <v>2E-3</v>
      </c>
      <c r="EV210" s="50">
        <v>-0.111</v>
      </c>
      <c r="EW210" s="50">
        <v>-0.11600000000000001</v>
      </c>
      <c r="EX210" s="208">
        <v>-3.3000000000000002E-2</v>
      </c>
      <c r="EY210" s="2785">
        <v>2.566306777040072E-3</v>
      </c>
      <c r="EZ210" s="1739"/>
      <c r="FA210" s="50"/>
      <c r="FB210" s="50"/>
      <c r="FC210" s="50"/>
      <c r="FD210" s="50"/>
      <c r="FE210" s="50"/>
      <c r="FF210" s="50"/>
      <c r="FG210" s="50"/>
      <c r="FH210" s="50"/>
      <c r="FI210" s="590"/>
      <c r="FJ210"/>
      <c r="FK210"/>
      <c r="FL210"/>
      <c r="FM210"/>
      <c r="FN210"/>
      <c r="FO210"/>
      <c r="FP210" s="401"/>
      <c r="FS210" s="53"/>
      <c r="FT210" s="53"/>
      <c r="FW210" s="197"/>
      <c r="FX210" s="197"/>
      <c r="FY210" s="197"/>
    </row>
    <row r="211" spans="1:260" s="4" customFormat="1" hidden="1" outlineLevel="1" x14ac:dyDescent="0.2">
      <c r="A211" s="4" t="s">
        <v>4</v>
      </c>
      <c r="E211" s="470"/>
      <c r="I211" s="470"/>
      <c r="M211" s="470"/>
      <c r="Q211" s="470"/>
      <c r="U211" s="470"/>
      <c r="Y211" s="470"/>
      <c r="AC211" s="470"/>
      <c r="AG211" s="470"/>
      <c r="AK211" s="470"/>
      <c r="AO211" s="470"/>
      <c r="AS211" s="470"/>
      <c r="AW211" s="470"/>
      <c r="BA211" s="470"/>
      <c r="BB211" s="580"/>
      <c r="BC211" s="70"/>
      <c r="BD211" s="70"/>
      <c r="BE211" s="487"/>
      <c r="BF211" s="580"/>
      <c r="BG211" s="70"/>
      <c r="BH211" s="70"/>
      <c r="BI211" s="487"/>
      <c r="BJ211" s="580">
        <f t="shared" ref="BJ211:DB211" si="903">BF210+BJ210</f>
        <v>0.123</v>
      </c>
      <c r="BK211" s="70">
        <f t="shared" si="903"/>
        <v>0.11899999999999999</v>
      </c>
      <c r="BL211" s="70">
        <f t="shared" si="903"/>
        <v>5.7999999999999996E-2</v>
      </c>
      <c r="BM211" s="487">
        <f t="shared" si="903"/>
        <v>4.8000000000000001E-2</v>
      </c>
      <c r="BN211" s="580">
        <f t="shared" si="903"/>
        <v>6.7000000000000004E-2</v>
      </c>
      <c r="BO211" s="70">
        <f t="shared" si="903"/>
        <v>4.9999999999999996E-2</v>
      </c>
      <c r="BP211" s="70">
        <f t="shared" si="903"/>
        <v>1.7000000000000001E-2</v>
      </c>
      <c r="BQ211" s="487">
        <f t="shared" si="903"/>
        <v>-1.0000000000000009E-3</v>
      </c>
      <c r="BR211" s="580">
        <f t="shared" si="903"/>
        <v>-2.5000000000000001E-2</v>
      </c>
      <c r="BS211" s="70">
        <f t="shared" si="903"/>
        <v>-4.4999999999999998E-2</v>
      </c>
      <c r="BT211" s="70">
        <f t="shared" si="903"/>
        <v>-1.0999999999999999E-2</v>
      </c>
      <c r="BU211" s="487">
        <f t="shared" si="903"/>
        <v>5.1999999999999998E-2</v>
      </c>
      <c r="BV211" s="70">
        <f t="shared" si="903"/>
        <v>-3.4000000000000002E-2</v>
      </c>
      <c r="BW211" s="70">
        <f t="shared" si="903"/>
        <v>2.4E-2</v>
      </c>
      <c r="BX211" s="70">
        <f t="shared" si="903"/>
        <v>-2.1999999999999999E-2</v>
      </c>
      <c r="BY211" s="487">
        <f t="shared" si="903"/>
        <v>0.03</v>
      </c>
      <c r="BZ211" s="70">
        <f t="shared" si="903"/>
        <v>-2.1999999999999999E-2</v>
      </c>
      <c r="CA211" s="70">
        <f t="shared" si="903"/>
        <v>8.0000000000000002E-3</v>
      </c>
      <c r="CB211" s="70">
        <f t="shared" si="903"/>
        <v>-3.0000000000000001E-3</v>
      </c>
      <c r="CC211" s="487">
        <f t="shared" si="903"/>
        <v>0</v>
      </c>
      <c r="CD211" s="70">
        <f t="shared" si="903"/>
        <v>9.0000000000000011E-3</v>
      </c>
      <c r="CE211" s="70">
        <f t="shared" si="903"/>
        <v>1.0000000000000002E-2</v>
      </c>
      <c r="CF211" s="70">
        <f t="shared" si="903"/>
        <v>9.0000000000000011E-3</v>
      </c>
      <c r="CG211" s="487">
        <f t="shared" si="903"/>
        <v>-4.0000000000000036E-3</v>
      </c>
      <c r="CH211" s="70">
        <f t="shared" si="903"/>
        <v>1.6E-2</v>
      </c>
      <c r="CI211" s="70">
        <f t="shared" si="903"/>
        <v>4.5999999999999999E-2</v>
      </c>
      <c r="CJ211" s="70">
        <f t="shared" si="903"/>
        <v>-4.1000000000000002E-2</v>
      </c>
      <c r="CK211" s="487">
        <f t="shared" si="903"/>
        <v>1.2999999999999998E-2</v>
      </c>
      <c r="CL211" s="70">
        <f t="shared" si="903"/>
        <v>-4.5999999999999999E-2</v>
      </c>
      <c r="CM211" s="70">
        <f t="shared" si="903"/>
        <v>2.4E-2</v>
      </c>
      <c r="CN211" s="70">
        <f t="shared" si="903"/>
        <v>-9.1999999999999998E-2</v>
      </c>
      <c r="CO211" s="487">
        <f t="shared" si="903"/>
        <v>0.124</v>
      </c>
      <c r="CP211" s="70">
        <f t="shared" si="903"/>
        <v>4.2000000000000003E-2</v>
      </c>
      <c r="CQ211" s="70">
        <f t="shared" si="903"/>
        <v>2.7E-2</v>
      </c>
      <c r="CR211" s="70">
        <f t="shared" si="903"/>
        <v>-3.9999999999999966E-3</v>
      </c>
      <c r="CS211" s="487">
        <f t="shared" si="903"/>
        <v>-0.03</v>
      </c>
      <c r="CT211" s="70">
        <f t="shared" si="903"/>
        <v>-7.0000000000000007E-2</v>
      </c>
      <c r="CU211" s="70">
        <f t="shared" si="903"/>
        <v>-7.3999999999999996E-2</v>
      </c>
      <c r="CV211" s="70">
        <f t="shared" si="903"/>
        <v>-6.0999999999999992E-2</v>
      </c>
      <c r="CW211" s="487">
        <f t="shared" si="903"/>
        <v>-0.20600000000000002</v>
      </c>
      <c r="CX211" s="70">
        <f t="shared" si="903"/>
        <v>-0.23799999999999999</v>
      </c>
      <c r="CY211" s="70">
        <f t="shared" si="903"/>
        <v>-0.22</v>
      </c>
      <c r="CZ211" s="70">
        <f t="shared" si="903"/>
        <v>-0.214</v>
      </c>
      <c r="DA211" s="487">
        <f t="shared" si="903"/>
        <v>-0.23299999999999998</v>
      </c>
      <c r="DB211" s="70">
        <f t="shared" si="903"/>
        <v>-0.21</v>
      </c>
      <c r="DC211" s="70">
        <f t="shared" ref="DC211:DI211" si="904">CY210+DC210</f>
        <v>-0.20300000000000001</v>
      </c>
      <c r="DD211" s="70">
        <f t="shared" si="904"/>
        <v>-0.129</v>
      </c>
      <c r="DE211" s="1569">
        <f t="shared" si="904"/>
        <v>-5.5999999999999994E-2</v>
      </c>
      <c r="DF211" s="70">
        <f t="shared" si="904"/>
        <v>-6.5000000000000002E-2</v>
      </c>
      <c r="DG211" s="70">
        <f t="shared" si="904"/>
        <v>-5.6999999999999995E-2</v>
      </c>
      <c r="DH211" s="70">
        <f t="shared" si="904"/>
        <v>1.4000000000000002E-2</v>
      </c>
      <c r="DI211" s="1569">
        <f t="shared" si="904"/>
        <v>0.13</v>
      </c>
      <c r="DJ211" s="1673"/>
      <c r="DK211" s="70"/>
      <c r="DL211" s="70"/>
      <c r="DM211" s="487"/>
      <c r="DN211" s="580"/>
      <c r="DO211" s="487"/>
      <c r="DP211" s="15"/>
      <c r="DQ211" s="15"/>
      <c r="DR211" s="15"/>
      <c r="DS211" s="15"/>
      <c r="DT211" s="15"/>
      <c r="DU211" s="15"/>
      <c r="DV211" s="15"/>
      <c r="DW211" s="15"/>
      <c r="DX211" s="15"/>
      <c r="DY211" s="15"/>
      <c r="DZ211" s="15"/>
      <c r="EA211" s="15"/>
      <c r="EB211" s="15"/>
      <c r="EC211" s="15"/>
      <c r="ED211" s="15"/>
      <c r="EE211" s="15"/>
      <c r="EF211" s="15"/>
      <c r="EG211" s="15"/>
      <c r="EH211" s="15"/>
      <c r="EI211" s="15"/>
      <c r="EJ211" s="15"/>
      <c r="EK211" s="70"/>
      <c r="EL211" s="70"/>
      <c r="EM211" s="70">
        <f t="shared" ref="EM211" si="905">EM210+EL210</f>
        <v>8.2000000000000003E-2</v>
      </c>
      <c r="EN211" s="15">
        <f t="shared" ref="EN211" si="906">EN210+EM210</f>
        <v>3.0000000000000002E-2</v>
      </c>
      <c r="EO211" s="15">
        <f t="shared" ref="EO211" si="907">EO210+EN210</f>
        <v>-5.9999999999999993E-3</v>
      </c>
      <c r="EP211" s="15">
        <f t="shared" ref="EP211" si="908">EP210+EO210</f>
        <v>5.0000000000000001E-3</v>
      </c>
      <c r="EQ211" s="15">
        <f>+EQ210+EN210</f>
        <v>-9.9999999999999985E-3</v>
      </c>
      <c r="ER211" s="77">
        <f>ER210+EQ210</f>
        <v>4.0000000000000001E-3</v>
      </c>
      <c r="ES211" s="77">
        <f>+ES210+EP210</f>
        <v>3.0000000000000001E-3</v>
      </c>
      <c r="ET211" s="77">
        <f>+ET210+ER210</f>
        <v>6.0000000000000001E-3</v>
      </c>
      <c r="EU211" s="77">
        <f t="shared" ref="EU211" si="909">+EU210+ET210</f>
        <v>5.0000000000000001E-3</v>
      </c>
      <c r="EV211" s="52">
        <f t="shared" ref="EV211" si="910">+EV210+EU210</f>
        <v>-0.109</v>
      </c>
      <c r="EW211" s="52">
        <f t="shared" ref="EW211" si="911">+EW210+EV210</f>
        <v>-0.22700000000000001</v>
      </c>
      <c r="EX211" s="52">
        <f t="shared" ref="EX211" si="912">+EX210+EW210</f>
        <v>-0.14900000000000002</v>
      </c>
      <c r="EY211" s="52">
        <f t="shared" ref="EY211" si="913">+EY210+EX210</f>
        <v>-3.043369322295993E-2</v>
      </c>
      <c r="EZ211" s="1680"/>
      <c r="FA211" s="15"/>
      <c r="FB211" s="15"/>
      <c r="FC211" s="15"/>
      <c r="FD211" s="15"/>
      <c r="FE211" s="15"/>
      <c r="FF211" s="15"/>
      <c r="FG211" s="15"/>
      <c r="FH211" s="15"/>
      <c r="FI211" s="671"/>
      <c r="FJ211"/>
      <c r="FK211"/>
      <c r="FL211"/>
      <c r="FM211"/>
      <c r="FN211"/>
      <c r="FO211"/>
      <c r="FP211" s="3"/>
      <c r="FS211" s="7"/>
      <c r="FT211" s="7"/>
      <c r="FU211"/>
      <c r="FV211"/>
      <c r="FW211" s="70"/>
      <c r="FX211" s="70"/>
      <c r="FY211" s="70"/>
      <c r="FZ211"/>
      <c r="GA211"/>
      <c r="GB211"/>
      <c r="GC211"/>
      <c r="GD211"/>
      <c r="GE211"/>
      <c r="GF211"/>
      <c r="GG211"/>
      <c r="GH211"/>
      <c r="GI211"/>
      <c r="GJ211"/>
      <c r="GK211"/>
      <c r="GL211"/>
      <c r="GM211"/>
      <c r="GN211"/>
      <c r="GO211"/>
      <c r="GP211"/>
      <c r="GQ211"/>
      <c r="GR211"/>
      <c r="GS211"/>
      <c r="GT211"/>
      <c r="GU211"/>
      <c r="GV211"/>
      <c r="GW211"/>
      <c r="GX211"/>
      <c r="GY211"/>
      <c r="GZ211"/>
      <c r="HA211"/>
      <c r="HB211"/>
      <c r="HC211"/>
      <c r="HD211"/>
      <c r="HE211"/>
      <c r="HF211"/>
      <c r="HG211"/>
      <c r="HH211"/>
      <c r="HI211"/>
      <c r="HJ211"/>
      <c r="HK211"/>
      <c r="HL211"/>
      <c r="HM211"/>
      <c r="HN211"/>
      <c r="HO211"/>
      <c r="HP211"/>
      <c r="HQ211"/>
      <c r="HR211"/>
      <c r="HS211"/>
      <c r="HT211"/>
      <c r="HU211"/>
      <c r="HV211"/>
      <c r="HW211"/>
      <c r="HX211"/>
      <c r="HY211"/>
      <c r="HZ211"/>
      <c r="IA211"/>
      <c r="IB211"/>
      <c r="IC211"/>
      <c r="ID211"/>
      <c r="IE211"/>
      <c r="IF211"/>
      <c r="IG211"/>
      <c r="IH211"/>
      <c r="II211"/>
      <c r="IJ211"/>
      <c r="IK211"/>
      <c r="IL211"/>
      <c r="IM211"/>
      <c r="IN211"/>
      <c r="IO211"/>
      <c r="IP211"/>
      <c r="IQ211"/>
      <c r="IR211"/>
      <c r="IS211"/>
      <c r="IT211"/>
      <c r="IU211"/>
      <c r="IV211"/>
      <c r="IW211"/>
      <c r="IX211"/>
      <c r="IY211"/>
      <c r="IZ211"/>
    </row>
    <row r="212" spans="1:260" s="4" customFormat="1" hidden="1" outlineLevel="1" x14ac:dyDescent="0.2">
      <c r="A212" s="4" t="s">
        <v>610</v>
      </c>
      <c r="E212" s="470"/>
      <c r="I212" s="470"/>
      <c r="M212" s="470"/>
      <c r="Q212" s="470"/>
      <c r="U212" s="470"/>
      <c r="Y212" s="470"/>
      <c r="AC212" s="470"/>
      <c r="AG212" s="470"/>
      <c r="AK212" s="470"/>
      <c r="AO212" s="470"/>
      <c r="AS212" s="470"/>
      <c r="AW212" s="470"/>
      <c r="BA212" s="470"/>
      <c r="BB212" s="580"/>
      <c r="BC212" s="70"/>
      <c r="BD212" s="70"/>
      <c r="BE212" s="487"/>
      <c r="BF212" s="580"/>
      <c r="BG212" s="70"/>
      <c r="BH212" s="70"/>
      <c r="BI212" s="487"/>
      <c r="BJ212" s="580"/>
      <c r="BK212" s="70"/>
      <c r="BL212" s="70"/>
      <c r="BM212" s="487"/>
      <c r="BN212" s="580">
        <f t="shared" ref="BN212:DB212" si="914">BN210+BJ210+BF210</f>
        <v>0.14000000000000001</v>
      </c>
      <c r="BO212" s="70">
        <f t="shared" si="914"/>
        <v>8.199999999999999E-2</v>
      </c>
      <c r="BP212" s="70">
        <f t="shared" si="914"/>
        <v>6.2E-2</v>
      </c>
      <c r="BQ212" s="487">
        <f t="shared" si="914"/>
        <v>2.4999999999999998E-2</v>
      </c>
      <c r="BR212" s="580">
        <f t="shared" si="914"/>
        <v>2.5000000000000001E-2</v>
      </c>
      <c r="BS212" s="70">
        <f t="shared" si="914"/>
        <v>4.1999999999999996E-2</v>
      </c>
      <c r="BT212" s="70">
        <f t="shared" si="914"/>
        <v>2E-3</v>
      </c>
      <c r="BU212" s="487">
        <f t="shared" si="914"/>
        <v>7.3999999999999996E-2</v>
      </c>
      <c r="BV212" s="70">
        <f t="shared" si="914"/>
        <v>-1.7000000000000001E-2</v>
      </c>
      <c r="BW212" s="70">
        <f t="shared" si="914"/>
        <v>-1.2999999999999998E-2</v>
      </c>
      <c r="BX212" s="70">
        <f t="shared" si="914"/>
        <v>-1.7999999999999999E-2</v>
      </c>
      <c r="BY212" s="487">
        <f t="shared" si="914"/>
        <v>6.9999999999999993E-3</v>
      </c>
      <c r="BZ212" s="70">
        <f t="shared" si="914"/>
        <v>-6.4000000000000001E-2</v>
      </c>
      <c r="CA212" s="70">
        <f t="shared" si="914"/>
        <v>0</v>
      </c>
      <c r="CB212" s="70">
        <f t="shared" si="914"/>
        <v>-1.7999999999999999E-2</v>
      </c>
      <c r="CC212" s="487">
        <f t="shared" si="914"/>
        <v>7.4999999999999997E-2</v>
      </c>
      <c r="CD212" s="70">
        <f t="shared" si="914"/>
        <v>1.7000000000000001E-2</v>
      </c>
      <c r="CE212" s="70">
        <f t="shared" si="914"/>
        <v>4.2000000000000003E-2</v>
      </c>
      <c r="CF212" s="70">
        <f t="shared" si="914"/>
        <v>2.0000000000000009E-3</v>
      </c>
      <c r="CG212" s="487">
        <f t="shared" si="914"/>
        <v>-4.9000000000000002E-2</v>
      </c>
      <c r="CH212" s="70">
        <f t="shared" si="914"/>
        <v>-1.3999999999999999E-2</v>
      </c>
      <c r="CI212" s="70">
        <f t="shared" si="914"/>
        <v>2.1999999999999999E-2</v>
      </c>
      <c r="CJ212" s="70">
        <f t="shared" si="914"/>
        <v>-3.7000000000000005E-2</v>
      </c>
      <c r="CK212" s="487">
        <f t="shared" si="914"/>
        <v>5.7999999999999996E-2</v>
      </c>
      <c r="CL212" s="70">
        <f t="shared" si="914"/>
        <v>-6.9999999999999993E-3</v>
      </c>
      <c r="CM212" s="70">
        <f t="shared" si="914"/>
        <v>5.8000000000000003E-2</v>
      </c>
      <c r="CN212" s="70">
        <f t="shared" si="914"/>
        <v>-8.6999999999999994E-2</v>
      </c>
      <c r="CO212" s="487">
        <f t="shared" si="914"/>
        <v>7.4999999999999997E-2</v>
      </c>
      <c r="CP212" s="70">
        <f t="shared" si="914"/>
        <v>1.9000000000000003E-2</v>
      </c>
      <c r="CQ212" s="70">
        <f t="shared" si="914"/>
        <v>3.9E-2</v>
      </c>
      <c r="CR212" s="70">
        <f t="shared" si="914"/>
        <v>-4.9999999999999996E-2</v>
      </c>
      <c r="CS212" s="487">
        <f t="shared" si="914"/>
        <v>3.2000000000000001E-2</v>
      </c>
      <c r="CT212" s="70">
        <f t="shared" si="914"/>
        <v>-9.2999999999999999E-2</v>
      </c>
      <c r="CU212" s="70">
        <f t="shared" si="914"/>
        <v>-6.2E-2</v>
      </c>
      <c r="CV212" s="70">
        <f t="shared" si="914"/>
        <v>-0.10699999999999998</v>
      </c>
      <c r="CW212" s="487">
        <f t="shared" si="914"/>
        <v>-0.14400000000000002</v>
      </c>
      <c r="CX212" s="70">
        <f t="shared" si="914"/>
        <v>-0.17299999999999999</v>
      </c>
      <c r="CY212" s="70">
        <f t="shared" si="914"/>
        <v>-0.20500000000000002</v>
      </c>
      <c r="CZ212" s="70">
        <f t="shared" si="914"/>
        <v>-0.17199999999999999</v>
      </c>
      <c r="DA212" s="487">
        <f t="shared" si="914"/>
        <v>-0.32499999999999996</v>
      </c>
      <c r="DB212" s="70">
        <f t="shared" si="914"/>
        <v>-0.34499999999999997</v>
      </c>
      <c r="DC212" s="70">
        <f t="shared" ref="DC212:DI212" si="915">DC210+CY210+CU210</f>
        <v>-0.29200000000000004</v>
      </c>
      <c r="DD212" s="70">
        <f t="shared" si="915"/>
        <v>-0.23199999999999998</v>
      </c>
      <c r="DE212" s="1569">
        <f t="shared" si="915"/>
        <v>-0.16999999999999998</v>
      </c>
      <c r="DF212" s="70">
        <f t="shared" si="915"/>
        <v>-0.16799999999999998</v>
      </c>
      <c r="DG212" s="70">
        <f t="shared" si="915"/>
        <v>-0.188</v>
      </c>
      <c r="DH212" s="70">
        <f t="shared" si="915"/>
        <v>-9.7000000000000003E-2</v>
      </c>
      <c r="DI212" s="1569">
        <f t="shared" si="915"/>
        <v>1.100000000000001E-2</v>
      </c>
      <c r="DJ212" s="1673"/>
      <c r="DK212" s="70"/>
      <c r="DL212" s="70"/>
      <c r="DM212" s="487"/>
      <c r="DN212" s="580"/>
      <c r="DO212" s="487"/>
      <c r="DP212" s="15"/>
      <c r="DQ212" s="15"/>
      <c r="DR212" s="15"/>
      <c r="DS212" s="15"/>
      <c r="DT212" s="15"/>
      <c r="DU212" s="15"/>
      <c r="DV212" s="15"/>
      <c r="DW212" s="15"/>
      <c r="DX212" s="15"/>
      <c r="DY212" s="15"/>
      <c r="DZ212" s="15"/>
      <c r="EA212" s="15"/>
      <c r="EB212" s="15"/>
      <c r="EC212" s="15"/>
      <c r="ED212" s="15"/>
      <c r="EE212" s="15"/>
      <c r="EF212" s="15"/>
      <c r="EG212" s="15"/>
      <c r="EH212" s="15"/>
      <c r="EI212" s="15"/>
      <c r="EJ212" s="15"/>
      <c r="EK212" s="70"/>
      <c r="EL212" s="70"/>
      <c r="EM212" s="70"/>
      <c r="EN212" s="15">
        <f>+EN210+EM210+EL210</f>
        <v>7.1000000000000008E-2</v>
      </c>
      <c r="EO212" s="15">
        <f t="shared" ref="EO212" si="916">EO210+EN210+EK210</f>
        <v>-5.9999999999999993E-3</v>
      </c>
      <c r="EP212" s="15">
        <f t="shared" ref="EP212" si="917">EP210+EO210+EL210</f>
        <v>4.5999999999999999E-2</v>
      </c>
      <c r="EQ212" s="15">
        <f>+EQ210+EN210+EM210</f>
        <v>3.1000000000000003E-2</v>
      </c>
      <c r="ER212" s="77">
        <f t="shared" ref="ER212" si="918">ER210+EQ210+EN210</f>
        <v>-6.9999999999999993E-3</v>
      </c>
      <c r="ES212" s="77">
        <f>+ES210+EP210+EO210</f>
        <v>8.0000000000000002E-3</v>
      </c>
      <c r="ET212" s="77">
        <f>+ET210+ER210+EQ210</f>
        <v>7.0000000000000001E-3</v>
      </c>
      <c r="EU212" s="77">
        <f>EU210+ET210+ER210</f>
        <v>8.0000000000000002E-3</v>
      </c>
      <c r="EV212" s="52">
        <f>EV210+EU210+ET210</f>
        <v>-0.106</v>
      </c>
      <c r="EW212" s="52">
        <f>EW210+EV210+EU210</f>
        <v>-0.22500000000000001</v>
      </c>
      <c r="EX212" s="52">
        <f t="shared" ref="EX212" si="919">EX210+EW210+EV210</f>
        <v>-0.26</v>
      </c>
      <c r="EY212" s="52">
        <f t="shared" ref="EY212" si="920">EY210+EX210+EW210</f>
        <v>-0.14643369322295993</v>
      </c>
      <c r="EZ212" s="1680"/>
      <c r="FA212" s="15"/>
      <c r="FB212" s="15"/>
      <c r="FC212" s="15"/>
      <c r="FD212" s="15"/>
      <c r="FE212" s="15"/>
      <c r="FF212" s="15"/>
      <c r="FG212" s="15"/>
      <c r="FH212" s="15"/>
      <c r="FI212" s="671"/>
      <c r="FJ212"/>
      <c r="FK212"/>
      <c r="FL212"/>
      <c r="FM212"/>
      <c r="FN212"/>
      <c r="FO212"/>
      <c r="FP212" s="3"/>
      <c r="FS212" s="7"/>
      <c r="FT212" s="7"/>
      <c r="FU212"/>
      <c r="FV212"/>
      <c r="FW212" s="70"/>
      <c r="FX212" s="70"/>
      <c r="FY212" s="70"/>
      <c r="FZ212"/>
      <c r="GA212"/>
      <c r="GB212"/>
      <c r="GC212"/>
      <c r="GD212"/>
      <c r="GE212"/>
      <c r="GF212"/>
      <c r="GG212"/>
      <c r="GH212"/>
      <c r="GI212"/>
      <c r="GJ212"/>
      <c r="GK212"/>
      <c r="GL212"/>
      <c r="GM212"/>
      <c r="GN212"/>
      <c r="GO212"/>
      <c r="GP212"/>
      <c r="GQ212"/>
      <c r="GR212"/>
      <c r="GS212"/>
      <c r="GT212"/>
      <c r="GU212"/>
      <c r="GV212"/>
      <c r="GW212"/>
      <c r="GX212"/>
      <c r="GY212"/>
      <c r="GZ212"/>
      <c r="HA212"/>
      <c r="HB212"/>
      <c r="HC212"/>
      <c r="HD212"/>
      <c r="HE212"/>
      <c r="HF212"/>
      <c r="HG212"/>
      <c r="HH212"/>
      <c r="HI212"/>
      <c r="HJ212"/>
      <c r="HK212"/>
      <c r="HL212"/>
      <c r="HM212"/>
      <c r="HN212"/>
      <c r="HO212"/>
      <c r="HP212"/>
      <c r="HQ212"/>
      <c r="HR212"/>
      <c r="HS212"/>
      <c r="HT212"/>
      <c r="HU212"/>
      <c r="HV212"/>
      <c r="HW212"/>
      <c r="HX212"/>
      <c r="HY212"/>
      <c r="HZ212"/>
      <c r="IA212"/>
      <c r="IB212"/>
      <c r="IC212"/>
      <c r="ID212"/>
      <c r="IE212"/>
      <c r="IF212"/>
      <c r="IG212"/>
      <c r="IH212"/>
      <c r="II212"/>
      <c r="IJ212"/>
      <c r="IK212"/>
      <c r="IL212"/>
      <c r="IM212"/>
      <c r="IN212"/>
      <c r="IO212"/>
      <c r="IP212"/>
      <c r="IQ212"/>
      <c r="IR212"/>
      <c r="IS212"/>
      <c r="IT212"/>
      <c r="IU212"/>
      <c r="IV212"/>
      <c r="IW212"/>
      <c r="IX212"/>
      <c r="IY212"/>
      <c r="IZ212"/>
    </row>
    <row r="213" spans="1:260" s="4" customFormat="1" hidden="1" outlineLevel="1" x14ac:dyDescent="0.2">
      <c r="A213" s="4" t="s">
        <v>616</v>
      </c>
      <c r="E213" s="470"/>
      <c r="I213" s="470"/>
      <c r="M213" s="470"/>
      <c r="Q213" s="470"/>
      <c r="U213" s="470"/>
      <c r="Y213" s="470"/>
      <c r="AC213" s="470"/>
      <c r="AG213" s="470"/>
      <c r="AK213" s="470"/>
      <c r="AO213" s="470"/>
      <c r="AS213" s="470"/>
      <c r="AW213" s="470"/>
      <c r="BA213" s="470"/>
      <c r="BB213" s="580"/>
      <c r="BC213" s="70"/>
      <c r="BD213" s="70"/>
      <c r="BE213" s="487"/>
      <c r="BF213" s="580"/>
      <c r="BG213" s="70"/>
      <c r="BH213" s="70"/>
      <c r="BI213" s="487"/>
      <c r="BJ213" s="580"/>
      <c r="BK213" s="70"/>
      <c r="BL213" s="70"/>
      <c r="BM213" s="487"/>
      <c r="BN213" s="580"/>
      <c r="BO213" s="70"/>
      <c r="BP213" s="70"/>
      <c r="BQ213" s="487"/>
      <c r="BR213" s="580">
        <f t="shared" ref="BR213:DB213" si="921">BR210+BN210+BJ210+BF210</f>
        <v>9.8000000000000004E-2</v>
      </c>
      <c r="BS213" s="70">
        <f t="shared" si="921"/>
        <v>7.3999999999999996E-2</v>
      </c>
      <c r="BT213" s="70">
        <f t="shared" si="921"/>
        <v>4.7E-2</v>
      </c>
      <c r="BU213" s="487">
        <f t="shared" si="921"/>
        <v>9.9999999999999992E-2</v>
      </c>
      <c r="BV213" s="70">
        <f t="shared" si="921"/>
        <v>3.3000000000000002E-2</v>
      </c>
      <c r="BW213" s="70">
        <f t="shared" si="921"/>
        <v>7.3999999999999996E-2</v>
      </c>
      <c r="BX213" s="70">
        <f t="shared" si="921"/>
        <v>-4.9999999999999992E-3</v>
      </c>
      <c r="BY213" s="487">
        <f t="shared" si="921"/>
        <v>2.8999999999999998E-2</v>
      </c>
      <c r="BZ213" s="70">
        <f t="shared" si="921"/>
        <v>-4.7E-2</v>
      </c>
      <c r="CA213" s="70">
        <f t="shared" si="921"/>
        <v>-3.6999999999999998E-2</v>
      </c>
      <c r="CB213" s="70">
        <f t="shared" si="921"/>
        <v>-1.3999999999999999E-2</v>
      </c>
      <c r="CC213" s="487">
        <f t="shared" si="921"/>
        <v>5.1999999999999998E-2</v>
      </c>
      <c r="CD213" s="70">
        <f t="shared" si="921"/>
        <v>-2.5000000000000001E-2</v>
      </c>
      <c r="CE213" s="70">
        <f t="shared" si="921"/>
        <v>3.4000000000000002E-2</v>
      </c>
      <c r="CF213" s="70">
        <f t="shared" si="921"/>
        <v>-1.2999999999999998E-2</v>
      </c>
      <c r="CG213" s="487">
        <f t="shared" si="921"/>
        <v>2.5999999999999995E-2</v>
      </c>
      <c r="CH213" s="70">
        <f t="shared" si="921"/>
        <v>-5.9999999999999984E-3</v>
      </c>
      <c r="CI213" s="70">
        <f t="shared" si="921"/>
        <v>5.3999999999999999E-2</v>
      </c>
      <c r="CJ213" s="70">
        <f t="shared" si="921"/>
        <v>-4.4000000000000004E-2</v>
      </c>
      <c r="CK213" s="487">
        <f t="shared" si="921"/>
        <v>1.2999999999999998E-2</v>
      </c>
      <c r="CL213" s="70">
        <f t="shared" si="921"/>
        <v>-3.6999999999999998E-2</v>
      </c>
      <c r="CM213" s="70">
        <f t="shared" si="921"/>
        <v>3.4000000000000002E-2</v>
      </c>
      <c r="CN213" s="70">
        <f t="shared" si="921"/>
        <v>-8.299999999999999E-2</v>
      </c>
      <c r="CO213" s="487">
        <f t="shared" si="921"/>
        <v>0.12</v>
      </c>
      <c r="CP213" s="70">
        <f t="shared" si="921"/>
        <v>5.8000000000000003E-2</v>
      </c>
      <c r="CQ213" s="70">
        <f t="shared" si="921"/>
        <v>7.3000000000000009E-2</v>
      </c>
      <c r="CR213" s="70">
        <f t="shared" si="921"/>
        <v>-4.4999999999999998E-2</v>
      </c>
      <c r="CS213" s="487">
        <f t="shared" si="921"/>
        <v>-1.7000000000000001E-2</v>
      </c>
      <c r="CT213" s="70">
        <f t="shared" si="921"/>
        <v>-0.11599999999999999</v>
      </c>
      <c r="CU213" s="70">
        <f t="shared" si="921"/>
        <v>-0.05</v>
      </c>
      <c r="CV213" s="70">
        <f t="shared" si="921"/>
        <v>-0.15299999999999997</v>
      </c>
      <c r="CW213" s="487">
        <f t="shared" si="921"/>
        <v>-8.2000000000000017E-2</v>
      </c>
      <c r="CX213" s="70">
        <f t="shared" si="921"/>
        <v>-0.19599999999999998</v>
      </c>
      <c r="CY213" s="70">
        <f t="shared" si="921"/>
        <v>-0.193</v>
      </c>
      <c r="CZ213" s="70">
        <f t="shared" si="921"/>
        <v>-0.21799999999999997</v>
      </c>
      <c r="DA213" s="487">
        <f t="shared" si="921"/>
        <v>-0.26299999999999996</v>
      </c>
      <c r="DB213" s="70">
        <f t="shared" si="921"/>
        <v>-0.27999999999999997</v>
      </c>
      <c r="DC213" s="70">
        <f t="shared" ref="DC213:DI213" si="922">DC210+CY210+CU210+CQ210</f>
        <v>-0.27700000000000002</v>
      </c>
      <c r="DD213" s="70">
        <f t="shared" si="922"/>
        <v>-0.18999999999999997</v>
      </c>
      <c r="DE213" s="1569">
        <f t="shared" si="922"/>
        <v>-0.26200000000000001</v>
      </c>
      <c r="DF213" s="70">
        <f t="shared" si="922"/>
        <v>-0.30299999999999999</v>
      </c>
      <c r="DG213" s="70">
        <f t="shared" si="922"/>
        <v>-0.27700000000000002</v>
      </c>
      <c r="DH213" s="70">
        <f t="shared" si="922"/>
        <v>-0.2</v>
      </c>
      <c r="DI213" s="1569">
        <f t="shared" si="922"/>
        <v>-0.10299999999999999</v>
      </c>
      <c r="DJ213" s="1673"/>
      <c r="DK213" s="70"/>
      <c r="DL213" s="70"/>
      <c r="DM213" s="487"/>
      <c r="DN213" s="580"/>
      <c r="DO213" s="487"/>
      <c r="DP213" s="15"/>
      <c r="DQ213" s="15"/>
      <c r="DR213" s="15"/>
      <c r="DS213" s="15"/>
      <c r="DT213" s="15"/>
      <c r="DU213" s="15"/>
      <c r="DV213" s="15"/>
      <c r="DW213" s="15"/>
      <c r="DX213" s="15"/>
      <c r="DY213" s="15"/>
      <c r="DZ213" s="15"/>
      <c r="EA213" s="15"/>
      <c r="EB213" s="15"/>
      <c r="EC213" s="15"/>
      <c r="ED213" s="15"/>
      <c r="EE213" s="15"/>
      <c r="EF213" s="15"/>
      <c r="EG213" s="15"/>
      <c r="EH213" s="15"/>
      <c r="EI213" s="15"/>
      <c r="EJ213" s="15"/>
      <c r="EK213" s="70"/>
      <c r="EL213" s="70"/>
      <c r="EM213" s="70"/>
      <c r="EN213" s="15"/>
      <c r="EO213" s="15"/>
      <c r="EP213" s="15"/>
      <c r="EQ213" s="15">
        <f>+EQ210+EN210+EM210+EL210</f>
        <v>7.2000000000000008E-2</v>
      </c>
      <c r="ER213" s="77">
        <f>+ER210+EQ210+EN210+EM210</f>
        <v>3.4000000000000002E-2</v>
      </c>
      <c r="ES213" s="77">
        <f>+ES210+EP210+EO210+EN210</f>
        <v>-2.9999999999999992E-3</v>
      </c>
      <c r="ET213" s="77">
        <f>+ET210+ER210+EQ210+EN210</f>
        <v>-3.9999999999999992E-3</v>
      </c>
      <c r="EU213" s="77">
        <f>EU210+ET210+ER210+EQ210</f>
        <v>9.0000000000000011E-3</v>
      </c>
      <c r="EV213" s="52">
        <f>EV210+EU210+ET210+ER210</f>
        <v>-0.10299999999999999</v>
      </c>
      <c r="EW213" s="52">
        <f>EW210+EV210+EU210+ET210</f>
        <v>-0.222</v>
      </c>
      <c r="EX213" s="52">
        <f t="shared" ref="EX213" si="923">EX210+EW210+EV210+EU210</f>
        <v>-0.25800000000000001</v>
      </c>
      <c r="EY213" s="52">
        <f t="shared" ref="EY213" si="924">EY210+EX210+EW210+EV210</f>
        <v>-0.25743369322295995</v>
      </c>
      <c r="EZ213" s="1680"/>
      <c r="FA213" s="15"/>
      <c r="FB213" s="15"/>
      <c r="FC213" s="15"/>
      <c r="FD213" s="15"/>
      <c r="FE213" s="15"/>
      <c r="FF213" s="15"/>
      <c r="FG213" s="15"/>
      <c r="FH213" s="15"/>
      <c r="FI213" s="671"/>
      <c r="FJ213"/>
      <c r="FK213"/>
      <c r="FL213"/>
      <c r="FM213"/>
      <c r="FN213"/>
      <c r="FO213"/>
      <c r="FP213" s="3"/>
      <c r="FS213" s="7"/>
      <c r="FT213" s="7"/>
      <c r="FU213"/>
      <c r="FV213"/>
      <c r="FW213" s="70"/>
      <c r="FX213" s="70"/>
      <c r="FY213" s="70"/>
      <c r="FZ213"/>
      <c r="GA213"/>
      <c r="GB213"/>
      <c r="GC213"/>
      <c r="GD213"/>
      <c r="GE213"/>
      <c r="GF213"/>
      <c r="GG213"/>
      <c r="GH213"/>
      <c r="GI213"/>
      <c r="GJ213"/>
      <c r="GK213"/>
      <c r="GL213"/>
      <c r="GM213"/>
      <c r="GN213"/>
      <c r="GO213"/>
      <c r="GP213"/>
      <c r="GQ213"/>
      <c r="GR213"/>
      <c r="GS213"/>
      <c r="GT213"/>
      <c r="GU213"/>
      <c r="GV213"/>
      <c r="GW213"/>
      <c r="GX213"/>
      <c r="GY213"/>
      <c r="GZ213"/>
      <c r="HA213"/>
      <c r="HB213"/>
      <c r="HC213"/>
      <c r="HD213"/>
      <c r="HE213"/>
      <c r="HF213"/>
      <c r="HG213"/>
      <c r="HH213"/>
      <c r="HI213"/>
      <c r="HJ213"/>
      <c r="HK213"/>
      <c r="HL213"/>
      <c r="HM213"/>
      <c r="HN213"/>
      <c r="HO213"/>
      <c r="HP213"/>
      <c r="HQ213"/>
      <c r="HR213"/>
      <c r="HS213"/>
      <c r="HT213"/>
      <c r="HU213"/>
      <c r="HV213"/>
      <c r="HW213"/>
      <c r="HX213"/>
      <c r="HY213"/>
      <c r="HZ213"/>
      <c r="IA213"/>
      <c r="IB213"/>
      <c r="IC213"/>
      <c r="ID213"/>
      <c r="IE213"/>
      <c r="IF213"/>
      <c r="IG213"/>
      <c r="IH213"/>
      <c r="II213"/>
      <c r="IJ213"/>
      <c r="IK213"/>
      <c r="IL213"/>
      <c r="IM213"/>
      <c r="IN213"/>
      <c r="IO213"/>
      <c r="IP213"/>
      <c r="IQ213"/>
      <c r="IR213"/>
      <c r="IS213"/>
      <c r="IT213"/>
      <c r="IU213"/>
      <c r="IV213"/>
      <c r="IW213"/>
      <c r="IX213"/>
      <c r="IY213"/>
      <c r="IZ213"/>
    </row>
    <row r="214" spans="1:260" s="4" customFormat="1" hidden="1" outlineLevel="1" x14ac:dyDescent="0.2">
      <c r="A214" s="3"/>
      <c r="B214" s="1242"/>
      <c r="C214" s="1242"/>
      <c r="D214" s="1242"/>
      <c r="E214" s="1286"/>
      <c r="F214" s="1242"/>
      <c r="G214" s="1242"/>
      <c r="H214" s="1242"/>
      <c r="I214" s="1286"/>
      <c r="J214" s="1242"/>
      <c r="K214" s="1242"/>
      <c r="L214" s="1242"/>
      <c r="M214" s="1286"/>
      <c r="N214" s="1242"/>
      <c r="O214" s="1242"/>
      <c r="P214" s="1242"/>
      <c r="Q214" s="1286"/>
      <c r="R214" s="1242"/>
      <c r="S214" s="1242"/>
      <c r="T214" s="1242"/>
      <c r="U214" s="1286"/>
      <c r="V214" s="1242"/>
      <c r="W214" s="1242"/>
      <c r="X214" s="1242"/>
      <c r="Y214" s="1286"/>
      <c r="Z214" s="1242"/>
      <c r="AA214" s="1242"/>
      <c r="AB214" s="1242"/>
      <c r="AC214" s="1286"/>
      <c r="AG214" s="470"/>
      <c r="AK214" s="470"/>
      <c r="AO214" s="470"/>
      <c r="AS214" s="470"/>
      <c r="AW214" s="470"/>
      <c r="BA214" s="470"/>
      <c r="BB214" s="1817"/>
      <c r="BC214" s="1510"/>
      <c r="BD214" s="1510"/>
      <c r="BE214" s="1293"/>
      <c r="BF214" s="1817"/>
      <c r="BG214" s="1510"/>
      <c r="BH214" s="1510"/>
      <c r="BI214" s="1293"/>
      <c r="BJ214" s="1817"/>
      <c r="BK214" s="1510"/>
      <c r="BL214" s="1510"/>
      <c r="BM214" s="1293"/>
      <c r="BN214" s="1817"/>
      <c r="BO214" s="1510"/>
      <c r="BP214" s="1510"/>
      <c r="BQ214" s="1293"/>
      <c r="BR214" s="1817"/>
      <c r="BS214" s="1510"/>
      <c r="BT214" s="1510"/>
      <c r="BU214" s="1293"/>
      <c r="BV214" s="77"/>
      <c r="BW214" s="77"/>
      <c r="BX214" s="77"/>
      <c r="BY214" s="487"/>
      <c r="BZ214" s="77"/>
      <c r="CA214" s="77"/>
      <c r="CB214" s="77"/>
      <c r="CC214" s="487"/>
      <c r="CD214" s="77"/>
      <c r="CE214" s="77"/>
      <c r="CF214" s="77"/>
      <c r="CG214" s="487"/>
      <c r="CH214" s="77"/>
      <c r="CI214" s="77"/>
      <c r="CJ214" s="77"/>
      <c r="CK214" s="487"/>
      <c r="CL214" s="77"/>
      <c r="CM214" s="77"/>
      <c r="CN214" s="77"/>
      <c r="CO214" s="487"/>
      <c r="CP214" s="77"/>
      <c r="CQ214" s="77"/>
      <c r="CR214" s="77"/>
      <c r="CS214" s="487"/>
      <c r="CT214" s="77"/>
      <c r="CU214" s="77"/>
      <c r="CV214" s="77"/>
      <c r="CW214" s="487"/>
      <c r="CX214" s="77"/>
      <c r="CY214" s="77"/>
      <c r="CZ214" s="77"/>
      <c r="DA214" s="487"/>
      <c r="DB214" s="77"/>
      <c r="DC214" s="70"/>
      <c r="DD214" s="70"/>
      <c r="DE214" s="487"/>
      <c r="DF214" s="70"/>
      <c r="DG214" s="70"/>
      <c r="DH214" s="70"/>
      <c r="DI214" s="487"/>
      <c r="DJ214" s="1673"/>
      <c r="DK214" s="70"/>
      <c r="DL214" s="70"/>
      <c r="DM214" s="487"/>
      <c r="DN214" s="580"/>
      <c r="DO214" s="487"/>
      <c r="DP214" s="1599"/>
      <c r="DQ214" s="1600"/>
      <c r="DR214" s="1600"/>
      <c r="DS214" s="1600"/>
      <c r="DT214" s="1600"/>
      <c r="DU214" s="1600"/>
      <c r="DV214" s="1600"/>
      <c r="DW214" s="1600"/>
      <c r="DX214" s="1600"/>
      <c r="DY214" s="1600"/>
      <c r="DZ214" s="1600"/>
      <c r="EA214" s="1600"/>
      <c r="EB214" s="1600"/>
      <c r="EC214" s="1600"/>
      <c r="ED214" s="1600"/>
      <c r="EE214" s="1600"/>
      <c r="EF214" s="1600"/>
      <c r="EG214" s="15"/>
      <c r="EH214" s="15"/>
      <c r="EI214" s="15"/>
      <c r="EJ214" s="15"/>
      <c r="EK214" s="170"/>
      <c r="EL214" s="170"/>
      <c r="EM214" s="170"/>
      <c r="EN214" s="1601"/>
      <c r="EO214" s="1601"/>
      <c r="EP214" s="15"/>
      <c r="EQ214" s="1601"/>
      <c r="ER214" s="77"/>
      <c r="ES214" s="15"/>
      <c r="ET214" s="15"/>
      <c r="EU214" s="77"/>
      <c r="EV214" s="52"/>
      <c r="EW214" s="52"/>
      <c r="EX214" s="52"/>
      <c r="EY214" s="52"/>
      <c r="EZ214" s="1680"/>
      <c r="FA214" s="15"/>
      <c r="FB214" s="15"/>
      <c r="FC214" s="15"/>
      <c r="FD214" s="15"/>
      <c r="FE214" s="15"/>
      <c r="FF214" s="15"/>
      <c r="FG214" s="15"/>
      <c r="FH214" s="15"/>
      <c r="FI214" s="671"/>
      <c r="FJ214"/>
      <c r="FK214"/>
      <c r="FL214"/>
      <c r="FM214"/>
      <c r="FN214"/>
      <c r="FO214"/>
      <c r="FP214" s="3"/>
      <c r="FS214" s="7"/>
      <c r="FT214" s="7"/>
      <c r="FU214"/>
      <c r="FV214"/>
      <c r="FW214" s="70"/>
      <c r="FX214" s="70"/>
      <c r="FY214" s="70"/>
      <c r="FZ214"/>
      <c r="GA214"/>
      <c r="GB214"/>
      <c r="GC214"/>
      <c r="GD214"/>
      <c r="GE214"/>
      <c r="GF214"/>
      <c r="GG214"/>
      <c r="GH214"/>
      <c r="GI214"/>
      <c r="GJ214"/>
      <c r="GK214"/>
      <c r="GL214"/>
      <c r="GM214"/>
      <c r="GN214"/>
      <c r="GO214"/>
      <c r="GP214"/>
      <c r="GQ214"/>
      <c r="GR214"/>
      <c r="GS214"/>
      <c r="GT214"/>
      <c r="GU214"/>
      <c r="GV214"/>
      <c r="GW214"/>
      <c r="GX214"/>
      <c r="GY214"/>
      <c r="GZ214"/>
      <c r="HA214"/>
      <c r="HB214"/>
      <c r="HC214"/>
      <c r="HD214"/>
      <c r="HE214"/>
      <c r="HF214"/>
      <c r="HG214"/>
      <c r="HH214"/>
      <c r="HI214"/>
      <c r="HJ214"/>
      <c r="HK214"/>
      <c r="HL214"/>
      <c r="HM214"/>
      <c r="HN214"/>
      <c r="HO214"/>
      <c r="HP214"/>
      <c r="HQ214"/>
      <c r="HR214"/>
      <c r="HS214"/>
      <c r="HT214"/>
      <c r="HU214"/>
      <c r="HV214"/>
      <c r="HW214"/>
      <c r="HX214"/>
      <c r="HY214"/>
      <c r="HZ214"/>
      <c r="IA214"/>
      <c r="IB214"/>
      <c r="IC214"/>
      <c r="ID214"/>
      <c r="IE214"/>
      <c r="IF214"/>
      <c r="IG214"/>
      <c r="IH214"/>
      <c r="II214"/>
      <c r="IJ214"/>
      <c r="IK214"/>
      <c r="IL214"/>
      <c r="IM214"/>
      <c r="IN214"/>
      <c r="IO214"/>
      <c r="IP214"/>
      <c r="IQ214"/>
      <c r="IR214"/>
      <c r="IS214"/>
      <c r="IT214"/>
      <c r="IU214"/>
      <c r="IV214"/>
      <c r="IW214"/>
      <c r="IX214"/>
      <c r="IY214"/>
      <c r="IZ214"/>
    </row>
    <row r="215" spans="1:260" s="4" customFormat="1" collapsed="1" x14ac:dyDescent="0.2">
      <c r="A215" s="1852" t="s">
        <v>677</v>
      </c>
      <c r="E215" s="470"/>
      <c r="I215" s="470"/>
      <c r="M215" s="470"/>
      <c r="Q215" s="470"/>
      <c r="U215" s="470"/>
      <c r="Y215" s="470"/>
      <c r="AC215" s="470"/>
      <c r="AG215" s="470"/>
      <c r="AK215" s="470"/>
      <c r="AO215" s="470"/>
      <c r="AS215" s="470"/>
      <c r="AW215" s="470"/>
      <c r="BA215" s="470"/>
      <c r="BE215" s="470"/>
      <c r="BI215" s="470"/>
      <c r="BM215" s="470"/>
      <c r="BQ215" s="470"/>
      <c r="BR215" s="427"/>
      <c r="BS215" s="427"/>
      <c r="BT215" s="427"/>
      <c r="BU215" s="519"/>
      <c r="BV215" s="427"/>
      <c r="BW215" s="427"/>
      <c r="BX215" s="427"/>
      <c r="BY215" s="519"/>
      <c r="BZ215" s="427"/>
      <c r="CA215" s="427"/>
      <c r="CB215" s="427"/>
      <c r="CC215" s="519"/>
      <c r="CD215" s="77"/>
      <c r="CE215" s="77"/>
      <c r="CF215" s="77"/>
      <c r="CG215" s="487"/>
      <c r="CH215" s="77"/>
      <c r="CI215" s="77"/>
      <c r="CJ215" s="77"/>
      <c r="CK215" s="487"/>
      <c r="CL215" s="77"/>
      <c r="CM215" s="77"/>
      <c r="CN215" s="77"/>
      <c r="CO215" s="487"/>
      <c r="CP215" s="77"/>
      <c r="CQ215" s="77"/>
      <c r="CR215" s="77"/>
      <c r="CS215" s="487"/>
      <c r="CT215" s="77"/>
      <c r="CU215" s="77"/>
      <c r="CV215" s="77"/>
      <c r="CW215" s="487"/>
      <c r="CX215" s="77"/>
      <c r="CY215" s="77"/>
      <c r="CZ215" s="77"/>
      <c r="DA215" s="487"/>
      <c r="DB215" s="208">
        <f t="shared" ref="DB215:DD215" si="925">+DB222</f>
        <v>-1E-3</v>
      </c>
      <c r="DC215" s="208">
        <f t="shared" si="925"/>
        <v>8.0000000000000002E-3</v>
      </c>
      <c r="DD215" s="208">
        <f t="shared" si="925"/>
        <v>1.7999999999999999E-2</v>
      </c>
      <c r="DE215" s="570">
        <f>+DE222</f>
        <v>-8.9999999999999993E-3</v>
      </c>
      <c r="DF215" s="433">
        <f>+SUM(DF216:DF220)</f>
        <v>1.3919999999999998E-2</v>
      </c>
      <c r="DG215" s="433">
        <f>+SUM(DG216:DG220)</f>
        <v>5.3900000000000003E-2</v>
      </c>
      <c r="DH215" s="433">
        <f t="shared" ref="DH215:DI215" si="926">+SUM(DH216:DH220)</f>
        <v>4.4210000000000006E-2</v>
      </c>
      <c r="DI215" s="570">
        <f t="shared" si="926"/>
        <v>8.9190000000000005E-2</v>
      </c>
      <c r="DJ215" s="1927"/>
      <c r="DK215" s="433"/>
      <c r="DL215" s="433"/>
      <c r="DM215" s="570"/>
      <c r="DN215" s="573"/>
      <c r="DO215" s="484"/>
      <c r="EM215" s="208">
        <f t="shared" ref="EM215:EU215" si="927">+EM222</f>
        <v>-1.2999999999999999E-2</v>
      </c>
      <c r="EN215" s="208">
        <f t="shared" si="927"/>
        <v>1.7000000000000001E-2</v>
      </c>
      <c r="EO215" s="208">
        <f t="shared" si="927"/>
        <v>-0.03</v>
      </c>
      <c r="EP215" s="208">
        <f t="shared" si="927"/>
        <v>-2.5075394514202581E-2</v>
      </c>
      <c r="EQ215" s="208">
        <f t="shared" si="927"/>
        <v>-1.7000000000000001E-2</v>
      </c>
      <c r="ER215" s="208">
        <f t="shared" si="927"/>
        <v>-3.0223088317305569E-2</v>
      </c>
      <c r="ES215" s="208">
        <f t="shared" si="927"/>
        <v>-1.7000000000000001E-2</v>
      </c>
      <c r="ET215" s="208">
        <f t="shared" si="927"/>
        <v>-1.7000000000000001E-2</v>
      </c>
      <c r="EU215" s="208">
        <f t="shared" si="927"/>
        <v>-3.4264322289397822E-3</v>
      </c>
      <c r="EV215" s="208">
        <f>+EV222</f>
        <v>8.6212085590945883E-3</v>
      </c>
      <c r="EW215" s="208">
        <f>+EW222</f>
        <v>6.0835629327071232E-3</v>
      </c>
      <c r="EX215" s="208">
        <f>+EX222</f>
        <v>2.9965187658916419E-3</v>
      </c>
      <c r="EY215" s="208">
        <f>+EY222</f>
        <v>5.6000000000000001E-2</v>
      </c>
      <c r="EZ215" s="1927"/>
      <c r="FI215" s="671"/>
      <c r="FJ215"/>
      <c r="FK215"/>
      <c r="FL215"/>
      <c r="FM215"/>
      <c r="FN215"/>
      <c r="FO215"/>
      <c r="FP215" s="3"/>
      <c r="FS215" s="7"/>
      <c r="FT215" s="7"/>
      <c r="FU215" s="1808"/>
      <c r="FV215" s="1808"/>
      <c r="FW215" s="7"/>
      <c r="FX215" s="7"/>
      <c r="FY215" s="7"/>
      <c r="FZ215" s="1808"/>
      <c r="GA215" s="1808"/>
      <c r="GB215" s="1808"/>
      <c r="GC215" s="1808"/>
      <c r="GD215" s="1808"/>
      <c r="GE215" s="1808"/>
      <c r="GF215" s="1808"/>
      <c r="GG215" s="1808"/>
      <c r="GH215" s="1808"/>
      <c r="GI215" s="1808"/>
      <c r="GJ215" s="1808"/>
      <c r="GK215" s="1808"/>
      <c r="GL215" s="1808"/>
      <c r="GM215" s="1808"/>
      <c r="GN215" s="1808"/>
      <c r="GO215" s="1808"/>
      <c r="GP215" s="1808"/>
      <c r="GQ215" s="1808"/>
      <c r="GR215" s="1808"/>
      <c r="GS215" s="1808"/>
      <c r="GT215" s="1808"/>
      <c r="GU215" s="1808"/>
      <c r="GV215" s="1808"/>
      <c r="GW215" s="1808"/>
      <c r="GX215" s="1808"/>
      <c r="GY215" s="1808"/>
      <c r="GZ215" s="1808"/>
      <c r="HA215" s="1808"/>
      <c r="HB215" s="1808"/>
      <c r="HC215" s="1808"/>
      <c r="HD215" s="1808"/>
      <c r="HE215" s="1808"/>
      <c r="HF215" s="1808"/>
      <c r="HG215" s="1808"/>
      <c r="HH215" s="1808"/>
      <c r="HI215" s="1808"/>
      <c r="HJ215" s="1808"/>
      <c r="HK215" s="1808"/>
      <c r="HL215" s="1808"/>
      <c r="HM215" s="1808"/>
      <c r="HN215" s="1808"/>
      <c r="HO215" s="1808"/>
      <c r="HP215" s="1808"/>
      <c r="HQ215" s="1808"/>
      <c r="HR215" s="1808"/>
      <c r="HS215" s="1808"/>
      <c r="HT215" s="1808"/>
      <c r="HU215" s="1808"/>
      <c r="HV215" s="1808"/>
      <c r="HW215" s="1808"/>
      <c r="HX215" s="1808"/>
      <c r="HY215" s="1808"/>
      <c r="HZ215" s="1808"/>
      <c r="IA215" s="1808"/>
      <c r="IB215" s="1808"/>
      <c r="IC215" s="1808"/>
      <c r="ID215" s="1808"/>
      <c r="IE215" s="1808"/>
      <c r="IF215" s="1808"/>
      <c r="IG215" s="1808"/>
      <c r="IH215" s="1808"/>
      <c r="II215" s="1808"/>
      <c r="IJ215" s="1808"/>
      <c r="IK215" s="1808"/>
      <c r="IL215" s="1808"/>
      <c r="IM215" s="1808"/>
      <c r="IN215" s="1808"/>
      <c r="IO215" s="1808"/>
      <c r="IP215" s="1808"/>
      <c r="IQ215" s="1808"/>
      <c r="IR215" s="1808"/>
      <c r="IS215" s="1808"/>
      <c r="IT215" s="1808"/>
      <c r="IU215" s="1808"/>
      <c r="IV215" s="1808"/>
      <c r="IW215" s="1808"/>
      <c r="IX215" s="1808"/>
      <c r="IY215" s="1808"/>
      <c r="IZ215" s="1808"/>
    </row>
    <row r="216" spans="1:260" s="4" customFormat="1" x14ac:dyDescent="0.2">
      <c r="A216" s="4" t="s">
        <v>86</v>
      </c>
      <c r="B216" s="1283"/>
      <c r="C216" s="1283"/>
      <c r="D216" s="1283"/>
      <c r="E216" s="1805"/>
      <c r="F216" s="1283"/>
      <c r="G216" s="1283"/>
      <c r="H216" s="1283"/>
      <c r="I216" s="1805"/>
      <c r="J216" s="1283"/>
      <c r="K216" s="1283"/>
      <c r="L216" s="1283"/>
      <c r="M216" s="1805"/>
      <c r="N216" s="1283"/>
      <c r="O216" s="1283"/>
      <c r="P216" s="1283"/>
      <c r="Q216" s="1805"/>
      <c r="R216" s="1283"/>
      <c r="S216" s="1283"/>
      <c r="T216" s="1283"/>
      <c r="U216" s="1805"/>
      <c r="V216" s="1283"/>
      <c r="W216" s="1283"/>
      <c r="X216" s="1283"/>
      <c r="Y216" s="1805"/>
      <c r="Z216" s="1283"/>
      <c r="AA216" s="1283"/>
      <c r="AB216" s="1283"/>
      <c r="AC216" s="1805"/>
      <c r="AD216" s="1283"/>
      <c r="AE216" s="1283"/>
      <c r="AF216" s="1283"/>
      <c r="AG216" s="1805"/>
      <c r="AH216" s="1283"/>
      <c r="AI216" s="1283"/>
      <c r="AJ216" s="1283"/>
      <c r="AK216" s="1805"/>
      <c r="AL216" s="1283"/>
      <c r="AM216" s="1283"/>
      <c r="AN216" s="1283"/>
      <c r="AO216" s="1805"/>
      <c r="AP216" s="1283"/>
      <c r="AQ216" s="1283"/>
      <c r="AR216" s="1283"/>
      <c r="AS216" s="1805"/>
      <c r="AT216" s="1283"/>
      <c r="AU216" s="1283"/>
      <c r="AV216" s="1283"/>
      <c r="AW216" s="1805"/>
      <c r="AX216" s="1283"/>
      <c r="AY216" s="1283"/>
      <c r="AZ216" s="1283"/>
      <c r="BA216" s="1805"/>
      <c r="BB216" s="1283"/>
      <c r="BC216" s="1283"/>
      <c r="BD216" s="1283"/>
      <c r="BE216" s="1805"/>
      <c r="BF216" s="1283">
        <f t="shared" ref="BF216:DC216" si="928">+IFERROR(BB181*BF190,"NA")</f>
        <v>0</v>
      </c>
      <c r="BG216" s="1283">
        <f t="shared" si="928"/>
        <v>-1.353E-2</v>
      </c>
      <c r="BH216" s="1283">
        <f t="shared" si="928"/>
        <v>0</v>
      </c>
      <c r="BI216" s="1805">
        <f t="shared" si="928"/>
        <v>0</v>
      </c>
      <c r="BJ216" s="1283">
        <f t="shared" si="928"/>
        <v>-2.4000000000000002E-3</v>
      </c>
      <c r="BK216" s="1283">
        <f t="shared" si="928"/>
        <v>7.8000000000000005E-3</v>
      </c>
      <c r="BL216" s="1283">
        <f t="shared" si="928"/>
        <v>-5.7540000000000001E-2</v>
      </c>
      <c r="BM216" s="1805">
        <f t="shared" si="928"/>
        <v>-3.6119999999999992E-2</v>
      </c>
      <c r="BN216" s="1283">
        <f t="shared" si="928"/>
        <v>-2.964E-2</v>
      </c>
      <c r="BO216" s="1283">
        <f t="shared" si="928"/>
        <v>-9.1199999999999996E-3</v>
      </c>
      <c r="BP216" s="1283">
        <f t="shared" si="928"/>
        <v>3.1200000000000002E-2</v>
      </c>
      <c r="BQ216" s="1805">
        <f t="shared" si="928"/>
        <v>1.6800000000000002E-2</v>
      </c>
      <c r="BR216" s="1283">
        <f t="shared" si="928"/>
        <v>0</v>
      </c>
      <c r="BS216" s="1283">
        <f t="shared" si="928"/>
        <v>-2.5460000000000003E-2</v>
      </c>
      <c r="BT216" s="1283">
        <f t="shared" si="928"/>
        <v>-4.1340000000000002E-2</v>
      </c>
      <c r="BU216" s="1805">
        <f t="shared" si="928"/>
        <v>-2.5350000000000001E-2</v>
      </c>
      <c r="BV216" s="1283">
        <f t="shared" si="928"/>
        <v>-2.5160000000000002E-2</v>
      </c>
      <c r="BW216" s="1283">
        <f t="shared" si="928"/>
        <v>-2.3400000000000001E-2</v>
      </c>
      <c r="BX216" s="1283">
        <f t="shared" si="928"/>
        <v>-1.728E-2</v>
      </c>
      <c r="BY216" s="1805">
        <f t="shared" si="928"/>
        <v>-1.6380000000000002E-2</v>
      </c>
      <c r="BZ216" s="1283">
        <f t="shared" si="928"/>
        <v>1.9600000000000003E-2</v>
      </c>
      <c r="CA216" s="1283">
        <f t="shared" si="928"/>
        <v>-1.7149999999999999E-2</v>
      </c>
      <c r="CB216" s="1283">
        <f t="shared" si="928"/>
        <v>-3.78E-2</v>
      </c>
      <c r="CC216" s="1805">
        <f t="shared" si="928"/>
        <v>-2.6979999999999997E-2</v>
      </c>
      <c r="CD216" s="1042">
        <f t="shared" si="928"/>
        <v>-1.9600000000000003E-2</v>
      </c>
      <c r="CE216" s="1042">
        <f t="shared" si="928"/>
        <v>-3.2680000000000001E-2</v>
      </c>
      <c r="CF216" s="1042">
        <f t="shared" si="928"/>
        <v>-1.7849999999999998E-2</v>
      </c>
      <c r="CG216" s="1416">
        <f t="shared" si="928"/>
        <v>-1.8720000000000001E-2</v>
      </c>
      <c r="CH216" s="1042">
        <f t="shared" si="928"/>
        <v>-1.89E-2</v>
      </c>
      <c r="CI216" s="1042">
        <f t="shared" si="928"/>
        <v>-3.456E-2</v>
      </c>
      <c r="CJ216" s="1042">
        <f t="shared" si="928"/>
        <v>-2.7720000000000002E-2</v>
      </c>
      <c r="CK216" s="1416">
        <f t="shared" si="928"/>
        <v>-2.2040000000000001E-2</v>
      </c>
      <c r="CL216" s="1042">
        <f t="shared" si="928"/>
        <v>-1.9439999999999999E-2</v>
      </c>
      <c r="CM216" s="1042">
        <f t="shared" si="928"/>
        <v>-3.168E-2</v>
      </c>
      <c r="CN216" s="1042">
        <f t="shared" si="928"/>
        <v>-2.6040000000000001E-2</v>
      </c>
      <c r="CO216" s="1416">
        <f t="shared" si="928"/>
        <v>-2.0299999999999999E-2</v>
      </c>
      <c r="CP216" s="1042">
        <f t="shared" si="928"/>
        <v>-2.7540000000000002E-2</v>
      </c>
      <c r="CQ216" s="1042">
        <f t="shared" si="928"/>
        <v>-1.8149999999999999E-2</v>
      </c>
      <c r="CR216" s="1042">
        <f t="shared" si="928"/>
        <v>-7.7499999999999999E-3</v>
      </c>
      <c r="CS216" s="1416">
        <f t="shared" si="928"/>
        <v>-2.0649999999999998E-2</v>
      </c>
      <c r="CT216" s="1042">
        <f t="shared" si="928"/>
        <v>-1.23E-2</v>
      </c>
      <c r="CU216" s="1042">
        <f t="shared" si="928"/>
        <v>5.9999999999999995E-4</v>
      </c>
      <c r="CV216" s="1042">
        <f t="shared" si="928"/>
        <v>8.9899999999999997E-3</v>
      </c>
      <c r="CW216" s="1416">
        <f t="shared" si="928"/>
        <v>3.424E-2</v>
      </c>
      <c r="CX216" s="1042">
        <f t="shared" si="928"/>
        <v>2.2039999999999997E-2</v>
      </c>
      <c r="CY216" s="1042">
        <f t="shared" si="928"/>
        <v>2.2629999999999997E-2</v>
      </c>
      <c r="CZ216" s="1042">
        <f t="shared" si="928"/>
        <v>8.6999999999999994E-3</v>
      </c>
      <c r="DA216" s="1416">
        <f t="shared" si="928"/>
        <v>8.9099999999999995E-3</v>
      </c>
      <c r="DB216" s="1042">
        <f t="shared" si="928"/>
        <v>1.736E-2</v>
      </c>
      <c r="DC216" s="1042">
        <f t="shared" si="928"/>
        <v>1.2800000000000001E-2</v>
      </c>
      <c r="DD216" s="75">
        <f>+IFERROR(CZ181*DD190,"NA")</f>
        <v>1.47E-2</v>
      </c>
      <c r="DE216" s="1416">
        <f t="shared" ref="DE216:DI216" si="929">+IFERROR(DA181*DE190,"NA")</f>
        <v>2.4500000000000001E-2</v>
      </c>
      <c r="DF216" s="75">
        <f t="shared" si="929"/>
        <v>2.31E-3</v>
      </c>
      <c r="DG216" s="75">
        <f t="shared" si="929"/>
        <v>8.2500000000000004E-3</v>
      </c>
      <c r="DH216" s="75">
        <f t="shared" si="929"/>
        <v>1.085E-2</v>
      </c>
      <c r="DI216" s="1416">
        <f t="shared" si="929"/>
        <v>1.5909999999999997E-2</v>
      </c>
      <c r="DJ216" s="2709"/>
      <c r="DK216" s="75"/>
      <c r="DL216" s="75"/>
      <c r="DM216" s="1416"/>
      <c r="DN216" s="1819"/>
      <c r="DO216" s="1416"/>
      <c r="DP216" s="1283"/>
      <c r="DQ216" s="1283"/>
      <c r="DR216" s="1283"/>
      <c r="DS216" s="1283"/>
      <c r="DT216" s="1283"/>
      <c r="DU216" s="1283"/>
      <c r="DV216" s="1283"/>
      <c r="DW216" s="1283"/>
      <c r="DX216" s="1283"/>
      <c r="DY216" s="1283"/>
      <c r="DZ216" s="1283"/>
      <c r="EA216" s="1283"/>
      <c r="EB216" s="1283"/>
      <c r="EC216" s="1283"/>
      <c r="ED216" s="1283"/>
      <c r="EE216" s="1283"/>
      <c r="EF216" s="1283"/>
      <c r="EG216" s="1283"/>
      <c r="EH216" s="1283"/>
      <c r="EI216" s="1283"/>
      <c r="EJ216" s="1283"/>
      <c r="EK216" s="1283"/>
      <c r="EL216" s="1283">
        <f t="shared" ref="EL216:ET216" si="930">+IFERROR(EK181*EL190,"NA")</f>
        <v>-1.008E-2</v>
      </c>
      <c r="EM216" s="1283">
        <f t="shared" si="930"/>
        <v>-2.3779999999999999E-2</v>
      </c>
      <c r="EN216" s="1283">
        <f t="shared" si="930"/>
        <v>4.2899999999999995E-3</v>
      </c>
      <c r="EO216" s="1283">
        <f t="shared" si="930"/>
        <v>-2.4176203569705741E-2</v>
      </c>
      <c r="EP216" s="1283">
        <f t="shared" si="930"/>
        <v>0</v>
      </c>
      <c r="EQ216" s="1283">
        <f t="shared" si="930"/>
        <v>-1.7641886867613865E-2</v>
      </c>
      <c r="ER216" s="1042">
        <f t="shared" si="930"/>
        <v>-2.1838063095717543E-2</v>
      </c>
      <c r="ES216" s="1042">
        <f t="shared" si="930"/>
        <v>-2.5060196719539549E-2</v>
      </c>
      <c r="ET216" s="1042">
        <f t="shared" si="930"/>
        <v>-2.3788069908814595E-2</v>
      </c>
      <c r="EU216" s="1042">
        <f t="shared" ref="EU216:EW216" si="931">+IFERROR(ET181*EU190,"NA")</f>
        <v>-1.8762310030395135E-2</v>
      </c>
      <c r="EV216" s="2586">
        <f t="shared" si="931"/>
        <v>1.1273315843822388E-2</v>
      </c>
      <c r="EW216" s="2586">
        <f t="shared" si="931"/>
        <v>1.4489804742754126E-2</v>
      </c>
      <c r="EX216" s="2586">
        <f>+IFERROR(EW181*EX190,"NA")</f>
        <v>1.6184944314588206E-2</v>
      </c>
      <c r="EY216" s="2586">
        <f>+IFERROR(EX181*EY190,"NA")</f>
        <v>3.2401762166857644E-3</v>
      </c>
      <c r="EZ216" s="1776"/>
      <c r="FA216" s="1283"/>
      <c r="FB216" s="1283"/>
      <c r="FC216" s="1283"/>
      <c r="FD216" s="1283"/>
      <c r="FE216" s="1283"/>
      <c r="FF216" s="1283"/>
      <c r="FG216" s="1283"/>
      <c r="FH216" s="1283"/>
      <c r="FI216" s="1819"/>
      <c r="FJ216"/>
      <c r="FK216"/>
      <c r="FL216"/>
      <c r="FM216"/>
      <c r="FN216"/>
      <c r="FO216"/>
      <c r="FP216" s="3"/>
      <c r="FS216" s="7"/>
      <c r="FT216" s="7"/>
      <c r="FU216" s="1808"/>
      <c r="FV216" s="1808"/>
      <c r="FW216" s="75"/>
      <c r="FX216" s="75"/>
      <c r="FY216" s="75"/>
      <c r="FZ216" s="1808"/>
      <c r="GA216" s="1808"/>
      <c r="GB216" s="1808"/>
      <c r="GC216" s="1808"/>
      <c r="GD216" s="1808"/>
      <c r="GE216" s="1808"/>
      <c r="GF216" s="1808"/>
      <c r="GG216" s="1808"/>
      <c r="GH216" s="1808"/>
      <c r="GI216" s="1808"/>
      <c r="GJ216" s="1808"/>
      <c r="GK216" s="1808"/>
      <c r="GL216" s="1808"/>
      <c r="GM216" s="1808"/>
      <c r="GN216" s="1808"/>
      <c r="GO216" s="1808"/>
      <c r="GP216" s="1808"/>
      <c r="GQ216" s="1808"/>
      <c r="GR216" s="1808"/>
      <c r="GS216" s="1808"/>
      <c r="GT216" s="1808"/>
      <c r="GU216" s="1808"/>
      <c r="GV216" s="1808"/>
      <c r="GW216" s="1808"/>
      <c r="GX216" s="1808"/>
      <c r="GY216" s="1808"/>
      <c r="GZ216" s="1808"/>
      <c r="HA216" s="1808"/>
      <c r="HB216" s="1808"/>
      <c r="HC216" s="1808"/>
      <c r="HD216" s="1808"/>
      <c r="HE216" s="1808"/>
      <c r="HF216" s="1808"/>
      <c r="HG216" s="1808"/>
      <c r="HH216" s="1808"/>
      <c r="HI216" s="1808"/>
      <c r="HJ216" s="1808"/>
      <c r="HK216" s="1808"/>
      <c r="HL216" s="1808"/>
      <c r="HM216" s="1808"/>
      <c r="HN216" s="1808"/>
      <c r="HO216" s="1808"/>
      <c r="HP216" s="1808"/>
      <c r="HQ216" s="1808"/>
      <c r="HR216" s="1808"/>
      <c r="HS216" s="1808"/>
      <c r="HT216" s="1808"/>
      <c r="HU216" s="1808"/>
      <c r="HV216" s="1808"/>
      <c r="HW216" s="1808"/>
      <c r="HX216" s="1808"/>
      <c r="HY216" s="1808"/>
      <c r="HZ216" s="1808"/>
      <c r="IA216" s="1808"/>
      <c r="IB216" s="1808"/>
      <c r="IC216" s="1808"/>
      <c r="ID216" s="1808"/>
      <c r="IE216" s="1808"/>
      <c r="IF216" s="1808"/>
      <c r="IG216" s="1808"/>
      <c r="IH216" s="1808"/>
      <c r="II216" s="1808"/>
      <c r="IJ216" s="1808"/>
      <c r="IK216" s="1808"/>
      <c r="IL216" s="1808"/>
      <c r="IM216" s="1808"/>
      <c r="IN216" s="1808"/>
      <c r="IO216" s="1808"/>
      <c r="IP216" s="1808"/>
      <c r="IQ216" s="1808"/>
      <c r="IR216" s="1808"/>
      <c r="IS216" s="1808"/>
      <c r="IT216" s="1808"/>
      <c r="IU216" s="1808"/>
      <c r="IV216" s="1808"/>
      <c r="IW216" s="1808"/>
      <c r="IX216" s="1808"/>
      <c r="IY216" s="1808"/>
      <c r="IZ216" s="1808"/>
    </row>
    <row r="217" spans="1:260" s="4" customFormat="1" x14ac:dyDescent="0.2">
      <c r="A217" s="4" t="s">
        <v>305</v>
      </c>
      <c r="B217" s="1283"/>
      <c r="C217" s="1283"/>
      <c r="D217" s="1283"/>
      <c r="E217" s="1805"/>
      <c r="F217" s="1283"/>
      <c r="G217" s="1283"/>
      <c r="H217" s="1283"/>
      <c r="I217" s="1805"/>
      <c r="J217" s="1283"/>
      <c r="K217" s="1283"/>
      <c r="L217" s="1283"/>
      <c r="M217" s="1805"/>
      <c r="N217" s="1283"/>
      <c r="O217" s="1283"/>
      <c r="P217" s="1283"/>
      <c r="Q217" s="1805"/>
      <c r="R217" s="1283"/>
      <c r="S217" s="1283"/>
      <c r="T217" s="1283"/>
      <c r="U217" s="1805"/>
      <c r="V217" s="1283"/>
      <c r="W217" s="1283"/>
      <c r="X217" s="1283"/>
      <c r="Y217" s="1805"/>
      <c r="Z217" s="1283"/>
      <c r="AA217" s="1283"/>
      <c r="AB217" s="1283"/>
      <c r="AC217" s="1805"/>
      <c r="AD217" s="1283"/>
      <c r="AE217" s="1283"/>
      <c r="AF217" s="1283"/>
      <c r="AG217" s="1805"/>
      <c r="AH217" s="1283"/>
      <c r="AI217" s="1283"/>
      <c r="AJ217" s="1283"/>
      <c r="AK217" s="1805"/>
      <c r="AL217" s="1283"/>
      <c r="AM217" s="1283"/>
      <c r="AN217" s="1283"/>
      <c r="AO217" s="1805"/>
      <c r="AP217" s="1283"/>
      <c r="AQ217" s="1283"/>
      <c r="AR217" s="1283"/>
      <c r="AS217" s="1805"/>
      <c r="AT217" s="1283"/>
      <c r="AU217" s="1283"/>
      <c r="AV217" s="1283"/>
      <c r="AW217" s="1805"/>
      <c r="AX217" s="1283"/>
      <c r="AY217" s="1283"/>
      <c r="AZ217" s="1283"/>
      <c r="BA217" s="1805"/>
      <c r="BB217" s="1283"/>
      <c r="BC217" s="1283"/>
      <c r="BD217" s="1283"/>
      <c r="BE217" s="1805"/>
      <c r="BF217" s="1283">
        <f t="shared" ref="BF217:DC217" si="932">+IFERROR(BB182*BF195,"NA")</f>
        <v>0</v>
      </c>
      <c r="BG217" s="1283">
        <f t="shared" si="932"/>
        <v>2.2619999999999998E-2</v>
      </c>
      <c r="BH217" s="1283">
        <f t="shared" si="932"/>
        <v>0</v>
      </c>
      <c r="BI217" s="1805">
        <f t="shared" si="932"/>
        <v>0</v>
      </c>
      <c r="BJ217" s="1283">
        <f t="shared" si="932"/>
        <v>2.6969999999999997E-2</v>
      </c>
      <c r="BK217" s="1283">
        <f t="shared" si="932"/>
        <v>4.6809999999999997E-2</v>
      </c>
      <c r="BL217" s="1283">
        <f t="shared" si="932"/>
        <v>2.9970000000000004E-2</v>
      </c>
      <c r="BM217" s="1805">
        <f t="shared" si="932"/>
        <v>2.1060000000000002E-2</v>
      </c>
      <c r="BN217" s="1283">
        <f t="shared" si="932"/>
        <v>2.945E-2</v>
      </c>
      <c r="BO217" s="1283">
        <f t="shared" si="932"/>
        <v>2.4820000000000002E-2</v>
      </c>
      <c r="BP217" s="1283">
        <f t="shared" si="932"/>
        <v>3.2000000000000001E-2</v>
      </c>
      <c r="BQ217" s="1805">
        <f t="shared" si="932"/>
        <v>6.5099999999999991E-2</v>
      </c>
      <c r="BR217" s="1283">
        <f t="shared" si="932"/>
        <v>3.3950000000000001E-2</v>
      </c>
      <c r="BS217" s="1283">
        <f t="shared" si="932"/>
        <v>2.1090000000000001E-2</v>
      </c>
      <c r="BT217" s="1283">
        <f t="shared" si="932"/>
        <v>1.584E-2</v>
      </c>
      <c r="BU217" s="1805">
        <f t="shared" si="932"/>
        <v>-8.2500000000000004E-3</v>
      </c>
      <c r="BV217" s="1283">
        <f t="shared" si="932"/>
        <v>1.7389999999999999E-2</v>
      </c>
      <c r="BW217" s="1283">
        <f t="shared" si="932"/>
        <v>1.0529999999999999E-2</v>
      </c>
      <c r="BX217" s="1283">
        <f t="shared" si="932"/>
        <v>3.2559999999999999E-2</v>
      </c>
      <c r="BY217" s="1805">
        <f t="shared" si="932"/>
        <v>2.5840000000000002E-2</v>
      </c>
      <c r="BZ217" s="1283">
        <f t="shared" si="932"/>
        <v>4.8000000000000001E-2</v>
      </c>
      <c r="CA217" s="1283">
        <f t="shared" si="932"/>
        <v>3.3599999999999998E-2</v>
      </c>
      <c r="CB217" s="1283">
        <f t="shared" si="932"/>
        <v>2.8000000000000004E-2</v>
      </c>
      <c r="CC217" s="1805">
        <f t="shared" si="932"/>
        <v>-3.0400000000000002E-3</v>
      </c>
      <c r="CD217" s="1042">
        <f t="shared" si="932"/>
        <v>-4.2899999999999995E-3</v>
      </c>
      <c r="CE217" s="1042">
        <f t="shared" si="932"/>
        <v>8.1399999999999997E-3</v>
      </c>
      <c r="CF217" s="1042">
        <f t="shared" si="932"/>
        <v>2.4189999999999996E-2</v>
      </c>
      <c r="CG217" s="1416">
        <f t="shared" si="932"/>
        <v>3.6630000000000003E-2</v>
      </c>
      <c r="CH217" s="1042">
        <f t="shared" si="932"/>
        <v>1.44E-2</v>
      </c>
      <c r="CI217" s="1042">
        <f t="shared" si="932"/>
        <v>3.2800000000000003E-2</v>
      </c>
      <c r="CJ217" s="1042">
        <f t="shared" si="932"/>
        <v>3.8699999999999997E-3</v>
      </c>
      <c r="CK217" s="1416">
        <f t="shared" si="932"/>
        <v>4.9579999999999999E-2</v>
      </c>
      <c r="CL217" s="1042">
        <f t="shared" si="932"/>
        <v>1.6559999999999998E-2</v>
      </c>
      <c r="CM217" s="1042">
        <f t="shared" si="932"/>
        <v>3.6080000000000001E-2</v>
      </c>
      <c r="CN217" s="1042">
        <f t="shared" si="932"/>
        <v>4.0499999999999998E-3</v>
      </c>
      <c r="CO217" s="1416">
        <f t="shared" si="932"/>
        <v>5.6280000000000004E-2</v>
      </c>
      <c r="CP217" s="1042">
        <f t="shared" si="932"/>
        <v>1.8489999999999999E-2</v>
      </c>
      <c r="CQ217" s="1042">
        <f t="shared" si="932"/>
        <v>2.5520000000000001E-2</v>
      </c>
      <c r="CR217" s="1042">
        <f t="shared" si="932"/>
        <v>3.0150000000000003E-2</v>
      </c>
      <c r="CS217" s="1416">
        <f t="shared" si="932"/>
        <v>1.218E-2</v>
      </c>
      <c r="CT217" s="1042">
        <f t="shared" si="932"/>
        <v>2.82E-3</v>
      </c>
      <c r="CU217" s="1042">
        <f t="shared" si="932"/>
        <v>-2.8909999999999998E-2</v>
      </c>
      <c r="CV217" s="1042">
        <f t="shared" si="932"/>
        <v>1.5679999999999999E-2</v>
      </c>
      <c r="CW217" s="1416">
        <f t="shared" si="932"/>
        <v>-1.3800000000000002E-3</v>
      </c>
      <c r="CX217" s="1042">
        <f t="shared" si="932"/>
        <v>-1.078E-2</v>
      </c>
      <c r="CY217" s="1042">
        <f t="shared" si="932"/>
        <v>-3.7599999999999999E-3</v>
      </c>
      <c r="CZ217" s="1042">
        <f t="shared" si="932"/>
        <v>-7.3499999999999998E-3</v>
      </c>
      <c r="DA217" s="1416">
        <f t="shared" si="932"/>
        <v>-3.0600000000000002E-2</v>
      </c>
      <c r="DB217" s="1042">
        <f t="shared" si="932"/>
        <v>-1.6449999999999999E-2</v>
      </c>
      <c r="DC217" s="1042">
        <f t="shared" si="932"/>
        <v>1.3800000000000002E-3</v>
      </c>
      <c r="DD217" s="75">
        <f>+IFERROR(CZ182*DD195,"NA")</f>
        <v>7.8399999999999997E-3</v>
      </c>
      <c r="DE217" s="1416">
        <f t="shared" ref="DE217:DI217" si="933">+IFERROR(DA182*DE195,"NA")</f>
        <v>-1.8919999999999999E-2</v>
      </c>
      <c r="DF217" s="75">
        <f t="shared" si="933"/>
        <v>-1.41E-3</v>
      </c>
      <c r="DG217" s="75">
        <f t="shared" si="933"/>
        <v>3.0820000000000004E-2</v>
      </c>
      <c r="DH217" s="75">
        <f t="shared" si="933"/>
        <v>1.7150000000000002E-2</v>
      </c>
      <c r="DI217" s="1416">
        <f t="shared" si="933"/>
        <v>4.0320000000000002E-2</v>
      </c>
      <c r="DJ217" s="2709"/>
      <c r="DK217" s="75"/>
      <c r="DL217" s="75"/>
      <c r="DM217" s="1416"/>
      <c r="DN217" s="1819"/>
      <c r="DO217" s="1416"/>
      <c r="DP217" s="1283"/>
      <c r="DQ217" s="1283"/>
      <c r="DR217" s="1283"/>
      <c r="DS217" s="1283"/>
      <c r="DT217" s="1283"/>
      <c r="DU217" s="1283"/>
      <c r="DV217" s="1283"/>
      <c r="DW217" s="1283"/>
      <c r="DX217" s="1283"/>
      <c r="DY217" s="1283"/>
      <c r="DZ217" s="1283"/>
      <c r="EA217" s="1283"/>
      <c r="EB217" s="1283"/>
      <c r="EC217" s="1283"/>
      <c r="ED217" s="1283"/>
      <c r="EE217" s="1283"/>
      <c r="EF217" s="1283"/>
      <c r="EG217" s="1283"/>
      <c r="EH217" s="1283"/>
      <c r="EI217" s="1283"/>
      <c r="EJ217" s="1283"/>
      <c r="EK217" s="1283"/>
      <c r="EL217" s="1283">
        <f t="shared" ref="EL217:ET217" si="934">+IFERROR(EK182*EL195,"NA")</f>
        <v>1.8900000000000004E-2</v>
      </c>
      <c r="EM217" s="1283">
        <f t="shared" si="934"/>
        <v>2.912E-2</v>
      </c>
      <c r="EN217" s="1283">
        <f t="shared" si="934"/>
        <v>3.968E-2</v>
      </c>
      <c r="EO217" s="1283">
        <f t="shared" si="934"/>
        <v>1.2344505547515677E-2</v>
      </c>
      <c r="EP217" s="1283">
        <f t="shared" si="934"/>
        <v>0</v>
      </c>
      <c r="EQ217" s="1283">
        <f t="shared" si="934"/>
        <v>2.3067873058026826E-2</v>
      </c>
      <c r="ER217" s="1042">
        <f t="shared" si="934"/>
        <v>1.8108029265673248E-2</v>
      </c>
      <c r="ES217" s="1042">
        <f t="shared" si="934"/>
        <v>2.7743054016807635E-2</v>
      </c>
      <c r="ET217" s="1042">
        <f t="shared" si="934"/>
        <v>3.0804122340425538E-2</v>
      </c>
      <c r="EU217" s="1042">
        <f t="shared" ref="EU217:EW217" si="935">+IFERROR(ET182*EU195,"NA")</f>
        <v>2.0345191326530614E-2</v>
      </c>
      <c r="EV217" s="2586">
        <f t="shared" si="935"/>
        <v>-2.8516083838017363E-3</v>
      </c>
      <c r="EW217" s="2586">
        <f t="shared" si="935"/>
        <v>-1.2264363333795589E-2</v>
      </c>
      <c r="EX217" s="2586">
        <f>+IFERROR(EW182*EX195,"NA")</f>
        <v>-8.2534640450983091E-3</v>
      </c>
      <c r="EY217" s="2586">
        <f>+IFERROR(EX182*EY195,"NA")</f>
        <v>2.1540346301013251E-2</v>
      </c>
      <c r="EZ217" s="1776"/>
      <c r="FA217" s="1283"/>
      <c r="FB217" s="1283"/>
      <c r="FC217" s="1283"/>
      <c r="FD217" s="1283"/>
      <c r="FE217" s="1283"/>
      <c r="FF217" s="1283"/>
      <c r="FG217" s="1283"/>
      <c r="FH217" s="1283"/>
      <c r="FI217" s="1819"/>
      <c r="FJ217"/>
      <c r="FK217"/>
      <c r="FL217"/>
      <c r="FM217"/>
      <c r="FN217"/>
      <c r="FO217"/>
      <c r="FP217" s="3"/>
      <c r="FS217" s="7"/>
      <c r="FT217" s="7"/>
      <c r="FU217" s="1808"/>
      <c r="FV217" s="1808"/>
      <c r="FW217" s="75"/>
      <c r="FX217" s="75"/>
      <c r="FY217" s="75"/>
      <c r="FZ217" s="1808"/>
      <c r="GA217" s="1808"/>
      <c r="GB217" s="1808"/>
      <c r="GC217" s="1808"/>
      <c r="GD217" s="1808"/>
      <c r="GE217" s="1808"/>
      <c r="GF217" s="1808"/>
      <c r="GG217" s="1808"/>
      <c r="GH217" s="1808"/>
      <c r="GI217" s="1808"/>
      <c r="GJ217" s="1808"/>
      <c r="GK217" s="1808"/>
      <c r="GL217" s="1808"/>
      <c r="GM217" s="1808"/>
      <c r="GN217" s="1808"/>
      <c r="GO217" s="1808"/>
      <c r="GP217" s="1808"/>
      <c r="GQ217" s="1808"/>
      <c r="GR217" s="1808"/>
      <c r="GS217" s="1808"/>
      <c r="GT217" s="1808"/>
      <c r="GU217" s="1808"/>
      <c r="GV217" s="1808"/>
      <c r="GW217" s="1808"/>
      <c r="GX217" s="1808"/>
      <c r="GY217" s="1808"/>
      <c r="GZ217" s="1808"/>
      <c r="HA217" s="1808"/>
      <c r="HB217" s="1808"/>
      <c r="HC217" s="1808"/>
      <c r="HD217" s="1808"/>
      <c r="HE217" s="1808"/>
      <c r="HF217" s="1808"/>
      <c r="HG217" s="1808"/>
      <c r="HH217" s="1808"/>
      <c r="HI217" s="1808"/>
      <c r="HJ217" s="1808"/>
      <c r="HK217" s="1808"/>
      <c r="HL217" s="1808"/>
      <c r="HM217" s="1808"/>
      <c r="HN217" s="1808"/>
      <c r="HO217" s="1808"/>
      <c r="HP217" s="1808"/>
      <c r="HQ217" s="1808"/>
      <c r="HR217" s="1808"/>
      <c r="HS217" s="1808"/>
      <c r="HT217" s="1808"/>
      <c r="HU217" s="1808"/>
      <c r="HV217" s="1808"/>
      <c r="HW217" s="1808"/>
      <c r="HX217" s="1808"/>
      <c r="HY217" s="1808"/>
      <c r="HZ217" s="1808"/>
      <c r="IA217" s="1808"/>
      <c r="IB217" s="1808"/>
      <c r="IC217" s="1808"/>
      <c r="ID217" s="1808"/>
      <c r="IE217" s="1808"/>
      <c r="IF217" s="1808"/>
      <c r="IG217" s="1808"/>
      <c r="IH217" s="1808"/>
      <c r="II217" s="1808"/>
      <c r="IJ217" s="1808"/>
      <c r="IK217" s="1808"/>
      <c r="IL217" s="1808"/>
      <c r="IM217" s="1808"/>
      <c r="IN217" s="1808"/>
      <c r="IO217" s="1808"/>
      <c r="IP217" s="1808"/>
      <c r="IQ217" s="1808"/>
      <c r="IR217" s="1808"/>
      <c r="IS217" s="1808"/>
      <c r="IT217" s="1808"/>
      <c r="IU217" s="1808"/>
      <c r="IV217" s="1808"/>
      <c r="IW217" s="1808"/>
      <c r="IX217" s="1808"/>
      <c r="IY217" s="1808"/>
      <c r="IZ217" s="1808"/>
    </row>
    <row r="218" spans="1:260" s="4" customFormat="1" x14ac:dyDescent="0.2">
      <c r="A218" s="4" t="s">
        <v>303</v>
      </c>
      <c r="B218" s="1283"/>
      <c r="C218" s="1283"/>
      <c r="D218" s="1283"/>
      <c r="E218" s="1805"/>
      <c r="F218" s="1283"/>
      <c r="G218" s="1283"/>
      <c r="H218" s="1283"/>
      <c r="I218" s="1805"/>
      <c r="J218" s="1283"/>
      <c r="K218" s="1283"/>
      <c r="L218" s="1283"/>
      <c r="M218" s="1805"/>
      <c r="N218" s="1283"/>
      <c r="O218" s="1283"/>
      <c r="P218" s="1283"/>
      <c r="Q218" s="1805"/>
      <c r="R218" s="1283"/>
      <c r="S218" s="1283"/>
      <c r="T218" s="1283"/>
      <c r="U218" s="1805"/>
      <c r="V218" s="1283"/>
      <c r="W218" s="1283"/>
      <c r="X218" s="1283"/>
      <c r="Y218" s="1805"/>
      <c r="Z218" s="1283"/>
      <c r="AA218" s="1283"/>
      <c r="AB218" s="1283"/>
      <c r="AC218" s="1805"/>
      <c r="AD218" s="1283"/>
      <c r="AE218" s="1283"/>
      <c r="AF218" s="1283"/>
      <c r="AG218" s="1805"/>
      <c r="AH218" s="1283"/>
      <c r="AI218" s="1283"/>
      <c r="AJ218" s="1283"/>
      <c r="AK218" s="1805"/>
      <c r="AL218" s="1283"/>
      <c r="AM218" s="1283"/>
      <c r="AN218" s="1283"/>
      <c r="AO218" s="1805"/>
      <c r="AP218" s="1283"/>
      <c r="AQ218" s="1283"/>
      <c r="AR218" s="1283"/>
      <c r="AS218" s="1805"/>
      <c r="AT218" s="1283"/>
      <c r="AU218" s="1283"/>
      <c r="AV218" s="1283"/>
      <c r="AW218" s="1805"/>
      <c r="AX218" s="1283"/>
      <c r="AY218" s="1283"/>
      <c r="AZ218" s="1283"/>
      <c r="BA218" s="1805"/>
      <c r="BB218" s="1283"/>
      <c r="BC218" s="1283"/>
      <c r="BD218" s="1283"/>
      <c r="BE218" s="1805"/>
      <c r="BF218" s="1283">
        <f t="shared" ref="BF218:DC218" si="936">+IFERROR(BB183*BF200,"NA")</f>
        <v>0</v>
      </c>
      <c r="BG218" s="1283">
        <f t="shared" si="936"/>
        <v>1.1200000000000002E-2</v>
      </c>
      <c r="BH218" s="1283">
        <f t="shared" si="936"/>
        <v>0</v>
      </c>
      <c r="BI218" s="1805">
        <f t="shared" si="936"/>
        <v>0</v>
      </c>
      <c r="BJ218" s="1283">
        <f t="shared" si="936"/>
        <v>1.4760000000000001E-2</v>
      </c>
      <c r="BK218" s="1283">
        <f t="shared" si="936"/>
        <v>0</v>
      </c>
      <c r="BL218" s="1283">
        <f t="shared" si="936"/>
        <v>-2.4800000000000003E-2</v>
      </c>
      <c r="BM218" s="1805">
        <f t="shared" si="936"/>
        <v>-2.53E-2</v>
      </c>
      <c r="BN218" s="1283">
        <f t="shared" si="936"/>
        <v>-3.7079999999999995E-2</v>
      </c>
      <c r="BO218" s="1283">
        <f t="shared" si="936"/>
        <v>-3.7440000000000001E-2</v>
      </c>
      <c r="BP218" s="1283">
        <f t="shared" si="936"/>
        <v>-2.0709999999999999E-2</v>
      </c>
      <c r="BQ218" s="1805">
        <f t="shared" si="936"/>
        <v>-1.0290000000000001E-2</v>
      </c>
      <c r="BR218" s="1283">
        <f t="shared" si="936"/>
        <v>-1.9199999999999998E-2</v>
      </c>
      <c r="BS218" s="1283">
        <f t="shared" si="936"/>
        <v>-1.417E-2</v>
      </c>
      <c r="BT218" s="1283">
        <f t="shared" si="936"/>
        <v>-2.2240000000000003E-2</v>
      </c>
      <c r="BU218" s="1805">
        <f t="shared" si="936"/>
        <v>-2.5739999999999996E-2</v>
      </c>
      <c r="BV218" s="1283">
        <f t="shared" si="936"/>
        <v>-1.703E-2</v>
      </c>
      <c r="BW218" s="1283">
        <f t="shared" si="936"/>
        <v>-2.4E-2</v>
      </c>
      <c r="BX218" s="1283">
        <f t="shared" si="936"/>
        <v>-1.35E-2</v>
      </c>
      <c r="BY218" s="1805">
        <f t="shared" si="936"/>
        <v>-3.5700000000000003E-2</v>
      </c>
      <c r="BZ218" s="1283">
        <f t="shared" si="936"/>
        <v>-1.524E-2</v>
      </c>
      <c r="CA218" s="1283">
        <f t="shared" si="936"/>
        <v>-1.017E-2</v>
      </c>
      <c r="CB218" s="1283">
        <f t="shared" si="936"/>
        <v>-2.2230000000000003E-2</v>
      </c>
      <c r="CC218" s="1805">
        <f t="shared" si="936"/>
        <v>-1.6640000000000002E-2</v>
      </c>
      <c r="CD218" s="1042">
        <f t="shared" si="936"/>
        <v>-1.694E-2</v>
      </c>
      <c r="CE218" s="1042">
        <f t="shared" si="936"/>
        <v>-2.1839999999999998E-2</v>
      </c>
      <c r="CF218" s="1042">
        <f t="shared" si="936"/>
        <v>-1.44E-2</v>
      </c>
      <c r="CG218" s="1416">
        <f t="shared" si="936"/>
        <v>-3.2219999999999999E-2</v>
      </c>
      <c r="CH218" s="1042">
        <f t="shared" si="936"/>
        <v>-3.6140000000000005E-2</v>
      </c>
      <c r="CI218" s="1042">
        <f t="shared" si="936"/>
        <v>-2.2100000000000002E-2</v>
      </c>
      <c r="CJ218" s="1042">
        <f t="shared" si="936"/>
        <v>-1.8499999999999999E-2</v>
      </c>
      <c r="CK218" s="1416">
        <f t="shared" si="936"/>
        <v>-2.835E-2</v>
      </c>
      <c r="CL218" s="1042">
        <f t="shared" si="936"/>
        <v>-1.6124000000000003E-2</v>
      </c>
      <c r="CM218" s="1042">
        <f t="shared" si="936"/>
        <v>-1.7680000000000001E-2</v>
      </c>
      <c r="CN218" s="1042">
        <f t="shared" si="936"/>
        <v>-1.6649999999999998E-2</v>
      </c>
      <c r="CO218" s="1416">
        <f t="shared" si="936"/>
        <v>-2.2679999999999999E-2</v>
      </c>
      <c r="CP218" s="1042">
        <f t="shared" si="936"/>
        <v>-1.5479999999999999E-2</v>
      </c>
      <c r="CQ218" s="1042">
        <f t="shared" si="936"/>
        <v>-2.384E-2</v>
      </c>
      <c r="CR218" s="1042">
        <f t="shared" si="936"/>
        <v>-2.4119999999999999E-2</v>
      </c>
      <c r="CS218" s="1416">
        <f t="shared" si="936"/>
        <v>-6.7200000000000003E-3</v>
      </c>
      <c r="CT218" s="1042">
        <f t="shared" si="936"/>
        <v>1.1999999999999999E-3</v>
      </c>
      <c r="CU218" s="1042">
        <f t="shared" si="936"/>
        <v>8.0499999999999999E-3</v>
      </c>
      <c r="CV218" s="1042">
        <f t="shared" si="936"/>
        <v>9.9600000000000001E-3</v>
      </c>
      <c r="CW218" s="1416">
        <f t="shared" si="936"/>
        <v>-1.98E-3</v>
      </c>
      <c r="CX218" s="1042">
        <f t="shared" si="936"/>
        <v>-8.8000000000000005E-3</v>
      </c>
      <c r="CY218" s="1042">
        <f t="shared" si="936"/>
        <v>-1.1999999999999999E-3</v>
      </c>
      <c r="CZ218" s="1042">
        <f t="shared" si="936"/>
        <v>-4.2000000000000006E-3</v>
      </c>
      <c r="DA218" s="1416">
        <f t="shared" si="936"/>
        <v>1.1E-4</v>
      </c>
      <c r="DB218" s="1042">
        <f t="shared" si="936"/>
        <v>-8.1200000000000005E-3</v>
      </c>
      <c r="DC218" s="1042">
        <f t="shared" si="936"/>
        <v>-1.0799999999999999E-2</v>
      </c>
      <c r="DD218" s="75">
        <f>+IFERROR(CZ183*DD200,"NA")</f>
        <v>-5.64E-3</v>
      </c>
      <c r="DE218" s="1416">
        <f t="shared" ref="DE218:DI218" si="937">+IFERROR(DA183*DE200,"NA")</f>
        <v>-2.0459999999999999E-2</v>
      </c>
      <c r="DF218" s="75">
        <f t="shared" si="937"/>
        <v>6.7799999999999996E-3</v>
      </c>
      <c r="DG218" s="75">
        <f t="shared" si="937"/>
        <v>7.7000000000000002E-3</v>
      </c>
      <c r="DH218" s="75">
        <f t="shared" si="937"/>
        <v>2.4599999999999999E-3</v>
      </c>
      <c r="DI218" s="1416">
        <f t="shared" si="937"/>
        <v>1.512E-2</v>
      </c>
      <c r="DJ218" s="2709"/>
      <c r="DK218" s="75"/>
      <c r="DL218" s="75"/>
      <c r="DM218" s="1416"/>
      <c r="DN218" s="1819"/>
      <c r="DO218" s="1416"/>
      <c r="DP218" s="1283"/>
      <c r="DQ218" s="1283"/>
      <c r="DR218" s="1283"/>
      <c r="DS218" s="1283"/>
      <c r="DT218" s="1283"/>
      <c r="DU218" s="1283"/>
      <c r="DV218" s="1283"/>
      <c r="DW218" s="1283"/>
      <c r="DX218" s="1283"/>
      <c r="DY218" s="1283"/>
      <c r="DZ218" s="1283"/>
      <c r="EA218" s="1283"/>
      <c r="EB218" s="1283"/>
      <c r="EC218" s="1283"/>
      <c r="ED218" s="1283"/>
      <c r="EE218" s="1283"/>
      <c r="EF218" s="1283"/>
      <c r="EG218" s="1283"/>
      <c r="EH218" s="1283"/>
      <c r="EI218" s="1283"/>
      <c r="EJ218" s="1283"/>
      <c r="EK218" s="1283"/>
      <c r="EL218" s="1283">
        <f t="shared" ref="EL218:ET218" si="938">+IFERROR(EK183*EL200,"NA")</f>
        <v>1.159E-2</v>
      </c>
      <c r="EM218" s="1283">
        <f t="shared" si="938"/>
        <v>-1.18E-2</v>
      </c>
      <c r="EN218" s="1283">
        <f t="shared" si="938"/>
        <v>-2.5080000000000002E-2</v>
      </c>
      <c r="EO218" s="1283">
        <f t="shared" si="938"/>
        <v>-2.1024115613442678E-2</v>
      </c>
      <c r="EP218" s="1283">
        <f t="shared" si="938"/>
        <v>0</v>
      </c>
      <c r="EQ218" s="1283">
        <f t="shared" si="938"/>
        <v>-1.5838214314168104E-2</v>
      </c>
      <c r="ER218" s="1042">
        <f t="shared" si="938"/>
        <v>-2.2602219895287958E-2</v>
      </c>
      <c r="ES218" s="1042">
        <f t="shared" si="938"/>
        <v>-2.6617833112654362E-2</v>
      </c>
      <c r="ET218" s="1042">
        <f t="shared" si="938"/>
        <v>-1.9444325065132436E-2</v>
      </c>
      <c r="EU218" s="1042">
        <f t="shared" ref="EU218:EW218" si="939">+IFERROR(ET183*EU200,"NA")</f>
        <v>-1.5990305308293533E-2</v>
      </c>
      <c r="EV218" s="1042">
        <f t="shared" si="939"/>
        <v>3.5741913426920826E-3</v>
      </c>
      <c r="EW218" s="1042">
        <f t="shared" si="939"/>
        <v>-3.0290622659825267E-3</v>
      </c>
      <c r="EX218" s="1042">
        <f>+IFERROR(EW183*EX200,"NA")</f>
        <v>-1.095252853018012E-2</v>
      </c>
      <c r="EY218" s="1042">
        <f>+IFERROR(EX183*EY200,"NA")</f>
        <v>3.9427958504007149E-4</v>
      </c>
      <c r="EZ218" s="1776"/>
      <c r="FA218" s="1283"/>
      <c r="FB218" s="1283"/>
      <c r="FC218" s="1283"/>
      <c r="FD218" s="1283"/>
      <c r="FE218" s="1283"/>
      <c r="FF218" s="1283"/>
      <c r="FG218" s="1283"/>
      <c r="FH218" s="1283"/>
      <c r="FI218" s="1819"/>
      <c r="FJ218"/>
      <c r="FK218"/>
      <c r="FL218"/>
      <c r="FM218"/>
      <c r="FN218"/>
      <c r="FO218"/>
      <c r="FP218" s="3"/>
      <c r="FS218" s="7"/>
      <c r="FT218" s="7"/>
      <c r="FU218" s="1808"/>
      <c r="FV218" s="1808"/>
      <c r="FW218" s="75"/>
      <c r="FX218" s="75"/>
      <c r="FY218" s="75"/>
      <c r="FZ218" s="1808"/>
      <c r="GA218" s="1808"/>
      <c r="GB218" s="1808"/>
      <c r="GC218" s="1808"/>
      <c r="GD218" s="1808"/>
      <c r="GE218" s="1808"/>
      <c r="GF218" s="1808"/>
      <c r="GG218" s="1808"/>
      <c r="GH218" s="1808"/>
      <c r="GI218" s="1808"/>
      <c r="GJ218" s="1808"/>
      <c r="GK218" s="1808"/>
      <c r="GL218" s="1808"/>
      <c r="GM218" s="1808"/>
      <c r="GN218" s="1808"/>
      <c r="GO218" s="1808"/>
      <c r="GP218" s="1808"/>
      <c r="GQ218" s="1808"/>
      <c r="GR218" s="1808"/>
      <c r="GS218" s="1808"/>
      <c r="GT218" s="1808"/>
      <c r="GU218" s="1808"/>
      <c r="GV218" s="1808"/>
      <c r="GW218" s="1808"/>
      <c r="GX218" s="1808"/>
      <c r="GY218" s="1808"/>
      <c r="GZ218" s="1808"/>
      <c r="HA218" s="1808"/>
      <c r="HB218" s="1808"/>
      <c r="HC218" s="1808"/>
      <c r="HD218" s="1808"/>
      <c r="HE218" s="1808"/>
      <c r="HF218" s="1808"/>
      <c r="HG218" s="1808"/>
      <c r="HH218" s="1808"/>
      <c r="HI218" s="1808"/>
      <c r="HJ218" s="1808"/>
      <c r="HK218" s="1808"/>
      <c r="HL218" s="1808"/>
      <c r="HM218" s="1808"/>
      <c r="HN218" s="1808"/>
      <c r="HO218" s="1808"/>
      <c r="HP218" s="1808"/>
      <c r="HQ218" s="1808"/>
      <c r="HR218" s="1808"/>
      <c r="HS218" s="1808"/>
      <c r="HT218" s="1808"/>
      <c r="HU218" s="1808"/>
      <c r="HV218" s="1808"/>
      <c r="HW218" s="1808"/>
      <c r="HX218" s="1808"/>
      <c r="HY218" s="1808"/>
      <c r="HZ218" s="1808"/>
      <c r="IA218" s="1808"/>
      <c r="IB218" s="1808"/>
      <c r="IC218" s="1808"/>
      <c r="ID218" s="1808"/>
      <c r="IE218" s="1808"/>
      <c r="IF218" s="1808"/>
      <c r="IG218" s="1808"/>
      <c r="IH218" s="1808"/>
      <c r="II218" s="1808"/>
      <c r="IJ218" s="1808"/>
      <c r="IK218" s="1808"/>
      <c r="IL218" s="1808"/>
      <c r="IM218" s="1808"/>
      <c r="IN218" s="1808"/>
      <c r="IO218" s="1808"/>
      <c r="IP218" s="1808"/>
      <c r="IQ218" s="1808"/>
      <c r="IR218" s="1808"/>
      <c r="IS218" s="1808"/>
      <c r="IT218" s="1808"/>
      <c r="IU218" s="1808"/>
      <c r="IV218" s="1808"/>
      <c r="IW218" s="1808"/>
      <c r="IX218" s="1808"/>
      <c r="IY218" s="1808"/>
      <c r="IZ218" s="1808"/>
    </row>
    <row r="219" spans="1:260" s="4" customFormat="1" x14ac:dyDescent="0.2">
      <c r="A219" s="4" t="s">
        <v>87</v>
      </c>
      <c r="B219" s="1283"/>
      <c r="C219" s="1283"/>
      <c r="D219" s="1283"/>
      <c r="E219" s="1805"/>
      <c r="F219" s="1283"/>
      <c r="G219" s="1283"/>
      <c r="H219" s="1283"/>
      <c r="I219" s="1805"/>
      <c r="J219" s="1283"/>
      <c r="K219" s="1283"/>
      <c r="L219" s="1283"/>
      <c r="M219" s="1805"/>
      <c r="N219" s="1283"/>
      <c r="O219" s="1283"/>
      <c r="P219" s="1283"/>
      <c r="Q219" s="1805"/>
      <c r="R219" s="1283"/>
      <c r="S219" s="1283"/>
      <c r="T219" s="1283"/>
      <c r="U219" s="1805"/>
      <c r="V219" s="1283"/>
      <c r="W219" s="1283"/>
      <c r="X219" s="1283"/>
      <c r="Y219" s="1805"/>
      <c r="Z219" s="1283"/>
      <c r="AA219" s="1283"/>
      <c r="AB219" s="1283"/>
      <c r="AC219" s="1805"/>
      <c r="AD219" s="1283"/>
      <c r="AE219" s="1283"/>
      <c r="AF219" s="1283"/>
      <c r="AG219" s="1805"/>
      <c r="AH219" s="1283"/>
      <c r="AI219" s="1283"/>
      <c r="AJ219" s="1283"/>
      <c r="AK219" s="1805"/>
      <c r="AL219" s="1283"/>
      <c r="AM219" s="1283"/>
      <c r="AN219" s="1283"/>
      <c r="AO219" s="1805"/>
      <c r="AP219" s="1283"/>
      <c r="AQ219" s="1283"/>
      <c r="AR219" s="1283"/>
      <c r="AS219" s="1805"/>
      <c r="AT219" s="1283"/>
      <c r="AU219" s="1283"/>
      <c r="AV219" s="1283"/>
      <c r="AW219" s="1805"/>
      <c r="AX219" s="1283"/>
      <c r="AY219" s="1283"/>
      <c r="AZ219" s="1283"/>
      <c r="BA219" s="1805"/>
      <c r="BB219" s="1283"/>
      <c r="BC219" s="1283"/>
      <c r="BD219" s="1283"/>
      <c r="BE219" s="1805"/>
      <c r="BF219" s="1283">
        <f t="shared" ref="BF219:DC219" si="940">+IFERROR(BB184*BF205,"NA")</f>
        <v>0</v>
      </c>
      <c r="BG219" s="1283">
        <f t="shared" si="940"/>
        <v>-5.1800000000000006E-3</v>
      </c>
      <c r="BH219" s="1283">
        <f t="shared" si="940"/>
        <v>0</v>
      </c>
      <c r="BI219" s="1805">
        <f t="shared" si="940"/>
        <v>0</v>
      </c>
      <c r="BJ219" s="1283">
        <f t="shared" si="940"/>
        <v>-6.3599999999999993E-3</v>
      </c>
      <c r="BK219" s="1283">
        <f t="shared" si="940"/>
        <v>-5.8799999999999998E-3</v>
      </c>
      <c r="BL219" s="1283">
        <f t="shared" si="940"/>
        <v>-1.0500000000000001E-2</v>
      </c>
      <c r="BM219" s="1805">
        <f t="shared" si="940"/>
        <v>-8.199999999999999E-3</v>
      </c>
      <c r="BN219" s="1283">
        <f t="shared" si="940"/>
        <v>-1.206E-2</v>
      </c>
      <c r="BO219" s="1283">
        <f t="shared" si="940"/>
        <v>-5.0500000000000007E-3</v>
      </c>
      <c r="BP219" s="1283">
        <f t="shared" si="940"/>
        <v>4.0000000000000001E-3</v>
      </c>
      <c r="BQ219" s="1805">
        <f t="shared" si="940"/>
        <v>2.6000000000000003E-3</v>
      </c>
      <c r="BR219" s="1283">
        <f t="shared" si="940"/>
        <v>7.1999999999999998E-3</v>
      </c>
      <c r="BS219" s="1283">
        <f t="shared" si="940"/>
        <v>4.1000000000000003E-3</v>
      </c>
      <c r="BT219" s="1283">
        <f t="shared" si="940"/>
        <v>-5.000000000000001E-3</v>
      </c>
      <c r="BU219" s="1805">
        <f t="shared" si="940"/>
        <v>2.6000000000000003E-3</v>
      </c>
      <c r="BV219" s="1283">
        <f t="shared" si="940"/>
        <v>1.74E-3</v>
      </c>
      <c r="BW219" s="1283">
        <f t="shared" si="940"/>
        <v>7.3199999999999993E-3</v>
      </c>
      <c r="BX219" s="1283">
        <f t="shared" si="940"/>
        <v>6.8500000000000011E-3</v>
      </c>
      <c r="BY219" s="1805">
        <f t="shared" si="940"/>
        <v>5.28E-3</v>
      </c>
      <c r="BZ219" s="1283">
        <f t="shared" si="940"/>
        <v>5.5800000000000008E-3</v>
      </c>
      <c r="CA219" s="1283">
        <f t="shared" si="940"/>
        <v>7.5599999999999999E-3</v>
      </c>
      <c r="CB219" s="1283">
        <f t="shared" si="940"/>
        <v>-6.5000000000000008E-4</v>
      </c>
      <c r="CC219" s="1805">
        <f t="shared" si="940"/>
        <v>3.3000000000000004E-3</v>
      </c>
      <c r="CD219" s="1042">
        <f t="shared" si="940"/>
        <v>2.1000000000000003E-3</v>
      </c>
      <c r="CE219" s="1042">
        <f t="shared" si="940"/>
        <v>3.2400000000000003E-3</v>
      </c>
      <c r="CF219" s="1042">
        <f t="shared" si="940"/>
        <v>7.45E-3</v>
      </c>
      <c r="CG219" s="1416">
        <f t="shared" si="940"/>
        <v>5.7999999999999996E-3</v>
      </c>
      <c r="CH219" s="1042">
        <f t="shared" si="940"/>
        <v>4.45E-3</v>
      </c>
      <c r="CI219" s="1042">
        <f t="shared" si="940"/>
        <v>5.3999999999999994E-3</v>
      </c>
      <c r="CJ219" s="1042">
        <f t="shared" si="940"/>
        <v>6.4799999999999996E-3</v>
      </c>
      <c r="CK219" s="1416">
        <f t="shared" si="940"/>
        <v>4.6800000000000001E-3</v>
      </c>
      <c r="CL219" s="1042">
        <f t="shared" si="940"/>
        <v>4.895E-3</v>
      </c>
      <c r="CM219" s="1042">
        <f t="shared" si="940"/>
        <v>6.3E-3</v>
      </c>
      <c r="CN219" s="1042">
        <f t="shared" si="940"/>
        <v>7.5600000000000007E-3</v>
      </c>
      <c r="CO219" s="1416">
        <f t="shared" si="940"/>
        <v>5.850000000000001E-3</v>
      </c>
      <c r="CP219" s="1042">
        <f t="shared" si="940"/>
        <v>6.6E-3</v>
      </c>
      <c r="CQ219" s="1042">
        <f t="shared" si="940"/>
        <v>9.9400000000000009E-3</v>
      </c>
      <c r="CR219" s="1042">
        <f t="shared" si="940"/>
        <v>1.6449999999999999E-2</v>
      </c>
      <c r="CS219" s="1416">
        <f t="shared" si="940"/>
        <v>8.5500000000000003E-3</v>
      </c>
      <c r="CT219" s="1042">
        <f t="shared" si="940"/>
        <v>6.3700000000000007E-3</v>
      </c>
      <c r="CU219" s="1042">
        <f t="shared" si="940"/>
        <v>6.5600000000000007E-3</v>
      </c>
      <c r="CV219" s="1042">
        <f t="shared" si="940"/>
        <v>4.5600000000000007E-3</v>
      </c>
      <c r="CW219" s="1416">
        <f t="shared" si="940"/>
        <v>3.5000000000000005E-3</v>
      </c>
      <c r="CX219" s="1042">
        <f t="shared" si="940"/>
        <v>8.6100000000000013E-3</v>
      </c>
      <c r="CY219" s="1042">
        <f t="shared" si="940"/>
        <v>1.8629999999999997E-2</v>
      </c>
      <c r="CZ219" s="1042">
        <f t="shared" si="940"/>
        <v>1.3120000000000001E-2</v>
      </c>
      <c r="DA219" s="1416">
        <f t="shared" si="940"/>
        <v>7.2599999999999991E-3</v>
      </c>
      <c r="DB219" s="1042">
        <f t="shared" si="940"/>
        <v>1.1439999999999999E-2</v>
      </c>
      <c r="DC219" s="1042">
        <f t="shared" si="940"/>
        <v>8.2000000000000007E-3</v>
      </c>
      <c r="DD219" s="75">
        <f>+IFERROR(CZ184*DD205,"NA")</f>
        <v>2.6999999999999997E-3</v>
      </c>
      <c r="DE219" s="1416">
        <f t="shared" ref="DE219:DI219" si="941">+IFERROR(DA184*DE205,"NA")</f>
        <v>4.4800000000000005E-3</v>
      </c>
      <c r="DF219" s="75">
        <f t="shared" si="941"/>
        <v>4.1399999999999996E-3</v>
      </c>
      <c r="DG219" s="75">
        <f t="shared" si="941"/>
        <v>6.3800000000000003E-3</v>
      </c>
      <c r="DH219" s="75">
        <f t="shared" si="941"/>
        <v>1.2150000000000001E-2</v>
      </c>
      <c r="DI219" s="1416">
        <f t="shared" si="941"/>
        <v>1.4490000000000001E-2</v>
      </c>
      <c r="DJ219" s="2709"/>
      <c r="DK219" s="75"/>
      <c r="DL219" s="75"/>
      <c r="DM219" s="1416"/>
      <c r="DN219" s="1819"/>
      <c r="DO219" s="1416"/>
      <c r="DP219" s="1283"/>
      <c r="DQ219" s="1283"/>
      <c r="DR219" s="1283"/>
      <c r="DS219" s="1283"/>
      <c r="DT219" s="1283"/>
      <c r="DU219" s="1283"/>
      <c r="DV219" s="1283"/>
      <c r="DW219" s="1283"/>
      <c r="DX219" s="1283"/>
      <c r="DY219" s="1283"/>
      <c r="DZ219" s="1283"/>
      <c r="EA219" s="1283"/>
      <c r="EB219" s="1283"/>
      <c r="EC219" s="1283"/>
      <c r="ED219" s="1283"/>
      <c r="EE219" s="1283"/>
      <c r="EF219" s="1283"/>
      <c r="EG219" s="1283"/>
      <c r="EH219" s="1283"/>
      <c r="EI219" s="1283"/>
      <c r="EJ219" s="1283"/>
      <c r="EK219" s="1283"/>
      <c r="EL219" s="1283">
        <f t="shared" ref="EL219:ET219" si="942">+IFERROR(EK184*EL205,"NA")</f>
        <v>-3.0000000000000001E-3</v>
      </c>
      <c r="EM219" s="1283">
        <f t="shared" si="942"/>
        <v>-7.7000000000000002E-3</v>
      </c>
      <c r="EN219" s="1283">
        <f t="shared" si="942"/>
        <v>-2.1000000000000003E-3</v>
      </c>
      <c r="EO219" s="1283">
        <f t="shared" si="942"/>
        <v>3.2639277482982261E-3</v>
      </c>
      <c r="EP219" s="1283">
        <f t="shared" si="942"/>
        <v>0</v>
      </c>
      <c r="EQ219" s="1283">
        <f t="shared" si="942"/>
        <v>3.6920090293453725E-3</v>
      </c>
      <c r="ER219" s="1042">
        <f t="shared" si="942"/>
        <v>4.7347302993690429E-3</v>
      </c>
      <c r="ES219" s="1042">
        <f t="shared" si="942"/>
        <v>5.1441305698921823E-3</v>
      </c>
      <c r="ET219" s="1042">
        <f t="shared" si="942"/>
        <v>6.0192962983065569E-3</v>
      </c>
      <c r="EU219" s="1042">
        <f t="shared" ref="EU219:EW219" si="943">+IFERROR(ET184*EU205,"NA")</f>
        <v>9.9526978397742084E-3</v>
      </c>
      <c r="EV219" s="1042">
        <f t="shared" si="943"/>
        <v>5.06142725572828E-3</v>
      </c>
      <c r="EW219" s="1042">
        <f t="shared" si="943"/>
        <v>1.1226986548328941E-2</v>
      </c>
      <c r="EX219" s="1042">
        <f>+IFERROR(EW184*EX205,"NA")</f>
        <v>6.4832124295338923E-3</v>
      </c>
      <c r="EY219" s="1042">
        <f>+IFERROR(EX184*EY205,"NA")</f>
        <v>6.9981584738081047E-3</v>
      </c>
      <c r="EZ219" s="1776"/>
      <c r="FA219" s="1283"/>
      <c r="FB219" s="1283"/>
      <c r="FC219" s="1283"/>
      <c r="FD219" s="1283"/>
      <c r="FE219" s="1283"/>
      <c r="FF219" s="1283"/>
      <c r="FG219" s="1283"/>
      <c r="FH219" s="1283"/>
      <c r="FI219" s="1819"/>
      <c r="FJ219"/>
      <c r="FK219"/>
      <c r="FL219"/>
      <c r="FM219"/>
      <c r="FN219"/>
      <c r="FO219"/>
      <c r="FP219" s="3"/>
      <c r="FS219" s="7"/>
      <c r="FT219" s="7"/>
      <c r="FU219" s="1808"/>
      <c r="FV219" s="1808"/>
      <c r="FW219" s="75"/>
      <c r="FX219" s="75"/>
      <c r="FY219" s="75"/>
      <c r="FZ219" s="1808"/>
      <c r="GA219" s="1808"/>
      <c r="GB219" s="1808"/>
      <c r="GC219" s="1808"/>
      <c r="GD219" s="1808"/>
      <c r="GE219" s="1808"/>
      <c r="GF219" s="1808"/>
      <c r="GG219" s="1808"/>
      <c r="GH219" s="1808"/>
      <c r="GI219" s="1808"/>
      <c r="GJ219" s="1808"/>
      <c r="GK219" s="1808"/>
      <c r="GL219" s="1808"/>
      <c r="GM219" s="1808"/>
      <c r="GN219" s="1808"/>
      <c r="GO219" s="1808"/>
      <c r="GP219" s="1808"/>
      <c r="GQ219" s="1808"/>
      <c r="GR219" s="1808"/>
      <c r="GS219" s="1808"/>
      <c r="GT219" s="1808"/>
      <c r="GU219" s="1808"/>
      <c r="GV219" s="1808"/>
      <c r="GW219" s="1808"/>
      <c r="GX219" s="1808"/>
      <c r="GY219" s="1808"/>
      <c r="GZ219" s="1808"/>
      <c r="HA219" s="1808"/>
      <c r="HB219" s="1808"/>
      <c r="HC219" s="1808"/>
      <c r="HD219" s="1808"/>
      <c r="HE219" s="1808"/>
      <c r="HF219" s="1808"/>
      <c r="HG219" s="1808"/>
      <c r="HH219" s="1808"/>
      <c r="HI219" s="1808"/>
      <c r="HJ219" s="1808"/>
      <c r="HK219" s="1808"/>
      <c r="HL219" s="1808"/>
      <c r="HM219" s="1808"/>
      <c r="HN219" s="1808"/>
      <c r="HO219" s="1808"/>
      <c r="HP219" s="1808"/>
      <c r="HQ219" s="1808"/>
      <c r="HR219" s="1808"/>
      <c r="HS219" s="1808"/>
      <c r="HT219" s="1808"/>
      <c r="HU219" s="1808"/>
      <c r="HV219" s="1808"/>
      <c r="HW219" s="1808"/>
      <c r="HX219" s="1808"/>
      <c r="HY219" s="1808"/>
      <c r="HZ219" s="1808"/>
      <c r="IA219" s="1808"/>
      <c r="IB219" s="1808"/>
      <c r="IC219" s="1808"/>
      <c r="ID219" s="1808"/>
      <c r="IE219" s="1808"/>
      <c r="IF219" s="1808"/>
      <c r="IG219" s="1808"/>
      <c r="IH219" s="1808"/>
      <c r="II219" s="1808"/>
      <c r="IJ219" s="1808"/>
      <c r="IK219" s="1808"/>
      <c r="IL219" s="1808"/>
      <c r="IM219" s="1808"/>
      <c r="IN219" s="1808"/>
      <c r="IO219" s="1808"/>
      <c r="IP219" s="1808"/>
      <c r="IQ219" s="1808"/>
      <c r="IR219" s="1808"/>
      <c r="IS219" s="1808"/>
      <c r="IT219" s="1808"/>
      <c r="IU219" s="1808"/>
      <c r="IV219" s="1808"/>
      <c r="IW219" s="1808"/>
      <c r="IX219" s="1808"/>
      <c r="IY219" s="1808"/>
      <c r="IZ219" s="1808"/>
    </row>
    <row r="220" spans="1:260" s="4" customFormat="1" x14ac:dyDescent="0.2">
      <c r="A220" s="4" t="s">
        <v>376</v>
      </c>
      <c r="B220" s="1283"/>
      <c r="C220" s="1283"/>
      <c r="D220" s="1283"/>
      <c r="E220" s="1805"/>
      <c r="F220" s="1283"/>
      <c r="G220" s="1283"/>
      <c r="H220" s="1283"/>
      <c r="I220" s="1805"/>
      <c r="J220" s="1283"/>
      <c r="K220" s="1283"/>
      <c r="L220" s="1283"/>
      <c r="M220" s="1805"/>
      <c r="N220" s="1283"/>
      <c r="O220" s="1283"/>
      <c r="P220" s="1283"/>
      <c r="Q220" s="1805"/>
      <c r="R220" s="1283"/>
      <c r="S220" s="1283"/>
      <c r="T220" s="1283"/>
      <c r="U220" s="1805"/>
      <c r="V220" s="1283"/>
      <c r="W220" s="1283"/>
      <c r="X220" s="1283"/>
      <c r="Y220" s="1805"/>
      <c r="Z220" s="1283"/>
      <c r="AA220" s="1283"/>
      <c r="AB220" s="1283"/>
      <c r="AC220" s="1805"/>
      <c r="AD220" s="1283"/>
      <c r="AE220" s="1283"/>
      <c r="AF220" s="1283"/>
      <c r="AG220" s="1805"/>
      <c r="AH220" s="1283"/>
      <c r="AI220" s="1283"/>
      <c r="AJ220" s="1283"/>
      <c r="AK220" s="1805"/>
      <c r="AL220" s="1283"/>
      <c r="AM220" s="1283"/>
      <c r="AN220" s="1283"/>
      <c r="AO220" s="1805"/>
      <c r="AP220" s="1283"/>
      <c r="AQ220" s="1283"/>
      <c r="AR220" s="1283"/>
      <c r="AS220" s="1805"/>
      <c r="AT220" s="1283"/>
      <c r="AU220" s="1283"/>
      <c r="AV220" s="1283"/>
      <c r="AW220" s="1805"/>
      <c r="AX220" s="1283"/>
      <c r="AY220" s="1283"/>
      <c r="AZ220" s="1283"/>
      <c r="BA220" s="1805"/>
      <c r="BB220" s="1283"/>
      <c r="BC220" s="1283"/>
      <c r="BD220" s="1283"/>
      <c r="BE220" s="1805"/>
      <c r="BF220" s="1283">
        <f t="shared" ref="BF220:DC220" si="944">+IFERROR(BB185*BF210,"NA")</f>
        <v>0</v>
      </c>
      <c r="BG220" s="1283">
        <f t="shared" si="944"/>
        <v>1.92E-3</v>
      </c>
      <c r="BH220" s="1283">
        <f t="shared" si="944"/>
        <v>0</v>
      </c>
      <c r="BI220" s="1805">
        <f t="shared" si="944"/>
        <v>0</v>
      </c>
      <c r="BJ220" s="1283">
        <f t="shared" si="944"/>
        <v>3.0000000000000001E-3</v>
      </c>
      <c r="BK220" s="1283">
        <f t="shared" si="944"/>
        <v>6.0899999999999999E-3</v>
      </c>
      <c r="BL220" s="1283">
        <f t="shared" si="944"/>
        <v>7.7999999999999999E-4</v>
      </c>
      <c r="BM220" s="1805">
        <f t="shared" si="944"/>
        <v>1.1000000000000001E-3</v>
      </c>
      <c r="BN220" s="1283">
        <f t="shared" si="944"/>
        <v>1.0200000000000001E-3</v>
      </c>
      <c r="BO220" s="1283">
        <f t="shared" si="944"/>
        <v>-2.5900000000000003E-3</v>
      </c>
      <c r="BP220" s="1283">
        <f t="shared" si="944"/>
        <v>2.4000000000000001E-4</v>
      </c>
      <c r="BQ220" s="1805">
        <f t="shared" si="944"/>
        <v>-1.15E-3</v>
      </c>
      <c r="BR220" s="1283">
        <f t="shared" si="944"/>
        <v>-2.9400000000000003E-3</v>
      </c>
      <c r="BS220" s="1283">
        <f t="shared" si="944"/>
        <v>-4.8000000000000001E-4</v>
      </c>
      <c r="BT220" s="1283">
        <f t="shared" si="944"/>
        <v>-8.9999999999999998E-4</v>
      </c>
      <c r="BU220" s="1805">
        <f t="shared" si="944"/>
        <v>3.7499999999999999E-3</v>
      </c>
      <c r="BV220" s="1283">
        <f t="shared" si="944"/>
        <v>4.8000000000000001E-4</v>
      </c>
      <c r="BW220" s="1283">
        <f t="shared" si="944"/>
        <v>1.92E-3</v>
      </c>
      <c r="BX220" s="1283">
        <f t="shared" si="944"/>
        <v>-4.2000000000000002E-4</v>
      </c>
      <c r="BY220" s="1805">
        <f t="shared" si="944"/>
        <v>-2.2499999999999998E-3</v>
      </c>
      <c r="BZ220" s="1283">
        <f t="shared" si="944"/>
        <v>-1.8E-3</v>
      </c>
      <c r="CA220" s="1283">
        <f t="shared" si="944"/>
        <v>-1.6800000000000003E-3</v>
      </c>
      <c r="CB220" s="1283">
        <f t="shared" si="944"/>
        <v>2.4000000000000001E-4</v>
      </c>
      <c r="CC220" s="1805">
        <f t="shared" si="944"/>
        <v>2.2499999999999998E-3</v>
      </c>
      <c r="CD220" s="1042">
        <f t="shared" si="944"/>
        <v>2.3400000000000001E-3</v>
      </c>
      <c r="CE220" s="1042">
        <f t="shared" si="944"/>
        <v>2.0400000000000001E-3</v>
      </c>
      <c r="CF220" s="1042">
        <f t="shared" si="944"/>
        <v>2.9999999999999997E-4</v>
      </c>
      <c r="CG220" s="1416">
        <f t="shared" si="944"/>
        <v>-2.4500000000000004E-3</v>
      </c>
      <c r="CH220" s="1042">
        <f t="shared" si="944"/>
        <v>-1.3799999999999999E-3</v>
      </c>
      <c r="CI220" s="1042">
        <f t="shared" si="944"/>
        <v>8.4000000000000014E-4</v>
      </c>
      <c r="CJ220" s="1042">
        <f t="shared" si="944"/>
        <v>-3.2200000000000002E-3</v>
      </c>
      <c r="CK220" s="1416">
        <f t="shared" si="944"/>
        <v>3.1000000000000003E-3</v>
      </c>
      <c r="CL220" s="1042">
        <f t="shared" si="944"/>
        <v>-1.3340000000000001E-3</v>
      </c>
      <c r="CM220" s="1042">
        <f t="shared" si="944"/>
        <v>8.4000000000000014E-4</v>
      </c>
      <c r="CN220" s="1042">
        <f t="shared" si="944"/>
        <v>-3.2200000000000002E-3</v>
      </c>
      <c r="CO220" s="1416">
        <f t="shared" si="944"/>
        <v>3.1000000000000003E-3</v>
      </c>
      <c r="CP220" s="1042">
        <f t="shared" si="944"/>
        <v>4.5500000000000002E-3</v>
      </c>
      <c r="CQ220" s="1042">
        <f t="shared" si="944"/>
        <v>1.0500000000000002E-3</v>
      </c>
      <c r="CR220" s="1042">
        <f t="shared" si="944"/>
        <v>2.9400000000000003E-3</v>
      </c>
      <c r="CS220" s="1416">
        <f t="shared" si="944"/>
        <v>-4.5999999999999999E-3</v>
      </c>
      <c r="CT220" s="1042">
        <f t="shared" si="944"/>
        <v>-9.4500000000000018E-3</v>
      </c>
      <c r="CU220" s="1042">
        <f t="shared" si="944"/>
        <v>-6.2300000000000003E-3</v>
      </c>
      <c r="CV220" s="1042">
        <f t="shared" si="944"/>
        <v>-7.2100000000000003E-3</v>
      </c>
      <c r="CW220" s="1416">
        <f t="shared" si="944"/>
        <v>-5.7000000000000002E-3</v>
      </c>
      <c r="CX220" s="1042">
        <f t="shared" si="944"/>
        <v>-6.1799999999999997E-3</v>
      </c>
      <c r="CY220" s="1042">
        <f t="shared" si="944"/>
        <v>-7.8600000000000007E-3</v>
      </c>
      <c r="CZ220" s="1042">
        <f t="shared" si="944"/>
        <v>-6.6600000000000001E-3</v>
      </c>
      <c r="DA220" s="1416">
        <f t="shared" si="944"/>
        <v>-4.7599999999999995E-3</v>
      </c>
      <c r="DB220" s="1042">
        <f t="shared" si="944"/>
        <v>-5.3500000000000006E-3</v>
      </c>
      <c r="DC220" s="1042">
        <f t="shared" si="944"/>
        <v>-3.5999999999999999E-3</v>
      </c>
      <c r="DD220" s="75">
        <f>+IFERROR(CZ185*DD210,"NA")</f>
        <v>-8.9999999999999998E-4</v>
      </c>
      <c r="DE220" s="1416">
        <f t="shared" ref="DE220:DI220" si="945">+IFERROR(DA185*DE210,"NA")</f>
        <v>2.5200000000000001E-3</v>
      </c>
      <c r="DF220" s="75">
        <f t="shared" si="945"/>
        <v>2.1000000000000003E-3</v>
      </c>
      <c r="DG220" s="75">
        <f t="shared" si="945"/>
        <v>7.5000000000000002E-4</v>
      </c>
      <c r="DH220" s="75">
        <f t="shared" si="945"/>
        <v>1.6000000000000001E-3</v>
      </c>
      <c r="DI220" s="1416">
        <f t="shared" si="945"/>
        <v>3.3500000000000005E-3</v>
      </c>
      <c r="DJ220" s="2709"/>
      <c r="DK220" s="75"/>
      <c r="DL220" s="75"/>
      <c r="DM220" s="1416"/>
      <c r="DN220" s="1819"/>
      <c r="DO220" s="1416"/>
      <c r="DP220" s="1283"/>
      <c r="DQ220" s="1283"/>
      <c r="DR220" s="1283"/>
      <c r="DS220" s="1283"/>
      <c r="DT220" s="1283"/>
      <c r="DU220" s="1283"/>
      <c r="DV220" s="1283"/>
      <c r="DW220" s="1283"/>
      <c r="DX220" s="1283"/>
      <c r="DY220" s="1283"/>
      <c r="DZ220" s="1283"/>
      <c r="EA220" s="1283"/>
      <c r="EB220" s="1283"/>
      <c r="EC220" s="1283"/>
      <c r="ED220" s="1283"/>
      <c r="EE220" s="1283"/>
      <c r="EF220" s="1283"/>
      <c r="EG220" s="1283"/>
      <c r="EH220" s="1283"/>
      <c r="EI220" s="1283"/>
      <c r="EJ220" s="1283"/>
      <c r="EK220" s="1283"/>
      <c r="EL220" s="1283">
        <f t="shared" ref="EL220:ET220" si="946">+IFERROR(EK185*EL210,"NA")</f>
        <v>2.0500000000000002E-3</v>
      </c>
      <c r="EM220" s="1283">
        <f t="shared" si="946"/>
        <v>2.4599999999999999E-3</v>
      </c>
      <c r="EN220" s="1283">
        <f t="shared" si="946"/>
        <v>-6.5999999999999989E-4</v>
      </c>
      <c r="EO220" s="1283">
        <f t="shared" si="946"/>
        <v>2.9322104304014581E-4</v>
      </c>
      <c r="EP220" s="1283">
        <f t="shared" si="946"/>
        <v>0</v>
      </c>
      <c r="EQ220" s="1283">
        <f t="shared" si="946"/>
        <v>5.8860974638162259E-5</v>
      </c>
      <c r="ER220" s="1042">
        <f t="shared" si="946"/>
        <v>1.6984212645992754E-4</v>
      </c>
      <c r="ES220" s="1042">
        <f t="shared" si="946"/>
        <v>1.8279595752155001E-4</v>
      </c>
      <c r="ET220" s="1042">
        <f t="shared" si="946"/>
        <v>1.809457229700391E-4</v>
      </c>
      <c r="EU220" s="1042">
        <f t="shared" ref="EU220:EW220" si="947">+IFERROR(ET185*EU210,"NA")</f>
        <v>1.2637646547980898E-4</v>
      </c>
      <c r="EV220" s="1042">
        <f t="shared" si="947"/>
        <v>-7.0080463844157297E-3</v>
      </c>
      <c r="EW220" s="1042">
        <f t="shared" si="947"/>
        <v>-6.1429970877825554E-3</v>
      </c>
      <c r="EX220" s="1042">
        <f>+IFERROR(EW185*EX210,"NA")</f>
        <v>-1.5365032311288329E-3</v>
      </c>
      <c r="EY220" s="1042">
        <f>+IFERROR(EX185*EY210,"NA")</f>
        <v>1.2831533885200361E-4</v>
      </c>
      <c r="EZ220" s="1776"/>
      <c r="FA220" s="1283"/>
      <c r="FB220" s="1283"/>
      <c r="FC220" s="1283"/>
      <c r="FD220" s="1283"/>
      <c r="FE220" s="1283"/>
      <c r="FF220" s="1283"/>
      <c r="FG220" s="1283"/>
      <c r="FH220" s="1283"/>
      <c r="FI220" s="1819"/>
      <c r="FJ220"/>
      <c r="FK220"/>
      <c r="FL220"/>
      <c r="FM220"/>
      <c r="FN220"/>
      <c r="FO220"/>
      <c r="FP220" s="3"/>
      <c r="FS220" s="7"/>
      <c r="FT220" s="7"/>
      <c r="FU220" s="1808"/>
      <c r="FV220" s="1808"/>
      <c r="FW220" s="75"/>
      <c r="FX220" s="75"/>
      <c r="FY220" s="75"/>
      <c r="FZ220" s="1808"/>
      <c r="GA220" s="1808"/>
      <c r="GB220" s="1808"/>
      <c r="GC220" s="1808"/>
      <c r="GD220" s="1808"/>
      <c r="GE220" s="1808"/>
      <c r="GF220" s="1808"/>
      <c r="GG220" s="1808"/>
      <c r="GH220" s="1808"/>
      <c r="GI220" s="1808"/>
      <c r="GJ220" s="1808"/>
      <c r="GK220" s="1808"/>
      <c r="GL220" s="1808"/>
      <c r="GM220" s="1808"/>
      <c r="GN220" s="1808"/>
      <c r="GO220" s="1808"/>
      <c r="GP220" s="1808"/>
      <c r="GQ220" s="1808"/>
      <c r="GR220" s="1808"/>
      <c r="GS220" s="1808"/>
      <c r="GT220" s="1808"/>
      <c r="GU220" s="1808"/>
      <c r="GV220" s="1808"/>
      <c r="GW220" s="1808"/>
      <c r="GX220" s="1808"/>
      <c r="GY220" s="1808"/>
      <c r="GZ220" s="1808"/>
      <c r="HA220" s="1808"/>
      <c r="HB220" s="1808"/>
      <c r="HC220" s="1808"/>
      <c r="HD220" s="1808"/>
      <c r="HE220" s="1808"/>
      <c r="HF220" s="1808"/>
      <c r="HG220" s="1808"/>
      <c r="HH220" s="1808"/>
      <c r="HI220" s="1808"/>
      <c r="HJ220" s="1808"/>
      <c r="HK220" s="1808"/>
      <c r="HL220" s="1808"/>
      <c r="HM220" s="1808"/>
      <c r="HN220" s="1808"/>
      <c r="HO220" s="1808"/>
      <c r="HP220" s="1808"/>
      <c r="HQ220" s="1808"/>
      <c r="HR220" s="1808"/>
      <c r="HS220" s="1808"/>
      <c r="HT220" s="1808"/>
      <c r="HU220" s="1808"/>
      <c r="HV220" s="1808"/>
      <c r="HW220" s="1808"/>
      <c r="HX220" s="1808"/>
      <c r="HY220" s="1808"/>
      <c r="HZ220" s="1808"/>
      <c r="IA220" s="1808"/>
      <c r="IB220" s="1808"/>
      <c r="IC220" s="1808"/>
      <c r="ID220" s="1808"/>
      <c r="IE220" s="1808"/>
      <c r="IF220" s="1808"/>
      <c r="IG220" s="1808"/>
      <c r="IH220" s="1808"/>
      <c r="II220" s="1808"/>
      <c r="IJ220" s="1808"/>
      <c r="IK220" s="1808"/>
      <c r="IL220" s="1808"/>
      <c r="IM220" s="1808"/>
      <c r="IN220" s="1808"/>
      <c r="IO220" s="1808"/>
      <c r="IP220" s="1808"/>
      <c r="IQ220" s="1808"/>
      <c r="IR220" s="1808"/>
      <c r="IS220" s="1808"/>
      <c r="IT220" s="1808"/>
      <c r="IU220" s="1808"/>
      <c r="IV220" s="1808"/>
      <c r="IW220" s="1808"/>
      <c r="IX220" s="1808"/>
      <c r="IY220" s="1808"/>
      <c r="IZ220" s="1808"/>
    </row>
    <row r="221" spans="1:260" s="4" customFormat="1" x14ac:dyDescent="0.2">
      <c r="A221" s="4" t="s">
        <v>479</v>
      </c>
      <c r="B221" s="1283"/>
      <c r="C221" s="1283"/>
      <c r="D221" s="1283"/>
      <c r="E221" s="1805"/>
      <c r="F221" s="1283"/>
      <c r="G221" s="1283"/>
      <c r="H221" s="1283"/>
      <c r="I221" s="1805"/>
      <c r="J221" s="1283"/>
      <c r="K221" s="1283"/>
      <c r="L221" s="1283"/>
      <c r="M221" s="1805"/>
      <c r="N221" s="1283"/>
      <c r="O221" s="1283"/>
      <c r="P221" s="1283"/>
      <c r="Q221" s="1805"/>
      <c r="R221" s="1283"/>
      <c r="S221" s="1283"/>
      <c r="T221" s="1283"/>
      <c r="U221" s="1805"/>
      <c r="V221" s="1283"/>
      <c r="W221" s="1283"/>
      <c r="X221" s="1283"/>
      <c r="Y221" s="1805"/>
      <c r="Z221" s="1283"/>
      <c r="AA221" s="1283"/>
      <c r="AB221" s="1283"/>
      <c r="AC221" s="1805"/>
      <c r="AD221" s="1283"/>
      <c r="AE221" s="1283"/>
      <c r="AF221" s="1283"/>
      <c r="AG221" s="1805"/>
      <c r="AH221" s="1283"/>
      <c r="AI221" s="1283"/>
      <c r="AJ221" s="1283"/>
      <c r="AK221" s="1805"/>
      <c r="AL221" s="1283"/>
      <c r="AM221" s="1283"/>
      <c r="AN221" s="1283"/>
      <c r="AO221" s="1805"/>
      <c r="AP221" s="1283"/>
      <c r="AQ221" s="1283"/>
      <c r="AR221" s="1283"/>
      <c r="AS221" s="1805"/>
      <c r="AT221" s="1283"/>
      <c r="AU221" s="1283"/>
      <c r="AV221" s="1283"/>
      <c r="AW221" s="1805"/>
      <c r="AX221" s="1283"/>
      <c r="AY221" s="1283"/>
      <c r="AZ221" s="1283"/>
      <c r="BA221" s="1805"/>
      <c r="BB221" s="1283"/>
      <c r="BC221" s="1283"/>
      <c r="BD221" s="1283"/>
      <c r="BE221" s="1805"/>
      <c r="BF221" s="1283">
        <f t="shared" ref="BF221:DC221" si="948">+BF222-SUM(BF216:BF220)</f>
        <v>1.7000000000000001E-2</v>
      </c>
      <c r="BG221" s="1283">
        <f t="shared" si="948"/>
        <v>-2.9999999999998778E-5</v>
      </c>
      <c r="BH221" s="1283">
        <f t="shared" si="948"/>
        <v>6.0999999999999999E-2</v>
      </c>
      <c r="BI221" s="1805">
        <f t="shared" si="948"/>
        <v>-8.9999999999999993E-3</v>
      </c>
      <c r="BJ221" s="1283">
        <f t="shared" si="948"/>
        <v>-9.6999999999999864E-4</v>
      </c>
      <c r="BK221" s="1283">
        <f t="shared" si="948"/>
        <v>-1.8199999999999952E-3</v>
      </c>
      <c r="BL221" s="1283">
        <f t="shared" si="948"/>
        <v>-9.1000000000000802E-4</v>
      </c>
      <c r="BM221" s="1805">
        <f t="shared" si="948"/>
        <v>-5.4000000000000575E-4</v>
      </c>
      <c r="BN221" s="1283">
        <f t="shared" si="948"/>
        <v>-6.9000000000000311E-4</v>
      </c>
      <c r="BO221" s="1283">
        <f t="shared" si="948"/>
        <v>-1.6199999999999964E-3</v>
      </c>
      <c r="BP221" s="1283">
        <f t="shared" si="948"/>
        <v>-7.3000000000000148E-4</v>
      </c>
      <c r="BQ221" s="1805">
        <f t="shared" si="948"/>
        <v>9.3999999999998252E-4</v>
      </c>
      <c r="BR221" s="1283">
        <f t="shared" si="948"/>
        <v>-1.0000000000003062E-5</v>
      </c>
      <c r="BS221" s="1283">
        <f t="shared" si="948"/>
        <v>9.2000000000000068E-4</v>
      </c>
      <c r="BT221" s="1283">
        <f t="shared" si="948"/>
        <v>3.6400000000000043E-3</v>
      </c>
      <c r="BU221" s="1805">
        <f t="shared" si="948"/>
        <v>-2.009999999999991E-3</v>
      </c>
      <c r="BV221" s="1283">
        <f t="shared" si="948"/>
        <v>-1.4199999999999977E-3</v>
      </c>
      <c r="BW221" s="1283">
        <f t="shared" si="948"/>
        <v>6.2999999999999862E-4</v>
      </c>
      <c r="BX221" s="1283">
        <f t="shared" si="948"/>
        <v>7.9000000000000077E-4</v>
      </c>
      <c r="BY221" s="1805">
        <f t="shared" si="948"/>
        <v>1.2100000000000027E-3</v>
      </c>
      <c r="BZ221" s="1283">
        <f t="shared" si="948"/>
        <v>-9.1400000000000023E-3</v>
      </c>
      <c r="CA221" s="1283">
        <f t="shared" si="948"/>
        <v>-1.2159999999999997E-2</v>
      </c>
      <c r="CB221" s="1283">
        <f t="shared" si="948"/>
        <v>-6.5599999999999964E-3</v>
      </c>
      <c r="CC221" s="1805">
        <f t="shared" si="948"/>
        <v>-1.0889999999999997E-2</v>
      </c>
      <c r="CD221" s="1042">
        <f t="shared" si="948"/>
        <v>-1.6099999999999934E-3</v>
      </c>
      <c r="CE221" s="1042">
        <f t="shared" si="948"/>
        <v>9.9999999999995925E-5</v>
      </c>
      <c r="CF221" s="1042">
        <f t="shared" si="948"/>
        <v>1.3100000000000013E-3</v>
      </c>
      <c r="CG221" s="1416">
        <f t="shared" si="948"/>
        <v>-4.000000000000184E-5</v>
      </c>
      <c r="CH221" s="1042">
        <f t="shared" si="948"/>
        <v>5.70000000000008E-4</v>
      </c>
      <c r="CI221" s="1042">
        <f t="shared" si="948"/>
        <v>1.6199999999999999E-3</v>
      </c>
      <c r="CJ221" s="1042">
        <f t="shared" si="948"/>
        <v>-9.1000000000000109E-4</v>
      </c>
      <c r="CK221" s="1416">
        <f t="shared" si="948"/>
        <v>2.0300000000000006E-3</v>
      </c>
      <c r="CL221" s="1042">
        <f t="shared" si="948"/>
        <v>-2.1556999999999993E-2</v>
      </c>
      <c r="CM221" s="1042">
        <f t="shared" si="948"/>
        <v>-9.8600000000000007E-3</v>
      </c>
      <c r="CN221" s="1042">
        <f t="shared" si="948"/>
        <v>-5.7000000000000037E-3</v>
      </c>
      <c r="CO221" s="1416">
        <f t="shared" si="948"/>
        <v>-1.3250000000000007E-2</v>
      </c>
      <c r="CP221" s="1042">
        <f t="shared" si="948"/>
        <v>1.380000000000001E-3</v>
      </c>
      <c r="CQ221" s="1042">
        <f t="shared" si="948"/>
        <v>1.4799999999999969E-3</v>
      </c>
      <c r="CR221" s="1042">
        <f t="shared" si="948"/>
        <v>3.2999999999999349E-4</v>
      </c>
      <c r="CS221" s="1416">
        <f t="shared" si="948"/>
        <v>-7.6000000000000199E-4</v>
      </c>
      <c r="CT221" s="1042">
        <f t="shared" si="948"/>
        <v>-1.6399999999999974E-3</v>
      </c>
      <c r="CU221" s="1042">
        <f t="shared" si="948"/>
        <v>-7.0000000000000617E-5</v>
      </c>
      <c r="CV221" s="1042">
        <f t="shared" si="948"/>
        <v>2.0000000000006124E-5</v>
      </c>
      <c r="CW221" s="1416">
        <f t="shared" si="948"/>
        <v>-6.8000000000000005E-4</v>
      </c>
      <c r="CX221" s="1042">
        <f t="shared" si="948"/>
        <v>1.1100000000000016E-3</v>
      </c>
      <c r="CY221" s="1042">
        <f t="shared" si="948"/>
        <v>9.5599999999999991E-3</v>
      </c>
      <c r="CZ221" s="1042">
        <f t="shared" si="948"/>
        <v>4.3899999999999989E-3</v>
      </c>
      <c r="DA221" s="1416">
        <f t="shared" si="948"/>
        <v>2.080000000000002E-3</v>
      </c>
      <c r="DB221" s="1042">
        <f t="shared" si="948"/>
        <v>1.2000000000000118E-4</v>
      </c>
      <c r="DC221" s="1042">
        <f t="shared" si="948"/>
        <v>1.9999999999995716E-5</v>
      </c>
      <c r="DD221" s="75">
        <f>+DD222-SUM(DD216:DD220)</f>
        <v>-6.9999999999999923E-4</v>
      </c>
      <c r="DE221" s="1416">
        <f t="shared" ref="DE221:DI221" si="949">+DE222-SUM(DE216:DE220)</f>
        <v>-1.1200000000000029E-3</v>
      </c>
      <c r="DF221" s="75">
        <f t="shared" si="949"/>
        <v>8.0000000000001945E-5</v>
      </c>
      <c r="DG221" s="75">
        <f t="shared" ref="DG221" si="950">+DG222-SUM(DG216:DG220)</f>
        <v>9.9999999999995925E-5</v>
      </c>
      <c r="DH221" s="75">
        <f t="shared" si="949"/>
        <v>7.899999999999921E-4</v>
      </c>
      <c r="DI221" s="1416">
        <f t="shared" si="949"/>
        <v>8.0999999999999128E-4</v>
      </c>
      <c r="DJ221" s="2709"/>
      <c r="DK221" s="75"/>
      <c r="DL221" s="75"/>
      <c r="DM221" s="1416"/>
      <c r="DN221" s="1819"/>
      <c r="DO221" s="1416"/>
      <c r="DP221" s="1283"/>
      <c r="DQ221" s="1283"/>
      <c r="DR221" s="1283"/>
      <c r="DS221" s="1283"/>
      <c r="DT221" s="1283"/>
      <c r="DU221" s="1283"/>
      <c r="DV221" s="1283"/>
      <c r="DW221" s="1283"/>
      <c r="DX221" s="1283"/>
      <c r="DY221" s="1283"/>
      <c r="DZ221" s="1283"/>
      <c r="EA221" s="1283"/>
      <c r="EB221" s="1283"/>
      <c r="EC221" s="1283"/>
      <c r="ED221" s="1283"/>
      <c r="EE221" s="1283"/>
      <c r="EF221" s="1283"/>
      <c r="EG221" s="1283"/>
      <c r="EH221" s="1283"/>
      <c r="EI221" s="1283"/>
      <c r="EJ221" s="1283"/>
      <c r="EK221" s="1283"/>
      <c r="EL221" s="1283">
        <f t="shared" ref="EL221" si="951">+EL222-SUM(EL216:EL220)</f>
        <v>-4.6000000000000554E-4</v>
      </c>
      <c r="EM221" s="1283">
        <f t="shared" ref="EM221" si="952">+EM222-SUM(EM216:EM220)</f>
        <v>-1.3000000000000008E-3</v>
      </c>
      <c r="EN221" s="1283">
        <f t="shared" ref="EN221" si="953">+EN222-SUM(EN216:EN220)</f>
        <v>8.7000000000000272E-4</v>
      </c>
      <c r="EO221" s="1283">
        <f t="shared" ref="EO221" si="954">+EO222-SUM(EO216:EO220)</f>
        <v>-7.0133515570562979E-4</v>
      </c>
      <c r="EP221" s="1283">
        <f t="shared" ref="EP221" si="955">+EP222-SUM(EP216:EP220)</f>
        <v>-2.5075394514202581E-2</v>
      </c>
      <c r="EQ221" s="1283">
        <f t="shared" ref="EQ221" si="956">+EQ222-SUM(EQ216:EQ220)</f>
        <v>-1.0338641880228393E-2</v>
      </c>
      <c r="ER221" s="1042">
        <f t="shared" ref="ER221" si="957">+ER222-SUM(ER216:ER220)</f>
        <v>-8.795407017802289E-3</v>
      </c>
      <c r="ES221" s="1042">
        <f t="shared" ref="ES221" si="958">+ES222-SUM(ES216:ES220)</f>
        <v>1.6080492879725419E-3</v>
      </c>
      <c r="ET221" s="1042">
        <f t="shared" ref="ET221" si="959">+ET222-SUM(ET216:ET220)</f>
        <v>-1.0771969387755105E-2</v>
      </c>
      <c r="EU221" s="1042">
        <f t="shared" ref="EU221:EW221" si="960">+EU222-SUM(EU216:EU220)</f>
        <v>9.0191747796425446E-4</v>
      </c>
      <c r="EV221" s="1042">
        <f t="shared" si="960"/>
        <v>-1.4280711149306964E-3</v>
      </c>
      <c r="EW221" s="1042">
        <f t="shared" si="960"/>
        <v>1.8031943291847274E-3</v>
      </c>
      <c r="EX221" s="1042">
        <f>+EX222-SUM(EX216:EX220)</f>
        <v>1.0708578281768055E-3</v>
      </c>
      <c r="EY221" s="1042">
        <f>+EY222-SUM(EY216:EY220)</f>
        <v>2.3698724084600803E-2</v>
      </c>
      <c r="EZ221" s="1776"/>
      <c r="FA221" s="1283"/>
      <c r="FB221" s="1283"/>
      <c r="FC221" s="1283"/>
      <c r="FD221" s="1283"/>
      <c r="FE221" s="1283"/>
      <c r="FF221" s="1283"/>
      <c r="FG221" s="1283"/>
      <c r="FH221" s="1283"/>
      <c r="FI221" s="1819"/>
      <c r="FJ221"/>
      <c r="FK221"/>
      <c r="FL221"/>
      <c r="FM221"/>
      <c r="FN221"/>
      <c r="FO221"/>
      <c r="FP221" s="3"/>
      <c r="FS221" s="7"/>
      <c r="FT221" s="7"/>
      <c r="FU221" s="1808"/>
      <c r="FV221" s="1808"/>
      <c r="FW221" s="75"/>
      <c r="FX221" s="75"/>
      <c r="FY221" s="75"/>
      <c r="FZ221" s="1808"/>
      <c r="GA221" s="1808"/>
      <c r="GB221" s="1808"/>
      <c r="GC221" s="1808"/>
      <c r="GD221" s="1808"/>
      <c r="GE221" s="1808"/>
      <c r="GF221" s="1808"/>
      <c r="GG221" s="1808"/>
      <c r="GH221" s="1808"/>
      <c r="GI221" s="1808"/>
      <c r="GJ221" s="1808"/>
      <c r="GK221" s="1808"/>
      <c r="GL221" s="1808"/>
      <c r="GM221" s="1808"/>
      <c r="GN221" s="1808"/>
      <c r="GO221" s="1808"/>
      <c r="GP221" s="1808"/>
      <c r="GQ221" s="1808"/>
      <c r="GR221" s="1808"/>
      <c r="GS221" s="1808"/>
      <c r="GT221" s="1808"/>
      <c r="GU221" s="1808"/>
      <c r="GV221" s="1808"/>
      <c r="GW221" s="1808"/>
      <c r="GX221" s="1808"/>
      <c r="GY221" s="1808"/>
      <c r="GZ221" s="1808"/>
      <c r="HA221" s="1808"/>
      <c r="HB221" s="1808"/>
      <c r="HC221" s="1808"/>
      <c r="HD221" s="1808"/>
      <c r="HE221" s="1808"/>
      <c r="HF221" s="1808"/>
      <c r="HG221" s="1808"/>
      <c r="HH221" s="1808"/>
      <c r="HI221" s="1808"/>
      <c r="HJ221" s="1808"/>
      <c r="HK221" s="1808"/>
      <c r="HL221" s="1808"/>
      <c r="HM221" s="1808"/>
      <c r="HN221" s="1808"/>
      <c r="HO221" s="1808"/>
      <c r="HP221" s="1808"/>
      <c r="HQ221" s="1808"/>
      <c r="HR221" s="1808"/>
      <c r="HS221" s="1808"/>
      <c r="HT221" s="1808"/>
      <c r="HU221" s="1808"/>
      <c r="HV221" s="1808"/>
      <c r="HW221" s="1808"/>
      <c r="HX221" s="1808"/>
      <c r="HY221" s="1808"/>
      <c r="HZ221" s="1808"/>
      <c r="IA221" s="1808"/>
      <c r="IB221" s="1808"/>
      <c r="IC221" s="1808"/>
      <c r="ID221" s="1808"/>
      <c r="IE221" s="1808"/>
      <c r="IF221" s="1808"/>
      <c r="IG221" s="1808"/>
      <c r="IH221" s="1808"/>
      <c r="II221" s="1808"/>
      <c r="IJ221" s="1808"/>
      <c r="IK221" s="1808"/>
      <c r="IL221" s="1808"/>
      <c r="IM221" s="1808"/>
      <c r="IN221" s="1808"/>
      <c r="IO221" s="1808"/>
      <c r="IP221" s="1808"/>
      <c r="IQ221" s="1808"/>
      <c r="IR221" s="1808"/>
      <c r="IS221" s="1808"/>
      <c r="IT221" s="1808"/>
      <c r="IU221" s="1808"/>
      <c r="IV221" s="1808"/>
      <c r="IW221" s="1808"/>
      <c r="IX221" s="1808"/>
      <c r="IY221" s="1808"/>
      <c r="IZ221" s="1808"/>
    </row>
    <row r="222" spans="1:260" s="4" customFormat="1" hidden="1" outlineLevel="1" x14ac:dyDescent="0.2">
      <c r="A222" s="1828" t="s">
        <v>347</v>
      </c>
      <c r="B222" s="3"/>
      <c r="C222" s="3"/>
      <c r="D222" s="3"/>
      <c r="E222" s="470"/>
      <c r="F222" s="3"/>
      <c r="G222" s="3"/>
      <c r="H222" s="3"/>
      <c r="I222" s="470"/>
      <c r="J222" s="3"/>
      <c r="K222" s="3"/>
      <c r="L222" s="3"/>
      <c r="M222" s="470"/>
      <c r="N222" s="3"/>
      <c r="O222" s="3"/>
      <c r="P222" s="3"/>
      <c r="Q222" s="470"/>
      <c r="R222" s="3"/>
      <c r="S222" s="3"/>
      <c r="T222" s="3"/>
      <c r="U222" s="470"/>
      <c r="V222" s="3"/>
      <c r="W222" s="3"/>
      <c r="X222" s="3"/>
      <c r="Y222" s="470"/>
      <c r="Z222" s="3"/>
      <c r="AA222" s="3"/>
      <c r="AB222" s="3"/>
      <c r="AC222" s="470"/>
      <c r="AD222" s="277">
        <f t="shared" ref="AD222:BI222" si="961">+AD140</f>
        <v>9.5000000000000001E-2</v>
      </c>
      <c r="AE222" s="277">
        <f t="shared" si="961"/>
        <v>5.0999999999999997E-2</v>
      </c>
      <c r="AF222" s="277">
        <f t="shared" si="961"/>
        <v>5.8999999999999997E-2</v>
      </c>
      <c r="AG222" s="552">
        <f t="shared" si="961"/>
        <v>1.7999999999999999E-2</v>
      </c>
      <c r="AH222" s="277">
        <f t="shared" si="961"/>
        <v>-3.1E-2</v>
      </c>
      <c r="AI222" s="277">
        <f t="shared" si="961"/>
        <v>2.8000000000000001E-2</v>
      </c>
      <c r="AJ222" s="277">
        <f t="shared" si="961"/>
        <v>1.6E-2</v>
      </c>
      <c r="AK222" s="552">
        <f t="shared" si="961"/>
        <v>4.4999999999999998E-2</v>
      </c>
      <c r="AL222" s="277">
        <f t="shared" si="961"/>
        <v>6.6000000000000003E-2</v>
      </c>
      <c r="AM222" s="277">
        <f t="shared" si="961"/>
        <v>2.7E-2</v>
      </c>
      <c r="AN222" s="277">
        <f t="shared" si="961"/>
        <v>7.0000000000000001E-3</v>
      </c>
      <c r="AO222" s="552">
        <f t="shared" si="961"/>
        <v>1.2999999999999999E-2</v>
      </c>
      <c r="AP222" s="277">
        <f t="shared" si="961"/>
        <v>2.3E-2</v>
      </c>
      <c r="AQ222" s="277">
        <f t="shared" si="961"/>
        <v>7.8E-2</v>
      </c>
      <c r="AR222" s="277">
        <f t="shared" si="961"/>
        <v>0.09</v>
      </c>
      <c r="AS222" s="552">
        <f t="shared" si="961"/>
        <v>9.9000000000000005E-2</v>
      </c>
      <c r="AT222" s="277">
        <f t="shared" si="961"/>
        <v>8.4000000000000005E-2</v>
      </c>
      <c r="AU222" s="277">
        <f t="shared" si="961"/>
        <v>4.3999999999999997E-2</v>
      </c>
      <c r="AV222" s="277">
        <f t="shared" si="961"/>
        <v>0.03</v>
      </c>
      <c r="AW222" s="552">
        <f t="shared" si="961"/>
        <v>3.1E-2</v>
      </c>
      <c r="AX222" s="277">
        <f t="shared" si="961"/>
        <v>4.4999999999999998E-2</v>
      </c>
      <c r="AY222" s="277">
        <f t="shared" si="961"/>
        <v>3.7999999999999999E-2</v>
      </c>
      <c r="AZ222" s="277">
        <f t="shared" si="961"/>
        <v>3.7999999999999999E-2</v>
      </c>
      <c r="BA222" s="552">
        <f t="shared" si="961"/>
        <v>7.3999999999999996E-2</v>
      </c>
      <c r="BB222" s="277">
        <f t="shared" si="961"/>
        <v>4.5999999999999999E-2</v>
      </c>
      <c r="BC222" s="277">
        <f t="shared" si="961"/>
        <v>0.03</v>
      </c>
      <c r="BD222" s="277">
        <f t="shared" si="961"/>
        <v>3.5999999999999997E-2</v>
      </c>
      <c r="BE222" s="552">
        <f t="shared" si="961"/>
        <v>4.8000000000000001E-2</v>
      </c>
      <c r="BF222" s="277">
        <f t="shared" si="961"/>
        <v>1.7000000000000001E-2</v>
      </c>
      <c r="BG222" s="277">
        <f t="shared" si="961"/>
        <v>1.7000000000000001E-2</v>
      </c>
      <c r="BH222" s="277">
        <f t="shared" si="961"/>
        <v>6.0999999999999999E-2</v>
      </c>
      <c r="BI222" s="552">
        <f t="shared" si="961"/>
        <v>-8.9999999999999993E-3</v>
      </c>
      <c r="BJ222" s="277">
        <f t="shared" ref="BJ222:CO222" si="962">+BJ140</f>
        <v>3.5000000000000003E-2</v>
      </c>
      <c r="BK222" s="277">
        <f t="shared" si="962"/>
        <v>5.2999999999999999E-2</v>
      </c>
      <c r="BL222" s="277">
        <f t="shared" si="962"/>
        <v>-6.3E-2</v>
      </c>
      <c r="BM222" s="552">
        <f t="shared" si="962"/>
        <v>-4.8000000000000001E-2</v>
      </c>
      <c r="BN222" s="277">
        <f t="shared" si="962"/>
        <v>-4.9000000000000002E-2</v>
      </c>
      <c r="BO222" s="277">
        <f t="shared" si="962"/>
        <v>-3.1E-2</v>
      </c>
      <c r="BP222" s="277">
        <f t="shared" si="962"/>
        <v>4.5999999999999999E-2</v>
      </c>
      <c r="BQ222" s="552">
        <f t="shared" si="962"/>
        <v>7.3999999999999996E-2</v>
      </c>
      <c r="BR222" s="277">
        <f t="shared" si="962"/>
        <v>1.9E-2</v>
      </c>
      <c r="BS222" s="277">
        <f t="shared" si="962"/>
        <v>-1.4E-2</v>
      </c>
      <c r="BT222" s="277">
        <f t="shared" si="962"/>
        <v>-0.05</v>
      </c>
      <c r="BU222" s="552">
        <f t="shared" si="962"/>
        <v>-5.5E-2</v>
      </c>
      <c r="BV222" s="277">
        <f t="shared" si="962"/>
        <v>-2.4E-2</v>
      </c>
      <c r="BW222" s="277">
        <f t="shared" si="962"/>
        <v>-2.7E-2</v>
      </c>
      <c r="BX222" s="277">
        <f t="shared" si="962"/>
        <v>8.9999999999999993E-3</v>
      </c>
      <c r="BY222" s="552">
        <f t="shared" si="962"/>
        <v>-2.1999999999999999E-2</v>
      </c>
      <c r="BZ222" s="277">
        <f t="shared" si="962"/>
        <v>4.7E-2</v>
      </c>
      <c r="CA222" s="277">
        <f t="shared" si="962"/>
        <v>0</v>
      </c>
      <c r="CB222" s="277">
        <f t="shared" si="962"/>
        <v>-3.9E-2</v>
      </c>
      <c r="CC222" s="552">
        <f t="shared" si="962"/>
        <v>-5.1999999999999998E-2</v>
      </c>
      <c r="CD222" s="277">
        <f t="shared" si="962"/>
        <v>-3.7999999999999999E-2</v>
      </c>
      <c r="CE222" s="277">
        <f t="shared" si="962"/>
        <v>-4.1000000000000002E-2</v>
      </c>
      <c r="CF222" s="277">
        <f t="shared" si="962"/>
        <v>1E-3</v>
      </c>
      <c r="CG222" s="552">
        <f t="shared" si="962"/>
        <v>-1.0999999999999999E-2</v>
      </c>
      <c r="CH222" s="277">
        <f t="shared" si="962"/>
        <v>-3.6999999999999998E-2</v>
      </c>
      <c r="CI222" s="277">
        <f t="shared" si="962"/>
        <v>-1.6E-2</v>
      </c>
      <c r="CJ222" s="277">
        <f t="shared" si="962"/>
        <v>-0.04</v>
      </c>
      <c r="CK222" s="552">
        <f t="shared" si="962"/>
        <v>8.9999999999999993E-3</v>
      </c>
      <c r="CL222" s="277">
        <f t="shared" si="962"/>
        <v>-3.6999999999999998E-2</v>
      </c>
      <c r="CM222" s="277">
        <f t="shared" si="962"/>
        <v>-1.6E-2</v>
      </c>
      <c r="CN222" s="277">
        <f t="shared" si="962"/>
        <v>-0.04</v>
      </c>
      <c r="CO222" s="552">
        <f t="shared" si="962"/>
        <v>8.9999999999999993E-3</v>
      </c>
      <c r="CP222" s="406">
        <f t="shared" ref="CP222:DI222" si="963">+CP140</f>
        <v>-1.2E-2</v>
      </c>
      <c r="CQ222" s="406">
        <f t="shared" si="963"/>
        <v>-4.0000000000000001E-3</v>
      </c>
      <c r="CR222" s="277">
        <f t="shared" si="963"/>
        <v>1.7999999999999999E-2</v>
      </c>
      <c r="CS222" s="571">
        <f t="shared" si="963"/>
        <v>-1.2E-2</v>
      </c>
      <c r="CT222" s="406">
        <f t="shared" si="963"/>
        <v>-1.2999999999999999E-2</v>
      </c>
      <c r="CU222" s="406">
        <f t="shared" si="963"/>
        <v>-0.02</v>
      </c>
      <c r="CV222" s="406">
        <f t="shared" si="963"/>
        <v>3.2000000000000001E-2</v>
      </c>
      <c r="CW222" s="571">
        <f t="shared" si="963"/>
        <v>2.8000000000000001E-2</v>
      </c>
      <c r="CX222" s="1530">
        <f t="shared" si="963"/>
        <v>6.0000000000000001E-3</v>
      </c>
      <c r="CY222" s="1530">
        <f t="shared" si="963"/>
        <v>3.7999999999999999E-2</v>
      </c>
      <c r="CZ222" s="1530">
        <f t="shared" si="963"/>
        <v>8.0000000000000002E-3</v>
      </c>
      <c r="DA222" s="1524">
        <f t="shared" si="963"/>
        <v>-1.7000000000000001E-2</v>
      </c>
      <c r="DB222" s="1530">
        <f t="shared" si="963"/>
        <v>-1E-3</v>
      </c>
      <c r="DC222" s="1530">
        <f t="shared" si="963"/>
        <v>8.0000000000000002E-3</v>
      </c>
      <c r="DD222" s="1530">
        <f t="shared" si="963"/>
        <v>1.7999999999999999E-2</v>
      </c>
      <c r="DE222" s="1524">
        <f t="shared" si="963"/>
        <v>-8.9999999999999993E-3</v>
      </c>
      <c r="DF222" s="1530">
        <f t="shared" si="963"/>
        <v>1.4E-2</v>
      </c>
      <c r="DG222" s="1530">
        <f t="shared" ref="DG222" si="964">+DG140</f>
        <v>5.3999999999999999E-2</v>
      </c>
      <c r="DH222" s="1530">
        <f t="shared" si="963"/>
        <v>4.4999999999999998E-2</v>
      </c>
      <c r="DI222" s="1524">
        <f t="shared" si="963"/>
        <v>0.09</v>
      </c>
      <c r="DJ222" s="1748">
        <f t="shared" ref="DJ222:DK222" si="965">+DJ140</f>
        <v>3.5492354524772493E-2</v>
      </c>
      <c r="DK222" s="1530">
        <f t="shared" si="965"/>
        <v>1.8262936943907158E-2</v>
      </c>
      <c r="DL222" s="1530">
        <f t="shared" ref="DL222" si="966">+DL140</f>
        <v>1.5417252888211051E-2</v>
      </c>
      <c r="DM222" s="1524">
        <f>+DM140</f>
        <v>-1.5540498702366484E-2</v>
      </c>
      <c r="DN222" s="578"/>
      <c r="DO222" s="487"/>
      <c r="DP222" s="15"/>
      <c r="DQ222" s="15"/>
      <c r="DR222" s="15"/>
      <c r="DS222" s="15"/>
      <c r="DT222" s="15"/>
      <c r="DU222" s="15"/>
      <c r="DV222" s="15"/>
      <c r="DW222" s="15"/>
      <c r="DX222" s="161"/>
      <c r="DY222" s="161"/>
      <c r="DZ222" s="161"/>
      <c r="EA222" s="161"/>
      <c r="EB222" s="161"/>
      <c r="EC222" s="161"/>
      <c r="ED222" s="161"/>
      <c r="EE222" s="219">
        <f t="shared" ref="EE222:EP222" si="967">EE111</f>
        <v>4.9000000000000002E-2</v>
      </c>
      <c r="EF222" s="219">
        <f t="shared" si="967"/>
        <v>1.9413664884963978E-2</v>
      </c>
      <c r="EG222" s="1525">
        <f t="shared" si="967"/>
        <v>2.5348368720870013E-2</v>
      </c>
      <c r="EH222" s="1525">
        <f t="shared" si="967"/>
        <v>7.7525984251968494E-2</v>
      </c>
      <c r="EI222" s="1525">
        <f t="shared" si="967"/>
        <v>4.4389665258368537E-2</v>
      </c>
      <c r="EJ222" s="1525">
        <f t="shared" si="967"/>
        <v>5.0999999999999997E-2</v>
      </c>
      <c r="EK222" s="1525">
        <f t="shared" si="967"/>
        <v>4.1000000000000002E-2</v>
      </c>
      <c r="EL222" s="1525">
        <f t="shared" si="967"/>
        <v>1.9E-2</v>
      </c>
      <c r="EM222" s="1525">
        <f t="shared" si="967"/>
        <v>-1.2999999999999999E-2</v>
      </c>
      <c r="EN222" s="1525">
        <f t="shared" si="967"/>
        <v>1.7000000000000001E-2</v>
      </c>
      <c r="EO222" s="1525">
        <f t="shared" si="967"/>
        <v>-0.03</v>
      </c>
      <c r="EP222" s="1525">
        <f t="shared" si="967"/>
        <v>-2.5075394514202581E-2</v>
      </c>
      <c r="EQ222" s="1525">
        <v>-1.7000000000000001E-2</v>
      </c>
      <c r="ER222" s="1525">
        <f>ER111</f>
        <v>-3.0223088317305569E-2</v>
      </c>
      <c r="ES222" s="1525">
        <f>ES111</f>
        <v>-1.7000000000000001E-2</v>
      </c>
      <c r="ET222" s="1525">
        <f>ET111</f>
        <v>-1.7000000000000001E-2</v>
      </c>
      <c r="EU222" s="1525">
        <f t="shared" ref="EU222:FH222" si="968">+EU140</f>
        <v>-3.4264322289397822E-3</v>
      </c>
      <c r="EV222" s="1525">
        <f t="shared" si="968"/>
        <v>8.6212085590945883E-3</v>
      </c>
      <c r="EW222" s="1525">
        <f t="shared" si="968"/>
        <v>6.0835629327071232E-3</v>
      </c>
      <c r="EX222" s="1530">
        <f t="shared" si="968"/>
        <v>2.9965187658916419E-3</v>
      </c>
      <c r="EY222" s="1530">
        <f t="shared" si="968"/>
        <v>5.6000000000000001E-2</v>
      </c>
      <c r="EZ222" s="1748">
        <f t="shared" ref="EZ222" si="969">+EZ140</f>
        <v>1.0630606375747502E-2</v>
      </c>
      <c r="FA222" s="1525">
        <f t="shared" si="968"/>
        <v>1.0185936187522131E-2</v>
      </c>
      <c r="FB222" s="1525">
        <f t="shared" si="968"/>
        <v>1.0500646930568611E-2</v>
      </c>
      <c r="FC222" s="1525">
        <f t="shared" si="968"/>
        <v>1.0360827496940443E-2</v>
      </c>
      <c r="FD222" s="1525">
        <f t="shared" si="968"/>
        <v>1.5778306751168761E-2</v>
      </c>
      <c r="FE222" s="1525">
        <f t="shared" si="968"/>
        <v>1.6164607939728102E-2</v>
      </c>
      <c r="FF222" s="1525">
        <f t="shared" si="968"/>
        <v>1.6560723781934492E-2</v>
      </c>
      <c r="FG222" s="1525">
        <f t="shared" si="968"/>
        <v>1.6966614137626467E-2</v>
      </c>
      <c r="FH222" s="1526">
        <f t="shared" si="968"/>
        <v>1.7382216362661941E-2</v>
      </c>
      <c r="FI222" s="671"/>
      <c r="FJ222"/>
      <c r="FK222"/>
      <c r="FL222"/>
      <c r="FM222"/>
      <c r="FN222"/>
      <c r="FO222"/>
      <c r="FP222" s="3"/>
      <c r="FS222" s="433"/>
      <c r="FT222" s="433"/>
      <c r="FU222"/>
      <c r="FV222"/>
      <c r="FW222" s="197"/>
      <c r="FX222" s="197"/>
      <c r="FY222" s="197"/>
      <c r="FZ222"/>
      <c r="GA222"/>
      <c r="GB222"/>
      <c r="GC222"/>
      <c r="GD222"/>
      <c r="GE222"/>
      <c r="GF222"/>
      <c r="GG222"/>
      <c r="GH222"/>
      <c r="GI222"/>
      <c r="GJ222"/>
      <c r="GK222"/>
      <c r="GL222"/>
      <c r="GM222"/>
      <c r="GN222"/>
      <c r="GO222"/>
      <c r="GP222"/>
      <c r="GQ222"/>
      <c r="GR222"/>
      <c r="GS222"/>
      <c r="GT222"/>
      <c r="GU222"/>
      <c r="GV222"/>
      <c r="GW222"/>
      <c r="GX222"/>
      <c r="GY222"/>
      <c r="GZ222"/>
      <c r="HA222"/>
      <c r="HB222"/>
      <c r="HC222"/>
      <c r="HD222"/>
      <c r="HE222"/>
      <c r="HF222"/>
      <c r="HG222"/>
      <c r="HH222"/>
      <c r="HI222"/>
      <c r="HJ222"/>
      <c r="HK222"/>
      <c r="HL222"/>
      <c r="HM222"/>
      <c r="HN222"/>
      <c r="HO222"/>
      <c r="HP222"/>
      <c r="HQ222"/>
      <c r="HR222"/>
      <c r="HS222"/>
      <c r="HT222"/>
      <c r="HU222"/>
      <c r="HV222"/>
      <c r="HW222"/>
      <c r="HX222"/>
      <c r="HY222"/>
      <c r="HZ222"/>
      <c r="IA222"/>
      <c r="IB222"/>
      <c r="IC222"/>
      <c r="ID222"/>
      <c r="IE222"/>
      <c r="IF222"/>
      <c r="IG222"/>
      <c r="IH222"/>
      <c r="II222"/>
      <c r="IJ222"/>
      <c r="IK222"/>
      <c r="IL222"/>
      <c r="IM222"/>
      <c r="IN222"/>
      <c r="IO222"/>
      <c r="IP222"/>
      <c r="IQ222"/>
      <c r="IR222"/>
      <c r="IS222"/>
      <c r="IT222"/>
      <c r="IU222"/>
      <c r="IV222"/>
      <c r="IW222"/>
      <c r="IX222"/>
      <c r="IY222"/>
      <c r="IZ222"/>
    </row>
    <row r="223" spans="1:260" s="4" customFormat="1" hidden="1" outlineLevel="1" x14ac:dyDescent="0.2">
      <c r="A223" s="4" t="s">
        <v>4</v>
      </c>
      <c r="E223" s="470"/>
      <c r="I223" s="470"/>
      <c r="M223" s="470"/>
      <c r="Q223" s="470"/>
      <c r="U223" s="470"/>
      <c r="Y223" s="470"/>
      <c r="AC223" s="470"/>
      <c r="AG223" s="470"/>
      <c r="AK223" s="470"/>
      <c r="AO223" s="470"/>
      <c r="AS223" s="470"/>
      <c r="AW223" s="470"/>
      <c r="BA223" s="470"/>
      <c r="BE223" s="470"/>
      <c r="BI223" s="470"/>
      <c r="BM223" s="470"/>
      <c r="BQ223" s="470"/>
      <c r="BR223" s="427"/>
      <c r="BS223" s="427"/>
      <c r="BT223" s="427"/>
      <c r="BU223" s="519"/>
      <c r="BV223" s="427"/>
      <c r="BW223" s="427"/>
      <c r="BX223" s="427"/>
      <c r="BY223" s="519"/>
      <c r="BZ223" s="427"/>
      <c r="CA223" s="427"/>
      <c r="CB223" s="427"/>
      <c r="CC223" s="519"/>
      <c r="CD223" s="77">
        <f t="shared" ref="CD223:CK223" si="970">CD222+BZ222</f>
        <v>9.0000000000000011E-3</v>
      </c>
      <c r="CE223" s="77">
        <f t="shared" si="970"/>
        <v>-4.1000000000000002E-2</v>
      </c>
      <c r="CF223" s="77">
        <f t="shared" si="970"/>
        <v>-3.7999999999999999E-2</v>
      </c>
      <c r="CG223" s="487">
        <f t="shared" si="970"/>
        <v>-6.3E-2</v>
      </c>
      <c r="CH223" s="77">
        <f t="shared" si="970"/>
        <v>-7.4999999999999997E-2</v>
      </c>
      <c r="CI223" s="77">
        <f t="shared" si="970"/>
        <v>-5.7000000000000002E-2</v>
      </c>
      <c r="CJ223" s="77">
        <f t="shared" si="970"/>
        <v>-3.9E-2</v>
      </c>
      <c r="CK223" s="487">
        <f t="shared" si="970"/>
        <v>-2E-3</v>
      </c>
      <c r="CL223" s="77">
        <f>CL222+CD222</f>
        <v>-7.4999999999999997E-2</v>
      </c>
      <c r="CM223" s="77">
        <f>CM222+CE222</f>
        <v>-5.7000000000000002E-2</v>
      </c>
      <c r="CN223" s="77">
        <f>CN222+CF222</f>
        <v>-3.9E-2</v>
      </c>
      <c r="CO223" s="487">
        <f>CO222+CG222</f>
        <v>-2E-3</v>
      </c>
      <c r="CP223" s="77">
        <f>CP222+CL222</f>
        <v>-4.9000000000000002E-2</v>
      </c>
      <c r="CQ223" s="77">
        <f>CQ222+CM222</f>
        <v>-0.02</v>
      </c>
      <c r="CR223" s="77">
        <f>CR222+CJ222</f>
        <v>-2.2000000000000002E-2</v>
      </c>
      <c r="CS223" s="487">
        <f>CS222+CK222</f>
        <v>-3.0000000000000009E-3</v>
      </c>
      <c r="CT223" s="77">
        <f>CT222+CP222</f>
        <v>-2.5000000000000001E-2</v>
      </c>
      <c r="CU223" s="77">
        <f>CU222+CM222</f>
        <v>-3.6000000000000004E-2</v>
      </c>
      <c r="CV223" s="77">
        <f>CV222+CN222</f>
        <v>-8.0000000000000002E-3</v>
      </c>
      <c r="CW223" s="487">
        <f>CW222+CO222</f>
        <v>3.6999999999999998E-2</v>
      </c>
      <c r="CX223" s="70">
        <f t="shared" ref="CX223:DE223" si="971">CX222+CT222</f>
        <v>-6.9999999999999993E-3</v>
      </c>
      <c r="CY223" s="77">
        <f t="shared" si="971"/>
        <v>1.7999999999999999E-2</v>
      </c>
      <c r="CZ223" s="77">
        <f t="shared" si="971"/>
        <v>0.04</v>
      </c>
      <c r="DA223" s="487">
        <f t="shared" si="971"/>
        <v>1.0999999999999999E-2</v>
      </c>
      <c r="DB223" s="77">
        <f t="shared" si="971"/>
        <v>5.0000000000000001E-3</v>
      </c>
      <c r="DC223" s="77">
        <f t="shared" si="971"/>
        <v>4.5999999999999999E-2</v>
      </c>
      <c r="DD223" s="70">
        <f t="shared" si="971"/>
        <v>2.5999999999999999E-2</v>
      </c>
      <c r="DE223" s="487">
        <f t="shared" si="971"/>
        <v>-2.6000000000000002E-2</v>
      </c>
      <c r="DF223" s="70">
        <f t="shared" ref="DF223:DM223" si="972">DF222+DB222</f>
        <v>1.3000000000000001E-2</v>
      </c>
      <c r="DG223" s="70">
        <f t="shared" si="972"/>
        <v>6.2E-2</v>
      </c>
      <c r="DH223" s="70">
        <f t="shared" si="972"/>
        <v>6.3E-2</v>
      </c>
      <c r="DI223" s="487">
        <f t="shared" si="972"/>
        <v>8.1000000000000003E-2</v>
      </c>
      <c r="DJ223" s="1673">
        <f t="shared" si="972"/>
        <v>4.9492354524772492E-2</v>
      </c>
      <c r="DK223" s="70">
        <f t="shared" si="972"/>
        <v>7.2262936943907161E-2</v>
      </c>
      <c r="DL223" s="70">
        <f t="shared" si="972"/>
        <v>6.0417252888211051E-2</v>
      </c>
      <c r="DM223" s="487">
        <f t="shared" si="972"/>
        <v>7.4459501297633512E-2</v>
      </c>
      <c r="DN223" s="580"/>
      <c r="DO223" s="487"/>
      <c r="DP223" s="15"/>
      <c r="DQ223" s="15"/>
      <c r="DR223" s="15"/>
      <c r="DS223" s="15"/>
      <c r="DT223" s="15"/>
      <c r="DU223" s="15"/>
      <c r="DV223" s="15"/>
      <c r="DW223" s="15"/>
      <c r="DX223" s="15"/>
      <c r="DY223" s="15"/>
      <c r="DZ223" s="15"/>
      <c r="EA223" s="15"/>
      <c r="EB223" s="15"/>
      <c r="EC223" s="15"/>
      <c r="ED223" s="15"/>
      <c r="EE223" s="15"/>
      <c r="EF223" s="15">
        <f t="shared" ref="EF223:EZ223" si="973">EF222+EE222</f>
        <v>6.8413664884963976E-2</v>
      </c>
      <c r="EG223" s="15">
        <f t="shared" si="973"/>
        <v>4.4762033605833987E-2</v>
      </c>
      <c r="EH223" s="15">
        <f t="shared" si="973"/>
        <v>0.10287435297283851</v>
      </c>
      <c r="EI223" s="15">
        <f t="shared" si="973"/>
        <v>0.12191564951033704</v>
      </c>
      <c r="EJ223" s="15">
        <f t="shared" si="973"/>
        <v>9.5389665258368533E-2</v>
      </c>
      <c r="EK223" s="15">
        <f t="shared" si="973"/>
        <v>9.1999999999999998E-2</v>
      </c>
      <c r="EL223" s="15">
        <f t="shared" si="973"/>
        <v>0.06</v>
      </c>
      <c r="EM223" s="15">
        <f t="shared" si="973"/>
        <v>6.0000000000000001E-3</v>
      </c>
      <c r="EN223" s="15">
        <f t="shared" si="973"/>
        <v>4.0000000000000018E-3</v>
      </c>
      <c r="EO223" s="15">
        <f t="shared" si="973"/>
        <v>-1.2999999999999998E-2</v>
      </c>
      <c r="EP223" s="15">
        <f t="shared" si="973"/>
        <v>-5.5075394514202583E-2</v>
      </c>
      <c r="EQ223" s="15">
        <f t="shared" si="973"/>
        <v>-4.2075394514202585E-2</v>
      </c>
      <c r="ER223" s="77">
        <f t="shared" si="973"/>
        <v>-4.7223088317305567E-2</v>
      </c>
      <c r="ES223" s="77">
        <f t="shared" si="973"/>
        <v>-4.7223088317305567E-2</v>
      </c>
      <c r="ET223" s="77">
        <f t="shared" si="973"/>
        <v>-3.4000000000000002E-2</v>
      </c>
      <c r="EU223" s="77">
        <f t="shared" si="973"/>
        <v>-2.0426432228939785E-2</v>
      </c>
      <c r="EV223" s="77">
        <f t="shared" si="973"/>
        <v>5.1947763301548062E-3</v>
      </c>
      <c r="EW223" s="77">
        <f t="shared" si="973"/>
        <v>1.4704771491801712E-2</v>
      </c>
      <c r="EX223" s="77">
        <f t="shared" si="973"/>
        <v>9.0800816985987659E-3</v>
      </c>
      <c r="EY223" s="77">
        <f t="shared" si="973"/>
        <v>5.899651876589164E-2</v>
      </c>
      <c r="EZ223" s="1680">
        <f t="shared" si="973"/>
        <v>6.6630606375747498E-2</v>
      </c>
      <c r="FA223" s="70">
        <f t="shared" ref="FA223:FH223" si="974">FA222+EZ222</f>
        <v>2.0816542563269633E-2</v>
      </c>
      <c r="FB223" s="70">
        <f t="shared" si="974"/>
        <v>2.068658311809074E-2</v>
      </c>
      <c r="FC223" s="70">
        <f t="shared" si="974"/>
        <v>2.0861474427509054E-2</v>
      </c>
      <c r="FD223" s="70">
        <f t="shared" si="974"/>
        <v>2.6139134248109205E-2</v>
      </c>
      <c r="FE223" s="70">
        <f t="shared" si="974"/>
        <v>3.1942914690896863E-2</v>
      </c>
      <c r="FF223" s="70">
        <f t="shared" si="974"/>
        <v>3.2725331721662594E-2</v>
      </c>
      <c r="FG223" s="70">
        <f t="shared" si="974"/>
        <v>3.3527337919560959E-2</v>
      </c>
      <c r="FH223" s="70">
        <f t="shared" si="974"/>
        <v>3.4348830500288405E-2</v>
      </c>
      <c r="FI223" s="671"/>
      <c r="FJ223"/>
      <c r="FK223"/>
      <c r="FL223"/>
      <c r="FM223"/>
      <c r="FN223"/>
      <c r="FO223"/>
      <c r="FP223" s="3"/>
      <c r="FS223" s="573"/>
      <c r="FT223" s="573"/>
      <c r="FU223"/>
      <c r="FV223"/>
      <c r="FW223" s="70"/>
      <c r="FX223" s="70"/>
      <c r="FY223" s="70"/>
      <c r="FZ223"/>
      <c r="GA223"/>
      <c r="GB223"/>
      <c r="GC223"/>
      <c r="GD223"/>
      <c r="GE223"/>
      <c r="GF223"/>
      <c r="GG223"/>
      <c r="GH223"/>
      <c r="GI223"/>
      <c r="GJ223"/>
      <c r="GK223"/>
      <c r="GL223"/>
      <c r="GM223"/>
      <c r="GN223"/>
      <c r="GO223"/>
      <c r="GP223"/>
      <c r="GQ223"/>
      <c r="GR223"/>
      <c r="GS223"/>
      <c r="GT223"/>
      <c r="GU223"/>
      <c r="GV223"/>
      <c r="GW223"/>
      <c r="GX223"/>
      <c r="GY223"/>
      <c r="GZ223"/>
      <c r="HA223"/>
      <c r="HB223"/>
      <c r="HC223"/>
      <c r="HD223"/>
      <c r="HE223"/>
      <c r="HF223"/>
      <c r="HG223"/>
      <c r="HH223"/>
      <c r="HI223"/>
      <c r="HJ223"/>
      <c r="HK223"/>
      <c r="HL223"/>
      <c r="HM223"/>
      <c r="HN223"/>
      <c r="HO223"/>
      <c r="HP223"/>
      <c r="HQ223"/>
      <c r="HR223"/>
      <c r="HS223"/>
      <c r="HT223"/>
      <c r="HU223"/>
      <c r="HV223"/>
      <c r="HW223"/>
      <c r="HX223"/>
      <c r="HY223"/>
      <c r="HZ223"/>
      <c r="IA223"/>
      <c r="IB223"/>
      <c r="IC223"/>
      <c r="ID223"/>
      <c r="IE223"/>
      <c r="IF223"/>
      <c r="IG223"/>
      <c r="IH223"/>
      <c r="II223"/>
      <c r="IJ223"/>
      <c r="IK223"/>
      <c r="IL223"/>
      <c r="IM223"/>
      <c r="IN223"/>
      <c r="IO223"/>
      <c r="IP223"/>
      <c r="IQ223"/>
      <c r="IR223"/>
      <c r="IS223"/>
      <c r="IT223"/>
      <c r="IU223"/>
      <c r="IV223"/>
      <c r="IW223"/>
      <c r="IX223"/>
      <c r="IY223"/>
      <c r="IZ223"/>
    </row>
    <row r="224" spans="1:260" s="4" customFormat="1" hidden="1" outlineLevel="1" x14ac:dyDescent="0.2">
      <c r="A224" s="4" t="s">
        <v>610</v>
      </c>
      <c r="E224" s="470"/>
      <c r="I224" s="470"/>
      <c r="M224" s="470"/>
      <c r="Q224" s="470"/>
      <c r="U224" s="470"/>
      <c r="Y224" s="470"/>
      <c r="AC224" s="470"/>
      <c r="AG224" s="470"/>
      <c r="AK224" s="470"/>
      <c r="AO224" s="470"/>
      <c r="AS224" s="470"/>
      <c r="AW224" s="470"/>
      <c r="BA224" s="470"/>
      <c r="BE224" s="470"/>
      <c r="BI224" s="470"/>
      <c r="BM224" s="470"/>
      <c r="BQ224" s="470"/>
      <c r="BR224" s="427"/>
      <c r="BS224" s="427"/>
      <c r="BT224" s="427"/>
      <c r="BU224" s="519"/>
      <c r="BV224" s="427"/>
      <c r="BW224" s="427"/>
      <c r="BX224" s="427"/>
      <c r="BY224" s="519"/>
      <c r="BZ224" s="427"/>
      <c r="CA224" s="427"/>
      <c r="CB224" s="427"/>
      <c r="CC224" s="519"/>
      <c r="CD224" s="77"/>
      <c r="CE224" s="77"/>
      <c r="CF224" s="77"/>
      <c r="CG224" s="487"/>
      <c r="CH224" s="77"/>
      <c r="CI224" s="77"/>
      <c r="CJ224" s="77"/>
      <c r="CK224" s="487"/>
      <c r="CL224" s="77"/>
      <c r="CM224" s="77"/>
      <c r="CN224" s="77"/>
      <c r="CO224" s="487"/>
      <c r="CP224" s="77">
        <f t="shared" ref="CP224:CW224" si="975">+CP223+CL223+CH223</f>
        <v>-0.19900000000000001</v>
      </c>
      <c r="CQ224" s="77">
        <f t="shared" si="975"/>
        <v>-0.13400000000000001</v>
      </c>
      <c r="CR224" s="77">
        <f t="shared" si="975"/>
        <v>-0.1</v>
      </c>
      <c r="CS224" s="487">
        <f t="shared" si="975"/>
        <v>-7.000000000000001E-3</v>
      </c>
      <c r="CT224" s="77">
        <f t="shared" si="975"/>
        <v>-0.14900000000000002</v>
      </c>
      <c r="CU224" s="77">
        <f t="shared" si="975"/>
        <v>-0.11300000000000002</v>
      </c>
      <c r="CV224" s="77">
        <f t="shared" si="975"/>
        <v>-6.9000000000000006E-2</v>
      </c>
      <c r="CW224" s="487">
        <f t="shared" si="975"/>
        <v>3.1999999999999994E-2</v>
      </c>
      <c r="CX224" s="70">
        <f t="shared" ref="CX224:DE224" si="976">+CX223+CT223+CP223</f>
        <v>-8.1000000000000003E-2</v>
      </c>
      <c r="CY224" s="77">
        <f t="shared" si="976"/>
        <v>-3.8000000000000006E-2</v>
      </c>
      <c r="CZ224" s="77">
        <f t="shared" si="976"/>
        <v>9.9999999999999985E-3</v>
      </c>
      <c r="DA224" s="487">
        <f t="shared" si="976"/>
        <v>4.4999999999999998E-2</v>
      </c>
      <c r="DB224" s="77">
        <f t="shared" si="976"/>
        <v>-2.7E-2</v>
      </c>
      <c r="DC224" s="77">
        <f t="shared" si="976"/>
        <v>2.7999999999999997E-2</v>
      </c>
      <c r="DD224" s="70">
        <f t="shared" si="976"/>
        <v>5.8000000000000003E-2</v>
      </c>
      <c r="DE224" s="487">
        <f t="shared" si="976"/>
        <v>2.1999999999999995E-2</v>
      </c>
      <c r="DF224" s="70">
        <f t="shared" ref="DF224:DM224" si="977">+DF223+DB223+CX223</f>
        <v>1.1000000000000003E-2</v>
      </c>
      <c r="DG224" s="70">
        <f t="shared" si="977"/>
        <v>0.126</v>
      </c>
      <c r="DH224" s="70">
        <f t="shared" si="977"/>
        <v>0.129</v>
      </c>
      <c r="DI224" s="487">
        <f t="shared" si="977"/>
        <v>6.6000000000000003E-2</v>
      </c>
      <c r="DJ224" s="1673">
        <f t="shared" si="977"/>
        <v>6.7492354524772494E-2</v>
      </c>
      <c r="DK224" s="70">
        <f t="shared" si="977"/>
        <v>0.18026293694390716</v>
      </c>
      <c r="DL224" s="70">
        <f t="shared" si="977"/>
        <v>0.14941725288821106</v>
      </c>
      <c r="DM224" s="487">
        <f t="shared" si="977"/>
        <v>0.12945950129763353</v>
      </c>
      <c r="DN224" s="580"/>
      <c r="DO224" s="487"/>
      <c r="DP224" s="15"/>
      <c r="DQ224" s="15"/>
      <c r="DR224" s="15"/>
      <c r="DS224" s="15"/>
      <c r="DT224" s="15"/>
      <c r="DU224" s="15"/>
      <c r="DV224" s="15"/>
      <c r="DW224" s="15"/>
      <c r="DX224" s="15"/>
      <c r="DY224" s="15"/>
      <c r="DZ224" s="15"/>
      <c r="EA224" s="15"/>
      <c r="EB224" s="15"/>
      <c r="EC224" s="15"/>
      <c r="ED224" s="15"/>
      <c r="EE224" s="15"/>
      <c r="EF224" s="15"/>
      <c r="EG224" s="15">
        <f t="shared" ref="EG224:EZ224" si="978">+EG222+EF222+EE222</f>
        <v>9.3762033605833989E-2</v>
      </c>
      <c r="EH224" s="15">
        <f t="shared" si="978"/>
        <v>0.12228801785780248</v>
      </c>
      <c r="EI224" s="15">
        <f t="shared" si="978"/>
        <v>0.14726401823120705</v>
      </c>
      <c r="EJ224" s="15">
        <f t="shared" si="978"/>
        <v>0.17291564951033703</v>
      </c>
      <c r="EK224" s="15">
        <f t="shared" si="978"/>
        <v>0.13638966525836854</v>
      </c>
      <c r="EL224" s="15">
        <f t="shared" si="978"/>
        <v>0.11099999999999999</v>
      </c>
      <c r="EM224" s="15">
        <f t="shared" si="978"/>
        <v>4.7E-2</v>
      </c>
      <c r="EN224" s="15">
        <f t="shared" si="978"/>
        <v>2.3E-2</v>
      </c>
      <c r="EO224" s="15">
        <f t="shared" si="978"/>
        <v>-2.5999999999999995E-2</v>
      </c>
      <c r="EP224" s="15">
        <f t="shared" si="978"/>
        <v>-3.8075394514202582E-2</v>
      </c>
      <c r="EQ224" s="15">
        <f t="shared" si="978"/>
        <v>-7.2075394514202584E-2</v>
      </c>
      <c r="ER224" s="77">
        <f t="shared" si="978"/>
        <v>-7.2298482831508151E-2</v>
      </c>
      <c r="ES224" s="77">
        <f t="shared" si="978"/>
        <v>-6.4223088317305568E-2</v>
      </c>
      <c r="ET224" s="77">
        <f t="shared" si="978"/>
        <v>-6.4223088317305568E-2</v>
      </c>
      <c r="EU224" s="580">
        <f t="shared" si="978"/>
        <v>-3.7426432228939786E-2</v>
      </c>
      <c r="EV224" s="77">
        <f t="shared" si="978"/>
        <v>-1.1805223669845195E-2</v>
      </c>
      <c r="EW224" s="77">
        <f t="shared" si="978"/>
        <v>1.127833926286193E-2</v>
      </c>
      <c r="EX224" s="77">
        <f t="shared" si="978"/>
        <v>1.7701290257693354E-2</v>
      </c>
      <c r="EY224" s="77">
        <f t="shared" si="978"/>
        <v>6.508008169859876E-2</v>
      </c>
      <c r="EZ224" s="1680">
        <f t="shared" si="978"/>
        <v>6.9627125141639143E-2</v>
      </c>
      <c r="FA224" s="161">
        <f t="shared" ref="FA224:FH224" si="979">+FA222+EZ222+EY222</f>
        <v>7.6816542563269641E-2</v>
      </c>
      <c r="FB224" s="161">
        <f t="shared" si="979"/>
        <v>3.1317189493838243E-2</v>
      </c>
      <c r="FC224" s="161">
        <f t="shared" si="979"/>
        <v>3.1047410615031183E-2</v>
      </c>
      <c r="FD224" s="161">
        <f t="shared" si="979"/>
        <v>3.6639781178677819E-2</v>
      </c>
      <c r="FE224" s="161">
        <f t="shared" si="979"/>
        <v>4.2303742187837307E-2</v>
      </c>
      <c r="FF224" s="161">
        <f t="shared" si="979"/>
        <v>4.8503638472831359E-2</v>
      </c>
      <c r="FG224" s="161">
        <f t="shared" si="979"/>
        <v>4.9691945859289058E-2</v>
      </c>
      <c r="FH224" s="161">
        <f t="shared" si="979"/>
        <v>5.0909554282222894E-2</v>
      </c>
      <c r="FI224" s="671"/>
      <c r="FJ224"/>
      <c r="FK224"/>
      <c r="FL224"/>
      <c r="FM224"/>
      <c r="FN224"/>
      <c r="FO224"/>
      <c r="FP224" s="3"/>
      <c r="FS224" s="7"/>
      <c r="FT224" s="7"/>
      <c r="FU224"/>
      <c r="FV224"/>
      <c r="FW224" s="70"/>
      <c r="FX224" s="70"/>
      <c r="FY224" s="70"/>
      <c r="FZ224"/>
      <c r="GA224"/>
      <c r="GB224"/>
      <c r="GC224"/>
      <c r="GD224"/>
      <c r="GE224"/>
      <c r="GF224"/>
      <c r="GG224"/>
      <c r="GH224"/>
      <c r="GI224"/>
      <c r="GJ224"/>
      <c r="GK224"/>
      <c r="GL224"/>
      <c r="GM224"/>
      <c r="GN224"/>
      <c r="GO224"/>
      <c r="GP224"/>
      <c r="GQ224"/>
      <c r="GR224"/>
      <c r="GS224"/>
      <c r="GT224"/>
      <c r="GU224"/>
      <c r="GV224"/>
      <c r="GW224"/>
      <c r="GX224"/>
      <c r="GY224"/>
      <c r="GZ224"/>
      <c r="HA224"/>
      <c r="HB224"/>
      <c r="HC224"/>
      <c r="HD224"/>
      <c r="HE224"/>
      <c r="HF224"/>
      <c r="HG224"/>
      <c r="HH224"/>
      <c r="HI224"/>
      <c r="HJ224"/>
      <c r="HK224"/>
      <c r="HL224"/>
      <c r="HM224"/>
      <c r="HN224"/>
      <c r="HO224"/>
      <c r="HP224"/>
      <c r="HQ224"/>
      <c r="HR224"/>
      <c r="HS224"/>
      <c r="HT224"/>
      <c r="HU224"/>
      <c r="HV224"/>
      <c r="HW224"/>
      <c r="HX224"/>
      <c r="HY224"/>
      <c r="HZ224"/>
      <c r="IA224"/>
      <c r="IB224"/>
      <c r="IC224"/>
      <c r="ID224"/>
      <c r="IE224"/>
      <c r="IF224"/>
      <c r="IG224"/>
      <c r="IH224"/>
      <c r="II224"/>
      <c r="IJ224"/>
      <c r="IK224"/>
      <c r="IL224"/>
      <c r="IM224"/>
      <c r="IN224"/>
      <c r="IO224"/>
      <c r="IP224"/>
      <c r="IQ224"/>
      <c r="IR224"/>
      <c r="IS224"/>
      <c r="IT224"/>
      <c r="IU224"/>
      <c r="IV224"/>
      <c r="IW224"/>
      <c r="IX224"/>
      <c r="IY224"/>
      <c r="IZ224"/>
    </row>
    <row r="225" spans="1:260" s="4" customFormat="1" collapsed="1" x14ac:dyDescent="0.2">
      <c r="E225" s="470"/>
      <c r="I225" s="470"/>
      <c r="M225" s="470"/>
      <c r="Q225" s="470"/>
      <c r="U225" s="470"/>
      <c r="Y225" s="470"/>
      <c r="AC225" s="470"/>
      <c r="AG225" s="470"/>
      <c r="AK225" s="470"/>
      <c r="AO225" s="470"/>
      <c r="AS225" s="470"/>
      <c r="AW225" s="470"/>
      <c r="BA225" s="470"/>
      <c r="BE225" s="470"/>
      <c r="BI225" s="470"/>
      <c r="BM225" s="470"/>
      <c r="BQ225" s="470"/>
      <c r="BR225" s="427"/>
      <c r="BS225" s="427"/>
      <c r="BT225" s="427"/>
      <c r="BU225" s="519"/>
      <c r="BV225" s="427"/>
      <c r="BW225" s="427"/>
      <c r="BX225" s="427"/>
      <c r="BY225" s="519"/>
      <c r="BZ225" s="427"/>
      <c r="CA225" s="427"/>
      <c r="CB225" s="427"/>
      <c r="CC225" s="519"/>
      <c r="CD225" s="77"/>
      <c r="CE225" s="77"/>
      <c r="CF225" s="77"/>
      <c r="CG225" s="487"/>
      <c r="CH225" s="77"/>
      <c r="CI225" s="77"/>
      <c r="CJ225" s="77"/>
      <c r="CK225" s="487"/>
      <c r="CL225" s="77"/>
      <c r="CM225" s="77"/>
      <c r="CN225" s="77"/>
      <c r="CO225" s="487"/>
      <c r="CP225" s="77"/>
      <c r="CQ225" s="77"/>
      <c r="CR225" s="77"/>
      <c r="CS225" s="487"/>
      <c r="CT225" s="77"/>
      <c r="CU225" s="77"/>
      <c r="CV225" s="77"/>
      <c r="CW225" s="487"/>
      <c r="CX225" s="77"/>
      <c r="CY225" s="77"/>
      <c r="CZ225" s="77"/>
      <c r="DA225" s="487"/>
      <c r="DB225" s="77"/>
      <c r="DC225" s="77"/>
      <c r="DD225" s="7"/>
      <c r="DE225" s="568"/>
      <c r="DF225" s="573"/>
      <c r="DG225" s="573"/>
      <c r="DH225" s="573"/>
      <c r="DI225" s="568"/>
      <c r="DJ225" s="1672"/>
      <c r="DK225" s="573"/>
      <c r="DL225" s="573"/>
      <c r="DM225" s="568"/>
      <c r="DN225" s="1211"/>
      <c r="DO225" s="484"/>
      <c r="ER225" s="77"/>
      <c r="ES225" s="77"/>
      <c r="ET225" s="70"/>
      <c r="EU225" s="70"/>
      <c r="EV225" s="77"/>
      <c r="EW225" s="77"/>
      <c r="EX225" s="77"/>
      <c r="EY225" s="77"/>
      <c r="EZ225" s="1680"/>
      <c r="FI225" s="671"/>
      <c r="FJ225"/>
      <c r="FK225"/>
      <c r="FL225"/>
      <c r="FM225"/>
      <c r="FN225"/>
      <c r="FO225"/>
      <c r="FP225" s="3"/>
      <c r="FS225" s="7"/>
      <c r="FT225" s="7"/>
      <c r="FU225"/>
      <c r="FV225"/>
      <c r="FW225" s="7"/>
      <c r="FX225" s="7"/>
      <c r="FY225" s="7"/>
      <c r="FZ225"/>
      <c r="GA225"/>
      <c r="GB225"/>
      <c r="GC225"/>
      <c r="GD225"/>
      <c r="GE225"/>
      <c r="GF225"/>
      <c r="GG225"/>
      <c r="GH225"/>
      <c r="GI225"/>
      <c r="GJ225"/>
      <c r="GK225"/>
      <c r="GL225"/>
      <c r="GM225"/>
      <c r="GN225"/>
      <c r="GO225"/>
      <c r="GP225"/>
      <c r="GQ225"/>
      <c r="GR225"/>
      <c r="GS225"/>
      <c r="GT225"/>
      <c r="GU225"/>
      <c r="GV225"/>
      <c r="GW225"/>
      <c r="GX225"/>
      <c r="GY225"/>
      <c r="GZ225"/>
      <c r="HA225"/>
      <c r="HB225"/>
      <c r="HC225"/>
      <c r="HD225"/>
      <c r="HE225"/>
      <c r="HF225"/>
      <c r="HG225"/>
      <c r="HH225"/>
      <c r="HI225"/>
      <c r="HJ225"/>
      <c r="HK225"/>
      <c r="HL225"/>
      <c r="HM225"/>
      <c r="HN225"/>
      <c r="HO225"/>
      <c r="HP225"/>
      <c r="HQ225"/>
      <c r="HR225"/>
      <c r="HS225"/>
      <c r="HT225"/>
      <c r="HU225"/>
      <c r="HV225"/>
      <c r="HW225"/>
      <c r="HX225"/>
      <c r="HY225"/>
      <c r="HZ225"/>
      <c r="IA225"/>
      <c r="IB225"/>
      <c r="IC225"/>
      <c r="ID225"/>
      <c r="IE225"/>
      <c r="IF225"/>
      <c r="IG225"/>
      <c r="IH225"/>
      <c r="II225"/>
      <c r="IJ225"/>
      <c r="IK225"/>
      <c r="IL225"/>
      <c r="IM225"/>
      <c r="IN225"/>
      <c r="IO225"/>
      <c r="IP225"/>
      <c r="IQ225"/>
      <c r="IR225"/>
      <c r="IS225"/>
      <c r="IT225"/>
      <c r="IU225"/>
      <c r="IV225"/>
      <c r="IW225"/>
      <c r="IX225"/>
      <c r="IY225"/>
      <c r="IZ225"/>
    </row>
    <row r="226" spans="1:260" customFormat="1" ht="11.25" hidden="1" customHeight="1" outlineLevel="1" x14ac:dyDescent="0.2">
      <c r="A226" s="19" t="s">
        <v>655</v>
      </c>
      <c r="CK226" s="491"/>
      <c r="CL226" s="582"/>
      <c r="CO226" s="466"/>
      <c r="CP226" s="596"/>
      <c r="CS226" s="491"/>
      <c r="CT226" s="582"/>
      <c r="CW226" s="491"/>
      <c r="CX226" s="582"/>
      <c r="DA226" s="491"/>
      <c r="DB226" s="582"/>
      <c r="DC226" s="39"/>
      <c r="DD226" s="39"/>
      <c r="DE226" s="491"/>
      <c r="DF226" s="582"/>
      <c r="DG226" s="39"/>
      <c r="DH226" s="39"/>
      <c r="DI226" s="491"/>
      <c r="DJ226" s="2713"/>
      <c r="DK226" s="134"/>
      <c r="DL226" s="134"/>
      <c r="DM226" s="491"/>
      <c r="DN226" s="582"/>
      <c r="DO226" s="466"/>
      <c r="EU226" s="596"/>
      <c r="EX226" s="39"/>
      <c r="EY226" s="39"/>
      <c r="EZ226" s="1567"/>
      <c r="FI226" s="582"/>
      <c r="FS226" s="134"/>
      <c r="FT226" s="134"/>
      <c r="FW226" s="134"/>
      <c r="FX226" s="134"/>
      <c r="FY226" s="134"/>
    </row>
    <row r="227" spans="1:260" s="1814" customFormat="1" ht="22.5" hidden="1" customHeight="1" outlineLevel="1" x14ac:dyDescent="0.2">
      <c r="A227" s="1813" t="s">
        <v>651</v>
      </c>
      <c r="B227" s="1838"/>
      <c r="C227" s="1838"/>
      <c r="D227" s="1838"/>
      <c r="E227" s="1838"/>
      <c r="F227" s="1838"/>
      <c r="G227" s="1838"/>
      <c r="H227" s="1838"/>
      <c r="I227" s="1838"/>
      <c r="J227" s="1838"/>
      <c r="K227" s="1838"/>
      <c r="L227" s="1838"/>
      <c r="M227" s="1838"/>
      <c r="N227" s="1838"/>
      <c r="O227" s="1838"/>
      <c r="P227" s="1838"/>
      <c r="Q227" s="1838"/>
      <c r="R227" s="1838"/>
      <c r="S227" s="1838"/>
      <c r="T227" s="1838"/>
      <c r="U227" s="1838"/>
      <c r="V227" s="1838"/>
      <c r="W227" s="1838"/>
      <c r="X227" s="1838"/>
      <c r="Y227" s="1838"/>
      <c r="Z227" s="1838"/>
      <c r="AA227" s="1838"/>
      <c r="AB227" s="1838"/>
      <c r="AC227" s="1838"/>
      <c r="AD227" s="1838"/>
      <c r="AE227" s="1838"/>
      <c r="AF227" s="1838"/>
      <c r="AG227" s="1838"/>
      <c r="AH227" s="1838"/>
      <c r="AI227" s="1838"/>
      <c r="AJ227" s="1838"/>
      <c r="AK227" s="1838"/>
      <c r="AL227" s="1838"/>
      <c r="AM227" s="1838"/>
      <c r="AN227" s="1838"/>
      <c r="AO227" s="1838"/>
      <c r="AP227" s="1838"/>
      <c r="AQ227" s="1838"/>
      <c r="AR227" s="1838"/>
      <c r="AS227" s="1838"/>
      <c r="AT227" s="1838"/>
      <c r="AU227" s="1838"/>
      <c r="AV227" s="1838"/>
      <c r="AW227" s="1838"/>
      <c r="AX227" s="1838"/>
      <c r="AY227" s="1838"/>
      <c r="AZ227" s="1838"/>
      <c r="BA227" s="1838"/>
      <c r="BB227" s="1838"/>
      <c r="BC227" s="1838"/>
      <c r="BD227" s="1838"/>
      <c r="BE227" s="1838"/>
      <c r="BF227" s="1838"/>
      <c r="BG227" s="1838"/>
      <c r="BH227" s="1838"/>
      <c r="BI227" s="1838"/>
      <c r="BJ227" s="1838"/>
      <c r="BK227" s="1838"/>
      <c r="BL227" s="1838"/>
      <c r="BM227" s="1838"/>
      <c r="BN227" s="1838"/>
      <c r="BO227" s="1838"/>
      <c r="BP227" s="1838"/>
      <c r="BQ227" s="1838"/>
      <c r="BR227" s="1838"/>
      <c r="BS227" s="1838"/>
      <c r="BT227" s="1838"/>
      <c r="BU227" s="1838"/>
      <c r="BV227" s="1838"/>
      <c r="BW227" s="1838"/>
      <c r="BX227" s="1838"/>
      <c r="BY227" s="1838"/>
      <c r="BZ227" s="1838"/>
      <c r="CA227" s="1838"/>
      <c r="CB227" s="1838"/>
      <c r="CC227" s="1838"/>
      <c r="CD227" s="1838"/>
      <c r="CE227" s="1838"/>
      <c r="CF227" s="1838"/>
      <c r="CG227" s="1838"/>
      <c r="CH227" s="1838"/>
      <c r="CI227" s="1838"/>
      <c r="CJ227" s="1838"/>
      <c r="CK227" s="1839"/>
      <c r="CL227" s="1840"/>
      <c r="CM227" s="1838"/>
      <c r="CN227" s="1838"/>
      <c r="CO227" s="1841" t="s">
        <v>662</v>
      </c>
      <c r="CP227" s="1842" t="s">
        <v>662</v>
      </c>
      <c r="CQ227" s="1838" t="s">
        <v>662</v>
      </c>
      <c r="CR227" s="1838" t="s">
        <v>662</v>
      </c>
      <c r="CS227" s="1839" t="s">
        <v>663</v>
      </c>
      <c r="CT227" s="1840" t="s">
        <v>663</v>
      </c>
      <c r="CU227" s="1838" t="s">
        <v>660</v>
      </c>
      <c r="CV227" s="1838" t="s">
        <v>663</v>
      </c>
      <c r="CW227" s="1839" t="s">
        <v>668</v>
      </c>
      <c r="CX227" s="1840" t="s">
        <v>668</v>
      </c>
      <c r="CY227" s="1838" t="s">
        <v>87</v>
      </c>
      <c r="CZ227" s="1838" t="s">
        <v>663</v>
      </c>
      <c r="DA227" s="1839" t="s">
        <v>661</v>
      </c>
      <c r="DB227" s="2816" t="s">
        <v>661</v>
      </c>
      <c r="DC227" s="2817" t="s">
        <v>661</v>
      </c>
      <c r="DD227" s="2817" t="s">
        <v>649</v>
      </c>
      <c r="DE227" s="2818" t="s">
        <v>650</v>
      </c>
      <c r="DF227" s="2816" t="s">
        <v>663</v>
      </c>
      <c r="DG227" s="2819" t="s">
        <v>663</v>
      </c>
      <c r="DH227" s="2819" t="s">
        <v>87</v>
      </c>
      <c r="DI227" s="2818" t="s">
        <v>752</v>
      </c>
      <c r="DJ227" s="2743"/>
      <c r="DK227" s="2583"/>
      <c r="DL227" s="2583"/>
      <c r="DM227" s="1839"/>
      <c r="DN227" s="1840"/>
      <c r="DO227" s="1841"/>
      <c r="DP227" s="1838"/>
      <c r="DQ227" s="1838"/>
      <c r="DR227" s="1838"/>
      <c r="DS227" s="1838"/>
      <c r="DT227" s="1838"/>
      <c r="DU227" s="1838"/>
      <c r="DV227" s="1838"/>
      <c r="DW227" s="1838"/>
      <c r="DX227" s="1838"/>
      <c r="DY227" s="1838"/>
      <c r="DZ227" s="1838"/>
      <c r="EA227" s="1838"/>
      <c r="EB227" s="1838"/>
      <c r="EC227" s="1838"/>
      <c r="ED227" s="1838"/>
      <c r="EE227" s="1838"/>
      <c r="EF227" s="1838"/>
      <c r="EG227" s="1838"/>
      <c r="EH227" s="1838"/>
      <c r="EI227" s="1838"/>
      <c r="EJ227" s="1838"/>
      <c r="EK227" s="1838"/>
      <c r="EL227" s="1838"/>
      <c r="EM227" s="1838"/>
      <c r="EN227" s="1838"/>
      <c r="EO227" s="1838"/>
      <c r="EP227" s="1838"/>
      <c r="EQ227" s="1838"/>
      <c r="ER227" s="1838"/>
      <c r="ES227" s="1838"/>
      <c r="ET227" s="1838"/>
      <c r="EU227" s="1842"/>
      <c r="EV227" s="1838"/>
      <c r="EW227" s="1843"/>
      <c r="EX227" s="2237" t="s">
        <v>650</v>
      </c>
      <c r="EY227" s="2786"/>
      <c r="EZ227" s="1844"/>
      <c r="FA227" s="1843"/>
      <c r="FB227" s="1843"/>
      <c r="FC227" s="1843"/>
      <c r="FD227" s="1843"/>
      <c r="FE227" s="1843"/>
      <c r="FF227" s="1843"/>
      <c r="FG227" s="1843"/>
      <c r="FH227" s="1843"/>
      <c r="FI227" s="1845"/>
      <c r="FJ227"/>
      <c r="FK227"/>
      <c r="FL227"/>
      <c r="FM227"/>
      <c r="FN227"/>
      <c r="FO227"/>
      <c r="FS227" s="1815"/>
      <c r="FT227" s="1815"/>
      <c r="FW227" s="2646"/>
      <c r="FX227" s="2646"/>
      <c r="FY227" s="2646"/>
    </row>
    <row r="228" spans="1:260" s="1814" customFormat="1" ht="22.5" hidden="1" customHeight="1" outlineLevel="1" x14ac:dyDescent="0.2">
      <c r="A228" s="1813" t="s">
        <v>652</v>
      </c>
      <c r="B228" s="1838"/>
      <c r="C228" s="1838"/>
      <c r="D228" s="1838"/>
      <c r="E228" s="1838"/>
      <c r="F228" s="1838"/>
      <c r="G228" s="1838"/>
      <c r="H228" s="1838"/>
      <c r="I228" s="1838"/>
      <c r="J228" s="1838"/>
      <c r="K228" s="1838"/>
      <c r="L228" s="1838"/>
      <c r="M228" s="1838"/>
      <c r="N228" s="1838"/>
      <c r="O228" s="1838"/>
      <c r="P228" s="1838"/>
      <c r="Q228" s="1838"/>
      <c r="R228" s="1838"/>
      <c r="S228" s="1838"/>
      <c r="T228" s="1838"/>
      <c r="U228" s="1838"/>
      <c r="V228" s="1838"/>
      <c r="W228" s="1838"/>
      <c r="X228" s="1838"/>
      <c r="Y228" s="1838"/>
      <c r="Z228" s="1838"/>
      <c r="AA228" s="1838"/>
      <c r="AB228" s="1838"/>
      <c r="AC228" s="1838"/>
      <c r="AD228" s="1838"/>
      <c r="AE228" s="1838"/>
      <c r="AF228" s="1838"/>
      <c r="AG228" s="1838"/>
      <c r="AH228" s="1838"/>
      <c r="AI228" s="1838"/>
      <c r="AJ228" s="1838"/>
      <c r="AK228" s="1838"/>
      <c r="AL228" s="1838"/>
      <c r="AM228" s="1838"/>
      <c r="AN228" s="1838"/>
      <c r="AO228" s="1838"/>
      <c r="AP228" s="1838"/>
      <c r="AQ228" s="1838"/>
      <c r="AR228" s="1838"/>
      <c r="AS228" s="1838"/>
      <c r="AT228" s="1838"/>
      <c r="AU228" s="1838"/>
      <c r="AV228" s="1838"/>
      <c r="AW228" s="1838"/>
      <c r="AX228" s="1838"/>
      <c r="AY228" s="1838"/>
      <c r="AZ228" s="1838"/>
      <c r="BA228" s="1838"/>
      <c r="BB228" s="1838"/>
      <c r="BC228" s="1838"/>
      <c r="BD228" s="1838"/>
      <c r="BE228" s="1838"/>
      <c r="BF228" s="1838"/>
      <c r="BG228" s="1838"/>
      <c r="BH228" s="1838"/>
      <c r="BI228" s="1838"/>
      <c r="BJ228" s="1838"/>
      <c r="BK228" s="1838"/>
      <c r="BL228" s="1838"/>
      <c r="BM228" s="1838"/>
      <c r="BN228" s="1838"/>
      <c r="BO228" s="1838"/>
      <c r="BP228" s="1838"/>
      <c r="BQ228" s="1838"/>
      <c r="BR228" s="1838"/>
      <c r="BS228" s="1838"/>
      <c r="BT228" s="1838"/>
      <c r="BU228" s="1838"/>
      <c r="BV228" s="1838"/>
      <c r="BW228" s="1838"/>
      <c r="BX228" s="1838"/>
      <c r="BY228" s="1838"/>
      <c r="BZ228" s="1838"/>
      <c r="CA228" s="1838"/>
      <c r="CB228" s="1838"/>
      <c r="CC228" s="1838"/>
      <c r="CD228" s="1838"/>
      <c r="CE228" s="1838"/>
      <c r="CF228" s="1838"/>
      <c r="CG228" s="1838"/>
      <c r="CH228" s="1838"/>
      <c r="CI228" s="1838"/>
      <c r="CJ228" s="1838"/>
      <c r="CK228" s="1839"/>
      <c r="CL228" s="1840"/>
      <c r="CM228" s="1838"/>
      <c r="CN228" s="1838"/>
      <c r="CO228" s="1841" t="s">
        <v>664</v>
      </c>
      <c r="CP228" s="1842" t="s">
        <v>87</v>
      </c>
      <c r="CQ228" s="1838" t="s">
        <v>87</v>
      </c>
      <c r="CR228" s="1838" t="s">
        <v>87</v>
      </c>
      <c r="CS228" s="1839" t="s">
        <v>87</v>
      </c>
      <c r="CT228" s="1840" t="s">
        <v>660</v>
      </c>
      <c r="CU228" s="1838" t="s">
        <v>663</v>
      </c>
      <c r="CV228" s="1838" t="s">
        <v>660</v>
      </c>
      <c r="CW228" s="1839" t="s">
        <v>662</v>
      </c>
      <c r="CX228" s="1840" t="s">
        <v>662</v>
      </c>
      <c r="CY228" s="1838" t="s">
        <v>668</v>
      </c>
      <c r="CZ228" s="1838" t="s">
        <v>87</v>
      </c>
      <c r="DA228" s="1839" t="s">
        <v>649</v>
      </c>
      <c r="DB228" s="2816" t="s">
        <v>649</v>
      </c>
      <c r="DC228" s="2817" t="s">
        <v>649</v>
      </c>
      <c r="DD228" s="2817" t="s">
        <v>662</v>
      </c>
      <c r="DE228" s="2818" t="s">
        <v>663</v>
      </c>
      <c r="DF228" s="2816" t="s">
        <v>650</v>
      </c>
      <c r="DG228" s="2819" t="s">
        <v>742</v>
      </c>
      <c r="DH228" s="2819" t="s">
        <v>663</v>
      </c>
      <c r="DI228" s="2818" t="s">
        <v>753</v>
      </c>
      <c r="DJ228" s="2743"/>
      <c r="DK228" s="2583"/>
      <c r="DL228" s="2583"/>
      <c r="DM228" s="1839"/>
      <c r="DN228" s="1840"/>
      <c r="DO228" s="1841"/>
      <c r="DP228" s="1838"/>
      <c r="DQ228" s="1838"/>
      <c r="DR228" s="1838"/>
      <c r="DS228" s="1838"/>
      <c r="DT228" s="1838"/>
      <c r="DU228" s="1838"/>
      <c r="DV228" s="1838"/>
      <c r="DW228" s="1838"/>
      <c r="DX228" s="1838"/>
      <c r="DY228" s="1838"/>
      <c r="DZ228" s="1838"/>
      <c r="EA228" s="1838"/>
      <c r="EB228" s="1838"/>
      <c r="EC228" s="1838"/>
      <c r="ED228" s="1838"/>
      <c r="EE228" s="1838"/>
      <c r="EF228" s="1838"/>
      <c r="EG228" s="1838"/>
      <c r="EH228" s="1838"/>
      <c r="EI228" s="1838"/>
      <c r="EJ228" s="1838"/>
      <c r="EK228" s="1838"/>
      <c r="EL228" s="1838"/>
      <c r="EM228" s="1838"/>
      <c r="EN228" s="1838"/>
      <c r="EO228" s="1838"/>
      <c r="EP228" s="1838"/>
      <c r="EQ228" s="1838"/>
      <c r="ER228" s="1838"/>
      <c r="ES228" s="1838"/>
      <c r="ET228" s="1838"/>
      <c r="EU228" s="1842"/>
      <c r="EV228" s="1838"/>
      <c r="EW228" s="1843"/>
      <c r="EX228" s="2237" t="s">
        <v>727</v>
      </c>
      <c r="EY228" s="2786"/>
      <c r="EZ228" s="1844"/>
      <c r="FA228" s="1843"/>
      <c r="FB228" s="1843"/>
      <c r="FC228" s="1843"/>
      <c r="FD228" s="1843"/>
      <c r="FE228" s="1843"/>
      <c r="FF228" s="1843"/>
      <c r="FG228" s="1843"/>
      <c r="FH228" s="1843"/>
      <c r="FI228" s="1845"/>
      <c r="FJ228"/>
      <c r="FK228"/>
      <c r="FL228"/>
      <c r="FM228"/>
      <c r="FN228"/>
      <c r="FO228"/>
      <c r="FS228" s="1815"/>
      <c r="FT228" s="1815"/>
      <c r="FW228" s="2646"/>
      <c r="FX228" s="2646"/>
      <c r="FY228" s="2646"/>
    </row>
    <row r="229" spans="1:260" s="1814" customFormat="1" ht="22.5" hidden="1" customHeight="1" outlineLevel="1" x14ac:dyDescent="0.2">
      <c r="A229" s="1813" t="s">
        <v>653</v>
      </c>
      <c r="B229" s="1838"/>
      <c r="C229" s="1838"/>
      <c r="D229" s="1838"/>
      <c r="E229" s="1838"/>
      <c r="F229" s="1838"/>
      <c r="G229" s="1838"/>
      <c r="H229" s="1838"/>
      <c r="I229" s="1838"/>
      <c r="J229" s="1838"/>
      <c r="K229" s="1838"/>
      <c r="L229" s="1838"/>
      <c r="M229" s="1838"/>
      <c r="N229" s="1838"/>
      <c r="O229" s="1838"/>
      <c r="P229" s="1838"/>
      <c r="Q229" s="1838"/>
      <c r="R229" s="1838"/>
      <c r="S229" s="1838"/>
      <c r="T229" s="1838"/>
      <c r="U229" s="1838"/>
      <c r="V229" s="1838"/>
      <c r="W229" s="1838"/>
      <c r="X229" s="1838"/>
      <c r="Y229" s="1838"/>
      <c r="Z229" s="1838"/>
      <c r="AA229" s="1838"/>
      <c r="AB229" s="1838"/>
      <c r="AC229" s="1838"/>
      <c r="AD229" s="1838"/>
      <c r="AE229" s="1838"/>
      <c r="AF229" s="1838"/>
      <c r="AG229" s="1838"/>
      <c r="AH229" s="1838"/>
      <c r="AI229" s="1838"/>
      <c r="AJ229" s="1838"/>
      <c r="AK229" s="1838"/>
      <c r="AL229" s="1838"/>
      <c r="AM229" s="1838"/>
      <c r="AN229" s="1838"/>
      <c r="AO229" s="1838"/>
      <c r="AP229" s="1838"/>
      <c r="AQ229" s="1838"/>
      <c r="AR229" s="1838"/>
      <c r="AS229" s="1838"/>
      <c r="AT229" s="1838"/>
      <c r="AU229" s="1838"/>
      <c r="AV229" s="1838"/>
      <c r="AW229" s="1838"/>
      <c r="AX229" s="1838"/>
      <c r="AY229" s="1838"/>
      <c r="AZ229" s="1838"/>
      <c r="BA229" s="1838"/>
      <c r="BB229" s="1838"/>
      <c r="BC229" s="1838"/>
      <c r="BD229" s="1838"/>
      <c r="BE229" s="1838"/>
      <c r="BF229" s="1838"/>
      <c r="BG229" s="1838"/>
      <c r="BH229" s="1838"/>
      <c r="BI229" s="1838"/>
      <c r="BJ229" s="1838"/>
      <c r="BK229" s="1838"/>
      <c r="BL229" s="1838"/>
      <c r="BM229" s="1838"/>
      <c r="BN229" s="1838"/>
      <c r="BO229" s="1838"/>
      <c r="BP229" s="1838"/>
      <c r="BQ229" s="1838"/>
      <c r="BR229" s="1838"/>
      <c r="BS229" s="1838"/>
      <c r="BT229" s="1838"/>
      <c r="BU229" s="1838"/>
      <c r="BV229" s="1838"/>
      <c r="BW229" s="1838"/>
      <c r="BX229" s="1838"/>
      <c r="BY229" s="1838"/>
      <c r="BZ229" s="1838"/>
      <c r="CA229" s="1838"/>
      <c r="CB229" s="1838"/>
      <c r="CC229" s="1838"/>
      <c r="CD229" s="1838"/>
      <c r="CE229" s="1838"/>
      <c r="CF229" s="1838"/>
      <c r="CG229" s="1838"/>
      <c r="CH229" s="1838"/>
      <c r="CI229" s="1838"/>
      <c r="CJ229" s="1838"/>
      <c r="CK229" s="1839"/>
      <c r="CL229" s="1840"/>
      <c r="CM229" s="1838"/>
      <c r="CN229" s="1838"/>
      <c r="CO229" s="1841" t="s">
        <v>87</v>
      </c>
      <c r="CP229" s="1842"/>
      <c r="CQ229" s="1838"/>
      <c r="CR229" s="1838" t="s">
        <v>675</v>
      </c>
      <c r="CS229" s="1839" t="s">
        <v>660</v>
      </c>
      <c r="CT229" s="1840" t="s">
        <v>87</v>
      </c>
      <c r="CU229" s="1838" t="s">
        <v>87</v>
      </c>
      <c r="CV229" s="1838" t="s">
        <v>668</v>
      </c>
      <c r="CW229" s="1839" t="s">
        <v>663</v>
      </c>
      <c r="CX229" s="1840" t="s">
        <v>87</v>
      </c>
      <c r="CY229" s="1838" t="s">
        <v>662</v>
      </c>
      <c r="CZ229" s="1838" t="s">
        <v>661</v>
      </c>
      <c r="DA229" s="1839" t="s">
        <v>87</v>
      </c>
      <c r="DB229" s="2816" t="s">
        <v>87</v>
      </c>
      <c r="DC229" s="2817" t="s">
        <v>87</v>
      </c>
      <c r="DD229" s="2817" t="s">
        <v>661</v>
      </c>
      <c r="DE229" s="2818" t="s">
        <v>706</v>
      </c>
      <c r="DF229" s="2816" t="s">
        <v>660</v>
      </c>
      <c r="DG229" s="2819" t="s">
        <v>743</v>
      </c>
      <c r="DH229" s="2819" t="s">
        <v>743</v>
      </c>
      <c r="DI229" s="2818" t="s">
        <v>87</v>
      </c>
      <c r="DJ229" s="2743"/>
      <c r="DK229" s="2583"/>
      <c r="DL229" s="2583"/>
      <c r="DM229" s="1839"/>
      <c r="DN229" s="1840"/>
      <c r="DO229" s="1841"/>
      <c r="DP229" s="1838"/>
      <c r="DQ229" s="1838"/>
      <c r="DR229" s="1838"/>
      <c r="DS229" s="1838"/>
      <c r="DT229" s="1838"/>
      <c r="DU229" s="1838"/>
      <c r="DV229" s="1838"/>
      <c r="DW229" s="1838"/>
      <c r="DX229" s="1838"/>
      <c r="DY229" s="1838"/>
      <c r="DZ229" s="1838"/>
      <c r="EA229" s="1838"/>
      <c r="EB229" s="1838"/>
      <c r="EC229" s="1838"/>
      <c r="ED229" s="1838"/>
      <c r="EE229" s="1838"/>
      <c r="EF229" s="1838"/>
      <c r="EG229" s="1838"/>
      <c r="EH229" s="1838"/>
      <c r="EI229" s="1838"/>
      <c r="EJ229" s="1838"/>
      <c r="EK229" s="1838"/>
      <c r="EL229" s="1838"/>
      <c r="EM229" s="1838"/>
      <c r="EN229" s="1838"/>
      <c r="EO229" s="1838"/>
      <c r="EP229" s="1838"/>
      <c r="EQ229" s="1838"/>
      <c r="ER229" s="1838"/>
      <c r="ES229" s="1838"/>
      <c r="ET229" s="1838"/>
      <c r="EU229" s="1842"/>
      <c r="EV229" s="1838"/>
      <c r="EW229" s="1843"/>
      <c r="EX229" s="2237" t="s">
        <v>728</v>
      </c>
      <c r="EY229" s="2786"/>
      <c r="EZ229" s="1844"/>
      <c r="FA229" s="1843"/>
      <c r="FB229" s="1843"/>
      <c r="FC229" s="1843"/>
      <c r="FD229" s="1843"/>
      <c r="FE229" s="1843"/>
      <c r="FF229" s="1843"/>
      <c r="FG229" s="1843"/>
      <c r="FH229" s="1843"/>
      <c r="FI229" s="1845"/>
      <c r="FJ229"/>
      <c r="FK229"/>
      <c r="FL229"/>
      <c r="FM229"/>
      <c r="FN229"/>
      <c r="FO229"/>
      <c r="FS229" s="1815"/>
      <c r="FT229" s="1815"/>
      <c r="FW229" s="2646"/>
      <c r="FX229" s="2646"/>
      <c r="FY229" s="2646"/>
    </row>
    <row r="230" spans="1:260" s="1814" customFormat="1" ht="22.5" hidden="1" customHeight="1" outlineLevel="1" x14ac:dyDescent="0.2">
      <c r="A230" s="1813" t="s">
        <v>654</v>
      </c>
      <c r="B230" s="1838"/>
      <c r="C230" s="1838"/>
      <c r="D230" s="1838"/>
      <c r="E230" s="1838"/>
      <c r="F230" s="1838"/>
      <c r="G230" s="1838"/>
      <c r="H230" s="1838"/>
      <c r="I230" s="1838"/>
      <c r="J230" s="1838"/>
      <c r="K230" s="1838"/>
      <c r="L230" s="1838"/>
      <c r="M230" s="1838"/>
      <c r="N230" s="1838"/>
      <c r="O230" s="1838"/>
      <c r="P230" s="1838"/>
      <c r="Q230" s="1838"/>
      <c r="R230" s="1838"/>
      <c r="S230" s="1838"/>
      <c r="T230" s="1838"/>
      <c r="U230" s="1838"/>
      <c r="V230" s="1838"/>
      <c r="W230" s="1838"/>
      <c r="X230" s="1838"/>
      <c r="Y230" s="1838"/>
      <c r="Z230" s="1838"/>
      <c r="AA230" s="1838"/>
      <c r="AB230" s="1838"/>
      <c r="AC230" s="1838"/>
      <c r="AD230" s="1838"/>
      <c r="AE230" s="1838"/>
      <c r="AF230" s="1838"/>
      <c r="AG230" s="1838"/>
      <c r="AH230" s="1838"/>
      <c r="AI230" s="1838"/>
      <c r="AJ230" s="1838"/>
      <c r="AK230" s="1838"/>
      <c r="AL230" s="1838"/>
      <c r="AM230" s="1838"/>
      <c r="AN230" s="1838"/>
      <c r="AO230" s="1838"/>
      <c r="AP230" s="1838"/>
      <c r="AQ230" s="1838"/>
      <c r="AR230" s="1838"/>
      <c r="AS230" s="1838"/>
      <c r="AT230" s="1838"/>
      <c r="AU230" s="1838"/>
      <c r="AV230" s="1838"/>
      <c r="AW230" s="1838"/>
      <c r="AX230" s="1838"/>
      <c r="AY230" s="1838"/>
      <c r="AZ230" s="1838"/>
      <c r="BA230" s="1838"/>
      <c r="BB230" s="1838"/>
      <c r="BC230" s="1838"/>
      <c r="BD230" s="1838"/>
      <c r="BE230" s="1838"/>
      <c r="BF230" s="1838"/>
      <c r="BG230" s="1838"/>
      <c r="BH230" s="1838"/>
      <c r="BI230" s="1838"/>
      <c r="BJ230" s="1838"/>
      <c r="BK230" s="1838"/>
      <c r="BL230" s="1838"/>
      <c r="BM230" s="1838"/>
      <c r="BN230" s="1838"/>
      <c r="BO230" s="1838"/>
      <c r="BP230" s="1838"/>
      <c r="BQ230" s="1838"/>
      <c r="BR230" s="1838"/>
      <c r="BS230" s="1838"/>
      <c r="BT230" s="1838"/>
      <c r="BU230" s="1838"/>
      <c r="BV230" s="1838"/>
      <c r="BW230" s="1838"/>
      <c r="BX230" s="1838"/>
      <c r="BY230" s="1838"/>
      <c r="BZ230" s="1838"/>
      <c r="CA230" s="1838"/>
      <c r="CB230" s="1838"/>
      <c r="CC230" s="1838"/>
      <c r="CD230" s="1838"/>
      <c r="CE230" s="1838"/>
      <c r="CF230" s="1838"/>
      <c r="CG230" s="1838"/>
      <c r="CH230" s="1838"/>
      <c r="CI230" s="1838"/>
      <c r="CJ230" s="1838"/>
      <c r="CK230" s="1839"/>
      <c r="CL230" s="1840"/>
      <c r="CM230" s="1838"/>
      <c r="CN230" s="1838"/>
      <c r="CO230" s="1841"/>
      <c r="CP230" s="1842"/>
      <c r="CQ230" s="1838"/>
      <c r="CR230" s="1838"/>
      <c r="CS230" s="1839"/>
      <c r="CT230" s="1840"/>
      <c r="CU230" s="1838" t="s">
        <v>668</v>
      </c>
      <c r="CV230" s="1838" t="s">
        <v>87</v>
      </c>
      <c r="CW230" s="1839"/>
      <c r="CX230" s="1840"/>
      <c r="CY230" s="1838" t="s">
        <v>669</v>
      </c>
      <c r="CZ230" s="1838" t="s">
        <v>668</v>
      </c>
      <c r="DA230" s="1839"/>
      <c r="DB230" s="2816" t="s">
        <v>663</v>
      </c>
      <c r="DC230" s="2817"/>
      <c r="DD230" s="2817" t="s">
        <v>650</v>
      </c>
      <c r="DE230" s="2818" t="s">
        <v>649</v>
      </c>
      <c r="DF230" s="2816"/>
      <c r="DG230" s="2819" t="s">
        <v>662</v>
      </c>
      <c r="DH230" s="2819"/>
      <c r="DI230" s="2818" t="s">
        <v>743</v>
      </c>
      <c r="DJ230" s="2743"/>
      <c r="DK230" s="2583"/>
      <c r="DL230" s="2583"/>
      <c r="DM230" s="1839"/>
      <c r="DN230" s="1840"/>
      <c r="DO230" s="1841"/>
      <c r="DP230" s="1838"/>
      <c r="DQ230" s="1838"/>
      <c r="DR230" s="1838"/>
      <c r="DS230" s="1838"/>
      <c r="DT230" s="1838"/>
      <c r="DU230" s="1838"/>
      <c r="DV230" s="1838"/>
      <c r="DW230" s="1838"/>
      <c r="DX230" s="1838"/>
      <c r="DY230" s="1838"/>
      <c r="DZ230" s="1838"/>
      <c r="EA230" s="1838"/>
      <c r="EB230" s="1838"/>
      <c r="EC230" s="1838"/>
      <c r="ED230" s="1838"/>
      <c r="EE230" s="1838"/>
      <c r="EF230" s="1838"/>
      <c r="EG230" s="1838"/>
      <c r="EH230" s="1838"/>
      <c r="EI230" s="1838"/>
      <c r="EJ230" s="1838"/>
      <c r="EK230" s="1838"/>
      <c r="EL230" s="1838"/>
      <c r="EM230" s="1838"/>
      <c r="EN230" s="1838"/>
      <c r="EO230" s="1838"/>
      <c r="EP230" s="1838"/>
      <c r="EQ230" s="1838"/>
      <c r="ER230" s="1838"/>
      <c r="ES230" s="1838"/>
      <c r="ET230" s="1838"/>
      <c r="EU230" s="1842"/>
      <c r="EV230" s="1838"/>
      <c r="EW230" s="1843"/>
      <c r="EX230" s="2237" t="s">
        <v>87</v>
      </c>
      <c r="EY230" s="2786"/>
      <c r="EZ230" s="1844"/>
      <c r="FA230" s="1843"/>
      <c r="FB230" s="1843"/>
      <c r="FC230" s="1843"/>
      <c r="FD230" s="1843"/>
      <c r="FE230" s="1843"/>
      <c r="FF230" s="1843"/>
      <c r="FG230" s="1843"/>
      <c r="FH230" s="1843"/>
      <c r="FI230" s="1845"/>
      <c r="FJ230"/>
      <c r="FK230"/>
      <c r="FL230"/>
      <c r="FM230"/>
      <c r="FN230"/>
      <c r="FO230"/>
      <c r="FS230" s="1815"/>
      <c r="FT230" s="1815"/>
      <c r="FW230" s="2646"/>
      <c r="FX230" s="2646"/>
      <c r="FY230" s="2646"/>
    </row>
    <row r="231" spans="1:260" customFormat="1" ht="11.25" hidden="1" customHeight="1" outlineLevel="1" x14ac:dyDescent="0.2">
      <c r="B231" s="1846"/>
      <c r="C231" s="1846"/>
      <c r="D231" s="1846"/>
      <c r="E231" s="1846"/>
      <c r="F231" s="1846"/>
      <c r="G231" s="1846"/>
      <c r="H231" s="1846"/>
      <c r="I231" s="1846"/>
      <c r="J231" s="1846"/>
      <c r="K231" s="1846"/>
      <c r="L231" s="1846"/>
      <c r="M231" s="1846"/>
      <c r="N231" s="1846"/>
      <c r="O231" s="1846"/>
      <c r="P231" s="1846"/>
      <c r="Q231" s="1846"/>
      <c r="R231" s="1846"/>
      <c r="S231" s="1846"/>
      <c r="T231" s="1846"/>
      <c r="U231" s="1846"/>
      <c r="V231" s="1846"/>
      <c r="W231" s="1846"/>
      <c r="X231" s="1846"/>
      <c r="Y231" s="1846"/>
      <c r="Z231" s="1846"/>
      <c r="AA231" s="1846"/>
      <c r="AB231" s="1846"/>
      <c r="AC231" s="1846"/>
      <c r="AD231" s="1846"/>
      <c r="AE231" s="1846"/>
      <c r="AF231" s="1846"/>
      <c r="AG231" s="1846"/>
      <c r="AH231" s="1846"/>
      <c r="AI231" s="1846"/>
      <c r="AJ231" s="1846"/>
      <c r="AK231" s="1846"/>
      <c r="AL231" s="1846"/>
      <c r="AM231" s="1846"/>
      <c r="AN231" s="1846"/>
      <c r="AO231" s="1846"/>
      <c r="AP231" s="1846"/>
      <c r="AQ231" s="1846"/>
      <c r="AR231" s="1846"/>
      <c r="AS231" s="1846"/>
      <c r="AT231" s="1846"/>
      <c r="AU231" s="1846"/>
      <c r="AV231" s="1846"/>
      <c r="AW231" s="1846"/>
      <c r="AX231" s="1846"/>
      <c r="AY231" s="1846"/>
      <c r="AZ231" s="1846"/>
      <c r="BA231" s="1846"/>
      <c r="BB231" s="1846"/>
      <c r="BC231" s="1846"/>
      <c r="BD231" s="1846"/>
      <c r="BE231" s="1846"/>
      <c r="BF231" s="1846"/>
      <c r="BG231" s="1846"/>
      <c r="BH231" s="1846"/>
      <c r="BI231" s="1846"/>
      <c r="BJ231" s="1846"/>
      <c r="BK231" s="1846"/>
      <c r="BL231" s="1846"/>
      <c r="BM231" s="1846"/>
      <c r="BN231" s="1846"/>
      <c r="BO231" s="1846"/>
      <c r="BP231" s="1846"/>
      <c r="BQ231" s="1846"/>
      <c r="BR231" s="1846"/>
      <c r="BS231" s="1846"/>
      <c r="BT231" s="1846"/>
      <c r="BU231" s="1846"/>
      <c r="BV231" s="1846"/>
      <c r="BW231" s="1846"/>
      <c r="BX231" s="1846"/>
      <c r="BY231" s="1846"/>
      <c r="BZ231" s="1846"/>
      <c r="CA231" s="1846"/>
      <c r="CB231" s="1846"/>
      <c r="CC231" s="1846"/>
      <c r="CD231" s="1846"/>
      <c r="CE231" s="1846"/>
      <c r="CF231" s="1846"/>
      <c r="CG231" s="1846"/>
      <c r="CH231" s="1846"/>
      <c r="CI231" s="1846"/>
      <c r="CJ231" s="1846"/>
      <c r="CK231" s="1847"/>
      <c r="CL231" s="1848"/>
      <c r="CM231" s="1846"/>
      <c r="CN231" s="1846"/>
      <c r="CO231" s="1849"/>
      <c r="CP231" s="1850"/>
      <c r="CQ231" s="1846"/>
      <c r="CR231" s="1846"/>
      <c r="CS231" s="1847"/>
      <c r="CT231" s="1848"/>
      <c r="CU231" s="1846"/>
      <c r="CV231" s="1846"/>
      <c r="CW231" s="1847"/>
      <c r="CX231" s="1848"/>
      <c r="CY231" s="1846"/>
      <c r="CZ231" s="1846"/>
      <c r="DA231" s="1847"/>
      <c r="DB231" s="2820"/>
      <c r="DC231" s="2821"/>
      <c r="DD231" s="2821"/>
      <c r="DE231" s="2822"/>
      <c r="DF231" s="2820"/>
      <c r="DG231" s="2823"/>
      <c r="DH231" s="2823"/>
      <c r="DI231" s="2822"/>
      <c r="DJ231" s="2744"/>
      <c r="DK231" s="2584"/>
      <c r="DL231" s="2584"/>
      <c r="DM231" s="1847"/>
      <c r="DN231" s="1848"/>
      <c r="DO231" s="1849"/>
      <c r="DP231" s="1846"/>
      <c r="DQ231" s="1846"/>
      <c r="DR231" s="1846"/>
      <c r="DS231" s="1846"/>
      <c r="DT231" s="1846"/>
      <c r="DU231" s="1846"/>
      <c r="DV231" s="1846"/>
      <c r="DW231" s="1846"/>
      <c r="DX231" s="1846"/>
      <c r="DY231" s="1846"/>
      <c r="DZ231" s="1846"/>
      <c r="EA231" s="1846"/>
      <c r="EB231" s="1846"/>
      <c r="EC231" s="1846"/>
      <c r="ED231" s="1846"/>
      <c r="EE231" s="1846"/>
      <c r="EF231" s="1846"/>
      <c r="EG231" s="1846"/>
      <c r="EH231" s="1846"/>
      <c r="EI231" s="1846"/>
      <c r="EJ231" s="1846"/>
      <c r="EK231" s="1846"/>
      <c r="EL231" s="1846"/>
      <c r="EM231" s="1846"/>
      <c r="EN231" s="1846"/>
      <c r="EO231" s="1846"/>
      <c r="EP231" s="1846"/>
      <c r="EQ231" s="1846"/>
      <c r="ER231" s="1846"/>
      <c r="ES231" s="1846"/>
      <c r="ET231" s="1846"/>
      <c r="EU231" s="1850"/>
      <c r="EV231" s="1846"/>
      <c r="EW231" s="1846"/>
      <c r="EX231" s="2239"/>
      <c r="EY231" s="2239"/>
      <c r="EZ231" s="1851"/>
      <c r="FA231" s="1846"/>
      <c r="FB231" s="1846"/>
      <c r="FC231" s="1846"/>
      <c r="FD231" s="1846"/>
      <c r="FE231" s="1846"/>
      <c r="FF231" s="1846"/>
      <c r="FG231" s="1846"/>
      <c r="FH231" s="1846"/>
      <c r="FI231" s="1848"/>
      <c r="FS231" s="134"/>
      <c r="FT231" s="134"/>
      <c r="FW231" s="2584"/>
      <c r="FX231" s="2584"/>
      <c r="FY231" s="2584"/>
    </row>
    <row r="232" spans="1:260" customFormat="1" ht="11.25" hidden="1" customHeight="1" outlineLevel="1" x14ac:dyDescent="0.2">
      <c r="A232" s="19" t="s">
        <v>678</v>
      </c>
      <c r="CK232" s="491"/>
      <c r="CL232" s="582"/>
      <c r="CO232" s="466"/>
      <c r="CP232" s="596"/>
      <c r="CS232" s="491"/>
      <c r="CT232" s="582"/>
      <c r="CW232" s="491"/>
      <c r="CX232" s="582"/>
      <c r="DA232" s="491"/>
      <c r="DB232" s="2824"/>
      <c r="DC232" s="2825"/>
      <c r="DD232" s="2825"/>
      <c r="DE232" s="2826"/>
      <c r="DF232" s="2824"/>
      <c r="DG232" s="2827"/>
      <c r="DH232" s="2827"/>
      <c r="DI232" s="2826"/>
      <c r="DJ232" s="2713"/>
      <c r="DK232" s="134"/>
      <c r="DL232" s="134"/>
      <c r="DM232" s="491"/>
      <c r="DN232" s="582"/>
      <c r="DO232" s="466"/>
      <c r="EU232" s="596"/>
      <c r="EX232" s="2240"/>
      <c r="EY232" s="2240"/>
      <c r="EZ232" s="1567"/>
      <c r="FI232" s="582"/>
      <c r="FS232" s="134"/>
      <c r="FT232" s="134"/>
      <c r="FW232" s="134"/>
      <c r="FX232" s="134"/>
      <c r="FY232" s="134"/>
    </row>
    <row r="233" spans="1:260" s="1814" customFormat="1" ht="22.5" hidden="1" customHeight="1" outlineLevel="1" x14ac:dyDescent="0.2">
      <c r="A233" s="1813" t="s">
        <v>656</v>
      </c>
      <c r="B233" s="1829"/>
      <c r="C233" s="1829"/>
      <c r="D233" s="1829"/>
      <c r="E233" s="1829"/>
      <c r="F233" s="1829"/>
      <c r="G233" s="1829"/>
      <c r="H233" s="1829"/>
      <c r="I233" s="1829"/>
      <c r="J233" s="1829"/>
      <c r="K233" s="1829"/>
      <c r="L233" s="1829"/>
      <c r="M233" s="1829"/>
      <c r="N233" s="1829"/>
      <c r="O233" s="1829"/>
      <c r="P233" s="1829"/>
      <c r="Q233" s="1829"/>
      <c r="R233" s="1829"/>
      <c r="S233" s="1829"/>
      <c r="T233" s="1829"/>
      <c r="U233" s="1829"/>
      <c r="V233" s="1829"/>
      <c r="W233" s="1829"/>
      <c r="X233" s="1829"/>
      <c r="Y233" s="1829"/>
      <c r="Z233" s="1829"/>
      <c r="AA233" s="1829"/>
      <c r="AB233" s="1829"/>
      <c r="AC233" s="1829"/>
      <c r="AD233" s="1829"/>
      <c r="AE233" s="1829"/>
      <c r="AF233" s="1829"/>
      <c r="AG233" s="1829"/>
      <c r="AH233" s="1829"/>
      <c r="AI233" s="1829"/>
      <c r="AJ233" s="1829"/>
      <c r="AK233" s="1829"/>
      <c r="AL233" s="1829"/>
      <c r="AM233" s="1829"/>
      <c r="AN233" s="1829"/>
      <c r="AO233" s="1829"/>
      <c r="AP233" s="1829"/>
      <c r="AQ233" s="1829"/>
      <c r="AR233" s="1829"/>
      <c r="AS233" s="1829"/>
      <c r="AT233" s="1829"/>
      <c r="AU233" s="1829"/>
      <c r="AV233" s="1829"/>
      <c r="AW233" s="1829"/>
      <c r="AX233" s="1829"/>
      <c r="AY233" s="1829"/>
      <c r="AZ233" s="1829"/>
      <c r="BA233" s="1829"/>
      <c r="BB233" s="1829"/>
      <c r="BC233" s="1829"/>
      <c r="BD233" s="1829"/>
      <c r="BE233" s="1829"/>
      <c r="BF233" s="1829"/>
      <c r="BG233" s="1829"/>
      <c r="BH233" s="1829"/>
      <c r="BI233" s="1829"/>
      <c r="BJ233" s="1829"/>
      <c r="BK233" s="1829"/>
      <c r="BL233" s="1829"/>
      <c r="BM233" s="1829"/>
      <c r="BN233" s="1829"/>
      <c r="BO233" s="1829"/>
      <c r="BP233" s="1829"/>
      <c r="BQ233" s="1829"/>
      <c r="BR233" s="1829"/>
      <c r="BS233" s="1829"/>
      <c r="BT233" s="1829"/>
      <c r="BU233" s="1829"/>
      <c r="BV233" s="1829"/>
      <c r="BW233" s="1829"/>
      <c r="BX233" s="1829"/>
      <c r="BY233" s="1829"/>
      <c r="BZ233" s="1829"/>
      <c r="CA233" s="1829"/>
      <c r="CB233" s="1829"/>
      <c r="CC233" s="1829"/>
      <c r="CD233" s="1829"/>
      <c r="CE233" s="1829"/>
      <c r="CF233" s="1829"/>
      <c r="CG233" s="1829"/>
      <c r="CH233" s="1829"/>
      <c r="CI233" s="1829"/>
      <c r="CJ233" s="1829"/>
      <c r="CK233" s="1830"/>
      <c r="CL233" s="1831"/>
      <c r="CM233" s="1829"/>
      <c r="CN233" s="1829"/>
      <c r="CO233" s="1832" t="s">
        <v>660</v>
      </c>
      <c r="CP233" s="1833" t="s">
        <v>649</v>
      </c>
      <c r="CQ233" s="1829" t="s">
        <v>660</v>
      </c>
      <c r="CR233" s="1829" t="s">
        <v>660</v>
      </c>
      <c r="CS233" s="1830" t="s">
        <v>665</v>
      </c>
      <c r="CT233" s="1831" t="s">
        <v>664</v>
      </c>
      <c r="CU233" s="1829" t="s">
        <v>662</v>
      </c>
      <c r="CV233" s="1829" t="s">
        <v>376</v>
      </c>
      <c r="CW233" s="1830" t="s">
        <v>664</v>
      </c>
      <c r="CX233" s="1831" t="s">
        <v>664</v>
      </c>
      <c r="CY233" s="1829" t="s">
        <v>664</v>
      </c>
      <c r="CZ233" s="1829" t="s">
        <v>664</v>
      </c>
      <c r="DA233" s="1830" t="s">
        <v>662</v>
      </c>
      <c r="DB233" s="2828" t="s">
        <v>662</v>
      </c>
      <c r="DC233" s="2829" t="s">
        <v>662</v>
      </c>
      <c r="DD233" s="2829" t="s">
        <v>660</v>
      </c>
      <c r="DE233" s="2830" t="s">
        <v>660</v>
      </c>
      <c r="DF233" s="2828" t="s">
        <v>664</v>
      </c>
      <c r="DG233" s="2831" t="s">
        <v>664</v>
      </c>
      <c r="DH233" s="2831"/>
      <c r="DI233" s="2830"/>
      <c r="DJ233" s="2745"/>
      <c r="DK233" s="2585"/>
      <c r="DL233" s="2585"/>
      <c r="DM233" s="1830"/>
      <c r="DN233" s="1834"/>
      <c r="DO233" s="1881"/>
      <c r="DP233" s="1835"/>
      <c r="DQ233" s="1835"/>
      <c r="DR233" s="1835"/>
      <c r="DS233" s="1835"/>
      <c r="DT233" s="1835"/>
      <c r="DU233" s="1835"/>
      <c r="DV233" s="1835"/>
      <c r="DW233" s="1835"/>
      <c r="DX233" s="1835"/>
      <c r="DY233" s="1835"/>
      <c r="DZ233" s="1835"/>
      <c r="EA233" s="1835"/>
      <c r="EB233" s="1835"/>
      <c r="EC233" s="1835"/>
      <c r="ED233" s="1835"/>
      <c r="EE233" s="1835"/>
      <c r="EF233" s="1835"/>
      <c r="EG233" s="1835"/>
      <c r="EH233" s="1835"/>
      <c r="EI233" s="1835"/>
      <c r="EJ233" s="1835"/>
      <c r="EK233" s="1835"/>
      <c r="EL233" s="1835"/>
      <c r="EM233" s="1835"/>
      <c r="EN233" s="1835"/>
      <c r="EO233" s="1835"/>
      <c r="EP233" s="1835"/>
      <c r="EQ233" s="1835"/>
      <c r="ER233" s="1835"/>
      <c r="ES233" s="1835"/>
      <c r="ET233" s="1835"/>
      <c r="EU233" s="1836"/>
      <c r="EV233" s="1835"/>
      <c r="EW233" s="1835"/>
      <c r="EX233" s="2241" t="s">
        <v>660</v>
      </c>
      <c r="EY233" s="2787"/>
      <c r="EZ233" s="1837"/>
      <c r="FI233" s="1816"/>
      <c r="FJ233"/>
      <c r="FK233"/>
      <c r="FL233"/>
      <c r="FM233"/>
      <c r="FN233"/>
      <c r="FO233"/>
      <c r="FS233" s="1815"/>
      <c r="FT233" s="1815"/>
      <c r="FW233" s="2647"/>
      <c r="FX233" s="1815"/>
      <c r="FY233" s="1815"/>
    </row>
    <row r="234" spans="1:260" s="1814" customFormat="1" ht="22.5" hidden="1" customHeight="1" outlineLevel="1" x14ac:dyDescent="0.2">
      <c r="A234" s="1813" t="s">
        <v>657</v>
      </c>
      <c r="B234" s="1829"/>
      <c r="C234" s="1829"/>
      <c r="D234" s="1829"/>
      <c r="E234" s="1829"/>
      <c r="F234" s="1829"/>
      <c r="G234" s="1829"/>
      <c r="H234" s="1829"/>
      <c r="I234" s="1829"/>
      <c r="J234" s="1829"/>
      <c r="K234" s="1829"/>
      <c r="L234" s="1829"/>
      <c r="M234" s="1829"/>
      <c r="N234" s="1829"/>
      <c r="O234" s="1829"/>
      <c r="P234" s="1829"/>
      <c r="Q234" s="1829"/>
      <c r="R234" s="1829"/>
      <c r="S234" s="1829"/>
      <c r="T234" s="1829"/>
      <c r="U234" s="1829"/>
      <c r="V234" s="1829"/>
      <c r="W234" s="1829"/>
      <c r="X234" s="1829"/>
      <c r="Y234" s="1829"/>
      <c r="Z234" s="1829"/>
      <c r="AA234" s="1829"/>
      <c r="AB234" s="1829"/>
      <c r="AC234" s="1829"/>
      <c r="AD234" s="1829"/>
      <c r="AE234" s="1829"/>
      <c r="AF234" s="1829"/>
      <c r="AG234" s="1829"/>
      <c r="AH234" s="1829"/>
      <c r="AI234" s="1829"/>
      <c r="AJ234" s="1829"/>
      <c r="AK234" s="1829"/>
      <c r="AL234" s="1829"/>
      <c r="AM234" s="1829"/>
      <c r="AN234" s="1829"/>
      <c r="AO234" s="1829"/>
      <c r="AP234" s="1829"/>
      <c r="AQ234" s="1829"/>
      <c r="AR234" s="1829"/>
      <c r="AS234" s="1829"/>
      <c r="AT234" s="1829"/>
      <c r="AU234" s="1829"/>
      <c r="AV234" s="1829"/>
      <c r="AW234" s="1829"/>
      <c r="AX234" s="1829"/>
      <c r="AY234" s="1829"/>
      <c r="AZ234" s="1829"/>
      <c r="BA234" s="1829"/>
      <c r="BB234" s="1829"/>
      <c r="BC234" s="1829"/>
      <c r="BD234" s="1829"/>
      <c r="BE234" s="1829"/>
      <c r="BF234" s="1829"/>
      <c r="BG234" s="1829"/>
      <c r="BH234" s="1829"/>
      <c r="BI234" s="1829"/>
      <c r="BJ234" s="1829"/>
      <c r="BK234" s="1829"/>
      <c r="BL234" s="1829"/>
      <c r="BM234" s="1829"/>
      <c r="BN234" s="1829"/>
      <c r="BO234" s="1829"/>
      <c r="BP234" s="1829"/>
      <c r="BQ234" s="1829"/>
      <c r="BR234" s="1829"/>
      <c r="BS234" s="1829"/>
      <c r="BT234" s="1829"/>
      <c r="BU234" s="1829"/>
      <c r="BV234" s="1829"/>
      <c r="BW234" s="1829"/>
      <c r="BX234" s="1829"/>
      <c r="BY234" s="1829"/>
      <c r="BZ234" s="1829"/>
      <c r="CA234" s="1829"/>
      <c r="CB234" s="1829"/>
      <c r="CC234" s="1829"/>
      <c r="CD234" s="1829"/>
      <c r="CE234" s="1829"/>
      <c r="CF234" s="1829"/>
      <c r="CG234" s="1829"/>
      <c r="CH234" s="1829"/>
      <c r="CI234" s="1829"/>
      <c r="CJ234" s="1829"/>
      <c r="CK234" s="1830"/>
      <c r="CL234" s="1831"/>
      <c r="CM234" s="1829"/>
      <c r="CN234" s="1829"/>
      <c r="CO234" s="1832" t="s">
        <v>665</v>
      </c>
      <c r="CP234" s="1833" t="s">
        <v>660</v>
      </c>
      <c r="CQ234" s="1829" t="s">
        <v>665</v>
      </c>
      <c r="CR234" s="1829" t="s">
        <v>670</v>
      </c>
      <c r="CS234" s="1830" t="s">
        <v>670</v>
      </c>
      <c r="CT234" s="1831" t="s">
        <v>376</v>
      </c>
      <c r="CU234" s="1829" t="s">
        <v>664</v>
      </c>
      <c r="CV234" s="1829" t="s">
        <v>662</v>
      </c>
      <c r="CW234" s="1830" t="s">
        <v>376</v>
      </c>
      <c r="CX234" s="1831" t="s">
        <v>663</v>
      </c>
      <c r="CY234" s="1829" t="s">
        <v>376</v>
      </c>
      <c r="CZ234" s="1829" t="s">
        <v>662</v>
      </c>
      <c r="DA234" s="1830" t="s">
        <v>664</v>
      </c>
      <c r="DB234" s="2828" t="s">
        <v>664</v>
      </c>
      <c r="DC234" s="2829" t="s">
        <v>660</v>
      </c>
      <c r="DD234" s="2829"/>
      <c r="DE234" s="2830" t="s">
        <v>664</v>
      </c>
      <c r="DF234" s="2828"/>
      <c r="DG234" s="2831"/>
      <c r="DH234" s="2831"/>
      <c r="DI234" s="2830"/>
      <c r="DJ234" s="2745"/>
      <c r="DK234" s="2585"/>
      <c r="DL234" s="2585"/>
      <c r="DM234" s="1830"/>
      <c r="DN234" s="1834"/>
      <c r="DO234" s="1881"/>
      <c r="DP234" s="1835"/>
      <c r="DQ234" s="1835"/>
      <c r="DR234" s="1835"/>
      <c r="DS234" s="1835"/>
      <c r="DT234" s="1835"/>
      <c r="DU234" s="1835"/>
      <c r="DV234" s="1835"/>
      <c r="DW234" s="1835"/>
      <c r="DX234" s="1835"/>
      <c r="DY234" s="1835"/>
      <c r="DZ234" s="1835"/>
      <c r="EA234" s="1835"/>
      <c r="EB234" s="1835"/>
      <c r="EC234" s="1835"/>
      <c r="ED234" s="1835"/>
      <c r="EE234" s="1835"/>
      <c r="EF234" s="1835"/>
      <c r="EG234" s="1835"/>
      <c r="EH234" s="1835"/>
      <c r="EI234" s="1835"/>
      <c r="EJ234" s="1835"/>
      <c r="EK234" s="1835"/>
      <c r="EL234" s="1835"/>
      <c r="EM234" s="1835"/>
      <c r="EN234" s="1835"/>
      <c r="EO234" s="1835"/>
      <c r="EP234" s="1835"/>
      <c r="EQ234" s="1835"/>
      <c r="ER234" s="1835"/>
      <c r="ES234" s="1835"/>
      <c r="ET234" s="1835"/>
      <c r="EU234" s="1836"/>
      <c r="EV234" s="1835"/>
      <c r="EW234" s="1835"/>
      <c r="EX234" s="2241" t="s">
        <v>729</v>
      </c>
      <c r="EY234" s="2787"/>
      <c r="EZ234" s="1837"/>
      <c r="FI234" s="1816"/>
      <c r="FJ234"/>
      <c r="FK234"/>
      <c r="FL234"/>
      <c r="FM234"/>
      <c r="FN234"/>
      <c r="FO234"/>
      <c r="FS234" s="1815"/>
      <c r="FT234" s="1815"/>
      <c r="FW234" s="2647"/>
      <c r="FX234" s="1815"/>
      <c r="FY234" s="1815"/>
    </row>
    <row r="235" spans="1:260" s="1814" customFormat="1" ht="22.5" hidden="1" customHeight="1" outlineLevel="1" x14ac:dyDescent="0.2">
      <c r="A235" s="1813" t="s">
        <v>658</v>
      </c>
      <c r="B235" s="1829"/>
      <c r="C235" s="1829"/>
      <c r="D235" s="1829"/>
      <c r="E235" s="1829"/>
      <c r="F235" s="1829"/>
      <c r="G235" s="1829"/>
      <c r="H235" s="1829"/>
      <c r="I235" s="1829"/>
      <c r="J235" s="1829"/>
      <c r="K235" s="1829"/>
      <c r="L235" s="1829"/>
      <c r="M235" s="1829"/>
      <c r="N235" s="1829"/>
      <c r="O235" s="1829"/>
      <c r="P235" s="1829"/>
      <c r="Q235" s="1829"/>
      <c r="R235" s="1829"/>
      <c r="S235" s="1829"/>
      <c r="T235" s="1829"/>
      <c r="U235" s="1829"/>
      <c r="V235" s="1829"/>
      <c r="W235" s="1829"/>
      <c r="X235" s="1829"/>
      <c r="Y235" s="1829"/>
      <c r="Z235" s="1829"/>
      <c r="AA235" s="1829"/>
      <c r="AB235" s="1829"/>
      <c r="AC235" s="1829"/>
      <c r="AD235" s="1829"/>
      <c r="AE235" s="1829"/>
      <c r="AF235" s="1829"/>
      <c r="AG235" s="1829"/>
      <c r="AH235" s="1829"/>
      <c r="AI235" s="1829"/>
      <c r="AJ235" s="1829"/>
      <c r="AK235" s="1829"/>
      <c r="AL235" s="1829"/>
      <c r="AM235" s="1829"/>
      <c r="AN235" s="1829"/>
      <c r="AO235" s="1829"/>
      <c r="AP235" s="1829"/>
      <c r="AQ235" s="1829"/>
      <c r="AR235" s="1829"/>
      <c r="AS235" s="1829"/>
      <c r="AT235" s="1829"/>
      <c r="AU235" s="1829"/>
      <c r="AV235" s="1829"/>
      <c r="AW235" s="1829"/>
      <c r="AX235" s="1829"/>
      <c r="AY235" s="1829"/>
      <c r="AZ235" s="1829"/>
      <c r="BA235" s="1829"/>
      <c r="BB235" s="1829"/>
      <c r="BC235" s="1829"/>
      <c r="BD235" s="1829"/>
      <c r="BE235" s="1829"/>
      <c r="BF235" s="1829"/>
      <c r="BG235" s="1829"/>
      <c r="BH235" s="1829"/>
      <c r="BI235" s="1829"/>
      <c r="BJ235" s="1829"/>
      <c r="BK235" s="1829"/>
      <c r="BL235" s="1829"/>
      <c r="BM235" s="1829"/>
      <c r="BN235" s="1829"/>
      <c r="BO235" s="1829"/>
      <c r="BP235" s="1829"/>
      <c r="BQ235" s="1829"/>
      <c r="BR235" s="1829"/>
      <c r="BS235" s="1829"/>
      <c r="BT235" s="1829"/>
      <c r="BU235" s="1829"/>
      <c r="BV235" s="1829"/>
      <c r="BW235" s="1829"/>
      <c r="BX235" s="1829"/>
      <c r="BY235" s="1829"/>
      <c r="BZ235" s="1829"/>
      <c r="CA235" s="1829"/>
      <c r="CB235" s="1829"/>
      <c r="CC235" s="1829"/>
      <c r="CD235" s="1829"/>
      <c r="CE235" s="1829"/>
      <c r="CF235" s="1829"/>
      <c r="CG235" s="1829"/>
      <c r="CH235" s="1829"/>
      <c r="CI235" s="1829"/>
      <c r="CJ235" s="1829"/>
      <c r="CK235" s="1830"/>
      <c r="CL235" s="1831"/>
      <c r="CM235" s="1829"/>
      <c r="CN235" s="1829"/>
      <c r="CO235" s="1832"/>
      <c r="CP235" s="1833"/>
      <c r="CQ235" s="1829"/>
      <c r="CR235" s="1829" t="s">
        <v>665</v>
      </c>
      <c r="CS235" s="1830" t="s">
        <v>649</v>
      </c>
      <c r="CT235" s="1831" t="s">
        <v>649</v>
      </c>
      <c r="CU235" s="1829" t="s">
        <v>376</v>
      </c>
      <c r="CV235" s="1829" t="s">
        <v>664</v>
      </c>
      <c r="CW235" s="1830"/>
      <c r="CX235" s="1831" t="s">
        <v>376</v>
      </c>
      <c r="CY235" s="1829"/>
      <c r="CZ235" s="1829" t="s">
        <v>665</v>
      </c>
      <c r="DA235" s="1830" t="s">
        <v>665</v>
      </c>
      <c r="DB235" s="2828" t="s">
        <v>660</v>
      </c>
      <c r="DC235" s="2829"/>
      <c r="DD235" s="2829"/>
      <c r="DE235" s="2830" t="s">
        <v>661</v>
      </c>
      <c r="DF235" s="2828"/>
      <c r="DG235" s="2831"/>
      <c r="DH235" s="2831"/>
      <c r="DI235" s="2830"/>
      <c r="DJ235" s="2745"/>
      <c r="DK235" s="2585"/>
      <c r="DL235" s="2585"/>
      <c r="DM235" s="1830"/>
      <c r="DN235" s="1834"/>
      <c r="DO235" s="1881"/>
      <c r="DP235" s="1835"/>
      <c r="DQ235" s="1835"/>
      <c r="DR235" s="1835"/>
      <c r="DS235" s="1835"/>
      <c r="DT235" s="1835"/>
      <c r="DU235" s="1835"/>
      <c r="DV235" s="1835"/>
      <c r="DW235" s="1835"/>
      <c r="DX235" s="1835"/>
      <c r="DY235" s="1835"/>
      <c r="DZ235" s="1835"/>
      <c r="EA235" s="1835"/>
      <c r="EB235" s="1835"/>
      <c r="EC235" s="1835"/>
      <c r="ED235" s="1835"/>
      <c r="EE235" s="1835"/>
      <c r="EF235" s="1835"/>
      <c r="EG235" s="1835"/>
      <c r="EH235" s="1835"/>
      <c r="EI235" s="1835"/>
      <c r="EJ235" s="1835"/>
      <c r="EK235" s="1835"/>
      <c r="EL235" s="1835"/>
      <c r="EM235" s="1835"/>
      <c r="EN235" s="1835"/>
      <c r="EO235" s="1835"/>
      <c r="EP235" s="1835"/>
      <c r="EQ235" s="1835"/>
      <c r="ER235" s="1835"/>
      <c r="ES235" s="1835"/>
      <c r="ET235" s="1835"/>
      <c r="EU235" s="1836"/>
      <c r="EV235" s="1835"/>
      <c r="EW235" s="1835"/>
      <c r="EX235" s="2241" t="s">
        <v>670</v>
      </c>
      <c r="EY235" s="2787"/>
      <c r="EZ235" s="1837"/>
      <c r="FI235" s="1816"/>
      <c r="FJ235"/>
      <c r="FK235"/>
      <c r="FL235"/>
      <c r="FM235"/>
      <c r="FN235"/>
      <c r="FO235"/>
      <c r="FS235" s="1815"/>
      <c r="FT235" s="1815"/>
      <c r="FW235" s="2647"/>
      <c r="FX235" s="1815"/>
      <c r="FY235" s="1815"/>
    </row>
    <row r="236" spans="1:260" s="1814" customFormat="1" ht="22.5" hidden="1" customHeight="1" outlineLevel="1" x14ac:dyDescent="0.2">
      <c r="A236" s="1813" t="s">
        <v>659</v>
      </c>
      <c r="B236" s="1829"/>
      <c r="C236" s="1829"/>
      <c r="D236" s="1829"/>
      <c r="E236" s="1829"/>
      <c r="F236" s="1829"/>
      <c r="G236" s="1829"/>
      <c r="H236" s="1829"/>
      <c r="I236" s="1829"/>
      <c r="J236" s="1829"/>
      <c r="K236" s="1829"/>
      <c r="L236" s="1829"/>
      <c r="M236" s="1829"/>
      <c r="N236" s="1829"/>
      <c r="O236" s="1829"/>
      <c r="P236" s="1829"/>
      <c r="Q236" s="1829"/>
      <c r="R236" s="1829"/>
      <c r="S236" s="1829"/>
      <c r="T236" s="1829"/>
      <c r="U236" s="1829"/>
      <c r="V236" s="1829"/>
      <c r="W236" s="1829"/>
      <c r="X236" s="1829"/>
      <c r="Y236" s="1829"/>
      <c r="Z236" s="1829"/>
      <c r="AA236" s="1829"/>
      <c r="AB236" s="1829"/>
      <c r="AC236" s="1829"/>
      <c r="AD236" s="1829"/>
      <c r="AE236" s="1829"/>
      <c r="AF236" s="1829"/>
      <c r="AG236" s="1829"/>
      <c r="AH236" s="1829"/>
      <c r="AI236" s="1829"/>
      <c r="AJ236" s="1829"/>
      <c r="AK236" s="1829"/>
      <c r="AL236" s="1829"/>
      <c r="AM236" s="1829"/>
      <c r="AN236" s="1829"/>
      <c r="AO236" s="1829"/>
      <c r="AP236" s="1829"/>
      <c r="AQ236" s="1829"/>
      <c r="AR236" s="1829"/>
      <c r="AS236" s="1829"/>
      <c r="AT236" s="1829"/>
      <c r="AU236" s="1829"/>
      <c r="AV236" s="1829"/>
      <c r="AW236" s="1829"/>
      <c r="AX236" s="1829"/>
      <c r="AY236" s="1829"/>
      <c r="AZ236" s="1829"/>
      <c r="BA236" s="1829"/>
      <c r="BB236" s="1829"/>
      <c r="BC236" s="1829"/>
      <c r="BD236" s="1829"/>
      <c r="BE236" s="1829"/>
      <c r="BF236" s="1829"/>
      <c r="BG236" s="1829"/>
      <c r="BH236" s="1829"/>
      <c r="BI236" s="1829"/>
      <c r="BJ236" s="1829"/>
      <c r="BK236" s="1829"/>
      <c r="BL236" s="1829"/>
      <c r="BM236" s="1829"/>
      <c r="BN236" s="1829"/>
      <c r="BO236" s="1829"/>
      <c r="BP236" s="1829"/>
      <c r="BQ236" s="1829"/>
      <c r="BR236" s="1829"/>
      <c r="BS236" s="1829"/>
      <c r="BT236" s="1829"/>
      <c r="BU236" s="1829"/>
      <c r="BV236" s="1829"/>
      <c r="BW236" s="1829"/>
      <c r="BX236" s="1829"/>
      <c r="BY236" s="1829"/>
      <c r="BZ236" s="1829"/>
      <c r="CA236" s="1829"/>
      <c r="CB236" s="1829"/>
      <c r="CC236" s="1829"/>
      <c r="CD236" s="1829"/>
      <c r="CE236" s="1829"/>
      <c r="CF236" s="1829"/>
      <c r="CG236" s="1829"/>
      <c r="CH236" s="1829"/>
      <c r="CI236" s="1829"/>
      <c r="CJ236" s="1829"/>
      <c r="CK236" s="1830"/>
      <c r="CL236" s="1831"/>
      <c r="CM236" s="1829"/>
      <c r="CN236" s="1829"/>
      <c r="CO236" s="1832"/>
      <c r="CP236" s="1833"/>
      <c r="CQ236" s="1829"/>
      <c r="CR236" s="1829"/>
      <c r="CS236" s="1830"/>
      <c r="CT236" s="1831"/>
      <c r="CU236" s="1829"/>
      <c r="CV236" s="1829"/>
      <c r="CW236" s="1830"/>
      <c r="CX236" s="1831"/>
      <c r="CY236" s="1829"/>
      <c r="CZ236" s="1829" t="s">
        <v>376</v>
      </c>
      <c r="DA236" s="1830" t="s">
        <v>376</v>
      </c>
      <c r="DB236" s="2828"/>
      <c r="DC236" s="2829"/>
      <c r="DD236" s="2829"/>
      <c r="DE236" s="2830" t="s">
        <v>662</v>
      </c>
      <c r="DF236" s="2828"/>
      <c r="DG236" s="2831"/>
      <c r="DH236" s="2831"/>
      <c r="DI236" s="2830"/>
      <c r="DJ236" s="2745"/>
      <c r="DK236" s="2585"/>
      <c r="DL236" s="2585"/>
      <c r="DM236" s="1830"/>
      <c r="DN236" s="1834"/>
      <c r="DO236" s="1881"/>
      <c r="DP236" s="1835"/>
      <c r="DQ236" s="1835"/>
      <c r="DR236" s="1835"/>
      <c r="DS236" s="1835"/>
      <c r="DT236" s="1835"/>
      <c r="DU236" s="1835"/>
      <c r="DV236" s="1835"/>
      <c r="DW236" s="1835"/>
      <c r="DX236" s="1835"/>
      <c r="DY236" s="1835"/>
      <c r="DZ236" s="1835"/>
      <c r="EA236" s="1835"/>
      <c r="EB236" s="1835"/>
      <c r="EC236" s="1835"/>
      <c r="ED236" s="1835"/>
      <c r="EE236" s="1835"/>
      <c r="EF236" s="1835"/>
      <c r="EG236" s="1835"/>
      <c r="EH236" s="1835"/>
      <c r="EI236" s="1835"/>
      <c r="EJ236" s="1835"/>
      <c r="EK236" s="1835"/>
      <c r="EL236" s="1835"/>
      <c r="EM236" s="1835"/>
      <c r="EN236" s="1835"/>
      <c r="EO236" s="1835"/>
      <c r="EP236" s="1835"/>
      <c r="EQ236" s="1835"/>
      <c r="ER236" s="1835"/>
      <c r="ES236" s="1835"/>
      <c r="ET236" s="1835"/>
      <c r="EU236" s="1836"/>
      <c r="EV236" s="1835"/>
      <c r="EW236" s="1835"/>
      <c r="EX236" s="2241" t="s">
        <v>664</v>
      </c>
      <c r="EY236" s="2787"/>
      <c r="EZ236" s="1837"/>
      <c r="FI236" s="1816"/>
      <c r="FJ236"/>
      <c r="FK236"/>
      <c r="FL236"/>
      <c r="FM236"/>
      <c r="FN236"/>
      <c r="FO236"/>
      <c r="FS236" s="1815"/>
      <c r="FT236" s="1815"/>
      <c r="FW236" s="2647"/>
      <c r="FX236" s="1815"/>
      <c r="FY236" s="1815"/>
    </row>
    <row r="237" spans="1:260" s="4" customFormat="1" ht="22.5" hidden="1" outlineLevel="1" x14ac:dyDescent="0.2">
      <c r="A237" s="1813" t="s">
        <v>730</v>
      </c>
      <c r="E237" s="470"/>
      <c r="I237" s="470"/>
      <c r="M237" s="470"/>
      <c r="Q237" s="470"/>
      <c r="U237" s="470"/>
      <c r="Y237" s="470"/>
      <c r="AC237" s="470"/>
      <c r="AG237" s="470"/>
      <c r="AK237" s="470"/>
      <c r="AO237" s="470"/>
      <c r="AS237" s="470"/>
      <c r="AW237" s="470"/>
      <c r="BA237" s="470"/>
      <c r="BE237" s="470"/>
      <c r="BI237" s="470"/>
      <c r="BM237" s="470"/>
      <c r="BQ237" s="470"/>
      <c r="BR237" s="427"/>
      <c r="BS237" s="427"/>
      <c r="BT237" s="427"/>
      <c r="BU237" s="519"/>
      <c r="BV237" s="427"/>
      <c r="BW237" s="427"/>
      <c r="BX237" s="427"/>
      <c r="BY237" s="519"/>
      <c r="BZ237" s="427"/>
      <c r="CA237" s="427"/>
      <c r="CB237" s="427"/>
      <c r="CC237" s="519"/>
      <c r="CD237" s="77"/>
      <c r="CE237" s="77"/>
      <c r="CF237" s="77"/>
      <c r="CG237" s="487"/>
      <c r="CH237" s="77"/>
      <c r="CI237" s="77"/>
      <c r="CJ237" s="77"/>
      <c r="CK237" s="487"/>
      <c r="CL237" s="77"/>
      <c r="CM237" s="77"/>
      <c r="CN237" s="77"/>
      <c r="CO237" s="487"/>
      <c r="CP237" s="77"/>
      <c r="CQ237" s="77"/>
      <c r="CR237" s="77"/>
      <c r="CS237" s="487"/>
      <c r="CT237" s="77"/>
      <c r="CU237" s="77"/>
      <c r="CV237" s="77"/>
      <c r="CW237" s="487"/>
      <c r="CX237" s="77"/>
      <c r="CY237" s="77"/>
      <c r="CZ237" s="77"/>
      <c r="DA237" s="487"/>
      <c r="DB237" s="2832"/>
      <c r="DC237" s="2832"/>
      <c r="DD237" s="2827"/>
      <c r="DE237" s="2833"/>
      <c r="DF237" s="2834"/>
      <c r="DG237" s="2834"/>
      <c r="DH237" s="2834"/>
      <c r="DI237" s="2833"/>
      <c r="DJ237" s="1672"/>
      <c r="DK237" s="573"/>
      <c r="DL237" s="573"/>
      <c r="DM237" s="568"/>
      <c r="DN237" s="1211"/>
      <c r="DO237" s="484"/>
      <c r="ER237" s="77"/>
      <c r="ES237" s="77"/>
      <c r="ET237" s="77"/>
      <c r="EU237" s="580"/>
      <c r="EV237" s="77"/>
      <c r="EW237" s="77"/>
      <c r="EX237" s="2238" t="s">
        <v>662</v>
      </c>
      <c r="EY237" s="2788"/>
      <c r="EZ237" s="1680"/>
      <c r="FI237" s="671"/>
      <c r="FJ237"/>
      <c r="FK237"/>
      <c r="FL237"/>
      <c r="FM237"/>
      <c r="FN237"/>
      <c r="FO237"/>
      <c r="FP237" s="3"/>
      <c r="FS237" s="7"/>
      <c r="FT237" s="7"/>
      <c r="FU237" s="1808"/>
      <c r="FV237" s="1808"/>
      <c r="FW237" s="7"/>
      <c r="FX237" s="7"/>
      <c r="FY237" s="7"/>
      <c r="FZ237" s="1808"/>
      <c r="GA237" s="1808"/>
      <c r="GB237" s="1808"/>
      <c r="GC237" s="1808"/>
      <c r="GD237" s="1808"/>
      <c r="GE237" s="1808"/>
      <c r="GF237" s="1808"/>
      <c r="GG237" s="1808"/>
      <c r="GH237" s="1808"/>
      <c r="GI237" s="1808"/>
      <c r="GJ237" s="1808"/>
      <c r="GK237" s="1808"/>
      <c r="GL237" s="1808"/>
      <c r="GM237" s="1808"/>
      <c r="GN237" s="1808"/>
      <c r="GO237" s="1808"/>
      <c r="GP237" s="1808"/>
      <c r="GQ237" s="1808"/>
      <c r="GR237" s="1808"/>
      <c r="GS237" s="1808"/>
      <c r="GT237" s="1808"/>
      <c r="GU237" s="1808"/>
      <c r="GV237" s="1808"/>
      <c r="GW237" s="1808"/>
      <c r="GX237" s="1808"/>
      <c r="GY237" s="1808"/>
      <c r="GZ237" s="1808"/>
      <c r="HA237" s="1808"/>
      <c r="HB237" s="1808"/>
      <c r="HC237" s="1808"/>
      <c r="HD237" s="1808"/>
      <c r="HE237" s="1808"/>
      <c r="HF237" s="1808"/>
      <c r="HG237" s="1808"/>
      <c r="HH237" s="1808"/>
      <c r="HI237" s="1808"/>
      <c r="HJ237" s="1808"/>
      <c r="HK237" s="1808"/>
      <c r="HL237" s="1808"/>
      <c r="HM237" s="1808"/>
      <c r="HN237" s="1808"/>
      <c r="HO237" s="1808"/>
      <c r="HP237" s="1808"/>
      <c r="HQ237" s="1808"/>
      <c r="HR237" s="1808"/>
      <c r="HS237" s="1808"/>
      <c r="HT237" s="1808"/>
      <c r="HU237" s="1808"/>
      <c r="HV237" s="1808"/>
      <c r="HW237" s="1808"/>
      <c r="HX237" s="1808"/>
      <c r="HY237" s="1808"/>
      <c r="HZ237" s="1808"/>
      <c r="IA237" s="1808"/>
      <c r="IB237" s="1808"/>
      <c r="IC237" s="1808"/>
      <c r="ID237" s="1808"/>
      <c r="IE237" s="1808"/>
      <c r="IF237" s="1808"/>
      <c r="IG237" s="1808"/>
      <c r="IH237" s="1808"/>
      <c r="II237" s="1808"/>
      <c r="IJ237" s="1808"/>
      <c r="IK237" s="1808"/>
      <c r="IL237" s="1808"/>
      <c r="IM237" s="1808"/>
      <c r="IN237" s="1808"/>
      <c r="IO237" s="1808"/>
      <c r="IP237" s="1808"/>
      <c r="IQ237" s="1808"/>
      <c r="IR237" s="1808"/>
      <c r="IS237" s="1808"/>
      <c r="IT237" s="1808"/>
      <c r="IU237" s="1808"/>
      <c r="IV237" s="1808"/>
      <c r="IW237" s="1808"/>
      <c r="IX237" s="1808"/>
      <c r="IY237" s="1808"/>
      <c r="IZ237" s="1808"/>
    </row>
    <row r="238" spans="1:260" s="4" customFormat="1" collapsed="1" x14ac:dyDescent="0.2">
      <c r="E238" s="470"/>
      <c r="I238" s="470"/>
      <c r="M238" s="470"/>
      <c r="Q238" s="470"/>
      <c r="U238" s="470"/>
      <c r="Y238" s="470"/>
      <c r="AC238" s="470"/>
      <c r="AG238" s="470"/>
      <c r="AK238" s="470"/>
      <c r="AO238" s="470"/>
      <c r="AS238" s="470"/>
      <c r="AW238" s="470"/>
      <c r="BA238" s="470"/>
      <c r="BE238" s="470"/>
      <c r="BI238" s="470"/>
      <c r="BM238" s="470"/>
      <c r="BQ238" s="470"/>
      <c r="BR238" s="427"/>
      <c r="BS238" s="427"/>
      <c r="BT238" s="427"/>
      <c r="BU238" s="519"/>
      <c r="BV238" s="427"/>
      <c r="BW238" s="427"/>
      <c r="BX238" s="427"/>
      <c r="BY238" s="519"/>
      <c r="BZ238" s="427"/>
      <c r="CA238" s="427"/>
      <c r="CB238" s="427"/>
      <c r="CC238" s="519"/>
      <c r="CD238" s="77"/>
      <c r="CE238" s="77"/>
      <c r="CF238" s="77"/>
      <c r="CG238" s="487"/>
      <c r="CH238" s="77"/>
      <c r="CI238" s="77"/>
      <c r="CJ238" s="77"/>
      <c r="CK238" s="487"/>
      <c r="CL238" s="77"/>
      <c r="CM238" s="77"/>
      <c r="CN238" s="77"/>
      <c r="CO238" s="487"/>
      <c r="CP238" s="77"/>
      <c r="CQ238" s="77"/>
      <c r="CR238" s="77"/>
      <c r="CS238" s="487"/>
      <c r="CT238" s="77"/>
      <c r="CU238" s="77"/>
      <c r="CV238" s="77"/>
      <c r="CW238" s="487"/>
      <c r="CX238" s="77"/>
      <c r="CY238" s="77"/>
      <c r="CZ238" s="77"/>
      <c r="DA238" s="487"/>
      <c r="DB238" s="77"/>
      <c r="DC238" s="77"/>
      <c r="DD238" s="8"/>
      <c r="DE238" s="568"/>
      <c r="DF238" s="573"/>
      <c r="DG238" s="573"/>
      <c r="DH238" s="573"/>
      <c r="DI238" s="568"/>
      <c r="DJ238" s="1672"/>
      <c r="DK238" s="573"/>
      <c r="DL238" s="573"/>
      <c r="DM238" s="568"/>
      <c r="DN238" s="1211"/>
      <c r="DO238" s="484"/>
      <c r="ER238" s="77"/>
      <c r="ES238" s="77"/>
      <c r="ET238" s="77"/>
      <c r="EU238" s="77"/>
      <c r="EV238" s="77"/>
      <c r="EW238" s="77"/>
      <c r="EX238" s="77"/>
      <c r="EY238" s="77"/>
      <c r="EZ238" s="1680"/>
      <c r="FI238" s="671"/>
      <c r="FJ238"/>
      <c r="FK238"/>
      <c r="FL238"/>
      <c r="FM238"/>
      <c r="FN238"/>
      <c r="FO238"/>
      <c r="FP238" s="3"/>
      <c r="FS238" s="7"/>
      <c r="FT238" s="7"/>
      <c r="FU238" s="1808"/>
      <c r="FV238" s="1808"/>
      <c r="FW238" s="7"/>
      <c r="FX238" s="7"/>
      <c r="FY238" s="7"/>
      <c r="FZ238" s="1808"/>
      <c r="GA238" s="1808"/>
      <c r="GB238" s="1808"/>
      <c r="GC238" s="1808"/>
      <c r="GD238" s="1808"/>
      <c r="GE238" s="1808"/>
      <c r="GF238" s="1808"/>
      <c r="GG238" s="1808"/>
      <c r="GH238" s="1808"/>
      <c r="GI238" s="1808"/>
      <c r="GJ238" s="1808"/>
      <c r="GK238" s="1808"/>
      <c r="GL238" s="1808"/>
      <c r="GM238" s="1808"/>
      <c r="GN238" s="1808"/>
      <c r="GO238" s="1808"/>
      <c r="GP238" s="1808"/>
      <c r="GQ238" s="1808"/>
      <c r="GR238" s="1808"/>
      <c r="GS238" s="1808"/>
      <c r="GT238" s="1808"/>
      <c r="GU238" s="1808"/>
      <c r="GV238" s="1808"/>
      <c r="GW238" s="1808"/>
      <c r="GX238" s="1808"/>
      <c r="GY238" s="1808"/>
      <c r="GZ238" s="1808"/>
      <c r="HA238" s="1808"/>
      <c r="HB238" s="1808"/>
      <c r="HC238" s="1808"/>
      <c r="HD238" s="1808"/>
      <c r="HE238" s="1808"/>
      <c r="HF238" s="1808"/>
      <c r="HG238" s="1808"/>
      <c r="HH238" s="1808"/>
      <c r="HI238" s="1808"/>
      <c r="HJ238" s="1808"/>
      <c r="HK238" s="1808"/>
      <c r="HL238" s="1808"/>
      <c r="HM238" s="1808"/>
      <c r="HN238" s="1808"/>
      <c r="HO238" s="1808"/>
      <c r="HP238" s="1808"/>
      <c r="HQ238" s="1808"/>
      <c r="HR238" s="1808"/>
      <c r="HS238" s="1808"/>
      <c r="HT238" s="1808"/>
      <c r="HU238" s="1808"/>
      <c r="HV238" s="1808"/>
      <c r="HW238" s="1808"/>
      <c r="HX238" s="1808"/>
      <c r="HY238" s="1808"/>
      <c r="HZ238" s="1808"/>
      <c r="IA238" s="1808"/>
      <c r="IB238" s="1808"/>
      <c r="IC238" s="1808"/>
      <c r="ID238" s="1808"/>
      <c r="IE238" s="1808"/>
      <c r="IF238" s="1808"/>
      <c r="IG238" s="1808"/>
      <c r="IH238" s="1808"/>
      <c r="II238" s="1808"/>
      <c r="IJ238" s="1808"/>
      <c r="IK238" s="1808"/>
      <c r="IL238" s="1808"/>
      <c r="IM238" s="1808"/>
      <c r="IN238" s="1808"/>
      <c r="IO238" s="1808"/>
      <c r="IP238" s="1808"/>
      <c r="IQ238" s="1808"/>
      <c r="IR238" s="1808"/>
      <c r="IS238" s="1808"/>
      <c r="IT238" s="1808"/>
      <c r="IU238" s="1808"/>
      <c r="IV238" s="1808"/>
      <c r="IW238" s="1808"/>
      <c r="IX238" s="1808"/>
      <c r="IY238" s="1808"/>
      <c r="IZ238" s="1808"/>
    </row>
    <row r="239" spans="1:260" s="4" customFormat="1" x14ac:dyDescent="0.2">
      <c r="A239" s="104" t="s">
        <v>574</v>
      </c>
      <c r="B239" s="104"/>
      <c r="C239" s="104"/>
      <c r="D239" s="104"/>
      <c r="E239" s="453"/>
      <c r="F239" s="104"/>
      <c r="G239" s="104"/>
      <c r="H239" s="104"/>
      <c r="I239" s="453"/>
      <c r="J239" s="104"/>
      <c r="K239" s="104"/>
      <c r="L239" s="104"/>
      <c r="M239" s="453"/>
      <c r="N239" s="104"/>
      <c r="O239" s="104"/>
      <c r="P239" s="104"/>
      <c r="Q239" s="453"/>
      <c r="R239" s="104"/>
      <c r="S239" s="104"/>
      <c r="T239" s="104"/>
      <c r="U239" s="453"/>
      <c r="V239" s="104"/>
      <c r="W239" s="104"/>
      <c r="X239" s="104"/>
      <c r="Y239" s="453"/>
      <c r="Z239" s="104"/>
      <c r="AA239" s="104"/>
      <c r="AB239" s="104"/>
      <c r="AC239" s="453"/>
      <c r="AD239" s="104"/>
      <c r="AE239" s="104"/>
      <c r="AF239" s="104"/>
      <c r="AG239" s="453"/>
      <c r="AH239" s="104"/>
      <c r="AI239" s="104"/>
      <c r="AJ239" s="104"/>
      <c r="AK239" s="453"/>
      <c r="AL239" s="104"/>
      <c r="AM239" s="104"/>
      <c r="AN239" s="104"/>
      <c r="AO239" s="453"/>
      <c r="AP239" s="104"/>
      <c r="AQ239" s="104"/>
      <c r="AR239" s="104"/>
      <c r="AS239" s="453"/>
      <c r="AT239" s="104"/>
      <c r="AU239" s="104"/>
      <c r="AV239" s="104"/>
      <c r="AW239" s="453"/>
      <c r="AX239" s="104"/>
      <c r="AY239" s="104"/>
      <c r="AZ239" s="104"/>
      <c r="BA239" s="453"/>
      <c r="BB239" s="104"/>
      <c r="BC239" s="104"/>
      <c r="BD239" s="104"/>
      <c r="BE239" s="453"/>
      <c r="BF239" s="104"/>
      <c r="BG239" s="104"/>
      <c r="BH239" s="104"/>
      <c r="BI239" s="453"/>
      <c r="BJ239" s="104"/>
      <c r="BK239" s="104"/>
      <c r="BL239" s="104"/>
      <c r="BM239" s="453"/>
      <c r="BN239" s="104"/>
      <c r="BO239" s="104"/>
      <c r="BP239" s="104"/>
      <c r="BQ239" s="784"/>
      <c r="BR239" s="785"/>
      <c r="BS239" s="785"/>
      <c r="BT239" s="785"/>
      <c r="BU239" s="784"/>
      <c r="BV239" s="785"/>
      <c r="BW239" s="785"/>
      <c r="BX239" s="785"/>
      <c r="BY239" s="784"/>
      <c r="BZ239" s="785"/>
      <c r="CA239" s="785"/>
      <c r="CB239" s="785"/>
      <c r="CC239" s="784"/>
      <c r="CD239" s="785"/>
      <c r="CE239" s="785"/>
      <c r="CF239" s="785"/>
      <c r="CG239" s="784"/>
      <c r="CH239" s="785"/>
      <c r="CI239" s="785"/>
      <c r="CJ239" s="785"/>
      <c r="CK239" s="784"/>
      <c r="CL239" s="785"/>
      <c r="CM239" s="785"/>
      <c r="CN239" s="785"/>
      <c r="CO239" s="784"/>
      <c r="CP239" s="785"/>
      <c r="CQ239" s="785"/>
      <c r="CR239" s="785"/>
      <c r="CS239" s="784"/>
      <c r="CT239" s="104"/>
      <c r="CU239" s="104"/>
      <c r="CV239" s="104"/>
      <c r="CW239" s="453"/>
      <c r="CX239" s="104"/>
      <c r="CY239" s="104"/>
      <c r="CZ239" s="104"/>
      <c r="DA239" s="453"/>
      <c r="DB239" s="104"/>
      <c r="DC239" s="104"/>
      <c r="DD239" s="1818"/>
      <c r="DE239" s="453"/>
      <c r="DF239" s="104"/>
      <c r="DG239" s="104"/>
      <c r="DH239" s="104"/>
      <c r="DI239" s="453"/>
      <c r="DJ239" s="104"/>
      <c r="DK239" s="104"/>
      <c r="DL239" s="104"/>
      <c r="DM239" s="453"/>
      <c r="DN239" s="587"/>
      <c r="DO239" s="465"/>
      <c r="DP239" s="758"/>
      <c r="DQ239" s="104"/>
      <c r="DR239" s="104"/>
      <c r="DS239" s="104"/>
      <c r="DT239" s="104"/>
      <c r="DU239" s="104"/>
      <c r="DV239" s="104"/>
      <c r="DW239" s="104"/>
      <c r="DX239" s="104"/>
      <c r="DY239" s="104"/>
      <c r="DZ239" s="104"/>
      <c r="EA239" s="104"/>
      <c r="EB239" s="104"/>
      <c r="EC239" s="104"/>
      <c r="ED239" s="104"/>
      <c r="EE239" s="12"/>
      <c r="EF239" s="104"/>
      <c r="EG239" s="104"/>
      <c r="EH239" s="104"/>
      <c r="EI239" s="104"/>
      <c r="EJ239" s="104"/>
      <c r="EK239" s="104"/>
      <c r="EL239" s="104"/>
      <c r="EM239" s="104"/>
      <c r="EN239" s="104"/>
      <c r="EO239" s="104"/>
      <c r="EP239" s="104"/>
      <c r="EQ239" s="104"/>
      <c r="ER239" s="104"/>
      <c r="ES239" s="104"/>
      <c r="ET239" s="104"/>
      <c r="EU239" s="104"/>
      <c r="EV239" s="104"/>
      <c r="EW239" s="104"/>
      <c r="EX239" s="104"/>
      <c r="EY239" s="104"/>
      <c r="EZ239" s="104"/>
      <c r="FA239" s="104"/>
      <c r="FB239" s="104"/>
      <c r="FC239" s="104"/>
      <c r="FD239" s="104"/>
      <c r="FE239" s="104"/>
      <c r="FF239" s="104"/>
      <c r="FG239" s="104"/>
      <c r="FH239" s="104"/>
      <c r="FI239" s="587"/>
      <c r="FJ239"/>
      <c r="FK239"/>
      <c r="FL239"/>
      <c r="FM239"/>
      <c r="FN239"/>
      <c r="FO239"/>
      <c r="FP239" s="3"/>
      <c r="FS239" s="335"/>
      <c r="FT239" s="335"/>
      <c r="FU239"/>
      <c r="FV239"/>
      <c r="FW239" s="335"/>
      <c r="FX239" s="335"/>
      <c r="FY239" s="335"/>
      <c r="FZ239"/>
      <c r="GA239"/>
      <c r="GB239"/>
      <c r="GC239"/>
      <c r="GD239"/>
      <c r="GE239"/>
      <c r="GF239"/>
      <c r="GG239"/>
      <c r="GH239"/>
      <c r="GI239"/>
      <c r="GJ239"/>
      <c r="GK239"/>
      <c r="GL239"/>
      <c r="GM239"/>
      <c r="GN239"/>
      <c r="GO239"/>
      <c r="GP239"/>
      <c r="GQ239"/>
      <c r="GR239"/>
      <c r="GS239"/>
      <c r="GT239"/>
      <c r="GU239"/>
      <c r="GV239"/>
      <c r="GW239"/>
      <c r="GX239"/>
      <c r="GY239"/>
      <c r="GZ239"/>
      <c r="HA239"/>
      <c r="HB239"/>
      <c r="HC239"/>
      <c r="HD239"/>
      <c r="HE239"/>
      <c r="HF239"/>
      <c r="HG239"/>
      <c r="HH239"/>
      <c r="HI239"/>
      <c r="HJ239"/>
      <c r="HK239"/>
      <c r="HL239"/>
      <c r="HM239"/>
      <c r="HN239"/>
      <c r="HO239"/>
      <c r="HP239"/>
      <c r="HQ239"/>
      <c r="HR239"/>
      <c r="HS239"/>
      <c r="HT239"/>
      <c r="HU239"/>
      <c r="HV239"/>
      <c r="HW239"/>
      <c r="HX239"/>
      <c r="HY239"/>
      <c r="HZ239"/>
      <c r="IA239"/>
      <c r="IB239"/>
      <c r="IC239"/>
      <c r="ID239"/>
      <c r="IE239"/>
      <c r="IF239"/>
      <c r="IG239"/>
      <c r="IH239"/>
      <c r="II239"/>
      <c r="IJ239"/>
      <c r="IK239"/>
      <c r="IL239"/>
      <c r="IM239"/>
      <c r="IN239"/>
      <c r="IO239"/>
      <c r="IP239"/>
      <c r="IQ239"/>
      <c r="IR239"/>
      <c r="IS239"/>
      <c r="IT239"/>
      <c r="IU239"/>
      <c r="IV239"/>
      <c r="IW239"/>
      <c r="IX239"/>
      <c r="IY239"/>
      <c r="IZ239"/>
    </row>
    <row r="240" spans="1:260" s="4" customFormat="1" x14ac:dyDescent="0.2">
      <c r="A240" s="439"/>
      <c r="B240" s="21"/>
      <c r="C240" s="21"/>
      <c r="D240" s="21"/>
      <c r="E240" s="1359"/>
      <c r="F240" s="21"/>
      <c r="G240" s="21"/>
      <c r="H240" s="21"/>
      <c r="I240" s="1359"/>
      <c r="J240" s="21"/>
      <c r="K240" s="21"/>
      <c r="L240" s="21"/>
      <c r="M240" s="1359"/>
      <c r="N240" s="21"/>
      <c r="O240" s="21"/>
      <c r="P240" s="21"/>
      <c r="Q240" s="1359"/>
      <c r="R240" s="21"/>
      <c r="S240" s="21"/>
      <c r="T240" s="21"/>
      <c r="U240" s="1359"/>
      <c r="V240" s="21"/>
      <c r="W240" s="21"/>
      <c r="X240" s="21"/>
      <c r="Y240" s="1359"/>
      <c r="Z240" s="21"/>
      <c r="AA240" s="21"/>
      <c r="AB240" s="21"/>
      <c r="AC240" s="1359"/>
      <c r="AD240" s="21"/>
      <c r="AE240" s="21"/>
      <c r="AF240" s="21"/>
      <c r="AG240" s="1359"/>
      <c r="AH240" s="224"/>
      <c r="AI240" s="133"/>
      <c r="AJ240" s="133"/>
      <c r="AK240" s="553"/>
      <c r="AL240" s="133"/>
      <c r="AM240" s="133"/>
      <c r="AN240" s="133"/>
      <c r="AO240" s="553"/>
      <c r="AP240" s="225"/>
      <c r="AQ240" s="225"/>
      <c r="AR240" s="225"/>
      <c r="AS240" s="558"/>
      <c r="AT240" s="225"/>
      <c r="AU240" s="225"/>
      <c r="AV240" s="225"/>
      <c r="AW240" s="558"/>
      <c r="AX240" s="225"/>
      <c r="AY240" s="225"/>
      <c r="AZ240" s="225"/>
      <c r="BA240" s="558"/>
      <c r="BB240" s="225"/>
      <c r="BC240" s="225"/>
      <c r="BD240" s="225"/>
      <c r="BE240" s="558"/>
      <c r="BF240" s="225"/>
      <c r="BG240" s="225"/>
      <c r="BH240" s="225"/>
      <c r="BI240" s="558"/>
      <c r="BJ240" s="225"/>
      <c r="BK240" s="225"/>
      <c r="BL240" s="225"/>
      <c r="BM240" s="558"/>
      <c r="BN240" s="225"/>
      <c r="BO240" s="225"/>
      <c r="BP240" s="225"/>
      <c r="BQ240" s="553"/>
      <c r="BR240" s="133"/>
      <c r="BS240" s="133"/>
      <c r="BT240" s="133"/>
      <c r="BU240" s="553"/>
      <c r="BV240" s="133"/>
      <c r="BW240" s="133"/>
      <c r="BX240" s="133"/>
      <c r="BY240" s="553"/>
      <c r="BZ240" s="133"/>
      <c r="CA240" s="133"/>
      <c r="CB240" s="133"/>
      <c r="CC240" s="553"/>
      <c r="CD240" s="133"/>
      <c r="CE240" s="133"/>
      <c r="CF240" s="133"/>
      <c r="CG240" s="553"/>
      <c r="CH240" s="133"/>
      <c r="CI240" s="133"/>
      <c r="CJ240" s="133"/>
      <c r="CK240" s="553"/>
      <c r="CL240" s="133"/>
      <c r="CM240" s="133"/>
      <c r="CN240" s="133"/>
      <c r="CO240" s="553"/>
      <c r="CP240" s="133"/>
      <c r="CQ240" s="133"/>
      <c r="CR240" s="133"/>
      <c r="CS240" s="553"/>
      <c r="CT240" s="225"/>
      <c r="CU240" s="225"/>
      <c r="CV240" s="225"/>
      <c r="CW240" s="558"/>
      <c r="CX240" s="225"/>
      <c r="CY240" s="225"/>
      <c r="CZ240" s="225"/>
      <c r="DA240" s="558"/>
      <c r="DB240" s="225"/>
      <c r="DC240" s="225"/>
      <c r="DD240" s="7"/>
      <c r="DE240" s="558"/>
      <c r="DF240" s="574"/>
      <c r="DG240" s="574"/>
      <c r="DH240" s="574"/>
      <c r="DI240" s="558"/>
      <c r="DJ240" s="2746"/>
      <c r="DK240" s="574"/>
      <c r="DL240" s="574"/>
      <c r="DM240" s="558"/>
      <c r="DN240" s="751"/>
      <c r="DO240" s="558"/>
      <c r="DP240" s="225"/>
      <c r="DQ240" s="225"/>
      <c r="DR240" s="225"/>
      <c r="DS240" s="225"/>
      <c r="DT240" s="225"/>
      <c r="DU240" s="225"/>
      <c r="DV240" s="225"/>
      <c r="DW240" s="225"/>
      <c r="DX240" s="225"/>
      <c r="DY240" s="225"/>
      <c r="DZ240" s="225"/>
      <c r="EA240" s="225"/>
      <c r="EB240" s="225"/>
      <c r="EC240" s="225"/>
      <c r="ED240" s="225"/>
      <c r="EE240" s="63"/>
      <c r="EF240" s="133"/>
      <c r="EG240" s="133"/>
      <c r="EH240" s="225"/>
      <c r="EI240" s="225"/>
      <c r="EJ240" s="225"/>
      <c r="EK240" s="225"/>
      <c r="EL240" s="133"/>
      <c r="EM240" s="225"/>
      <c r="EN240" s="225"/>
      <c r="EO240" s="225"/>
      <c r="EP240" s="225"/>
      <c r="EQ240" s="225"/>
      <c r="ER240" s="225"/>
      <c r="ES240" s="225"/>
      <c r="ET240" s="225"/>
      <c r="EU240" s="225"/>
      <c r="EV240" s="225"/>
      <c r="EW240" s="225"/>
      <c r="EX240" s="225"/>
      <c r="EY240" s="225"/>
      <c r="EZ240" s="1740"/>
      <c r="FA240" s="23"/>
      <c r="FB240" s="23"/>
      <c r="FC240" s="23"/>
      <c r="FD240" s="23"/>
      <c r="FE240" s="23"/>
      <c r="FF240" s="23"/>
      <c r="FG240" s="23"/>
      <c r="FH240" s="23"/>
      <c r="FI240" s="1383"/>
      <c r="FJ240"/>
      <c r="FK240"/>
      <c r="FL240"/>
      <c r="FM240"/>
      <c r="FN240"/>
      <c r="FO240"/>
      <c r="FP240" s="3"/>
      <c r="FS240" s="782"/>
      <c r="FT240" s="782"/>
      <c r="FU240"/>
      <c r="FV240"/>
      <c r="FW240" s="782"/>
      <c r="FX240" s="782"/>
      <c r="FY240" s="782"/>
      <c r="FZ240"/>
      <c r="GA240"/>
      <c r="GB240"/>
      <c r="GC240"/>
      <c r="GD240"/>
      <c r="GE240"/>
      <c r="GF240"/>
      <c r="GG240"/>
      <c r="GH240"/>
      <c r="GI240"/>
      <c r="GJ240"/>
      <c r="GK240"/>
      <c r="GL240"/>
      <c r="GM240"/>
      <c r="GN240"/>
      <c r="GO240"/>
      <c r="GP240"/>
      <c r="GQ240"/>
      <c r="GR240"/>
      <c r="GS240"/>
      <c r="GT240"/>
      <c r="GU240"/>
      <c r="GV240"/>
      <c r="GW240"/>
      <c r="GX240"/>
      <c r="GY240"/>
      <c r="GZ240"/>
      <c r="HA240"/>
      <c r="HB240"/>
      <c r="HC240"/>
      <c r="HD240"/>
      <c r="HE240"/>
      <c r="HF240"/>
      <c r="HG240"/>
      <c r="HH240"/>
      <c r="HI240"/>
      <c r="HJ240"/>
      <c r="HK240"/>
      <c r="HL240"/>
      <c r="HM240"/>
      <c r="HN240"/>
      <c r="HO240"/>
      <c r="HP240"/>
      <c r="HQ240"/>
      <c r="HR240"/>
      <c r="HS240"/>
      <c r="HT240"/>
      <c r="HU240"/>
      <c r="HV240"/>
      <c r="HW240"/>
      <c r="HX240"/>
      <c r="HY240"/>
      <c r="HZ240"/>
      <c r="IA240"/>
      <c r="IB240"/>
      <c r="IC240"/>
      <c r="ID240"/>
      <c r="IE240"/>
      <c r="IF240"/>
      <c r="IG240"/>
      <c r="IH240"/>
      <c r="II240"/>
      <c r="IJ240"/>
      <c r="IK240"/>
      <c r="IL240"/>
      <c r="IM240"/>
      <c r="IN240"/>
      <c r="IO240"/>
      <c r="IP240"/>
      <c r="IQ240"/>
      <c r="IR240"/>
      <c r="IS240"/>
      <c r="IT240"/>
      <c r="IU240"/>
      <c r="IV240"/>
      <c r="IW240"/>
      <c r="IX240"/>
      <c r="IY240"/>
      <c r="IZ240"/>
    </row>
    <row r="241" spans="1:260" s="4" customFormat="1" x14ac:dyDescent="0.2">
      <c r="A241" s="439" t="s">
        <v>392</v>
      </c>
      <c r="B241" s="21"/>
      <c r="C241" s="21"/>
      <c r="D241" s="21"/>
      <c r="E241" s="541"/>
      <c r="F241" s="21"/>
      <c r="G241" s="21"/>
      <c r="H241" s="21"/>
      <c r="I241" s="541"/>
      <c r="J241" s="21"/>
      <c r="K241" s="21"/>
      <c r="L241" s="21"/>
      <c r="M241" s="541"/>
      <c r="N241" s="21"/>
      <c r="O241" s="21"/>
      <c r="P241" s="21"/>
      <c r="Q241" s="541"/>
      <c r="R241" s="21"/>
      <c r="S241" s="21"/>
      <c r="T241" s="21"/>
      <c r="U241" s="541"/>
      <c r="V241" s="21"/>
      <c r="W241" s="21"/>
      <c r="X241" s="21"/>
      <c r="Y241" s="541"/>
      <c r="Z241" s="21"/>
      <c r="AA241" s="21"/>
      <c r="AB241" s="21"/>
      <c r="AC241" s="541"/>
      <c r="AD241" s="21"/>
      <c r="AE241" s="21"/>
      <c r="AF241" s="21"/>
      <c r="AG241" s="541"/>
      <c r="AH241" s="224"/>
      <c r="AI241" s="133"/>
      <c r="AJ241" s="133"/>
      <c r="AK241" s="553"/>
      <c r="AL241" s="133"/>
      <c r="AM241" s="133"/>
      <c r="AN241" s="133"/>
      <c r="AO241" s="553"/>
      <c r="AP241" s="225"/>
      <c r="AQ241" s="225"/>
      <c r="AR241" s="225"/>
      <c r="AS241" s="558"/>
      <c r="AT241" s="225"/>
      <c r="AU241" s="225"/>
      <c r="AV241" s="225"/>
      <c r="AW241" s="558"/>
      <c r="AX241" s="225"/>
      <c r="AY241" s="225"/>
      <c r="AZ241" s="225"/>
      <c r="BA241" s="558"/>
      <c r="BB241" s="225"/>
      <c r="BC241" s="225"/>
      <c r="BD241" s="225"/>
      <c r="BE241" s="470"/>
      <c r="BF241" s="225"/>
      <c r="BG241" s="225"/>
      <c r="BH241" s="225"/>
      <c r="BI241" s="558"/>
      <c r="BJ241" s="225"/>
      <c r="BK241" s="225"/>
      <c r="BL241" s="225"/>
      <c r="BM241" s="558"/>
      <c r="BN241" s="225"/>
      <c r="BO241" s="225"/>
      <c r="BP241" s="225"/>
      <c r="BQ241" s="553"/>
      <c r="BR241" s="133"/>
      <c r="BS241" s="133"/>
      <c r="BT241" s="133"/>
      <c r="BU241" s="553"/>
      <c r="BV241" s="133"/>
      <c r="BW241" s="133"/>
      <c r="BX241" s="133"/>
      <c r="BY241" s="553"/>
      <c r="BZ241" s="133"/>
      <c r="CA241" s="133"/>
      <c r="CB241" s="133"/>
      <c r="CC241" s="553"/>
      <c r="CD241" s="133"/>
      <c r="CE241" s="133"/>
      <c r="CF241" s="133"/>
      <c r="CG241" s="553"/>
      <c r="CH241" s="133"/>
      <c r="CI241" s="133"/>
      <c r="CJ241" s="133"/>
      <c r="CK241" s="553"/>
      <c r="CL241" s="133"/>
      <c r="CM241" s="133"/>
      <c r="CN241" s="133"/>
      <c r="CO241" s="553"/>
      <c r="CP241" s="133"/>
      <c r="CQ241" s="133"/>
      <c r="CR241" s="133"/>
      <c r="CS241" s="553"/>
      <c r="CT241" s="225"/>
      <c r="CU241" s="225"/>
      <c r="CV241" s="225"/>
      <c r="CW241" s="558"/>
      <c r="CX241" s="225"/>
      <c r="CY241" s="225"/>
      <c r="CZ241" s="225"/>
      <c r="DA241" s="558"/>
      <c r="DB241" s="225"/>
      <c r="DC241" s="225"/>
      <c r="DD241" s="7"/>
      <c r="DE241" s="558"/>
      <c r="DF241" s="574"/>
      <c r="DG241" s="574"/>
      <c r="DH241" s="574"/>
      <c r="DI241" s="558"/>
      <c r="DJ241" s="2746"/>
      <c r="DK241" s="574"/>
      <c r="DL241" s="574"/>
      <c r="DM241" s="558"/>
      <c r="DN241" s="751"/>
      <c r="DO241" s="558"/>
      <c r="DP241" s="225"/>
      <c r="DQ241" s="225"/>
      <c r="DR241" s="225"/>
      <c r="DS241" s="225"/>
      <c r="DT241" s="225"/>
      <c r="DU241" s="225"/>
      <c r="DV241" s="225"/>
      <c r="DW241" s="225"/>
      <c r="DX241" s="225"/>
      <c r="DY241" s="225"/>
      <c r="DZ241" s="225"/>
      <c r="EA241" s="225"/>
      <c r="EB241" s="225"/>
      <c r="EC241" s="225"/>
      <c r="ED241" s="225"/>
      <c r="EE241" s="63"/>
      <c r="EF241" s="133"/>
      <c r="EG241" s="133"/>
      <c r="EH241" s="225"/>
      <c r="EI241" s="225"/>
      <c r="EJ241" s="225"/>
      <c r="EK241" s="225"/>
      <c r="EL241" s="133"/>
      <c r="EM241" s="225"/>
      <c r="EN241" s="225"/>
      <c r="EO241" s="225"/>
      <c r="EP241" s="225"/>
      <c r="EQ241" s="225"/>
      <c r="ER241" s="225"/>
      <c r="ES241" s="225"/>
      <c r="ET241" s="225"/>
      <c r="EU241" s="225"/>
      <c r="EV241" s="225"/>
      <c r="EW241" s="225"/>
      <c r="EX241" s="225"/>
      <c r="EY241" s="225"/>
      <c r="EZ241" s="1740"/>
      <c r="FA241" s="23"/>
      <c r="FB241" s="23"/>
      <c r="FC241" s="23"/>
      <c r="FD241" s="23"/>
      <c r="FE241" s="23"/>
      <c r="FF241" s="23"/>
      <c r="FG241" s="23"/>
      <c r="FH241" s="23"/>
      <c r="FI241" s="1383"/>
      <c r="FJ241"/>
      <c r="FK241"/>
      <c r="FL241"/>
      <c r="FM241"/>
      <c r="FN241"/>
      <c r="FO241"/>
      <c r="FP241" s="3"/>
      <c r="FS241" s="782"/>
      <c r="FT241" s="782"/>
      <c r="FU241"/>
      <c r="FV241"/>
      <c r="FW241" s="782"/>
      <c r="FX241" s="782"/>
      <c r="FY241" s="782"/>
      <c r="FZ241"/>
      <c r="GA241"/>
      <c r="GB241"/>
      <c r="GC241"/>
      <c r="GD241"/>
      <c r="GE241"/>
      <c r="GF241"/>
      <c r="GG241"/>
      <c r="GH241"/>
      <c r="GI241"/>
      <c r="GJ241"/>
      <c r="GK241"/>
      <c r="GL241"/>
      <c r="GM241"/>
      <c r="GN241"/>
      <c r="GO241"/>
      <c r="GP241"/>
      <c r="GQ241"/>
      <c r="GR241"/>
      <c r="GS241"/>
      <c r="GT241"/>
      <c r="GU241"/>
      <c r="GV241"/>
      <c r="GW241"/>
      <c r="GX241"/>
      <c r="GY241"/>
      <c r="GZ241"/>
      <c r="HA241"/>
      <c r="HB241"/>
      <c r="HC241"/>
      <c r="HD241"/>
      <c r="HE241"/>
      <c r="HF241"/>
      <c r="HG241"/>
      <c r="HH241"/>
      <c r="HI241"/>
      <c r="HJ241"/>
      <c r="HK241"/>
      <c r="HL241"/>
      <c r="HM241"/>
      <c r="HN241"/>
      <c r="HO241"/>
      <c r="HP241"/>
      <c r="HQ241"/>
      <c r="HR241"/>
      <c r="HS241"/>
      <c r="HT241"/>
      <c r="HU241"/>
      <c r="HV241"/>
      <c r="HW241"/>
      <c r="HX241"/>
      <c r="HY241"/>
      <c r="HZ241"/>
      <c r="IA241"/>
      <c r="IB241"/>
      <c r="IC241"/>
      <c r="ID241"/>
      <c r="IE241"/>
      <c r="IF241"/>
      <c r="IG241"/>
      <c r="IH241"/>
      <c r="II241"/>
      <c r="IJ241"/>
      <c r="IK241"/>
      <c r="IL241"/>
      <c r="IM241"/>
      <c r="IN241"/>
      <c r="IO241"/>
      <c r="IP241"/>
      <c r="IQ241"/>
      <c r="IR241"/>
      <c r="IS241"/>
      <c r="IT241"/>
      <c r="IU241"/>
      <c r="IV241"/>
      <c r="IW241"/>
      <c r="IX241"/>
      <c r="IY241"/>
      <c r="IZ241"/>
    </row>
    <row r="242" spans="1:260" s="4" customFormat="1" ht="11.25" customHeight="1" x14ac:dyDescent="0.2">
      <c r="A242" s="4" t="s">
        <v>118</v>
      </c>
      <c r="E242" s="470"/>
      <c r="I242" s="470"/>
      <c r="M242" s="470"/>
      <c r="Q242" s="470"/>
      <c r="U242" s="470"/>
      <c r="Y242" s="470"/>
      <c r="AC242" s="470"/>
      <c r="AG242" s="470"/>
      <c r="AH242" s="4">
        <f t="shared" ref="AH242:BY242" si="980">AH259</f>
        <v>91</v>
      </c>
      <c r="AI242" s="4">
        <f t="shared" si="980"/>
        <v>91</v>
      </c>
      <c r="AJ242" s="4">
        <f t="shared" si="980"/>
        <v>95</v>
      </c>
      <c r="AK242" s="470">
        <f t="shared" si="980"/>
        <v>95</v>
      </c>
      <c r="AL242" s="4">
        <f t="shared" si="980"/>
        <v>97</v>
      </c>
      <c r="AM242" s="4">
        <f t="shared" si="980"/>
        <v>101</v>
      </c>
      <c r="AN242" s="4">
        <f t="shared" si="980"/>
        <v>112</v>
      </c>
      <c r="AO242" s="470">
        <f t="shared" si="980"/>
        <v>112</v>
      </c>
      <c r="AP242" s="4">
        <f t="shared" si="980"/>
        <v>114</v>
      </c>
      <c r="AQ242" s="4">
        <f t="shared" si="980"/>
        <v>120</v>
      </c>
      <c r="AR242" s="4">
        <f t="shared" si="980"/>
        <v>127</v>
      </c>
      <c r="AS242" s="470">
        <f t="shared" si="980"/>
        <v>127</v>
      </c>
      <c r="AT242" s="4">
        <f t="shared" si="980"/>
        <v>128</v>
      </c>
      <c r="AU242" s="4">
        <f t="shared" si="980"/>
        <v>131</v>
      </c>
      <c r="AV242" s="4">
        <f t="shared" si="980"/>
        <v>142</v>
      </c>
      <c r="AW242" s="470">
        <f t="shared" si="980"/>
        <v>144</v>
      </c>
      <c r="AX242" s="4">
        <f t="shared" si="980"/>
        <v>147</v>
      </c>
      <c r="AY242" s="4">
        <f t="shared" si="980"/>
        <v>150</v>
      </c>
      <c r="AZ242" s="4">
        <f t="shared" si="980"/>
        <v>166</v>
      </c>
      <c r="BA242" s="470">
        <f t="shared" si="980"/>
        <v>167</v>
      </c>
      <c r="BB242" s="4">
        <f t="shared" si="980"/>
        <v>169</v>
      </c>
      <c r="BC242" s="4">
        <f t="shared" si="980"/>
        <v>294</v>
      </c>
      <c r="BD242" s="4">
        <f t="shared" si="980"/>
        <v>301</v>
      </c>
      <c r="BE242" s="470">
        <f t="shared" si="980"/>
        <v>304</v>
      </c>
      <c r="BF242" s="4">
        <f t="shared" si="980"/>
        <v>307</v>
      </c>
      <c r="BG242" s="4">
        <f t="shared" si="980"/>
        <v>317</v>
      </c>
      <c r="BH242" s="4">
        <f t="shared" si="980"/>
        <v>332</v>
      </c>
      <c r="BI242" s="470">
        <f t="shared" si="980"/>
        <v>343</v>
      </c>
      <c r="BJ242" s="4">
        <f t="shared" si="980"/>
        <v>346</v>
      </c>
      <c r="BK242" s="4">
        <f t="shared" si="980"/>
        <v>347</v>
      </c>
      <c r="BL242" s="4">
        <f t="shared" si="980"/>
        <v>2791</v>
      </c>
      <c r="BM242" s="470">
        <f t="shared" si="980"/>
        <v>2835</v>
      </c>
      <c r="BN242" s="4">
        <f t="shared" si="980"/>
        <v>2830</v>
      </c>
      <c r="BO242" s="4">
        <f t="shared" si="980"/>
        <v>2827</v>
      </c>
      <c r="BP242" s="4">
        <f t="shared" si="980"/>
        <v>2831</v>
      </c>
      <c r="BQ242" s="470">
        <f t="shared" si="980"/>
        <v>2835</v>
      </c>
      <c r="BR242" s="4">
        <f t="shared" si="980"/>
        <v>2815</v>
      </c>
      <c r="BS242" s="4">
        <f t="shared" si="980"/>
        <v>2834</v>
      </c>
      <c r="BT242" s="4">
        <f t="shared" si="980"/>
        <v>2830</v>
      </c>
      <c r="BU242" s="470">
        <f t="shared" si="980"/>
        <v>2855</v>
      </c>
      <c r="BV242" s="4">
        <f t="shared" si="980"/>
        <v>2846</v>
      </c>
      <c r="BW242" s="4">
        <f t="shared" si="980"/>
        <v>2878</v>
      </c>
      <c r="BX242" s="4">
        <f t="shared" si="980"/>
        <v>2911</v>
      </c>
      <c r="BY242" s="470">
        <f t="shared" si="980"/>
        <v>2861</v>
      </c>
      <c r="CC242" s="470"/>
      <c r="CG242" s="470"/>
      <c r="CH242" s="4">
        <f>CH259</f>
        <v>2867</v>
      </c>
      <c r="CI242" s="4">
        <f>CI259</f>
        <v>2856</v>
      </c>
      <c r="CJ242" s="4">
        <f>CJ259</f>
        <v>2893</v>
      </c>
      <c r="CK242" s="470">
        <f>CK259</f>
        <v>2877</v>
      </c>
      <c r="CO242" s="470"/>
      <c r="CP242" s="4">
        <f>CP259</f>
        <v>281</v>
      </c>
      <c r="CQ242" s="4">
        <f>CQ259</f>
        <v>282</v>
      </c>
      <c r="CR242" s="4">
        <f>CR259</f>
        <v>286</v>
      </c>
      <c r="CS242" s="470">
        <f>CS259</f>
        <v>284</v>
      </c>
      <c r="CT242" s="4">
        <f t="shared" ref="CT242:CZ242" si="981">CT290</f>
        <v>284</v>
      </c>
      <c r="CU242" s="4">
        <f t="shared" si="981"/>
        <v>282</v>
      </c>
      <c r="CV242" s="4">
        <f t="shared" si="981"/>
        <v>284</v>
      </c>
      <c r="CW242" s="470">
        <f t="shared" si="981"/>
        <v>281</v>
      </c>
      <c r="CX242" s="4">
        <f>CX290</f>
        <v>215</v>
      </c>
      <c r="CY242" s="4">
        <f t="shared" si="981"/>
        <v>215</v>
      </c>
      <c r="CZ242" s="4">
        <f t="shared" si="981"/>
        <v>215</v>
      </c>
      <c r="DA242" s="470">
        <f t="shared" ref="DA242:DI242" si="982">DA290</f>
        <v>216</v>
      </c>
      <c r="DB242" s="4">
        <f t="shared" si="982"/>
        <v>215</v>
      </c>
      <c r="DC242" s="6">
        <f t="shared" si="982"/>
        <v>213</v>
      </c>
      <c r="DD242" s="7">
        <f t="shared" si="982"/>
        <v>211</v>
      </c>
      <c r="DE242" s="484">
        <f t="shared" si="982"/>
        <v>212</v>
      </c>
      <c r="DF242" s="7">
        <f t="shared" si="982"/>
        <v>212</v>
      </c>
      <c r="DG242" s="7">
        <f t="shared" ref="DG242" si="983">DG290</f>
        <v>213</v>
      </c>
      <c r="DH242" s="7">
        <f t="shared" si="982"/>
        <v>214</v>
      </c>
      <c r="DI242" s="484">
        <f t="shared" si="982"/>
        <v>215</v>
      </c>
      <c r="DJ242" s="1671">
        <f t="shared" ref="DJ242:DK242" si="984">DJ290</f>
        <v>215</v>
      </c>
      <c r="DK242" s="3">
        <f t="shared" si="984"/>
        <v>215</v>
      </c>
      <c r="DL242" s="3">
        <f t="shared" ref="DL242:DM242" si="985">DL290</f>
        <v>215</v>
      </c>
      <c r="DM242" s="470">
        <f t="shared" si="985"/>
        <v>214</v>
      </c>
      <c r="DN242" s="413"/>
      <c r="DO242" s="470"/>
      <c r="EF242" s="4">
        <f>AK242</f>
        <v>95</v>
      </c>
      <c r="EG242" s="4">
        <f>AO242</f>
        <v>112</v>
      </c>
      <c r="EH242" s="4">
        <f>AS242</f>
        <v>127</v>
      </c>
      <c r="EI242" s="4">
        <f>AW242</f>
        <v>144</v>
      </c>
      <c r="EJ242" s="4">
        <f>BA242</f>
        <v>167</v>
      </c>
      <c r="EK242" s="4">
        <f>BE242</f>
        <v>304</v>
      </c>
      <c r="EL242" s="4">
        <f>EL259</f>
        <v>343</v>
      </c>
      <c r="EM242" s="4">
        <f>EM259</f>
        <v>2835</v>
      </c>
      <c r="EN242" s="4">
        <f>EN259</f>
        <v>2835</v>
      </c>
      <c r="EO242" s="4">
        <f>EO259</f>
        <v>2855</v>
      </c>
      <c r="EP242" s="4">
        <f>EP259</f>
        <v>2861</v>
      </c>
      <c r="ES242" s="4">
        <f>ES259</f>
        <v>2876</v>
      </c>
      <c r="EU242" s="4">
        <f>EU259</f>
        <v>284</v>
      </c>
      <c r="EV242" s="4">
        <f>EV259</f>
        <v>281</v>
      </c>
      <c r="EW242" s="4">
        <f t="shared" ref="EW242:FF242" si="986">EW290</f>
        <v>216</v>
      </c>
      <c r="EX242" s="6">
        <f t="shared" si="986"/>
        <v>212</v>
      </c>
      <c r="EY242" s="6">
        <f>EY290</f>
        <v>215</v>
      </c>
      <c r="EZ242" s="1734">
        <f>EZ290</f>
        <v>214</v>
      </c>
      <c r="FA242" s="4">
        <f t="shared" si="986"/>
        <v>215</v>
      </c>
      <c r="FB242" s="4">
        <f t="shared" si="986"/>
        <v>216</v>
      </c>
      <c r="FC242" s="4">
        <f t="shared" si="986"/>
        <v>217</v>
      </c>
      <c r="FD242" s="4">
        <f t="shared" si="986"/>
        <v>218</v>
      </c>
      <c r="FE242" s="4">
        <f t="shared" si="986"/>
        <v>219</v>
      </c>
      <c r="FF242" s="4">
        <f t="shared" si="986"/>
        <v>220</v>
      </c>
      <c r="FG242" s="4">
        <f>FG290</f>
        <v>221</v>
      </c>
      <c r="FH242" s="4">
        <f>FH290</f>
        <v>222</v>
      </c>
      <c r="FI242" s="671"/>
      <c r="FJ242"/>
      <c r="FK242"/>
      <c r="FL242"/>
      <c r="FM242"/>
      <c r="FN242"/>
      <c r="FO242"/>
      <c r="FP242" s="3"/>
      <c r="FS242" s="7"/>
      <c r="FT242" s="7"/>
      <c r="FU242"/>
      <c r="FV242"/>
      <c r="FW242" s="7"/>
      <c r="FX242" s="7"/>
      <c r="FY242" s="7"/>
      <c r="FZ242"/>
      <c r="GA242"/>
      <c r="GB242"/>
      <c r="GC242"/>
      <c r="GD242"/>
      <c r="GE242"/>
      <c r="GF242"/>
      <c r="GG242"/>
      <c r="GH242"/>
      <c r="GI242"/>
      <c r="GJ242"/>
      <c r="GK242"/>
      <c r="GL242"/>
      <c r="GM242"/>
      <c r="GN242"/>
      <c r="GO242"/>
      <c r="GP242"/>
      <c r="GQ242"/>
      <c r="GR242"/>
      <c r="GS242"/>
      <c r="GT242"/>
      <c r="GU242"/>
      <c r="GV242"/>
      <c r="GW242"/>
      <c r="GX242"/>
      <c r="GY242"/>
      <c r="GZ242"/>
      <c r="HA242"/>
      <c r="HB242"/>
      <c r="HC242"/>
      <c r="HD242"/>
      <c r="HE242"/>
      <c r="HF242"/>
      <c r="HG242"/>
      <c r="HH242"/>
      <c r="HI242"/>
      <c r="HJ242"/>
      <c r="HK242"/>
      <c r="HL242"/>
      <c r="HM242"/>
      <c r="HN242"/>
      <c r="HO242"/>
      <c r="HP242"/>
      <c r="HQ242"/>
      <c r="HR242"/>
      <c r="HS242"/>
      <c r="HT242"/>
      <c r="HU242"/>
      <c r="HV242"/>
      <c r="HW242"/>
      <c r="HX242"/>
      <c r="HY242"/>
      <c r="HZ242"/>
      <c r="IA242"/>
      <c r="IB242"/>
      <c r="IC242"/>
      <c r="ID242"/>
      <c r="IE242"/>
      <c r="IF242"/>
      <c r="IG242"/>
      <c r="IH242"/>
      <c r="II242"/>
      <c r="IJ242"/>
      <c r="IK242"/>
      <c r="IL242"/>
      <c r="IM242"/>
      <c r="IN242"/>
      <c r="IO242"/>
      <c r="IP242"/>
      <c r="IQ242"/>
      <c r="IR242"/>
      <c r="IS242"/>
      <c r="IT242"/>
      <c r="IU242"/>
      <c r="IV242"/>
      <c r="IW242"/>
      <c r="IX242"/>
      <c r="IY242"/>
      <c r="IZ242"/>
    </row>
    <row r="243" spans="1:260" s="4" customFormat="1" ht="11.25" customHeight="1" x14ac:dyDescent="0.2">
      <c r="A243" s="4" t="s">
        <v>105</v>
      </c>
      <c r="E243" s="470"/>
      <c r="I243" s="470"/>
      <c r="M243" s="470"/>
      <c r="Q243" s="470"/>
      <c r="U243" s="470"/>
      <c r="Y243" s="470"/>
      <c r="AC243" s="470"/>
      <c r="AG243" s="470"/>
      <c r="AH243" s="4">
        <f t="shared" ref="AH243:BY243" si="987">AH273</f>
        <v>0</v>
      </c>
      <c r="AI243" s="4">
        <f t="shared" si="987"/>
        <v>0</v>
      </c>
      <c r="AJ243" s="4">
        <f t="shared" si="987"/>
        <v>0</v>
      </c>
      <c r="AK243" s="470">
        <f t="shared" si="987"/>
        <v>0</v>
      </c>
      <c r="AL243" s="4">
        <f t="shared" si="987"/>
        <v>2</v>
      </c>
      <c r="AM243" s="4">
        <f t="shared" si="987"/>
        <v>4</v>
      </c>
      <c r="AN243" s="4">
        <f t="shared" si="987"/>
        <v>11</v>
      </c>
      <c r="AO243" s="470">
        <f t="shared" si="987"/>
        <v>0</v>
      </c>
      <c r="AP243" s="4">
        <f t="shared" si="987"/>
        <v>2</v>
      </c>
      <c r="AQ243" s="4">
        <f t="shared" si="987"/>
        <v>6</v>
      </c>
      <c r="AR243" s="4">
        <f t="shared" si="987"/>
        <v>7</v>
      </c>
      <c r="AS243" s="470">
        <f t="shared" si="987"/>
        <v>0</v>
      </c>
      <c r="AT243" s="4">
        <f t="shared" si="987"/>
        <v>1</v>
      </c>
      <c r="AU243" s="4">
        <f t="shared" si="987"/>
        <v>3</v>
      </c>
      <c r="AV243" s="4">
        <f t="shared" si="987"/>
        <v>11</v>
      </c>
      <c r="AW243" s="470">
        <f t="shared" si="987"/>
        <v>2</v>
      </c>
      <c r="AX243" s="4">
        <f t="shared" si="987"/>
        <v>3</v>
      </c>
      <c r="AY243" s="4">
        <f t="shared" si="987"/>
        <v>3</v>
      </c>
      <c r="AZ243" s="4">
        <f t="shared" si="987"/>
        <v>16</v>
      </c>
      <c r="BA243" s="470">
        <f t="shared" si="987"/>
        <v>1</v>
      </c>
      <c r="BB243" s="4">
        <f t="shared" si="987"/>
        <v>2</v>
      </c>
      <c r="BC243" s="4">
        <f t="shared" si="987"/>
        <v>-6</v>
      </c>
      <c r="BD243" s="4">
        <f t="shared" si="987"/>
        <v>7</v>
      </c>
      <c r="BE243" s="470">
        <f t="shared" si="987"/>
        <v>3</v>
      </c>
      <c r="BF243" s="4">
        <f t="shared" si="987"/>
        <v>3</v>
      </c>
      <c r="BG243" s="4">
        <f t="shared" si="987"/>
        <v>10</v>
      </c>
      <c r="BH243" s="4">
        <f t="shared" si="987"/>
        <v>15</v>
      </c>
      <c r="BI243" s="470">
        <f t="shared" si="987"/>
        <v>11</v>
      </c>
      <c r="BJ243" s="4">
        <f t="shared" si="987"/>
        <v>3</v>
      </c>
      <c r="BK243" s="4">
        <f t="shared" si="987"/>
        <v>1</v>
      </c>
      <c r="BL243" s="4">
        <f t="shared" si="987"/>
        <v>2444</v>
      </c>
      <c r="BM243" s="470">
        <f t="shared" si="987"/>
        <v>44</v>
      </c>
      <c r="BN243" s="4">
        <f t="shared" si="987"/>
        <v>-5</v>
      </c>
      <c r="BO243" s="4">
        <f t="shared" si="987"/>
        <v>-3</v>
      </c>
      <c r="BP243" s="4">
        <f t="shared" si="987"/>
        <v>4</v>
      </c>
      <c r="BQ243" s="470">
        <f t="shared" si="987"/>
        <v>4</v>
      </c>
      <c r="BR243" s="4">
        <f t="shared" si="987"/>
        <v>-20</v>
      </c>
      <c r="BS243" s="4">
        <f t="shared" si="987"/>
        <v>19</v>
      </c>
      <c r="BT243" s="4">
        <f t="shared" si="987"/>
        <v>-4</v>
      </c>
      <c r="BU243" s="470">
        <f t="shared" si="987"/>
        <v>25</v>
      </c>
      <c r="BV243" s="4">
        <f t="shared" si="987"/>
        <v>-9</v>
      </c>
      <c r="BW243" s="4">
        <f t="shared" si="987"/>
        <v>32</v>
      </c>
      <c r="BX243" s="4">
        <f t="shared" si="987"/>
        <v>33</v>
      </c>
      <c r="BY243" s="470">
        <f t="shared" si="987"/>
        <v>-50</v>
      </c>
      <c r="CC243" s="470"/>
      <c r="CG243" s="470"/>
      <c r="CH243" s="4">
        <f>CH273</f>
        <v>6</v>
      </c>
      <c r="CI243" s="4">
        <f>CI273</f>
        <v>-11</v>
      </c>
      <c r="CJ243" s="4">
        <f>CJ273</f>
        <v>37</v>
      </c>
      <c r="CK243" s="470">
        <f>CK273</f>
        <v>-16</v>
      </c>
      <c r="CO243" s="470"/>
      <c r="CP243" s="4">
        <f>CP273</f>
        <v>-2596</v>
      </c>
      <c r="CQ243" s="4">
        <f>CQ273</f>
        <v>1</v>
      </c>
      <c r="CR243" s="4">
        <f>CR273</f>
        <v>4</v>
      </c>
      <c r="CS243" s="470">
        <f>CS273</f>
        <v>-2</v>
      </c>
      <c r="CT243" s="4">
        <f t="shared" ref="CT243:CZ243" si="988">CT293</f>
        <v>0</v>
      </c>
      <c r="CU243" s="4">
        <f t="shared" si="988"/>
        <v>-2</v>
      </c>
      <c r="CV243" s="4">
        <f t="shared" si="988"/>
        <v>2</v>
      </c>
      <c r="CW243" s="470">
        <f t="shared" si="988"/>
        <v>-3</v>
      </c>
      <c r="CX243" s="4">
        <f>CX293</f>
        <v>-66</v>
      </c>
      <c r="CY243" s="4">
        <f t="shared" si="988"/>
        <v>0</v>
      </c>
      <c r="CZ243" s="4">
        <f t="shared" si="988"/>
        <v>0</v>
      </c>
      <c r="DA243" s="470">
        <f t="shared" ref="DA243:DI243" si="989">DA293</f>
        <v>1</v>
      </c>
      <c r="DB243" s="4">
        <f t="shared" si="989"/>
        <v>-1</v>
      </c>
      <c r="DC243" s="6">
        <f t="shared" si="989"/>
        <v>-2</v>
      </c>
      <c r="DD243" s="7">
        <f t="shared" si="989"/>
        <v>-2</v>
      </c>
      <c r="DE243" s="484">
        <f t="shared" si="989"/>
        <v>1</v>
      </c>
      <c r="DF243" s="7">
        <f t="shared" si="989"/>
        <v>0</v>
      </c>
      <c r="DG243" s="7">
        <f t="shared" ref="DG243" si="990">DG293</f>
        <v>1</v>
      </c>
      <c r="DH243" s="7">
        <f t="shared" si="989"/>
        <v>1</v>
      </c>
      <c r="DI243" s="484">
        <f t="shared" si="989"/>
        <v>1</v>
      </c>
      <c r="DJ243" s="1671">
        <f t="shared" ref="DJ243:DK243" si="991">DJ293</f>
        <v>0</v>
      </c>
      <c r="DK243" s="3">
        <f t="shared" si="991"/>
        <v>0</v>
      </c>
      <c r="DL243" s="3">
        <f t="shared" ref="DL243:DM243" si="992">DL293</f>
        <v>0</v>
      </c>
      <c r="DM243" s="470">
        <f t="shared" si="992"/>
        <v>-1</v>
      </c>
      <c r="DN243" s="413"/>
      <c r="DO243" s="470"/>
      <c r="EF243" s="4">
        <f>SUM(AH243:AK243)</f>
        <v>0</v>
      </c>
      <c r="EG243" s="4">
        <f>SUM(AL243:AO243)</f>
        <v>17</v>
      </c>
      <c r="EH243" s="4">
        <f>SUM(AP243:AS243)</f>
        <v>15</v>
      </c>
      <c r="EI243" s="4">
        <f>SUM(AT243:AW243)</f>
        <v>17</v>
      </c>
      <c r="EJ243" s="4">
        <f>SUM(AX243:BA243)</f>
        <v>23</v>
      </c>
      <c r="EK243" s="4">
        <f t="shared" ref="EK243:EP243" si="993">EK273</f>
        <v>5</v>
      </c>
      <c r="EL243" s="4">
        <f t="shared" si="993"/>
        <v>39</v>
      </c>
      <c r="EM243" s="4">
        <f t="shared" si="993"/>
        <v>2492</v>
      </c>
      <c r="EN243" s="4">
        <f t="shared" si="993"/>
        <v>0</v>
      </c>
      <c r="EO243" s="4">
        <f t="shared" si="993"/>
        <v>20</v>
      </c>
      <c r="EP243" s="4">
        <f t="shared" si="993"/>
        <v>6</v>
      </c>
      <c r="ES243" s="4">
        <f>ES273</f>
        <v>15</v>
      </c>
      <c r="EU243" s="4">
        <f>EU273</f>
        <v>-2593</v>
      </c>
      <c r="EV243" s="4">
        <f>EV273</f>
        <v>-3</v>
      </c>
      <c r="EW243" s="4">
        <f t="shared" ref="EW243:FF243" si="994">EW293</f>
        <v>-65</v>
      </c>
      <c r="EX243" s="6">
        <f t="shared" si="994"/>
        <v>-4</v>
      </c>
      <c r="EY243" s="6">
        <f>EY293</f>
        <v>3</v>
      </c>
      <c r="EZ243" s="1734">
        <f>EZ293</f>
        <v>-1</v>
      </c>
      <c r="FA243" s="4">
        <f t="shared" si="994"/>
        <v>1</v>
      </c>
      <c r="FB243" s="4">
        <f t="shared" si="994"/>
        <v>1</v>
      </c>
      <c r="FC243" s="4">
        <f t="shared" si="994"/>
        <v>1</v>
      </c>
      <c r="FD243" s="4">
        <f t="shared" si="994"/>
        <v>1</v>
      </c>
      <c r="FE243" s="4">
        <f t="shared" si="994"/>
        <v>1</v>
      </c>
      <c r="FF243" s="4">
        <f t="shared" si="994"/>
        <v>1</v>
      </c>
      <c r="FG243" s="4">
        <f>FG293</f>
        <v>1</v>
      </c>
      <c r="FH243" s="4">
        <f>FH293</f>
        <v>1</v>
      </c>
      <c r="FI243" s="671"/>
      <c r="FJ243"/>
      <c r="FK243"/>
      <c r="FL243"/>
      <c r="FM243"/>
      <c r="FN243"/>
      <c r="FO243"/>
      <c r="FP243" s="3"/>
      <c r="FS243" s="7"/>
      <c r="FT243" s="7"/>
      <c r="FU243"/>
      <c r="FV243"/>
      <c r="FW243" s="7"/>
      <c r="FX243" s="7"/>
      <c r="FY243" s="7"/>
      <c r="FZ243"/>
      <c r="GA243"/>
      <c r="GB243"/>
      <c r="GC243"/>
      <c r="GD243"/>
      <c r="GE243"/>
      <c r="GF243"/>
      <c r="GG243"/>
      <c r="GH243"/>
      <c r="GI243"/>
      <c r="GJ243"/>
      <c r="GK243"/>
      <c r="GL243"/>
      <c r="GM243"/>
      <c r="GN243"/>
      <c r="GO243"/>
      <c r="GP243"/>
      <c r="GQ243"/>
      <c r="GR243"/>
      <c r="GS243"/>
      <c r="GT243"/>
      <c r="GU243"/>
      <c r="GV243"/>
      <c r="GW243"/>
      <c r="GX243"/>
      <c r="GY243"/>
      <c r="GZ243"/>
      <c r="HA243"/>
      <c r="HB243"/>
      <c r="HC243"/>
      <c r="HD243"/>
      <c r="HE243"/>
      <c r="HF243"/>
      <c r="HG243"/>
      <c r="HH243"/>
      <c r="HI243"/>
      <c r="HJ243"/>
      <c r="HK243"/>
      <c r="HL243"/>
      <c r="HM243"/>
      <c r="HN243"/>
      <c r="HO243"/>
      <c r="HP243"/>
      <c r="HQ243"/>
      <c r="HR243"/>
      <c r="HS243"/>
      <c r="HT243"/>
      <c r="HU243"/>
      <c r="HV243"/>
      <c r="HW243"/>
      <c r="HX243"/>
      <c r="HY243"/>
      <c r="HZ243"/>
      <c r="IA243"/>
      <c r="IB243"/>
      <c r="IC243"/>
      <c r="ID243"/>
      <c r="IE243"/>
      <c r="IF243"/>
      <c r="IG243"/>
      <c r="IH243"/>
      <c r="II243"/>
      <c r="IJ243"/>
      <c r="IK243"/>
      <c r="IL243"/>
      <c r="IM243"/>
      <c r="IN243"/>
      <c r="IO243"/>
      <c r="IP243"/>
      <c r="IQ243"/>
      <c r="IR243"/>
      <c r="IS243"/>
      <c r="IT243"/>
      <c r="IU243"/>
      <c r="IV243"/>
      <c r="IW243"/>
      <c r="IX243"/>
      <c r="IY243"/>
      <c r="IZ243"/>
    </row>
    <row r="244" spans="1:260" s="4" customFormat="1" ht="11.25" customHeight="1" x14ac:dyDescent="0.2">
      <c r="A244" s="6" t="s">
        <v>42</v>
      </c>
      <c r="B244" s="55"/>
      <c r="C244" s="55"/>
      <c r="D244" s="55"/>
      <c r="E244" s="827"/>
      <c r="F244" s="55"/>
      <c r="G244" s="55"/>
      <c r="H244" s="55"/>
      <c r="I244" s="827"/>
      <c r="J244" s="55"/>
      <c r="K244" s="55"/>
      <c r="L244" s="55"/>
      <c r="M244" s="827"/>
      <c r="N244" s="55"/>
      <c r="O244" s="55"/>
      <c r="P244" s="55"/>
      <c r="Q244" s="827"/>
      <c r="R244" s="55"/>
      <c r="S244" s="55"/>
      <c r="T244" s="55"/>
      <c r="U244" s="827"/>
      <c r="V244" s="55"/>
      <c r="W244" s="55"/>
      <c r="X244" s="55"/>
      <c r="Y244" s="827"/>
      <c r="Z244" s="55"/>
      <c r="AA244" s="55"/>
      <c r="AB244" s="55"/>
      <c r="AC244" s="827"/>
      <c r="AD244" s="55"/>
      <c r="AE244" s="55"/>
      <c r="AF244" s="55"/>
      <c r="AG244" s="827"/>
      <c r="AH244" s="55">
        <f t="shared" ref="AH244:BY244" si="995">AH287</f>
        <v>0</v>
      </c>
      <c r="AI244" s="55">
        <f t="shared" si="995"/>
        <v>0</v>
      </c>
      <c r="AJ244" s="55">
        <f t="shared" si="995"/>
        <v>2449</v>
      </c>
      <c r="AK244" s="827">
        <f t="shared" si="995"/>
        <v>2468</v>
      </c>
      <c r="AL244" s="55">
        <f t="shared" si="995"/>
        <v>2508</v>
      </c>
      <c r="AM244" s="55">
        <f t="shared" si="995"/>
        <v>2689</v>
      </c>
      <c r="AN244" s="55">
        <f t="shared" si="995"/>
        <v>3065</v>
      </c>
      <c r="AO244" s="827">
        <f t="shared" si="995"/>
        <v>3065</v>
      </c>
      <c r="AP244" s="55">
        <f t="shared" si="995"/>
        <v>3139</v>
      </c>
      <c r="AQ244" s="55">
        <f t="shared" si="995"/>
        <v>3333</v>
      </c>
      <c r="AR244" s="55">
        <f t="shared" si="995"/>
        <v>3587</v>
      </c>
      <c r="AS244" s="827">
        <f t="shared" si="995"/>
        <v>3587</v>
      </c>
      <c r="AT244" s="55">
        <f t="shared" si="995"/>
        <v>3620</v>
      </c>
      <c r="AU244" s="55">
        <f t="shared" si="995"/>
        <v>3711</v>
      </c>
      <c r="AV244" s="55">
        <f t="shared" si="995"/>
        <v>3989</v>
      </c>
      <c r="AW244" s="827">
        <f t="shared" si="995"/>
        <v>4057</v>
      </c>
      <c r="AX244" s="55">
        <f t="shared" si="995"/>
        <v>4133</v>
      </c>
      <c r="AY244" s="55">
        <f t="shared" si="995"/>
        <v>4234</v>
      </c>
      <c r="AZ244" s="55">
        <f t="shared" si="995"/>
        <v>4636</v>
      </c>
      <c r="BA244" s="827">
        <f t="shared" si="995"/>
        <v>4651.75</v>
      </c>
      <c r="BB244" s="55">
        <f t="shared" si="995"/>
        <v>4662.9799999999996</v>
      </c>
      <c r="BC244" s="55">
        <f t="shared" si="995"/>
        <v>9006</v>
      </c>
      <c r="BD244" s="55">
        <f t="shared" si="995"/>
        <v>9259</v>
      </c>
      <c r="BE244" s="827">
        <f t="shared" si="995"/>
        <v>9418</v>
      </c>
      <c r="BF244" s="55">
        <f t="shared" si="995"/>
        <v>9562</v>
      </c>
      <c r="BG244" s="56">
        <f t="shared" si="995"/>
        <v>9852</v>
      </c>
      <c r="BH244" s="56">
        <f t="shared" si="995"/>
        <v>10545</v>
      </c>
      <c r="BI244" s="828">
        <f t="shared" si="995"/>
        <v>11069</v>
      </c>
      <c r="BJ244" s="55">
        <f t="shared" si="995"/>
        <v>11415</v>
      </c>
      <c r="BK244" s="55">
        <f t="shared" si="995"/>
        <v>11442</v>
      </c>
      <c r="BL244" s="55">
        <f t="shared" si="995"/>
        <v>12840</v>
      </c>
      <c r="BM244" s="827">
        <f t="shared" si="995"/>
        <v>13331</v>
      </c>
      <c r="BN244" s="55">
        <f t="shared" si="995"/>
        <v>13310</v>
      </c>
      <c r="BO244" s="55">
        <f t="shared" si="995"/>
        <v>13484</v>
      </c>
      <c r="BP244" s="55">
        <f t="shared" si="995"/>
        <v>13556</v>
      </c>
      <c r="BQ244" s="827">
        <f t="shared" si="995"/>
        <v>13623.0448361</v>
      </c>
      <c r="BR244" s="55">
        <f t="shared" si="995"/>
        <v>13695</v>
      </c>
      <c r="BS244" s="55">
        <f t="shared" si="995"/>
        <v>14078</v>
      </c>
      <c r="BT244" s="55">
        <f t="shared" si="995"/>
        <v>14248</v>
      </c>
      <c r="BU244" s="827">
        <f t="shared" si="995"/>
        <v>14445</v>
      </c>
      <c r="BV244" s="55">
        <f t="shared" si="995"/>
        <v>14423</v>
      </c>
      <c r="BW244" s="55">
        <f t="shared" si="995"/>
        <v>15007</v>
      </c>
      <c r="BX244" s="55">
        <f t="shared" si="995"/>
        <v>15472</v>
      </c>
      <c r="BY244" s="827">
        <f t="shared" si="995"/>
        <v>15852</v>
      </c>
      <c r="BZ244" s="55"/>
      <c r="CA244" s="55"/>
      <c r="CB244" s="55"/>
      <c r="CC244" s="827"/>
      <c r="CD244" s="55"/>
      <c r="CE244" s="55"/>
      <c r="CF244" s="55"/>
      <c r="CG244" s="827"/>
      <c r="CH244" s="55">
        <f>CH287</f>
        <v>15885</v>
      </c>
      <c r="CI244" s="55">
        <f>CI287</f>
        <v>16077</v>
      </c>
      <c r="CJ244" s="55">
        <f>CJ287</f>
        <v>16382</v>
      </c>
      <c r="CK244" s="827">
        <f>CK287</f>
        <v>15049</v>
      </c>
      <c r="CL244" s="55"/>
      <c r="CM244" s="55"/>
      <c r="CN244" s="55"/>
      <c r="CO244" s="827"/>
      <c r="CP244" s="55">
        <f>CP287</f>
        <v>6618</v>
      </c>
      <c r="CQ244" s="55">
        <f>CQ287</f>
        <v>6652</v>
      </c>
      <c r="CR244" s="55">
        <f>CR287</f>
        <v>6722</v>
      </c>
      <c r="CS244" s="827">
        <f>CS287</f>
        <v>6636</v>
      </c>
      <c r="CT244" s="55">
        <f t="shared" ref="CT244:CZ244" si="996">CT295</f>
        <v>6636</v>
      </c>
      <c r="CU244" s="56">
        <f t="shared" si="996"/>
        <v>6536</v>
      </c>
      <c r="CV244" s="56">
        <f t="shared" si="996"/>
        <v>6560</v>
      </c>
      <c r="CW244" s="828">
        <f t="shared" si="996"/>
        <v>6470</v>
      </c>
      <c r="CX244" s="56">
        <f>CX295</f>
        <v>4529</v>
      </c>
      <c r="CY244" s="56">
        <f t="shared" si="996"/>
        <v>4529</v>
      </c>
      <c r="CZ244" s="56">
        <f t="shared" si="996"/>
        <v>4528</v>
      </c>
      <c r="DA244" s="828">
        <f t="shared" ref="DA244:DI244" si="997">DA295</f>
        <v>4543</v>
      </c>
      <c r="DB244" s="56">
        <f t="shared" si="997"/>
        <v>4510</v>
      </c>
      <c r="DC244" s="56">
        <f t="shared" si="997"/>
        <v>4508</v>
      </c>
      <c r="DD244" s="830">
        <f t="shared" si="997"/>
        <v>4506</v>
      </c>
      <c r="DE244" s="828">
        <f t="shared" si="997"/>
        <v>4510</v>
      </c>
      <c r="DF244" s="830">
        <f t="shared" si="997"/>
        <v>4510</v>
      </c>
      <c r="DG244" s="830">
        <f t="shared" ref="DG244" si="998">DG295</f>
        <v>4550</v>
      </c>
      <c r="DH244" s="830">
        <f t="shared" si="997"/>
        <v>4567</v>
      </c>
      <c r="DI244" s="828">
        <f t="shared" si="997"/>
        <v>4567</v>
      </c>
      <c r="DJ244" s="1698">
        <f t="shared" ref="DJ244:DK244" si="999">DJ295</f>
        <v>4567</v>
      </c>
      <c r="DK244" s="829">
        <f t="shared" si="999"/>
        <v>4567</v>
      </c>
      <c r="DL244" s="829">
        <f t="shared" ref="DL244" si="1000">DL295</f>
        <v>4567</v>
      </c>
      <c r="DM244" s="827">
        <f>DM295</f>
        <v>4567</v>
      </c>
      <c r="DN244" s="732"/>
      <c r="DO244" s="655"/>
      <c r="DP244" s="41"/>
      <c r="DQ244" s="41"/>
      <c r="DR244" s="41"/>
      <c r="DS244" s="41"/>
      <c r="DT244" s="41"/>
      <c r="DU244" s="41"/>
      <c r="DV244" s="41"/>
      <c r="DW244" s="41"/>
      <c r="DX244" s="55"/>
      <c r="DY244" s="55"/>
      <c r="DZ244" s="55"/>
      <c r="EA244" s="55"/>
      <c r="EB244" s="55"/>
      <c r="EC244" s="55"/>
      <c r="ED244" s="55"/>
      <c r="EE244" s="55"/>
      <c r="EF244" s="55">
        <f t="shared" ref="EF244:EP244" si="1001">EF287</f>
        <v>2468</v>
      </c>
      <c r="EG244" s="55">
        <f t="shared" si="1001"/>
        <v>3065</v>
      </c>
      <c r="EH244" s="55">
        <f t="shared" si="1001"/>
        <v>3587</v>
      </c>
      <c r="EI244" s="55">
        <f t="shared" si="1001"/>
        <v>4057</v>
      </c>
      <c r="EJ244" s="55">
        <f t="shared" si="1001"/>
        <v>4651.75</v>
      </c>
      <c r="EK244" s="55">
        <f t="shared" si="1001"/>
        <v>9418</v>
      </c>
      <c r="EL244" s="55">
        <f t="shared" si="1001"/>
        <v>11069</v>
      </c>
      <c r="EM244" s="55">
        <f t="shared" si="1001"/>
        <v>13331</v>
      </c>
      <c r="EN244" s="55">
        <f t="shared" si="1001"/>
        <v>13623.0448361</v>
      </c>
      <c r="EO244" s="55">
        <f t="shared" si="1001"/>
        <v>14445</v>
      </c>
      <c r="EP244" s="55">
        <f t="shared" si="1001"/>
        <v>15852</v>
      </c>
      <c r="EQ244" s="55"/>
      <c r="ER244" s="55"/>
      <c r="ES244" s="55">
        <f>ES287</f>
        <v>15049</v>
      </c>
      <c r="ET244" s="55"/>
      <c r="EU244" s="55">
        <f>EU287</f>
        <v>6636</v>
      </c>
      <c r="EV244" s="55">
        <f>EV287</f>
        <v>6470</v>
      </c>
      <c r="EW244" s="55">
        <f t="shared" ref="EW244:FF244" si="1002">EW295</f>
        <v>4543</v>
      </c>
      <c r="EX244" s="56">
        <f t="shared" si="1002"/>
        <v>4510</v>
      </c>
      <c r="EY244" s="56">
        <f>EY295</f>
        <v>4567</v>
      </c>
      <c r="EZ244" s="1696">
        <f>EZ295</f>
        <v>4567</v>
      </c>
      <c r="FA244" s="55">
        <f t="shared" si="1002"/>
        <v>4577.6456876456878</v>
      </c>
      <c r="FB244" s="55">
        <f t="shared" si="1002"/>
        <v>4598.9370629370633</v>
      </c>
      <c r="FC244" s="55">
        <f t="shared" si="1002"/>
        <v>4620.2284382284379</v>
      </c>
      <c r="FD244" s="55">
        <f t="shared" si="1002"/>
        <v>4641.5198135198134</v>
      </c>
      <c r="FE244" s="55">
        <f t="shared" si="1002"/>
        <v>4662.8111888111889</v>
      </c>
      <c r="FF244" s="55">
        <f t="shared" si="1002"/>
        <v>4684.1025641025644</v>
      </c>
      <c r="FG244" s="55">
        <f>FG295</f>
        <v>4705.393939393939</v>
      </c>
      <c r="FH244" s="55">
        <f>FH295</f>
        <v>4726.6853146853146</v>
      </c>
      <c r="FI244" s="1386"/>
      <c r="FJ244"/>
      <c r="FK244"/>
      <c r="FL244"/>
      <c r="FM244"/>
      <c r="FN244"/>
      <c r="FO244"/>
      <c r="FP244" s="3"/>
      <c r="FS244" s="830"/>
      <c r="FT244" s="830"/>
      <c r="FU244"/>
      <c r="FV244"/>
      <c r="FW244" s="830"/>
      <c r="FX244" s="830"/>
      <c r="FY244" s="830"/>
      <c r="FZ244"/>
      <c r="GA244"/>
      <c r="GB244"/>
      <c r="GC244"/>
      <c r="GD244"/>
      <c r="GE244"/>
      <c r="GF244"/>
      <c r="GG244"/>
      <c r="GH244"/>
      <c r="GI244"/>
      <c r="GJ244"/>
      <c r="GK244"/>
      <c r="GL244"/>
      <c r="GM244"/>
      <c r="GN244"/>
      <c r="GO244"/>
      <c r="GP244"/>
      <c r="GQ244"/>
      <c r="GR244"/>
      <c r="GS244"/>
      <c r="GT244"/>
      <c r="GU244"/>
      <c r="GV244"/>
      <c r="GW244"/>
      <c r="GX244"/>
      <c r="GY244"/>
      <c r="GZ244"/>
      <c r="HA244"/>
      <c r="HB244"/>
      <c r="HC244"/>
      <c r="HD244"/>
      <c r="HE244"/>
      <c r="HF244"/>
      <c r="HG244"/>
      <c r="HH244"/>
      <c r="HI244"/>
      <c r="HJ244"/>
      <c r="HK244"/>
      <c r="HL244"/>
      <c r="HM244"/>
      <c r="HN244"/>
      <c r="HO244"/>
      <c r="HP244"/>
      <c r="HQ244"/>
      <c r="HR244"/>
      <c r="HS244"/>
      <c r="HT244"/>
      <c r="HU244"/>
      <c r="HV244"/>
      <c r="HW244"/>
      <c r="HX244"/>
      <c r="HY244"/>
      <c r="HZ244"/>
      <c r="IA244"/>
      <c r="IB244"/>
      <c r="IC244"/>
      <c r="ID244"/>
      <c r="IE244"/>
      <c r="IF244"/>
      <c r="IG244"/>
      <c r="IH244"/>
      <c r="II244"/>
      <c r="IJ244"/>
      <c r="IK244"/>
      <c r="IL244"/>
      <c r="IM244"/>
      <c r="IN244"/>
      <c r="IO244"/>
      <c r="IP244"/>
      <c r="IQ244"/>
      <c r="IR244"/>
      <c r="IS244"/>
      <c r="IT244"/>
      <c r="IU244"/>
      <c r="IV244"/>
      <c r="IW244"/>
      <c r="IX244"/>
      <c r="IY244"/>
      <c r="IZ244"/>
    </row>
    <row r="245" spans="1:260" s="4" customFormat="1" ht="11.25" customHeight="1" x14ac:dyDescent="0.2">
      <c r="A245" s="112" t="s">
        <v>108</v>
      </c>
      <c r="B245" s="113"/>
      <c r="C245" s="113"/>
      <c r="D245" s="113"/>
      <c r="E245" s="493"/>
      <c r="F245" s="113"/>
      <c r="G245" s="113"/>
      <c r="H245" s="113"/>
      <c r="I245" s="493"/>
      <c r="J245" s="113"/>
      <c r="K245" s="113"/>
      <c r="L245" s="113"/>
      <c r="M245" s="493"/>
      <c r="N245" s="113"/>
      <c r="O245" s="113"/>
      <c r="P245" s="113"/>
      <c r="Q245" s="493"/>
      <c r="R245" s="113"/>
      <c r="S245" s="113"/>
      <c r="T245" s="113"/>
      <c r="U245" s="493"/>
      <c r="V245" s="113"/>
      <c r="W245" s="113"/>
      <c r="X245" s="113"/>
      <c r="Y245" s="493"/>
      <c r="Z245" s="113"/>
      <c r="AA245" s="113"/>
      <c r="AB245" s="113"/>
      <c r="AC245" s="493"/>
      <c r="AD245" s="113"/>
      <c r="AE245" s="113"/>
      <c r="AF245" s="113"/>
      <c r="AG245" s="493"/>
      <c r="AH245" s="113"/>
      <c r="AI245" s="113"/>
      <c r="AJ245" s="113"/>
      <c r="AK245" s="493"/>
      <c r="AL245" s="113"/>
      <c r="AM245" s="113"/>
      <c r="AN245" s="113">
        <f t="shared" ref="AN245:BY245" si="1003">1*(AN244/AJ244-1)</f>
        <v>0.25153123723968962</v>
      </c>
      <c r="AO245" s="493">
        <f t="shared" si="1003"/>
        <v>0.24189627228525112</v>
      </c>
      <c r="AP245" s="113">
        <f t="shared" si="1003"/>
        <v>0.25159489633173848</v>
      </c>
      <c r="AQ245" s="113">
        <f t="shared" si="1003"/>
        <v>0.23949423577538109</v>
      </c>
      <c r="AR245" s="113">
        <f t="shared" si="1003"/>
        <v>0.17030995106035896</v>
      </c>
      <c r="AS245" s="493">
        <f t="shared" si="1003"/>
        <v>0.17030995106035896</v>
      </c>
      <c r="AT245" s="113">
        <f t="shared" si="1003"/>
        <v>0.15323351385791661</v>
      </c>
      <c r="AU245" s="113">
        <f t="shared" si="1003"/>
        <v>0.11341134113411333</v>
      </c>
      <c r="AV245" s="113">
        <f t="shared" si="1003"/>
        <v>0.11207136883189284</v>
      </c>
      <c r="AW245" s="493">
        <f t="shared" si="1003"/>
        <v>0.13102871480345701</v>
      </c>
      <c r="AX245" s="113">
        <f t="shared" si="1003"/>
        <v>0.14171270718232054</v>
      </c>
      <c r="AY245" s="113">
        <f t="shared" si="1003"/>
        <v>0.14093236324440861</v>
      </c>
      <c r="AZ245" s="113">
        <f t="shared" si="1003"/>
        <v>0.16219603910754565</v>
      </c>
      <c r="BA245" s="493">
        <f t="shared" si="1003"/>
        <v>0.14659847177717533</v>
      </c>
      <c r="BB245" s="113">
        <f t="shared" si="1003"/>
        <v>0.12823130897653034</v>
      </c>
      <c r="BC245" s="113">
        <f t="shared" si="1003"/>
        <v>1.127066603684459</v>
      </c>
      <c r="BD245" s="113">
        <f t="shared" si="1003"/>
        <v>0.99719585849870573</v>
      </c>
      <c r="BE245" s="493">
        <f t="shared" si="1003"/>
        <v>1.0246143924329552</v>
      </c>
      <c r="BF245" s="113">
        <f t="shared" si="1003"/>
        <v>1.0506199897919357</v>
      </c>
      <c r="BG245" s="113">
        <f t="shared" si="1003"/>
        <v>9.3937375083277708E-2</v>
      </c>
      <c r="BH245" s="113">
        <f t="shared" si="1003"/>
        <v>0.13889188897289118</v>
      </c>
      <c r="BI245" s="493">
        <f t="shared" si="1003"/>
        <v>0.17530261201953712</v>
      </c>
      <c r="BJ245" s="113">
        <f t="shared" si="1003"/>
        <v>0.19378791047897925</v>
      </c>
      <c r="BK245" s="113">
        <f t="shared" si="1003"/>
        <v>0.16138855054811208</v>
      </c>
      <c r="BL245" s="113">
        <f t="shared" si="1003"/>
        <v>0.21763869132290181</v>
      </c>
      <c r="BM245" s="493">
        <f t="shared" si="1003"/>
        <v>0.2043545035685248</v>
      </c>
      <c r="BN245" s="113">
        <f t="shared" si="1003"/>
        <v>0.16600963644327638</v>
      </c>
      <c r="BO245" s="113">
        <f t="shared" si="1003"/>
        <v>0.17846530326865939</v>
      </c>
      <c r="BP245" s="113">
        <f t="shared" si="1003"/>
        <v>5.5763239875389337E-2</v>
      </c>
      <c r="BQ245" s="493">
        <f t="shared" si="1003"/>
        <v>2.1907196466881773E-2</v>
      </c>
      <c r="BR245" s="113">
        <f t="shared" si="1003"/>
        <v>2.8925619834710758E-2</v>
      </c>
      <c r="BS245" s="113">
        <f t="shared" si="1003"/>
        <v>4.4052210026698235E-2</v>
      </c>
      <c r="BT245" s="113">
        <f t="shared" si="1003"/>
        <v>5.1047506639126494E-2</v>
      </c>
      <c r="BU245" s="493">
        <f t="shared" si="1003"/>
        <v>6.0335642566622383E-2</v>
      </c>
      <c r="BV245" s="113">
        <f t="shared" si="1003"/>
        <v>5.315808689302659E-2</v>
      </c>
      <c r="BW245" s="113">
        <f t="shared" si="1003"/>
        <v>6.5989487143060188E-2</v>
      </c>
      <c r="BX245" s="113">
        <f t="shared" si="1003"/>
        <v>8.5906793935990988E-2</v>
      </c>
      <c r="BY245" s="493">
        <f t="shared" si="1003"/>
        <v>9.7403946002076802E-2</v>
      </c>
      <c r="BZ245" s="113"/>
      <c r="CA245" s="113"/>
      <c r="CB245" s="113"/>
      <c r="CC245" s="493"/>
      <c r="CD245" s="113"/>
      <c r="CE245" s="113"/>
      <c r="CF245" s="113"/>
      <c r="CG245" s="493"/>
      <c r="CH245" s="113">
        <f>1*(CH244/BV244-1)</f>
        <v>0.10136587395132768</v>
      </c>
      <c r="CI245" s="113">
        <f>1*(CI244/BW244-1)</f>
        <v>7.1300059972013052E-2</v>
      </c>
      <c r="CJ245" s="113">
        <f>1*(CJ244/BX244-1)</f>
        <v>5.8815925542916148E-2</v>
      </c>
      <c r="CK245" s="493">
        <f>1*(CK244/BY244-1)</f>
        <v>-5.0656068634872597E-2</v>
      </c>
      <c r="CL245" s="113"/>
      <c r="CM245" s="113"/>
      <c r="CN245" s="113"/>
      <c r="CO245" s="493"/>
      <c r="CP245" s="113">
        <f>1*(CP244/CH244-1)</f>
        <v>-0.58338054768649672</v>
      </c>
      <c r="CQ245" s="113">
        <f>1*(CQ244/CI244-1)</f>
        <v>-0.58624121415687003</v>
      </c>
      <c r="CR245" s="113">
        <f>1*(CR244/CJ244-1)</f>
        <v>-0.58967159077035769</v>
      </c>
      <c r="CS245" s="493">
        <f>1*(CS244/CK244-1)</f>
        <v>-0.55904046780516981</v>
      </c>
      <c r="CT245" s="113">
        <f t="shared" ref="CT245:DB245" si="1004">1*(CT244/CP244-1)</f>
        <v>2.7198549410698547E-3</v>
      </c>
      <c r="CU245" s="113">
        <f t="shared" si="1004"/>
        <v>-1.743836440168367E-2</v>
      </c>
      <c r="CV245" s="113">
        <f t="shared" si="1004"/>
        <v>-2.409997024695032E-2</v>
      </c>
      <c r="CW245" s="493">
        <f t="shared" si="1004"/>
        <v>-2.5015069318866767E-2</v>
      </c>
      <c r="CX245" s="113">
        <f t="shared" si="1004"/>
        <v>-0.3175105485232067</v>
      </c>
      <c r="CY245" s="113">
        <f t="shared" si="1004"/>
        <v>-0.30706854345165235</v>
      </c>
      <c r="CZ245" s="113">
        <f t="shared" si="1004"/>
        <v>-0.30975609756097566</v>
      </c>
      <c r="DA245" s="493">
        <f t="shared" si="1004"/>
        <v>-0.29783616692426584</v>
      </c>
      <c r="DB245" s="113">
        <f t="shared" si="1004"/>
        <v>-4.1951865754029649E-3</v>
      </c>
      <c r="DC245" s="113">
        <f t="shared" ref="DC245:DM245" si="1005">1*(DC244/CY244-1)</f>
        <v>-4.6367851622874934E-3</v>
      </c>
      <c r="DD245" s="113">
        <f t="shared" si="1005"/>
        <v>-4.8586572438162889E-3</v>
      </c>
      <c r="DE245" s="493">
        <f t="shared" si="1005"/>
        <v>-7.2639225181597711E-3</v>
      </c>
      <c r="DF245" s="113">
        <f t="shared" si="1005"/>
        <v>0</v>
      </c>
      <c r="DG245" s="113">
        <f t="shared" si="1005"/>
        <v>9.3167701863354768E-3</v>
      </c>
      <c r="DH245" s="113">
        <f t="shared" si="1005"/>
        <v>1.3537505548157913E-2</v>
      </c>
      <c r="DI245" s="493">
        <f t="shared" si="1005"/>
        <v>1.263858093126391E-2</v>
      </c>
      <c r="DJ245" s="1724">
        <f t="shared" si="1005"/>
        <v>1.263858093126391E-2</v>
      </c>
      <c r="DK245" s="113">
        <f t="shared" si="1005"/>
        <v>3.7362637362636786E-3</v>
      </c>
      <c r="DL245" s="113">
        <f t="shared" si="1005"/>
        <v>0</v>
      </c>
      <c r="DM245" s="493">
        <f t="shared" si="1005"/>
        <v>0</v>
      </c>
      <c r="DN245" s="752"/>
      <c r="DO245" s="753"/>
      <c r="DP245" s="107"/>
      <c r="DQ245" s="107"/>
      <c r="DR245" s="107"/>
      <c r="DS245" s="107"/>
      <c r="DT245" s="107"/>
      <c r="DU245" s="107"/>
      <c r="DV245" s="107"/>
      <c r="DW245" s="107"/>
      <c r="DX245" s="113"/>
      <c r="DY245" s="113"/>
      <c r="DZ245" s="113"/>
      <c r="EA245" s="113"/>
      <c r="EB245" s="113"/>
      <c r="EC245" s="113"/>
      <c r="ED245" s="113"/>
      <c r="EE245" s="113"/>
      <c r="EF245" s="113"/>
      <c r="EG245" s="113">
        <f t="shared" ref="EG245:EP245" si="1006">1*(EG244/EF244-1)</f>
        <v>0.24189627228525112</v>
      </c>
      <c r="EH245" s="113">
        <f t="shared" si="1006"/>
        <v>0.17030995106035896</v>
      </c>
      <c r="EI245" s="113">
        <f t="shared" si="1006"/>
        <v>0.13102871480345701</v>
      </c>
      <c r="EJ245" s="113">
        <f t="shared" si="1006"/>
        <v>0.14659847177717533</v>
      </c>
      <c r="EK245" s="113">
        <f t="shared" si="1006"/>
        <v>1.0246143924329552</v>
      </c>
      <c r="EL245" s="113">
        <f t="shared" si="1006"/>
        <v>0.17530261201953712</v>
      </c>
      <c r="EM245" s="113">
        <f t="shared" si="1006"/>
        <v>0.2043545035685248</v>
      </c>
      <c r="EN245" s="113">
        <f t="shared" si="1006"/>
        <v>2.1907196466881773E-2</v>
      </c>
      <c r="EO245" s="113">
        <f t="shared" si="1006"/>
        <v>6.0335642566622383E-2</v>
      </c>
      <c r="EP245" s="113">
        <f t="shared" si="1006"/>
        <v>9.7403946002076802E-2</v>
      </c>
      <c r="EQ245" s="113"/>
      <c r="ER245" s="113"/>
      <c r="ES245" s="113">
        <f>1*(ES244/EP244-1)</f>
        <v>-5.0656068634872597E-2</v>
      </c>
      <c r="ET245" s="113"/>
      <c r="EU245" s="113">
        <f>1*(EU244/ES244-1)</f>
        <v>-0.55904046780516981</v>
      </c>
      <c r="EV245" s="113">
        <f>1*(EV244/EU244-1)</f>
        <v>-2.5015069318866767E-2</v>
      </c>
      <c r="EW245" s="113">
        <f t="shared" ref="EW245:FC245" si="1007">1*(EW244/EV244-1)</f>
        <v>-0.29783616692426584</v>
      </c>
      <c r="EX245" s="113">
        <f t="shared" si="1007"/>
        <v>-7.2639225181597711E-3</v>
      </c>
      <c r="EY245" s="113">
        <f t="shared" si="1007"/>
        <v>1.263858093126391E-2</v>
      </c>
      <c r="EZ245" s="1724">
        <f t="shared" si="1007"/>
        <v>0</v>
      </c>
      <c r="FA245" s="113">
        <f t="shared" si="1007"/>
        <v>2.3310023310023631E-3</v>
      </c>
      <c r="FB245" s="113">
        <f t="shared" si="1007"/>
        <v>4.6511627906977715E-3</v>
      </c>
      <c r="FC245" s="113">
        <f t="shared" si="1007"/>
        <v>4.6296296296295392E-3</v>
      </c>
      <c r="FD245" s="113">
        <f>1*(FD244/FC244-1)</f>
        <v>4.6082949308756671E-3</v>
      </c>
      <c r="FE245" s="113">
        <f>1*(FE244/FD244-1)</f>
        <v>4.5871559633028358E-3</v>
      </c>
      <c r="FF245" s="113">
        <f>1*(FF244/FE244-1)</f>
        <v>4.5662100456620447E-3</v>
      </c>
      <c r="FG245" s="113">
        <f>1*(FG244/FF244-1)</f>
        <v>4.5454545454544082E-3</v>
      </c>
      <c r="FH245" s="113">
        <f>1*(FH244/FG244-1)</f>
        <v>4.5248868778280382E-3</v>
      </c>
      <c r="FI245" s="940"/>
      <c r="FJ245"/>
      <c r="FK245"/>
      <c r="FL245"/>
      <c r="FM245"/>
      <c r="FN245"/>
      <c r="FO245"/>
      <c r="FP245" s="3"/>
      <c r="FS245" s="113"/>
      <c r="FT245" s="113"/>
      <c r="FU245"/>
      <c r="FV245"/>
      <c r="FW245" s="113"/>
      <c r="FX245" s="113"/>
      <c r="FY245" s="113"/>
      <c r="FZ245"/>
      <c r="GA245"/>
      <c r="GB245"/>
      <c r="GC245"/>
      <c r="GD245"/>
      <c r="GE245"/>
      <c r="GF245"/>
      <c r="GG245"/>
      <c r="GH245"/>
      <c r="GI245"/>
      <c r="GJ245"/>
      <c r="GK245"/>
      <c r="GL245"/>
      <c r="GM245"/>
      <c r="GN245"/>
      <c r="GO245"/>
      <c r="GP245"/>
      <c r="GQ245"/>
      <c r="GR245"/>
      <c r="GS245"/>
      <c r="GT245"/>
      <c r="GU245"/>
      <c r="GV245"/>
      <c r="GW245"/>
      <c r="GX245"/>
      <c r="GY245"/>
      <c r="GZ245"/>
      <c r="HA245"/>
      <c r="HB245"/>
      <c r="HC245"/>
      <c r="HD245"/>
      <c r="HE245"/>
      <c r="HF245"/>
      <c r="HG245"/>
      <c r="HH245"/>
      <c r="HI245"/>
      <c r="HJ245"/>
      <c r="HK245"/>
      <c r="HL245"/>
      <c r="HM245"/>
      <c r="HN245"/>
      <c r="HO245"/>
      <c r="HP245"/>
      <c r="HQ245"/>
      <c r="HR245"/>
      <c r="HS245"/>
      <c r="HT245"/>
      <c r="HU245"/>
      <c r="HV245"/>
      <c r="HW245"/>
      <c r="HX245"/>
      <c r="HY245"/>
      <c r="HZ245"/>
      <c r="IA245"/>
      <c r="IB245"/>
      <c r="IC245"/>
      <c r="ID245"/>
      <c r="IE245"/>
      <c r="IF245"/>
      <c r="IG245"/>
      <c r="IH245"/>
      <c r="II245"/>
      <c r="IJ245"/>
      <c r="IK245"/>
      <c r="IL245"/>
      <c r="IM245"/>
      <c r="IN245"/>
      <c r="IO245"/>
      <c r="IP245"/>
      <c r="IQ245"/>
      <c r="IR245"/>
      <c r="IS245"/>
      <c r="IT245"/>
      <c r="IU245"/>
      <c r="IV245"/>
      <c r="IW245"/>
      <c r="IX245"/>
      <c r="IY245"/>
      <c r="IZ245"/>
    </row>
    <row r="246" spans="1:260" s="4" customFormat="1" ht="11.25" customHeight="1" x14ac:dyDescent="0.2">
      <c r="B246" s="9"/>
      <c r="C246" s="9"/>
      <c r="D246" s="9"/>
      <c r="E246" s="645"/>
      <c r="F246" s="9"/>
      <c r="G246" s="9"/>
      <c r="H246" s="9"/>
      <c r="I246" s="645"/>
      <c r="J246" s="9"/>
      <c r="K246" s="9"/>
      <c r="L246" s="9"/>
      <c r="M246" s="645"/>
      <c r="N246" s="9"/>
      <c r="O246" s="9"/>
      <c r="P246" s="9"/>
      <c r="Q246" s="645"/>
      <c r="R246" s="9"/>
      <c r="S246" s="9"/>
      <c r="T246" s="9"/>
      <c r="U246" s="645"/>
      <c r="V246" s="9"/>
      <c r="W246" s="9"/>
      <c r="X246" s="9"/>
      <c r="Y246" s="645"/>
      <c r="Z246" s="9"/>
      <c r="AA246" s="9"/>
      <c r="AB246" s="9"/>
      <c r="AC246" s="645"/>
      <c r="AD246" s="9"/>
      <c r="AE246" s="9"/>
      <c r="AF246" s="9"/>
      <c r="AG246" s="645"/>
      <c r="AH246" s="9"/>
      <c r="AI246" s="9"/>
      <c r="AJ246" s="9"/>
      <c r="AK246" s="645"/>
      <c r="AL246" s="9"/>
      <c r="AM246" s="9"/>
      <c r="AN246" s="9"/>
      <c r="AO246" s="645"/>
      <c r="AP246" s="9"/>
      <c r="AQ246" s="9"/>
      <c r="AR246" s="9"/>
      <c r="AS246" s="645"/>
      <c r="AT246" s="9"/>
      <c r="AU246" s="9"/>
      <c r="AV246" s="9"/>
      <c r="AW246" s="645"/>
      <c r="AX246" s="9"/>
      <c r="AY246" s="9"/>
      <c r="AZ246" s="9"/>
      <c r="BA246" s="645"/>
      <c r="BB246" s="9"/>
      <c r="BC246" s="9"/>
      <c r="BD246" s="9"/>
      <c r="BE246" s="645"/>
      <c r="BF246" s="9"/>
      <c r="BG246" s="10"/>
      <c r="BH246" s="10"/>
      <c r="BI246" s="524"/>
      <c r="BJ246" s="9"/>
      <c r="BK246" s="9"/>
      <c r="BL246" s="9"/>
      <c r="BM246" s="645"/>
      <c r="BN246" s="9"/>
      <c r="BO246" s="9"/>
      <c r="BP246" s="9"/>
      <c r="BQ246" s="645"/>
      <c r="BR246" s="9"/>
      <c r="BS246" s="9"/>
      <c r="BT246" s="9"/>
      <c r="BU246" s="645"/>
      <c r="BV246" s="9"/>
      <c r="BW246" s="9"/>
      <c r="BX246" s="9"/>
      <c r="BY246" s="645"/>
      <c r="BZ246" s="9"/>
      <c r="CA246" s="9"/>
      <c r="CB246" s="9"/>
      <c r="CC246" s="645"/>
      <c r="CD246" s="9"/>
      <c r="CE246" s="9"/>
      <c r="CF246" s="9"/>
      <c r="CG246" s="645"/>
      <c r="CH246" s="9"/>
      <c r="CI246" s="9"/>
      <c r="CJ246" s="9"/>
      <c r="CK246" s="645"/>
      <c r="CL246" s="9"/>
      <c r="CM246" s="9"/>
      <c r="CN246" s="9"/>
      <c r="CO246" s="645"/>
      <c r="CP246" s="9"/>
      <c r="CQ246" s="9"/>
      <c r="CR246" s="9"/>
      <c r="CS246" s="645"/>
      <c r="CT246" s="9"/>
      <c r="CU246" s="10"/>
      <c r="CV246" s="10"/>
      <c r="CW246" s="524"/>
      <c r="CX246" s="10"/>
      <c r="CY246" s="10"/>
      <c r="CZ246" s="10"/>
      <c r="DA246" s="524"/>
      <c r="DB246" s="10"/>
      <c r="DC246" s="10"/>
      <c r="DD246" s="172"/>
      <c r="DE246" s="524"/>
      <c r="DF246" s="172"/>
      <c r="DG246" s="172"/>
      <c r="DH246" s="172"/>
      <c r="DI246" s="524"/>
      <c r="DJ246" s="2720"/>
      <c r="DK246" s="93"/>
      <c r="DL246" s="93"/>
      <c r="DM246" s="645"/>
      <c r="DN246" s="413"/>
      <c r="DO246" s="470"/>
      <c r="DX246" s="9"/>
      <c r="DY246" s="9"/>
      <c r="DZ246" s="9"/>
      <c r="EA246" s="9"/>
      <c r="EB246" s="9"/>
      <c r="EC246" s="9"/>
      <c r="ED246" s="9"/>
      <c r="EE246" s="9"/>
      <c r="EF246" s="9"/>
      <c r="EG246" s="9"/>
      <c r="EH246" s="9"/>
      <c r="EI246" s="9"/>
      <c r="EJ246" s="9"/>
      <c r="EK246" s="9"/>
      <c r="EL246" s="9"/>
      <c r="EM246" s="9"/>
      <c r="EN246" s="9"/>
      <c r="EO246" s="9"/>
      <c r="EP246" s="9"/>
      <c r="EQ246" s="9"/>
      <c r="ER246" s="9"/>
      <c r="ES246" s="9"/>
      <c r="ET246" s="9"/>
      <c r="EU246" s="9"/>
      <c r="EX246" s="6"/>
      <c r="EY246" s="6"/>
      <c r="EZ246" s="1734"/>
      <c r="FA246" s="9"/>
      <c r="FB246" s="9"/>
      <c r="FC246" s="9"/>
      <c r="FD246" s="9"/>
      <c r="FE246" s="9"/>
      <c r="FF246" s="9"/>
      <c r="FG246" s="9"/>
      <c r="FH246" s="9"/>
      <c r="FI246" s="667"/>
      <c r="FJ246"/>
      <c r="FK246"/>
      <c r="FL246"/>
      <c r="FM246"/>
      <c r="FN246"/>
      <c r="FO246"/>
      <c r="FP246" s="3"/>
      <c r="FS246" s="172"/>
      <c r="FT246" s="172"/>
      <c r="FU246"/>
      <c r="FV246"/>
      <c r="FW246" s="172"/>
      <c r="FX246" s="172"/>
      <c r="FY246" s="172"/>
      <c r="FZ246"/>
      <c r="GA246"/>
      <c r="GB246"/>
      <c r="GC246"/>
      <c r="GD246"/>
      <c r="GE246"/>
      <c r="GF246"/>
      <c r="GG246"/>
      <c r="GH246"/>
      <c r="GI246"/>
      <c r="GJ246"/>
      <c r="GK246"/>
      <c r="GL246"/>
      <c r="GM246"/>
      <c r="GN246"/>
      <c r="GO246"/>
      <c r="GP246"/>
      <c r="GQ246"/>
      <c r="GR246"/>
      <c r="GS246"/>
      <c r="GT246"/>
      <c r="GU246"/>
      <c r="GV246"/>
      <c r="GW246"/>
      <c r="GX246"/>
      <c r="GY246"/>
      <c r="GZ246"/>
      <c r="HA246"/>
      <c r="HB246"/>
      <c r="HC246"/>
      <c r="HD246"/>
      <c r="HE246"/>
      <c r="HF246"/>
      <c r="HG246"/>
      <c r="HH246"/>
      <c r="HI246"/>
      <c r="HJ246"/>
      <c r="HK246"/>
      <c r="HL246"/>
      <c r="HM246"/>
      <c r="HN246"/>
      <c r="HO246"/>
      <c r="HP246"/>
      <c r="HQ246"/>
      <c r="HR246"/>
      <c r="HS246"/>
      <c r="HT246"/>
      <c r="HU246"/>
      <c r="HV246"/>
      <c r="HW246"/>
      <c r="HX246"/>
      <c r="HY246"/>
      <c r="HZ246"/>
      <c r="IA246"/>
      <c r="IB246"/>
      <c r="IC246"/>
      <c r="ID246"/>
      <c r="IE246"/>
      <c r="IF246"/>
      <c r="IG246"/>
      <c r="IH246"/>
      <c r="II246"/>
      <c r="IJ246"/>
      <c r="IK246"/>
      <c r="IL246"/>
      <c r="IM246"/>
      <c r="IN246"/>
      <c r="IO246"/>
      <c r="IP246"/>
      <c r="IQ246"/>
      <c r="IR246"/>
      <c r="IS246"/>
      <c r="IT246"/>
      <c r="IU246"/>
      <c r="IV246"/>
      <c r="IW246"/>
      <c r="IX246"/>
      <c r="IY246"/>
      <c r="IZ246"/>
    </row>
    <row r="247" spans="1:260" s="4" customFormat="1" ht="11.25" hidden="1" customHeight="1" outlineLevel="1" x14ac:dyDescent="0.2">
      <c r="A247" s="13" t="s">
        <v>43</v>
      </c>
      <c r="B247" s="9"/>
      <c r="C247" s="9"/>
      <c r="D247" s="9"/>
      <c r="E247" s="645"/>
      <c r="F247" s="9"/>
      <c r="G247" s="9"/>
      <c r="H247" s="9"/>
      <c r="I247" s="645"/>
      <c r="J247" s="9"/>
      <c r="K247" s="9"/>
      <c r="L247" s="9"/>
      <c r="M247" s="645"/>
      <c r="N247" s="9"/>
      <c r="O247" s="9"/>
      <c r="P247" s="9"/>
      <c r="Q247" s="645"/>
      <c r="R247" s="9"/>
      <c r="S247" s="9"/>
      <c r="T247" s="9"/>
      <c r="U247" s="645"/>
      <c r="V247" s="9"/>
      <c r="W247" s="9"/>
      <c r="X247" s="9"/>
      <c r="Y247" s="645"/>
      <c r="Z247" s="9"/>
      <c r="AA247" s="9"/>
      <c r="AB247" s="9"/>
      <c r="AC247" s="645"/>
      <c r="AD247" s="9"/>
      <c r="AE247" s="9"/>
      <c r="AF247" s="9"/>
      <c r="AG247" s="645"/>
      <c r="AH247" s="9"/>
      <c r="AI247" s="9"/>
      <c r="AJ247" s="9"/>
      <c r="AK247" s="645"/>
      <c r="AL247" s="9"/>
      <c r="AM247" s="9"/>
      <c r="AN247" s="9"/>
      <c r="AO247" s="645"/>
      <c r="AP247" s="9"/>
      <c r="AQ247" s="9"/>
      <c r="AR247" s="9"/>
      <c r="AS247" s="645"/>
      <c r="AT247" s="9"/>
      <c r="AU247" s="9"/>
      <c r="AV247" s="9"/>
      <c r="AW247" s="645"/>
      <c r="AX247" s="9"/>
      <c r="AY247" s="9"/>
      <c r="AZ247" s="9"/>
      <c r="BA247" s="645"/>
      <c r="BB247" s="9"/>
      <c r="BC247" s="9"/>
      <c r="BD247" s="9"/>
      <c r="BE247" s="645"/>
      <c r="BF247" s="9"/>
      <c r="BG247" s="10"/>
      <c r="BH247" s="10"/>
      <c r="BI247" s="524"/>
      <c r="BJ247" s="9"/>
      <c r="BK247" s="9"/>
      <c r="BL247" s="9"/>
      <c r="BM247" s="645"/>
      <c r="BN247" s="9"/>
      <c r="BO247" s="9"/>
      <c r="BP247" s="9"/>
      <c r="BQ247" s="645"/>
      <c r="BR247" s="9"/>
      <c r="BS247" s="9"/>
      <c r="BT247" s="9"/>
      <c r="BU247" s="645"/>
      <c r="BV247" s="9"/>
      <c r="BW247" s="9"/>
      <c r="BX247" s="9"/>
      <c r="BY247" s="645"/>
      <c r="BZ247" s="9"/>
      <c r="CA247" s="9"/>
      <c r="CB247" s="9"/>
      <c r="CC247" s="645"/>
      <c r="CD247" s="9"/>
      <c r="CE247" s="9"/>
      <c r="CF247" s="9"/>
      <c r="CG247" s="645"/>
      <c r="CH247" s="9"/>
      <c r="CI247" s="9"/>
      <c r="CJ247" s="9"/>
      <c r="CK247" s="645"/>
      <c r="CL247" s="9"/>
      <c r="CM247" s="9"/>
      <c r="CN247" s="9"/>
      <c r="CO247" s="645"/>
      <c r="CP247" s="9"/>
      <c r="CQ247" s="9"/>
      <c r="CR247" s="9"/>
      <c r="CS247" s="645"/>
      <c r="CT247" s="9"/>
      <c r="CU247" s="10"/>
      <c r="CV247" s="10"/>
      <c r="CW247" s="524"/>
      <c r="CX247" s="10"/>
      <c r="CY247" s="10"/>
      <c r="CZ247" s="10"/>
      <c r="DA247" s="524"/>
      <c r="DB247" s="10"/>
      <c r="DC247" s="10"/>
      <c r="DD247" s="172"/>
      <c r="DE247" s="524"/>
      <c r="DF247" s="172"/>
      <c r="DG247" s="172"/>
      <c r="DH247" s="172"/>
      <c r="DI247" s="524"/>
      <c r="DJ247" s="2720"/>
      <c r="DK247" s="93"/>
      <c r="DL247" s="93"/>
      <c r="DM247" s="645"/>
      <c r="DN247" s="413"/>
      <c r="DO247" s="470"/>
      <c r="DX247" s="9"/>
      <c r="DY247" s="9"/>
      <c r="DZ247" s="9"/>
      <c r="EA247" s="9"/>
      <c r="EB247" s="9"/>
      <c r="EC247" s="9"/>
      <c r="ED247" s="9"/>
      <c r="EE247" s="9"/>
      <c r="EF247" s="9"/>
      <c r="EG247" s="9"/>
      <c r="EH247" s="9"/>
      <c r="EI247" s="9"/>
      <c r="EJ247" s="9"/>
      <c r="EK247" s="9"/>
      <c r="EL247" s="9"/>
      <c r="EM247" s="9"/>
      <c r="EN247" s="9"/>
      <c r="EO247" s="9"/>
      <c r="EP247" s="9"/>
      <c r="EQ247" s="9"/>
      <c r="ER247" s="9"/>
      <c r="ES247" s="9"/>
      <c r="ET247" s="9"/>
      <c r="EU247" s="9"/>
      <c r="EV247" s="56"/>
      <c r="EW247" s="56"/>
      <c r="EX247" s="56"/>
      <c r="EY247" s="56"/>
      <c r="EZ247" s="1696"/>
      <c r="FA247" s="9"/>
      <c r="FB247" s="9"/>
      <c r="FC247" s="9"/>
      <c r="FD247" s="9"/>
      <c r="FE247" s="9"/>
      <c r="FF247" s="9"/>
      <c r="FG247" s="9"/>
      <c r="FH247" s="9"/>
      <c r="FI247" s="667"/>
      <c r="FJ247"/>
      <c r="FK247"/>
      <c r="FL247"/>
      <c r="FM247"/>
      <c r="FN247"/>
      <c r="FO247"/>
      <c r="FP247" s="3"/>
      <c r="FS247" s="172"/>
      <c r="FT247" s="172"/>
      <c r="FU247"/>
      <c r="FV247"/>
      <c r="FW247" s="172"/>
      <c r="FX247" s="172"/>
      <c r="FY247" s="172"/>
      <c r="FZ247"/>
      <c r="GA247"/>
      <c r="GB247"/>
      <c r="GC247"/>
      <c r="GD247"/>
      <c r="GE247"/>
      <c r="GF247"/>
      <c r="GG247"/>
      <c r="GH247"/>
      <c r="GI247"/>
      <c r="GJ247"/>
      <c r="GK247"/>
      <c r="GL247"/>
      <c r="GM247"/>
      <c r="GN247"/>
      <c r="GO247"/>
      <c r="GP247"/>
      <c r="GQ247"/>
      <c r="GR247"/>
      <c r="GS247"/>
      <c r="GT247"/>
      <c r="GU247"/>
      <c r="GV247"/>
      <c r="GW247"/>
      <c r="GX247"/>
      <c r="GY247"/>
      <c r="GZ247"/>
      <c r="HA247"/>
      <c r="HB247"/>
      <c r="HC247"/>
      <c r="HD247"/>
      <c r="HE247"/>
      <c r="HF247"/>
      <c r="HG247"/>
      <c r="HH247"/>
      <c r="HI247"/>
      <c r="HJ247"/>
      <c r="HK247"/>
      <c r="HL247"/>
      <c r="HM247"/>
      <c r="HN247"/>
      <c r="HO247"/>
      <c r="HP247"/>
      <c r="HQ247"/>
      <c r="HR247"/>
      <c r="HS247"/>
      <c r="HT247"/>
      <c r="HU247"/>
      <c r="HV247"/>
      <c r="HW247"/>
      <c r="HX247"/>
      <c r="HY247"/>
      <c r="HZ247"/>
      <c r="IA247"/>
      <c r="IB247"/>
      <c r="IC247"/>
      <c r="ID247"/>
      <c r="IE247"/>
      <c r="IF247"/>
      <c r="IG247"/>
      <c r="IH247"/>
      <c r="II247"/>
      <c r="IJ247"/>
      <c r="IK247"/>
      <c r="IL247"/>
      <c r="IM247"/>
      <c r="IN247"/>
      <c r="IO247"/>
      <c r="IP247"/>
      <c r="IQ247"/>
      <c r="IR247"/>
      <c r="IS247"/>
      <c r="IT247"/>
      <c r="IU247"/>
      <c r="IV247"/>
      <c r="IW247"/>
      <c r="IX247"/>
      <c r="IY247"/>
      <c r="IZ247"/>
    </row>
    <row r="248" spans="1:260" s="4" customFormat="1" ht="11.25" hidden="1" customHeight="1" outlineLevel="2" x14ac:dyDescent="0.2">
      <c r="A248" s="4" t="s">
        <v>372</v>
      </c>
      <c r="E248" s="470"/>
      <c r="I248" s="470"/>
      <c r="M248" s="470"/>
      <c r="Q248" s="470"/>
      <c r="U248" s="470"/>
      <c r="Y248" s="470"/>
      <c r="AC248" s="470"/>
      <c r="AG248" s="470"/>
      <c r="AX248" s="4">
        <f>EI248+AX262</f>
        <v>0</v>
      </c>
      <c r="AY248" s="4">
        <f t="shared" ref="AY248:BA250" si="1008">AX248+AY262</f>
        <v>0</v>
      </c>
      <c r="AZ248" s="4">
        <f t="shared" si="1008"/>
        <v>4</v>
      </c>
      <c r="BA248" s="4">
        <f t="shared" si="1008"/>
        <v>5</v>
      </c>
      <c r="BB248" s="4">
        <f>EJ248+BB262</f>
        <v>6</v>
      </c>
      <c r="BC248" s="4">
        <f t="shared" ref="BC248:BE250" si="1009">BB248+BC262</f>
        <v>0</v>
      </c>
      <c r="BD248" s="4">
        <f t="shared" si="1009"/>
        <v>0</v>
      </c>
      <c r="BE248" s="4">
        <f t="shared" si="1009"/>
        <v>0</v>
      </c>
      <c r="BF248" s="4">
        <f>EK248+BF262</f>
        <v>0</v>
      </c>
      <c r="BG248" s="4">
        <f t="shared" ref="BG248:BI250" si="1010">BF248+BG262</f>
        <v>0</v>
      </c>
      <c r="BH248" s="4">
        <f t="shared" si="1010"/>
        <v>0</v>
      </c>
      <c r="BI248" s="4">
        <f t="shared" si="1010"/>
        <v>0</v>
      </c>
      <c r="BJ248" s="4">
        <f>EL248+BJ262</f>
        <v>0</v>
      </c>
      <c r="BK248" s="4">
        <f t="shared" ref="BK248:BM250" si="1011">BJ248+BK262</f>
        <v>0</v>
      </c>
      <c r="BL248" s="4">
        <f t="shared" si="1011"/>
        <v>0</v>
      </c>
      <c r="BM248" s="4">
        <f t="shared" si="1011"/>
        <v>0</v>
      </c>
      <c r="BN248" s="4">
        <f t="shared" ref="BN248:BN256" si="1012">EM248+BN262</f>
        <v>0</v>
      </c>
      <c r="BO248" s="4">
        <f t="shared" ref="BO248:BP256" si="1013">BN248+BO262</f>
        <v>0</v>
      </c>
      <c r="BP248" s="4">
        <f t="shared" si="1013"/>
        <v>0</v>
      </c>
      <c r="BQ248" s="4">
        <v>0</v>
      </c>
      <c r="BR248" s="4">
        <v>0</v>
      </c>
      <c r="BS248" s="4">
        <v>0</v>
      </c>
      <c r="BT248" s="4">
        <v>0</v>
      </c>
      <c r="BU248" s="4">
        <v>0</v>
      </c>
      <c r="BV248" s="4">
        <v>0</v>
      </c>
      <c r="BW248" s="4">
        <v>0</v>
      </c>
      <c r="BX248" s="4">
        <v>0</v>
      </c>
      <c r="BY248" s="4">
        <v>0</v>
      </c>
      <c r="CH248" s="4">
        <v>0</v>
      </c>
      <c r="CI248" s="4">
        <v>0</v>
      </c>
      <c r="CJ248" s="4">
        <v>0</v>
      </c>
      <c r="CK248" s="4">
        <v>0</v>
      </c>
      <c r="CP248" s="4">
        <v>0</v>
      </c>
      <c r="CQ248" s="4">
        <v>0</v>
      </c>
      <c r="CR248" s="4">
        <v>0</v>
      </c>
      <c r="CS248" s="470">
        <v>0</v>
      </c>
      <c r="CT248" s="4">
        <v>0</v>
      </c>
      <c r="CU248" s="4">
        <v>0</v>
      </c>
      <c r="CV248" s="4">
        <v>0</v>
      </c>
      <c r="CW248" s="470">
        <v>0</v>
      </c>
      <c r="CX248" s="1572">
        <v>0</v>
      </c>
      <c r="CY248" s="1952">
        <f>CX248</f>
        <v>0</v>
      </c>
      <c r="CZ248" s="1953">
        <v>0</v>
      </c>
      <c r="DA248" s="1602">
        <v>0</v>
      </c>
      <c r="DB248" s="1953">
        <v>0</v>
      </c>
      <c r="DC248" s="1953">
        <v>0</v>
      </c>
      <c r="DD248" s="1953"/>
      <c r="DE248" s="1928"/>
      <c r="DF248" s="1953"/>
      <c r="DG248" s="1953"/>
      <c r="DH248" s="1953"/>
      <c r="DI248" s="1928"/>
      <c r="DJ248" s="2747"/>
      <c r="DK248" s="2600"/>
      <c r="DL248" s="2600"/>
      <c r="DM248" s="1602"/>
      <c r="DN248" s="413"/>
      <c r="DO248" s="470"/>
      <c r="EJ248" s="4">
        <f>BA248</f>
        <v>5</v>
      </c>
      <c r="EK248" s="4">
        <f t="shared" ref="EK248:EM250" si="1014">EJ248+EK262</f>
        <v>0</v>
      </c>
      <c r="EL248" s="4">
        <f t="shared" si="1014"/>
        <v>0</v>
      </c>
      <c r="EM248" s="4">
        <f t="shared" si="1014"/>
        <v>0</v>
      </c>
      <c r="EN248" s="4">
        <f>BM248+EN262</f>
        <v>0</v>
      </c>
      <c r="EO248" s="4">
        <f t="shared" ref="EO248:EO256" si="1015">BQ248+EO262</f>
        <v>0</v>
      </c>
      <c r="EP248" s="4">
        <f t="shared" ref="EP248:EP256" si="1016">BU248+EP262</f>
        <v>0</v>
      </c>
      <c r="ES248" s="4">
        <f t="shared" ref="ES248:ES256" si="1017">BY248+ES262</f>
        <v>0</v>
      </c>
      <c r="EU248" s="4">
        <f t="shared" ref="EU248:EU257" si="1018">CK248+EU262</f>
        <v>0</v>
      </c>
      <c r="EV248" s="4">
        <f>CT248+EV262</f>
        <v>0</v>
      </c>
      <c r="EX248" s="6"/>
      <c r="EY248" s="6"/>
      <c r="EZ248" s="1734"/>
      <c r="FI248" s="671"/>
      <c r="FJ248"/>
      <c r="FK248"/>
      <c r="FL248"/>
      <c r="FM248"/>
      <c r="FN248"/>
      <c r="FO248"/>
      <c r="FP248" s="3"/>
      <c r="FS248" s="7"/>
      <c r="FT248" s="7"/>
      <c r="FU248"/>
      <c r="FV248"/>
      <c r="FW248" s="7"/>
      <c r="FX248" s="7"/>
      <c r="FY248" s="7"/>
      <c r="FZ248"/>
      <c r="GA248"/>
      <c r="GB248"/>
      <c r="GC248"/>
      <c r="GD248"/>
      <c r="GE248"/>
      <c r="GF248"/>
      <c r="GG248"/>
      <c r="GH248"/>
      <c r="GI248"/>
      <c r="GJ248"/>
      <c r="GK248"/>
      <c r="GL248"/>
      <c r="GM248"/>
      <c r="GN248"/>
      <c r="GO248"/>
      <c r="GP248"/>
      <c r="GQ248"/>
      <c r="GR248"/>
      <c r="GS248"/>
      <c r="GT248"/>
      <c r="GU248"/>
      <c r="GV248"/>
      <c r="GW248"/>
      <c r="GX248"/>
      <c r="GY248"/>
      <c r="GZ248"/>
      <c r="HA248"/>
      <c r="HB248"/>
      <c r="HC248"/>
      <c r="HD248"/>
      <c r="HE248"/>
      <c r="HF248"/>
      <c r="HG248"/>
      <c r="HH248"/>
      <c r="HI248"/>
      <c r="HJ248"/>
      <c r="HK248"/>
      <c r="HL248"/>
      <c r="HM248"/>
      <c r="HN248"/>
      <c r="HO248"/>
      <c r="HP248"/>
      <c r="HQ248"/>
      <c r="HR248"/>
      <c r="HS248"/>
      <c r="HT248"/>
      <c r="HU248"/>
      <c r="HV248"/>
      <c r="HW248"/>
      <c r="HX248"/>
      <c r="HY248"/>
      <c r="HZ248"/>
      <c r="IA248"/>
      <c r="IB248"/>
      <c r="IC248"/>
      <c r="ID248"/>
      <c r="IE248"/>
      <c r="IF248"/>
      <c r="IG248"/>
      <c r="IH248"/>
      <c r="II248"/>
      <c r="IJ248"/>
      <c r="IK248"/>
      <c r="IL248"/>
      <c r="IM248"/>
      <c r="IN248"/>
      <c r="IO248"/>
      <c r="IP248"/>
      <c r="IQ248"/>
      <c r="IR248"/>
      <c r="IS248"/>
      <c r="IT248"/>
      <c r="IU248"/>
      <c r="IV248"/>
      <c r="IW248"/>
      <c r="IX248"/>
      <c r="IY248"/>
      <c r="IZ248"/>
    </row>
    <row r="249" spans="1:260" s="4" customFormat="1" ht="11.25" hidden="1" customHeight="1" outlineLevel="2" x14ac:dyDescent="0.2">
      <c r="A249" s="4" t="s">
        <v>84</v>
      </c>
      <c r="E249" s="470"/>
      <c r="I249" s="470"/>
      <c r="M249" s="470"/>
      <c r="Q249" s="470"/>
      <c r="U249" s="470"/>
      <c r="Y249" s="470"/>
      <c r="AC249" s="470"/>
      <c r="AG249" s="470"/>
      <c r="AH249" s="4">
        <v>91</v>
      </c>
      <c r="AI249" s="4">
        <v>91</v>
      </c>
      <c r="AJ249" s="4">
        <v>95</v>
      </c>
      <c r="AK249" s="4">
        <f>AJ249+AK263</f>
        <v>95</v>
      </c>
      <c r="AL249" s="4">
        <f>EF249+AL263</f>
        <v>97</v>
      </c>
      <c r="AM249" s="4">
        <f t="shared" ref="AM249:AO250" si="1019">AL249+AM263</f>
        <v>100</v>
      </c>
      <c r="AN249" s="4">
        <f t="shared" si="1019"/>
        <v>104</v>
      </c>
      <c r="AO249" s="4">
        <f t="shared" si="1019"/>
        <v>104</v>
      </c>
      <c r="AP249" s="4">
        <f>EG249+AP263</f>
        <v>104</v>
      </c>
      <c r="AQ249" s="4">
        <f t="shared" ref="AQ249:AS250" si="1020">AP249+AQ263</f>
        <v>106</v>
      </c>
      <c r="AR249" s="4">
        <f t="shared" si="1020"/>
        <v>108</v>
      </c>
      <c r="AS249" s="4">
        <f t="shared" si="1020"/>
        <v>108</v>
      </c>
      <c r="AT249" s="4">
        <f>EH249+AT263</f>
        <v>109</v>
      </c>
      <c r="AU249" s="4">
        <f t="shared" ref="AU249:AW250" si="1021">AT249+AU263</f>
        <v>109</v>
      </c>
      <c r="AV249" s="4">
        <f t="shared" si="1021"/>
        <v>114</v>
      </c>
      <c r="AW249" s="4">
        <f t="shared" si="1021"/>
        <v>114</v>
      </c>
      <c r="AX249" s="4">
        <f>EI249+AX263</f>
        <v>115</v>
      </c>
      <c r="AY249" s="4">
        <f t="shared" si="1008"/>
        <v>116</v>
      </c>
      <c r="AZ249" s="4">
        <f t="shared" si="1008"/>
        <v>119</v>
      </c>
      <c r="BA249" s="4">
        <f t="shared" si="1008"/>
        <v>118</v>
      </c>
      <c r="BB249" s="4">
        <f>EJ249+BB263</f>
        <v>119</v>
      </c>
      <c r="BC249" s="4">
        <f t="shared" si="1009"/>
        <v>119</v>
      </c>
      <c r="BD249" s="4">
        <f t="shared" si="1009"/>
        <v>121</v>
      </c>
      <c r="BE249" s="4">
        <f t="shared" si="1009"/>
        <v>121</v>
      </c>
      <c r="BF249" s="4">
        <f>EK249+BF263</f>
        <v>122</v>
      </c>
      <c r="BG249" s="4">
        <f t="shared" si="1010"/>
        <v>126</v>
      </c>
      <c r="BH249" s="4">
        <f t="shared" si="1010"/>
        <v>131</v>
      </c>
      <c r="BI249" s="4">
        <f t="shared" si="1010"/>
        <v>131</v>
      </c>
      <c r="BJ249" s="4">
        <f>EL249+BJ263</f>
        <v>133</v>
      </c>
      <c r="BK249" s="4">
        <f t="shared" si="1011"/>
        <v>133</v>
      </c>
      <c r="BL249" s="4">
        <f t="shared" si="1011"/>
        <v>138</v>
      </c>
      <c r="BM249" s="4">
        <f t="shared" si="1011"/>
        <v>139</v>
      </c>
      <c r="BN249" s="4">
        <f t="shared" si="1012"/>
        <v>140</v>
      </c>
      <c r="BO249" s="4">
        <f t="shared" si="1013"/>
        <v>142</v>
      </c>
      <c r="BP249" s="4">
        <f t="shared" si="1013"/>
        <v>143</v>
      </c>
      <c r="BQ249" s="4">
        <v>144</v>
      </c>
      <c r="BR249" s="4">
        <v>144</v>
      </c>
      <c r="BS249" s="4">
        <v>145</v>
      </c>
      <c r="BT249" s="4">
        <v>146</v>
      </c>
      <c r="BU249" s="4">
        <v>146</v>
      </c>
      <c r="BV249" s="4">
        <v>146</v>
      </c>
      <c r="BW249" s="4">
        <v>148</v>
      </c>
      <c r="BX249" s="4">
        <v>150</v>
      </c>
      <c r="BY249" s="4">
        <v>149</v>
      </c>
      <c r="CH249" s="4">
        <v>149</v>
      </c>
      <c r="CI249" s="4">
        <v>149</v>
      </c>
      <c r="CJ249" s="4">
        <v>149</v>
      </c>
      <c r="CK249" s="4">
        <v>140</v>
      </c>
      <c r="CP249" s="4">
        <v>140</v>
      </c>
      <c r="CQ249" s="4">
        <v>140</v>
      </c>
      <c r="CR249" s="4">
        <v>140</v>
      </c>
      <c r="CS249" s="470">
        <v>137</v>
      </c>
      <c r="CT249" s="4">
        <v>137</v>
      </c>
      <c r="CU249" s="4">
        <v>135</v>
      </c>
      <c r="CV249" s="4">
        <v>135</v>
      </c>
      <c r="CW249" s="470">
        <v>131</v>
      </c>
      <c r="CX249" s="1572">
        <v>0</v>
      </c>
      <c r="CY249" s="1952">
        <v>0</v>
      </c>
      <c r="CZ249" s="1572"/>
      <c r="DA249" s="1602"/>
      <c r="DB249" s="1572"/>
      <c r="DC249" s="1952"/>
      <c r="DD249" s="1953"/>
      <c r="DE249" s="1928"/>
      <c r="DF249" s="1953"/>
      <c r="DG249" s="1953"/>
      <c r="DH249" s="1953"/>
      <c r="DI249" s="1928"/>
      <c r="DJ249" s="2747"/>
      <c r="DK249" s="2600"/>
      <c r="DL249" s="2600"/>
      <c r="DM249" s="1602"/>
      <c r="DN249" s="413"/>
      <c r="DO249" s="470"/>
      <c r="EF249" s="4">
        <f>AK249</f>
        <v>95</v>
      </c>
      <c r="EG249" s="4">
        <f>AO249</f>
        <v>104</v>
      </c>
      <c r="EH249" s="4">
        <f>AS249</f>
        <v>108</v>
      </c>
      <c r="EI249" s="4">
        <f>AW249</f>
        <v>114</v>
      </c>
      <c r="EJ249" s="4">
        <f>BA249</f>
        <v>118</v>
      </c>
      <c r="EK249" s="4">
        <f t="shared" si="1014"/>
        <v>121</v>
      </c>
      <c r="EL249" s="4">
        <f t="shared" si="1014"/>
        <v>131</v>
      </c>
      <c r="EM249" s="4">
        <f t="shared" si="1014"/>
        <v>139</v>
      </c>
      <c r="EN249" s="4">
        <f t="shared" ref="EN249:EN256" si="1022">BQ249</f>
        <v>144</v>
      </c>
      <c r="EO249" s="4">
        <f t="shared" si="1015"/>
        <v>146</v>
      </c>
      <c r="EP249" s="4">
        <f t="shared" si="1016"/>
        <v>149</v>
      </c>
      <c r="ES249" s="4">
        <f t="shared" si="1017"/>
        <v>140</v>
      </c>
      <c r="EU249" s="4">
        <f t="shared" si="1018"/>
        <v>137</v>
      </c>
      <c r="EV249" s="4">
        <f t="shared" ref="EV249:EV259" si="1023">CT249+EV263</f>
        <v>131</v>
      </c>
      <c r="EX249" s="6"/>
      <c r="EY249" s="6"/>
      <c r="EZ249" s="1734"/>
      <c r="FI249" s="671"/>
      <c r="FJ249"/>
      <c r="FK249"/>
      <c r="FL249"/>
      <c r="FM249"/>
      <c r="FN249"/>
      <c r="FO249"/>
      <c r="FP249" s="3"/>
      <c r="FS249" s="7"/>
      <c r="FT249" s="7"/>
      <c r="FU249"/>
      <c r="FV249"/>
      <c r="FW249" s="7"/>
      <c r="FX249" s="7"/>
      <c r="FY249" s="7"/>
      <c r="FZ249"/>
      <c r="GA249"/>
      <c r="GB249"/>
      <c r="GC249"/>
      <c r="GD249"/>
      <c r="GE249"/>
      <c r="GF249"/>
      <c r="GG249"/>
      <c r="GH249"/>
      <c r="GI249"/>
      <c r="GJ249"/>
      <c r="GK249"/>
      <c r="GL249"/>
      <c r="GM249"/>
      <c r="GN249"/>
      <c r="GO249"/>
      <c r="GP249"/>
      <c r="GQ249"/>
      <c r="GR249"/>
      <c r="GS249"/>
      <c r="GT249"/>
      <c r="GU249"/>
      <c r="GV249"/>
      <c r="GW249"/>
      <c r="GX249"/>
      <c r="GY249"/>
      <c r="GZ249"/>
      <c r="HA249"/>
      <c r="HB249"/>
      <c r="HC249"/>
      <c r="HD249"/>
      <c r="HE249"/>
      <c r="HF249"/>
      <c r="HG249"/>
      <c r="HH249"/>
      <c r="HI249"/>
      <c r="HJ249"/>
      <c r="HK249"/>
      <c r="HL249"/>
      <c r="HM249"/>
      <c r="HN249"/>
      <c r="HO249"/>
      <c r="HP249"/>
      <c r="HQ249"/>
      <c r="HR249"/>
      <c r="HS249"/>
      <c r="HT249"/>
      <c r="HU249"/>
      <c r="HV249"/>
      <c r="HW249"/>
      <c r="HX249"/>
      <c r="HY249"/>
      <c r="HZ249"/>
      <c r="IA249"/>
      <c r="IB249"/>
      <c r="IC249"/>
      <c r="ID249"/>
      <c r="IE249"/>
      <c r="IF249"/>
      <c r="IG249"/>
      <c r="IH249"/>
      <c r="II249"/>
      <c r="IJ249"/>
      <c r="IK249"/>
      <c r="IL249"/>
      <c r="IM249"/>
      <c r="IN249"/>
      <c r="IO249"/>
      <c r="IP249"/>
      <c r="IQ249"/>
      <c r="IR249"/>
      <c r="IS249"/>
      <c r="IT249"/>
      <c r="IU249"/>
      <c r="IV249"/>
      <c r="IW249"/>
      <c r="IX249"/>
      <c r="IY249"/>
      <c r="IZ249"/>
    </row>
    <row r="250" spans="1:260" s="4" customFormat="1" ht="11.25" hidden="1" customHeight="1" outlineLevel="1" collapsed="1" x14ac:dyDescent="0.2">
      <c r="A250" s="4" t="s">
        <v>557</v>
      </c>
      <c r="E250" s="470"/>
      <c r="I250" s="470"/>
      <c r="M250" s="470"/>
      <c r="Q250" s="470"/>
      <c r="U250" s="470"/>
      <c r="Y250" s="470"/>
      <c r="AC250" s="470"/>
      <c r="AG250" s="470"/>
      <c r="AL250" s="4">
        <f>EF250+AL264</f>
        <v>0</v>
      </c>
      <c r="AM250" s="4">
        <f t="shared" si="1019"/>
        <v>1</v>
      </c>
      <c r="AN250" s="4">
        <f t="shared" si="1019"/>
        <v>8</v>
      </c>
      <c r="AO250" s="4">
        <f t="shared" si="1019"/>
        <v>8</v>
      </c>
      <c r="AP250" s="4">
        <f>EG250+AP264</f>
        <v>10</v>
      </c>
      <c r="AQ250" s="4">
        <f t="shared" si="1020"/>
        <v>14</v>
      </c>
      <c r="AR250" s="4">
        <f t="shared" si="1020"/>
        <v>19</v>
      </c>
      <c r="AS250" s="4">
        <f t="shared" si="1020"/>
        <v>19</v>
      </c>
      <c r="AT250" s="4">
        <f>EH250+AT264</f>
        <v>19</v>
      </c>
      <c r="AU250" s="4">
        <f t="shared" si="1021"/>
        <v>22</v>
      </c>
      <c r="AV250" s="4">
        <f t="shared" si="1021"/>
        <v>28</v>
      </c>
      <c r="AW250" s="4">
        <f t="shared" si="1021"/>
        <v>30</v>
      </c>
      <c r="AX250" s="4">
        <f>EI250+AX264</f>
        <v>32</v>
      </c>
      <c r="AY250" s="4">
        <f t="shared" si="1008"/>
        <v>34</v>
      </c>
      <c r="AZ250" s="4">
        <f t="shared" si="1008"/>
        <v>43</v>
      </c>
      <c r="BA250" s="4">
        <f t="shared" si="1008"/>
        <v>44</v>
      </c>
      <c r="BB250" s="4">
        <f>EJ250+BB264</f>
        <v>44</v>
      </c>
      <c r="BC250" s="4">
        <f t="shared" si="1009"/>
        <v>44</v>
      </c>
      <c r="BD250" s="4">
        <f t="shared" si="1009"/>
        <v>47</v>
      </c>
      <c r="BE250" s="4">
        <f t="shared" si="1009"/>
        <v>47</v>
      </c>
      <c r="BF250" s="4">
        <f>EK250+BF264</f>
        <v>47</v>
      </c>
      <c r="BG250" s="4">
        <f t="shared" si="1010"/>
        <v>48</v>
      </c>
      <c r="BH250" s="4">
        <f t="shared" si="1010"/>
        <v>51</v>
      </c>
      <c r="BI250" s="4">
        <f t="shared" si="1010"/>
        <v>51</v>
      </c>
      <c r="BJ250" s="4">
        <f>EL250+BJ264</f>
        <v>51</v>
      </c>
      <c r="BK250" s="4">
        <f t="shared" si="1011"/>
        <v>52</v>
      </c>
      <c r="BL250" s="4">
        <f t="shared" si="1011"/>
        <v>57</v>
      </c>
      <c r="BM250" s="4">
        <f t="shared" si="1011"/>
        <v>58</v>
      </c>
      <c r="BN250" s="4">
        <f t="shared" si="1012"/>
        <v>58</v>
      </c>
      <c r="BO250" s="4">
        <f t="shared" si="1013"/>
        <v>60</v>
      </c>
      <c r="BP250" s="4">
        <f t="shared" si="1013"/>
        <v>64</v>
      </c>
      <c r="BQ250" s="4">
        <v>64</v>
      </c>
      <c r="BR250" s="4">
        <v>66</v>
      </c>
      <c r="BS250" s="4">
        <v>70</v>
      </c>
      <c r="BT250" s="4">
        <v>71</v>
      </c>
      <c r="BU250" s="4">
        <v>71</v>
      </c>
      <c r="BV250" s="4">
        <v>71</v>
      </c>
      <c r="BW250" s="4">
        <v>76</v>
      </c>
      <c r="BX250" s="4">
        <v>77</v>
      </c>
      <c r="BY250" s="4">
        <v>77</v>
      </c>
      <c r="CH250" s="4">
        <v>77</v>
      </c>
      <c r="CI250" s="4">
        <v>77</v>
      </c>
      <c r="CJ250" s="4">
        <v>79</v>
      </c>
      <c r="CK250" s="4">
        <v>72</v>
      </c>
      <c r="CP250" s="4">
        <v>72</v>
      </c>
      <c r="CQ250" s="4">
        <v>72</v>
      </c>
      <c r="CR250" s="4">
        <v>72</v>
      </c>
      <c r="CS250" s="470">
        <v>72</v>
      </c>
      <c r="CT250" s="4">
        <v>72</v>
      </c>
      <c r="CU250" s="4">
        <v>72</v>
      </c>
      <c r="CV250" s="4">
        <v>72</v>
      </c>
      <c r="CW250" s="470">
        <v>71</v>
      </c>
      <c r="CX250" s="1572">
        <v>136</v>
      </c>
      <c r="CY250" s="1952">
        <f t="shared" ref="CY250:CY258" si="1024">CX250</f>
        <v>136</v>
      </c>
      <c r="CZ250" s="1953">
        <v>136</v>
      </c>
      <c r="DA250" s="1602">
        <v>136</v>
      </c>
      <c r="DB250" s="1953">
        <v>135</v>
      </c>
      <c r="DC250" s="1953">
        <v>135</v>
      </c>
      <c r="DD250" s="1953">
        <v>135</v>
      </c>
      <c r="DE250" s="1928">
        <v>134</v>
      </c>
      <c r="DF250" s="1953">
        <v>134</v>
      </c>
      <c r="DG250" s="1953">
        <v>134</v>
      </c>
      <c r="DH250" s="1953">
        <v>134</v>
      </c>
      <c r="DI250" s="1928">
        <v>134</v>
      </c>
      <c r="DJ250" s="2747"/>
      <c r="DK250" s="2600"/>
      <c r="DL250" s="2600"/>
      <c r="DM250" s="1602"/>
      <c r="DN250" s="413"/>
      <c r="DO250" s="470"/>
      <c r="EG250" s="4">
        <f>AO250</f>
        <v>8</v>
      </c>
      <c r="EH250" s="4">
        <f>AS250</f>
        <v>19</v>
      </c>
      <c r="EI250" s="4">
        <f>AW250</f>
        <v>30</v>
      </c>
      <c r="EJ250" s="4">
        <f>BA250</f>
        <v>44</v>
      </c>
      <c r="EK250" s="4">
        <f t="shared" si="1014"/>
        <v>47</v>
      </c>
      <c r="EL250" s="4">
        <f t="shared" si="1014"/>
        <v>51</v>
      </c>
      <c r="EM250" s="4">
        <f t="shared" si="1014"/>
        <v>58</v>
      </c>
      <c r="EN250" s="4">
        <f t="shared" si="1022"/>
        <v>64</v>
      </c>
      <c r="EO250" s="4">
        <f t="shared" si="1015"/>
        <v>71</v>
      </c>
      <c r="EP250" s="4">
        <f t="shared" si="1016"/>
        <v>77</v>
      </c>
      <c r="ES250" s="4">
        <f t="shared" si="1017"/>
        <v>72</v>
      </c>
      <c r="EU250" s="4">
        <f t="shared" si="1018"/>
        <v>72</v>
      </c>
      <c r="EV250" s="4">
        <f t="shared" si="1023"/>
        <v>71</v>
      </c>
      <c r="EW250" s="4">
        <f>+DA250</f>
        <v>136</v>
      </c>
      <c r="EX250" s="4">
        <f>+DE250</f>
        <v>134</v>
      </c>
      <c r="EY250" s="11">
        <f t="shared" ref="EY250:EY259" si="1025">+DI250</f>
        <v>134</v>
      </c>
      <c r="EZ250" s="1734"/>
      <c r="FI250" s="671"/>
      <c r="FJ250"/>
      <c r="FK250"/>
      <c r="FL250"/>
      <c r="FM250"/>
      <c r="FN250"/>
      <c r="FO250"/>
      <c r="FP250" s="3"/>
      <c r="FS250" s="7"/>
      <c r="FT250" s="7"/>
      <c r="FU250"/>
      <c r="FV250"/>
      <c r="FW250" s="7"/>
      <c r="FX250" s="7"/>
      <c r="FY250" s="7"/>
      <c r="FZ250"/>
      <c r="GA250"/>
      <c r="GB250"/>
      <c r="GC250"/>
      <c r="GD250"/>
      <c r="GE250"/>
      <c r="GF250"/>
      <c r="GG250"/>
      <c r="GH250"/>
      <c r="GI250"/>
      <c r="GJ250"/>
      <c r="GK250"/>
      <c r="GL250"/>
      <c r="GM250"/>
      <c r="GN250"/>
      <c r="GO250"/>
      <c r="GP250"/>
      <c r="GQ250"/>
      <c r="GR250"/>
      <c r="GS250"/>
      <c r="GT250"/>
      <c r="GU250"/>
      <c r="GV250"/>
      <c r="GW250"/>
      <c r="GX250"/>
      <c r="GY250"/>
      <c r="GZ250"/>
      <c r="HA250"/>
      <c r="HB250"/>
      <c r="HC250"/>
      <c r="HD250"/>
      <c r="HE250"/>
      <c r="HF250"/>
      <c r="HG250"/>
      <c r="HH250"/>
      <c r="HI250"/>
      <c r="HJ250"/>
      <c r="HK250"/>
      <c r="HL250"/>
      <c r="HM250"/>
      <c r="HN250"/>
      <c r="HO250"/>
      <c r="HP250"/>
      <c r="HQ250"/>
      <c r="HR250"/>
      <c r="HS250"/>
      <c r="HT250"/>
      <c r="HU250"/>
      <c r="HV250"/>
      <c r="HW250"/>
      <c r="HX250"/>
      <c r="HY250"/>
      <c r="HZ250"/>
      <c r="IA250"/>
      <c r="IB250"/>
      <c r="IC250"/>
      <c r="ID250"/>
      <c r="IE250"/>
      <c r="IF250"/>
      <c r="IG250"/>
      <c r="IH250"/>
      <c r="II250"/>
      <c r="IJ250"/>
      <c r="IK250"/>
      <c r="IL250"/>
      <c r="IM250"/>
      <c r="IN250"/>
      <c r="IO250"/>
      <c r="IP250"/>
      <c r="IQ250"/>
      <c r="IR250"/>
      <c r="IS250"/>
      <c r="IT250"/>
      <c r="IU250"/>
      <c r="IV250"/>
      <c r="IW250"/>
      <c r="IX250"/>
      <c r="IY250"/>
      <c r="IZ250"/>
    </row>
    <row r="251" spans="1:260" s="4" customFormat="1" ht="11.25" hidden="1" customHeight="1" outlineLevel="2" x14ac:dyDescent="0.2">
      <c r="A251" s="4" t="s">
        <v>80</v>
      </c>
      <c r="E251" s="470"/>
      <c r="I251" s="470"/>
      <c r="M251" s="470"/>
      <c r="Q251" s="470"/>
      <c r="U251" s="470"/>
      <c r="Y251" s="470"/>
      <c r="AC251" s="470"/>
      <c r="AG251" s="470"/>
      <c r="BL251" s="4">
        <f t="shared" ref="BL251:BM256" si="1026">BK251+BL265</f>
        <v>2430</v>
      </c>
      <c r="BM251" s="4">
        <f t="shared" si="1026"/>
        <v>2465</v>
      </c>
      <c r="BN251" s="4">
        <f t="shared" si="1012"/>
        <v>2459</v>
      </c>
      <c r="BO251" s="4">
        <f t="shared" si="1013"/>
        <v>2450</v>
      </c>
      <c r="BP251" s="4">
        <f t="shared" si="1013"/>
        <v>2448</v>
      </c>
      <c r="BQ251" s="4">
        <v>2453</v>
      </c>
      <c r="BR251" s="4">
        <v>2430</v>
      </c>
      <c r="BS251" s="4">
        <v>2436</v>
      </c>
      <c r="BT251" s="4">
        <v>2424</v>
      </c>
      <c r="BU251" s="4">
        <v>2440</v>
      </c>
      <c r="BV251" s="4">
        <v>2429</v>
      </c>
      <c r="BW251" s="4">
        <v>2438</v>
      </c>
      <c r="BX251" s="4">
        <v>2453</v>
      </c>
      <c r="BY251" s="4">
        <v>2393</v>
      </c>
      <c r="CH251" s="4">
        <v>2393</v>
      </c>
      <c r="CI251" s="4">
        <v>2372</v>
      </c>
      <c r="CJ251" s="4">
        <v>2393</v>
      </c>
      <c r="CK251" s="4">
        <v>2389</v>
      </c>
      <c r="CP251" s="4">
        <v>0</v>
      </c>
      <c r="CQ251" s="4">
        <v>0</v>
      </c>
      <c r="CR251" s="4">
        <v>0</v>
      </c>
      <c r="CS251" s="470">
        <v>0</v>
      </c>
      <c r="CT251" s="4">
        <v>0</v>
      </c>
      <c r="CU251" s="4">
        <v>0</v>
      </c>
      <c r="CV251" s="4">
        <v>0</v>
      </c>
      <c r="CW251" s="470">
        <v>0</v>
      </c>
      <c r="CX251" s="1572">
        <v>0</v>
      </c>
      <c r="CY251" s="1952">
        <f t="shared" si="1024"/>
        <v>0</v>
      </c>
      <c r="CZ251" s="1572"/>
      <c r="DA251" s="1602"/>
      <c r="DB251" s="1572"/>
      <c r="DC251" s="1952"/>
      <c r="DD251" s="1953"/>
      <c r="DE251" s="1928"/>
      <c r="DF251" s="1953"/>
      <c r="DG251" s="1953"/>
      <c r="DH251" s="1953"/>
      <c r="DI251" s="1928"/>
      <c r="DJ251" s="2747"/>
      <c r="DK251" s="2600"/>
      <c r="DL251" s="2600"/>
      <c r="DM251" s="1602"/>
      <c r="DN251" s="413"/>
      <c r="DO251" s="470"/>
      <c r="EM251" s="4">
        <f t="shared" ref="EM251:EM256" si="1027">EL251+EM265</f>
        <v>2465</v>
      </c>
      <c r="EN251" s="4">
        <f t="shared" si="1022"/>
        <v>2453</v>
      </c>
      <c r="EO251" s="4">
        <f t="shared" si="1015"/>
        <v>2440</v>
      </c>
      <c r="EP251" s="4">
        <f t="shared" si="1016"/>
        <v>2393</v>
      </c>
      <c r="ES251" s="4">
        <f t="shared" si="1017"/>
        <v>2389</v>
      </c>
      <c r="EU251" s="4">
        <f t="shared" si="1018"/>
        <v>0</v>
      </c>
      <c r="EV251" s="4">
        <f t="shared" si="1023"/>
        <v>0</v>
      </c>
      <c r="EW251" s="4">
        <f t="shared" ref="EW251:EW259" si="1028">+DA251</f>
        <v>0</v>
      </c>
      <c r="EX251" s="4">
        <f t="shared" ref="EX251:EX259" si="1029">+DE251</f>
        <v>0</v>
      </c>
      <c r="EY251" s="11">
        <f t="shared" si="1025"/>
        <v>0</v>
      </c>
      <c r="EZ251" s="1734"/>
      <c r="FI251" s="671"/>
      <c r="FJ251"/>
      <c r="FK251"/>
      <c r="FL251"/>
      <c r="FM251"/>
      <c r="FN251"/>
      <c r="FO251"/>
      <c r="FP251" s="3"/>
      <c r="FS251" s="7"/>
      <c r="FT251" s="7"/>
      <c r="FU251"/>
      <c r="FV251"/>
      <c r="FW251" s="7"/>
      <c r="FX251" s="7"/>
      <c r="FY251" s="7"/>
      <c r="FZ251"/>
      <c r="GA251"/>
      <c r="GB251"/>
      <c r="GC251"/>
      <c r="GD251"/>
      <c r="GE251"/>
      <c r="GF251"/>
      <c r="GG251"/>
      <c r="GH251"/>
      <c r="GI251"/>
      <c r="GJ251"/>
      <c r="GK251"/>
      <c r="GL251"/>
      <c r="GM251"/>
      <c r="GN251"/>
      <c r="GO251"/>
      <c r="GP251"/>
      <c r="GQ251"/>
      <c r="GR251"/>
      <c r="GS251"/>
      <c r="GT251"/>
      <c r="GU251"/>
      <c r="GV251"/>
      <c r="GW251"/>
      <c r="GX251"/>
      <c r="GY251"/>
      <c r="GZ251"/>
      <c r="HA251"/>
      <c r="HB251"/>
      <c r="HC251"/>
      <c r="HD251"/>
      <c r="HE251"/>
      <c r="HF251"/>
      <c r="HG251"/>
      <c r="HH251"/>
      <c r="HI251"/>
      <c r="HJ251"/>
      <c r="HK251"/>
      <c r="HL251"/>
      <c r="HM251"/>
      <c r="HN251"/>
      <c r="HO251"/>
      <c r="HP251"/>
      <c r="HQ251"/>
      <c r="HR251"/>
      <c r="HS251"/>
      <c r="HT251"/>
      <c r="HU251"/>
      <c r="HV251"/>
      <c r="HW251"/>
      <c r="HX251"/>
      <c r="HY251"/>
      <c r="HZ251"/>
      <c r="IA251"/>
      <c r="IB251"/>
      <c r="IC251"/>
      <c r="ID251"/>
      <c r="IE251"/>
      <c r="IF251"/>
      <c r="IG251"/>
      <c r="IH251"/>
      <c r="II251"/>
      <c r="IJ251"/>
      <c r="IK251"/>
      <c r="IL251"/>
      <c r="IM251"/>
      <c r="IN251"/>
      <c r="IO251"/>
      <c r="IP251"/>
      <c r="IQ251"/>
      <c r="IR251"/>
      <c r="IS251"/>
      <c r="IT251"/>
      <c r="IU251"/>
      <c r="IV251"/>
      <c r="IW251"/>
      <c r="IX251"/>
      <c r="IY251"/>
      <c r="IZ251"/>
    </row>
    <row r="252" spans="1:260" s="4" customFormat="1" ht="11.25" hidden="1" customHeight="1" outlineLevel="2" x14ac:dyDescent="0.2">
      <c r="A252" s="4" t="s">
        <v>484</v>
      </c>
      <c r="E252" s="470"/>
      <c r="I252" s="470"/>
      <c r="M252" s="470"/>
      <c r="Q252" s="470"/>
      <c r="U252" s="470"/>
      <c r="Y252" s="470"/>
      <c r="AC252" s="470"/>
      <c r="AG252" s="470"/>
      <c r="BL252" s="4">
        <f t="shared" si="1026"/>
        <v>0</v>
      </c>
      <c r="BM252" s="4">
        <f t="shared" si="1026"/>
        <v>0</v>
      </c>
      <c r="BN252" s="4">
        <f t="shared" si="1012"/>
        <v>0</v>
      </c>
      <c r="BO252" s="4">
        <f t="shared" si="1013"/>
        <v>0</v>
      </c>
      <c r="BP252" s="4">
        <f t="shared" si="1013"/>
        <v>0</v>
      </c>
      <c r="BQ252" s="4">
        <v>0</v>
      </c>
      <c r="BR252" s="4">
        <v>0</v>
      </c>
      <c r="BS252" s="4">
        <v>3</v>
      </c>
      <c r="BT252" s="4">
        <v>4</v>
      </c>
      <c r="BU252" s="4">
        <v>6</v>
      </c>
      <c r="BV252" s="4">
        <v>6</v>
      </c>
      <c r="BW252" s="4">
        <v>10</v>
      </c>
      <c r="BX252" s="4">
        <v>11</v>
      </c>
      <c r="BY252" s="4">
        <v>0</v>
      </c>
      <c r="CH252" s="4">
        <v>0</v>
      </c>
      <c r="CI252" s="4">
        <v>0</v>
      </c>
      <c r="CJ252" s="4">
        <v>0</v>
      </c>
      <c r="CK252" s="4">
        <v>0</v>
      </c>
      <c r="CP252" s="4">
        <v>0</v>
      </c>
      <c r="CQ252" s="4">
        <v>0</v>
      </c>
      <c r="CR252" s="4">
        <v>0</v>
      </c>
      <c r="CS252" s="470">
        <v>0</v>
      </c>
      <c r="CT252" s="4">
        <v>0</v>
      </c>
      <c r="CU252" s="4">
        <v>0</v>
      </c>
      <c r="CV252" s="4">
        <v>0</v>
      </c>
      <c r="CW252" s="470">
        <v>0</v>
      </c>
      <c r="CX252" s="1572">
        <v>0</v>
      </c>
      <c r="CY252" s="1952">
        <f t="shared" si="1024"/>
        <v>0</v>
      </c>
      <c r="CZ252" s="1572"/>
      <c r="DA252" s="1602"/>
      <c r="DB252" s="1572"/>
      <c r="DC252" s="1952"/>
      <c r="DD252" s="1953"/>
      <c r="DE252" s="1928"/>
      <c r="DF252" s="1953"/>
      <c r="DG252" s="1953"/>
      <c r="DH252" s="1953"/>
      <c r="DI252" s="1928"/>
      <c r="DJ252" s="2747"/>
      <c r="DK252" s="2600"/>
      <c r="DL252" s="2600"/>
      <c r="DM252" s="1602"/>
      <c r="DN252" s="413"/>
      <c r="DO252" s="470"/>
      <c r="EM252" s="4">
        <f t="shared" si="1027"/>
        <v>0</v>
      </c>
      <c r="EN252" s="4">
        <f t="shared" si="1022"/>
        <v>0</v>
      </c>
      <c r="EO252" s="4">
        <f t="shared" si="1015"/>
        <v>6</v>
      </c>
      <c r="EP252" s="4">
        <f t="shared" si="1016"/>
        <v>0</v>
      </c>
      <c r="ES252" s="4">
        <f t="shared" si="1017"/>
        <v>0</v>
      </c>
      <c r="EU252" s="4">
        <f t="shared" si="1018"/>
        <v>0</v>
      </c>
      <c r="EV252" s="4">
        <f t="shared" si="1023"/>
        <v>0</v>
      </c>
      <c r="EW252" s="4">
        <f t="shared" si="1028"/>
        <v>0</v>
      </c>
      <c r="EX252" s="4">
        <f t="shared" si="1029"/>
        <v>0</v>
      </c>
      <c r="EY252" s="11">
        <f t="shared" si="1025"/>
        <v>0</v>
      </c>
      <c r="EZ252" s="1734"/>
      <c r="FI252" s="671"/>
      <c r="FJ252"/>
      <c r="FK252"/>
      <c r="FL252"/>
      <c r="FM252"/>
      <c r="FN252"/>
      <c r="FO252"/>
      <c r="FP252" s="3"/>
      <c r="FS252" s="7"/>
      <c r="FT252" s="7"/>
      <c r="FU252"/>
      <c r="FV252"/>
      <c r="FW252" s="7"/>
      <c r="FX252" s="7"/>
      <c r="FY252" s="7"/>
      <c r="FZ252"/>
      <c r="GA252"/>
      <c r="GB252"/>
      <c r="GC252"/>
      <c r="GD252"/>
      <c r="GE252"/>
      <c r="GF252"/>
      <c r="GG252"/>
      <c r="GH252"/>
      <c r="GI252"/>
      <c r="GJ252"/>
      <c r="GK252"/>
      <c r="GL252"/>
      <c r="GM252"/>
      <c r="GN252"/>
      <c r="GO252"/>
      <c r="GP252"/>
      <c r="GQ252"/>
      <c r="GR252"/>
      <c r="GS252"/>
      <c r="GT252"/>
      <c r="GU252"/>
      <c r="GV252"/>
      <c r="GW252"/>
      <c r="GX252"/>
      <c r="GY252"/>
      <c r="GZ252"/>
      <c r="HA252"/>
      <c r="HB252"/>
      <c r="HC252"/>
      <c r="HD252"/>
      <c r="HE252"/>
      <c r="HF252"/>
      <c r="HG252"/>
      <c r="HH252"/>
      <c r="HI252"/>
      <c r="HJ252"/>
      <c r="HK252"/>
      <c r="HL252"/>
      <c r="HM252"/>
      <c r="HN252"/>
      <c r="HO252"/>
      <c r="HP252"/>
      <c r="HQ252"/>
      <c r="HR252"/>
      <c r="HS252"/>
      <c r="HT252"/>
      <c r="HU252"/>
      <c r="HV252"/>
      <c r="HW252"/>
      <c r="HX252"/>
      <c r="HY252"/>
      <c r="HZ252"/>
      <c r="IA252"/>
      <c r="IB252"/>
      <c r="IC252"/>
      <c r="ID252"/>
      <c r="IE252"/>
      <c r="IF252"/>
      <c r="IG252"/>
      <c r="IH252"/>
      <c r="II252"/>
      <c r="IJ252"/>
      <c r="IK252"/>
      <c r="IL252"/>
      <c r="IM252"/>
      <c r="IN252"/>
      <c r="IO252"/>
      <c r="IP252"/>
      <c r="IQ252"/>
      <c r="IR252"/>
      <c r="IS252"/>
      <c r="IT252"/>
      <c r="IU252"/>
      <c r="IV252"/>
      <c r="IW252"/>
      <c r="IX252"/>
      <c r="IY252"/>
      <c r="IZ252"/>
    </row>
    <row r="253" spans="1:260" s="4" customFormat="1" ht="11.25" hidden="1" customHeight="1" outlineLevel="2" x14ac:dyDescent="0.2">
      <c r="A253" s="4" t="s">
        <v>558</v>
      </c>
      <c r="E253" s="470"/>
      <c r="I253" s="470"/>
      <c r="M253" s="470"/>
      <c r="Q253" s="470"/>
      <c r="U253" s="470"/>
      <c r="Y253" s="470"/>
      <c r="AC253" s="470"/>
      <c r="AG253" s="470"/>
      <c r="BB253" s="4">
        <v>0</v>
      </c>
      <c r="BC253" s="4">
        <v>131</v>
      </c>
      <c r="BD253" s="4">
        <f>BC253+BD267</f>
        <v>133</v>
      </c>
      <c r="BE253" s="4">
        <f>BD253+BE267</f>
        <v>135</v>
      </c>
      <c r="BF253" s="4">
        <f>EK253+BF267</f>
        <v>137</v>
      </c>
      <c r="BG253" s="4">
        <f t="shared" ref="BG253:BI254" si="1030">BF253+BG267</f>
        <v>142</v>
      </c>
      <c r="BH253" s="4">
        <f t="shared" si="1030"/>
        <v>149</v>
      </c>
      <c r="BI253" s="4">
        <f t="shared" si="1030"/>
        <v>160</v>
      </c>
      <c r="BJ253" s="4">
        <f>EL253+BJ267</f>
        <v>161</v>
      </c>
      <c r="BK253" s="4">
        <f>BJ253+BK267</f>
        <v>161</v>
      </c>
      <c r="BL253" s="4">
        <f t="shared" si="1026"/>
        <v>161</v>
      </c>
      <c r="BM253" s="4">
        <f t="shared" si="1026"/>
        <v>164</v>
      </c>
      <c r="BN253" s="4">
        <f t="shared" si="1012"/>
        <v>164</v>
      </c>
      <c r="BO253" s="4">
        <f t="shared" si="1013"/>
        <v>165</v>
      </c>
      <c r="BP253" s="4">
        <f t="shared" si="1013"/>
        <v>164</v>
      </c>
      <c r="BQ253" s="4">
        <v>158</v>
      </c>
      <c r="BR253" s="4">
        <v>158</v>
      </c>
      <c r="BS253" s="4">
        <v>159</v>
      </c>
      <c r="BT253" s="4">
        <v>159</v>
      </c>
      <c r="BU253" s="4">
        <v>166</v>
      </c>
      <c r="BV253" s="4">
        <v>171</v>
      </c>
      <c r="BW253" s="4">
        <v>178</v>
      </c>
      <c r="BX253" s="4">
        <v>185</v>
      </c>
      <c r="BY253" s="4">
        <v>204</v>
      </c>
      <c r="CH253" s="4">
        <v>204</v>
      </c>
      <c r="CI253" s="4">
        <v>209</v>
      </c>
      <c r="CJ253" s="4">
        <v>213</v>
      </c>
      <c r="CK253" s="4">
        <v>211</v>
      </c>
      <c r="CP253" s="4">
        <v>0</v>
      </c>
      <c r="CQ253" s="4">
        <v>0</v>
      </c>
      <c r="CR253" s="4">
        <v>0</v>
      </c>
      <c r="CS253" s="470">
        <v>0</v>
      </c>
      <c r="CT253" s="4">
        <v>0</v>
      </c>
      <c r="CU253" s="4">
        <v>0</v>
      </c>
      <c r="CV253" s="4">
        <v>0</v>
      </c>
      <c r="CW253" s="470">
        <v>0</v>
      </c>
      <c r="CX253" s="1572">
        <v>0</v>
      </c>
      <c r="CY253" s="1952">
        <f t="shared" si="1024"/>
        <v>0</v>
      </c>
      <c r="CZ253" s="1572"/>
      <c r="DA253" s="1602"/>
      <c r="DB253" s="1572"/>
      <c r="DC253" s="1952"/>
      <c r="DD253" s="1953"/>
      <c r="DE253" s="1928"/>
      <c r="DF253" s="1953"/>
      <c r="DG253" s="1953"/>
      <c r="DH253" s="1953"/>
      <c r="DI253" s="1928"/>
      <c r="DJ253" s="2747"/>
      <c r="DK253" s="2600"/>
      <c r="DL253" s="2600"/>
      <c r="DM253" s="1602"/>
      <c r="DN253" s="413"/>
      <c r="DO253" s="470"/>
      <c r="EK253" s="4">
        <f>BE253</f>
        <v>135</v>
      </c>
      <c r="EL253" s="4">
        <f>EK253+EL267</f>
        <v>160</v>
      </c>
      <c r="EM253" s="4">
        <f t="shared" si="1027"/>
        <v>164</v>
      </c>
      <c r="EN253" s="4">
        <f t="shared" si="1022"/>
        <v>158</v>
      </c>
      <c r="EO253" s="4">
        <f t="shared" si="1015"/>
        <v>166</v>
      </c>
      <c r="EP253" s="4">
        <f t="shared" si="1016"/>
        <v>204</v>
      </c>
      <c r="ES253" s="4">
        <f t="shared" si="1017"/>
        <v>211</v>
      </c>
      <c r="EU253" s="4">
        <f t="shared" si="1018"/>
        <v>0</v>
      </c>
      <c r="EV253" s="4">
        <f t="shared" si="1023"/>
        <v>0</v>
      </c>
      <c r="EW253" s="4">
        <f t="shared" si="1028"/>
        <v>0</v>
      </c>
      <c r="EX253" s="4">
        <f t="shared" si="1029"/>
        <v>0</v>
      </c>
      <c r="EY253" s="11">
        <f t="shared" si="1025"/>
        <v>0</v>
      </c>
      <c r="EZ253" s="1734"/>
      <c r="FI253" s="671"/>
      <c r="FJ253"/>
      <c r="FK253"/>
      <c r="FL253"/>
      <c r="FM253"/>
      <c r="FN253"/>
      <c r="FO253"/>
      <c r="FP253" s="3"/>
      <c r="FS253" s="7"/>
      <c r="FT253" s="7"/>
      <c r="FU253"/>
      <c r="FV253"/>
      <c r="FW253" s="7"/>
      <c r="FX253" s="7"/>
      <c r="FY253" s="7"/>
      <c r="FZ253"/>
      <c r="GA253"/>
      <c r="GB253"/>
      <c r="GC253"/>
      <c r="GD253"/>
      <c r="GE253"/>
      <c r="GF253"/>
      <c r="GG253"/>
      <c r="GH253"/>
      <c r="GI253"/>
      <c r="GJ253"/>
      <c r="GK253"/>
      <c r="GL253"/>
      <c r="GM253"/>
      <c r="GN253"/>
      <c r="GO253"/>
      <c r="GP253"/>
      <c r="GQ253"/>
      <c r="GR253"/>
      <c r="GS253"/>
      <c r="GT253"/>
      <c r="GU253"/>
      <c r="GV253"/>
      <c r="GW253"/>
      <c r="GX253"/>
      <c r="GY253"/>
      <c r="GZ253"/>
      <c r="HA253"/>
      <c r="HB253"/>
      <c r="HC253"/>
      <c r="HD253"/>
      <c r="HE253"/>
      <c r="HF253"/>
      <c r="HG253"/>
      <c r="HH253"/>
      <c r="HI253"/>
      <c r="HJ253"/>
      <c r="HK253"/>
      <c r="HL253"/>
      <c r="HM253"/>
      <c r="HN253"/>
      <c r="HO253"/>
      <c r="HP253"/>
      <c r="HQ253"/>
      <c r="HR253"/>
      <c r="HS253"/>
      <c r="HT253"/>
      <c r="HU253"/>
      <c r="HV253"/>
      <c r="HW253"/>
      <c r="HX253"/>
      <c r="HY253"/>
      <c r="HZ253"/>
      <c r="IA253"/>
      <c r="IB253"/>
      <c r="IC253"/>
      <c r="ID253"/>
      <c r="IE253"/>
      <c r="IF253"/>
      <c r="IG253"/>
      <c r="IH253"/>
      <c r="II253"/>
      <c r="IJ253"/>
      <c r="IK253"/>
      <c r="IL253"/>
      <c r="IM253"/>
      <c r="IN253"/>
      <c r="IO253"/>
      <c r="IP253"/>
      <c r="IQ253"/>
      <c r="IR253"/>
      <c r="IS253"/>
      <c r="IT253"/>
      <c r="IU253"/>
      <c r="IV253"/>
      <c r="IW253"/>
      <c r="IX253"/>
      <c r="IY253"/>
      <c r="IZ253"/>
    </row>
    <row r="254" spans="1:260" s="4" customFormat="1" ht="11.25" hidden="1" customHeight="1" outlineLevel="2" x14ac:dyDescent="0.2">
      <c r="A254" s="4" t="s">
        <v>559</v>
      </c>
      <c r="E254" s="470"/>
      <c r="I254" s="470"/>
      <c r="M254" s="470"/>
      <c r="Q254" s="470"/>
      <c r="U254" s="470"/>
      <c r="Y254" s="470"/>
      <c r="AC254" s="470"/>
      <c r="AG254" s="470"/>
      <c r="BE254" s="4">
        <f>BD254+BE268</f>
        <v>1</v>
      </c>
      <c r="BF254" s="4">
        <f>EK254+BF268</f>
        <v>1</v>
      </c>
      <c r="BG254" s="4">
        <f t="shared" si="1030"/>
        <v>1</v>
      </c>
      <c r="BH254" s="4">
        <f t="shared" si="1030"/>
        <v>1</v>
      </c>
      <c r="BI254" s="4">
        <f t="shared" si="1030"/>
        <v>1</v>
      </c>
      <c r="BJ254" s="4">
        <f>EL254+BJ268</f>
        <v>1</v>
      </c>
      <c r="BK254" s="4">
        <f>BJ254+BK268</f>
        <v>1</v>
      </c>
      <c r="BL254" s="4">
        <f t="shared" si="1026"/>
        <v>2</v>
      </c>
      <c r="BM254" s="4">
        <f t="shared" si="1026"/>
        <v>5</v>
      </c>
      <c r="BN254" s="4">
        <f t="shared" si="1012"/>
        <v>5</v>
      </c>
      <c r="BO254" s="4">
        <f t="shared" si="1013"/>
        <v>6</v>
      </c>
      <c r="BP254" s="4">
        <f t="shared" si="1013"/>
        <v>6</v>
      </c>
      <c r="BQ254" s="4">
        <v>6</v>
      </c>
      <c r="BR254" s="4">
        <v>7</v>
      </c>
      <c r="BS254" s="4">
        <v>8</v>
      </c>
      <c r="BT254" s="4">
        <v>8</v>
      </c>
      <c r="BU254" s="4">
        <v>8</v>
      </c>
      <c r="BV254" s="4">
        <v>0</v>
      </c>
      <c r="BW254" s="4">
        <v>0</v>
      </c>
      <c r="BX254" s="4">
        <v>0</v>
      </c>
      <c r="BY254" s="4">
        <v>0</v>
      </c>
      <c r="CH254" s="4">
        <v>0</v>
      </c>
      <c r="CI254" s="4">
        <v>0</v>
      </c>
      <c r="CJ254" s="4">
        <v>0</v>
      </c>
      <c r="CK254" s="4">
        <v>0</v>
      </c>
      <c r="CP254" s="4">
        <v>0</v>
      </c>
      <c r="CQ254" s="4">
        <v>0</v>
      </c>
      <c r="CR254" s="4">
        <v>0</v>
      </c>
      <c r="CS254" s="470">
        <v>0</v>
      </c>
      <c r="CT254" s="4">
        <v>0</v>
      </c>
      <c r="CU254" s="4">
        <v>0</v>
      </c>
      <c r="CV254" s="4">
        <v>0</v>
      </c>
      <c r="CW254" s="470">
        <v>0</v>
      </c>
      <c r="CX254" s="1572">
        <v>0</v>
      </c>
      <c r="CY254" s="1952">
        <f t="shared" si="1024"/>
        <v>0</v>
      </c>
      <c r="CZ254" s="1572"/>
      <c r="DA254" s="1602"/>
      <c r="DB254" s="1572"/>
      <c r="DC254" s="1952"/>
      <c r="DD254" s="1953"/>
      <c r="DE254" s="1928"/>
      <c r="DF254" s="1953"/>
      <c r="DG254" s="1953"/>
      <c r="DH254" s="1953"/>
      <c r="DI254" s="1928"/>
      <c r="DJ254" s="2747"/>
      <c r="DK254" s="2600"/>
      <c r="DL254" s="2600"/>
      <c r="DM254" s="1602"/>
      <c r="DN254" s="413"/>
      <c r="DO254" s="470"/>
      <c r="EK254" s="4">
        <f>BE254</f>
        <v>1</v>
      </c>
      <c r="EL254" s="4">
        <f>EK254+EL268</f>
        <v>1</v>
      </c>
      <c r="EM254" s="4">
        <f t="shared" si="1027"/>
        <v>5</v>
      </c>
      <c r="EN254" s="4">
        <f t="shared" si="1022"/>
        <v>6</v>
      </c>
      <c r="EO254" s="4">
        <f t="shared" si="1015"/>
        <v>8</v>
      </c>
      <c r="EP254" s="4">
        <f t="shared" si="1016"/>
        <v>0</v>
      </c>
      <c r="ES254" s="4">
        <f t="shared" si="1017"/>
        <v>0</v>
      </c>
      <c r="EU254" s="4">
        <f t="shared" si="1018"/>
        <v>0</v>
      </c>
      <c r="EV254" s="4">
        <f t="shared" si="1023"/>
        <v>0</v>
      </c>
      <c r="EW254" s="4">
        <f t="shared" si="1028"/>
        <v>0</v>
      </c>
      <c r="EX254" s="4">
        <f t="shared" si="1029"/>
        <v>0</v>
      </c>
      <c r="EY254" s="11">
        <f t="shared" si="1025"/>
        <v>0</v>
      </c>
      <c r="EZ254" s="1734"/>
      <c r="FI254" s="671"/>
      <c r="FJ254"/>
      <c r="FK254"/>
      <c r="FL254"/>
      <c r="FM254"/>
      <c r="FN254"/>
      <c r="FO254"/>
      <c r="FP254" s="3"/>
      <c r="FS254" s="7"/>
      <c r="FT254" s="7"/>
      <c r="FU254"/>
      <c r="FV254"/>
      <c r="FW254" s="7"/>
      <c r="FX254" s="7"/>
      <c r="FY254" s="7"/>
      <c r="FZ254"/>
      <c r="GA254"/>
      <c r="GB254"/>
      <c r="GC254"/>
      <c r="GD254"/>
      <c r="GE254"/>
      <c r="GF254"/>
      <c r="GG254"/>
      <c r="GH254"/>
      <c r="GI254"/>
      <c r="GJ254"/>
      <c r="GK254"/>
      <c r="GL254"/>
      <c r="GM254"/>
      <c r="GN254"/>
      <c r="GO254"/>
      <c r="GP254"/>
      <c r="GQ254"/>
      <c r="GR254"/>
      <c r="GS254"/>
      <c r="GT254"/>
      <c r="GU254"/>
      <c r="GV254"/>
      <c r="GW254"/>
      <c r="GX254"/>
      <c r="GY254"/>
      <c r="GZ254"/>
      <c r="HA254"/>
      <c r="HB254"/>
      <c r="HC254"/>
      <c r="HD254"/>
      <c r="HE254"/>
      <c r="HF254"/>
      <c r="HG254"/>
      <c r="HH254"/>
      <c r="HI254"/>
      <c r="HJ254"/>
      <c r="HK254"/>
      <c r="HL254"/>
      <c r="HM254"/>
      <c r="HN254"/>
      <c r="HO254"/>
      <c r="HP254"/>
      <c r="HQ254"/>
      <c r="HR254"/>
      <c r="HS254"/>
      <c r="HT254"/>
      <c r="HU254"/>
      <c r="HV254"/>
      <c r="HW254"/>
      <c r="HX254"/>
      <c r="HY254"/>
      <c r="HZ254"/>
      <c r="IA254"/>
      <c r="IB254"/>
      <c r="IC254"/>
      <c r="ID254"/>
      <c r="IE254"/>
      <c r="IF254"/>
      <c r="IG254"/>
      <c r="IH254"/>
      <c r="II254"/>
      <c r="IJ254"/>
      <c r="IK254"/>
      <c r="IL254"/>
      <c r="IM254"/>
      <c r="IN254"/>
      <c r="IO254"/>
      <c r="IP254"/>
      <c r="IQ254"/>
      <c r="IR254"/>
      <c r="IS254"/>
      <c r="IT254"/>
      <c r="IU254"/>
      <c r="IV254"/>
      <c r="IW254"/>
      <c r="IX254"/>
      <c r="IY254"/>
      <c r="IZ254"/>
    </row>
    <row r="255" spans="1:260" s="4" customFormat="1" ht="11.25" hidden="1" customHeight="1" outlineLevel="1" collapsed="1" x14ac:dyDescent="0.2">
      <c r="A255" s="4" t="s">
        <v>81</v>
      </c>
      <c r="E255" s="470"/>
      <c r="I255" s="470"/>
      <c r="M255" s="470"/>
      <c r="Q255" s="470"/>
      <c r="U255" s="470"/>
      <c r="Y255" s="470"/>
      <c r="AC255" s="470"/>
      <c r="AG255" s="470"/>
      <c r="BL255" s="4">
        <f t="shared" si="1026"/>
        <v>3</v>
      </c>
      <c r="BM255" s="4">
        <f t="shared" si="1026"/>
        <v>3</v>
      </c>
      <c r="BN255" s="4">
        <f t="shared" si="1012"/>
        <v>3</v>
      </c>
      <c r="BO255" s="4">
        <f t="shared" si="1013"/>
        <v>3</v>
      </c>
      <c r="BP255" s="4">
        <f t="shared" si="1013"/>
        <v>4</v>
      </c>
      <c r="BQ255" s="4">
        <v>4</v>
      </c>
      <c r="BR255" s="4">
        <v>4</v>
      </c>
      <c r="BS255" s="4">
        <v>6</v>
      </c>
      <c r="BT255" s="4">
        <v>10</v>
      </c>
      <c r="BU255" s="4">
        <v>10</v>
      </c>
      <c r="BV255" s="4">
        <v>15</v>
      </c>
      <c r="BW255" s="4">
        <v>22</v>
      </c>
      <c r="BX255" s="4">
        <v>29</v>
      </c>
      <c r="BY255" s="4">
        <v>30</v>
      </c>
      <c r="CH255" s="4">
        <v>36</v>
      </c>
      <c r="CI255" s="4">
        <v>41</v>
      </c>
      <c r="CJ255" s="4">
        <v>47</v>
      </c>
      <c r="CK255" s="4">
        <v>49</v>
      </c>
      <c r="CP255" s="4">
        <v>54</v>
      </c>
      <c r="CQ255" s="4">
        <v>54</v>
      </c>
      <c r="CR255" s="4">
        <v>55</v>
      </c>
      <c r="CS255" s="470">
        <v>56</v>
      </c>
      <c r="CT255" s="4">
        <v>56</v>
      </c>
      <c r="CU255" s="4">
        <v>56</v>
      </c>
      <c r="CV255" s="4">
        <v>56</v>
      </c>
      <c r="CW255" s="470">
        <v>56</v>
      </c>
      <c r="CX255" s="1572">
        <v>56</v>
      </c>
      <c r="CY255" s="1952">
        <f t="shared" si="1024"/>
        <v>56</v>
      </c>
      <c r="CZ255" s="1953">
        <v>56</v>
      </c>
      <c r="DA255" s="1602">
        <v>56</v>
      </c>
      <c r="DB255" s="1953">
        <v>56</v>
      </c>
      <c r="DC255" s="1953">
        <v>54</v>
      </c>
      <c r="DD255" s="1953">
        <v>53</v>
      </c>
      <c r="DE255" s="1928">
        <v>53</v>
      </c>
      <c r="DF255" s="1953">
        <v>53</v>
      </c>
      <c r="DG255" s="1953">
        <v>53</v>
      </c>
      <c r="DH255" s="1953">
        <v>52</v>
      </c>
      <c r="DI255" s="1928">
        <v>51</v>
      </c>
      <c r="DJ255" s="2747"/>
      <c r="DK255" s="2600"/>
      <c r="DL255" s="2600"/>
      <c r="DM255" s="1602"/>
      <c r="DN255" s="413"/>
      <c r="DO255" s="470"/>
      <c r="EM255" s="4">
        <f t="shared" si="1027"/>
        <v>3</v>
      </c>
      <c r="EN255" s="4">
        <f t="shared" si="1022"/>
        <v>4</v>
      </c>
      <c r="EO255" s="4">
        <f t="shared" si="1015"/>
        <v>10</v>
      </c>
      <c r="EP255" s="4">
        <f t="shared" si="1016"/>
        <v>30</v>
      </c>
      <c r="ES255" s="4">
        <f t="shared" si="1017"/>
        <v>49</v>
      </c>
      <c r="EU255" s="4">
        <f t="shared" si="1018"/>
        <v>56</v>
      </c>
      <c r="EV255" s="4">
        <f t="shared" si="1023"/>
        <v>56</v>
      </c>
      <c r="EW255" s="4">
        <f t="shared" si="1028"/>
        <v>56</v>
      </c>
      <c r="EX255" s="4">
        <f t="shared" si="1029"/>
        <v>53</v>
      </c>
      <c r="EY255" s="11">
        <f t="shared" si="1025"/>
        <v>51</v>
      </c>
      <c r="EZ255" s="1734"/>
      <c r="FI255" s="671"/>
      <c r="FJ255"/>
      <c r="FK255"/>
      <c r="FL255"/>
      <c r="FM255"/>
      <c r="FN255"/>
      <c r="FO255"/>
      <c r="FP255" s="3"/>
      <c r="FS255" s="7"/>
      <c r="FT255" s="7"/>
      <c r="FU255"/>
      <c r="FV255"/>
      <c r="FW255" s="7"/>
      <c r="FX255" s="7"/>
      <c r="FY255" s="7"/>
      <c r="FZ255"/>
      <c r="GA255"/>
      <c r="GB255"/>
      <c r="GC255"/>
      <c r="GD255"/>
      <c r="GE255"/>
      <c r="GF255"/>
      <c r="GG255"/>
      <c r="GH255"/>
      <c r="GI255"/>
      <c r="GJ255"/>
      <c r="GK255"/>
      <c r="GL255"/>
      <c r="GM255"/>
      <c r="GN255"/>
      <c r="GO255"/>
      <c r="GP255"/>
      <c r="GQ255"/>
      <c r="GR255"/>
      <c r="GS255"/>
      <c r="GT255"/>
      <c r="GU255"/>
      <c r="GV255"/>
      <c r="GW255"/>
      <c r="GX255"/>
      <c r="GY255"/>
      <c r="GZ255"/>
      <c r="HA255"/>
      <c r="HB255"/>
      <c r="HC255"/>
      <c r="HD255"/>
      <c r="HE255"/>
      <c r="HF255"/>
      <c r="HG255"/>
      <c r="HH255"/>
      <c r="HI255"/>
      <c r="HJ255"/>
      <c r="HK255"/>
      <c r="HL255"/>
      <c r="HM255"/>
      <c r="HN255"/>
      <c r="HO255"/>
      <c r="HP255"/>
      <c r="HQ255"/>
      <c r="HR255"/>
      <c r="HS255"/>
      <c r="HT255"/>
      <c r="HU255"/>
      <c r="HV255"/>
      <c r="HW255"/>
      <c r="HX255"/>
      <c r="HY255"/>
      <c r="HZ255"/>
      <c r="IA255"/>
      <c r="IB255"/>
      <c r="IC255"/>
      <c r="ID255"/>
      <c r="IE255"/>
      <c r="IF255"/>
      <c r="IG255"/>
      <c r="IH255"/>
      <c r="II255"/>
      <c r="IJ255"/>
      <c r="IK255"/>
      <c r="IL255"/>
      <c r="IM255"/>
      <c r="IN255"/>
      <c r="IO255"/>
      <c r="IP255"/>
      <c r="IQ255"/>
      <c r="IR255"/>
      <c r="IS255"/>
      <c r="IT255"/>
      <c r="IU255"/>
      <c r="IV255"/>
      <c r="IW255"/>
      <c r="IX255"/>
      <c r="IY255"/>
      <c r="IZ255"/>
    </row>
    <row r="256" spans="1:260" s="4" customFormat="1" ht="11.25" hidden="1" customHeight="1" outlineLevel="1" x14ac:dyDescent="0.2">
      <c r="A256" s="4" t="s">
        <v>463</v>
      </c>
      <c r="E256" s="470"/>
      <c r="I256" s="470"/>
      <c r="M256" s="470"/>
      <c r="Q256" s="470"/>
      <c r="U256" s="470"/>
      <c r="Y256" s="470"/>
      <c r="AC256" s="470"/>
      <c r="AG256" s="470"/>
      <c r="BI256" s="4">
        <f>BH256+BI270</f>
        <v>0</v>
      </c>
      <c r="BJ256" s="4">
        <f>EL256+BJ270</f>
        <v>0</v>
      </c>
      <c r="BK256" s="4">
        <f>BJ256+BK270</f>
        <v>0</v>
      </c>
      <c r="BL256" s="4">
        <f t="shared" si="1026"/>
        <v>0</v>
      </c>
      <c r="BM256" s="4">
        <f t="shared" si="1026"/>
        <v>1</v>
      </c>
      <c r="BN256" s="4">
        <f t="shared" si="1012"/>
        <v>1</v>
      </c>
      <c r="BO256" s="4">
        <f t="shared" si="1013"/>
        <v>1</v>
      </c>
      <c r="BP256" s="4">
        <f t="shared" si="1013"/>
        <v>2</v>
      </c>
      <c r="BQ256" s="4">
        <v>5</v>
      </c>
      <c r="BR256" s="4">
        <v>5</v>
      </c>
      <c r="BS256" s="4">
        <v>5</v>
      </c>
      <c r="BT256" s="4">
        <v>6</v>
      </c>
      <c r="BU256" s="4">
        <v>6</v>
      </c>
      <c r="BV256" s="4">
        <v>6</v>
      </c>
      <c r="BW256" s="4">
        <v>6</v>
      </c>
      <c r="BX256" s="4">
        <v>6</v>
      </c>
      <c r="BY256" s="4">
        <v>8</v>
      </c>
      <c r="CH256" s="4">
        <v>8</v>
      </c>
      <c r="CI256" s="4">
        <v>8</v>
      </c>
      <c r="CJ256" s="4">
        <v>12</v>
      </c>
      <c r="CK256" s="4">
        <v>15</v>
      </c>
      <c r="CP256" s="4">
        <v>14</v>
      </c>
      <c r="CQ256" s="4">
        <v>15</v>
      </c>
      <c r="CR256" s="4">
        <v>17</v>
      </c>
      <c r="CS256" s="470">
        <v>17</v>
      </c>
      <c r="CT256" s="4">
        <v>17</v>
      </c>
      <c r="CU256" s="4">
        <v>17</v>
      </c>
      <c r="CV256" s="4">
        <v>18</v>
      </c>
      <c r="CW256" s="470">
        <v>18</v>
      </c>
      <c r="CX256" s="1572">
        <v>18</v>
      </c>
      <c r="CY256" s="1952">
        <f t="shared" si="1024"/>
        <v>18</v>
      </c>
      <c r="CZ256" s="1953">
        <v>18</v>
      </c>
      <c r="DA256" s="1602">
        <v>18</v>
      </c>
      <c r="DB256" s="1953">
        <v>18</v>
      </c>
      <c r="DC256" s="1953">
        <v>18</v>
      </c>
      <c r="DD256" s="1953">
        <v>18</v>
      </c>
      <c r="DE256" s="1928">
        <v>20</v>
      </c>
      <c r="DF256" s="1953">
        <v>20</v>
      </c>
      <c r="DG256" s="1953">
        <v>22</v>
      </c>
      <c r="DH256" s="1953">
        <v>23</v>
      </c>
      <c r="DI256" s="1928">
        <v>25</v>
      </c>
      <c r="DJ256" s="2747"/>
      <c r="DK256" s="2600"/>
      <c r="DL256" s="2600"/>
      <c r="DM256" s="1602"/>
      <c r="DN256" s="413"/>
      <c r="DO256" s="470"/>
      <c r="EL256" s="4">
        <f>EK256+EL270</f>
        <v>0</v>
      </c>
      <c r="EM256" s="4">
        <f t="shared" si="1027"/>
        <v>1</v>
      </c>
      <c r="EN256" s="4">
        <f t="shared" si="1022"/>
        <v>5</v>
      </c>
      <c r="EO256" s="4">
        <f t="shared" si="1015"/>
        <v>6</v>
      </c>
      <c r="EP256" s="4">
        <f t="shared" si="1016"/>
        <v>8</v>
      </c>
      <c r="ES256" s="4">
        <f t="shared" si="1017"/>
        <v>15</v>
      </c>
      <c r="EU256" s="4">
        <f t="shared" si="1018"/>
        <v>17</v>
      </c>
      <c r="EV256" s="4">
        <f t="shared" si="1023"/>
        <v>18</v>
      </c>
      <c r="EW256" s="4">
        <f t="shared" si="1028"/>
        <v>18</v>
      </c>
      <c r="EX256" s="4">
        <f t="shared" si="1029"/>
        <v>20</v>
      </c>
      <c r="EY256" s="11">
        <f t="shared" si="1025"/>
        <v>25</v>
      </c>
      <c r="EZ256" s="1734"/>
      <c r="FI256" s="671"/>
      <c r="FJ256"/>
      <c r="FK256"/>
      <c r="FL256"/>
      <c r="FM256"/>
      <c r="FN256"/>
      <c r="FO256"/>
      <c r="FP256" s="3"/>
      <c r="FS256" s="7"/>
      <c r="FT256" s="7"/>
      <c r="FU256"/>
      <c r="FV256"/>
      <c r="FW256" s="7"/>
      <c r="FX256" s="7"/>
      <c r="FY256" s="7"/>
      <c r="FZ256"/>
      <c r="GA256"/>
      <c r="GB256"/>
      <c r="GC256"/>
      <c r="GD256"/>
      <c r="GE256"/>
      <c r="GF256"/>
      <c r="GG256"/>
      <c r="GH256"/>
      <c r="GI256"/>
      <c r="GJ256"/>
      <c r="GK256"/>
      <c r="GL256"/>
      <c r="GM256"/>
      <c r="GN256"/>
      <c r="GO256"/>
      <c r="GP256"/>
      <c r="GQ256"/>
      <c r="GR256"/>
      <c r="GS256"/>
      <c r="GT256"/>
      <c r="GU256"/>
      <c r="GV256"/>
      <c r="GW256"/>
      <c r="GX256"/>
      <c r="GY256"/>
      <c r="GZ256"/>
      <c r="HA256"/>
      <c r="HB256"/>
      <c r="HC256"/>
      <c r="HD256"/>
      <c r="HE256"/>
      <c r="HF256"/>
      <c r="HG256"/>
      <c r="HH256"/>
      <c r="HI256"/>
      <c r="HJ256"/>
      <c r="HK256"/>
      <c r="HL256"/>
      <c r="HM256"/>
      <c r="HN256"/>
      <c r="HO256"/>
      <c r="HP256"/>
      <c r="HQ256"/>
      <c r="HR256"/>
      <c r="HS256"/>
      <c r="HT256"/>
      <c r="HU256"/>
      <c r="HV256"/>
      <c r="HW256"/>
      <c r="HX256"/>
      <c r="HY256"/>
      <c r="HZ256"/>
      <c r="IA256"/>
      <c r="IB256"/>
      <c r="IC256"/>
      <c r="ID256"/>
      <c r="IE256"/>
      <c r="IF256"/>
      <c r="IG256"/>
      <c r="IH256"/>
      <c r="II256"/>
      <c r="IJ256"/>
      <c r="IK256"/>
      <c r="IL256"/>
      <c r="IM256"/>
      <c r="IN256"/>
      <c r="IO256"/>
      <c r="IP256"/>
      <c r="IQ256"/>
      <c r="IR256"/>
      <c r="IS256"/>
      <c r="IT256"/>
      <c r="IU256"/>
      <c r="IV256"/>
      <c r="IW256"/>
      <c r="IX256"/>
      <c r="IY256"/>
      <c r="IZ256"/>
    </row>
    <row r="257" spans="1:260" s="4" customFormat="1" ht="11.25" hidden="1" customHeight="1" outlineLevel="1" x14ac:dyDescent="0.2">
      <c r="A257" s="4" t="s">
        <v>389</v>
      </c>
      <c r="E257" s="470"/>
      <c r="I257" s="470"/>
      <c r="M257" s="470"/>
      <c r="Q257" s="470"/>
      <c r="U257" s="470"/>
      <c r="Y257" s="470"/>
      <c r="AC257" s="470"/>
      <c r="AG257" s="470"/>
      <c r="CK257" s="4">
        <v>1</v>
      </c>
      <c r="CP257" s="4">
        <v>1</v>
      </c>
      <c r="CQ257" s="4">
        <v>1</v>
      </c>
      <c r="CR257" s="4">
        <v>2</v>
      </c>
      <c r="CS257" s="470">
        <v>2</v>
      </c>
      <c r="CT257" s="4">
        <v>2</v>
      </c>
      <c r="CU257" s="4">
        <v>2</v>
      </c>
      <c r="CV257" s="4">
        <v>3</v>
      </c>
      <c r="CW257" s="470">
        <v>5</v>
      </c>
      <c r="CX257" s="1572">
        <v>5</v>
      </c>
      <c r="CY257" s="1952">
        <f t="shared" si="1024"/>
        <v>5</v>
      </c>
      <c r="CZ257" s="1953">
        <v>5</v>
      </c>
      <c r="DA257" s="1602">
        <v>6</v>
      </c>
      <c r="DB257" s="1953">
        <v>6</v>
      </c>
      <c r="DC257" s="1953">
        <v>6</v>
      </c>
      <c r="DD257" s="1953">
        <v>5</v>
      </c>
      <c r="DE257" s="1928">
        <v>5</v>
      </c>
      <c r="DF257" s="1953">
        <v>5</v>
      </c>
      <c r="DG257" s="1953">
        <v>5</v>
      </c>
      <c r="DH257" s="1953">
        <v>5</v>
      </c>
      <c r="DI257" s="1928">
        <v>6</v>
      </c>
      <c r="DJ257" s="2747"/>
      <c r="DK257" s="2600"/>
      <c r="DL257" s="2600"/>
      <c r="DM257" s="1602"/>
      <c r="DN257" s="413"/>
      <c r="DO257" s="470"/>
      <c r="EU257" s="4">
        <f t="shared" si="1018"/>
        <v>2</v>
      </c>
      <c r="EV257" s="4">
        <f t="shared" si="1023"/>
        <v>5</v>
      </c>
      <c r="EW257" s="4">
        <f t="shared" si="1028"/>
        <v>6</v>
      </c>
      <c r="EX257" s="4">
        <f t="shared" si="1029"/>
        <v>5</v>
      </c>
      <c r="EY257" s="11">
        <f t="shared" si="1025"/>
        <v>6</v>
      </c>
      <c r="EZ257" s="1734"/>
      <c r="FI257" s="671"/>
      <c r="FJ257"/>
      <c r="FK257"/>
      <c r="FL257"/>
      <c r="FM257"/>
      <c r="FN257"/>
      <c r="FO257"/>
      <c r="FP257" s="3"/>
      <c r="FS257" s="7"/>
      <c r="FT257" s="7"/>
      <c r="FU257"/>
      <c r="FV257"/>
      <c r="FW257" s="7"/>
      <c r="FX257" s="7"/>
      <c r="FY257" s="7"/>
      <c r="FZ257"/>
      <c r="GA257"/>
      <c r="GB257"/>
      <c r="GC257"/>
      <c r="GD257"/>
      <c r="GE257"/>
      <c r="GF257"/>
      <c r="GG257"/>
      <c r="GH257"/>
      <c r="GI257"/>
      <c r="GJ257"/>
      <c r="GK257"/>
      <c r="GL257"/>
      <c r="GM257"/>
      <c r="GN257"/>
      <c r="GO257"/>
      <c r="GP257"/>
      <c r="GQ257"/>
      <c r="GR257"/>
      <c r="GS257"/>
      <c r="GT257"/>
      <c r="GU257"/>
      <c r="GV257"/>
      <c r="GW257"/>
      <c r="GX257"/>
      <c r="GY257"/>
      <c r="GZ257"/>
      <c r="HA257"/>
      <c r="HB257"/>
      <c r="HC257"/>
      <c r="HD257"/>
      <c r="HE257"/>
      <c r="HF257"/>
      <c r="HG257"/>
      <c r="HH257"/>
      <c r="HI257"/>
      <c r="HJ257"/>
      <c r="HK257"/>
      <c r="HL257"/>
      <c r="HM257"/>
      <c r="HN257"/>
      <c r="HO257"/>
      <c r="HP257"/>
      <c r="HQ257"/>
      <c r="HR257"/>
      <c r="HS257"/>
      <c r="HT257"/>
      <c r="HU257"/>
      <c r="HV257"/>
      <c r="HW257"/>
      <c r="HX257"/>
      <c r="HY257"/>
      <c r="HZ257"/>
      <c r="IA257"/>
      <c r="IB257"/>
      <c r="IC257"/>
      <c r="ID257"/>
      <c r="IE257"/>
      <c r="IF257"/>
      <c r="IG257"/>
      <c r="IH257"/>
      <c r="II257"/>
      <c r="IJ257"/>
      <c r="IK257"/>
      <c r="IL257"/>
      <c r="IM257"/>
      <c r="IN257"/>
      <c r="IO257"/>
      <c r="IP257"/>
      <c r="IQ257"/>
      <c r="IR257"/>
      <c r="IS257"/>
      <c r="IT257"/>
      <c r="IU257"/>
      <c r="IV257"/>
      <c r="IW257"/>
      <c r="IX257"/>
      <c r="IY257"/>
      <c r="IZ257"/>
    </row>
    <row r="258" spans="1:260" s="4" customFormat="1" ht="11.25" hidden="1" customHeight="1" outlineLevel="2" x14ac:dyDescent="0.2">
      <c r="A258" s="4" t="s">
        <v>458</v>
      </c>
      <c r="E258" s="470"/>
      <c r="I258" s="470"/>
      <c r="M258" s="470"/>
      <c r="Q258" s="470"/>
      <c r="U258" s="470"/>
      <c r="Y258" s="470"/>
      <c r="AC258" s="470"/>
      <c r="AG258" s="470"/>
      <c r="BL258" s="4">
        <f>BK258+BL272</f>
        <v>0</v>
      </c>
      <c r="BM258" s="4">
        <f>BL258+BM272</f>
        <v>0</v>
      </c>
      <c r="BN258" s="4">
        <f>EM258+BN272</f>
        <v>0</v>
      </c>
      <c r="BO258" s="4">
        <f>BN258+BO272</f>
        <v>0</v>
      </c>
      <c r="BP258" s="4">
        <f>BO258+BP272</f>
        <v>0</v>
      </c>
      <c r="BQ258" s="4">
        <v>1</v>
      </c>
      <c r="BR258" s="4">
        <v>1</v>
      </c>
      <c r="BS258" s="4">
        <v>2</v>
      </c>
      <c r="BT258" s="4">
        <v>2</v>
      </c>
      <c r="BU258" s="4">
        <v>2</v>
      </c>
      <c r="BV258" s="4">
        <v>2</v>
      </c>
      <c r="BW258" s="4">
        <v>0</v>
      </c>
      <c r="BX258" s="4">
        <v>0</v>
      </c>
      <c r="BY258" s="4">
        <v>0</v>
      </c>
      <c r="CH258" s="4">
        <v>0</v>
      </c>
      <c r="CI258" s="4">
        <v>0</v>
      </c>
      <c r="CJ258" s="4">
        <v>0</v>
      </c>
      <c r="CK258" s="4">
        <v>0</v>
      </c>
      <c r="CP258" s="4">
        <v>0</v>
      </c>
      <c r="CQ258" s="4">
        <v>0</v>
      </c>
      <c r="CR258" s="4">
        <v>0</v>
      </c>
      <c r="CS258" s="470">
        <v>0</v>
      </c>
      <c r="CT258" s="4">
        <v>0</v>
      </c>
      <c r="CU258" s="4">
        <v>0</v>
      </c>
      <c r="CV258" s="4">
        <v>0</v>
      </c>
      <c r="CW258" s="470">
        <v>0</v>
      </c>
      <c r="CX258" s="1572">
        <v>0</v>
      </c>
      <c r="CY258" s="1952">
        <f t="shared" si="1024"/>
        <v>0</v>
      </c>
      <c r="CZ258" s="1572"/>
      <c r="DA258" s="1602"/>
      <c r="DB258" s="1572"/>
      <c r="DC258" s="1952"/>
      <c r="DD258" s="1953"/>
      <c r="DE258" s="1928"/>
      <c r="DF258" s="1953"/>
      <c r="DG258" s="1953"/>
      <c r="DH258" s="1953"/>
      <c r="DI258" s="1928"/>
      <c r="DJ258" s="2747"/>
      <c r="DK258" s="2600"/>
      <c r="DL258" s="2600"/>
      <c r="DM258" s="1602"/>
      <c r="DN258" s="413"/>
      <c r="DO258" s="470"/>
      <c r="EM258" s="4">
        <f>EL258+EM272</f>
        <v>0</v>
      </c>
      <c r="EN258" s="4">
        <f>BQ258</f>
        <v>1</v>
      </c>
      <c r="EO258" s="4">
        <f>BQ258+EO272</f>
        <v>2</v>
      </c>
      <c r="EP258" s="4">
        <f>BU258+EP272</f>
        <v>0</v>
      </c>
      <c r="ES258" s="4">
        <f>BY258+ES272</f>
        <v>0</v>
      </c>
      <c r="EU258" s="4">
        <f>CK258+EU272</f>
        <v>0</v>
      </c>
      <c r="EV258" s="4">
        <f t="shared" si="1023"/>
        <v>0</v>
      </c>
      <c r="EW258" s="4">
        <f t="shared" si="1028"/>
        <v>0</v>
      </c>
      <c r="EX258" s="4">
        <f t="shared" si="1029"/>
        <v>0</v>
      </c>
      <c r="EY258" s="11">
        <f t="shared" si="1025"/>
        <v>0</v>
      </c>
      <c r="EZ258" s="1734"/>
      <c r="FI258" s="671"/>
      <c r="FJ258"/>
      <c r="FK258"/>
      <c r="FL258"/>
      <c r="FM258"/>
      <c r="FN258"/>
      <c r="FO258"/>
      <c r="FP258" s="3"/>
      <c r="FS258" s="7"/>
      <c r="FT258" s="7"/>
      <c r="FU258"/>
      <c r="FV258"/>
      <c r="FW258" s="7"/>
      <c r="FX258" s="7"/>
      <c r="FY258" s="7"/>
      <c r="FZ258"/>
      <c r="GA258"/>
      <c r="GB258"/>
      <c r="GC258"/>
      <c r="GD258"/>
      <c r="GE258"/>
      <c r="GF258"/>
      <c r="GG258"/>
      <c r="GH258"/>
      <c r="GI258"/>
      <c r="GJ258"/>
      <c r="GK258"/>
      <c r="GL258"/>
      <c r="GM258"/>
      <c r="GN258"/>
      <c r="GO258"/>
      <c r="GP258"/>
      <c r="GQ258"/>
      <c r="GR258"/>
      <c r="GS258"/>
      <c r="GT258"/>
      <c r="GU258"/>
      <c r="GV258"/>
      <c r="GW258"/>
      <c r="GX258"/>
      <c r="GY258"/>
      <c r="GZ258"/>
      <c r="HA258"/>
      <c r="HB258"/>
      <c r="HC258"/>
      <c r="HD258"/>
      <c r="HE258"/>
      <c r="HF258"/>
      <c r="HG258"/>
      <c r="HH258"/>
      <c r="HI258"/>
      <c r="HJ258"/>
      <c r="HK258"/>
      <c r="HL258"/>
      <c r="HM258"/>
      <c r="HN258"/>
      <c r="HO258"/>
      <c r="HP258"/>
      <c r="HQ258"/>
      <c r="HR258"/>
      <c r="HS258"/>
      <c r="HT258"/>
      <c r="HU258"/>
      <c r="HV258"/>
      <c r="HW258"/>
      <c r="HX258"/>
      <c r="HY258"/>
      <c r="HZ258"/>
      <c r="IA258"/>
      <c r="IB258"/>
      <c r="IC258"/>
      <c r="ID258"/>
      <c r="IE258"/>
      <c r="IF258"/>
      <c r="IG258"/>
      <c r="IH258"/>
      <c r="II258"/>
      <c r="IJ258"/>
      <c r="IK258"/>
      <c r="IL258"/>
      <c r="IM258"/>
      <c r="IN258"/>
      <c r="IO258"/>
      <c r="IP258"/>
      <c r="IQ258"/>
      <c r="IR258"/>
      <c r="IS258"/>
      <c r="IT258"/>
      <c r="IU258"/>
      <c r="IV258"/>
      <c r="IW258"/>
      <c r="IX258"/>
      <c r="IY258"/>
      <c r="IZ258"/>
    </row>
    <row r="259" spans="1:260" s="4" customFormat="1" ht="11.25" hidden="1" customHeight="1" outlineLevel="1" collapsed="1" x14ac:dyDescent="0.2">
      <c r="A259" s="4" t="s">
        <v>560</v>
      </c>
      <c r="E259" s="470"/>
      <c r="I259" s="470"/>
      <c r="M259" s="470"/>
      <c r="Q259" s="470"/>
      <c r="U259" s="470"/>
      <c r="Y259" s="470"/>
      <c r="AC259" s="470"/>
      <c r="AG259" s="470"/>
      <c r="AH259" s="4">
        <f t="shared" ref="AH259:BA259" si="1031">SUM(AH248:AH250)</f>
        <v>91</v>
      </c>
      <c r="AI259" s="4">
        <f t="shared" si="1031"/>
        <v>91</v>
      </c>
      <c r="AJ259" s="4">
        <f t="shared" si="1031"/>
        <v>95</v>
      </c>
      <c r="AK259" s="4">
        <f t="shared" si="1031"/>
        <v>95</v>
      </c>
      <c r="AL259" s="4">
        <f t="shared" si="1031"/>
        <v>97</v>
      </c>
      <c r="AM259" s="4">
        <f t="shared" si="1031"/>
        <v>101</v>
      </c>
      <c r="AN259" s="4">
        <f t="shared" si="1031"/>
        <v>112</v>
      </c>
      <c r="AO259" s="4">
        <f t="shared" si="1031"/>
        <v>112</v>
      </c>
      <c r="AP259" s="4">
        <f t="shared" si="1031"/>
        <v>114</v>
      </c>
      <c r="AQ259" s="4">
        <f t="shared" si="1031"/>
        <v>120</v>
      </c>
      <c r="AR259" s="4">
        <f t="shared" si="1031"/>
        <v>127</v>
      </c>
      <c r="AS259" s="4">
        <f t="shared" si="1031"/>
        <v>127</v>
      </c>
      <c r="AT259" s="4">
        <f t="shared" si="1031"/>
        <v>128</v>
      </c>
      <c r="AU259" s="4">
        <f t="shared" si="1031"/>
        <v>131</v>
      </c>
      <c r="AV259" s="4">
        <f t="shared" si="1031"/>
        <v>142</v>
      </c>
      <c r="AW259" s="4">
        <f t="shared" si="1031"/>
        <v>144</v>
      </c>
      <c r="AX259" s="4">
        <f t="shared" si="1031"/>
        <v>147</v>
      </c>
      <c r="AY259" s="4">
        <f t="shared" si="1031"/>
        <v>150</v>
      </c>
      <c r="AZ259" s="4">
        <f t="shared" si="1031"/>
        <v>166</v>
      </c>
      <c r="BA259" s="4">
        <f t="shared" si="1031"/>
        <v>167</v>
      </c>
      <c r="BB259" s="4">
        <f>SUM(BB248:BB254)</f>
        <v>169</v>
      </c>
      <c r="BC259" s="4">
        <f>SUM(BC248:BC254)</f>
        <v>294</v>
      </c>
      <c r="BD259" s="4">
        <f>SUM(BD248:BD254)</f>
        <v>301</v>
      </c>
      <c r="BE259" s="4">
        <f>SUM(BE248:BE254)</f>
        <v>304</v>
      </c>
      <c r="BF259" s="4">
        <f t="shared" ref="BF259:BY259" si="1032">SUM(BF248:BF258)</f>
        <v>307</v>
      </c>
      <c r="BG259" s="4">
        <f t="shared" si="1032"/>
        <v>317</v>
      </c>
      <c r="BH259" s="4">
        <f t="shared" si="1032"/>
        <v>332</v>
      </c>
      <c r="BI259" s="4">
        <f t="shared" si="1032"/>
        <v>343</v>
      </c>
      <c r="BJ259" s="4">
        <f t="shared" si="1032"/>
        <v>346</v>
      </c>
      <c r="BK259" s="4">
        <f t="shared" si="1032"/>
        <v>347</v>
      </c>
      <c r="BL259" s="4">
        <f t="shared" si="1032"/>
        <v>2791</v>
      </c>
      <c r="BM259" s="4">
        <f t="shared" si="1032"/>
        <v>2835</v>
      </c>
      <c r="BN259" s="4">
        <f t="shared" si="1032"/>
        <v>2830</v>
      </c>
      <c r="BO259" s="4">
        <f t="shared" si="1032"/>
        <v>2827</v>
      </c>
      <c r="BP259" s="4">
        <f t="shared" si="1032"/>
        <v>2831</v>
      </c>
      <c r="BQ259" s="4">
        <f t="shared" si="1032"/>
        <v>2835</v>
      </c>
      <c r="BR259" s="4">
        <f t="shared" si="1032"/>
        <v>2815</v>
      </c>
      <c r="BS259" s="4">
        <f t="shared" si="1032"/>
        <v>2834</v>
      </c>
      <c r="BT259" s="4">
        <f t="shared" si="1032"/>
        <v>2830</v>
      </c>
      <c r="BU259" s="4">
        <f t="shared" si="1032"/>
        <v>2855</v>
      </c>
      <c r="BV259" s="4">
        <f t="shared" si="1032"/>
        <v>2846</v>
      </c>
      <c r="BW259" s="4">
        <f t="shared" si="1032"/>
        <v>2878</v>
      </c>
      <c r="BX259" s="4">
        <f t="shared" si="1032"/>
        <v>2911</v>
      </c>
      <c r="BY259" s="4">
        <f t="shared" si="1032"/>
        <v>2861</v>
      </c>
      <c r="CH259" s="4">
        <f>SUM(CH248:CH258)</f>
        <v>2867</v>
      </c>
      <c r="CI259" s="4">
        <f>SUM(CI248:CI258)</f>
        <v>2856</v>
      </c>
      <c r="CJ259" s="4">
        <f>SUM(CJ248:CJ258)</f>
        <v>2893</v>
      </c>
      <c r="CK259" s="4">
        <f>SUM(CK248:CK258)</f>
        <v>2877</v>
      </c>
      <c r="CP259" s="4">
        <f t="shared" ref="CP259:DF259" si="1033">SUM(CP248:CP258)</f>
        <v>281</v>
      </c>
      <c r="CQ259" s="4">
        <f t="shared" si="1033"/>
        <v>282</v>
      </c>
      <c r="CR259" s="4">
        <f t="shared" si="1033"/>
        <v>286</v>
      </c>
      <c r="CS259" s="470">
        <f t="shared" si="1033"/>
        <v>284</v>
      </c>
      <c r="CT259" s="4">
        <f t="shared" si="1033"/>
        <v>284</v>
      </c>
      <c r="CU259" s="4">
        <f t="shared" si="1033"/>
        <v>282</v>
      </c>
      <c r="CV259" s="4">
        <f t="shared" si="1033"/>
        <v>284</v>
      </c>
      <c r="CW259" s="470">
        <f t="shared" si="1033"/>
        <v>281</v>
      </c>
      <c r="CX259" s="4">
        <f t="shared" si="1033"/>
        <v>215</v>
      </c>
      <c r="CY259" s="4">
        <f t="shared" si="1033"/>
        <v>215</v>
      </c>
      <c r="CZ259" s="4">
        <f t="shared" si="1033"/>
        <v>215</v>
      </c>
      <c r="DA259" s="470">
        <f t="shared" si="1033"/>
        <v>216</v>
      </c>
      <c r="DB259" s="4">
        <f t="shared" si="1033"/>
        <v>215</v>
      </c>
      <c r="DC259" s="6">
        <f t="shared" si="1033"/>
        <v>213</v>
      </c>
      <c r="DD259" s="6">
        <f t="shared" si="1033"/>
        <v>211</v>
      </c>
      <c r="DE259" s="484">
        <f t="shared" si="1033"/>
        <v>212</v>
      </c>
      <c r="DF259" s="7">
        <f t="shared" si="1033"/>
        <v>212</v>
      </c>
      <c r="DG259" s="7">
        <v>213</v>
      </c>
      <c r="DH259" s="7">
        <v>214</v>
      </c>
      <c r="DI259" s="484">
        <v>216</v>
      </c>
      <c r="DJ259" s="1671"/>
      <c r="DK259" s="3"/>
      <c r="DL259" s="3"/>
      <c r="DM259" s="470"/>
      <c r="DN259" s="413"/>
      <c r="DO259" s="470"/>
      <c r="EF259" s="4">
        <f>AK259</f>
        <v>95</v>
      </c>
      <c r="EG259" s="4">
        <f>AO259</f>
        <v>112</v>
      </c>
      <c r="EH259" s="4">
        <f>AS259</f>
        <v>127</v>
      </c>
      <c r="EI259" s="4">
        <f>AW259</f>
        <v>144</v>
      </c>
      <c r="EJ259" s="4">
        <f>BA259</f>
        <v>167</v>
      </c>
      <c r="EK259" s="4">
        <f>SUM(EK248:EK254)</f>
        <v>304</v>
      </c>
      <c r="EL259" s="4">
        <f>SUM(EL248:EL258)</f>
        <v>343</v>
      </c>
      <c r="EM259" s="4">
        <f>SUM(EM248:EM258)</f>
        <v>2835</v>
      </c>
      <c r="EN259" s="4">
        <f>SUM(EN248:EN258)</f>
        <v>2835</v>
      </c>
      <c r="EO259" s="4">
        <f>SUM(EO248:EO258)</f>
        <v>2855</v>
      </c>
      <c r="EP259" s="4">
        <f>SUM(EP248:EP258)</f>
        <v>2861</v>
      </c>
      <c r="ES259" s="4">
        <f>SUM(ES248:ES258)</f>
        <v>2876</v>
      </c>
      <c r="EU259" s="4">
        <f>SUM(EU248:EU258)</f>
        <v>284</v>
      </c>
      <c r="EV259" s="4">
        <f t="shared" si="1023"/>
        <v>281</v>
      </c>
      <c r="EW259" s="4">
        <f t="shared" si="1028"/>
        <v>216</v>
      </c>
      <c r="EX259" s="4">
        <f t="shared" si="1029"/>
        <v>212</v>
      </c>
      <c r="EY259" s="11">
        <f t="shared" si="1025"/>
        <v>216</v>
      </c>
      <c r="EZ259" s="1734"/>
      <c r="FI259" s="671"/>
      <c r="FJ259"/>
      <c r="FK259"/>
      <c r="FL259"/>
      <c r="FM259"/>
      <c r="FN259"/>
      <c r="FO259"/>
      <c r="FP259" s="3"/>
      <c r="FS259" s="7"/>
      <c r="FT259" s="7"/>
      <c r="FU259"/>
      <c r="FV259"/>
      <c r="FW259" s="7"/>
      <c r="FX259" s="7"/>
      <c r="FY259" s="7"/>
      <c r="FZ259"/>
      <c r="GA259"/>
      <c r="GB259"/>
      <c r="GC259"/>
      <c r="GD259"/>
      <c r="GE259"/>
      <c r="GF259"/>
      <c r="GG259"/>
      <c r="GH259"/>
      <c r="GI259"/>
      <c r="GJ259"/>
      <c r="GK259"/>
      <c r="GL259"/>
      <c r="GM259"/>
      <c r="GN259"/>
      <c r="GO259"/>
      <c r="GP259"/>
      <c r="GQ259"/>
      <c r="GR259"/>
      <c r="GS259"/>
      <c r="GT259"/>
      <c r="GU259"/>
      <c r="GV259"/>
      <c r="GW259"/>
      <c r="GX259"/>
      <c r="GY259"/>
      <c r="GZ259"/>
      <c r="HA259"/>
      <c r="HB259"/>
      <c r="HC259"/>
      <c r="HD259"/>
      <c r="HE259"/>
      <c r="HF259"/>
      <c r="HG259"/>
      <c r="HH259"/>
      <c r="HI259"/>
      <c r="HJ259"/>
      <c r="HK259"/>
      <c r="HL259"/>
      <c r="HM259"/>
      <c r="HN259"/>
      <c r="HO259"/>
      <c r="HP259"/>
      <c r="HQ259"/>
      <c r="HR259"/>
      <c r="HS259"/>
      <c r="HT259"/>
      <c r="HU259"/>
      <c r="HV259"/>
      <c r="HW259"/>
      <c r="HX259"/>
      <c r="HY259"/>
      <c r="HZ259"/>
      <c r="IA259"/>
      <c r="IB259"/>
      <c r="IC259"/>
      <c r="ID259"/>
      <c r="IE259"/>
      <c r="IF259"/>
      <c r="IG259"/>
      <c r="IH259"/>
      <c r="II259"/>
      <c r="IJ259"/>
      <c r="IK259"/>
      <c r="IL259"/>
      <c r="IM259"/>
      <c r="IN259"/>
      <c r="IO259"/>
      <c r="IP259"/>
      <c r="IQ259"/>
      <c r="IR259"/>
      <c r="IS259"/>
      <c r="IT259"/>
      <c r="IU259"/>
      <c r="IV259"/>
      <c r="IW259"/>
      <c r="IX259"/>
      <c r="IY259"/>
      <c r="IZ259"/>
    </row>
    <row r="260" spans="1:260" s="4" customFormat="1" ht="11.25" hidden="1" customHeight="1" outlineLevel="1" x14ac:dyDescent="0.2">
      <c r="E260" s="470"/>
      <c r="I260" s="470"/>
      <c r="M260" s="470"/>
      <c r="Q260" s="470"/>
      <c r="U260" s="470"/>
      <c r="Y260" s="470"/>
      <c r="AC260" s="470"/>
      <c r="AG260" s="470"/>
      <c r="CS260" s="470"/>
      <c r="CW260" s="470"/>
      <c r="DA260" s="470"/>
      <c r="DC260" s="6"/>
      <c r="DD260" s="7"/>
      <c r="DE260" s="484"/>
      <c r="DF260" s="7"/>
      <c r="DG260" s="7"/>
      <c r="DH260" s="7"/>
      <c r="DI260" s="484"/>
      <c r="DJ260" s="1671"/>
      <c r="DK260" s="3"/>
      <c r="DL260" s="3"/>
      <c r="DM260" s="470"/>
      <c r="DN260" s="413"/>
      <c r="DO260" s="470"/>
      <c r="EX260" s="6"/>
      <c r="EY260" s="6"/>
      <c r="EZ260" s="1734"/>
      <c r="FI260" s="671"/>
      <c r="FJ260"/>
      <c r="FK260"/>
      <c r="FL260"/>
      <c r="FM260"/>
      <c r="FN260"/>
      <c r="FO260"/>
      <c r="FP260" s="3"/>
      <c r="FS260" s="7"/>
      <c r="FT260" s="7"/>
      <c r="FU260"/>
      <c r="FV260"/>
      <c r="FW260" s="7"/>
      <c r="FX260" s="7"/>
      <c r="FY260" s="7"/>
      <c r="FZ260"/>
      <c r="GA260"/>
      <c r="GB260"/>
      <c r="GC260"/>
      <c r="GD260"/>
      <c r="GE260"/>
      <c r="GF260"/>
      <c r="GG260"/>
      <c r="GH260"/>
      <c r="GI260"/>
      <c r="GJ260"/>
      <c r="GK260"/>
      <c r="GL260"/>
      <c r="GM260"/>
      <c r="GN260"/>
      <c r="GO260"/>
      <c r="GP260"/>
      <c r="GQ260"/>
      <c r="GR260"/>
      <c r="GS260"/>
      <c r="GT260"/>
      <c r="GU260"/>
      <c r="GV260"/>
      <c r="GW260"/>
      <c r="GX260"/>
      <c r="GY260"/>
      <c r="GZ260"/>
      <c r="HA260"/>
      <c r="HB260"/>
      <c r="HC260"/>
      <c r="HD260"/>
      <c r="HE260"/>
      <c r="HF260"/>
      <c r="HG260"/>
      <c r="HH260"/>
      <c r="HI260"/>
      <c r="HJ260"/>
      <c r="HK260"/>
      <c r="HL260"/>
      <c r="HM260"/>
      <c r="HN260"/>
      <c r="HO260"/>
      <c r="HP260"/>
      <c r="HQ260"/>
      <c r="HR260"/>
      <c r="HS260"/>
      <c r="HT260"/>
      <c r="HU260"/>
      <c r="HV260"/>
      <c r="HW260"/>
      <c r="HX260"/>
      <c r="HY260"/>
      <c r="HZ260"/>
      <c r="IA260"/>
      <c r="IB260"/>
      <c r="IC260"/>
      <c r="ID260"/>
      <c r="IE260"/>
      <c r="IF260"/>
      <c r="IG260"/>
      <c r="IH260"/>
      <c r="II260"/>
      <c r="IJ260"/>
      <c r="IK260"/>
      <c r="IL260"/>
      <c r="IM260"/>
      <c r="IN260"/>
      <c r="IO260"/>
      <c r="IP260"/>
      <c r="IQ260"/>
      <c r="IR260"/>
      <c r="IS260"/>
      <c r="IT260"/>
      <c r="IU260"/>
      <c r="IV260"/>
      <c r="IW260"/>
      <c r="IX260"/>
      <c r="IY260"/>
      <c r="IZ260"/>
    </row>
    <row r="261" spans="1:260" s="4" customFormat="1" ht="11.25" hidden="1" customHeight="1" outlineLevel="1" x14ac:dyDescent="0.2">
      <c r="A261" s="13" t="s">
        <v>328</v>
      </c>
      <c r="E261" s="470"/>
      <c r="I261" s="470"/>
      <c r="M261" s="470"/>
      <c r="Q261" s="470"/>
      <c r="U261" s="470"/>
      <c r="Y261" s="470"/>
      <c r="AC261" s="470"/>
      <c r="AG261" s="470"/>
      <c r="CS261" s="470"/>
      <c r="CW261" s="470"/>
      <c r="DA261" s="470"/>
      <c r="DC261" s="6"/>
      <c r="DD261" s="7"/>
      <c r="DE261" s="484"/>
      <c r="DF261" s="7"/>
      <c r="DG261" s="7"/>
      <c r="DH261" s="7"/>
      <c r="DI261" s="484"/>
      <c r="DJ261" s="1671"/>
      <c r="DK261" s="3"/>
      <c r="DL261" s="3"/>
      <c r="DM261" s="470"/>
      <c r="DN261" s="413"/>
      <c r="DO261" s="470"/>
      <c r="EV261" s="56"/>
      <c r="EW261" s="56"/>
      <c r="EX261" s="56"/>
      <c r="EY261" s="56"/>
      <c r="EZ261" s="1696"/>
      <c r="FI261" s="671"/>
      <c r="FJ261"/>
      <c r="FK261"/>
      <c r="FL261"/>
      <c r="FM261"/>
      <c r="FN261"/>
      <c r="FO261"/>
      <c r="FP261" s="3"/>
      <c r="FS261" s="7"/>
      <c r="FT261" s="7"/>
      <c r="FU261"/>
      <c r="FV261"/>
      <c r="FW261" s="7"/>
      <c r="FX261" s="7"/>
      <c r="FY261" s="7"/>
      <c r="FZ261"/>
      <c r="GA261"/>
      <c r="GB261"/>
      <c r="GC261"/>
      <c r="GD261"/>
      <c r="GE261"/>
      <c r="GF261"/>
      <c r="GG261"/>
      <c r="GH261"/>
      <c r="GI261"/>
      <c r="GJ261"/>
      <c r="GK261"/>
      <c r="GL261"/>
      <c r="GM261"/>
      <c r="GN261"/>
      <c r="GO261"/>
      <c r="GP261"/>
      <c r="GQ261"/>
      <c r="GR261"/>
      <c r="GS261"/>
      <c r="GT261"/>
      <c r="GU261"/>
      <c r="GV261"/>
      <c r="GW261"/>
      <c r="GX261"/>
      <c r="GY261"/>
      <c r="GZ261"/>
      <c r="HA261"/>
      <c r="HB261"/>
      <c r="HC261"/>
      <c r="HD261"/>
      <c r="HE261"/>
      <c r="HF261"/>
      <c r="HG261"/>
      <c r="HH261"/>
      <c r="HI261"/>
      <c r="HJ261"/>
      <c r="HK261"/>
      <c r="HL261"/>
      <c r="HM261"/>
      <c r="HN261"/>
      <c r="HO261"/>
      <c r="HP261"/>
      <c r="HQ261"/>
      <c r="HR261"/>
      <c r="HS261"/>
      <c r="HT261"/>
      <c r="HU261"/>
      <c r="HV261"/>
      <c r="HW261"/>
      <c r="HX261"/>
      <c r="HY261"/>
      <c r="HZ261"/>
      <c r="IA261"/>
      <c r="IB261"/>
      <c r="IC261"/>
      <c r="ID261"/>
      <c r="IE261"/>
      <c r="IF261"/>
      <c r="IG261"/>
      <c r="IH261"/>
      <c r="II261"/>
      <c r="IJ261"/>
      <c r="IK261"/>
      <c r="IL261"/>
      <c r="IM261"/>
      <c r="IN261"/>
      <c r="IO261"/>
      <c r="IP261"/>
      <c r="IQ261"/>
      <c r="IR261"/>
      <c r="IS261"/>
      <c r="IT261"/>
      <c r="IU261"/>
      <c r="IV261"/>
      <c r="IW261"/>
      <c r="IX261"/>
      <c r="IY261"/>
      <c r="IZ261"/>
    </row>
    <row r="262" spans="1:260" s="4" customFormat="1" ht="11.25" hidden="1" customHeight="1" outlineLevel="2" x14ac:dyDescent="0.2">
      <c r="A262" s="4" t="s">
        <v>372</v>
      </c>
      <c r="E262" s="470"/>
      <c r="I262" s="470"/>
      <c r="M262" s="470"/>
      <c r="Q262" s="470"/>
      <c r="U262" s="470"/>
      <c r="Y262" s="470"/>
      <c r="AC262" s="470"/>
      <c r="AG262" s="470"/>
      <c r="AZ262" s="4">
        <v>4</v>
      </c>
      <c r="BA262" s="4">
        <v>1</v>
      </c>
      <c r="BB262" s="4">
        <v>1</v>
      </c>
      <c r="BC262" s="4">
        <v>-6</v>
      </c>
      <c r="BD262" s="4">
        <v>0</v>
      </c>
      <c r="BE262" s="4">
        <v>0</v>
      </c>
      <c r="BF262" s="4">
        <v>0</v>
      </c>
      <c r="BG262" s="4">
        <v>0</v>
      </c>
      <c r="BH262" s="4">
        <v>0</v>
      </c>
      <c r="BI262" s="4">
        <v>0</v>
      </c>
      <c r="BJ262" s="4">
        <v>0</v>
      </c>
      <c r="BK262" s="4">
        <v>0</v>
      </c>
      <c r="BL262" s="4">
        <v>0</v>
      </c>
      <c r="BM262" s="4">
        <v>0</v>
      </c>
      <c r="BN262" s="4">
        <v>0</v>
      </c>
      <c r="BO262" s="4">
        <v>0</v>
      </c>
      <c r="BP262" s="4">
        <v>0</v>
      </c>
      <c r="BQ262" s="4">
        <f t="shared" ref="BQ262:BY262" si="1034">BQ248-BP248</f>
        <v>0</v>
      </c>
      <c r="BR262" s="4">
        <f t="shared" si="1034"/>
        <v>0</v>
      </c>
      <c r="BS262" s="4">
        <f t="shared" si="1034"/>
        <v>0</v>
      </c>
      <c r="BT262" s="4">
        <f t="shared" si="1034"/>
        <v>0</v>
      </c>
      <c r="BU262" s="4">
        <f t="shared" si="1034"/>
        <v>0</v>
      </c>
      <c r="BV262" s="4">
        <f t="shared" si="1034"/>
        <v>0</v>
      </c>
      <c r="BW262" s="4">
        <f t="shared" si="1034"/>
        <v>0</v>
      </c>
      <c r="BX262" s="4">
        <f t="shared" si="1034"/>
        <v>0</v>
      </c>
      <c r="BY262" s="4">
        <f t="shared" si="1034"/>
        <v>0</v>
      </c>
      <c r="CH262" s="4">
        <f>CH248-BY248</f>
        <v>0</v>
      </c>
      <c r="CI262" s="4">
        <f>CI248-CH248</f>
        <v>0</v>
      </c>
      <c r="CJ262" s="4">
        <f>CJ248-CI248</f>
        <v>0</v>
      </c>
      <c r="CK262" s="4">
        <f>CK248-CJ248</f>
        <v>0</v>
      </c>
      <c r="CP262" s="4">
        <f>CP248-CK248</f>
        <v>0</v>
      </c>
      <c r="CQ262" s="4">
        <f t="shared" ref="CQ262:DI262" si="1035">CQ248-CP248</f>
        <v>0</v>
      </c>
      <c r="CR262" s="4">
        <f t="shared" si="1035"/>
        <v>0</v>
      </c>
      <c r="CS262" s="470">
        <f t="shared" si="1035"/>
        <v>0</v>
      </c>
      <c r="CT262" s="4">
        <f t="shared" si="1035"/>
        <v>0</v>
      </c>
      <c r="CU262" s="4">
        <f t="shared" si="1035"/>
        <v>0</v>
      </c>
      <c r="CV262" s="4">
        <f t="shared" si="1035"/>
        <v>0</v>
      </c>
      <c r="CW262" s="470">
        <f t="shared" si="1035"/>
        <v>0</v>
      </c>
      <c r="CX262" s="4">
        <f t="shared" si="1035"/>
        <v>0</v>
      </c>
      <c r="CY262" s="4">
        <f t="shared" si="1035"/>
        <v>0</v>
      </c>
      <c r="CZ262" s="4">
        <f t="shared" si="1035"/>
        <v>0</v>
      </c>
      <c r="DA262" s="470">
        <f t="shared" si="1035"/>
        <v>0</v>
      </c>
      <c r="DB262" s="4">
        <f t="shared" si="1035"/>
        <v>0</v>
      </c>
      <c r="DC262" s="6">
        <f t="shared" si="1035"/>
        <v>0</v>
      </c>
      <c r="DD262" s="6">
        <f t="shared" si="1035"/>
        <v>0</v>
      </c>
      <c r="DE262" s="484">
        <f t="shared" si="1035"/>
        <v>0</v>
      </c>
      <c r="DF262" s="7">
        <f t="shared" si="1035"/>
        <v>0</v>
      </c>
      <c r="DG262" s="7">
        <f t="shared" si="1035"/>
        <v>0</v>
      </c>
      <c r="DH262" s="7">
        <f t="shared" si="1035"/>
        <v>0</v>
      </c>
      <c r="DI262" s="484">
        <f t="shared" si="1035"/>
        <v>0</v>
      </c>
      <c r="DJ262" s="1671"/>
      <c r="DK262" s="3"/>
      <c r="DL262" s="3"/>
      <c r="DM262" s="470"/>
      <c r="DN262" s="413"/>
      <c r="DO262" s="470"/>
      <c r="EJ262" s="4">
        <f>SUM(AX262:BA262)</f>
        <v>5</v>
      </c>
      <c r="EK262" s="4">
        <f>SUM(BB262:BE262)</f>
        <v>-5</v>
      </c>
      <c r="EL262" s="4">
        <v>0</v>
      </c>
      <c r="EM262" s="4">
        <f>SUM(BJ262:BM262)</f>
        <v>0</v>
      </c>
      <c r="EN262" s="4">
        <f t="shared" ref="EN262:EN270" si="1036">SUM(BN262:BQ262)</f>
        <v>0</v>
      </c>
      <c r="EO262" s="4">
        <f t="shared" ref="EO262:EO270" si="1037">SUM(BR262:BU262)</f>
        <v>0</v>
      </c>
      <c r="EP262" s="4">
        <f t="shared" ref="EP262:EP270" si="1038">SUM(BV262:BY262)</f>
        <v>0</v>
      </c>
      <c r="ES262" s="4">
        <f t="shared" ref="ES262:ES270" si="1039">SUM(CH262:CK262)</f>
        <v>0</v>
      </c>
      <c r="EU262" s="4">
        <f t="shared" ref="EU262:EU271" si="1040">SUM(CP262:CS262)</f>
        <v>0</v>
      </c>
      <c r="EV262" s="4">
        <f>SUM(CT262:CW262)</f>
        <v>0</v>
      </c>
      <c r="EX262" s="6"/>
      <c r="EY262" s="6"/>
      <c r="EZ262" s="1734"/>
      <c r="FI262" s="671"/>
      <c r="FJ262"/>
      <c r="FK262"/>
      <c r="FL262"/>
      <c r="FM262"/>
      <c r="FN262"/>
      <c r="FO262"/>
      <c r="FP262" s="3"/>
      <c r="FS262" s="7"/>
      <c r="FT262" s="7"/>
      <c r="FU262"/>
      <c r="FV262"/>
      <c r="FW262" s="7"/>
      <c r="FX262" s="7"/>
      <c r="FY262" s="7"/>
      <c r="FZ262"/>
      <c r="GA262"/>
      <c r="GB262"/>
      <c r="GC262"/>
      <c r="GD262"/>
      <c r="GE262"/>
      <c r="GF262"/>
      <c r="GG262"/>
      <c r="GH262"/>
      <c r="GI262"/>
      <c r="GJ262"/>
      <c r="GK262"/>
      <c r="GL262"/>
      <c r="GM262"/>
      <c r="GN262"/>
      <c r="GO262"/>
      <c r="GP262"/>
      <c r="GQ262"/>
      <c r="GR262"/>
      <c r="GS262"/>
      <c r="GT262"/>
      <c r="GU262"/>
      <c r="GV262"/>
      <c r="GW262"/>
      <c r="GX262"/>
      <c r="GY262"/>
      <c r="GZ262"/>
      <c r="HA262"/>
      <c r="HB262"/>
      <c r="HC262"/>
      <c r="HD262"/>
      <c r="HE262"/>
      <c r="HF262"/>
      <c r="HG262"/>
      <c r="HH262"/>
      <c r="HI262"/>
      <c r="HJ262"/>
      <c r="HK262"/>
      <c r="HL262"/>
      <c r="HM262"/>
      <c r="HN262"/>
      <c r="HO262"/>
      <c r="HP262"/>
      <c r="HQ262"/>
      <c r="HR262"/>
      <c r="HS262"/>
      <c r="HT262"/>
      <c r="HU262"/>
      <c r="HV262"/>
      <c r="HW262"/>
      <c r="HX262"/>
      <c r="HY262"/>
      <c r="HZ262"/>
      <c r="IA262"/>
      <c r="IB262"/>
      <c r="IC262"/>
      <c r="ID262"/>
      <c r="IE262"/>
      <c r="IF262"/>
      <c r="IG262"/>
      <c r="IH262"/>
      <c r="II262"/>
      <c r="IJ262"/>
      <c r="IK262"/>
      <c r="IL262"/>
      <c r="IM262"/>
      <c r="IN262"/>
      <c r="IO262"/>
      <c r="IP262"/>
      <c r="IQ262"/>
      <c r="IR262"/>
      <c r="IS262"/>
      <c r="IT262"/>
      <c r="IU262"/>
      <c r="IV262"/>
      <c r="IW262"/>
      <c r="IX262"/>
      <c r="IY262"/>
      <c r="IZ262"/>
    </row>
    <row r="263" spans="1:260" s="4" customFormat="1" ht="11.25" hidden="1" customHeight="1" outlineLevel="2" x14ac:dyDescent="0.2">
      <c r="A263" s="4" t="s">
        <v>84</v>
      </c>
      <c r="E263" s="470"/>
      <c r="I263" s="470"/>
      <c r="M263" s="470"/>
      <c r="Q263" s="470"/>
      <c r="U263" s="470"/>
      <c r="Y263" s="470"/>
      <c r="AC263" s="470"/>
      <c r="AG263" s="470"/>
      <c r="AK263" s="4">
        <v>0</v>
      </c>
      <c r="AL263" s="4">
        <v>2</v>
      </c>
      <c r="AM263" s="4">
        <v>3</v>
      </c>
      <c r="AN263" s="4">
        <v>4</v>
      </c>
      <c r="AO263" s="4">
        <v>0</v>
      </c>
      <c r="AP263" s="4">
        <v>0</v>
      </c>
      <c r="AQ263" s="4">
        <v>2</v>
      </c>
      <c r="AR263" s="4">
        <v>2</v>
      </c>
      <c r="AS263" s="4">
        <v>0</v>
      </c>
      <c r="AT263" s="4">
        <v>1</v>
      </c>
      <c r="AU263" s="4">
        <v>0</v>
      </c>
      <c r="AV263" s="4">
        <v>5</v>
      </c>
      <c r="AW263" s="4">
        <v>0</v>
      </c>
      <c r="AX263" s="4">
        <v>1</v>
      </c>
      <c r="AY263" s="4">
        <v>1</v>
      </c>
      <c r="AZ263" s="4">
        <v>3</v>
      </c>
      <c r="BA263" s="4">
        <v>-1</v>
      </c>
      <c r="BB263" s="4">
        <v>1</v>
      </c>
      <c r="BC263" s="4">
        <v>0</v>
      </c>
      <c r="BD263" s="4">
        <v>2</v>
      </c>
      <c r="BE263" s="4">
        <v>0</v>
      </c>
      <c r="BF263" s="4">
        <v>1</v>
      </c>
      <c r="BG263" s="4">
        <v>4</v>
      </c>
      <c r="BH263" s="4">
        <v>5</v>
      </c>
      <c r="BI263" s="4">
        <v>0</v>
      </c>
      <c r="BJ263" s="4">
        <v>2</v>
      </c>
      <c r="BK263" s="4">
        <v>0</v>
      </c>
      <c r="BL263" s="4">
        <v>5</v>
      </c>
      <c r="BM263" s="4">
        <v>1</v>
      </c>
      <c r="BN263" s="4">
        <v>1</v>
      </c>
      <c r="BO263" s="4">
        <v>2</v>
      </c>
      <c r="BP263" s="4">
        <v>1</v>
      </c>
      <c r="BQ263" s="4">
        <f t="shared" ref="BQ263:BY263" si="1041">BQ249-BP249</f>
        <v>1</v>
      </c>
      <c r="BR263" s="4">
        <f t="shared" si="1041"/>
        <v>0</v>
      </c>
      <c r="BS263" s="4">
        <f t="shared" si="1041"/>
        <v>1</v>
      </c>
      <c r="BT263" s="4">
        <f t="shared" si="1041"/>
        <v>1</v>
      </c>
      <c r="BU263" s="4">
        <f t="shared" si="1041"/>
        <v>0</v>
      </c>
      <c r="BV263" s="4">
        <f t="shared" si="1041"/>
        <v>0</v>
      </c>
      <c r="BW263" s="4">
        <f t="shared" si="1041"/>
        <v>2</v>
      </c>
      <c r="BX263" s="4">
        <f t="shared" si="1041"/>
        <v>2</v>
      </c>
      <c r="BY263" s="4">
        <f t="shared" si="1041"/>
        <v>-1</v>
      </c>
      <c r="CH263" s="4">
        <f t="shared" ref="CH263:CH270" si="1042">CH249-BY249</f>
        <v>0</v>
      </c>
      <c r="CI263" s="4">
        <f t="shared" ref="CI263:CK270" si="1043">CI249-CH249</f>
        <v>0</v>
      </c>
      <c r="CJ263" s="4">
        <f t="shared" si="1043"/>
        <v>0</v>
      </c>
      <c r="CK263" s="4">
        <f t="shared" si="1043"/>
        <v>-9</v>
      </c>
      <c r="CP263" s="4">
        <f t="shared" ref="CP263:CP272" si="1044">CP249-CK249</f>
        <v>0</v>
      </c>
      <c r="CQ263" s="4">
        <f t="shared" ref="CQ263:DI272" si="1045">CQ249-CP249</f>
        <v>0</v>
      </c>
      <c r="CR263" s="4">
        <f t="shared" si="1045"/>
        <v>0</v>
      </c>
      <c r="CS263" s="470">
        <f t="shared" si="1045"/>
        <v>-3</v>
      </c>
      <c r="CT263" s="4">
        <f t="shared" si="1045"/>
        <v>0</v>
      </c>
      <c r="CU263" s="4">
        <f t="shared" si="1045"/>
        <v>-2</v>
      </c>
      <c r="CV263" s="4">
        <f t="shared" si="1045"/>
        <v>0</v>
      </c>
      <c r="CW263" s="470">
        <f t="shared" si="1045"/>
        <v>-4</v>
      </c>
      <c r="CX263" s="4">
        <f t="shared" si="1045"/>
        <v>-131</v>
      </c>
      <c r="CY263" s="4">
        <f t="shared" si="1045"/>
        <v>0</v>
      </c>
      <c r="CZ263" s="4">
        <f t="shared" si="1045"/>
        <v>0</v>
      </c>
      <c r="DA263" s="470">
        <f t="shared" si="1045"/>
        <v>0</v>
      </c>
      <c r="DB263" s="4">
        <f t="shared" si="1045"/>
        <v>0</v>
      </c>
      <c r="DC263" s="6">
        <f t="shared" si="1045"/>
        <v>0</v>
      </c>
      <c r="DD263" s="6">
        <f t="shared" si="1045"/>
        <v>0</v>
      </c>
      <c r="DE263" s="484">
        <f t="shared" si="1045"/>
        <v>0</v>
      </c>
      <c r="DF263" s="7">
        <f t="shared" si="1045"/>
        <v>0</v>
      </c>
      <c r="DG263" s="7">
        <f t="shared" si="1045"/>
        <v>0</v>
      </c>
      <c r="DH263" s="7">
        <f t="shared" si="1045"/>
        <v>0</v>
      </c>
      <c r="DI263" s="484">
        <f t="shared" si="1045"/>
        <v>0</v>
      </c>
      <c r="DJ263" s="1671"/>
      <c r="DK263" s="3"/>
      <c r="DL263" s="3"/>
      <c r="DM263" s="470"/>
      <c r="DN263" s="413"/>
      <c r="DO263" s="470"/>
      <c r="EF263" s="4">
        <f>SUM(AH263:AK263)</f>
        <v>0</v>
      </c>
      <c r="EG263" s="4">
        <f>SUM(AL263:AO263)</f>
        <v>9</v>
      </c>
      <c r="EH263" s="4">
        <f>SUM(AP263:AS263)</f>
        <v>4</v>
      </c>
      <c r="EI263" s="4">
        <f>SUM(AT263:AW263)</f>
        <v>6</v>
      </c>
      <c r="EJ263" s="4">
        <f>SUM(AX263:BA263)</f>
        <v>4</v>
      </c>
      <c r="EK263" s="4">
        <f>SUM(BB263:BE263)</f>
        <v>3</v>
      </c>
      <c r="EL263" s="4">
        <f>SUM(BF263:BI263)</f>
        <v>10</v>
      </c>
      <c r="EM263" s="4">
        <f>SUM(BJ263:BM263)</f>
        <v>8</v>
      </c>
      <c r="EN263" s="4">
        <f t="shared" si="1036"/>
        <v>5</v>
      </c>
      <c r="EO263" s="4">
        <f t="shared" si="1037"/>
        <v>2</v>
      </c>
      <c r="EP263" s="4">
        <f t="shared" si="1038"/>
        <v>3</v>
      </c>
      <c r="ES263" s="4">
        <f t="shared" si="1039"/>
        <v>-9</v>
      </c>
      <c r="EU263" s="4">
        <f t="shared" si="1040"/>
        <v>-3</v>
      </c>
      <c r="EV263" s="4">
        <f t="shared" ref="EV263:EV272" si="1046">SUM(CT263:CW263)</f>
        <v>-6</v>
      </c>
      <c r="EX263" s="6"/>
      <c r="EY263" s="6"/>
      <c r="EZ263" s="1734"/>
      <c r="FI263" s="671"/>
      <c r="FJ263"/>
      <c r="FK263"/>
      <c r="FL263"/>
      <c r="FM263"/>
      <c r="FN263"/>
      <c r="FO263"/>
      <c r="FP263" s="3"/>
      <c r="FS263" s="7"/>
      <c r="FT263" s="7"/>
      <c r="FU263"/>
      <c r="FV263"/>
      <c r="FW263" s="7"/>
      <c r="FX263" s="7"/>
      <c r="FY263" s="7"/>
      <c r="FZ263"/>
      <c r="GA263"/>
      <c r="GB263"/>
      <c r="GC263"/>
      <c r="GD263"/>
      <c r="GE263"/>
      <c r="GF263"/>
      <c r="GG263"/>
      <c r="GH263"/>
      <c r="GI263"/>
      <c r="GJ263"/>
      <c r="GK263"/>
      <c r="GL263"/>
      <c r="GM263"/>
      <c r="GN263"/>
      <c r="GO263"/>
      <c r="GP263"/>
      <c r="GQ263"/>
      <c r="GR263"/>
      <c r="GS263"/>
      <c r="GT263"/>
      <c r="GU263"/>
      <c r="GV263"/>
      <c r="GW263"/>
      <c r="GX263"/>
      <c r="GY263"/>
      <c r="GZ263"/>
      <c r="HA263"/>
      <c r="HB263"/>
      <c r="HC263"/>
      <c r="HD263"/>
      <c r="HE263"/>
      <c r="HF263"/>
      <c r="HG263"/>
      <c r="HH263"/>
      <c r="HI263"/>
      <c r="HJ263"/>
      <c r="HK263"/>
      <c r="HL263"/>
      <c r="HM263"/>
      <c r="HN263"/>
      <c r="HO263"/>
      <c r="HP263"/>
      <c r="HQ263"/>
      <c r="HR263"/>
      <c r="HS263"/>
      <c r="HT263"/>
      <c r="HU263"/>
      <c r="HV263"/>
      <c r="HW263"/>
      <c r="HX263"/>
      <c r="HY263"/>
      <c r="HZ263"/>
      <c r="IA263"/>
      <c r="IB263"/>
      <c r="IC263"/>
      <c r="ID263"/>
      <c r="IE263"/>
      <c r="IF263"/>
      <c r="IG263"/>
      <c r="IH263"/>
      <c r="II263"/>
      <c r="IJ263"/>
      <c r="IK263"/>
      <c r="IL263"/>
      <c r="IM263"/>
      <c r="IN263"/>
      <c r="IO263"/>
      <c r="IP263"/>
      <c r="IQ263"/>
      <c r="IR263"/>
      <c r="IS263"/>
      <c r="IT263"/>
      <c r="IU263"/>
      <c r="IV263"/>
      <c r="IW263"/>
      <c r="IX263"/>
      <c r="IY263"/>
      <c r="IZ263"/>
    </row>
    <row r="264" spans="1:260" s="4" customFormat="1" ht="11.25" hidden="1" customHeight="1" outlineLevel="1" collapsed="1" x14ac:dyDescent="0.2">
      <c r="A264" s="4" t="s">
        <v>557</v>
      </c>
      <c r="E264" s="470"/>
      <c r="I264" s="470"/>
      <c r="M264" s="470"/>
      <c r="Q264" s="470"/>
      <c r="U264" s="470"/>
      <c r="Y264" s="470"/>
      <c r="AC264" s="470"/>
      <c r="AG264" s="470"/>
      <c r="AM264" s="4">
        <v>1</v>
      </c>
      <c r="AN264" s="4">
        <v>7</v>
      </c>
      <c r="AP264" s="4">
        <v>2</v>
      </c>
      <c r="AQ264" s="4">
        <v>4</v>
      </c>
      <c r="AR264" s="4">
        <v>5</v>
      </c>
      <c r="AS264" s="4">
        <v>0</v>
      </c>
      <c r="AT264" s="4">
        <v>0</v>
      </c>
      <c r="AU264" s="4">
        <v>3</v>
      </c>
      <c r="AV264" s="4">
        <v>6</v>
      </c>
      <c r="AW264" s="4">
        <v>2</v>
      </c>
      <c r="AX264" s="4">
        <v>2</v>
      </c>
      <c r="AY264" s="4">
        <v>2</v>
      </c>
      <c r="AZ264" s="4">
        <v>9</v>
      </c>
      <c r="BA264" s="4">
        <v>1</v>
      </c>
      <c r="BB264" s="4">
        <v>0</v>
      </c>
      <c r="BC264" s="4">
        <v>0</v>
      </c>
      <c r="BD264" s="4">
        <v>3</v>
      </c>
      <c r="BE264" s="4">
        <v>0</v>
      </c>
      <c r="BF264" s="4">
        <v>0</v>
      </c>
      <c r="BG264" s="4">
        <v>1</v>
      </c>
      <c r="BH264" s="4">
        <v>3</v>
      </c>
      <c r="BI264" s="4">
        <v>0</v>
      </c>
      <c r="BJ264" s="4">
        <v>0</v>
      </c>
      <c r="BK264" s="4">
        <v>1</v>
      </c>
      <c r="BL264" s="4">
        <v>5</v>
      </c>
      <c r="BM264" s="4">
        <v>1</v>
      </c>
      <c r="BN264" s="4">
        <v>0</v>
      </c>
      <c r="BO264" s="4">
        <v>2</v>
      </c>
      <c r="BP264" s="4">
        <v>4</v>
      </c>
      <c r="BQ264" s="4">
        <f t="shared" ref="BQ264:BY264" si="1047">BQ250-BP250</f>
        <v>0</v>
      </c>
      <c r="BR264" s="4">
        <f t="shared" si="1047"/>
        <v>2</v>
      </c>
      <c r="BS264" s="4">
        <f t="shared" si="1047"/>
        <v>4</v>
      </c>
      <c r="BT264" s="4">
        <f t="shared" si="1047"/>
        <v>1</v>
      </c>
      <c r="BU264" s="4">
        <f t="shared" si="1047"/>
        <v>0</v>
      </c>
      <c r="BV264" s="4">
        <f t="shared" si="1047"/>
        <v>0</v>
      </c>
      <c r="BW264" s="4">
        <f t="shared" si="1047"/>
        <v>5</v>
      </c>
      <c r="BX264" s="4">
        <f t="shared" si="1047"/>
        <v>1</v>
      </c>
      <c r="BY264" s="4">
        <f t="shared" si="1047"/>
        <v>0</v>
      </c>
      <c r="CH264" s="4">
        <f t="shared" si="1042"/>
        <v>0</v>
      </c>
      <c r="CI264" s="4">
        <f t="shared" si="1043"/>
        <v>0</v>
      </c>
      <c r="CJ264" s="4">
        <f t="shared" si="1043"/>
        <v>2</v>
      </c>
      <c r="CK264" s="4">
        <f t="shared" si="1043"/>
        <v>-7</v>
      </c>
      <c r="CP264" s="4">
        <f t="shared" si="1044"/>
        <v>0</v>
      </c>
      <c r="CQ264" s="4">
        <f t="shared" si="1045"/>
        <v>0</v>
      </c>
      <c r="CR264" s="4">
        <f t="shared" si="1045"/>
        <v>0</v>
      </c>
      <c r="CS264" s="470">
        <f t="shared" si="1045"/>
        <v>0</v>
      </c>
      <c r="CT264" s="4">
        <f t="shared" si="1045"/>
        <v>0</v>
      </c>
      <c r="CU264" s="4">
        <f t="shared" si="1045"/>
        <v>0</v>
      </c>
      <c r="CV264" s="4">
        <f t="shared" si="1045"/>
        <v>0</v>
      </c>
      <c r="CW264" s="470">
        <f t="shared" si="1045"/>
        <v>-1</v>
      </c>
      <c r="CX264" s="4">
        <f t="shared" si="1045"/>
        <v>65</v>
      </c>
      <c r="CY264" s="4">
        <f t="shared" si="1045"/>
        <v>0</v>
      </c>
      <c r="CZ264" s="4">
        <f t="shared" si="1045"/>
        <v>0</v>
      </c>
      <c r="DA264" s="470">
        <f t="shared" si="1045"/>
        <v>0</v>
      </c>
      <c r="DB264" s="4">
        <f t="shared" si="1045"/>
        <v>-1</v>
      </c>
      <c r="DC264" s="6">
        <f t="shared" si="1045"/>
        <v>0</v>
      </c>
      <c r="DD264" s="6">
        <f t="shared" si="1045"/>
        <v>0</v>
      </c>
      <c r="DE264" s="484">
        <f t="shared" si="1045"/>
        <v>-1</v>
      </c>
      <c r="DF264" s="7">
        <f t="shared" si="1045"/>
        <v>0</v>
      </c>
      <c r="DG264" s="7">
        <f t="shared" si="1045"/>
        <v>0</v>
      </c>
      <c r="DH264" s="7">
        <f t="shared" si="1045"/>
        <v>0</v>
      </c>
      <c r="DI264" s="484">
        <f t="shared" si="1045"/>
        <v>0</v>
      </c>
      <c r="DJ264" s="1671"/>
      <c r="DK264" s="3"/>
      <c r="DL264" s="3"/>
      <c r="DM264" s="470"/>
      <c r="DN264" s="413"/>
      <c r="DO264" s="470"/>
      <c r="EH264" s="4">
        <f>SUM(AP264:AS264)</f>
        <v>11</v>
      </c>
      <c r="EI264" s="4">
        <f>SUM(AT264:AW264)</f>
        <v>11</v>
      </c>
      <c r="EJ264" s="4">
        <f>SUM(AX264:BA264)</f>
        <v>14</v>
      </c>
      <c r="EK264" s="4">
        <f>SUM(BB264:BE264)</f>
        <v>3</v>
      </c>
      <c r="EL264" s="4">
        <f>SUM(BF264:BI264)</f>
        <v>4</v>
      </c>
      <c r="EM264" s="4">
        <f>SUM(BJ264:BM264)</f>
        <v>7</v>
      </c>
      <c r="EN264" s="4">
        <f t="shared" si="1036"/>
        <v>6</v>
      </c>
      <c r="EO264" s="4">
        <f t="shared" si="1037"/>
        <v>7</v>
      </c>
      <c r="EP264" s="4">
        <f t="shared" si="1038"/>
        <v>6</v>
      </c>
      <c r="ES264" s="4">
        <f t="shared" si="1039"/>
        <v>-5</v>
      </c>
      <c r="EU264" s="4">
        <f t="shared" si="1040"/>
        <v>0</v>
      </c>
      <c r="EV264" s="4">
        <f t="shared" si="1046"/>
        <v>-1</v>
      </c>
      <c r="EW264" s="4">
        <f t="shared" ref="EW264:EW273" si="1048">+DA264</f>
        <v>0</v>
      </c>
      <c r="EX264" s="4">
        <f t="shared" ref="EX264:EX273" si="1049">+DE264</f>
        <v>-1</v>
      </c>
      <c r="EY264" s="11">
        <f t="shared" ref="EY264:EY273" si="1050">+DI264</f>
        <v>0</v>
      </c>
      <c r="EZ264" s="1734"/>
      <c r="FI264" s="671"/>
      <c r="FJ264"/>
      <c r="FK264"/>
      <c r="FL264"/>
      <c r="FM264"/>
      <c r="FN264"/>
      <c r="FO264"/>
      <c r="FP264" s="3"/>
      <c r="FS264" s="7"/>
      <c r="FT264" s="7"/>
      <c r="FU264"/>
      <c r="FV264"/>
      <c r="FW264" s="7"/>
      <c r="FX264" s="7"/>
      <c r="FY264" s="7"/>
      <c r="FZ264"/>
      <c r="GA264"/>
      <c r="GB264"/>
      <c r="GC264"/>
      <c r="GD264"/>
      <c r="GE264"/>
      <c r="GF264"/>
      <c r="GG264"/>
      <c r="GH264"/>
      <c r="GI264"/>
      <c r="GJ264"/>
      <c r="GK264"/>
      <c r="GL264"/>
      <c r="GM264"/>
      <c r="GN264"/>
      <c r="GO264"/>
      <c r="GP264"/>
      <c r="GQ264"/>
      <c r="GR264"/>
      <c r="GS264"/>
      <c r="GT264"/>
      <c r="GU264"/>
      <c r="GV264"/>
      <c r="GW264"/>
      <c r="GX264"/>
      <c r="GY264"/>
      <c r="GZ264"/>
      <c r="HA264"/>
      <c r="HB264"/>
      <c r="HC264"/>
      <c r="HD264"/>
      <c r="HE264"/>
      <c r="HF264"/>
      <c r="HG264"/>
      <c r="HH264"/>
      <c r="HI264"/>
      <c r="HJ264"/>
      <c r="HK264"/>
      <c r="HL264"/>
      <c r="HM264"/>
      <c r="HN264"/>
      <c r="HO264"/>
      <c r="HP264"/>
      <c r="HQ264"/>
      <c r="HR264"/>
      <c r="HS264"/>
      <c r="HT264"/>
      <c r="HU264"/>
      <c r="HV264"/>
      <c r="HW264"/>
      <c r="HX264"/>
      <c r="HY264"/>
      <c r="HZ264"/>
      <c r="IA264"/>
      <c r="IB264"/>
      <c r="IC264"/>
      <c r="ID264"/>
      <c r="IE264"/>
      <c r="IF264"/>
      <c r="IG264"/>
      <c r="IH264"/>
      <c r="II264"/>
      <c r="IJ264"/>
      <c r="IK264"/>
      <c r="IL264"/>
      <c r="IM264"/>
      <c r="IN264"/>
      <c r="IO264"/>
      <c r="IP264"/>
      <c r="IQ264"/>
      <c r="IR264"/>
      <c r="IS264"/>
      <c r="IT264"/>
      <c r="IU264"/>
      <c r="IV264"/>
      <c r="IW264"/>
      <c r="IX264"/>
      <c r="IY264"/>
      <c r="IZ264"/>
    </row>
    <row r="265" spans="1:260" s="4" customFormat="1" ht="11.25" hidden="1" customHeight="1" outlineLevel="2" x14ac:dyDescent="0.2">
      <c r="A265" s="4" t="s">
        <v>80</v>
      </c>
      <c r="E265" s="470"/>
      <c r="I265" s="470"/>
      <c r="M265" s="470"/>
      <c r="Q265" s="470"/>
      <c r="U265" s="470"/>
      <c r="Y265" s="470"/>
      <c r="AC265" s="470"/>
      <c r="AG265" s="470"/>
      <c r="BL265" s="4">
        <v>2430</v>
      </c>
      <c r="BM265" s="4">
        <v>35</v>
      </c>
      <c r="BN265" s="4">
        <f>26-32</f>
        <v>-6</v>
      </c>
      <c r="BO265" s="4">
        <v>-9</v>
      </c>
      <c r="BP265" s="4">
        <v>-2</v>
      </c>
      <c r="BQ265" s="4">
        <f t="shared" ref="BQ265:BY265" si="1051">BQ251-BP251</f>
        <v>5</v>
      </c>
      <c r="BR265" s="4">
        <f t="shared" si="1051"/>
        <v>-23</v>
      </c>
      <c r="BS265" s="4">
        <f t="shared" si="1051"/>
        <v>6</v>
      </c>
      <c r="BT265" s="4">
        <f t="shared" si="1051"/>
        <v>-12</v>
      </c>
      <c r="BU265" s="4">
        <f t="shared" si="1051"/>
        <v>16</v>
      </c>
      <c r="BV265" s="4">
        <f t="shared" si="1051"/>
        <v>-11</v>
      </c>
      <c r="BW265" s="4">
        <f t="shared" si="1051"/>
        <v>9</v>
      </c>
      <c r="BX265" s="4">
        <f t="shared" si="1051"/>
        <v>15</v>
      </c>
      <c r="BY265" s="4">
        <f t="shared" si="1051"/>
        <v>-60</v>
      </c>
      <c r="CH265" s="4">
        <f t="shared" si="1042"/>
        <v>0</v>
      </c>
      <c r="CI265" s="4">
        <f t="shared" si="1043"/>
        <v>-21</v>
      </c>
      <c r="CJ265" s="4">
        <f t="shared" si="1043"/>
        <v>21</v>
      </c>
      <c r="CK265" s="4">
        <f t="shared" si="1043"/>
        <v>-4</v>
      </c>
      <c r="CP265" s="4">
        <f t="shared" si="1044"/>
        <v>-2389</v>
      </c>
      <c r="CQ265" s="4">
        <f t="shared" si="1045"/>
        <v>0</v>
      </c>
      <c r="CR265" s="4">
        <f t="shared" si="1045"/>
        <v>0</v>
      </c>
      <c r="CS265" s="470">
        <f t="shared" si="1045"/>
        <v>0</v>
      </c>
      <c r="CT265" s="4">
        <f t="shared" si="1045"/>
        <v>0</v>
      </c>
      <c r="CU265" s="4">
        <f t="shared" si="1045"/>
        <v>0</v>
      </c>
      <c r="CV265" s="4">
        <f t="shared" si="1045"/>
        <v>0</v>
      </c>
      <c r="CW265" s="470">
        <f t="shared" si="1045"/>
        <v>0</v>
      </c>
      <c r="CX265" s="4">
        <f t="shared" si="1045"/>
        <v>0</v>
      </c>
      <c r="CY265" s="4">
        <f t="shared" si="1045"/>
        <v>0</v>
      </c>
      <c r="CZ265" s="4">
        <f t="shared" si="1045"/>
        <v>0</v>
      </c>
      <c r="DA265" s="470">
        <f t="shared" si="1045"/>
        <v>0</v>
      </c>
      <c r="DB265" s="4">
        <f t="shared" si="1045"/>
        <v>0</v>
      </c>
      <c r="DC265" s="6">
        <f t="shared" si="1045"/>
        <v>0</v>
      </c>
      <c r="DD265" s="6">
        <f t="shared" si="1045"/>
        <v>0</v>
      </c>
      <c r="DE265" s="484">
        <f t="shared" si="1045"/>
        <v>0</v>
      </c>
      <c r="DF265" s="7">
        <f t="shared" si="1045"/>
        <v>0</v>
      </c>
      <c r="DG265" s="7">
        <f t="shared" si="1045"/>
        <v>0</v>
      </c>
      <c r="DH265" s="7">
        <f t="shared" si="1045"/>
        <v>0</v>
      </c>
      <c r="DI265" s="484">
        <f t="shared" si="1045"/>
        <v>0</v>
      </c>
      <c r="DJ265" s="1671"/>
      <c r="DK265" s="3"/>
      <c r="DL265" s="3"/>
      <c r="DM265" s="470"/>
      <c r="DN265" s="413"/>
      <c r="DO265" s="470"/>
      <c r="EM265" s="4">
        <f>SUM(BJ265:BM265)</f>
        <v>2465</v>
      </c>
      <c r="EN265" s="4">
        <f t="shared" si="1036"/>
        <v>-12</v>
      </c>
      <c r="EO265" s="4">
        <f t="shared" si="1037"/>
        <v>-13</v>
      </c>
      <c r="EP265" s="4">
        <f t="shared" si="1038"/>
        <v>-47</v>
      </c>
      <c r="ES265" s="4">
        <f t="shared" si="1039"/>
        <v>-4</v>
      </c>
      <c r="EU265" s="4">
        <f t="shared" si="1040"/>
        <v>-2389</v>
      </c>
      <c r="EV265" s="4">
        <f t="shared" si="1046"/>
        <v>0</v>
      </c>
      <c r="EW265" s="4">
        <f t="shared" si="1048"/>
        <v>0</v>
      </c>
      <c r="EX265" s="4">
        <f t="shared" si="1049"/>
        <v>0</v>
      </c>
      <c r="EY265" s="11">
        <f t="shared" si="1050"/>
        <v>0</v>
      </c>
      <c r="EZ265" s="1734"/>
      <c r="FI265" s="671"/>
      <c r="FJ265"/>
      <c r="FK265"/>
      <c r="FL265"/>
      <c r="FM265"/>
      <c r="FN265"/>
      <c r="FO265"/>
      <c r="FP265" s="3"/>
      <c r="FS265" s="7"/>
      <c r="FT265" s="7"/>
      <c r="FU265"/>
      <c r="FV265"/>
      <c r="FW265" s="7"/>
      <c r="FX265" s="7"/>
      <c r="FY265" s="7"/>
      <c r="FZ265"/>
      <c r="GA265"/>
      <c r="GB265"/>
      <c r="GC265"/>
      <c r="GD265"/>
      <c r="GE265"/>
      <c r="GF265"/>
      <c r="GG265"/>
      <c r="GH265"/>
      <c r="GI265"/>
      <c r="GJ265"/>
      <c r="GK265"/>
      <c r="GL265"/>
      <c r="GM265"/>
      <c r="GN265"/>
      <c r="GO265"/>
      <c r="GP265"/>
      <c r="GQ265"/>
      <c r="GR265"/>
      <c r="GS265"/>
      <c r="GT265"/>
      <c r="GU265"/>
      <c r="GV265"/>
      <c r="GW265"/>
      <c r="GX265"/>
      <c r="GY265"/>
      <c r="GZ265"/>
      <c r="HA265"/>
      <c r="HB265"/>
      <c r="HC265"/>
      <c r="HD265"/>
      <c r="HE265"/>
      <c r="HF265"/>
      <c r="HG265"/>
      <c r="HH265"/>
      <c r="HI265"/>
      <c r="HJ265"/>
      <c r="HK265"/>
      <c r="HL265"/>
      <c r="HM265"/>
      <c r="HN265"/>
      <c r="HO265"/>
      <c r="HP265"/>
      <c r="HQ265"/>
      <c r="HR265"/>
      <c r="HS265"/>
      <c r="HT265"/>
      <c r="HU265"/>
      <c r="HV265"/>
      <c r="HW265"/>
      <c r="HX265"/>
      <c r="HY265"/>
      <c r="HZ265"/>
      <c r="IA265"/>
      <c r="IB265"/>
      <c r="IC265"/>
      <c r="ID265"/>
      <c r="IE265"/>
      <c r="IF265"/>
      <c r="IG265"/>
      <c r="IH265"/>
      <c r="II265"/>
      <c r="IJ265"/>
      <c r="IK265"/>
      <c r="IL265"/>
      <c r="IM265"/>
      <c r="IN265"/>
      <c r="IO265"/>
      <c r="IP265"/>
      <c r="IQ265"/>
      <c r="IR265"/>
      <c r="IS265"/>
      <c r="IT265"/>
      <c r="IU265"/>
      <c r="IV265"/>
      <c r="IW265"/>
      <c r="IX265"/>
      <c r="IY265"/>
      <c r="IZ265"/>
    </row>
    <row r="266" spans="1:260" s="4" customFormat="1" ht="11.25" hidden="1" customHeight="1" outlineLevel="2" x14ac:dyDescent="0.2">
      <c r="A266" s="4" t="s">
        <v>484</v>
      </c>
      <c r="E266" s="470"/>
      <c r="I266" s="470"/>
      <c r="M266" s="470"/>
      <c r="Q266" s="470"/>
      <c r="U266" s="470"/>
      <c r="Y266" s="470"/>
      <c r="AC266" s="470"/>
      <c r="AG266" s="470"/>
      <c r="BN266" s="4">
        <v>0</v>
      </c>
      <c r="BO266" s="4">
        <v>0</v>
      </c>
      <c r="BP266" s="4">
        <v>0</v>
      </c>
      <c r="BQ266" s="4">
        <f t="shared" ref="BQ266:BY266" si="1052">BQ252-BP252</f>
        <v>0</v>
      </c>
      <c r="BR266" s="4">
        <f t="shared" si="1052"/>
        <v>0</v>
      </c>
      <c r="BS266" s="4">
        <f t="shared" si="1052"/>
        <v>3</v>
      </c>
      <c r="BT266" s="4">
        <f t="shared" si="1052"/>
        <v>1</v>
      </c>
      <c r="BU266" s="4">
        <f t="shared" si="1052"/>
        <v>2</v>
      </c>
      <c r="BV266" s="4">
        <f t="shared" si="1052"/>
        <v>0</v>
      </c>
      <c r="BW266" s="4">
        <f t="shared" si="1052"/>
        <v>4</v>
      </c>
      <c r="BX266" s="4">
        <f t="shared" si="1052"/>
        <v>1</v>
      </c>
      <c r="BY266" s="4">
        <f t="shared" si="1052"/>
        <v>-11</v>
      </c>
      <c r="CH266" s="4">
        <f t="shared" si="1042"/>
        <v>0</v>
      </c>
      <c r="CI266" s="4">
        <f t="shared" si="1043"/>
        <v>0</v>
      </c>
      <c r="CJ266" s="4">
        <f t="shared" si="1043"/>
        <v>0</v>
      </c>
      <c r="CK266" s="4">
        <f t="shared" si="1043"/>
        <v>0</v>
      </c>
      <c r="CP266" s="4">
        <f t="shared" si="1044"/>
        <v>0</v>
      </c>
      <c r="CQ266" s="4">
        <f t="shared" si="1045"/>
        <v>0</v>
      </c>
      <c r="CR266" s="4">
        <f t="shared" si="1045"/>
        <v>0</v>
      </c>
      <c r="CS266" s="470">
        <f t="shared" si="1045"/>
        <v>0</v>
      </c>
      <c r="CT266" s="4">
        <f t="shared" si="1045"/>
        <v>0</v>
      </c>
      <c r="CU266" s="4">
        <f t="shared" si="1045"/>
        <v>0</v>
      </c>
      <c r="CV266" s="4">
        <f t="shared" si="1045"/>
        <v>0</v>
      </c>
      <c r="CW266" s="470">
        <f t="shared" si="1045"/>
        <v>0</v>
      </c>
      <c r="CX266" s="4">
        <f t="shared" si="1045"/>
        <v>0</v>
      </c>
      <c r="CY266" s="4">
        <f t="shared" si="1045"/>
        <v>0</v>
      </c>
      <c r="CZ266" s="4">
        <f t="shared" si="1045"/>
        <v>0</v>
      </c>
      <c r="DA266" s="470">
        <f t="shared" si="1045"/>
        <v>0</v>
      </c>
      <c r="DB266" s="4">
        <f t="shared" si="1045"/>
        <v>0</v>
      </c>
      <c r="DC266" s="6">
        <f t="shared" si="1045"/>
        <v>0</v>
      </c>
      <c r="DD266" s="6">
        <f t="shared" si="1045"/>
        <v>0</v>
      </c>
      <c r="DE266" s="484">
        <f t="shared" si="1045"/>
        <v>0</v>
      </c>
      <c r="DF266" s="7">
        <f t="shared" si="1045"/>
        <v>0</v>
      </c>
      <c r="DG266" s="7">
        <f t="shared" si="1045"/>
        <v>0</v>
      </c>
      <c r="DH266" s="7">
        <f t="shared" si="1045"/>
        <v>0</v>
      </c>
      <c r="DI266" s="484">
        <f t="shared" si="1045"/>
        <v>0</v>
      </c>
      <c r="DJ266" s="1671"/>
      <c r="DK266" s="3"/>
      <c r="DL266" s="3"/>
      <c r="DM266" s="470"/>
      <c r="DN266" s="413"/>
      <c r="DO266" s="470"/>
      <c r="EN266" s="4">
        <f t="shared" si="1036"/>
        <v>0</v>
      </c>
      <c r="EO266" s="4">
        <f t="shared" si="1037"/>
        <v>6</v>
      </c>
      <c r="EP266" s="4">
        <f t="shared" si="1038"/>
        <v>-6</v>
      </c>
      <c r="ES266" s="4">
        <f t="shared" si="1039"/>
        <v>0</v>
      </c>
      <c r="EU266" s="4">
        <f t="shared" si="1040"/>
        <v>0</v>
      </c>
      <c r="EV266" s="4">
        <f t="shared" si="1046"/>
        <v>0</v>
      </c>
      <c r="EW266" s="4">
        <f t="shared" si="1048"/>
        <v>0</v>
      </c>
      <c r="EX266" s="4">
        <f t="shared" si="1049"/>
        <v>0</v>
      </c>
      <c r="EY266" s="11">
        <f t="shared" si="1050"/>
        <v>0</v>
      </c>
      <c r="EZ266" s="1734"/>
      <c r="FI266" s="671"/>
      <c r="FJ266"/>
      <c r="FK266"/>
      <c r="FL266"/>
      <c r="FM266"/>
      <c r="FN266"/>
      <c r="FO266"/>
      <c r="FP266" s="3"/>
      <c r="FS266" s="7"/>
      <c r="FT266" s="7"/>
      <c r="FU266"/>
      <c r="FV266"/>
      <c r="FW266" s="7"/>
      <c r="FX266" s="7"/>
      <c r="FY266" s="7"/>
      <c r="FZ266"/>
      <c r="GA266"/>
      <c r="GB266"/>
      <c r="GC266"/>
      <c r="GD266"/>
      <c r="GE266"/>
      <c r="GF266"/>
      <c r="GG266"/>
      <c r="GH266"/>
      <c r="GI266"/>
      <c r="GJ266"/>
      <c r="GK266"/>
      <c r="GL266"/>
      <c r="GM266"/>
      <c r="GN266"/>
      <c r="GO266"/>
      <c r="GP266"/>
      <c r="GQ266"/>
      <c r="GR266"/>
      <c r="GS266"/>
      <c r="GT266"/>
      <c r="GU266"/>
      <c r="GV266"/>
      <c r="GW266"/>
      <c r="GX266"/>
      <c r="GY266"/>
      <c r="GZ266"/>
      <c r="HA266"/>
      <c r="HB266"/>
      <c r="HC266"/>
      <c r="HD266"/>
      <c r="HE266"/>
      <c r="HF266"/>
      <c r="HG266"/>
      <c r="HH266"/>
      <c r="HI266"/>
      <c r="HJ266"/>
      <c r="HK266"/>
      <c r="HL266"/>
      <c r="HM266"/>
      <c r="HN266"/>
      <c r="HO266"/>
      <c r="HP266"/>
      <c r="HQ266"/>
      <c r="HR266"/>
      <c r="HS266"/>
      <c r="HT266"/>
      <c r="HU266"/>
      <c r="HV266"/>
      <c r="HW266"/>
      <c r="HX266"/>
      <c r="HY266"/>
      <c r="HZ266"/>
      <c r="IA266"/>
      <c r="IB266"/>
      <c r="IC266"/>
      <c r="ID266"/>
      <c r="IE266"/>
      <c r="IF266"/>
      <c r="IG266"/>
      <c r="IH266"/>
      <c r="II266"/>
      <c r="IJ266"/>
      <c r="IK266"/>
      <c r="IL266"/>
      <c r="IM266"/>
      <c r="IN266"/>
      <c r="IO266"/>
      <c r="IP266"/>
      <c r="IQ266"/>
      <c r="IR266"/>
      <c r="IS266"/>
      <c r="IT266"/>
      <c r="IU266"/>
      <c r="IV266"/>
      <c r="IW266"/>
      <c r="IX266"/>
      <c r="IY266"/>
      <c r="IZ266"/>
    </row>
    <row r="267" spans="1:260" s="4" customFormat="1" ht="11.25" hidden="1" customHeight="1" outlineLevel="2" x14ac:dyDescent="0.2">
      <c r="A267" s="4" t="s">
        <v>558</v>
      </c>
      <c r="E267" s="470"/>
      <c r="I267" s="470"/>
      <c r="M267" s="470"/>
      <c r="Q267" s="470"/>
      <c r="U267" s="470"/>
      <c r="Y267" s="470"/>
      <c r="AC267" s="470"/>
      <c r="AG267" s="470"/>
      <c r="BC267" s="4">
        <v>0</v>
      </c>
      <c r="BD267" s="4">
        <v>2</v>
      </c>
      <c r="BE267" s="4">
        <v>2</v>
      </c>
      <c r="BF267" s="4">
        <v>2</v>
      </c>
      <c r="BG267" s="4">
        <v>5</v>
      </c>
      <c r="BH267" s="4">
        <v>7</v>
      </c>
      <c r="BI267" s="4">
        <v>11</v>
      </c>
      <c r="BJ267" s="4">
        <v>1</v>
      </c>
      <c r="BK267" s="4">
        <v>0</v>
      </c>
      <c r="BL267" s="4">
        <v>0</v>
      </c>
      <c r="BM267" s="4">
        <v>3</v>
      </c>
      <c r="BN267" s="4">
        <f>4-4</f>
        <v>0</v>
      </c>
      <c r="BO267" s="4">
        <v>1</v>
      </c>
      <c r="BP267" s="4">
        <v>-1</v>
      </c>
      <c r="BQ267" s="4">
        <f t="shared" ref="BQ267:BY267" si="1053">BQ253-BP253</f>
        <v>-6</v>
      </c>
      <c r="BR267" s="4">
        <f t="shared" si="1053"/>
        <v>0</v>
      </c>
      <c r="BS267" s="4">
        <f t="shared" si="1053"/>
        <v>1</v>
      </c>
      <c r="BT267" s="4">
        <f t="shared" si="1053"/>
        <v>0</v>
      </c>
      <c r="BU267" s="4">
        <f t="shared" si="1053"/>
        <v>7</v>
      </c>
      <c r="BV267" s="4">
        <f t="shared" si="1053"/>
        <v>5</v>
      </c>
      <c r="BW267" s="4">
        <f t="shared" si="1053"/>
        <v>7</v>
      </c>
      <c r="BX267" s="4">
        <f t="shared" si="1053"/>
        <v>7</v>
      </c>
      <c r="BY267" s="4">
        <f t="shared" si="1053"/>
        <v>19</v>
      </c>
      <c r="CH267" s="4">
        <f t="shared" si="1042"/>
        <v>0</v>
      </c>
      <c r="CI267" s="4">
        <f t="shared" si="1043"/>
        <v>5</v>
      </c>
      <c r="CJ267" s="4">
        <f t="shared" si="1043"/>
        <v>4</v>
      </c>
      <c r="CK267" s="4">
        <f t="shared" si="1043"/>
        <v>-2</v>
      </c>
      <c r="CP267" s="4">
        <f t="shared" si="1044"/>
        <v>-211</v>
      </c>
      <c r="CQ267" s="4">
        <f t="shared" si="1045"/>
        <v>0</v>
      </c>
      <c r="CR267" s="4">
        <f t="shared" si="1045"/>
        <v>0</v>
      </c>
      <c r="CS267" s="470">
        <f t="shared" si="1045"/>
        <v>0</v>
      </c>
      <c r="CT267" s="4">
        <f t="shared" si="1045"/>
        <v>0</v>
      </c>
      <c r="CU267" s="4">
        <f t="shared" si="1045"/>
        <v>0</v>
      </c>
      <c r="CV267" s="4">
        <f t="shared" si="1045"/>
        <v>0</v>
      </c>
      <c r="CW267" s="470">
        <f t="shared" si="1045"/>
        <v>0</v>
      </c>
      <c r="CX267" s="4">
        <f t="shared" si="1045"/>
        <v>0</v>
      </c>
      <c r="CY267" s="4">
        <f t="shared" si="1045"/>
        <v>0</v>
      </c>
      <c r="CZ267" s="4">
        <f t="shared" si="1045"/>
        <v>0</v>
      </c>
      <c r="DA267" s="470">
        <f t="shared" si="1045"/>
        <v>0</v>
      </c>
      <c r="DB267" s="4">
        <f t="shared" si="1045"/>
        <v>0</v>
      </c>
      <c r="DC267" s="6">
        <f t="shared" si="1045"/>
        <v>0</v>
      </c>
      <c r="DD267" s="6">
        <f t="shared" si="1045"/>
        <v>0</v>
      </c>
      <c r="DE267" s="484">
        <f t="shared" si="1045"/>
        <v>0</v>
      </c>
      <c r="DF267" s="7">
        <f t="shared" si="1045"/>
        <v>0</v>
      </c>
      <c r="DG267" s="7">
        <f t="shared" si="1045"/>
        <v>0</v>
      </c>
      <c r="DH267" s="7">
        <f t="shared" si="1045"/>
        <v>0</v>
      </c>
      <c r="DI267" s="484">
        <f t="shared" si="1045"/>
        <v>0</v>
      </c>
      <c r="DJ267" s="1671"/>
      <c r="DK267" s="3"/>
      <c r="DL267" s="3"/>
      <c r="DM267" s="470"/>
      <c r="DN267" s="413"/>
      <c r="DO267" s="470"/>
      <c r="EK267" s="4">
        <f>SUM(BB267:BE267)</f>
        <v>4</v>
      </c>
      <c r="EL267" s="4">
        <f>SUM(BF267:BI267)</f>
        <v>25</v>
      </c>
      <c r="EM267" s="4">
        <f>SUM(BJ267:BM267)</f>
        <v>4</v>
      </c>
      <c r="EN267" s="4">
        <f t="shared" si="1036"/>
        <v>-6</v>
      </c>
      <c r="EO267" s="4">
        <f t="shared" si="1037"/>
        <v>8</v>
      </c>
      <c r="EP267" s="4">
        <f t="shared" si="1038"/>
        <v>38</v>
      </c>
      <c r="ES267" s="4">
        <f t="shared" si="1039"/>
        <v>7</v>
      </c>
      <c r="EU267" s="4">
        <f t="shared" si="1040"/>
        <v>-211</v>
      </c>
      <c r="EV267" s="4">
        <f t="shared" si="1046"/>
        <v>0</v>
      </c>
      <c r="EW267" s="4">
        <f t="shared" si="1048"/>
        <v>0</v>
      </c>
      <c r="EX267" s="4">
        <f t="shared" si="1049"/>
        <v>0</v>
      </c>
      <c r="EY267" s="11">
        <f t="shared" si="1050"/>
        <v>0</v>
      </c>
      <c r="EZ267" s="1734"/>
      <c r="FI267" s="671"/>
      <c r="FJ267"/>
      <c r="FK267"/>
      <c r="FL267"/>
      <c r="FM267"/>
      <c r="FN267"/>
      <c r="FO267"/>
      <c r="FP267" s="3"/>
      <c r="FS267" s="7"/>
      <c r="FT267" s="7"/>
      <c r="FU267"/>
      <c r="FV267"/>
      <c r="FW267" s="7"/>
      <c r="FX267" s="7"/>
      <c r="FY267" s="7"/>
      <c r="FZ267"/>
      <c r="GA267"/>
      <c r="GB267"/>
      <c r="GC267"/>
      <c r="GD267"/>
      <c r="GE267"/>
      <c r="GF267"/>
      <c r="GG267"/>
      <c r="GH267"/>
      <c r="GI267"/>
      <c r="GJ267"/>
      <c r="GK267"/>
      <c r="GL267"/>
      <c r="GM267"/>
      <c r="GN267"/>
      <c r="GO267"/>
      <c r="GP267"/>
      <c r="GQ267"/>
      <c r="GR267"/>
      <c r="GS267"/>
      <c r="GT267"/>
      <c r="GU267"/>
      <c r="GV267"/>
      <c r="GW267"/>
      <c r="GX267"/>
      <c r="GY267"/>
      <c r="GZ267"/>
      <c r="HA267"/>
      <c r="HB267"/>
      <c r="HC267"/>
      <c r="HD267"/>
      <c r="HE267"/>
      <c r="HF267"/>
      <c r="HG267"/>
      <c r="HH267"/>
      <c r="HI267"/>
      <c r="HJ267"/>
      <c r="HK267"/>
      <c r="HL267"/>
      <c r="HM267"/>
      <c r="HN267"/>
      <c r="HO267"/>
      <c r="HP267"/>
      <c r="HQ267"/>
      <c r="HR267"/>
      <c r="HS267"/>
      <c r="HT267"/>
      <c r="HU267"/>
      <c r="HV267"/>
      <c r="HW267"/>
      <c r="HX267"/>
      <c r="HY267"/>
      <c r="HZ267"/>
      <c r="IA267"/>
      <c r="IB267"/>
      <c r="IC267"/>
      <c r="ID267"/>
      <c r="IE267"/>
      <c r="IF267"/>
      <c r="IG267"/>
      <c r="IH267"/>
      <c r="II267"/>
      <c r="IJ267"/>
      <c r="IK267"/>
      <c r="IL267"/>
      <c r="IM267"/>
      <c r="IN267"/>
      <c r="IO267"/>
      <c r="IP267"/>
      <c r="IQ267"/>
      <c r="IR267"/>
      <c r="IS267"/>
      <c r="IT267"/>
      <c r="IU267"/>
      <c r="IV267"/>
      <c r="IW267"/>
      <c r="IX267"/>
      <c r="IY267"/>
      <c r="IZ267"/>
    </row>
    <row r="268" spans="1:260" s="4" customFormat="1" ht="11.25" hidden="1" customHeight="1" outlineLevel="2" x14ac:dyDescent="0.2">
      <c r="A268" s="4" t="s">
        <v>559</v>
      </c>
      <c r="E268" s="470"/>
      <c r="I268" s="470"/>
      <c r="M268" s="470"/>
      <c r="Q268" s="470"/>
      <c r="U268" s="470"/>
      <c r="Y268" s="470"/>
      <c r="AC268" s="470"/>
      <c r="AG268" s="470"/>
      <c r="BE268" s="4">
        <v>1</v>
      </c>
      <c r="BI268" s="4">
        <v>0</v>
      </c>
      <c r="BJ268" s="4">
        <v>0</v>
      </c>
      <c r="BK268" s="4">
        <v>0</v>
      </c>
      <c r="BL268" s="4">
        <v>1</v>
      </c>
      <c r="BM268" s="4">
        <v>3</v>
      </c>
      <c r="BN268" s="4">
        <v>0</v>
      </c>
      <c r="BO268" s="4">
        <v>1</v>
      </c>
      <c r="BP268" s="4">
        <v>0</v>
      </c>
      <c r="BQ268" s="4">
        <f t="shared" ref="BQ268:BY268" si="1054">BQ254-BP254</f>
        <v>0</v>
      </c>
      <c r="BR268" s="4">
        <f t="shared" si="1054"/>
        <v>1</v>
      </c>
      <c r="BS268" s="4">
        <f t="shared" si="1054"/>
        <v>1</v>
      </c>
      <c r="BT268" s="4">
        <f t="shared" si="1054"/>
        <v>0</v>
      </c>
      <c r="BU268" s="4">
        <f t="shared" si="1054"/>
        <v>0</v>
      </c>
      <c r="BV268" s="4">
        <f t="shared" si="1054"/>
        <v>-8</v>
      </c>
      <c r="BW268" s="4">
        <f t="shared" si="1054"/>
        <v>0</v>
      </c>
      <c r="BX268" s="4">
        <f t="shared" si="1054"/>
        <v>0</v>
      </c>
      <c r="BY268" s="4">
        <f t="shared" si="1054"/>
        <v>0</v>
      </c>
      <c r="CH268" s="4">
        <f t="shared" si="1042"/>
        <v>0</v>
      </c>
      <c r="CI268" s="4">
        <f t="shared" si="1043"/>
        <v>0</v>
      </c>
      <c r="CJ268" s="4">
        <f t="shared" si="1043"/>
        <v>0</v>
      </c>
      <c r="CK268" s="4">
        <f t="shared" si="1043"/>
        <v>0</v>
      </c>
      <c r="CP268" s="4">
        <f t="shared" si="1044"/>
        <v>0</v>
      </c>
      <c r="CQ268" s="4">
        <f t="shared" si="1045"/>
        <v>0</v>
      </c>
      <c r="CR268" s="4">
        <f t="shared" si="1045"/>
        <v>0</v>
      </c>
      <c r="CS268" s="470">
        <f t="shared" si="1045"/>
        <v>0</v>
      </c>
      <c r="CT268" s="4">
        <f t="shared" si="1045"/>
        <v>0</v>
      </c>
      <c r="CU268" s="4">
        <f t="shared" si="1045"/>
        <v>0</v>
      </c>
      <c r="CV268" s="4">
        <f t="shared" si="1045"/>
        <v>0</v>
      </c>
      <c r="CW268" s="470">
        <f t="shared" si="1045"/>
        <v>0</v>
      </c>
      <c r="CX268" s="4">
        <f t="shared" si="1045"/>
        <v>0</v>
      </c>
      <c r="CY268" s="4">
        <f t="shared" si="1045"/>
        <v>0</v>
      </c>
      <c r="CZ268" s="4">
        <f t="shared" si="1045"/>
        <v>0</v>
      </c>
      <c r="DA268" s="470">
        <f t="shared" si="1045"/>
        <v>0</v>
      </c>
      <c r="DB268" s="4">
        <f t="shared" si="1045"/>
        <v>0</v>
      </c>
      <c r="DC268" s="6">
        <f t="shared" si="1045"/>
        <v>0</v>
      </c>
      <c r="DD268" s="6">
        <f t="shared" si="1045"/>
        <v>0</v>
      </c>
      <c r="DE268" s="484">
        <f t="shared" si="1045"/>
        <v>0</v>
      </c>
      <c r="DF268" s="7">
        <f t="shared" si="1045"/>
        <v>0</v>
      </c>
      <c r="DG268" s="7">
        <f t="shared" si="1045"/>
        <v>0</v>
      </c>
      <c r="DH268" s="7">
        <f t="shared" si="1045"/>
        <v>0</v>
      </c>
      <c r="DI268" s="484">
        <f t="shared" si="1045"/>
        <v>0</v>
      </c>
      <c r="DJ268" s="1671"/>
      <c r="DK268" s="3"/>
      <c r="DL268" s="3"/>
      <c r="DM268" s="470"/>
      <c r="DN268" s="413"/>
      <c r="DO268" s="470"/>
      <c r="EL268" s="4">
        <f>SUM(BF268:BI268)</f>
        <v>0</v>
      </c>
      <c r="EM268" s="4">
        <f>SUM(BJ268:BM268)</f>
        <v>4</v>
      </c>
      <c r="EN268" s="4">
        <f t="shared" si="1036"/>
        <v>1</v>
      </c>
      <c r="EO268" s="4">
        <f t="shared" si="1037"/>
        <v>2</v>
      </c>
      <c r="EP268" s="4">
        <f t="shared" si="1038"/>
        <v>-8</v>
      </c>
      <c r="ES268" s="4">
        <f t="shared" si="1039"/>
        <v>0</v>
      </c>
      <c r="EU268" s="4">
        <f t="shared" si="1040"/>
        <v>0</v>
      </c>
      <c r="EV268" s="4">
        <f t="shared" si="1046"/>
        <v>0</v>
      </c>
      <c r="EW268" s="4">
        <f t="shared" si="1048"/>
        <v>0</v>
      </c>
      <c r="EX268" s="4">
        <f t="shared" si="1049"/>
        <v>0</v>
      </c>
      <c r="EY268" s="11">
        <f t="shared" si="1050"/>
        <v>0</v>
      </c>
      <c r="EZ268" s="1734"/>
      <c r="FI268" s="671"/>
      <c r="FJ268"/>
      <c r="FK268"/>
      <c r="FL268"/>
      <c r="FM268"/>
      <c r="FN268"/>
      <c r="FO268"/>
      <c r="FP268" s="3"/>
      <c r="FS268" s="7"/>
      <c r="FT268" s="7"/>
      <c r="FU268"/>
      <c r="FV268"/>
      <c r="FW268" s="7"/>
      <c r="FX268" s="7"/>
      <c r="FY268" s="7"/>
      <c r="FZ268"/>
      <c r="GA268"/>
      <c r="GB268"/>
      <c r="GC268"/>
      <c r="GD268"/>
      <c r="GE268"/>
      <c r="GF268"/>
      <c r="GG268"/>
      <c r="GH268"/>
      <c r="GI268"/>
      <c r="GJ268"/>
      <c r="GK268"/>
      <c r="GL268"/>
      <c r="GM268"/>
      <c r="GN268"/>
      <c r="GO268"/>
      <c r="GP268"/>
      <c r="GQ268"/>
      <c r="GR268"/>
      <c r="GS268"/>
      <c r="GT268"/>
      <c r="GU268"/>
      <c r="GV268"/>
      <c r="GW268"/>
      <c r="GX268"/>
      <c r="GY268"/>
      <c r="GZ268"/>
      <c r="HA268"/>
      <c r="HB268"/>
      <c r="HC268"/>
      <c r="HD268"/>
      <c r="HE268"/>
      <c r="HF268"/>
      <c r="HG268"/>
      <c r="HH268"/>
      <c r="HI268"/>
      <c r="HJ268"/>
      <c r="HK268"/>
      <c r="HL268"/>
      <c r="HM268"/>
      <c r="HN268"/>
      <c r="HO268"/>
      <c r="HP268"/>
      <c r="HQ268"/>
      <c r="HR268"/>
      <c r="HS268"/>
      <c r="HT268"/>
      <c r="HU268"/>
      <c r="HV268"/>
      <c r="HW268"/>
      <c r="HX268"/>
      <c r="HY268"/>
      <c r="HZ268"/>
      <c r="IA268"/>
      <c r="IB268"/>
      <c r="IC268"/>
      <c r="ID268"/>
      <c r="IE268"/>
      <c r="IF268"/>
      <c r="IG268"/>
      <c r="IH268"/>
      <c r="II268"/>
      <c r="IJ268"/>
      <c r="IK268"/>
      <c r="IL268"/>
      <c r="IM268"/>
      <c r="IN268"/>
      <c r="IO268"/>
      <c r="IP268"/>
      <c r="IQ268"/>
      <c r="IR268"/>
      <c r="IS268"/>
      <c r="IT268"/>
      <c r="IU268"/>
      <c r="IV268"/>
      <c r="IW268"/>
      <c r="IX268"/>
      <c r="IY268"/>
      <c r="IZ268"/>
    </row>
    <row r="269" spans="1:260" s="4" customFormat="1" ht="11.25" hidden="1" customHeight="1" outlineLevel="1" collapsed="1" x14ac:dyDescent="0.2">
      <c r="A269" s="4" t="s">
        <v>81</v>
      </c>
      <c r="E269" s="470"/>
      <c r="I269" s="470"/>
      <c r="M269" s="470"/>
      <c r="Q269" s="470"/>
      <c r="U269" s="470"/>
      <c r="Y269" s="470"/>
      <c r="AC269" s="470"/>
      <c r="AG269" s="470"/>
      <c r="BL269" s="4">
        <v>3</v>
      </c>
      <c r="BM269" s="4">
        <v>0</v>
      </c>
      <c r="BN269" s="4">
        <v>0</v>
      </c>
      <c r="BO269" s="4">
        <v>0</v>
      </c>
      <c r="BP269" s="4">
        <v>1</v>
      </c>
      <c r="BQ269" s="4">
        <f t="shared" ref="BQ269:BY269" si="1055">BQ255-BP255</f>
        <v>0</v>
      </c>
      <c r="BR269" s="4">
        <f t="shared" si="1055"/>
        <v>0</v>
      </c>
      <c r="BS269" s="4">
        <f t="shared" si="1055"/>
        <v>2</v>
      </c>
      <c r="BT269" s="4">
        <f t="shared" si="1055"/>
        <v>4</v>
      </c>
      <c r="BU269" s="4">
        <f t="shared" si="1055"/>
        <v>0</v>
      </c>
      <c r="BV269" s="4">
        <f t="shared" si="1055"/>
        <v>5</v>
      </c>
      <c r="BW269" s="4">
        <f t="shared" si="1055"/>
        <v>7</v>
      </c>
      <c r="BX269" s="4">
        <f t="shared" si="1055"/>
        <v>7</v>
      </c>
      <c r="BY269" s="4">
        <f t="shared" si="1055"/>
        <v>1</v>
      </c>
      <c r="CH269" s="4">
        <f t="shared" si="1042"/>
        <v>6</v>
      </c>
      <c r="CI269" s="4">
        <f t="shared" si="1043"/>
        <v>5</v>
      </c>
      <c r="CJ269" s="4">
        <f t="shared" si="1043"/>
        <v>6</v>
      </c>
      <c r="CK269" s="4">
        <f t="shared" si="1043"/>
        <v>2</v>
      </c>
      <c r="CP269" s="4">
        <f t="shared" si="1044"/>
        <v>5</v>
      </c>
      <c r="CQ269" s="4">
        <f t="shared" si="1045"/>
        <v>0</v>
      </c>
      <c r="CR269" s="4">
        <f t="shared" si="1045"/>
        <v>1</v>
      </c>
      <c r="CS269" s="470">
        <f t="shared" si="1045"/>
        <v>1</v>
      </c>
      <c r="CT269" s="4">
        <f t="shared" si="1045"/>
        <v>0</v>
      </c>
      <c r="CU269" s="4">
        <f t="shared" si="1045"/>
        <v>0</v>
      </c>
      <c r="CV269" s="4">
        <f t="shared" si="1045"/>
        <v>0</v>
      </c>
      <c r="CW269" s="470">
        <f t="shared" si="1045"/>
        <v>0</v>
      </c>
      <c r="CX269" s="4">
        <f t="shared" si="1045"/>
        <v>0</v>
      </c>
      <c r="CY269" s="4">
        <f t="shared" si="1045"/>
        <v>0</v>
      </c>
      <c r="CZ269" s="4">
        <f t="shared" si="1045"/>
        <v>0</v>
      </c>
      <c r="DA269" s="470">
        <f t="shared" si="1045"/>
        <v>0</v>
      </c>
      <c r="DB269" s="4">
        <f t="shared" si="1045"/>
        <v>0</v>
      </c>
      <c r="DC269" s="6">
        <f t="shared" si="1045"/>
        <v>-2</v>
      </c>
      <c r="DD269" s="6">
        <f t="shared" si="1045"/>
        <v>-1</v>
      </c>
      <c r="DE269" s="484">
        <f t="shared" si="1045"/>
        <v>0</v>
      </c>
      <c r="DF269" s="7">
        <f t="shared" si="1045"/>
        <v>0</v>
      </c>
      <c r="DG269" s="7">
        <f t="shared" si="1045"/>
        <v>0</v>
      </c>
      <c r="DH269" s="7">
        <f t="shared" si="1045"/>
        <v>-1</v>
      </c>
      <c r="DI269" s="484">
        <f t="shared" si="1045"/>
        <v>-1</v>
      </c>
      <c r="DJ269" s="1671"/>
      <c r="DK269" s="3"/>
      <c r="DL269" s="3"/>
      <c r="DM269" s="470"/>
      <c r="DN269" s="413"/>
      <c r="DO269" s="470"/>
      <c r="EM269" s="4">
        <f>SUM(BJ269:BM269)</f>
        <v>3</v>
      </c>
      <c r="EN269" s="4">
        <f t="shared" si="1036"/>
        <v>1</v>
      </c>
      <c r="EO269" s="4">
        <f t="shared" si="1037"/>
        <v>6</v>
      </c>
      <c r="EP269" s="4">
        <f t="shared" si="1038"/>
        <v>20</v>
      </c>
      <c r="ES269" s="4">
        <f t="shared" si="1039"/>
        <v>19</v>
      </c>
      <c r="EU269" s="4">
        <f t="shared" si="1040"/>
        <v>7</v>
      </c>
      <c r="EV269" s="4">
        <f t="shared" si="1046"/>
        <v>0</v>
      </c>
      <c r="EW269" s="4">
        <f t="shared" si="1048"/>
        <v>0</v>
      </c>
      <c r="EX269" s="4">
        <f t="shared" si="1049"/>
        <v>0</v>
      </c>
      <c r="EY269" s="11">
        <f t="shared" si="1050"/>
        <v>-1</v>
      </c>
      <c r="EZ269" s="1734"/>
      <c r="FI269" s="671"/>
      <c r="FJ269"/>
      <c r="FK269"/>
      <c r="FL269"/>
      <c r="FM269"/>
      <c r="FN269"/>
      <c r="FO269"/>
      <c r="FP269" s="3"/>
      <c r="FS269" s="7"/>
      <c r="FT269" s="7"/>
      <c r="FU269"/>
      <c r="FV269"/>
      <c r="FW269" s="7"/>
      <c r="FX269" s="7"/>
      <c r="FY269" s="7"/>
      <c r="FZ269"/>
      <c r="GA269"/>
      <c r="GB269"/>
      <c r="GC269"/>
      <c r="GD269"/>
      <c r="GE269"/>
      <c r="GF269"/>
      <c r="GG269"/>
      <c r="GH269"/>
      <c r="GI269"/>
      <c r="GJ269"/>
      <c r="GK269"/>
      <c r="GL269"/>
      <c r="GM269"/>
      <c r="GN269"/>
      <c r="GO269"/>
      <c r="GP269"/>
      <c r="GQ269"/>
      <c r="GR269"/>
      <c r="GS269"/>
      <c r="GT269"/>
      <c r="GU269"/>
      <c r="GV269"/>
      <c r="GW269"/>
      <c r="GX269"/>
      <c r="GY269"/>
      <c r="GZ269"/>
      <c r="HA269"/>
      <c r="HB269"/>
      <c r="HC269"/>
      <c r="HD269"/>
      <c r="HE269"/>
      <c r="HF269"/>
      <c r="HG269"/>
      <c r="HH269"/>
      <c r="HI269"/>
      <c r="HJ269"/>
      <c r="HK269"/>
      <c r="HL269"/>
      <c r="HM269"/>
      <c r="HN269"/>
      <c r="HO269"/>
      <c r="HP269"/>
      <c r="HQ269"/>
      <c r="HR269"/>
      <c r="HS269"/>
      <c r="HT269"/>
      <c r="HU269"/>
      <c r="HV269"/>
      <c r="HW269"/>
      <c r="HX269"/>
      <c r="HY269"/>
      <c r="HZ269"/>
      <c r="IA269"/>
      <c r="IB269"/>
      <c r="IC269"/>
      <c r="ID269"/>
      <c r="IE269"/>
      <c r="IF269"/>
      <c r="IG269"/>
      <c r="IH269"/>
      <c r="II269"/>
      <c r="IJ269"/>
      <c r="IK269"/>
      <c r="IL269"/>
      <c r="IM269"/>
      <c r="IN269"/>
      <c r="IO269"/>
      <c r="IP269"/>
      <c r="IQ269"/>
      <c r="IR269"/>
      <c r="IS269"/>
      <c r="IT269"/>
      <c r="IU269"/>
      <c r="IV269"/>
      <c r="IW269"/>
      <c r="IX269"/>
      <c r="IY269"/>
      <c r="IZ269"/>
    </row>
    <row r="270" spans="1:260" s="4" customFormat="1" ht="11.25" hidden="1" customHeight="1" outlineLevel="1" x14ac:dyDescent="0.2">
      <c r="A270" s="4" t="s">
        <v>463</v>
      </c>
      <c r="E270" s="470"/>
      <c r="I270" s="470"/>
      <c r="M270" s="470"/>
      <c r="Q270" s="470"/>
      <c r="U270" s="470"/>
      <c r="Y270" s="470"/>
      <c r="AC270" s="470"/>
      <c r="AG270" s="470"/>
      <c r="BI270" s="4">
        <v>0</v>
      </c>
      <c r="BJ270" s="4">
        <v>0</v>
      </c>
      <c r="BK270" s="4">
        <v>0</v>
      </c>
      <c r="BL270" s="4">
        <v>0</v>
      </c>
      <c r="BM270" s="4">
        <v>1</v>
      </c>
      <c r="BN270" s="4">
        <v>0</v>
      </c>
      <c r="BO270" s="4">
        <v>0</v>
      </c>
      <c r="BP270" s="4">
        <v>1</v>
      </c>
      <c r="BQ270" s="4">
        <f t="shared" ref="BQ270:BY270" si="1056">BQ256-BP256</f>
        <v>3</v>
      </c>
      <c r="BR270" s="4">
        <f t="shared" si="1056"/>
        <v>0</v>
      </c>
      <c r="BS270" s="4">
        <f t="shared" si="1056"/>
        <v>0</v>
      </c>
      <c r="BT270" s="4">
        <f t="shared" si="1056"/>
        <v>1</v>
      </c>
      <c r="BU270" s="4">
        <f t="shared" si="1056"/>
        <v>0</v>
      </c>
      <c r="BV270" s="4">
        <f t="shared" si="1056"/>
        <v>0</v>
      </c>
      <c r="BW270" s="4">
        <f t="shared" si="1056"/>
        <v>0</v>
      </c>
      <c r="BX270" s="4">
        <f t="shared" si="1056"/>
        <v>0</v>
      </c>
      <c r="BY270" s="4">
        <f t="shared" si="1056"/>
        <v>2</v>
      </c>
      <c r="CH270" s="4">
        <f t="shared" si="1042"/>
        <v>0</v>
      </c>
      <c r="CI270" s="4">
        <f t="shared" si="1043"/>
        <v>0</v>
      </c>
      <c r="CJ270" s="4">
        <f t="shared" si="1043"/>
        <v>4</v>
      </c>
      <c r="CK270" s="4">
        <f t="shared" si="1043"/>
        <v>3</v>
      </c>
      <c r="CP270" s="4">
        <f t="shared" si="1044"/>
        <v>-1</v>
      </c>
      <c r="CQ270" s="4">
        <f t="shared" si="1045"/>
        <v>1</v>
      </c>
      <c r="CR270" s="4">
        <f t="shared" si="1045"/>
        <v>2</v>
      </c>
      <c r="CS270" s="470">
        <f t="shared" si="1045"/>
        <v>0</v>
      </c>
      <c r="CT270" s="4">
        <f t="shared" si="1045"/>
        <v>0</v>
      </c>
      <c r="CU270" s="4">
        <f t="shared" si="1045"/>
        <v>0</v>
      </c>
      <c r="CV270" s="4">
        <f t="shared" si="1045"/>
        <v>1</v>
      </c>
      <c r="CW270" s="470">
        <f t="shared" si="1045"/>
        <v>0</v>
      </c>
      <c r="CX270" s="4">
        <f t="shared" si="1045"/>
        <v>0</v>
      </c>
      <c r="CY270" s="4">
        <f t="shared" si="1045"/>
        <v>0</v>
      </c>
      <c r="CZ270" s="4">
        <f t="shared" si="1045"/>
        <v>0</v>
      </c>
      <c r="DA270" s="470">
        <f t="shared" si="1045"/>
        <v>0</v>
      </c>
      <c r="DB270" s="4">
        <f t="shared" si="1045"/>
        <v>0</v>
      </c>
      <c r="DC270" s="6">
        <f t="shared" si="1045"/>
        <v>0</v>
      </c>
      <c r="DD270" s="6">
        <f t="shared" si="1045"/>
        <v>0</v>
      </c>
      <c r="DE270" s="484">
        <f t="shared" si="1045"/>
        <v>2</v>
      </c>
      <c r="DF270" s="7">
        <f t="shared" si="1045"/>
        <v>0</v>
      </c>
      <c r="DG270" s="7">
        <f t="shared" si="1045"/>
        <v>2</v>
      </c>
      <c r="DH270" s="7">
        <f t="shared" si="1045"/>
        <v>1</v>
      </c>
      <c r="DI270" s="484">
        <f t="shared" si="1045"/>
        <v>2</v>
      </c>
      <c r="DJ270" s="1671"/>
      <c r="DK270" s="3"/>
      <c r="DL270" s="3"/>
      <c r="DM270" s="470"/>
      <c r="DN270" s="413"/>
      <c r="DO270" s="470"/>
      <c r="EL270" s="4">
        <f>SUM(BF270:BI270)</f>
        <v>0</v>
      </c>
      <c r="EM270" s="4">
        <f>SUM(BJ270:BM270)</f>
        <v>1</v>
      </c>
      <c r="EN270" s="4">
        <f t="shared" si="1036"/>
        <v>4</v>
      </c>
      <c r="EO270" s="4">
        <f t="shared" si="1037"/>
        <v>1</v>
      </c>
      <c r="EP270" s="4">
        <f t="shared" si="1038"/>
        <v>2</v>
      </c>
      <c r="ES270" s="4">
        <f t="shared" si="1039"/>
        <v>7</v>
      </c>
      <c r="EU270" s="4">
        <f t="shared" si="1040"/>
        <v>2</v>
      </c>
      <c r="EV270" s="4">
        <f t="shared" si="1046"/>
        <v>1</v>
      </c>
      <c r="EW270" s="4">
        <f t="shared" si="1048"/>
        <v>0</v>
      </c>
      <c r="EX270" s="4">
        <f t="shared" si="1049"/>
        <v>2</v>
      </c>
      <c r="EY270" s="11">
        <f t="shared" si="1050"/>
        <v>2</v>
      </c>
      <c r="EZ270" s="1734"/>
      <c r="FI270" s="671"/>
      <c r="FJ270"/>
      <c r="FK270"/>
      <c r="FL270"/>
      <c r="FM270"/>
      <c r="FN270"/>
      <c r="FO270"/>
      <c r="FP270" s="3"/>
      <c r="FS270" s="7"/>
      <c r="FT270" s="7"/>
      <c r="FU270"/>
      <c r="FV270"/>
      <c r="FW270" s="7"/>
      <c r="FX270" s="7"/>
      <c r="FY270" s="7"/>
      <c r="FZ270"/>
      <c r="GA270"/>
      <c r="GB270"/>
      <c r="GC270"/>
      <c r="GD270"/>
      <c r="GE270"/>
      <c r="GF270"/>
      <c r="GG270"/>
      <c r="GH270"/>
      <c r="GI270"/>
      <c r="GJ270"/>
      <c r="GK270"/>
      <c r="GL270"/>
      <c r="GM270"/>
      <c r="GN270"/>
      <c r="GO270"/>
      <c r="GP270"/>
      <c r="GQ270"/>
      <c r="GR270"/>
      <c r="GS270"/>
      <c r="GT270"/>
      <c r="GU270"/>
      <c r="GV270"/>
      <c r="GW270"/>
      <c r="GX270"/>
      <c r="GY270"/>
      <c r="GZ270"/>
      <c r="HA270"/>
      <c r="HB270"/>
      <c r="HC270"/>
      <c r="HD270"/>
      <c r="HE270"/>
      <c r="HF270"/>
      <c r="HG270"/>
      <c r="HH270"/>
      <c r="HI270"/>
      <c r="HJ270"/>
      <c r="HK270"/>
      <c r="HL270"/>
      <c r="HM270"/>
      <c r="HN270"/>
      <c r="HO270"/>
      <c r="HP270"/>
      <c r="HQ270"/>
      <c r="HR270"/>
      <c r="HS270"/>
      <c r="HT270"/>
      <c r="HU270"/>
      <c r="HV270"/>
      <c r="HW270"/>
      <c r="HX270"/>
      <c r="HY270"/>
      <c r="HZ270"/>
      <c r="IA270"/>
      <c r="IB270"/>
      <c r="IC270"/>
      <c r="ID270"/>
      <c r="IE270"/>
      <c r="IF270"/>
      <c r="IG270"/>
      <c r="IH270"/>
      <c r="II270"/>
      <c r="IJ270"/>
      <c r="IK270"/>
      <c r="IL270"/>
      <c r="IM270"/>
      <c r="IN270"/>
      <c r="IO270"/>
      <c r="IP270"/>
      <c r="IQ270"/>
      <c r="IR270"/>
      <c r="IS270"/>
      <c r="IT270"/>
      <c r="IU270"/>
      <c r="IV270"/>
      <c r="IW270"/>
      <c r="IX270"/>
      <c r="IY270"/>
      <c r="IZ270"/>
    </row>
    <row r="271" spans="1:260" s="4" customFormat="1" ht="11.25" hidden="1" customHeight="1" outlineLevel="1" x14ac:dyDescent="0.2">
      <c r="A271" s="4" t="s">
        <v>389</v>
      </c>
      <c r="E271" s="470"/>
      <c r="I271" s="470"/>
      <c r="M271" s="470"/>
      <c r="Q271" s="470"/>
      <c r="U271" s="470"/>
      <c r="Y271" s="470"/>
      <c r="AC271" s="470"/>
      <c r="AG271" s="470"/>
      <c r="CK271" s="4">
        <v>1</v>
      </c>
      <c r="CP271" s="4">
        <f t="shared" si="1044"/>
        <v>0</v>
      </c>
      <c r="CQ271" s="4">
        <f t="shared" si="1045"/>
        <v>0</v>
      </c>
      <c r="CR271" s="4">
        <f t="shared" si="1045"/>
        <v>1</v>
      </c>
      <c r="CS271" s="470">
        <f t="shared" si="1045"/>
        <v>0</v>
      </c>
      <c r="CT271" s="4">
        <f t="shared" si="1045"/>
        <v>0</v>
      </c>
      <c r="CU271" s="4">
        <f t="shared" si="1045"/>
        <v>0</v>
      </c>
      <c r="CV271" s="4">
        <f t="shared" si="1045"/>
        <v>1</v>
      </c>
      <c r="CW271" s="470">
        <f t="shared" si="1045"/>
        <v>2</v>
      </c>
      <c r="CX271" s="4">
        <f t="shared" si="1045"/>
        <v>0</v>
      </c>
      <c r="CY271" s="4">
        <f t="shared" si="1045"/>
        <v>0</v>
      </c>
      <c r="CZ271" s="4">
        <f t="shared" si="1045"/>
        <v>0</v>
      </c>
      <c r="DA271" s="470">
        <f t="shared" si="1045"/>
        <v>1</v>
      </c>
      <c r="DB271" s="4">
        <f t="shared" si="1045"/>
        <v>0</v>
      </c>
      <c r="DC271" s="6">
        <f t="shared" si="1045"/>
        <v>0</v>
      </c>
      <c r="DD271" s="6">
        <f t="shared" si="1045"/>
        <v>-1</v>
      </c>
      <c r="DE271" s="484">
        <f t="shared" si="1045"/>
        <v>0</v>
      </c>
      <c r="DF271" s="7">
        <f t="shared" si="1045"/>
        <v>0</v>
      </c>
      <c r="DG271" s="7">
        <f t="shared" si="1045"/>
        <v>0</v>
      </c>
      <c r="DH271" s="7">
        <f t="shared" si="1045"/>
        <v>0</v>
      </c>
      <c r="DI271" s="484">
        <f t="shared" si="1045"/>
        <v>1</v>
      </c>
      <c r="DJ271" s="1671"/>
      <c r="DK271" s="3"/>
      <c r="DL271" s="3"/>
      <c r="DM271" s="470"/>
      <c r="DN271" s="413"/>
      <c r="DO271" s="470"/>
      <c r="EU271" s="4">
        <f t="shared" si="1040"/>
        <v>1</v>
      </c>
      <c r="EV271" s="4">
        <f t="shared" si="1046"/>
        <v>3</v>
      </c>
      <c r="EW271" s="4">
        <f t="shared" si="1048"/>
        <v>1</v>
      </c>
      <c r="EX271" s="4">
        <f t="shared" si="1049"/>
        <v>0</v>
      </c>
      <c r="EY271" s="11">
        <f t="shared" si="1050"/>
        <v>1</v>
      </c>
      <c r="EZ271" s="1734"/>
      <c r="FI271" s="671"/>
      <c r="FJ271"/>
      <c r="FK271"/>
      <c r="FL271"/>
      <c r="FM271"/>
      <c r="FN271"/>
      <c r="FO271"/>
      <c r="FP271" s="3"/>
      <c r="FS271" s="7"/>
      <c r="FT271" s="7"/>
      <c r="FU271"/>
      <c r="FV271"/>
      <c r="FW271" s="7"/>
      <c r="FX271" s="7"/>
      <c r="FY271" s="7"/>
      <c r="FZ271"/>
      <c r="GA271"/>
      <c r="GB271"/>
      <c r="GC271"/>
      <c r="GD271"/>
      <c r="GE271"/>
      <c r="GF271"/>
      <c r="GG271"/>
      <c r="GH271"/>
      <c r="GI271"/>
      <c r="GJ271"/>
      <c r="GK271"/>
      <c r="GL271"/>
      <c r="GM271"/>
      <c r="GN271"/>
      <c r="GO271"/>
      <c r="GP271"/>
      <c r="GQ271"/>
      <c r="GR271"/>
      <c r="GS271"/>
      <c r="GT271"/>
      <c r="GU271"/>
      <c r="GV271"/>
      <c r="GW271"/>
      <c r="GX271"/>
      <c r="GY271"/>
      <c r="GZ271"/>
      <c r="HA271"/>
      <c r="HB271"/>
      <c r="HC271"/>
      <c r="HD271"/>
      <c r="HE271"/>
      <c r="HF271"/>
      <c r="HG271"/>
      <c r="HH271"/>
      <c r="HI271"/>
      <c r="HJ271"/>
      <c r="HK271"/>
      <c r="HL271"/>
      <c r="HM271"/>
      <c r="HN271"/>
      <c r="HO271"/>
      <c r="HP271"/>
      <c r="HQ271"/>
      <c r="HR271"/>
      <c r="HS271"/>
      <c r="HT271"/>
      <c r="HU271"/>
      <c r="HV271"/>
      <c r="HW271"/>
      <c r="HX271"/>
      <c r="HY271"/>
      <c r="HZ271"/>
      <c r="IA271"/>
      <c r="IB271"/>
      <c r="IC271"/>
      <c r="ID271"/>
      <c r="IE271"/>
      <c r="IF271"/>
      <c r="IG271"/>
      <c r="IH271"/>
      <c r="II271"/>
      <c r="IJ271"/>
      <c r="IK271"/>
      <c r="IL271"/>
      <c r="IM271"/>
      <c r="IN271"/>
      <c r="IO271"/>
      <c r="IP271"/>
      <c r="IQ271"/>
      <c r="IR271"/>
      <c r="IS271"/>
      <c r="IT271"/>
      <c r="IU271"/>
      <c r="IV271"/>
      <c r="IW271"/>
      <c r="IX271"/>
      <c r="IY271"/>
      <c r="IZ271"/>
    </row>
    <row r="272" spans="1:260" s="4" customFormat="1" ht="11.25" hidden="1" customHeight="1" outlineLevel="2" x14ac:dyDescent="0.2">
      <c r="A272" s="4" t="s">
        <v>458</v>
      </c>
      <c r="E272" s="470"/>
      <c r="I272" s="470"/>
      <c r="M272" s="470"/>
      <c r="Q272" s="470"/>
      <c r="U272" s="470"/>
      <c r="Y272" s="470"/>
      <c r="AC272" s="470"/>
      <c r="AG272" s="470"/>
      <c r="BQ272" s="4">
        <f t="shared" ref="BQ272:BY272" si="1057">BQ258-BP258</f>
        <v>1</v>
      </c>
      <c r="BR272" s="4">
        <f t="shared" si="1057"/>
        <v>0</v>
      </c>
      <c r="BS272" s="4">
        <f t="shared" si="1057"/>
        <v>1</v>
      </c>
      <c r="BT272" s="4">
        <f t="shared" si="1057"/>
        <v>0</v>
      </c>
      <c r="BU272" s="4">
        <f t="shared" si="1057"/>
        <v>0</v>
      </c>
      <c r="BV272" s="4">
        <f t="shared" si="1057"/>
        <v>0</v>
      </c>
      <c r="BW272" s="4">
        <f t="shared" si="1057"/>
        <v>-2</v>
      </c>
      <c r="BX272" s="4">
        <f t="shared" si="1057"/>
        <v>0</v>
      </c>
      <c r="BY272" s="4">
        <f t="shared" si="1057"/>
        <v>0</v>
      </c>
      <c r="CH272" s="4">
        <f>CH258-BY258</f>
        <v>0</v>
      </c>
      <c r="CI272" s="4">
        <f>CI258-CH258</f>
        <v>0</v>
      </c>
      <c r="CJ272" s="4">
        <f>CJ258-CI258</f>
        <v>0</v>
      </c>
      <c r="CK272" s="4">
        <f>CK258-CJ258</f>
        <v>0</v>
      </c>
      <c r="CP272" s="4">
        <f t="shared" si="1044"/>
        <v>0</v>
      </c>
      <c r="CQ272" s="4">
        <f t="shared" si="1045"/>
        <v>0</v>
      </c>
      <c r="CR272" s="4">
        <f t="shared" si="1045"/>
        <v>0</v>
      </c>
      <c r="CS272" s="470">
        <f t="shared" si="1045"/>
        <v>0</v>
      </c>
      <c r="CT272" s="4">
        <f t="shared" si="1045"/>
        <v>0</v>
      </c>
      <c r="CU272" s="4">
        <f t="shared" si="1045"/>
        <v>0</v>
      </c>
      <c r="CV272" s="4">
        <f t="shared" si="1045"/>
        <v>0</v>
      </c>
      <c r="CW272" s="470">
        <f t="shared" si="1045"/>
        <v>0</v>
      </c>
      <c r="CX272" s="4">
        <f t="shared" si="1045"/>
        <v>0</v>
      </c>
      <c r="CY272" s="4">
        <f t="shared" si="1045"/>
        <v>0</v>
      </c>
      <c r="CZ272" s="4">
        <f t="shared" si="1045"/>
        <v>0</v>
      </c>
      <c r="DA272" s="470">
        <f t="shared" si="1045"/>
        <v>0</v>
      </c>
      <c r="DB272" s="4">
        <f t="shared" si="1045"/>
        <v>0</v>
      </c>
      <c r="DC272" s="6">
        <f t="shared" si="1045"/>
        <v>0</v>
      </c>
      <c r="DD272" s="6">
        <f t="shared" si="1045"/>
        <v>0</v>
      </c>
      <c r="DE272" s="484">
        <f t="shared" si="1045"/>
        <v>0</v>
      </c>
      <c r="DF272" s="7">
        <f t="shared" si="1045"/>
        <v>0</v>
      </c>
      <c r="DG272" s="7">
        <f t="shared" si="1045"/>
        <v>0</v>
      </c>
      <c r="DH272" s="7">
        <f t="shared" si="1045"/>
        <v>0</v>
      </c>
      <c r="DI272" s="484">
        <f t="shared" si="1045"/>
        <v>0</v>
      </c>
      <c r="DJ272" s="1671"/>
      <c r="DK272" s="3"/>
      <c r="DL272" s="3"/>
      <c r="DM272" s="470"/>
      <c r="DN272" s="413"/>
      <c r="DO272" s="470"/>
      <c r="EN272" s="4">
        <f>SUM(BN272:BQ272)</f>
        <v>1</v>
      </c>
      <c r="EO272" s="4">
        <f>SUM(BR272:BU272)</f>
        <v>1</v>
      </c>
      <c r="EP272" s="4">
        <f>SUM(BV272:BY272)</f>
        <v>-2</v>
      </c>
      <c r="ES272" s="4">
        <f>SUM(CH272:CK272)</f>
        <v>0</v>
      </c>
      <c r="EU272" s="4">
        <f>SUM(CP272:CS272)</f>
        <v>0</v>
      </c>
      <c r="EV272" s="4">
        <f t="shared" si="1046"/>
        <v>0</v>
      </c>
      <c r="EW272" s="4">
        <f t="shared" si="1048"/>
        <v>0</v>
      </c>
      <c r="EX272" s="4">
        <f t="shared" si="1049"/>
        <v>0</v>
      </c>
      <c r="EY272" s="11">
        <f t="shared" si="1050"/>
        <v>0</v>
      </c>
      <c r="EZ272" s="1734"/>
      <c r="FI272" s="671"/>
      <c r="FJ272"/>
      <c r="FK272"/>
      <c r="FL272"/>
      <c r="FM272"/>
      <c r="FN272"/>
      <c r="FO272"/>
      <c r="FP272" s="3"/>
      <c r="FS272" s="7"/>
      <c r="FT272" s="7"/>
      <c r="FU272"/>
      <c r="FV272"/>
      <c r="FW272" s="7"/>
      <c r="FX272" s="7"/>
      <c r="FY272" s="7"/>
      <c r="FZ272"/>
      <c r="GA272"/>
      <c r="GB272"/>
      <c r="GC272"/>
      <c r="GD272"/>
      <c r="GE272"/>
      <c r="GF272"/>
      <c r="GG272"/>
      <c r="GH272"/>
      <c r="GI272"/>
      <c r="GJ272"/>
      <c r="GK272"/>
      <c r="GL272"/>
      <c r="GM272"/>
      <c r="GN272"/>
      <c r="GO272"/>
      <c r="GP272"/>
      <c r="GQ272"/>
      <c r="GR272"/>
      <c r="GS272"/>
      <c r="GT272"/>
      <c r="GU272"/>
      <c r="GV272"/>
      <c r="GW272"/>
      <c r="GX272"/>
      <c r="GY272"/>
      <c r="GZ272"/>
      <c r="HA272"/>
      <c r="HB272"/>
      <c r="HC272"/>
      <c r="HD272"/>
      <c r="HE272"/>
      <c r="HF272"/>
      <c r="HG272"/>
      <c r="HH272"/>
      <c r="HI272"/>
      <c r="HJ272"/>
      <c r="HK272"/>
      <c r="HL272"/>
      <c r="HM272"/>
      <c r="HN272"/>
      <c r="HO272"/>
      <c r="HP272"/>
      <c r="HQ272"/>
      <c r="HR272"/>
      <c r="HS272"/>
      <c r="HT272"/>
      <c r="HU272"/>
      <c r="HV272"/>
      <c r="HW272"/>
      <c r="HX272"/>
      <c r="HY272"/>
      <c r="HZ272"/>
      <c r="IA272"/>
      <c r="IB272"/>
      <c r="IC272"/>
      <c r="ID272"/>
      <c r="IE272"/>
      <c r="IF272"/>
      <c r="IG272"/>
      <c r="IH272"/>
      <c r="II272"/>
      <c r="IJ272"/>
      <c r="IK272"/>
      <c r="IL272"/>
      <c r="IM272"/>
      <c r="IN272"/>
      <c r="IO272"/>
      <c r="IP272"/>
      <c r="IQ272"/>
      <c r="IR272"/>
      <c r="IS272"/>
      <c r="IT272"/>
      <c r="IU272"/>
      <c r="IV272"/>
      <c r="IW272"/>
      <c r="IX272"/>
      <c r="IY272"/>
      <c r="IZ272"/>
    </row>
    <row r="273" spans="1:260" s="4" customFormat="1" ht="11.25" hidden="1" customHeight="1" outlineLevel="1" collapsed="1" x14ac:dyDescent="0.2">
      <c r="A273" s="4" t="s">
        <v>388</v>
      </c>
      <c r="E273" s="470"/>
      <c r="I273" s="470"/>
      <c r="M273" s="470"/>
      <c r="Q273" s="470"/>
      <c r="U273" s="470"/>
      <c r="Y273" s="470"/>
      <c r="AC273" s="470"/>
      <c r="AG273" s="470"/>
      <c r="AH273" s="4">
        <f t="shared" ref="AH273:BB273" si="1058">SUM(AH262:AH264)</f>
        <v>0</v>
      </c>
      <c r="AI273" s="4">
        <f t="shared" si="1058"/>
        <v>0</v>
      </c>
      <c r="AJ273" s="4">
        <f t="shared" si="1058"/>
        <v>0</v>
      </c>
      <c r="AK273" s="4">
        <f t="shared" si="1058"/>
        <v>0</v>
      </c>
      <c r="AL273" s="4">
        <f t="shared" si="1058"/>
        <v>2</v>
      </c>
      <c r="AM273" s="4">
        <f t="shared" si="1058"/>
        <v>4</v>
      </c>
      <c r="AN273" s="4">
        <f t="shared" si="1058"/>
        <v>11</v>
      </c>
      <c r="AO273" s="4">
        <f t="shared" si="1058"/>
        <v>0</v>
      </c>
      <c r="AP273" s="4">
        <f t="shared" si="1058"/>
        <v>2</v>
      </c>
      <c r="AQ273" s="4">
        <f t="shared" si="1058"/>
        <v>6</v>
      </c>
      <c r="AR273" s="4">
        <f t="shared" si="1058"/>
        <v>7</v>
      </c>
      <c r="AS273" s="4">
        <f t="shared" si="1058"/>
        <v>0</v>
      </c>
      <c r="AT273" s="4">
        <f t="shared" si="1058"/>
        <v>1</v>
      </c>
      <c r="AU273" s="4">
        <f t="shared" si="1058"/>
        <v>3</v>
      </c>
      <c r="AV273" s="4">
        <f t="shared" si="1058"/>
        <v>11</v>
      </c>
      <c r="AW273" s="4">
        <f t="shared" si="1058"/>
        <v>2</v>
      </c>
      <c r="AX273" s="4">
        <f t="shared" si="1058"/>
        <v>3</v>
      </c>
      <c r="AY273" s="4">
        <f t="shared" si="1058"/>
        <v>3</v>
      </c>
      <c r="AZ273" s="4">
        <f t="shared" si="1058"/>
        <v>16</v>
      </c>
      <c r="BA273" s="4">
        <f t="shared" si="1058"/>
        <v>1</v>
      </c>
      <c r="BB273" s="4">
        <f t="shared" si="1058"/>
        <v>2</v>
      </c>
      <c r="BC273" s="4">
        <f>SUM(BC262:BC267)</f>
        <v>-6</v>
      </c>
      <c r="BD273" s="4">
        <f>SUM(BD262:BD267)</f>
        <v>7</v>
      </c>
      <c r="BE273" s="4">
        <f>SUM(BE262:BE268)</f>
        <v>3</v>
      </c>
      <c r="BF273" s="4">
        <f t="shared" ref="BF273:BY273" si="1059">SUM(BF262:BF272)</f>
        <v>3</v>
      </c>
      <c r="BG273" s="4">
        <f t="shared" si="1059"/>
        <v>10</v>
      </c>
      <c r="BH273" s="4">
        <f t="shared" si="1059"/>
        <v>15</v>
      </c>
      <c r="BI273" s="4">
        <f t="shared" si="1059"/>
        <v>11</v>
      </c>
      <c r="BJ273" s="4">
        <f t="shared" si="1059"/>
        <v>3</v>
      </c>
      <c r="BK273" s="4">
        <f t="shared" si="1059"/>
        <v>1</v>
      </c>
      <c r="BL273" s="4">
        <f t="shared" si="1059"/>
        <v>2444</v>
      </c>
      <c r="BM273" s="4">
        <f t="shared" si="1059"/>
        <v>44</v>
      </c>
      <c r="BN273" s="4">
        <f t="shared" si="1059"/>
        <v>-5</v>
      </c>
      <c r="BO273" s="4">
        <f t="shared" si="1059"/>
        <v>-3</v>
      </c>
      <c r="BP273" s="4">
        <f t="shared" si="1059"/>
        <v>4</v>
      </c>
      <c r="BQ273" s="4">
        <f t="shared" si="1059"/>
        <v>4</v>
      </c>
      <c r="BR273" s="4">
        <f t="shared" si="1059"/>
        <v>-20</v>
      </c>
      <c r="BS273" s="4">
        <f t="shared" si="1059"/>
        <v>19</v>
      </c>
      <c r="BT273" s="4">
        <f t="shared" si="1059"/>
        <v>-4</v>
      </c>
      <c r="BU273" s="4">
        <f t="shared" si="1059"/>
        <v>25</v>
      </c>
      <c r="BV273" s="4">
        <f t="shared" si="1059"/>
        <v>-9</v>
      </c>
      <c r="BW273" s="4">
        <f t="shared" si="1059"/>
        <v>32</v>
      </c>
      <c r="BX273" s="4">
        <f t="shared" si="1059"/>
        <v>33</v>
      </c>
      <c r="BY273" s="4">
        <f t="shared" si="1059"/>
        <v>-50</v>
      </c>
      <c r="CH273" s="4">
        <f>SUM(CH262:CH272)</f>
        <v>6</v>
      </c>
      <c r="CI273" s="4">
        <f>SUM(CI262:CI272)</f>
        <v>-11</v>
      </c>
      <c r="CJ273" s="4">
        <f>SUM(CJ262:CJ272)</f>
        <v>37</v>
      </c>
      <c r="CK273" s="4">
        <f>SUM(CK262:CK272)</f>
        <v>-16</v>
      </c>
      <c r="CP273" s="4">
        <f t="shared" ref="CP273:CV273" si="1060">SUM(CP262:CP272)</f>
        <v>-2596</v>
      </c>
      <c r="CQ273" s="4">
        <f t="shared" si="1060"/>
        <v>1</v>
      </c>
      <c r="CR273" s="4">
        <f t="shared" si="1060"/>
        <v>4</v>
      </c>
      <c r="CS273" s="470">
        <f t="shared" si="1060"/>
        <v>-2</v>
      </c>
      <c r="CT273" s="4">
        <f t="shared" si="1060"/>
        <v>0</v>
      </c>
      <c r="CU273" s="4">
        <f t="shared" si="1060"/>
        <v>-2</v>
      </c>
      <c r="CV273" s="4">
        <f t="shared" si="1060"/>
        <v>2</v>
      </c>
      <c r="CW273" s="470">
        <f t="shared" ref="CW273:DB273" si="1061">SUM(CW262:CW272)</f>
        <v>-3</v>
      </c>
      <c r="CX273" s="4">
        <f t="shared" si="1061"/>
        <v>-66</v>
      </c>
      <c r="CY273" s="4">
        <f t="shared" si="1061"/>
        <v>0</v>
      </c>
      <c r="CZ273" s="4">
        <f t="shared" si="1061"/>
        <v>0</v>
      </c>
      <c r="DA273" s="470">
        <f t="shared" si="1061"/>
        <v>1</v>
      </c>
      <c r="DB273" s="4">
        <f t="shared" si="1061"/>
        <v>-1</v>
      </c>
      <c r="DC273" s="6">
        <f t="shared" ref="DC273:DH273" si="1062">SUM(DC262:DC272)</f>
        <v>-2</v>
      </c>
      <c r="DD273" s="6">
        <f t="shared" si="1062"/>
        <v>-2</v>
      </c>
      <c r="DE273" s="484">
        <f t="shared" si="1062"/>
        <v>1</v>
      </c>
      <c r="DF273" s="7">
        <f t="shared" si="1062"/>
        <v>0</v>
      </c>
      <c r="DG273" s="7">
        <f t="shared" si="1062"/>
        <v>2</v>
      </c>
      <c r="DH273" s="7">
        <f t="shared" si="1062"/>
        <v>0</v>
      </c>
      <c r="DI273" s="484">
        <f t="shared" ref="DI273" si="1063">SUM(DI262:DI272)</f>
        <v>2</v>
      </c>
      <c r="DJ273" s="1671"/>
      <c r="DK273" s="3"/>
      <c r="DL273" s="3"/>
      <c r="DM273" s="470"/>
      <c r="DN273" s="413"/>
      <c r="DO273" s="470"/>
      <c r="EF273" s="4">
        <f>SUM(EF262:EF264)</f>
        <v>0</v>
      </c>
      <c r="EG273" s="4">
        <f>SUM(EG262:EG264)</f>
        <v>9</v>
      </c>
      <c r="EH273" s="4">
        <f>SUM(EH262:EH264)</f>
        <v>15</v>
      </c>
      <c r="EI273" s="4">
        <f>SUM(EI262:EI264)</f>
        <v>17</v>
      </c>
      <c r="EJ273" s="4">
        <f>SUM(EJ262:EJ264)</f>
        <v>23</v>
      </c>
      <c r="EK273" s="4">
        <f>SUM(EK262:EK268)</f>
        <v>5</v>
      </c>
      <c r="EL273" s="4">
        <f>SUM(EL262:EL272)</f>
        <v>39</v>
      </c>
      <c r="EM273" s="4">
        <f>SUM(EM262:EM272)</f>
        <v>2492</v>
      </c>
      <c r="EN273" s="4">
        <f>SUM(EN262:EN272)</f>
        <v>0</v>
      </c>
      <c r="EO273" s="4">
        <f>SUM(EO262:EO272)</f>
        <v>20</v>
      </c>
      <c r="EP273" s="4">
        <f>SUM(EP262:EP272)</f>
        <v>6</v>
      </c>
      <c r="ES273" s="4">
        <f>SUM(ES262:ES272)</f>
        <v>15</v>
      </c>
      <c r="EU273" s="4">
        <f>SUM(EU262:EU272)</f>
        <v>-2593</v>
      </c>
      <c r="EV273" s="4">
        <f>SUM(EV262:EV272)</f>
        <v>-3</v>
      </c>
      <c r="EW273" s="4">
        <f t="shared" si="1048"/>
        <v>1</v>
      </c>
      <c r="EX273" s="4">
        <f t="shared" si="1049"/>
        <v>1</v>
      </c>
      <c r="EY273" s="11">
        <f t="shared" si="1050"/>
        <v>2</v>
      </c>
      <c r="EZ273" s="1734"/>
      <c r="FI273" s="671"/>
      <c r="FJ273"/>
      <c r="FK273"/>
      <c r="FL273"/>
      <c r="FM273"/>
      <c r="FN273"/>
      <c r="FO273"/>
      <c r="FP273" s="3"/>
      <c r="FS273" s="7"/>
      <c r="FT273" s="7"/>
      <c r="FU273"/>
      <c r="FV273"/>
      <c r="FW273" s="7"/>
      <c r="FX273" s="7"/>
      <c r="FY273" s="7"/>
      <c r="FZ273"/>
      <c r="GA273"/>
      <c r="GB273"/>
      <c r="GC273"/>
      <c r="GD273"/>
      <c r="GE273"/>
      <c r="GF273"/>
      <c r="GG273"/>
      <c r="GH273"/>
      <c r="GI273"/>
      <c r="GJ273"/>
      <c r="GK273"/>
      <c r="GL273"/>
      <c r="GM273"/>
      <c r="GN273"/>
      <c r="GO273"/>
      <c r="GP273"/>
      <c r="GQ273"/>
      <c r="GR273"/>
      <c r="GS273"/>
      <c r="GT273"/>
      <c r="GU273"/>
      <c r="GV273"/>
      <c r="GW273"/>
      <c r="GX273"/>
      <c r="GY273"/>
      <c r="GZ273"/>
      <c r="HA273"/>
      <c r="HB273"/>
      <c r="HC273"/>
      <c r="HD273"/>
      <c r="HE273"/>
      <c r="HF273"/>
      <c r="HG273"/>
      <c r="HH273"/>
      <c r="HI273"/>
      <c r="HJ273"/>
      <c r="HK273"/>
      <c r="HL273"/>
      <c r="HM273"/>
      <c r="HN273"/>
      <c r="HO273"/>
      <c r="HP273"/>
      <c r="HQ273"/>
      <c r="HR273"/>
      <c r="HS273"/>
      <c r="HT273"/>
      <c r="HU273"/>
      <c r="HV273"/>
      <c r="HW273"/>
      <c r="HX273"/>
      <c r="HY273"/>
      <c r="HZ273"/>
      <c r="IA273"/>
      <c r="IB273"/>
      <c r="IC273"/>
      <c r="ID273"/>
      <c r="IE273"/>
      <c r="IF273"/>
      <c r="IG273"/>
      <c r="IH273"/>
      <c r="II273"/>
      <c r="IJ273"/>
      <c r="IK273"/>
      <c r="IL273"/>
      <c r="IM273"/>
      <c r="IN273"/>
      <c r="IO273"/>
      <c r="IP273"/>
      <c r="IQ273"/>
      <c r="IR273"/>
      <c r="IS273"/>
      <c r="IT273"/>
      <c r="IU273"/>
      <c r="IV273"/>
      <c r="IW273"/>
      <c r="IX273"/>
      <c r="IY273"/>
      <c r="IZ273"/>
    </row>
    <row r="274" spans="1:260" s="4" customFormat="1" ht="11.25" hidden="1" customHeight="1" outlineLevel="1" x14ac:dyDescent="0.2">
      <c r="E274" s="470"/>
      <c r="I274" s="470"/>
      <c r="M274" s="470"/>
      <c r="Q274" s="470"/>
      <c r="U274" s="470"/>
      <c r="Y274" s="470"/>
      <c r="AC274" s="470"/>
      <c r="AG274" s="470"/>
      <c r="CS274" s="470"/>
      <c r="CW274" s="470"/>
      <c r="DA274" s="470"/>
      <c r="DC274" s="6"/>
      <c r="DD274" s="7"/>
      <c r="DE274" s="484"/>
      <c r="DF274" s="7"/>
      <c r="DG274" s="7"/>
      <c r="DH274" s="7"/>
      <c r="DI274" s="484"/>
      <c r="DJ274" s="1671"/>
      <c r="DK274" s="3"/>
      <c r="DL274" s="3"/>
      <c r="DM274" s="470"/>
      <c r="DN274" s="413"/>
      <c r="DO274" s="470"/>
      <c r="EX274" s="6"/>
      <c r="EY274" s="6"/>
      <c r="EZ274" s="1734"/>
      <c r="FI274" s="671"/>
      <c r="FJ274"/>
      <c r="FK274"/>
      <c r="FL274"/>
      <c r="FM274"/>
      <c r="FN274"/>
      <c r="FO274"/>
      <c r="FP274" s="3"/>
      <c r="FS274" s="7"/>
      <c r="FT274" s="7"/>
      <c r="FU274"/>
      <c r="FV274"/>
      <c r="FW274" s="7"/>
      <c r="FX274" s="7"/>
      <c r="FY274" s="7"/>
      <c r="FZ274"/>
      <c r="GA274"/>
      <c r="GB274"/>
      <c r="GC274"/>
      <c r="GD274"/>
      <c r="GE274"/>
      <c r="GF274"/>
      <c r="GG274"/>
      <c r="GH274"/>
      <c r="GI274"/>
      <c r="GJ274"/>
      <c r="GK274"/>
      <c r="GL274"/>
      <c r="GM274"/>
      <c r="GN274"/>
      <c r="GO274"/>
      <c r="GP274"/>
      <c r="GQ274"/>
      <c r="GR274"/>
      <c r="GS274"/>
      <c r="GT274"/>
      <c r="GU274"/>
      <c r="GV274"/>
      <c r="GW274"/>
      <c r="GX274"/>
      <c r="GY274"/>
      <c r="GZ274"/>
      <c r="HA274"/>
      <c r="HB274"/>
      <c r="HC274"/>
      <c r="HD274"/>
      <c r="HE274"/>
      <c r="HF274"/>
      <c r="HG274"/>
      <c r="HH274"/>
      <c r="HI274"/>
      <c r="HJ274"/>
      <c r="HK274"/>
      <c r="HL274"/>
      <c r="HM274"/>
      <c r="HN274"/>
      <c r="HO274"/>
      <c r="HP274"/>
      <c r="HQ274"/>
      <c r="HR274"/>
      <c r="HS274"/>
      <c r="HT274"/>
      <c r="HU274"/>
      <c r="HV274"/>
      <c r="HW274"/>
      <c r="HX274"/>
      <c r="HY274"/>
      <c r="HZ274"/>
      <c r="IA274"/>
      <c r="IB274"/>
      <c r="IC274"/>
      <c r="ID274"/>
      <c r="IE274"/>
      <c r="IF274"/>
      <c r="IG274"/>
      <c r="IH274"/>
      <c r="II274"/>
      <c r="IJ274"/>
      <c r="IK274"/>
      <c r="IL274"/>
      <c r="IM274"/>
      <c r="IN274"/>
      <c r="IO274"/>
      <c r="IP274"/>
      <c r="IQ274"/>
      <c r="IR274"/>
      <c r="IS274"/>
      <c r="IT274"/>
      <c r="IU274"/>
      <c r="IV274"/>
      <c r="IW274"/>
      <c r="IX274"/>
      <c r="IY274"/>
      <c r="IZ274"/>
    </row>
    <row r="275" spans="1:260" s="6" customFormat="1" ht="11.25" hidden="1" customHeight="1" outlineLevel="1" x14ac:dyDescent="0.2">
      <c r="A275" s="98" t="s">
        <v>343</v>
      </c>
      <c r="B275" s="56"/>
      <c r="C275" s="56"/>
      <c r="D275" s="56"/>
      <c r="E275" s="828"/>
      <c r="F275" s="56"/>
      <c r="G275" s="56"/>
      <c r="H275" s="56"/>
      <c r="I275" s="828"/>
      <c r="J275" s="56"/>
      <c r="K275" s="56"/>
      <c r="L275" s="56"/>
      <c r="M275" s="828"/>
      <c r="N275" s="56"/>
      <c r="O275" s="56"/>
      <c r="P275" s="56"/>
      <c r="Q275" s="828"/>
      <c r="R275" s="56"/>
      <c r="S275" s="56"/>
      <c r="T275" s="56"/>
      <c r="U275" s="828"/>
      <c r="V275" s="56"/>
      <c r="W275" s="56"/>
      <c r="X275" s="56"/>
      <c r="Y275" s="828"/>
      <c r="Z275" s="56"/>
      <c r="AA275" s="56"/>
      <c r="AB275" s="56"/>
      <c r="AC275" s="828"/>
      <c r="AD275" s="56"/>
      <c r="AE275" s="56"/>
      <c r="AF275" s="56"/>
      <c r="AG275" s="828"/>
      <c r="AH275" s="56"/>
      <c r="AI275" s="56"/>
      <c r="AJ275" s="56"/>
      <c r="AK275" s="828"/>
      <c r="AL275" s="56"/>
      <c r="AM275" s="56"/>
      <c r="AN275" s="56"/>
      <c r="AO275" s="828"/>
      <c r="AP275" s="56"/>
      <c r="AQ275" s="56"/>
      <c r="AR275" s="56"/>
      <c r="AS275" s="828"/>
      <c r="AT275" s="56"/>
      <c r="AU275" s="56"/>
      <c r="AV275" s="56"/>
      <c r="AW275" s="828"/>
      <c r="AX275" s="56"/>
      <c r="AY275" s="56"/>
      <c r="AZ275" s="56"/>
      <c r="BA275" s="828"/>
      <c r="BB275" s="56"/>
      <c r="BC275" s="56"/>
      <c r="BD275" s="56"/>
      <c r="BE275" s="828"/>
      <c r="BF275" s="56"/>
      <c r="BG275" s="56"/>
      <c r="BH275" s="56"/>
      <c r="BI275" s="828"/>
      <c r="BJ275" s="56"/>
      <c r="BK275" s="56"/>
      <c r="BL275" s="56"/>
      <c r="BM275" s="828"/>
      <c r="BN275" s="56"/>
      <c r="BO275" s="56"/>
      <c r="BP275" s="56"/>
      <c r="BQ275" s="828"/>
      <c r="BR275" s="56"/>
      <c r="BS275" s="56"/>
      <c r="BT275" s="56"/>
      <c r="BU275" s="828"/>
      <c r="BV275" s="56"/>
      <c r="BW275" s="56"/>
      <c r="BX275" s="56"/>
      <c r="BY275" s="828"/>
      <c r="BZ275" s="56"/>
      <c r="CA275" s="56"/>
      <c r="CB275" s="56"/>
      <c r="CC275" s="828"/>
      <c r="CD275" s="56"/>
      <c r="CE275" s="56"/>
      <c r="CF275" s="56"/>
      <c r="CG275" s="828"/>
      <c r="CH275" s="56"/>
      <c r="CI275" s="56"/>
      <c r="CJ275" s="56"/>
      <c r="CK275" s="828"/>
      <c r="CL275" s="56"/>
      <c r="CM275" s="56"/>
      <c r="CN275" s="56"/>
      <c r="CO275" s="828"/>
      <c r="CP275" s="56"/>
      <c r="CQ275" s="56"/>
      <c r="CR275" s="56"/>
      <c r="CS275" s="828"/>
      <c r="CT275" s="10"/>
      <c r="CU275" s="10"/>
      <c r="CV275" s="10"/>
      <c r="CW275" s="524"/>
      <c r="CX275" s="10"/>
      <c r="CY275" s="10"/>
      <c r="CZ275" s="10"/>
      <c r="DA275" s="524"/>
      <c r="DB275" s="10"/>
      <c r="DC275" s="10"/>
      <c r="DD275" s="172"/>
      <c r="DE275" s="524"/>
      <c r="DF275" s="172"/>
      <c r="DG275" s="172"/>
      <c r="DH275" s="172"/>
      <c r="DI275" s="524"/>
      <c r="DJ275" s="2720"/>
      <c r="DK275" s="172"/>
      <c r="DL275" s="172"/>
      <c r="DM275" s="524"/>
      <c r="DN275" s="671"/>
      <c r="DO275" s="484"/>
      <c r="DP275" s="821"/>
      <c r="DQ275" s="821"/>
      <c r="DR275" s="821"/>
      <c r="DS275" s="821"/>
      <c r="DT275" s="821"/>
      <c r="DU275" s="821"/>
      <c r="DV275" s="821"/>
      <c r="DW275" s="821"/>
      <c r="DX275" s="56"/>
      <c r="DY275" s="56"/>
      <c r="DZ275" s="56"/>
      <c r="EA275" s="56"/>
      <c r="EB275" s="56"/>
      <c r="EC275" s="56"/>
      <c r="ED275" s="56"/>
      <c r="EE275" s="56"/>
      <c r="EF275" s="56"/>
      <c r="EG275" s="56"/>
      <c r="EH275" s="56"/>
      <c r="EI275" s="56"/>
      <c r="EJ275" s="56"/>
      <c r="EK275" s="56"/>
      <c r="EL275" s="56"/>
      <c r="EM275" s="56"/>
      <c r="EN275" s="56"/>
      <c r="EO275" s="56"/>
      <c r="EP275" s="56"/>
      <c r="EQ275" s="56"/>
      <c r="ER275" s="56"/>
      <c r="ES275" s="56"/>
      <c r="ET275" s="56"/>
      <c r="EU275" s="56"/>
      <c r="EV275" s="56"/>
      <c r="EW275" s="56"/>
      <c r="EX275" s="56"/>
      <c r="EY275" s="56"/>
      <c r="EZ275" s="1696"/>
      <c r="FA275" s="10"/>
      <c r="FB275" s="10"/>
      <c r="FC275" s="10"/>
      <c r="FD275" s="172"/>
      <c r="FE275" s="10"/>
      <c r="FF275" s="10"/>
      <c r="FG275" s="10"/>
      <c r="FH275" s="10"/>
      <c r="FI275" s="667"/>
      <c r="FJ275"/>
      <c r="FK275"/>
      <c r="FL275"/>
      <c r="FM275"/>
      <c r="FN275"/>
      <c r="FO275"/>
      <c r="FP275" s="7"/>
      <c r="FS275" s="172"/>
      <c r="FT275" s="172"/>
      <c r="FU275"/>
      <c r="FV275"/>
      <c r="FW275" s="172"/>
      <c r="FX275" s="172"/>
      <c r="FY275" s="172"/>
      <c r="FZ275"/>
      <c r="GA275"/>
      <c r="GB275"/>
      <c r="GC275"/>
      <c r="GD275"/>
      <c r="GE275"/>
      <c r="GF275"/>
      <c r="GG275"/>
      <c r="GH275"/>
      <c r="GI275"/>
      <c r="GJ275"/>
      <c r="GK275"/>
      <c r="GL275"/>
      <c r="GM275"/>
      <c r="GN275"/>
      <c r="GO275"/>
      <c r="GP275"/>
      <c r="GQ275"/>
      <c r="GR275"/>
      <c r="GS275"/>
      <c r="GT275"/>
      <c r="GU275"/>
      <c r="GV275"/>
      <c r="GW275"/>
      <c r="GX275"/>
      <c r="GY275"/>
      <c r="GZ275"/>
      <c r="HA275"/>
      <c r="HB275"/>
      <c r="HC275"/>
      <c r="HD275"/>
      <c r="HE275"/>
      <c r="HF275"/>
      <c r="HG275"/>
      <c r="HH275"/>
      <c r="HI275"/>
      <c r="HJ275"/>
      <c r="HK275"/>
      <c r="HL275"/>
      <c r="HM275"/>
      <c r="HN275"/>
      <c r="HO275"/>
      <c r="HP275"/>
      <c r="HQ275"/>
      <c r="HR275"/>
      <c r="HS275"/>
      <c r="HT275"/>
      <c r="HU275"/>
      <c r="HV275"/>
      <c r="HW275"/>
      <c r="HX275"/>
      <c r="HY275"/>
      <c r="HZ275"/>
      <c r="IA275"/>
      <c r="IB275"/>
      <c r="IC275"/>
      <c r="ID275"/>
      <c r="IE275"/>
      <c r="IF275"/>
      <c r="IG275"/>
      <c r="IH275"/>
      <c r="II275"/>
      <c r="IJ275"/>
      <c r="IK275"/>
      <c r="IL275"/>
      <c r="IM275"/>
      <c r="IN275"/>
      <c r="IO275"/>
      <c r="IP275"/>
      <c r="IQ275"/>
      <c r="IR275"/>
      <c r="IS275"/>
      <c r="IT275"/>
      <c r="IU275"/>
      <c r="IV275"/>
      <c r="IW275"/>
      <c r="IX275"/>
      <c r="IY275"/>
      <c r="IZ275"/>
    </row>
    <row r="276" spans="1:260" s="6" customFormat="1" ht="11.25" hidden="1" customHeight="1" outlineLevel="2" x14ac:dyDescent="0.2">
      <c r="A276" s="6" t="s">
        <v>462</v>
      </c>
      <c r="B276" s="56"/>
      <c r="C276" s="56"/>
      <c r="D276" s="56"/>
      <c r="E276" s="828"/>
      <c r="F276" s="56"/>
      <c r="G276" s="56"/>
      <c r="H276" s="56"/>
      <c r="I276" s="828"/>
      <c r="J276" s="56"/>
      <c r="K276" s="56"/>
      <c r="L276" s="56"/>
      <c r="M276" s="828"/>
      <c r="N276" s="56"/>
      <c r="O276" s="56"/>
      <c r="P276" s="56"/>
      <c r="Q276" s="828"/>
      <c r="R276" s="56"/>
      <c r="S276" s="56"/>
      <c r="T276" s="56"/>
      <c r="U276" s="828"/>
      <c r="V276" s="56"/>
      <c r="W276" s="56"/>
      <c r="X276" s="56"/>
      <c r="Y276" s="828"/>
      <c r="Z276" s="56"/>
      <c r="AA276" s="56"/>
      <c r="AB276" s="56"/>
      <c r="AC276" s="828"/>
      <c r="AD276" s="56"/>
      <c r="AE276" s="56"/>
      <c r="AF276" s="56"/>
      <c r="AG276" s="828"/>
      <c r="AH276" s="56"/>
      <c r="AI276" s="56"/>
      <c r="AJ276" s="56"/>
      <c r="AK276" s="828"/>
      <c r="AL276" s="56"/>
      <c r="AM276" s="56"/>
      <c r="AN276" s="56"/>
      <c r="AO276" s="828"/>
      <c r="AP276" s="56"/>
      <c r="AQ276" s="56"/>
      <c r="AR276" s="56"/>
      <c r="AS276" s="828"/>
      <c r="AT276" s="56"/>
      <c r="AU276" s="56"/>
      <c r="AV276" s="56"/>
      <c r="AW276" s="828"/>
      <c r="AX276" s="56">
        <v>0</v>
      </c>
      <c r="AY276" s="56">
        <v>0</v>
      </c>
      <c r="AZ276" s="56">
        <v>7</v>
      </c>
      <c r="BA276" s="828">
        <v>8.75</v>
      </c>
      <c r="BB276" s="56">
        <f>BB248*1.83</f>
        <v>10.98</v>
      </c>
      <c r="BC276" s="56">
        <v>0</v>
      </c>
      <c r="BD276" s="56">
        <v>0</v>
      </c>
      <c r="BE276" s="828">
        <v>0</v>
      </c>
      <c r="BF276" s="56">
        <v>0</v>
      </c>
      <c r="BG276" s="56">
        <v>0</v>
      </c>
      <c r="BH276" s="56">
        <v>0</v>
      </c>
      <c r="BI276" s="828">
        <v>0</v>
      </c>
      <c r="BJ276" s="56">
        <v>0</v>
      </c>
      <c r="BK276" s="56">
        <v>0</v>
      </c>
      <c r="BL276" s="56">
        <v>0</v>
      </c>
      <c r="BM276" s="828">
        <v>0</v>
      </c>
      <c r="BN276" s="56">
        <v>0</v>
      </c>
      <c r="BO276" s="56">
        <f t="shared" ref="BO276:BU276" si="1064">BO248*1.83</f>
        <v>0</v>
      </c>
      <c r="BP276" s="56">
        <f t="shared" si="1064"/>
        <v>0</v>
      </c>
      <c r="BQ276" s="828">
        <f t="shared" si="1064"/>
        <v>0</v>
      </c>
      <c r="BR276" s="56">
        <f t="shared" si="1064"/>
        <v>0</v>
      </c>
      <c r="BS276" s="56">
        <f t="shared" si="1064"/>
        <v>0</v>
      </c>
      <c r="BT276" s="56">
        <f t="shared" si="1064"/>
        <v>0</v>
      </c>
      <c r="BU276" s="828">
        <f t="shared" si="1064"/>
        <v>0</v>
      </c>
      <c r="BV276" s="56">
        <v>0</v>
      </c>
      <c r="BW276" s="56">
        <v>0</v>
      </c>
      <c r="BX276" s="56">
        <v>0</v>
      </c>
      <c r="BY276" s="828">
        <v>0</v>
      </c>
      <c r="BZ276" s="56"/>
      <c r="CA276" s="56"/>
      <c r="CB276" s="56"/>
      <c r="CC276" s="828"/>
      <c r="CD276" s="56"/>
      <c r="CE276" s="56"/>
      <c r="CF276" s="56"/>
      <c r="CG276" s="828"/>
      <c r="CH276" s="56">
        <v>0</v>
      </c>
      <c r="CI276" s="56">
        <v>0</v>
      </c>
      <c r="CJ276" s="56">
        <v>0</v>
      </c>
      <c r="CK276" s="828">
        <v>0</v>
      </c>
      <c r="CL276" s="56"/>
      <c r="CM276" s="56"/>
      <c r="CN276" s="56"/>
      <c r="CO276" s="828"/>
      <c r="CP276" s="56">
        <v>0</v>
      </c>
      <c r="CQ276" s="56">
        <v>0</v>
      </c>
      <c r="CR276" s="56">
        <v>0</v>
      </c>
      <c r="CS276" s="828">
        <v>0</v>
      </c>
      <c r="CT276" s="56">
        <v>0</v>
      </c>
      <c r="CU276" s="80">
        <v>0</v>
      </c>
      <c r="CV276" s="80">
        <v>0</v>
      </c>
      <c r="CW276" s="990">
        <v>0</v>
      </c>
      <c r="CX276" s="1954">
        <v>0</v>
      </c>
      <c r="CY276" s="1954">
        <f>CX276</f>
        <v>0</v>
      </c>
      <c r="CZ276" s="1954"/>
      <c r="DA276" s="1951"/>
      <c r="DB276" s="1954"/>
      <c r="DC276" s="1954"/>
      <c r="DD276" s="1955"/>
      <c r="DE276" s="1951"/>
      <c r="DF276" s="1952"/>
      <c r="DG276" s="1952"/>
      <c r="DH276" s="1952"/>
      <c r="DI276" s="1951"/>
      <c r="DJ276" s="2748"/>
      <c r="DK276" s="1955"/>
      <c r="DL276" s="1955"/>
      <c r="DM276" s="1951"/>
      <c r="DN276" s="677"/>
      <c r="DO276" s="613"/>
      <c r="DP276" s="821"/>
      <c r="DQ276" s="821"/>
      <c r="DR276" s="821"/>
      <c r="DS276" s="821"/>
      <c r="DT276" s="821"/>
      <c r="DU276" s="821"/>
      <c r="DV276" s="821"/>
      <c r="DW276" s="821"/>
      <c r="DX276" s="56"/>
      <c r="DY276" s="56"/>
      <c r="DZ276" s="56"/>
      <c r="EA276" s="56"/>
      <c r="EB276" s="56"/>
      <c r="EC276" s="56"/>
      <c r="ED276" s="56"/>
      <c r="EE276" s="56"/>
      <c r="EF276" s="56">
        <f>AK276</f>
        <v>0</v>
      </c>
      <c r="EG276" s="56"/>
      <c r="EH276" s="56"/>
      <c r="EI276" s="56"/>
      <c r="EJ276" s="56">
        <f>+BA276</f>
        <v>8.75</v>
      </c>
      <c r="EK276" s="56">
        <f>EK248*1.83</f>
        <v>0</v>
      </c>
      <c r="EL276" s="56">
        <f>BI276</f>
        <v>0</v>
      </c>
      <c r="EM276" s="56">
        <f>BM276</f>
        <v>0</v>
      </c>
      <c r="EN276" s="56">
        <f>BQ276</f>
        <v>0</v>
      </c>
      <c r="EO276" s="56">
        <f>EO248*EO79/1000</f>
        <v>0</v>
      </c>
      <c r="EP276" s="56">
        <f>EP248*EP79/1000</f>
        <v>0</v>
      </c>
      <c r="EQ276" s="56"/>
      <c r="ER276" s="56"/>
      <c r="ES276" s="56">
        <f>ES248*ES79/1000</f>
        <v>0</v>
      </c>
      <c r="ET276" s="56"/>
      <c r="EU276" s="56">
        <f>EU248*EU79/1000</f>
        <v>0</v>
      </c>
      <c r="EV276" s="56">
        <f>EV248*EV79/1000</f>
        <v>0</v>
      </c>
      <c r="EW276" s="56"/>
      <c r="EX276" s="56"/>
      <c r="EY276" s="56"/>
      <c r="EZ276" s="1696"/>
      <c r="FA276" s="10"/>
      <c r="FB276" s="10"/>
      <c r="FC276" s="10"/>
      <c r="FD276" s="172"/>
      <c r="FE276" s="10"/>
      <c r="FF276" s="10"/>
      <c r="FG276" s="10"/>
      <c r="FH276" s="10"/>
      <c r="FI276" s="667"/>
      <c r="FJ276"/>
      <c r="FK276"/>
      <c r="FL276"/>
      <c r="FM276"/>
      <c r="FN276"/>
      <c r="FO276"/>
      <c r="FP276" s="7"/>
      <c r="FS276" s="172"/>
      <c r="FT276" s="172"/>
      <c r="FU276"/>
      <c r="FV276"/>
      <c r="FW276" s="172"/>
      <c r="FX276" s="172"/>
      <c r="FY276" s="172"/>
      <c r="FZ276"/>
      <c r="GA276"/>
      <c r="GB276"/>
      <c r="GC276"/>
      <c r="GD276"/>
      <c r="GE276"/>
      <c r="GF276"/>
      <c r="GG276"/>
      <c r="GH276"/>
      <c r="GI276"/>
      <c r="GJ276"/>
      <c r="GK276"/>
      <c r="GL276"/>
      <c r="GM276"/>
      <c r="GN276"/>
      <c r="GO276"/>
      <c r="GP276"/>
      <c r="GQ276"/>
      <c r="GR276"/>
      <c r="GS276"/>
      <c r="GT276"/>
      <c r="GU276"/>
      <c r="GV276"/>
      <c r="GW276"/>
      <c r="GX276"/>
      <c r="GY276"/>
      <c r="GZ276"/>
      <c r="HA276"/>
      <c r="HB276"/>
      <c r="HC276"/>
      <c r="HD276"/>
      <c r="HE276"/>
      <c r="HF276"/>
      <c r="HG276"/>
      <c r="HH276"/>
      <c r="HI276"/>
      <c r="HJ276"/>
      <c r="HK276"/>
      <c r="HL276"/>
      <c r="HM276"/>
      <c r="HN276"/>
      <c r="HO276"/>
      <c r="HP276"/>
      <c r="HQ276"/>
      <c r="HR276"/>
      <c r="HS276"/>
      <c r="HT276"/>
      <c r="HU276"/>
      <c r="HV276"/>
      <c r="HW276"/>
      <c r="HX276"/>
      <c r="HY276"/>
      <c r="HZ276"/>
      <c r="IA276"/>
      <c r="IB276"/>
      <c r="IC276"/>
      <c r="ID276"/>
      <c r="IE276"/>
      <c r="IF276"/>
      <c r="IG276"/>
      <c r="IH276"/>
      <c r="II276"/>
      <c r="IJ276"/>
      <c r="IK276"/>
      <c r="IL276"/>
      <c r="IM276"/>
      <c r="IN276"/>
      <c r="IO276"/>
      <c r="IP276"/>
      <c r="IQ276"/>
      <c r="IR276"/>
      <c r="IS276"/>
      <c r="IT276"/>
      <c r="IU276"/>
      <c r="IV276"/>
      <c r="IW276"/>
      <c r="IX276"/>
      <c r="IY276"/>
      <c r="IZ276"/>
    </row>
    <row r="277" spans="1:260" s="6" customFormat="1" ht="11.25" hidden="1" customHeight="1" outlineLevel="2" x14ac:dyDescent="0.2">
      <c r="A277" s="6" t="s">
        <v>84</v>
      </c>
      <c r="B277" s="56"/>
      <c r="C277" s="56"/>
      <c r="D277" s="56"/>
      <c r="E277" s="828"/>
      <c r="F277" s="56"/>
      <c r="G277" s="56"/>
      <c r="H277" s="56"/>
      <c r="I277" s="828"/>
      <c r="J277" s="56"/>
      <c r="K277" s="56"/>
      <c r="L277" s="56"/>
      <c r="M277" s="828"/>
      <c r="N277" s="56"/>
      <c r="O277" s="56"/>
      <c r="P277" s="56"/>
      <c r="Q277" s="828"/>
      <c r="R277" s="56"/>
      <c r="S277" s="56"/>
      <c r="T277" s="56"/>
      <c r="U277" s="828"/>
      <c r="V277" s="56"/>
      <c r="W277" s="56"/>
      <c r="X277" s="56"/>
      <c r="Y277" s="828"/>
      <c r="Z277" s="56"/>
      <c r="AA277" s="56"/>
      <c r="AB277" s="56"/>
      <c r="AC277" s="828"/>
      <c r="AD277" s="56"/>
      <c r="AE277" s="56"/>
      <c r="AF277" s="56"/>
      <c r="AG277" s="828"/>
      <c r="AH277" s="56"/>
      <c r="AI277" s="56"/>
      <c r="AJ277" s="56">
        <v>2449</v>
      </c>
      <c r="AK277" s="828">
        <v>2468</v>
      </c>
      <c r="AL277" s="56">
        <v>2508</v>
      </c>
      <c r="AM277" s="56">
        <v>2644</v>
      </c>
      <c r="AN277" s="56">
        <v>2782</v>
      </c>
      <c r="AO277" s="828">
        <v>2782</v>
      </c>
      <c r="AP277" s="56">
        <v>2782</v>
      </c>
      <c r="AQ277" s="56">
        <v>2831</v>
      </c>
      <c r="AR277" s="56">
        <v>2910</v>
      </c>
      <c r="AS277" s="828">
        <v>2910</v>
      </c>
      <c r="AT277" s="56">
        <v>2943</v>
      </c>
      <c r="AU277" s="56">
        <v>2936</v>
      </c>
      <c r="AV277" s="56">
        <v>3048</v>
      </c>
      <c r="AW277" s="828">
        <v>3048</v>
      </c>
      <c r="AX277" s="56">
        <v>3062</v>
      </c>
      <c r="AY277" s="56">
        <v>3092</v>
      </c>
      <c r="AZ277" s="56">
        <v>3192</v>
      </c>
      <c r="BA277" s="828">
        <v>3168</v>
      </c>
      <c r="BB277" s="56">
        <v>3177</v>
      </c>
      <c r="BC277" s="56">
        <v>3177</v>
      </c>
      <c r="BD277" s="56">
        <v>3223</v>
      </c>
      <c r="BE277" s="828">
        <v>3223</v>
      </c>
      <c r="BF277" s="56">
        <v>3255</v>
      </c>
      <c r="BG277" s="56">
        <v>3354</v>
      </c>
      <c r="BH277" s="56">
        <v>3485</v>
      </c>
      <c r="BI277" s="828">
        <v>3485</v>
      </c>
      <c r="BJ277" s="56">
        <v>3535</v>
      </c>
      <c r="BK277" s="56">
        <v>3536</v>
      </c>
      <c r="BL277" s="56">
        <v>3651</v>
      </c>
      <c r="BM277" s="828">
        <v>3713</v>
      </c>
      <c r="BN277" s="56">
        <v>3733</v>
      </c>
      <c r="BO277" s="56">
        <v>3778</v>
      </c>
      <c r="BP277" s="56">
        <v>3799</v>
      </c>
      <c r="BQ277" s="828">
        <v>3818</v>
      </c>
      <c r="BR277" s="56">
        <v>3818</v>
      </c>
      <c r="BS277" s="56">
        <v>3854</v>
      </c>
      <c r="BT277" s="56">
        <v>3873</v>
      </c>
      <c r="BU277" s="828">
        <v>3864</v>
      </c>
      <c r="BV277" s="56">
        <v>3864</v>
      </c>
      <c r="BW277" s="56">
        <v>3933</v>
      </c>
      <c r="BX277" s="56">
        <v>3972</v>
      </c>
      <c r="BY277" s="828">
        <v>3944</v>
      </c>
      <c r="BZ277" s="56"/>
      <c r="CA277" s="56"/>
      <c r="CB277" s="56"/>
      <c r="CC277" s="828"/>
      <c r="CD277" s="56"/>
      <c r="CE277" s="56"/>
      <c r="CF277" s="56"/>
      <c r="CG277" s="828"/>
      <c r="CH277" s="56">
        <v>3944</v>
      </c>
      <c r="CI277" s="56">
        <v>3944</v>
      </c>
      <c r="CJ277" s="56">
        <v>3944</v>
      </c>
      <c r="CK277" s="828">
        <v>3695</v>
      </c>
      <c r="CL277" s="56"/>
      <c r="CM277" s="56"/>
      <c r="CN277" s="56"/>
      <c r="CO277" s="828"/>
      <c r="CP277" s="56">
        <v>3695</v>
      </c>
      <c r="CQ277" s="56">
        <v>3695</v>
      </c>
      <c r="CR277" s="56">
        <v>3695</v>
      </c>
      <c r="CS277" s="828">
        <v>3609</v>
      </c>
      <c r="CT277" s="56">
        <v>3609</v>
      </c>
      <c r="CU277" s="10">
        <v>3545</v>
      </c>
      <c r="CV277" s="10">
        <v>3545</v>
      </c>
      <c r="CW277" s="524">
        <v>3493</v>
      </c>
      <c r="CX277" s="1954">
        <v>0</v>
      </c>
      <c r="CY277" s="1954">
        <f t="shared" ref="CY277:CY286" si="1065">CX277</f>
        <v>0</v>
      </c>
      <c r="CZ277" s="1954"/>
      <c r="DA277" s="1951"/>
      <c r="DB277" s="1954"/>
      <c r="DC277" s="1954"/>
      <c r="DD277" s="1955"/>
      <c r="DE277" s="1951"/>
      <c r="DF277" s="1955"/>
      <c r="DG277" s="1955"/>
      <c r="DH277" s="1955"/>
      <c r="DI277" s="1951"/>
      <c r="DJ277" s="2748"/>
      <c r="DK277" s="1955"/>
      <c r="DL277" s="1955"/>
      <c r="DM277" s="1951"/>
      <c r="DN277" s="677"/>
      <c r="DO277" s="613"/>
      <c r="DP277" s="821"/>
      <c r="DQ277" s="821"/>
      <c r="DR277" s="821"/>
      <c r="DS277" s="821"/>
      <c r="DT277" s="821"/>
      <c r="DU277" s="821"/>
      <c r="DV277" s="821"/>
      <c r="DW277" s="821"/>
      <c r="DX277" s="56"/>
      <c r="DY277" s="56"/>
      <c r="DZ277" s="56"/>
      <c r="EA277" s="56"/>
      <c r="EB277" s="56"/>
      <c r="EC277" s="56"/>
      <c r="ED277" s="56"/>
      <c r="EE277" s="56"/>
      <c r="EF277" s="56">
        <f>AK277</f>
        <v>2468</v>
      </c>
      <c r="EG277" s="56">
        <f>AO277</f>
        <v>2782</v>
      </c>
      <c r="EH277" s="56">
        <f>AS277</f>
        <v>2910</v>
      </c>
      <c r="EI277" s="56">
        <f>+AW277</f>
        <v>3048</v>
      </c>
      <c r="EJ277" s="56">
        <f>+BA277</f>
        <v>3168</v>
      </c>
      <c r="EK277" s="56">
        <f>BE277</f>
        <v>3223</v>
      </c>
      <c r="EL277" s="56">
        <f>BI277</f>
        <v>3485</v>
      </c>
      <c r="EM277" s="56">
        <f>BM277</f>
        <v>3713</v>
      </c>
      <c r="EN277" s="56">
        <f>BQ277</f>
        <v>3818</v>
      </c>
      <c r="EO277" s="56">
        <f>BU277</f>
        <v>3864</v>
      </c>
      <c r="EP277" s="56">
        <f>BY277</f>
        <v>3944</v>
      </c>
      <c r="EQ277" s="56"/>
      <c r="ER277" s="56"/>
      <c r="ES277" s="56">
        <f>CK277</f>
        <v>3695</v>
      </c>
      <c r="ET277" s="56"/>
      <c r="EU277" s="56">
        <f>CS277</f>
        <v>3609</v>
      </c>
      <c r="EV277" s="56">
        <f>CW277</f>
        <v>3493</v>
      </c>
      <c r="EW277" s="56"/>
      <c r="EX277" s="56"/>
      <c r="EY277" s="56"/>
      <c r="EZ277" s="1696"/>
      <c r="FA277" s="10"/>
      <c r="FB277" s="10"/>
      <c r="FC277" s="10"/>
      <c r="FD277" s="172"/>
      <c r="FE277" s="10"/>
      <c r="FF277" s="10"/>
      <c r="FG277" s="10"/>
      <c r="FH277" s="10"/>
      <c r="FI277" s="667"/>
      <c r="FJ277"/>
      <c r="FK277"/>
      <c r="FL277"/>
      <c r="FM277"/>
      <c r="FN277"/>
      <c r="FO277"/>
      <c r="FP277" s="7"/>
      <c r="FS277" s="172"/>
      <c r="FT277" s="172"/>
      <c r="FU277"/>
      <c r="FV277"/>
      <c r="FW277" s="172"/>
      <c r="FX277" s="172"/>
      <c r="FY277" s="172"/>
      <c r="FZ277"/>
      <c r="GA277"/>
      <c r="GB277"/>
      <c r="GC277"/>
      <c r="GD277"/>
      <c r="GE277"/>
      <c r="GF277"/>
      <c r="GG277"/>
      <c r="GH277"/>
      <c r="GI277"/>
      <c r="GJ277"/>
      <c r="GK277"/>
      <c r="GL277"/>
      <c r="GM277"/>
      <c r="GN277"/>
      <c r="GO277"/>
      <c r="GP277"/>
      <c r="GQ277"/>
      <c r="GR277"/>
      <c r="GS277"/>
      <c r="GT277"/>
      <c r="GU277"/>
      <c r="GV277"/>
      <c r="GW277"/>
      <c r="GX277"/>
      <c r="GY277"/>
      <c r="GZ277"/>
      <c r="HA277"/>
      <c r="HB277"/>
      <c r="HC277"/>
      <c r="HD277"/>
      <c r="HE277"/>
      <c r="HF277"/>
      <c r="HG277"/>
      <c r="HH277"/>
      <c r="HI277"/>
      <c r="HJ277"/>
      <c r="HK277"/>
      <c r="HL277"/>
      <c r="HM277"/>
      <c r="HN277"/>
      <c r="HO277"/>
      <c r="HP277"/>
      <c r="HQ277"/>
      <c r="HR277"/>
      <c r="HS277"/>
      <c r="HT277"/>
      <c r="HU277"/>
      <c r="HV277"/>
      <c r="HW277"/>
      <c r="HX277"/>
      <c r="HY277"/>
      <c r="HZ277"/>
      <c r="IA277"/>
      <c r="IB277"/>
      <c r="IC277"/>
      <c r="ID277"/>
      <c r="IE277"/>
      <c r="IF277"/>
      <c r="IG277"/>
      <c r="IH277"/>
      <c r="II277"/>
      <c r="IJ277"/>
      <c r="IK277"/>
      <c r="IL277"/>
      <c r="IM277"/>
      <c r="IN277"/>
      <c r="IO277"/>
      <c r="IP277"/>
      <c r="IQ277"/>
      <c r="IR277"/>
      <c r="IS277"/>
      <c r="IT277"/>
      <c r="IU277"/>
      <c r="IV277"/>
      <c r="IW277"/>
      <c r="IX277"/>
      <c r="IY277"/>
      <c r="IZ277"/>
    </row>
    <row r="278" spans="1:260" s="6" customFormat="1" ht="11.25" hidden="1" customHeight="1" outlineLevel="1" collapsed="1" x14ac:dyDescent="0.2">
      <c r="A278" s="6" t="s">
        <v>557</v>
      </c>
      <c r="B278" s="56"/>
      <c r="C278" s="56"/>
      <c r="D278" s="56"/>
      <c r="E278" s="828"/>
      <c r="F278" s="56"/>
      <c r="G278" s="56"/>
      <c r="H278" s="56"/>
      <c r="I278" s="828"/>
      <c r="J278" s="56"/>
      <c r="K278" s="56"/>
      <c r="L278" s="56"/>
      <c r="M278" s="828"/>
      <c r="N278" s="56"/>
      <c r="O278" s="56"/>
      <c r="P278" s="56"/>
      <c r="Q278" s="828"/>
      <c r="R278" s="56"/>
      <c r="S278" s="56"/>
      <c r="T278" s="56"/>
      <c r="U278" s="828"/>
      <c r="V278" s="56"/>
      <c r="W278" s="56"/>
      <c r="X278" s="56"/>
      <c r="Y278" s="828"/>
      <c r="Z278" s="56"/>
      <c r="AA278" s="56"/>
      <c r="AB278" s="56"/>
      <c r="AC278" s="828"/>
      <c r="AD278" s="56"/>
      <c r="AE278" s="56"/>
      <c r="AF278" s="56"/>
      <c r="AG278" s="828"/>
      <c r="AH278" s="56"/>
      <c r="AI278" s="56"/>
      <c r="AJ278" s="56"/>
      <c r="AK278" s="828"/>
      <c r="AL278" s="56">
        <f>AL250*28</f>
        <v>0</v>
      </c>
      <c r="AM278" s="56">
        <v>45</v>
      </c>
      <c r="AN278" s="56">
        <v>283</v>
      </c>
      <c r="AO278" s="828">
        <v>283</v>
      </c>
      <c r="AP278" s="56">
        <v>357</v>
      </c>
      <c r="AQ278" s="56">
        <v>502</v>
      </c>
      <c r="AR278" s="56">
        <v>677</v>
      </c>
      <c r="AS278" s="828">
        <v>677</v>
      </c>
      <c r="AT278" s="56">
        <v>677</v>
      </c>
      <c r="AU278" s="56">
        <v>775</v>
      </c>
      <c r="AV278" s="56">
        <v>941</v>
      </c>
      <c r="AW278" s="828">
        <v>1009</v>
      </c>
      <c r="AX278" s="56">
        <v>1071</v>
      </c>
      <c r="AY278" s="56">
        <v>1142</v>
      </c>
      <c r="AZ278" s="56">
        <v>1437</v>
      </c>
      <c r="BA278" s="828">
        <v>1475</v>
      </c>
      <c r="BB278" s="56">
        <v>1475</v>
      </c>
      <c r="BC278" s="56">
        <v>1475</v>
      </c>
      <c r="BD278" s="56">
        <v>1571</v>
      </c>
      <c r="BE278" s="828">
        <v>1571</v>
      </c>
      <c r="BF278" s="56">
        <v>1571</v>
      </c>
      <c r="BG278" s="56">
        <v>1606</v>
      </c>
      <c r="BH278" s="56">
        <v>1694</v>
      </c>
      <c r="BI278" s="828">
        <v>1694</v>
      </c>
      <c r="BJ278" s="56">
        <v>1694</v>
      </c>
      <c r="BK278" s="56">
        <v>1720</v>
      </c>
      <c r="BL278" s="56">
        <v>1867</v>
      </c>
      <c r="BM278" s="828">
        <v>1887</v>
      </c>
      <c r="BN278" s="56">
        <v>1887</v>
      </c>
      <c r="BO278" s="56">
        <v>1939</v>
      </c>
      <c r="BP278" s="56">
        <v>2049</v>
      </c>
      <c r="BQ278" s="828">
        <v>2049</v>
      </c>
      <c r="BR278" s="56">
        <v>2103</v>
      </c>
      <c r="BS278" s="56">
        <v>2219</v>
      </c>
      <c r="BT278" s="56">
        <v>2250</v>
      </c>
      <c r="BU278" s="828">
        <v>2250</v>
      </c>
      <c r="BV278" s="56">
        <v>2250</v>
      </c>
      <c r="BW278" s="56">
        <v>2409</v>
      </c>
      <c r="BX278" s="56">
        <v>2431</v>
      </c>
      <c r="BY278" s="828">
        <v>2432</v>
      </c>
      <c r="BZ278" s="56"/>
      <c r="CA278" s="56"/>
      <c r="CB278" s="56"/>
      <c r="CC278" s="828"/>
      <c r="CD278" s="56"/>
      <c r="CE278" s="56"/>
      <c r="CF278" s="56"/>
      <c r="CG278" s="828"/>
      <c r="CH278" s="56">
        <v>2431</v>
      </c>
      <c r="CI278" s="56">
        <v>2431</v>
      </c>
      <c r="CJ278" s="56">
        <v>2490</v>
      </c>
      <c r="CK278" s="828">
        <v>2293</v>
      </c>
      <c r="CL278" s="56"/>
      <c r="CM278" s="56"/>
      <c r="CN278" s="56"/>
      <c r="CO278" s="828"/>
      <c r="CP278" s="56">
        <v>2293</v>
      </c>
      <c r="CQ278" s="56">
        <v>2293</v>
      </c>
      <c r="CR278" s="56">
        <v>2293</v>
      </c>
      <c r="CS278" s="828">
        <v>2293</v>
      </c>
      <c r="CT278" s="56">
        <v>2293</v>
      </c>
      <c r="CU278" s="10">
        <v>2293</v>
      </c>
      <c r="CV278" s="10">
        <v>2293</v>
      </c>
      <c r="CW278" s="524">
        <v>2257</v>
      </c>
      <c r="CX278" s="1954">
        <v>3835</v>
      </c>
      <c r="CY278" s="1954">
        <v>3835</v>
      </c>
      <c r="CZ278" s="1954">
        <v>3835</v>
      </c>
      <c r="DA278" s="1951">
        <v>3848</v>
      </c>
      <c r="DB278" s="1954">
        <v>3812</v>
      </c>
      <c r="DC278" s="1954">
        <v>3812</v>
      </c>
      <c r="DD278" s="1955">
        <v>3812</v>
      </c>
      <c r="DE278" s="1951">
        <v>3783</v>
      </c>
      <c r="DF278" s="1955">
        <v>3783</v>
      </c>
      <c r="DG278" s="1955">
        <v>3783</v>
      </c>
      <c r="DH278" s="1955">
        <v>3783</v>
      </c>
      <c r="DI278" s="1951">
        <v>3783</v>
      </c>
      <c r="DJ278" s="2748"/>
      <c r="DK278" s="1955"/>
      <c r="DL278" s="1955"/>
      <c r="DM278" s="1951"/>
      <c r="DN278" s="677"/>
      <c r="DO278" s="613"/>
      <c r="DP278" s="821"/>
      <c r="DQ278" s="821"/>
      <c r="DR278" s="821"/>
      <c r="DS278" s="821"/>
      <c r="DT278" s="821"/>
      <c r="DU278" s="821"/>
      <c r="DV278" s="821"/>
      <c r="DW278" s="821"/>
      <c r="DX278" s="56"/>
      <c r="DY278" s="56"/>
      <c r="DZ278" s="56"/>
      <c r="EA278" s="56"/>
      <c r="EB278" s="56"/>
      <c r="EC278" s="56"/>
      <c r="ED278" s="56"/>
      <c r="EE278" s="56"/>
      <c r="EF278" s="56"/>
      <c r="EG278" s="56">
        <f>AO278</f>
        <v>283</v>
      </c>
      <c r="EH278" s="56">
        <f>AS278</f>
        <v>677</v>
      </c>
      <c r="EI278" s="56">
        <f>AW278</f>
        <v>1009</v>
      </c>
      <c r="EJ278" s="56">
        <f>+BA278</f>
        <v>1475</v>
      </c>
      <c r="EK278" s="56">
        <f>BE278</f>
        <v>1571</v>
      </c>
      <c r="EL278" s="56">
        <f>BI278</f>
        <v>1694</v>
      </c>
      <c r="EM278" s="56">
        <f>BM278</f>
        <v>1887</v>
      </c>
      <c r="EN278" s="56">
        <f>BQ278</f>
        <v>2049</v>
      </c>
      <c r="EO278" s="56">
        <f>BU278</f>
        <v>2250</v>
      </c>
      <c r="EP278" s="56">
        <f>BY278</f>
        <v>2432</v>
      </c>
      <c r="EQ278" s="56"/>
      <c r="ER278" s="56"/>
      <c r="ES278" s="56">
        <f>CK278</f>
        <v>2293</v>
      </c>
      <c r="ET278" s="56"/>
      <c r="EU278" s="56">
        <f>CS278</f>
        <v>2293</v>
      </c>
      <c r="EV278" s="56">
        <f>CW278</f>
        <v>2257</v>
      </c>
      <c r="EW278" s="4">
        <f t="shared" ref="EW278:EW287" si="1066">+DA278</f>
        <v>3848</v>
      </c>
      <c r="EX278" s="4">
        <f t="shared" ref="EX278:EX287" si="1067">+DE278</f>
        <v>3783</v>
      </c>
      <c r="EY278" s="11">
        <f>+DI278</f>
        <v>3783</v>
      </c>
      <c r="EZ278" s="1734"/>
      <c r="FA278" s="10"/>
      <c r="FB278" s="10"/>
      <c r="FC278" s="10"/>
      <c r="FD278" s="172"/>
      <c r="FE278" s="10"/>
      <c r="FF278" s="10"/>
      <c r="FG278" s="10"/>
      <c r="FH278" s="10"/>
      <c r="FI278" s="667"/>
      <c r="FJ278"/>
      <c r="FK278"/>
      <c r="FL278"/>
      <c r="FM278"/>
      <c r="FN278"/>
      <c r="FO278"/>
      <c r="FP278" s="7"/>
      <c r="FS278" s="172"/>
      <c r="FT278" s="172"/>
      <c r="FU278"/>
      <c r="FV278"/>
      <c r="FW278" s="172"/>
      <c r="FX278" s="172"/>
      <c r="FY278" s="172"/>
      <c r="FZ278"/>
      <c r="GA278"/>
      <c r="GB278"/>
      <c r="GC278"/>
      <c r="GD278"/>
      <c r="GE278"/>
      <c r="GF278"/>
      <c r="GG278"/>
      <c r="GH278"/>
      <c r="GI278"/>
      <c r="GJ278"/>
      <c r="GK278"/>
      <c r="GL278"/>
      <c r="GM278"/>
      <c r="GN278"/>
      <c r="GO278"/>
      <c r="GP278"/>
      <c r="GQ278"/>
      <c r="GR278"/>
      <c r="GS278"/>
      <c r="GT278"/>
      <c r="GU278"/>
      <c r="GV278"/>
      <c r="GW278"/>
      <c r="GX278"/>
      <c r="GY278"/>
      <c r="GZ278"/>
      <c r="HA278"/>
      <c r="HB278"/>
      <c r="HC278"/>
      <c r="HD278"/>
      <c r="HE278"/>
      <c r="HF278"/>
      <c r="HG278"/>
      <c r="HH278"/>
      <c r="HI278"/>
      <c r="HJ278"/>
      <c r="HK278"/>
      <c r="HL278"/>
      <c r="HM278"/>
      <c r="HN278"/>
      <c r="HO278"/>
      <c r="HP278"/>
      <c r="HQ278"/>
      <c r="HR278"/>
      <c r="HS278"/>
      <c r="HT278"/>
      <c r="HU278"/>
      <c r="HV278"/>
      <c r="HW278"/>
      <c r="HX278"/>
      <c r="HY278"/>
      <c r="HZ278"/>
      <c r="IA278"/>
      <c r="IB278"/>
      <c r="IC278"/>
      <c r="ID278"/>
      <c r="IE278"/>
      <c r="IF278"/>
      <c r="IG278"/>
      <c r="IH278"/>
      <c r="II278"/>
      <c r="IJ278"/>
      <c r="IK278"/>
      <c r="IL278"/>
      <c r="IM278"/>
      <c r="IN278"/>
      <c r="IO278"/>
      <c r="IP278"/>
      <c r="IQ278"/>
      <c r="IR278"/>
      <c r="IS278"/>
      <c r="IT278"/>
      <c r="IU278"/>
      <c r="IV278"/>
      <c r="IW278"/>
      <c r="IX278"/>
      <c r="IY278"/>
      <c r="IZ278"/>
    </row>
    <row r="279" spans="1:260" s="6" customFormat="1" ht="11.25" hidden="1" customHeight="1" outlineLevel="2" x14ac:dyDescent="0.2">
      <c r="A279" s="6" t="s">
        <v>80</v>
      </c>
      <c r="B279" s="56"/>
      <c r="C279" s="56"/>
      <c r="D279" s="56"/>
      <c r="E279" s="828"/>
      <c r="F279" s="56"/>
      <c r="G279" s="56"/>
      <c r="H279" s="56"/>
      <c r="I279" s="828"/>
      <c r="J279" s="56"/>
      <c r="K279" s="56"/>
      <c r="L279" s="56"/>
      <c r="M279" s="828"/>
      <c r="N279" s="56"/>
      <c r="O279" s="56"/>
      <c r="P279" s="56"/>
      <c r="Q279" s="828"/>
      <c r="R279" s="56"/>
      <c r="S279" s="56"/>
      <c r="T279" s="56"/>
      <c r="U279" s="828"/>
      <c r="V279" s="56"/>
      <c r="W279" s="56"/>
      <c r="X279" s="56"/>
      <c r="Y279" s="828"/>
      <c r="Z279" s="56"/>
      <c r="AA279" s="56"/>
      <c r="AB279" s="56"/>
      <c r="AC279" s="828"/>
      <c r="AD279" s="56"/>
      <c r="AE279" s="56"/>
      <c r="AF279" s="56"/>
      <c r="AG279" s="828"/>
      <c r="AH279" s="56"/>
      <c r="AI279" s="56"/>
      <c r="AJ279" s="56"/>
      <c r="AK279" s="828"/>
      <c r="AL279" s="56"/>
      <c r="AM279" s="56"/>
      <c r="AN279" s="56"/>
      <c r="AO279" s="828"/>
      <c r="AP279" s="56"/>
      <c r="AQ279" s="56"/>
      <c r="AR279" s="56"/>
      <c r="AS279" s="828"/>
      <c r="AT279" s="56"/>
      <c r="AU279" s="56"/>
      <c r="AV279" s="56"/>
      <c r="AW279" s="828"/>
      <c r="AX279" s="56"/>
      <c r="AY279" s="56"/>
      <c r="AZ279" s="56"/>
      <c r="BA279" s="828"/>
      <c r="BB279" s="56"/>
      <c r="BC279" s="56"/>
      <c r="BD279" s="56"/>
      <c r="BE279" s="828"/>
      <c r="BF279" s="56"/>
      <c r="BG279" s="56"/>
      <c r="BH279" s="56"/>
      <c r="BI279" s="828"/>
      <c r="BJ279" s="56"/>
      <c r="BK279" s="56"/>
      <c r="BL279" s="56">
        <v>1415</v>
      </c>
      <c r="BM279" s="828">
        <v>1473</v>
      </c>
      <c r="BN279" s="56">
        <v>1476</v>
      </c>
      <c r="BO279" s="56">
        <v>1481</v>
      </c>
      <c r="BP279" s="56">
        <v>1488</v>
      </c>
      <c r="BQ279" s="828">
        <v>1480</v>
      </c>
      <c r="BR279" s="56">
        <v>1474</v>
      </c>
      <c r="BS279" s="56">
        <v>1485</v>
      </c>
      <c r="BT279" s="56">
        <v>1488</v>
      </c>
      <c r="BU279" s="828">
        <v>1505</v>
      </c>
      <c r="BV279" s="56">
        <v>1511</v>
      </c>
      <c r="BW279" s="56">
        <v>1517</v>
      </c>
      <c r="BX279" s="56">
        <v>1527</v>
      </c>
      <c r="BY279" s="828">
        <v>1499</v>
      </c>
      <c r="BZ279" s="56"/>
      <c r="CA279" s="56"/>
      <c r="CB279" s="56"/>
      <c r="CC279" s="828"/>
      <c r="CD279" s="56"/>
      <c r="CE279" s="56"/>
      <c r="CF279" s="56"/>
      <c r="CG279" s="828"/>
      <c r="CH279" s="56">
        <v>1500</v>
      </c>
      <c r="CI279" s="56">
        <v>1488</v>
      </c>
      <c r="CJ279" s="56">
        <v>1496</v>
      </c>
      <c r="CK279" s="828">
        <v>1496</v>
      </c>
      <c r="CL279" s="56"/>
      <c r="CM279" s="56"/>
      <c r="CN279" s="56"/>
      <c r="CO279" s="828"/>
      <c r="CP279" s="56">
        <v>0</v>
      </c>
      <c r="CQ279" s="56">
        <v>0</v>
      </c>
      <c r="CR279" s="56">
        <v>0</v>
      </c>
      <c r="CS279" s="828">
        <v>0</v>
      </c>
      <c r="CT279" s="56">
        <v>0</v>
      </c>
      <c r="CU279" s="10">
        <v>0</v>
      </c>
      <c r="CV279" s="10">
        <v>0</v>
      </c>
      <c r="CW279" s="524">
        <v>0</v>
      </c>
      <c r="CX279" s="1954">
        <v>0</v>
      </c>
      <c r="CY279" s="1954">
        <f t="shared" si="1065"/>
        <v>0</v>
      </c>
      <c r="CZ279" s="1954"/>
      <c r="DA279" s="1951"/>
      <c r="DB279" s="1954"/>
      <c r="DC279" s="1954"/>
      <c r="DD279" s="1955"/>
      <c r="DE279" s="1951"/>
      <c r="DF279" s="1955"/>
      <c r="DG279" s="1955"/>
      <c r="DH279" s="1955"/>
      <c r="DI279" s="1951"/>
      <c r="DJ279" s="2748"/>
      <c r="DK279" s="1955"/>
      <c r="DL279" s="1955"/>
      <c r="DM279" s="1951"/>
      <c r="DN279" s="677"/>
      <c r="DO279" s="613"/>
      <c r="DP279" s="821"/>
      <c r="DQ279" s="821"/>
      <c r="DR279" s="821"/>
      <c r="DS279" s="821"/>
      <c r="DT279" s="821"/>
      <c r="DU279" s="821"/>
      <c r="DV279" s="821"/>
      <c r="DW279" s="821"/>
      <c r="DX279" s="56"/>
      <c r="DY279" s="56"/>
      <c r="DZ279" s="56"/>
      <c r="EA279" s="56"/>
      <c r="EB279" s="56"/>
      <c r="EC279" s="56"/>
      <c r="ED279" s="56"/>
      <c r="EE279" s="56"/>
      <c r="EF279" s="56"/>
      <c r="EG279" s="56"/>
      <c r="EH279" s="56"/>
      <c r="EI279" s="56"/>
      <c r="EJ279" s="56"/>
      <c r="EK279" s="56"/>
      <c r="EL279" s="56"/>
      <c r="EM279" s="56">
        <f>BM279</f>
        <v>1473</v>
      </c>
      <c r="EN279" s="56">
        <f>BQ279</f>
        <v>1480</v>
      </c>
      <c r="EO279" s="56">
        <f>BU279</f>
        <v>1505</v>
      </c>
      <c r="EP279" s="56">
        <f>BY279</f>
        <v>1499</v>
      </c>
      <c r="EQ279" s="56"/>
      <c r="ER279" s="56"/>
      <c r="ES279" s="56">
        <f>CK279</f>
        <v>1496</v>
      </c>
      <c r="ET279" s="56"/>
      <c r="EU279" s="56">
        <f>CS279</f>
        <v>0</v>
      </c>
      <c r="EV279" s="56">
        <f>CW279</f>
        <v>0</v>
      </c>
      <c r="EW279" s="4">
        <f t="shared" si="1066"/>
        <v>0</v>
      </c>
      <c r="EX279" s="4">
        <f t="shared" si="1067"/>
        <v>0</v>
      </c>
      <c r="EY279" s="11">
        <f t="shared" ref="EY279:EY287" si="1068">+DI279</f>
        <v>0</v>
      </c>
      <c r="EZ279" s="1734"/>
      <c r="FA279" s="10"/>
      <c r="FB279" s="10"/>
      <c r="FC279" s="10"/>
      <c r="FD279" s="172"/>
      <c r="FE279" s="10"/>
      <c r="FF279" s="10"/>
      <c r="FG279" s="10"/>
      <c r="FH279" s="10"/>
      <c r="FI279" s="667"/>
      <c r="FJ279"/>
      <c r="FK279"/>
      <c r="FL279"/>
      <c r="FM279"/>
      <c r="FN279"/>
      <c r="FO279"/>
      <c r="FP279" s="7"/>
      <c r="FS279" s="172"/>
      <c r="FT279" s="172"/>
      <c r="FU279"/>
      <c r="FV279"/>
      <c r="FW279" s="172"/>
      <c r="FX279" s="172"/>
      <c r="FY279" s="172"/>
      <c r="FZ279"/>
      <c r="GA279"/>
      <c r="GB279"/>
      <c r="GC279"/>
      <c r="GD279"/>
      <c r="GE279"/>
      <c r="GF279"/>
      <c r="GG279"/>
      <c r="GH279"/>
      <c r="GI279"/>
      <c r="GJ279"/>
      <c r="GK279"/>
      <c r="GL279"/>
      <c r="GM279"/>
      <c r="GN279"/>
      <c r="GO279"/>
      <c r="GP279"/>
      <c r="GQ279"/>
      <c r="GR279"/>
      <c r="GS279"/>
      <c r="GT279"/>
      <c r="GU279"/>
      <c r="GV279"/>
      <c r="GW279"/>
      <c r="GX279"/>
      <c r="GY279"/>
      <c r="GZ279"/>
      <c r="HA279"/>
      <c r="HB279"/>
      <c r="HC279"/>
      <c r="HD279"/>
      <c r="HE279"/>
      <c r="HF279"/>
      <c r="HG279"/>
      <c r="HH279"/>
      <c r="HI279"/>
      <c r="HJ279"/>
      <c r="HK279"/>
      <c r="HL279"/>
      <c r="HM279"/>
      <c r="HN279"/>
      <c r="HO279"/>
      <c r="HP279"/>
      <c r="HQ279"/>
      <c r="HR279"/>
      <c r="HS279"/>
      <c r="HT279"/>
      <c r="HU279"/>
      <c r="HV279"/>
      <c r="HW279"/>
      <c r="HX279"/>
      <c r="HY279"/>
      <c r="HZ279"/>
      <c r="IA279"/>
      <c r="IB279"/>
      <c r="IC279"/>
      <c r="ID279"/>
      <c r="IE279"/>
      <c r="IF279"/>
      <c r="IG279"/>
      <c r="IH279"/>
      <c r="II279"/>
      <c r="IJ279"/>
      <c r="IK279"/>
      <c r="IL279"/>
      <c r="IM279"/>
      <c r="IN279"/>
      <c r="IO279"/>
      <c r="IP279"/>
      <c r="IQ279"/>
      <c r="IR279"/>
      <c r="IS279"/>
      <c r="IT279"/>
      <c r="IU279"/>
      <c r="IV279"/>
      <c r="IW279"/>
      <c r="IX279"/>
      <c r="IY279"/>
      <c r="IZ279"/>
    </row>
    <row r="280" spans="1:260" s="6" customFormat="1" ht="11.25" hidden="1" customHeight="1" outlineLevel="2" x14ac:dyDescent="0.2">
      <c r="A280" s="6" t="s">
        <v>484</v>
      </c>
      <c r="B280" s="56"/>
      <c r="C280" s="56"/>
      <c r="D280" s="56"/>
      <c r="E280" s="828"/>
      <c r="F280" s="56"/>
      <c r="G280" s="56"/>
      <c r="H280" s="56"/>
      <c r="I280" s="828"/>
      <c r="J280" s="56"/>
      <c r="K280" s="56"/>
      <c r="L280" s="56"/>
      <c r="M280" s="828"/>
      <c r="N280" s="56"/>
      <c r="O280" s="56"/>
      <c r="P280" s="56"/>
      <c r="Q280" s="828"/>
      <c r="R280" s="56"/>
      <c r="S280" s="56"/>
      <c r="T280" s="56"/>
      <c r="U280" s="828"/>
      <c r="V280" s="56"/>
      <c r="W280" s="56"/>
      <c r="X280" s="56"/>
      <c r="Y280" s="828"/>
      <c r="Z280" s="56"/>
      <c r="AA280" s="56"/>
      <c r="AB280" s="56"/>
      <c r="AC280" s="828"/>
      <c r="AD280" s="56"/>
      <c r="AE280" s="56"/>
      <c r="AF280" s="56"/>
      <c r="AG280" s="828"/>
      <c r="AH280" s="56"/>
      <c r="AI280" s="56"/>
      <c r="AJ280" s="56"/>
      <c r="AK280" s="828"/>
      <c r="AL280" s="56"/>
      <c r="AM280" s="56"/>
      <c r="AN280" s="56"/>
      <c r="AO280" s="828"/>
      <c r="AP280" s="56"/>
      <c r="AQ280" s="56"/>
      <c r="AR280" s="56"/>
      <c r="AS280" s="828"/>
      <c r="AT280" s="56"/>
      <c r="AU280" s="56"/>
      <c r="AV280" s="56"/>
      <c r="AW280" s="828"/>
      <c r="AX280" s="56"/>
      <c r="AY280" s="56"/>
      <c r="AZ280" s="56"/>
      <c r="BA280" s="828"/>
      <c r="BB280" s="56"/>
      <c r="BC280" s="56"/>
      <c r="BD280" s="56"/>
      <c r="BE280" s="828"/>
      <c r="BF280" s="56"/>
      <c r="BG280" s="56"/>
      <c r="BH280" s="56"/>
      <c r="BI280" s="828"/>
      <c r="BJ280" s="56"/>
      <c r="BK280" s="56"/>
      <c r="BL280" s="56"/>
      <c r="BM280" s="828"/>
      <c r="BN280" s="56"/>
      <c r="BO280" s="56"/>
      <c r="BP280" s="56"/>
      <c r="BQ280" s="828">
        <v>0</v>
      </c>
      <c r="BR280" s="56">
        <v>0</v>
      </c>
      <c r="BS280" s="56">
        <v>103</v>
      </c>
      <c r="BT280" s="56">
        <v>141</v>
      </c>
      <c r="BU280" s="828">
        <v>196</v>
      </c>
      <c r="BV280" s="56">
        <v>196</v>
      </c>
      <c r="BW280" s="56">
        <v>356</v>
      </c>
      <c r="BX280" s="56">
        <v>384</v>
      </c>
      <c r="BY280" s="828">
        <v>0</v>
      </c>
      <c r="BZ280" s="56"/>
      <c r="CA280" s="56"/>
      <c r="CB280" s="56"/>
      <c r="CC280" s="828"/>
      <c r="CD280" s="56"/>
      <c r="CE280" s="56"/>
      <c r="CF280" s="56"/>
      <c r="CG280" s="828"/>
      <c r="CH280" s="56">
        <v>0</v>
      </c>
      <c r="CI280" s="56">
        <v>0</v>
      </c>
      <c r="CJ280" s="56">
        <v>0</v>
      </c>
      <c r="CK280" s="828">
        <v>0</v>
      </c>
      <c r="CL280" s="56"/>
      <c r="CM280" s="56"/>
      <c r="CN280" s="56"/>
      <c r="CO280" s="828"/>
      <c r="CP280" s="56">
        <v>0</v>
      </c>
      <c r="CQ280" s="56">
        <v>0</v>
      </c>
      <c r="CR280" s="56">
        <v>0</v>
      </c>
      <c r="CS280" s="828">
        <v>0</v>
      </c>
      <c r="CT280" s="56">
        <v>0</v>
      </c>
      <c r="CU280" s="10">
        <v>0</v>
      </c>
      <c r="CV280" s="10">
        <v>0</v>
      </c>
      <c r="CW280" s="524">
        <v>0</v>
      </c>
      <c r="CX280" s="1954">
        <v>0</v>
      </c>
      <c r="CY280" s="1954">
        <f t="shared" si="1065"/>
        <v>0</v>
      </c>
      <c r="CZ280" s="1954"/>
      <c r="DA280" s="1951"/>
      <c r="DB280" s="1954"/>
      <c r="DC280" s="1954"/>
      <c r="DD280" s="1955"/>
      <c r="DE280" s="1951"/>
      <c r="DF280" s="1955"/>
      <c r="DG280" s="1955"/>
      <c r="DH280" s="1955"/>
      <c r="DI280" s="1951"/>
      <c r="DJ280" s="2748"/>
      <c r="DK280" s="1955"/>
      <c r="DL280" s="1955"/>
      <c r="DM280" s="1951"/>
      <c r="DN280" s="677"/>
      <c r="DO280" s="613"/>
      <c r="DP280" s="821"/>
      <c r="DQ280" s="821"/>
      <c r="DR280" s="821"/>
      <c r="DS280" s="821"/>
      <c r="DT280" s="821"/>
      <c r="DU280" s="821"/>
      <c r="DV280" s="821"/>
      <c r="DW280" s="821"/>
      <c r="DX280" s="56"/>
      <c r="DY280" s="56"/>
      <c r="DZ280" s="56"/>
      <c r="EA280" s="56"/>
      <c r="EB280" s="56"/>
      <c r="EC280" s="56"/>
      <c r="ED280" s="56"/>
      <c r="EE280" s="56"/>
      <c r="EF280" s="56"/>
      <c r="EG280" s="56"/>
      <c r="EH280" s="56"/>
      <c r="EI280" s="56"/>
      <c r="EJ280" s="56"/>
      <c r="EK280" s="56"/>
      <c r="EL280" s="56"/>
      <c r="EM280" s="56"/>
      <c r="EN280" s="56"/>
      <c r="EO280" s="56">
        <f>EO252*31</f>
        <v>186</v>
      </c>
      <c r="EP280" s="56">
        <f>EP252*31</f>
        <v>0</v>
      </c>
      <c r="EQ280" s="56"/>
      <c r="ER280" s="56"/>
      <c r="ES280" s="56">
        <f>ES252*31</f>
        <v>0</v>
      </c>
      <c r="ET280" s="56"/>
      <c r="EU280" s="56">
        <f>EU252*31</f>
        <v>0</v>
      </c>
      <c r="EV280" s="56">
        <f>EV252*31</f>
        <v>0</v>
      </c>
      <c r="EW280" s="4">
        <f t="shared" si="1066"/>
        <v>0</v>
      </c>
      <c r="EX280" s="4">
        <f t="shared" si="1067"/>
        <v>0</v>
      </c>
      <c r="EY280" s="11">
        <f t="shared" si="1068"/>
        <v>0</v>
      </c>
      <c r="EZ280" s="1734"/>
      <c r="FA280" s="10"/>
      <c r="FB280" s="10"/>
      <c r="FC280" s="10"/>
      <c r="FD280" s="172"/>
      <c r="FE280" s="10"/>
      <c r="FF280" s="10"/>
      <c r="FG280" s="10"/>
      <c r="FH280" s="10"/>
      <c r="FI280" s="667"/>
      <c r="FJ280"/>
      <c r="FK280"/>
      <c r="FL280"/>
      <c r="FM280"/>
      <c r="FN280"/>
      <c r="FO280"/>
      <c r="FP280" s="7"/>
      <c r="FS280" s="172"/>
      <c r="FT280" s="172"/>
      <c r="FU280"/>
      <c r="FV280"/>
      <c r="FW280" s="172"/>
      <c r="FX280" s="172"/>
      <c r="FY280" s="172"/>
      <c r="FZ280"/>
      <c r="GA280"/>
      <c r="GB280"/>
      <c r="GC280"/>
      <c r="GD280"/>
      <c r="GE280"/>
      <c r="GF280"/>
      <c r="GG280"/>
      <c r="GH280"/>
      <c r="GI280"/>
      <c r="GJ280"/>
      <c r="GK280"/>
      <c r="GL280"/>
      <c r="GM280"/>
      <c r="GN280"/>
      <c r="GO280"/>
      <c r="GP280"/>
      <c r="GQ280"/>
      <c r="GR280"/>
      <c r="GS280"/>
      <c r="GT280"/>
      <c r="GU280"/>
      <c r="GV280"/>
      <c r="GW280"/>
      <c r="GX280"/>
      <c r="GY280"/>
      <c r="GZ280"/>
      <c r="HA280"/>
      <c r="HB280"/>
      <c r="HC280"/>
      <c r="HD280"/>
      <c r="HE280"/>
      <c r="HF280"/>
      <c r="HG280"/>
      <c r="HH280"/>
      <c r="HI280"/>
      <c r="HJ280"/>
      <c r="HK280"/>
      <c r="HL280"/>
      <c r="HM280"/>
      <c r="HN280"/>
      <c r="HO280"/>
      <c r="HP280"/>
      <c r="HQ280"/>
      <c r="HR280"/>
      <c r="HS280"/>
      <c r="HT280"/>
      <c r="HU280"/>
      <c r="HV280"/>
      <c r="HW280"/>
      <c r="HX280"/>
      <c r="HY280"/>
      <c r="HZ280"/>
      <c r="IA280"/>
      <c r="IB280"/>
      <c r="IC280"/>
      <c r="ID280"/>
      <c r="IE280"/>
      <c r="IF280"/>
      <c r="IG280"/>
      <c r="IH280"/>
      <c r="II280"/>
      <c r="IJ280"/>
      <c r="IK280"/>
      <c r="IL280"/>
      <c r="IM280"/>
      <c r="IN280"/>
      <c r="IO280"/>
      <c r="IP280"/>
      <c r="IQ280"/>
      <c r="IR280"/>
      <c r="IS280"/>
      <c r="IT280"/>
      <c r="IU280"/>
      <c r="IV280"/>
      <c r="IW280"/>
      <c r="IX280"/>
      <c r="IY280"/>
      <c r="IZ280"/>
    </row>
    <row r="281" spans="1:260" s="6" customFormat="1" ht="11.25" hidden="1" customHeight="1" outlineLevel="2" x14ac:dyDescent="0.2">
      <c r="A281" s="6" t="s">
        <v>558</v>
      </c>
      <c r="B281" s="830"/>
      <c r="C281" s="830"/>
      <c r="D281" s="830"/>
      <c r="E281" s="828"/>
      <c r="F281" s="830"/>
      <c r="G281" s="830"/>
      <c r="H281" s="830"/>
      <c r="I281" s="828"/>
      <c r="J281" s="830"/>
      <c r="K281" s="830"/>
      <c r="L281" s="830"/>
      <c r="M281" s="828"/>
      <c r="N281" s="830"/>
      <c r="O281" s="830"/>
      <c r="P281" s="830"/>
      <c r="Q281" s="828"/>
      <c r="R281" s="830"/>
      <c r="S281" s="830"/>
      <c r="T281" s="830"/>
      <c r="U281" s="828"/>
      <c r="V281" s="830"/>
      <c r="W281" s="830"/>
      <c r="X281" s="830"/>
      <c r="Y281" s="828"/>
      <c r="Z281" s="830"/>
      <c r="AA281" s="830"/>
      <c r="AB281" s="830"/>
      <c r="AC281" s="828"/>
      <c r="AD281" s="830"/>
      <c r="AE281" s="830"/>
      <c r="AF281" s="830"/>
      <c r="AG281" s="828"/>
      <c r="AH281" s="830"/>
      <c r="AI281" s="830"/>
      <c r="AJ281" s="830"/>
      <c r="AK281" s="828"/>
      <c r="AL281" s="830"/>
      <c r="AM281" s="830"/>
      <c r="AN281" s="830"/>
      <c r="AO281" s="828"/>
      <c r="AP281" s="830"/>
      <c r="AQ281" s="830"/>
      <c r="AR281" s="830"/>
      <c r="AS281" s="828"/>
      <c r="AT281" s="830"/>
      <c r="AU281" s="830"/>
      <c r="AV281" s="830"/>
      <c r="AW281" s="828"/>
      <c r="AX281" s="830"/>
      <c r="AY281" s="830"/>
      <c r="AZ281" s="830"/>
      <c r="BA281" s="828"/>
      <c r="BB281" s="830">
        <v>0</v>
      </c>
      <c r="BC281" s="830">
        <v>4354</v>
      </c>
      <c r="BD281" s="830">
        <v>4465</v>
      </c>
      <c r="BE281" s="828">
        <v>4542</v>
      </c>
      <c r="BF281" s="830">
        <v>4654</v>
      </c>
      <c r="BG281" s="830">
        <v>4810</v>
      </c>
      <c r="BH281" s="830">
        <v>5284</v>
      </c>
      <c r="BI281" s="828">
        <v>5808</v>
      </c>
      <c r="BJ281" s="830">
        <v>6104</v>
      </c>
      <c r="BK281" s="830">
        <v>6104</v>
      </c>
      <c r="BL281" s="830">
        <v>5761</v>
      </c>
      <c r="BM281" s="828">
        <v>5892</v>
      </c>
      <c r="BN281" s="830">
        <v>5848</v>
      </c>
      <c r="BO281" s="830">
        <v>5877</v>
      </c>
      <c r="BP281" s="830">
        <v>5854</v>
      </c>
      <c r="BQ281" s="828">
        <v>5718</v>
      </c>
      <c r="BR281" s="830">
        <v>5719</v>
      </c>
      <c r="BS281" s="830">
        <v>5774</v>
      </c>
      <c r="BT281" s="830">
        <v>5790</v>
      </c>
      <c r="BU281" s="828">
        <v>5931</v>
      </c>
      <c r="BV281" s="830">
        <v>6177</v>
      </c>
      <c r="BW281" s="830">
        <v>6440</v>
      </c>
      <c r="BX281" s="830">
        <v>6801</v>
      </c>
      <c r="BY281" s="828">
        <v>7539</v>
      </c>
      <c r="BZ281" s="830"/>
      <c r="CA281" s="830"/>
      <c r="CB281" s="830"/>
      <c r="CC281" s="828"/>
      <c r="CD281" s="830"/>
      <c r="CE281" s="830"/>
      <c r="CF281" s="830"/>
      <c r="CG281" s="828"/>
      <c r="CH281" s="830">
        <v>7568</v>
      </c>
      <c r="CI281" s="830">
        <v>7768</v>
      </c>
      <c r="CJ281" s="830">
        <v>7893</v>
      </c>
      <c r="CK281" s="828">
        <v>6940</v>
      </c>
      <c r="CL281" s="830"/>
      <c r="CM281" s="830"/>
      <c r="CN281" s="830"/>
      <c r="CO281" s="828"/>
      <c r="CP281" s="830">
        <v>0</v>
      </c>
      <c r="CQ281" s="830">
        <v>0</v>
      </c>
      <c r="CR281" s="830">
        <v>0</v>
      </c>
      <c r="CS281" s="828">
        <v>0</v>
      </c>
      <c r="CT281" s="830">
        <v>0</v>
      </c>
      <c r="CU281" s="172">
        <v>0</v>
      </c>
      <c r="CV281" s="172">
        <v>0</v>
      </c>
      <c r="CW281" s="524">
        <v>0</v>
      </c>
      <c r="CX281" s="1955">
        <v>0</v>
      </c>
      <c r="CY281" s="1955">
        <f t="shared" si="1065"/>
        <v>0</v>
      </c>
      <c r="CZ281" s="1955"/>
      <c r="DA281" s="1951"/>
      <c r="DB281" s="1955"/>
      <c r="DC281" s="1955"/>
      <c r="DD281" s="1955"/>
      <c r="DE281" s="1951"/>
      <c r="DF281" s="1955"/>
      <c r="DG281" s="1955"/>
      <c r="DH281" s="1955"/>
      <c r="DI281" s="1951"/>
      <c r="DJ281" s="2748"/>
      <c r="DK281" s="1955"/>
      <c r="DL281" s="1955"/>
      <c r="DM281" s="1951"/>
      <c r="DN281" s="677"/>
      <c r="DO281" s="613"/>
      <c r="DP281" s="821"/>
      <c r="DQ281" s="821"/>
      <c r="DR281" s="821"/>
      <c r="DS281" s="821"/>
      <c r="DT281" s="821"/>
      <c r="DU281" s="821"/>
      <c r="DV281" s="821"/>
      <c r="DW281" s="821"/>
      <c r="DX281" s="830"/>
      <c r="DY281" s="830"/>
      <c r="DZ281" s="830"/>
      <c r="EA281" s="830"/>
      <c r="EB281" s="830"/>
      <c r="EC281" s="830"/>
      <c r="ED281" s="830"/>
      <c r="EE281" s="830"/>
      <c r="EF281" s="830"/>
      <c r="EG281" s="830"/>
      <c r="EH281" s="830"/>
      <c r="EI281" s="830"/>
      <c r="EJ281" s="830"/>
      <c r="EK281" s="56">
        <f>BE281</f>
        <v>4542</v>
      </c>
      <c r="EL281" s="830">
        <f>BI281</f>
        <v>5808</v>
      </c>
      <c r="EM281" s="830">
        <f>BM281</f>
        <v>5892</v>
      </c>
      <c r="EN281" s="830">
        <f>BQ281</f>
        <v>5718</v>
      </c>
      <c r="EO281" s="830">
        <f>BU281</f>
        <v>5931</v>
      </c>
      <c r="EP281" s="830">
        <f>BY281</f>
        <v>7539</v>
      </c>
      <c r="EQ281" s="830"/>
      <c r="ER281" s="830"/>
      <c r="ES281" s="830">
        <f t="shared" ref="ES281:ES287" si="1069">CK281</f>
        <v>6940</v>
      </c>
      <c r="ET281" s="830"/>
      <c r="EU281" s="830">
        <f t="shared" ref="EU281:EU287" si="1070">CS281</f>
        <v>0</v>
      </c>
      <c r="EV281" s="56">
        <f t="shared" ref="EV281:EV287" si="1071">CW281</f>
        <v>0</v>
      </c>
      <c r="EW281" s="4">
        <f t="shared" si="1066"/>
        <v>0</v>
      </c>
      <c r="EX281" s="4">
        <f t="shared" si="1067"/>
        <v>0</v>
      </c>
      <c r="EY281" s="11">
        <f t="shared" si="1068"/>
        <v>0</v>
      </c>
      <c r="EZ281" s="1734"/>
      <c r="FA281" s="172"/>
      <c r="FB281" s="172"/>
      <c r="FC281" s="172"/>
      <c r="FD281" s="172"/>
      <c r="FE281" s="172"/>
      <c r="FF281" s="172"/>
      <c r="FG281" s="172"/>
      <c r="FH281" s="172"/>
      <c r="FI281" s="667"/>
      <c r="FJ281"/>
      <c r="FK281"/>
      <c r="FL281"/>
      <c r="FM281"/>
      <c r="FN281"/>
      <c r="FO281"/>
      <c r="FP281" s="7"/>
      <c r="FS281" s="172"/>
      <c r="FT281" s="172"/>
      <c r="FU281"/>
      <c r="FV281"/>
      <c r="FW281" s="172"/>
      <c r="FX281" s="172"/>
      <c r="FY281" s="172"/>
      <c r="FZ281"/>
      <c r="GA281"/>
      <c r="GB281"/>
      <c r="GC281"/>
      <c r="GD281"/>
      <c r="GE281"/>
      <c r="GF281"/>
      <c r="GG281"/>
      <c r="GH281"/>
      <c r="GI281"/>
      <c r="GJ281"/>
      <c r="GK281"/>
      <c r="GL281"/>
      <c r="GM281"/>
      <c r="GN281"/>
      <c r="GO281"/>
      <c r="GP281"/>
      <c r="GQ281"/>
      <c r="GR281"/>
      <c r="GS281"/>
      <c r="GT281"/>
      <c r="GU281"/>
      <c r="GV281"/>
      <c r="GW281"/>
      <c r="GX281"/>
      <c r="GY281"/>
      <c r="GZ281"/>
      <c r="HA281"/>
      <c r="HB281"/>
      <c r="HC281"/>
      <c r="HD281"/>
      <c r="HE281"/>
      <c r="HF281"/>
      <c r="HG281"/>
      <c r="HH281"/>
      <c r="HI281"/>
      <c r="HJ281"/>
      <c r="HK281"/>
      <c r="HL281"/>
      <c r="HM281"/>
      <c r="HN281"/>
      <c r="HO281"/>
      <c r="HP281"/>
      <c r="HQ281"/>
      <c r="HR281"/>
      <c r="HS281"/>
      <c r="HT281"/>
      <c r="HU281"/>
      <c r="HV281"/>
      <c r="HW281"/>
      <c r="HX281"/>
      <c r="HY281"/>
      <c r="HZ281"/>
      <c r="IA281"/>
      <c r="IB281"/>
      <c r="IC281"/>
      <c r="ID281"/>
      <c r="IE281"/>
      <c r="IF281"/>
      <c r="IG281"/>
      <c r="IH281"/>
      <c r="II281"/>
      <c r="IJ281"/>
      <c r="IK281"/>
      <c r="IL281"/>
      <c r="IM281"/>
      <c r="IN281"/>
      <c r="IO281"/>
      <c r="IP281"/>
      <c r="IQ281"/>
      <c r="IR281"/>
      <c r="IS281"/>
      <c r="IT281"/>
      <c r="IU281"/>
      <c r="IV281"/>
      <c r="IW281"/>
      <c r="IX281"/>
      <c r="IY281"/>
      <c r="IZ281"/>
    </row>
    <row r="282" spans="1:260" s="6" customFormat="1" ht="11.25" hidden="1" customHeight="1" outlineLevel="2" x14ac:dyDescent="0.2">
      <c r="A282" s="7" t="s">
        <v>559</v>
      </c>
      <c r="B282" s="830"/>
      <c r="C282" s="830"/>
      <c r="D282" s="830"/>
      <c r="E282" s="828"/>
      <c r="F282" s="830"/>
      <c r="G282" s="830"/>
      <c r="H282" s="830"/>
      <c r="I282" s="828"/>
      <c r="J282" s="830"/>
      <c r="K282" s="830"/>
      <c r="L282" s="830"/>
      <c r="M282" s="828"/>
      <c r="N282" s="830"/>
      <c r="O282" s="830"/>
      <c r="P282" s="830"/>
      <c r="Q282" s="828"/>
      <c r="R282" s="830"/>
      <c r="S282" s="830"/>
      <c r="T282" s="830"/>
      <c r="U282" s="828"/>
      <c r="V282" s="830"/>
      <c r="W282" s="830"/>
      <c r="X282" s="830"/>
      <c r="Y282" s="828"/>
      <c r="Z282" s="830"/>
      <c r="AA282" s="830"/>
      <c r="AB282" s="830"/>
      <c r="AC282" s="828"/>
      <c r="AD282" s="830"/>
      <c r="AE282" s="830"/>
      <c r="AF282" s="830"/>
      <c r="AG282" s="828"/>
      <c r="AH282" s="830"/>
      <c r="AI282" s="830"/>
      <c r="AJ282" s="830"/>
      <c r="AK282" s="828"/>
      <c r="AL282" s="830"/>
      <c r="AM282" s="830"/>
      <c r="AN282" s="830"/>
      <c r="AO282" s="828"/>
      <c r="AP282" s="830"/>
      <c r="AQ282" s="830"/>
      <c r="AR282" s="830"/>
      <c r="AS282" s="828"/>
      <c r="AT282" s="830"/>
      <c r="AU282" s="830"/>
      <c r="AV282" s="830"/>
      <c r="AW282" s="828"/>
      <c r="AX282" s="830"/>
      <c r="AY282" s="830"/>
      <c r="AZ282" s="830"/>
      <c r="BA282" s="828"/>
      <c r="BB282" s="830">
        <v>0</v>
      </c>
      <c r="BC282" s="830">
        <v>0</v>
      </c>
      <c r="BD282" s="830">
        <v>0</v>
      </c>
      <c r="BE282" s="828">
        <v>82</v>
      </c>
      <c r="BF282" s="830">
        <v>82</v>
      </c>
      <c r="BG282" s="830">
        <v>82</v>
      </c>
      <c r="BH282" s="830">
        <v>82</v>
      </c>
      <c r="BI282" s="828">
        <v>82</v>
      </c>
      <c r="BJ282" s="830">
        <v>82</v>
      </c>
      <c r="BK282" s="830">
        <v>82</v>
      </c>
      <c r="BL282" s="830">
        <v>140</v>
      </c>
      <c r="BM282" s="828">
        <v>288</v>
      </c>
      <c r="BN282" s="830">
        <v>288</v>
      </c>
      <c r="BO282" s="830">
        <v>331</v>
      </c>
      <c r="BP282" s="830">
        <v>252</v>
      </c>
      <c r="BQ282" s="828">
        <v>234.0448361</v>
      </c>
      <c r="BR282" s="830">
        <v>257</v>
      </c>
      <c r="BS282" s="830">
        <v>282</v>
      </c>
      <c r="BT282" s="830">
        <v>279</v>
      </c>
      <c r="BU282" s="828">
        <v>279</v>
      </c>
      <c r="BV282" s="830">
        <v>0</v>
      </c>
      <c r="BW282" s="830">
        <v>0</v>
      </c>
      <c r="BX282" s="830">
        <v>0</v>
      </c>
      <c r="BY282" s="828">
        <v>0</v>
      </c>
      <c r="BZ282" s="830"/>
      <c r="CA282" s="830"/>
      <c r="CB282" s="830"/>
      <c r="CC282" s="828"/>
      <c r="CD282" s="830"/>
      <c r="CE282" s="830"/>
      <c r="CF282" s="830"/>
      <c r="CG282" s="828"/>
      <c r="CH282" s="830">
        <v>0</v>
      </c>
      <c r="CI282" s="830">
        <v>0</v>
      </c>
      <c r="CJ282" s="830">
        <v>0</v>
      </c>
      <c r="CK282" s="828">
        <v>0</v>
      </c>
      <c r="CL282" s="830"/>
      <c r="CM282" s="830"/>
      <c r="CN282" s="830"/>
      <c r="CO282" s="828"/>
      <c r="CP282" s="830">
        <v>0</v>
      </c>
      <c r="CQ282" s="830">
        <v>0</v>
      </c>
      <c r="CR282" s="830">
        <v>0</v>
      </c>
      <c r="CS282" s="828">
        <v>0</v>
      </c>
      <c r="CT282" s="830">
        <v>0</v>
      </c>
      <c r="CU282" s="173">
        <v>0</v>
      </c>
      <c r="CV282" s="173">
        <v>0</v>
      </c>
      <c r="CW282" s="990"/>
      <c r="CX282" s="1955">
        <v>0</v>
      </c>
      <c r="CY282" s="1955">
        <f t="shared" si="1065"/>
        <v>0</v>
      </c>
      <c r="CZ282" s="1955"/>
      <c r="DA282" s="1951"/>
      <c r="DB282" s="1955"/>
      <c r="DC282" s="1955"/>
      <c r="DD282" s="1955"/>
      <c r="DE282" s="1951"/>
      <c r="DF282" s="1955"/>
      <c r="DG282" s="1955"/>
      <c r="DH282" s="1955"/>
      <c r="DI282" s="1951"/>
      <c r="DJ282" s="2748"/>
      <c r="DK282" s="1955"/>
      <c r="DL282" s="1955"/>
      <c r="DM282" s="1951"/>
      <c r="DN282" s="677"/>
      <c r="DO282" s="613"/>
      <c r="DP282" s="821"/>
      <c r="DQ282" s="821"/>
      <c r="DR282" s="821"/>
      <c r="DS282" s="821"/>
      <c r="DT282" s="821"/>
      <c r="DU282" s="821"/>
      <c r="DV282" s="821"/>
      <c r="DW282" s="821"/>
      <c r="DX282" s="830"/>
      <c r="DY282" s="830"/>
      <c r="DZ282" s="830"/>
      <c r="EA282" s="830"/>
      <c r="EB282" s="830"/>
      <c r="EC282" s="830"/>
      <c r="ED282" s="830"/>
      <c r="EE282" s="830"/>
      <c r="EF282" s="830"/>
      <c r="EG282" s="830"/>
      <c r="EH282" s="830"/>
      <c r="EI282" s="830"/>
      <c r="EJ282" s="830"/>
      <c r="EK282" s="830">
        <f>BE282</f>
        <v>82</v>
      </c>
      <c r="EL282" s="830">
        <f>BI282</f>
        <v>82</v>
      </c>
      <c r="EM282" s="830">
        <f>BM282</f>
        <v>288</v>
      </c>
      <c r="EN282" s="830">
        <f>BQ282</f>
        <v>234.0448361</v>
      </c>
      <c r="EO282" s="830">
        <f>BU282</f>
        <v>279</v>
      </c>
      <c r="EP282" s="830">
        <f>BY282</f>
        <v>0</v>
      </c>
      <c r="EQ282" s="830"/>
      <c r="ER282" s="830"/>
      <c r="ES282" s="830">
        <f t="shared" si="1069"/>
        <v>0</v>
      </c>
      <c r="ET282" s="830"/>
      <c r="EU282" s="830">
        <f t="shared" si="1070"/>
        <v>0</v>
      </c>
      <c r="EV282" s="56">
        <f t="shared" si="1071"/>
        <v>0</v>
      </c>
      <c r="EW282" s="4">
        <f t="shared" si="1066"/>
        <v>0</v>
      </c>
      <c r="EX282" s="4">
        <f t="shared" si="1067"/>
        <v>0</v>
      </c>
      <c r="EY282" s="11">
        <f t="shared" si="1068"/>
        <v>0</v>
      </c>
      <c r="EZ282" s="1734"/>
      <c r="FA282" s="172"/>
      <c r="FB282" s="172"/>
      <c r="FC282" s="172"/>
      <c r="FD282" s="172"/>
      <c r="FE282" s="172"/>
      <c r="FF282" s="172"/>
      <c r="FG282" s="172"/>
      <c r="FH282" s="172"/>
      <c r="FI282" s="667"/>
      <c r="FJ282"/>
      <c r="FK282"/>
      <c r="FL282"/>
      <c r="FM282"/>
      <c r="FN282"/>
      <c r="FO282"/>
      <c r="FP282" s="7"/>
      <c r="FS282" s="172"/>
      <c r="FT282" s="172"/>
      <c r="FU282"/>
      <c r="FV282"/>
      <c r="FW282" s="172"/>
      <c r="FX282" s="172"/>
      <c r="FY282" s="172"/>
      <c r="FZ282"/>
      <c r="GA282"/>
      <c r="GB282"/>
      <c r="GC282"/>
      <c r="GD282"/>
      <c r="GE282"/>
      <c r="GF282"/>
      <c r="GG282"/>
      <c r="GH282"/>
      <c r="GI282"/>
      <c r="GJ282"/>
      <c r="GK282"/>
      <c r="GL282"/>
      <c r="GM282"/>
      <c r="GN282"/>
      <c r="GO282"/>
      <c r="GP282"/>
      <c r="GQ282"/>
      <c r="GR282"/>
      <c r="GS282"/>
      <c r="GT282"/>
      <c r="GU282"/>
      <c r="GV282"/>
      <c r="GW282"/>
      <c r="GX282"/>
      <c r="GY282"/>
      <c r="GZ282"/>
      <c r="HA282"/>
      <c r="HB282"/>
      <c r="HC282"/>
      <c r="HD282"/>
      <c r="HE282"/>
      <c r="HF282"/>
      <c r="HG282"/>
      <c r="HH282"/>
      <c r="HI282"/>
      <c r="HJ282"/>
      <c r="HK282"/>
      <c r="HL282"/>
      <c r="HM282"/>
      <c r="HN282"/>
      <c r="HO282"/>
      <c r="HP282"/>
      <c r="HQ282"/>
      <c r="HR282"/>
      <c r="HS282"/>
      <c r="HT282"/>
      <c r="HU282"/>
      <c r="HV282"/>
      <c r="HW282"/>
      <c r="HX282"/>
      <c r="HY282"/>
      <c r="HZ282"/>
      <c r="IA282"/>
      <c r="IB282"/>
      <c r="IC282"/>
      <c r="ID282"/>
      <c r="IE282"/>
      <c r="IF282"/>
      <c r="IG282"/>
      <c r="IH282"/>
      <c r="II282"/>
      <c r="IJ282"/>
      <c r="IK282"/>
      <c r="IL282"/>
      <c r="IM282"/>
      <c r="IN282"/>
      <c r="IO282"/>
      <c r="IP282"/>
      <c r="IQ282"/>
      <c r="IR282"/>
      <c r="IS282"/>
      <c r="IT282"/>
      <c r="IU282"/>
      <c r="IV282"/>
      <c r="IW282"/>
      <c r="IX282"/>
      <c r="IY282"/>
      <c r="IZ282"/>
    </row>
    <row r="283" spans="1:260" s="6" customFormat="1" ht="11.25" hidden="1" customHeight="1" outlineLevel="1" collapsed="1" x14ac:dyDescent="0.2">
      <c r="A283" s="7" t="s">
        <v>81</v>
      </c>
      <c r="B283" s="830"/>
      <c r="C283" s="830"/>
      <c r="D283" s="830"/>
      <c r="E283" s="828"/>
      <c r="F283" s="830"/>
      <c r="G283" s="830"/>
      <c r="H283" s="830"/>
      <c r="I283" s="828"/>
      <c r="J283" s="830"/>
      <c r="K283" s="830"/>
      <c r="L283" s="830"/>
      <c r="M283" s="828"/>
      <c r="N283" s="830"/>
      <c r="O283" s="830"/>
      <c r="P283" s="830"/>
      <c r="Q283" s="828"/>
      <c r="R283" s="830"/>
      <c r="S283" s="830"/>
      <c r="T283" s="830"/>
      <c r="U283" s="828"/>
      <c r="V283" s="830"/>
      <c r="W283" s="830"/>
      <c r="X283" s="830"/>
      <c r="Y283" s="828"/>
      <c r="Z283" s="830"/>
      <c r="AA283" s="830"/>
      <c r="AB283" s="830"/>
      <c r="AC283" s="828"/>
      <c r="AD283" s="830"/>
      <c r="AE283" s="830"/>
      <c r="AF283" s="830"/>
      <c r="AG283" s="828"/>
      <c r="AH283" s="830"/>
      <c r="AI283" s="830"/>
      <c r="AJ283" s="830"/>
      <c r="AK283" s="828"/>
      <c r="AL283" s="830"/>
      <c r="AM283" s="830"/>
      <c r="AN283" s="830"/>
      <c r="AO283" s="828"/>
      <c r="AP283" s="830"/>
      <c r="AQ283" s="830"/>
      <c r="AR283" s="830"/>
      <c r="AS283" s="828"/>
      <c r="AT283" s="830"/>
      <c r="AU283" s="830"/>
      <c r="AV283" s="830"/>
      <c r="AW283" s="828"/>
      <c r="AX283" s="830"/>
      <c r="AY283" s="830"/>
      <c r="AZ283" s="830"/>
      <c r="BA283" s="828"/>
      <c r="BB283" s="830"/>
      <c r="BC283" s="830"/>
      <c r="BD283" s="830"/>
      <c r="BE283" s="828"/>
      <c r="BF283" s="830"/>
      <c r="BG283" s="830"/>
      <c r="BH283" s="830"/>
      <c r="BI283" s="828"/>
      <c r="BJ283" s="830"/>
      <c r="BK283" s="830"/>
      <c r="BL283" s="830">
        <v>6</v>
      </c>
      <c r="BM283" s="828">
        <v>6</v>
      </c>
      <c r="BN283" s="830">
        <v>6</v>
      </c>
      <c r="BO283" s="830">
        <v>6</v>
      </c>
      <c r="BP283" s="830">
        <v>7</v>
      </c>
      <c r="BQ283" s="828">
        <v>7</v>
      </c>
      <c r="BR283" s="830">
        <v>7</v>
      </c>
      <c r="BS283" s="830">
        <v>9</v>
      </c>
      <c r="BT283" s="830">
        <v>13</v>
      </c>
      <c r="BU283" s="828">
        <v>13</v>
      </c>
      <c r="BV283" s="830">
        <v>18</v>
      </c>
      <c r="BW283" s="830">
        <v>25</v>
      </c>
      <c r="BX283" s="830">
        <v>30</v>
      </c>
      <c r="BY283" s="828">
        <v>31</v>
      </c>
      <c r="BZ283" s="830"/>
      <c r="CA283" s="830"/>
      <c r="CB283" s="830"/>
      <c r="CC283" s="828"/>
      <c r="CD283" s="830"/>
      <c r="CE283" s="830"/>
      <c r="CF283" s="830"/>
      <c r="CG283" s="828"/>
      <c r="CH283" s="830">
        <v>35</v>
      </c>
      <c r="CI283" s="830">
        <v>39</v>
      </c>
      <c r="CJ283" s="830">
        <v>43</v>
      </c>
      <c r="CK283" s="828">
        <v>46</v>
      </c>
      <c r="CL283" s="830"/>
      <c r="CM283" s="830"/>
      <c r="CN283" s="830"/>
      <c r="CO283" s="828"/>
      <c r="CP283" s="830">
        <v>51</v>
      </c>
      <c r="CQ283" s="830">
        <v>51</v>
      </c>
      <c r="CR283" s="830">
        <v>52</v>
      </c>
      <c r="CS283" s="828">
        <v>52</v>
      </c>
      <c r="CT283" s="830">
        <v>52</v>
      </c>
      <c r="CU283" s="172">
        <v>52</v>
      </c>
      <c r="CV283" s="172">
        <v>52</v>
      </c>
      <c r="CW283" s="524">
        <v>52</v>
      </c>
      <c r="CX283" s="1955">
        <v>52</v>
      </c>
      <c r="CY283" s="1955">
        <v>52</v>
      </c>
      <c r="CZ283" s="1955">
        <v>52</v>
      </c>
      <c r="DA283" s="1951">
        <v>52</v>
      </c>
      <c r="DB283" s="1955">
        <v>52</v>
      </c>
      <c r="DC283" s="1955">
        <v>50</v>
      </c>
      <c r="DD283" s="1955">
        <v>49</v>
      </c>
      <c r="DE283" s="1951">
        <v>49</v>
      </c>
      <c r="DF283" s="1955">
        <v>49</v>
      </c>
      <c r="DG283" s="1955">
        <v>49</v>
      </c>
      <c r="DH283" s="1955">
        <v>49</v>
      </c>
      <c r="DI283" s="1951">
        <v>48</v>
      </c>
      <c r="DJ283" s="2748"/>
      <c r="DK283" s="1955"/>
      <c r="DL283" s="1955"/>
      <c r="DM283" s="1951"/>
      <c r="DN283" s="677"/>
      <c r="DO283" s="613"/>
      <c r="DP283" s="821"/>
      <c r="DQ283" s="821"/>
      <c r="DR283" s="821"/>
      <c r="DS283" s="821"/>
      <c r="DT283" s="821"/>
      <c r="DU283" s="821"/>
      <c r="DV283" s="821"/>
      <c r="DW283" s="821"/>
      <c r="DX283" s="830"/>
      <c r="DY283" s="830"/>
      <c r="DZ283" s="830"/>
      <c r="EA283" s="830"/>
      <c r="EB283" s="830"/>
      <c r="EC283" s="830"/>
      <c r="ED283" s="830"/>
      <c r="EE283" s="830"/>
      <c r="EF283" s="830"/>
      <c r="EG283" s="830"/>
      <c r="EH283" s="830"/>
      <c r="EI283" s="830"/>
      <c r="EJ283" s="830"/>
      <c r="EK283" s="830"/>
      <c r="EL283" s="830"/>
      <c r="EM283" s="830">
        <f>BM283</f>
        <v>6</v>
      </c>
      <c r="EN283" s="830">
        <f>BQ283</f>
        <v>7</v>
      </c>
      <c r="EO283" s="830">
        <f>BU283</f>
        <v>13</v>
      </c>
      <c r="EP283" s="830">
        <f>BY283</f>
        <v>31</v>
      </c>
      <c r="EQ283" s="830"/>
      <c r="ER283" s="830"/>
      <c r="ES283" s="830">
        <f t="shared" si="1069"/>
        <v>46</v>
      </c>
      <c r="ET283" s="830"/>
      <c r="EU283" s="830">
        <f t="shared" si="1070"/>
        <v>52</v>
      </c>
      <c r="EV283" s="56">
        <f t="shared" si="1071"/>
        <v>52</v>
      </c>
      <c r="EW283" s="4">
        <f t="shared" si="1066"/>
        <v>52</v>
      </c>
      <c r="EX283" s="4">
        <f t="shared" si="1067"/>
        <v>49</v>
      </c>
      <c r="EY283" s="11">
        <f t="shared" si="1068"/>
        <v>48</v>
      </c>
      <c r="EZ283" s="1734"/>
      <c r="FA283" s="172"/>
      <c r="FB283" s="172"/>
      <c r="FC283" s="172"/>
      <c r="FD283" s="172"/>
      <c r="FE283" s="172"/>
      <c r="FF283" s="172"/>
      <c r="FG283" s="172"/>
      <c r="FH283" s="172"/>
      <c r="FI283" s="667"/>
      <c r="FJ283"/>
      <c r="FK283"/>
      <c r="FL283"/>
      <c r="FM283"/>
      <c r="FN283"/>
      <c r="FO283"/>
      <c r="FP283" s="7"/>
      <c r="FS283" s="172"/>
      <c r="FT283" s="172"/>
      <c r="FU283"/>
      <c r="FV283"/>
      <c r="FW283" s="172"/>
      <c r="FX283" s="172"/>
      <c r="FY283" s="172"/>
      <c r="FZ283"/>
      <c r="GA283"/>
      <c r="GB283"/>
      <c r="GC283"/>
      <c r="GD283"/>
      <c r="GE283"/>
      <c r="GF283"/>
      <c r="GG283"/>
      <c r="GH283"/>
      <c r="GI283"/>
      <c r="GJ283"/>
      <c r="GK283"/>
      <c r="GL283"/>
      <c r="GM283"/>
      <c r="GN283"/>
      <c r="GO283"/>
      <c r="GP283"/>
      <c r="GQ283"/>
      <c r="GR283"/>
      <c r="GS283"/>
      <c r="GT283"/>
      <c r="GU283"/>
      <c r="GV283"/>
      <c r="GW283"/>
      <c r="GX283"/>
      <c r="GY283"/>
      <c r="GZ283"/>
      <c r="HA283"/>
      <c r="HB283"/>
      <c r="HC283"/>
      <c r="HD283"/>
      <c r="HE283"/>
      <c r="HF283"/>
      <c r="HG283"/>
      <c r="HH283"/>
      <c r="HI283"/>
      <c r="HJ283"/>
      <c r="HK283"/>
      <c r="HL283"/>
      <c r="HM283"/>
      <c r="HN283"/>
      <c r="HO283"/>
      <c r="HP283"/>
      <c r="HQ283"/>
      <c r="HR283"/>
      <c r="HS283"/>
      <c r="HT283"/>
      <c r="HU283"/>
      <c r="HV283"/>
      <c r="HW283"/>
      <c r="HX283"/>
      <c r="HY283"/>
      <c r="HZ283"/>
      <c r="IA283"/>
      <c r="IB283"/>
      <c r="IC283"/>
      <c r="ID283"/>
      <c r="IE283"/>
      <c r="IF283"/>
      <c r="IG283"/>
      <c r="IH283"/>
      <c r="II283"/>
      <c r="IJ283"/>
      <c r="IK283"/>
      <c r="IL283"/>
      <c r="IM283"/>
      <c r="IN283"/>
      <c r="IO283"/>
      <c r="IP283"/>
      <c r="IQ283"/>
      <c r="IR283"/>
      <c r="IS283"/>
      <c r="IT283"/>
      <c r="IU283"/>
      <c r="IV283"/>
      <c r="IW283"/>
      <c r="IX283"/>
      <c r="IY283"/>
      <c r="IZ283"/>
    </row>
    <row r="284" spans="1:260" s="6" customFormat="1" ht="11.25" hidden="1" customHeight="1" outlineLevel="1" x14ac:dyDescent="0.2">
      <c r="A284" s="7" t="s">
        <v>463</v>
      </c>
      <c r="B284" s="830"/>
      <c r="C284" s="830"/>
      <c r="D284" s="830"/>
      <c r="E284" s="828"/>
      <c r="F284" s="830"/>
      <c r="G284" s="830"/>
      <c r="H284" s="830"/>
      <c r="I284" s="828"/>
      <c r="J284" s="830"/>
      <c r="K284" s="830"/>
      <c r="L284" s="830"/>
      <c r="M284" s="828"/>
      <c r="N284" s="830"/>
      <c r="O284" s="830"/>
      <c r="P284" s="830"/>
      <c r="Q284" s="828"/>
      <c r="R284" s="830"/>
      <c r="S284" s="830"/>
      <c r="T284" s="830"/>
      <c r="U284" s="828"/>
      <c r="V284" s="830"/>
      <c r="W284" s="830"/>
      <c r="X284" s="830"/>
      <c r="Y284" s="828"/>
      <c r="Z284" s="830"/>
      <c r="AA284" s="830"/>
      <c r="AB284" s="830"/>
      <c r="AC284" s="828"/>
      <c r="AD284" s="830"/>
      <c r="AE284" s="830"/>
      <c r="AF284" s="830"/>
      <c r="AG284" s="828"/>
      <c r="AH284" s="830"/>
      <c r="AI284" s="830"/>
      <c r="AJ284" s="830"/>
      <c r="AK284" s="828"/>
      <c r="AL284" s="830"/>
      <c r="AM284" s="830"/>
      <c r="AN284" s="830"/>
      <c r="AO284" s="828"/>
      <c r="AP284" s="830"/>
      <c r="AQ284" s="830"/>
      <c r="AR284" s="830"/>
      <c r="AS284" s="828"/>
      <c r="AT284" s="830"/>
      <c r="AU284" s="830"/>
      <c r="AV284" s="830"/>
      <c r="AW284" s="828"/>
      <c r="AX284" s="830"/>
      <c r="AY284" s="830"/>
      <c r="AZ284" s="830"/>
      <c r="BA284" s="828"/>
      <c r="BB284" s="830"/>
      <c r="BC284" s="830"/>
      <c r="BD284" s="830"/>
      <c r="BE284" s="828"/>
      <c r="BF284" s="830"/>
      <c r="BG284" s="830"/>
      <c r="BH284" s="830"/>
      <c r="BI284" s="828"/>
      <c r="BJ284" s="830"/>
      <c r="BK284" s="830"/>
      <c r="BL284" s="830"/>
      <c r="BM284" s="828">
        <v>72</v>
      </c>
      <c r="BN284" s="830">
        <v>72</v>
      </c>
      <c r="BO284" s="830">
        <v>72</v>
      </c>
      <c r="BP284" s="830">
        <v>107</v>
      </c>
      <c r="BQ284" s="828">
        <v>265</v>
      </c>
      <c r="BR284" s="830">
        <v>265</v>
      </c>
      <c r="BS284" s="830">
        <v>265</v>
      </c>
      <c r="BT284" s="830">
        <v>327</v>
      </c>
      <c r="BU284" s="828">
        <v>327</v>
      </c>
      <c r="BV284" s="830">
        <v>327</v>
      </c>
      <c r="BW284" s="830">
        <v>327</v>
      </c>
      <c r="BX284" s="830">
        <v>327</v>
      </c>
      <c r="BY284" s="828">
        <v>407</v>
      </c>
      <c r="BZ284" s="830"/>
      <c r="CA284" s="830"/>
      <c r="CB284" s="830"/>
      <c r="CC284" s="828"/>
      <c r="CD284" s="830"/>
      <c r="CE284" s="830"/>
      <c r="CF284" s="830"/>
      <c r="CG284" s="828"/>
      <c r="CH284" s="830">
        <v>407</v>
      </c>
      <c r="CI284" s="830">
        <v>407</v>
      </c>
      <c r="CJ284" s="830">
        <v>516</v>
      </c>
      <c r="CK284" s="828">
        <v>577</v>
      </c>
      <c r="CL284" s="830"/>
      <c r="CM284" s="830"/>
      <c r="CN284" s="830"/>
      <c r="CO284" s="828"/>
      <c r="CP284" s="830">
        <v>577</v>
      </c>
      <c r="CQ284" s="830">
        <v>611</v>
      </c>
      <c r="CR284" s="830">
        <v>678</v>
      </c>
      <c r="CS284" s="828">
        <v>678</v>
      </c>
      <c r="CT284" s="830">
        <v>678</v>
      </c>
      <c r="CU284" s="172">
        <v>642</v>
      </c>
      <c r="CV284" s="172">
        <v>665</v>
      </c>
      <c r="CW284" s="524">
        <v>661</v>
      </c>
      <c r="CX284" s="1955">
        <v>635</v>
      </c>
      <c r="CY284" s="1955">
        <v>635</v>
      </c>
      <c r="CZ284" s="1955">
        <v>634</v>
      </c>
      <c r="DA284" s="1951">
        <v>634</v>
      </c>
      <c r="DB284" s="1955">
        <v>637</v>
      </c>
      <c r="DC284" s="1955">
        <v>637</v>
      </c>
      <c r="DD284" s="1955">
        <v>637</v>
      </c>
      <c r="DE284" s="1951">
        <v>670</v>
      </c>
      <c r="DF284" s="1955">
        <v>670</v>
      </c>
      <c r="DG284" s="1955">
        <v>710</v>
      </c>
      <c r="DH284" s="1955">
        <v>727</v>
      </c>
      <c r="DI284" s="1951">
        <v>776</v>
      </c>
      <c r="DJ284" s="2748"/>
      <c r="DK284" s="1955"/>
      <c r="DL284" s="1955"/>
      <c r="DM284" s="1951"/>
      <c r="DN284" s="677"/>
      <c r="DO284" s="613"/>
      <c r="DP284" s="841"/>
      <c r="DQ284" s="841"/>
      <c r="DR284" s="841"/>
      <c r="DS284" s="841"/>
      <c r="DT284" s="841"/>
      <c r="DU284" s="841"/>
      <c r="DV284" s="841"/>
      <c r="DW284" s="841"/>
      <c r="DX284" s="830"/>
      <c r="DY284" s="830"/>
      <c r="DZ284" s="830"/>
      <c r="EA284" s="830"/>
      <c r="EB284" s="830"/>
      <c r="EC284" s="830"/>
      <c r="ED284" s="830"/>
      <c r="EE284" s="830"/>
      <c r="EF284" s="830"/>
      <c r="EG284" s="830"/>
      <c r="EH284" s="830"/>
      <c r="EI284" s="830"/>
      <c r="EJ284" s="830"/>
      <c r="EK284" s="830"/>
      <c r="EL284" s="830"/>
      <c r="EM284" s="830">
        <f>BM284</f>
        <v>72</v>
      </c>
      <c r="EN284" s="830">
        <f>BQ284</f>
        <v>265</v>
      </c>
      <c r="EO284" s="830">
        <f>BU284</f>
        <v>327</v>
      </c>
      <c r="EP284" s="830">
        <f>BY284</f>
        <v>407</v>
      </c>
      <c r="EQ284" s="830"/>
      <c r="ER284" s="830"/>
      <c r="ES284" s="830">
        <f t="shared" si="1069"/>
        <v>577</v>
      </c>
      <c r="ET284" s="830"/>
      <c r="EU284" s="830">
        <f t="shared" si="1070"/>
        <v>678</v>
      </c>
      <c r="EV284" s="56">
        <f t="shared" si="1071"/>
        <v>661</v>
      </c>
      <c r="EW284" s="4">
        <f t="shared" si="1066"/>
        <v>634</v>
      </c>
      <c r="EX284" s="4">
        <f t="shared" si="1067"/>
        <v>670</v>
      </c>
      <c r="EY284" s="11">
        <f t="shared" si="1068"/>
        <v>776</v>
      </c>
      <c r="EZ284" s="1734"/>
      <c r="FA284" s="172"/>
      <c r="FB284" s="172"/>
      <c r="FC284" s="172"/>
      <c r="FD284" s="172"/>
      <c r="FE284" s="172"/>
      <c r="FF284" s="172"/>
      <c r="FG284" s="172"/>
      <c r="FH284" s="172"/>
      <c r="FI284" s="667"/>
      <c r="FJ284"/>
      <c r="FK284"/>
      <c r="FL284"/>
      <c r="FM284"/>
      <c r="FN284"/>
      <c r="FO284"/>
      <c r="FP284" s="7"/>
      <c r="FS284" s="172"/>
      <c r="FT284" s="172"/>
      <c r="FU284"/>
      <c r="FV284"/>
      <c r="FW284" s="172"/>
      <c r="FX284" s="172"/>
      <c r="FY284" s="172"/>
      <c r="FZ284"/>
      <c r="GA284"/>
      <c r="GB284"/>
      <c r="GC284"/>
      <c r="GD284"/>
      <c r="GE284"/>
      <c r="GF284"/>
      <c r="GG284"/>
      <c r="GH284"/>
      <c r="GI284"/>
      <c r="GJ284"/>
      <c r="GK284"/>
      <c r="GL284"/>
      <c r="GM284"/>
      <c r="GN284"/>
      <c r="GO284"/>
      <c r="GP284"/>
      <c r="GQ284"/>
      <c r="GR284"/>
      <c r="GS284"/>
      <c r="GT284"/>
      <c r="GU284"/>
      <c r="GV284"/>
      <c r="GW284"/>
      <c r="GX284"/>
      <c r="GY284"/>
      <c r="GZ284"/>
      <c r="HA284"/>
      <c r="HB284"/>
      <c r="HC284"/>
      <c r="HD284"/>
      <c r="HE284"/>
      <c r="HF284"/>
      <c r="HG284"/>
      <c r="HH284"/>
      <c r="HI284"/>
      <c r="HJ284"/>
      <c r="HK284"/>
      <c r="HL284"/>
      <c r="HM284"/>
      <c r="HN284"/>
      <c r="HO284"/>
      <c r="HP284"/>
      <c r="HQ284"/>
      <c r="HR284"/>
      <c r="HS284"/>
      <c r="HT284"/>
      <c r="HU284"/>
      <c r="HV284"/>
      <c r="HW284"/>
      <c r="HX284"/>
      <c r="HY284"/>
      <c r="HZ284"/>
      <c r="IA284"/>
      <c r="IB284"/>
      <c r="IC284"/>
      <c r="ID284"/>
      <c r="IE284"/>
      <c r="IF284"/>
      <c r="IG284"/>
      <c r="IH284"/>
      <c r="II284"/>
      <c r="IJ284"/>
      <c r="IK284"/>
      <c r="IL284"/>
      <c r="IM284"/>
      <c r="IN284"/>
      <c r="IO284"/>
      <c r="IP284"/>
      <c r="IQ284"/>
      <c r="IR284"/>
      <c r="IS284"/>
      <c r="IT284"/>
      <c r="IU284"/>
      <c r="IV284"/>
      <c r="IW284"/>
      <c r="IX284"/>
      <c r="IY284"/>
      <c r="IZ284"/>
    </row>
    <row r="285" spans="1:260" s="6" customFormat="1" ht="11.25" hidden="1" customHeight="1" outlineLevel="1" x14ac:dyDescent="0.2">
      <c r="A285" s="7" t="s">
        <v>389</v>
      </c>
      <c r="B285" s="830"/>
      <c r="C285" s="830"/>
      <c r="D285" s="830"/>
      <c r="E285" s="828"/>
      <c r="F285" s="830"/>
      <c r="G285" s="830"/>
      <c r="H285" s="830"/>
      <c r="I285" s="828"/>
      <c r="J285" s="830"/>
      <c r="K285" s="830"/>
      <c r="L285" s="830"/>
      <c r="M285" s="828"/>
      <c r="N285" s="830"/>
      <c r="O285" s="830"/>
      <c r="P285" s="830"/>
      <c r="Q285" s="828"/>
      <c r="R285" s="830"/>
      <c r="S285" s="830"/>
      <c r="T285" s="830"/>
      <c r="U285" s="828"/>
      <c r="V285" s="830"/>
      <c r="W285" s="830"/>
      <c r="X285" s="830"/>
      <c r="Y285" s="828"/>
      <c r="Z285" s="830"/>
      <c r="AA285" s="830"/>
      <c r="AB285" s="830"/>
      <c r="AC285" s="828"/>
      <c r="AD285" s="830"/>
      <c r="AE285" s="830"/>
      <c r="AF285" s="830"/>
      <c r="AG285" s="828"/>
      <c r="AH285" s="830"/>
      <c r="AI285" s="830"/>
      <c r="AJ285" s="830"/>
      <c r="AK285" s="828"/>
      <c r="AL285" s="830"/>
      <c r="AM285" s="830"/>
      <c r="AN285" s="830"/>
      <c r="AO285" s="828"/>
      <c r="AP285" s="830"/>
      <c r="AQ285" s="830"/>
      <c r="AR285" s="830"/>
      <c r="AS285" s="828"/>
      <c r="AT285" s="830"/>
      <c r="AU285" s="830"/>
      <c r="AV285" s="830"/>
      <c r="AW285" s="828"/>
      <c r="AX285" s="830"/>
      <c r="AY285" s="830"/>
      <c r="AZ285" s="830"/>
      <c r="BA285" s="828"/>
      <c r="BB285" s="830"/>
      <c r="BC285" s="830"/>
      <c r="BD285" s="830"/>
      <c r="BE285" s="828"/>
      <c r="BF285" s="830"/>
      <c r="BG285" s="830"/>
      <c r="BH285" s="830"/>
      <c r="BI285" s="828"/>
      <c r="BJ285" s="830"/>
      <c r="BK285" s="830"/>
      <c r="BL285" s="830"/>
      <c r="BM285" s="828"/>
      <c r="BN285" s="830"/>
      <c r="BO285" s="830"/>
      <c r="BP285" s="830"/>
      <c r="BQ285" s="828"/>
      <c r="BR285" s="830"/>
      <c r="BS285" s="830"/>
      <c r="BT285" s="830"/>
      <c r="BU285" s="828"/>
      <c r="BV285" s="830"/>
      <c r="BW285" s="830"/>
      <c r="BX285" s="830"/>
      <c r="BY285" s="828"/>
      <c r="BZ285" s="830"/>
      <c r="CA285" s="830"/>
      <c r="CB285" s="830"/>
      <c r="CC285" s="828"/>
      <c r="CD285" s="830"/>
      <c r="CE285" s="830"/>
      <c r="CF285" s="830"/>
      <c r="CG285" s="828"/>
      <c r="CH285" s="830"/>
      <c r="CI285" s="830"/>
      <c r="CJ285" s="830"/>
      <c r="CK285" s="828">
        <v>2</v>
      </c>
      <c r="CL285" s="830"/>
      <c r="CM285" s="830"/>
      <c r="CN285" s="830"/>
      <c r="CO285" s="828"/>
      <c r="CP285" s="830">
        <v>2</v>
      </c>
      <c r="CQ285" s="830">
        <v>2</v>
      </c>
      <c r="CR285" s="830">
        <v>4</v>
      </c>
      <c r="CS285" s="828">
        <v>4</v>
      </c>
      <c r="CT285" s="830">
        <v>4</v>
      </c>
      <c r="CU285" s="172">
        <v>4</v>
      </c>
      <c r="CV285" s="172">
        <v>5</v>
      </c>
      <c r="CW285" s="524">
        <v>7</v>
      </c>
      <c r="CX285" s="1955">
        <v>7</v>
      </c>
      <c r="CY285" s="1955">
        <v>7</v>
      </c>
      <c r="CZ285" s="1955">
        <v>7</v>
      </c>
      <c r="DA285" s="1951">
        <v>9</v>
      </c>
      <c r="DB285" s="1955">
        <v>9</v>
      </c>
      <c r="DC285" s="1955">
        <v>9</v>
      </c>
      <c r="DD285" s="1955">
        <v>8</v>
      </c>
      <c r="DE285" s="1951">
        <v>8</v>
      </c>
      <c r="DF285" s="1955">
        <v>8</v>
      </c>
      <c r="DG285" s="1955">
        <v>8</v>
      </c>
      <c r="DH285" s="1955">
        <v>8</v>
      </c>
      <c r="DI285" s="1951">
        <v>12</v>
      </c>
      <c r="DJ285" s="2748"/>
      <c r="DK285" s="1955"/>
      <c r="DL285" s="1955"/>
      <c r="DM285" s="1951"/>
      <c r="DN285" s="677"/>
      <c r="DO285" s="613"/>
      <c r="DP285" s="841"/>
      <c r="DQ285" s="841"/>
      <c r="DR285" s="841"/>
      <c r="DS285" s="841"/>
      <c r="DT285" s="841"/>
      <c r="DU285" s="841"/>
      <c r="DV285" s="841"/>
      <c r="DW285" s="841"/>
      <c r="DX285" s="830"/>
      <c r="DY285" s="830"/>
      <c r="DZ285" s="830"/>
      <c r="EA285" s="830"/>
      <c r="EB285" s="830"/>
      <c r="EC285" s="830"/>
      <c r="ED285" s="830"/>
      <c r="EE285" s="830"/>
      <c r="EF285" s="830"/>
      <c r="EG285" s="830"/>
      <c r="EH285" s="830"/>
      <c r="EI285" s="830"/>
      <c r="EJ285" s="830"/>
      <c r="EK285" s="830"/>
      <c r="EL285" s="830"/>
      <c r="EM285" s="830"/>
      <c r="EN285" s="830"/>
      <c r="EO285" s="830"/>
      <c r="EP285" s="830"/>
      <c r="EQ285" s="830"/>
      <c r="ER285" s="830"/>
      <c r="ES285" s="830">
        <f t="shared" si="1069"/>
        <v>2</v>
      </c>
      <c r="ET285" s="830"/>
      <c r="EU285" s="830">
        <f t="shared" si="1070"/>
        <v>4</v>
      </c>
      <c r="EV285" s="56">
        <f t="shared" si="1071"/>
        <v>7</v>
      </c>
      <c r="EW285" s="4">
        <f t="shared" si="1066"/>
        <v>9</v>
      </c>
      <c r="EX285" s="4">
        <f t="shared" si="1067"/>
        <v>8</v>
      </c>
      <c r="EY285" s="11">
        <f t="shared" si="1068"/>
        <v>12</v>
      </c>
      <c r="EZ285" s="1734"/>
      <c r="FA285" s="172"/>
      <c r="FB285" s="172"/>
      <c r="FC285" s="172"/>
      <c r="FD285" s="172"/>
      <c r="FE285" s="172"/>
      <c r="FF285" s="172"/>
      <c r="FG285" s="172"/>
      <c r="FH285" s="172"/>
      <c r="FI285" s="667"/>
      <c r="FJ285"/>
      <c r="FK285"/>
      <c r="FL285"/>
      <c r="FM285"/>
      <c r="FN285"/>
      <c r="FO285"/>
      <c r="FP285" s="7"/>
      <c r="FS285" s="172"/>
      <c r="FT285" s="172"/>
      <c r="FU285"/>
      <c r="FV285"/>
      <c r="FW285" s="172"/>
      <c r="FX285" s="172"/>
      <c r="FY285" s="172"/>
      <c r="FZ285"/>
      <c r="GA285"/>
      <c r="GB285"/>
      <c r="GC285"/>
      <c r="GD285"/>
      <c r="GE285"/>
      <c r="GF285"/>
      <c r="GG285"/>
      <c r="GH285"/>
      <c r="GI285"/>
      <c r="GJ285"/>
      <c r="GK285"/>
      <c r="GL285"/>
      <c r="GM285"/>
      <c r="GN285"/>
      <c r="GO285"/>
      <c r="GP285"/>
      <c r="GQ285"/>
      <c r="GR285"/>
      <c r="GS285"/>
      <c r="GT285"/>
      <c r="GU285"/>
      <c r="GV285"/>
      <c r="GW285"/>
      <c r="GX285"/>
      <c r="GY285"/>
      <c r="GZ285"/>
      <c r="HA285"/>
      <c r="HB285"/>
      <c r="HC285"/>
      <c r="HD285"/>
      <c r="HE285"/>
      <c r="HF285"/>
      <c r="HG285"/>
      <c r="HH285"/>
      <c r="HI285"/>
      <c r="HJ285"/>
      <c r="HK285"/>
      <c r="HL285"/>
      <c r="HM285"/>
      <c r="HN285"/>
      <c r="HO285"/>
      <c r="HP285"/>
      <c r="HQ285"/>
      <c r="HR285"/>
      <c r="HS285"/>
      <c r="HT285"/>
      <c r="HU285"/>
      <c r="HV285"/>
      <c r="HW285"/>
      <c r="HX285"/>
      <c r="HY285"/>
      <c r="HZ285"/>
      <c r="IA285"/>
      <c r="IB285"/>
      <c r="IC285"/>
      <c r="ID285"/>
      <c r="IE285"/>
      <c r="IF285"/>
      <c r="IG285"/>
      <c r="IH285"/>
      <c r="II285"/>
      <c r="IJ285"/>
      <c r="IK285"/>
      <c r="IL285"/>
      <c r="IM285"/>
      <c r="IN285"/>
      <c r="IO285"/>
      <c r="IP285"/>
      <c r="IQ285"/>
      <c r="IR285"/>
      <c r="IS285"/>
      <c r="IT285"/>
      <c r="IU285"/>
      <c r="IV285"/>
      <c r="IW285"/>
      <c r="IX285"/>
      <c r="IY285"/>
      <c r="IZ285"/>
    </row>
    <row r="286" spans="1:260" s="6" customFormat="1" ht="11.25" hidden="1" customHeight="1" outlineLevel="2" x14ac:dyDescent="0.2">
      <c r="A286" s="7" t="s">
        <v>458</v>
      </c>
      <c r="B286" s="830"/>
      <c r="C286" s="830"/>
      <c r="D286" s="830"/>
      <c r="E286" s="828"/>
      <c r="F286" s="830"/>
      <c r="G286" s="830"/>
      <c r="H286" s="830"/>
      <c r="I286" s="828"/>
      <c r="J286" s="830"/>
      <c r="K286" s="830"/>
      <c r="L286" s="830"/>
      <c r="M286" s="828"/>
      <c r="N286" s="830"/>
      <c r="O286" s="830"/>
      <c r="P286" s="830"/>
      <c r="Q286" s="828"/>
      <c r="R286" s="830"/>
      <c r="S286" s="830"/>
      <c r="T286" s="830"/>
      <c r="U286" s="828"/>
      <c r="V286" s="830"/>
      <c r="W286" s="830"/>
      <c r="X286" s="830"/>
      <c r="Y286" s="828"/>
      <c r="Z286" s="830"/>
      <c r="AA286" s="830"/>
      <c r="AB286" s="830"/>
      <c r="AC286" s="828"/>
      <c r="AD286" s="830"/>
      <c r="AE286" s="830"/>
      <c r="AF286" s="830"/>
      <c r="AG286" s="828"/>
      <c r="AH286" s="830"/>
      <c r="AI286" s="830"/>
      <c r="AJ286" s="830"/>
      <c r="AK286" s="828"/>
      <c r="AL286" s="830"/>
      <c r="AM286" s="830"/>
      <c r="AN286" s="830"/>
      <c r="AO286" s="828"/>
      <c r="AP286" s="830"/>
      <c r="AQ286" s="830"/>
      <c r="AR286" s="830"/>
      <c r="AS286" s="828"/>
      <c r="AT286" s="830"/>
      <c r="AU286" s="830"/>
      <c r="AV286" s="830"/>
      <c r="AW286" s="828"/>
      <c r="AX286" s="830"/>
      <c r="AY286" s="830"/>
      <c r="AZ286" s="830"/>
      <c r="BA286" s="828"/>
      <c r="BB286" s="830"/>
      <c r="BC286" s="830"/>
      <c r="BD286" s="830"/>
      <c r="BE286" s="828"/>
      <c r="BF286" s="830"/>
      <c r="BG286" s="830"/>
      <c r="BH286" s="830"/>
      <c r="BI286" s="828"/>
      <c r="BJ286" s="830"/>
      <c r="BK286" s="830"/>
      <c r="BL286" s="830"/>
      <c r="BM286" s="828"/>
      <c r="BN286" s="830">
        <f>BN258*2</f>
        <v>0</v>
      </c>
      <c r="BO286" s="830">
        <f>BO258*2</f>
        <v>0</v>
      </c>
      <c r="BP286" s="830">
        <f>BP258*2</f>
        <v>0</v>
      </c>
      <c r="BQ286" s="828">
        <v>52</v>
      </c>
      <c r="BR286" s="830">
        <v>52</v>
      </c>
      <c r="BS286" s="830">
        <v>87</v>
      </c>
      <c r="BT286" s="830">
        <v>87</v>
      </c>
      <c r="BU286" s="828">
        <v>80</v>
      </c>
      <c r="BV286" s="830">
        <v>80</v>
      </c>
      <c r="BW286" s="830">
        <v>0</v>
      </c>
      <c r="BX286" s="830">
        <v>0</v>
      </c>
      <c r="BY286" s="828">
        <v>0</v>
      </c>
      <c r="BZ286" s="830"/>
      <c r="CA286" s="830"/>
      <c r="CB286" s="830"/>
      <c r="CC286" s="828"/>
      <c r="CD286" s="830"/>
      <c r="CE286" s="830"/>
      <c r="CF286" s="830"/>
      <c r="CG286" s="828"/>
      <c r="CH286" s="830">
        <v>0</v>
      </c>
      <c r="CI286" s="830">
        <v>0</v>
      </c>
      <c r="CJ286" s="830">
        <v>0</v>
      </c>
      <c r="CK286" s="828">
        <v>0</v>
      </c>
      <c r="CL286" s="830"/>
      <c r="CM286" s="830"/>
      <c r="CN286" s="830"/>
      <c r="CO286" s="828"/>
      <c r="CP286" s="830">
        <v>0</v>
      </c>
      <c r="CQ286" s="830">
        <v>0</v>
      </c>
      <c r="CR286" s="830">
        <v>0</v>
      </c>
      <c r="CS286" s="828">
        <v>0</v>
      </c>
      <c r="CT286" s="830">
        <v>0</v>
      </c>
      <c r="CU286" s="173">
        <v>0</v>
      </c>
      <c r="CV286" s="173">
        <v>0</v>
      </c>
      <c r="CW286" s="990">
        <v>0</v>
      </c>
      <c r="CX286" s="1955">
        <v>0</v>
      </c>
      <c r="CY286" s="1955">
        <f t="shared" si="1065"/>
        <v>0</v>
      </c>
      <c r="CZ286" s="1955"/>
      <c r="DA286" s="1951"/>
      <c r="DB286" s="1955"/>
      <c r="DC286" s="1955"/>
      <c r="DD286" s="1955"/>
      <c r="DE286" s="1951"/>
      <c r="DF286" s="1955"/>
      <c r="DG286" s="1955"/>
      <c r="DH286" s="1955"/>
      <c r="DI286" s="1951"/>
      <c r="DJ286" s="2748"/>
      <c r="DK286" s="1955"/>
      <c r="DL286" s="1955"/>
      <c r="DM286" s="1951"/>
      <c r="DN286" s="677"/>
      <c r="DO286" s="613"/>
      <c r="DP286" s="862"/>
      <c r="DQ286" s="841"/>
      <c r="DR286" s="841"/>
      <c r="DS286" s="841"/>
      <c r="DT286" s="841"/>
      <c r="DU286" s="841"/>
      <c r="DV286" s="841"/>
      <c r="DW286" s="841"/>
      <c r="DX286" s="830"/>
      <c r="DY286" s="830"/>
      <c r="DZ286" s="830"/>
      <c r="EA286" s="830"/>
      <c r="EB286" s="830"/>
      <c r="EC286" s="830"/>
      <c r="ED286" s="830"/>
      <c r="EE286" s="830"/>
      <c r="EF286" s="830"/>
      <c r="EG286" s="830"/>
      <c r="EH286" s="830"/>
      <c r="EI286" s="830"/>
      <c r="EJ286" s="830"/>
      <c r="EK286" s="830"/>
      <c r="EL286" s="830"/>
      <c r="EM286" s="830"/>
      <c r="EN286" s="830">
        <f>BQ286</f>
        <v>52</v>
      </c>
      <c r="EO286" s="830">
        <f>BU286</f>
        <v>80</v>
      </c>
      <c r="EP286" s="830">
        <f>BY286</f>
        <v>0</v>
      </c>
      <c r="EQ286" s="830"/>
      <c r="ER286" s="830"/>
      <c r="ES286" s="830">
        <f t="shared" si="1069"/>
        <v>0</v>
      </c>
      <c r="ET286" s="830"/>
      <c r="EU286" s="830">
        <f t="shared" si="1070"/>
        <v>0</v>
      </c>
      <c r="EV286" s="56">
        <f t="shared" si="1071"/>
        <v>0</v>
      </c>
      <c r="EW286" s="4">
        <f t="shared" si="1066"/>
        <v>0</v>
      </c>
      <c r="EX286" s="4">
        <f t="shared" si="1067"/>
        <v>0</v>
      </c>
      <c r="EY286" s="11">
        <f t="shared" si="1068"/>
        <v>0</v>
      </c>
      <c r="EZ286" s="1734"/>
      <c r="FA286" s="172"/>
      <c r="FB286" s="172"/>
      <c r="FC286" s="172"/>
      <c r="FD286" s="172"/>
      <c r="FE286" s="172"/>
      <c r="FF286" s="172"/>
      <c r="FG286" s="172"/>
      <c r="FH286" s="172"/>
      <c r="FI286" s="667"/>
      <c r="FJ286"/>
      <c r="FK286"/>
      <c r="FL286"/>
      <c r="FM286"/>
      <c r="FN286"/>
      <c r="FO286"/>
      <c r="FP286" s="7"/>
      <c r="FS286" s="172"/>
      <c r="FT286" s="172"/>
      <c r="FU286"/>
      <c r="FV286"/>
      <c r="FW286" s="172"/>
      <c r="FX286" s="172"/>
      <c r="FY286" s="172"/>
      <c r="FZ286"/>
      <c r="GA286"/>
      <c r="GB286"/>
      <c r="GC286"/>
      <c r="GD286"/>
      <c r="GE286"/>
      <c r="GF286"/>
      <c r="GG286"/>
      <c r="GH286"/>
      <c r="GI286"/>
      <c r="GJ286"/>
      <c r="GK286"/>
      <c r="GL286"/>
      <c r="GM286"/>
      <c r="GN286"/>
      <c r="GO286"/>
      <c r="GP286"/>
      <c r="GQ286"/>
      <c r="GR286"/>
      <c r="GS286"/>
      <c r="GT286"/>
      <c r="GU286"/>
      <c r="GV286"/>
      <c r="GW286"/>
      <c r="GX286"/>
      <c r="GY286"/>
      <c r="GZ286"/>
      <c r="HA286"/>
      <c r="HB286"/>
      <c r="HC286"/>
      <c r="HD286"/>
      <c r="HE286"/>
      <c r="HF286"/>
      <c r="HG286"/>
      <c r="HH286"/>
      <c r="HI286"/>
      <c r="HJ286"/>
      <c r="HK286"/>
      <c r="HL286"/>
      <c r="HM286"/>
      <c r="HN286"/>
      <c r="HO286"/>
      <c r="HP286"/>
      <c r="HQ286"/>
      <c r="HR286"/>
      <c r="HS286"/>
      <c r="HT286"/>
      <c r="HU286"/>
      <c r="HV286"/>
      <c r="HW286"/>
      <c r="HX286"/>
      <c r="HY286"/>
      <c r="HZ286"/>
      <c r="IA286"/>
      <c r="IB286"/>
      <c r="IC286"/>
      <c r="ID286"/>
      <c r="IE286"/>
      <c r="IF286"/>
      <c r="IG286"/>
      <c r="IH286"/>
      <c r="II286"/>
      <c r="IJ286"/>
      <c r="IK286"/>
      <c r="IL286"/>
      <c r="IM286"/>
      <c r="IN286"/>
      <c r="IO286"/>
      <c r="IP286"/>
      <c r="IQ286"/>
      <c r="IR286"/>
      <c r="IS286"/>
      <c r="IT286"/>
      <c r="IU286"/>
      <c r="IV286"/>
      <c r="IW286"/>
      <c r="IX286"/>
      <c r="IY286"/>
      <c r="IZ286"/>
    </row>
    <row r="287" spans="1:260" s="4" customFormat="1" ht="11.25" hidden="1" customHeight="1" outlineLevel="1" collapsed="1" x14ac:dyDescent="0.2">
      <c r="A287" s="762" t="s">
        <v>90</v>
      </c>
      <c r="B287" s="829"/>
      <c r="C287" s="829"/>
      <c r="D287" s="829"/>
      <c r="E287" s="827"/>
      <c r="F287" s="829"/>
      <c r="G287" s="829"/>
      <c r="H287" s="829"/>
      <c r="I287" s="827"/>
      <c r="J287" s="829"/>
      <c r="K287" s="829"/>
      <c r="L287" s="829"/>
      <c r="M287" s="827"/>
      <c r="N287" s="829"/>
      <c r="O287" s="829"/>
      <c r="P287" s="829"/>
      <c r="Q287" s="827"/>
      <c r="R287" s="829"/>
      <c r="S287" s="829"/>
      <c r="T287" s="829"/>
      <c r="U287" s="827"/>
      <c r="V287" s="829"/>
      <c r="W287" s="829"/>
      <c r="X287" s="829"/>
      <c r="Y287" s="827"/>
      <c r="Z287" s="829"/>
      <c r="AA287" s="829"/>
      <c r="AB287" s="829"/>
      <c r="AC287" s="827"/>
      <c r="AD287" s="829"/>
      <c r="AE287" s="829"/>
      <c r="AF287" s="829"/>
      <c r="AG287" s="827"/>
      <c r="AH287" s="829">
        <f>SUM(AH277:AH278)</f>
        <v>0</v>
      </c>
      <c r="AI287" s="829">
        <f>SUM(AI277:AI278)</f>
        <v>0</v>
      </c>
      <c r="AJ287" s="829">
        <f t="shared" ref="AJ287:BY287" si="1072">SUM(AJ276:AJ286)</f>
        <v>2449</v>
      </c>
      <c r="AK287" s="827">
        <f t="shared" si="1072"/>
        <v>2468</v>
      </c>
      <c r="AL287" s="829">
        <f t="shared" si="1072"/>
        <v>2508</v>
      </c>
      <c r="AM287" s="829">
        <f t="shared" si="1072"/>
        <v>2689</v>
      </c>
      <c r="AN287" s="829">
        <f t="shared" si="1072"/>
        <v>3065</v>
      </c>
      <c r="AO287" s="827">
        <f t="shared" si="1072"/>
        <v>3065</v>
      </c>
      <c r="AP287" s="829">
        <f t="shared" si="1072"/>
        <v>3139</v>
      </c>
      <c r="AQ287" s="829">
        <f t="shared" si="1072"/>
        <v>3333</v>
      </c>
      <c r="AR287" s="829">
        <f t="shared" si="1072"/>
        <v>3587</v>
      </c>
      <c r="AS287" s="827">
        <f t="shared" si="1072"/>
        <v>3587</v>
      </c>
      <c r="AT287" s="829">
        <f t="shared" si="1072"/>
        <v>3620</v>
      </c>
      <c r="AU287" s="829">
        <f t="shared" si="1072"/>
        <v>3711</v>
      </c>
      <c r="AV287" s="829">
        <f t="shared" si="1072"/>
        <v>3989</v>
      </c>
      <c r="AW287" s="827">
        <f t="shared" si="1072"/>
        <v>4057</v>
      </c>
      <c r="AX287" s="829">
        <f t="shared" si="1072"/>
        <v>4133</v>
      </c>
      <c r="AY287" s="829">
        <f t="shared" si="1072"/>
        <v>4234</v>
      </c>
      <c r="AZ287" s="829">
        <f t="shared" si="1072"/>
        <v>4636</v>
      </c>
      <c r="BA287" s="827">
        <f t="shared" si="1072"/>
        <v>4651.75</v>
      </c>
      <c r="BB287" s="829">
        <f t="shared" si="1072"/>
        <v>4662.9799999999996</v>
      </c>
      <c r="BC287" s="829">
        <f t="shared" si="1072"/>
        <v>9006</v>
      </c>
      <c r="BD287" s="829">
        <f t="shared" si="1072"/>
        <v>9259</v>
      </c>
      <c r="BE287" s="827">
        <f t="shared" si="1072"/>
        <v>9418</v>
      </c>
      <c r="BF287" s="829">
        <f t="shared" si="1072"/>
        <v>9562</v>
      </c>
      <c r="BG287" s="829">
        <f t="shared" si="1072"/>
        <v>9852</v>
      </c>
      <c r="BH287" s="829">
        <f t="shared" si="1072"/>
        <v>10545</v>
      </c>
      <c r="BI287" s="827">
        <f t="shared" si="1072"/>
        <v>11069</v>
      </c>
      <c r="BJ287" s="829">
        <f t="shared" si="1072"/>
        <v>11415</v>
      </c>
      <c r="BK287" s="829">
        <f t="shared" si="1072"/>
        <v>11442</v>
      </c>
      <c r="BL287" s="829">
        <f t="shared" si="1072"/>
        <v>12840</v>
      </c>
      <c r="BM287" s="827">
        <f t="shared" si="1072"/>
        <v>13331</v>
      </c>
      <c r="BN287" s="829">
        <f t="shared" si="1072"/>
        <v>13310</v>
      </c>
      <c r="BO287" s="829">
        <f t="shared" si="1072"/>
        <v>13484</v>
      </c>
      <c r="BP287" s="829">
        <f t="shared" si="1072"/>
        <v>13556</v>
      </c>
      <c r="BQ287" s="827">
        <f t="shared" si="1072"/>
        <v>13623.0448361</v>
      </c>
      <c r="BR287" s="829">
        <f t="shared" si="1072"/>
        <v>13695</v>
      </c>
      <c r="BS287" s="829">
        <f t="shared" si="1072"/>
        <v>14078</v>
      </c>
      <c r="BT287" s="829">
        <f t="shared" si="1072"/>
        <v>14248</v>
      </c>
      <c r="BU287" s="827">
        <f t="shared" si="1072"/>
        <v>14445</v>
      </c>
      <c r="BV287" s="829">
        <f t="shared" si="1072"/>
        <v>14423</v>
      </c>
      <c r="BW287" s="829">
        <f t="shared" si="1072"/>
        <v>15007</v>
      </c>
      <c r="BX287" s="829">
        <f t="shared" si="1072"/>
        <v>15472</v>
      </c>
      <c r="BY287" s="827">
        <f t="shared" si="1072"/>
        <v>15852</v>
      </c>
      <c r="BZ287" s="829"/>
      <c r="CA287" s="829"/>
      <c r="CB287" s="829"/>
      <c r="CC287" s="827"/>
      <c r="CD287" s="829"/>
      <c r="CE287" s="829"/>
      <c r="CF287" s="829"/>
      <c r="CG287" s="827"/>
      <c r="CH287" s="829">
        <f>SUM(CH276:CH286)</f>
        <v>15885</v>
      </c>
      <c r="CI287" s="829">
        <f>SUM(CI276:CI286)</f>
        <v>16077</v>
      </c>
      <c r="CJ287" s="829">
        <f>SUM(CJ276:CJ286)</f>
        <v>16382</v>
      </c>
      <c r="CK287" s="827">
        <f>SUM(CK276:CK286)</f>
        <v>15049</v>
      </c>
      <c r="CL287" s="829"/>
      <c r="CM287" s="829"/>
      <c r="CN287" s="829"/>
      <c r="CO287" s="827"/>
      <c r="CP287" s="829">
        <f t="shared" ref="CP287:CW287" si="1073">SUM(CP276:CP286)</f>
        <v>6618</v>
      </c>
      <c r="CQ287" s="829">
        <f t="shared" si="1073"/>
        <v>6652</v>
      </c>
      <c r="CR287" s="829">
        <f t="shared" si="1073"/>
        <v>6722</v>
      </c>
      <c r="CS287" s="827">
        <f t="shared" si="1073"/>
        <v>6636</v>
      </c>
      <c r="CT287" s="829">
        <f t="shared" si="1073"/>
        <v>6636</v>
      </c>
      <c r="CU287" s="172">
        <f t="shared" si="1073"/>
        <v>6536</v>
      </c>
      <c r="CV287" s="172">
        <f t="shared" si="1073"/>
        <v>6560</v>
      </c>
      <c r="CW287" s="524">
        <f t="shared" si="1073"/>
        <v>6470</v>
      </c>
      <c r="CX287" s="172">
        <f t="shared" ref="CX287:DF287" si="1074">SUM(CX276:CX286)</f>
        <v>4529</v>
      </c>
      <c r="CY287" s="172">
        <f t="shared" si="1074"/>
        <v>4529</v>
      </c>
      <c r="CZ287" s="172">
        <f t="shared" si="1074"/>
        <v>4528</v>
      </c>
      <c r="DA287" s="524">
        <f t="shared" si="1074"/>
        <v>4543</v>
      </c>
      <c r="DB287" s="172">
        <f t="shared" si="1074"/>
        <v>4510</v>
      </c>
      <c r="DC287" s="172">
        <f t="shared" si="1074"/>
        <v>4508</v>
      </c>
      <c r="DD287" s="172">
        <f t="shared" si="1074"/>
        <v>4506</v>
      </c>
      <c r="DE287" s="524">
        <f t="shared" si="1074"/>
        <v>4510</v>
      </c>
      <c r="DF287" s="1638">
        <f t="shared" si="1074"/>
        <v>4510</v>
      </c>
      <c r="DG287" s="1638">
        <v>4550</v>
      </c>
      <c r="DH287" s="1638">
        <v>4567</v>
      </c>
      <c r="DI287" s="524">
        <v>4619</v>
      </c>
      <c r="DJ287" s="2720"/>
      <c r="DK287" s="93"/>
      <c r="DL287" s="93"/>
      <c r="DM287" s="645"/>
      <c r="DN287" s="677"/>
      <c r="DO287" s="613"/>
      <c r="DP287" s="863"/>
      <c r="DQ287" s="838"/>
      <c r="DR287" s="838"/>
      <c r="DS287" s="838"/>
      <c r="DT287" s="838"/>
      <c r="DU287" s="838"/>
      <c r="DV287" s="838"/>
      <c r="DW287" s="838"/>
      <c r="DX287" s="829"/>
      <c r="DY287" s="829"/>
      <c r="DZ287" s="829"/>
      <c r="EA287" s="829"/>
      <c r="EB287" s="829"/>
      <c r="EC287" s="829"/>
      <c r="ED287" s="829"/>
      <c r="EE287" s="829"/>
      <c r="EF287" s="829">
        <f>SUM(EF276:EF286)</f>
        <v>2468</v>
      </c>
      <c r="EG287" s="829">
        <f>AO287</f>
        <v>3065</v>
      </c>
      <c r="EH287" s="829">
        <f>AS287</f>
        <v>3587</v>
      </c>
      <c r="EI287" s="829">
        <f>AW287</f>
        <v>4057</v>
      </c>
      <c r="EJ287" s="829">
        <f>BA287</f>
        <v>4651.75</v>
      </c>
      <c r="EK287" s="829">
        <f>BE287</f>
        <v>9418</v>
      </c>
      <c r="EL287" s="829">
        <f>BI287</f>
        <v>11069</v>
      </c>
      <c r="EM287" s="829">
        <f>BM287</f>
        <v>13331</v>
      </c>
      <c r="EN287" s="829">
        <f>BQ287</f>
        <v>13623.0448361</v>
      </c>
      <c r="EO287" s="829">
        <f>BU287</f>
        <v>14445</v>
      </c>
      <c r="EP287" s="829">
        <f>BY287</f>
        <v>15852</v>
      </c>
      <c r="EQ287" s="829"/>
      <c r="ER287" s="829"/>
      <c r="ES287" s="829">
        <f t="shared" si="1069"/>
        <v>15049</v>
      </c>
      <c r="ET287" s="829"/>
      <c r="EU287" s="829">
        <f t="shared" si="1070"/>
        <v>6636</v>
      </c>
      <c r="EV287" s="56">
        <f t="shared" si="1071"/>
        <v>6470</v>
      </c>
      <c r="EW287" s="4">
        <f t="shared" si="1066"/>
        <v>4543</v>
      </c>
      <c r="EX287" s="4">
        <f t="shared" si="1067"/>
        <v>4510</v>
      </c>
      <c r="EY287" s="11">
        <f t="shared" si="1068"/>
        <v>4619</v>
      </c>
      <c r="EZ287" s="1734"/>
      <c r="FA287" s="93"/>
      <c r="FB287" s="93"/>
      <c r="FC287" s="93"/>
      <c r="FD287" s="93"/>
      <c r="FE287" s="93"/>
      <c r="FF287" s="93"/>
      <c r="FG287" s="93"/>
      <c r="FH287" s="93"/>
      <c r="FI287" s="667"/>
      <c r="FJ287"/>
      <c r="FK287"/>
      <c r="FL287"/>
      <c r="FM287"/>
      <c r="FN287"/>
      <c r="FO287"/>
      <c r="FP287" s="3"/>
      <c r="FS287" s="172"/>
      <c r="FT287" s="172"/>
      <c r="FU287"/>
      <c r="FV287"/>
      <c r="FW287" s="172"/>
      <c r="FX287" s="172"/>
      <c r="FY287" s="172"/>
      <c r="FZ287"/>
      <c r="GA287"/>
      <c r="GB287"/>
      <c r="GC287"/>
      <c r="GD287"/>
      <c r="GE287"/>
      <c r="GF287"/>
      <c r="GG287"/>
      <c r="GH287"/>
      <c r="GI287"/>
      <c r="GJ287"/>
      <c r="GK287"/>
      <c r="GL287"/>
      <c r="GM287"/>
      <c r="GN287"/>
      <c r="GO287"/>
      <c r="GP287"/>
      <c r="GQ287"/>
      <c r="GR287"/>
      <c r="GS287"/>
      <c r="GT287"/>
      <c r="GU287"/>
      <c r="GV287"/>
      <c r="GW287"/>
      <c r="GX287"/>
      <c r="GY287"/>
      <c r="GZ287"/>
      <c r="HA287"/>
      <c r="HB287"/>
      <c r="HC287"/>
      <c r="HD287"/>
      <c r="HE287"/>
      <c r="HF287"/>
      <c r="HG287"/>
      <c r="HH287"/>
      <c r="HI287"/>
      <c r="HJ287"/>
      <c r="HK287"/>
      <c r="HL287"/>
      <c r="HM287"/>
      <c r="HN287"/>
      <c r="HO287"/>
      <c r="HP287"/>
      <c r="HQ287"/>
      <c r="HR287"/>
      <c r="HS287"/>
      <c r="HT287"/>
      <c r="HU287"/>
      <c r="HV287"/>
      <c r="HW287"/>
      <c r="HX287"/>
      <c r="HY287"/>
      <c r="HZ287"/>
      <c r="IA287"/>
      <c r="IB287"/>
      <c r="IC287"/>
      <c r="ID287"/>
      <c r="IE287"/>
      <c r="IF287"/>
      <c r="IG287"/>
      <c r="IH287"/>
      <c r="II287"/>
      <c r="IJ287"/>
      <c r="IK287"/>
      <c r="IL287"/>
      <c r="IM287"/>
      <c r="IN287"/>
      <c r="IO287"/>
      <c r="IP287"/>
      <c r="IQ287"/>
      <c r="IR287"/>
      <c r="IS287"/>
      <c r="IT287"/>
      <c r="IU287"/>
      <c r="IV287"/>
      <c r="IW287"/>
      <c r="IX287"/>
      <c r="IY287"/>
      <c r="IZ287"/>
    </row>
    <row r="288" spans="1:260" s="4" customFormat="1" ht="11.25" hidden="1" customHeight="1" outlineLevel="1" x14ac:dyDescent="0.2">
      <c r="A288" s="194" t="s">
        <v>88</v>
      </c>
      <c r="E288" s="470"/>
      <c r="I288" s="470"/>
      <c r="M288" s="470"/>
      <c r="Q288" s="470"/>
      <c r="U288" s="470"/>
      <c r="Y288" s="470"/>
      <c r="AC288" s="470"/>
      <c r="AG288" s="470"/>
      <c r="AK288" s="470"/>
      <c r="AO288" s="470"/>
      <c r="AS288" s="470"/>
      <c r="AW288" s="470"/>
      <c r="BA288" s="470"/>
      <c r="BE288" s="470"/>
      <c r="BG288" s="6"/>
      <c r="BH288" s="6"/>
      <c r="BI288" s="749"/>
      <c r="BM288" s="470"/>
      <c r="BQ288" s="470"/>
      <c r="BU288" s="470"/>
      <c r="BY288" s="470"/>
      <c r="CC288" s="470"/>
      <c r="CG288" s="470"/>
      <c r="CK288" s="470"/>
      <c r="CO288" s="470"/>
      <c r="CR288" s="6"/>
      <c r="CS288" s="470"/>
      <c r="CU288" s="6"/>
      <c r="CV288" s="6"/>
      <c r="CW288" s="484"/>
      <c r="CX288" s="6"/>
      <c r="CY288" s="6"/>
      <c r="CZ288" s="6"/>
      <c r="DA288" s="484"/>
      <c r="DB288" s="6"/>
      <c r="DC288" s="6"/>
      <c r="DD288" s="7"/>
      <c r="DE288" s="484"/>
      <c r="DF288" s="7"/>
      <c r="DG288" s="7"/>
      <c r="DH288" s="7"/>
      <c r="DI288" s="484"/>
      <c r="DJ288" s="1671"/>
      <c r="DK288" s="3"/>
      <c r="DL288" s="3"/>
      <c r="DM288" s="470"/>
      <c r="DN288" s="413"/>
      <c r="DO288" s="470"/>
      <c r="DP288" s="41"/>
      <c r="DQ288" s="41"/>
      <c r="DR288" s="41"/>
      <c r="DS288" s="41"/>
      <c r="DT288" s="41"/>
      <c r="DU288" s="41"/>
      <c r="DV288" s="41"/>
      <c r="DW288" s="41"/>
      <c r="DX288" s="41"/>
      <c r="DY288" s="41"/>
      <c r="DZ288" s="41"/>
      <c r="EA288" s="41"/>
      <c r="EB288" s="41"/>
      <c r="EC288" s="41"/>
      <c r="ED288" s="41"/>
      <c r="EE288" s="41"/>
      <c r="EF288" s="41"/>
      <c r="EG288" s="41"/>
      <c r="EH288" s="41"/>
      <c r="EI288" s="41"/>
      <c r="EJ288" s="41"/>
      <c r="EK288" s="41"/>
      <c r="EL288" s="41"/>
      <c r="EM288" s="55"/>
      <c r="EN288" s="835"/>
      <c r="EO288" s="41"/>
      <c r="EP288" s="41"/>
      <c r="EQ288" s="41"/>
      <c r="ER288" s="41"/>
      <c r="ES288" s="41"/>
      <c r="ET288" s="41"/>
      <c r="EU288" s="41"/>
      <c r="EX288" s="6"/>
      <c r="EY288" s="6"/>
      <c r="EZ288" s="1734"/>
      <c r="FA288" s="15"/>
      <c r="FB288" s="15"/>
      <c r="FC288" s="15"/>
      <c r="FD288" s="15"/>
      <c r="FE288" s="15"/>
      <c r="FF288" s="15"/>
      <c r="FG288" s="15"/>
      <c r="FH288" s="15"/>
      <c r="FI288" s="580"/>
      <c r="FJ288"/>
      <c r="FK288"/>
      <c r="FL288"/>
      <c r="FM288"/>
      <c r="FN288"/>
      <c r="FO288"/>
      <c r="FP288" s="3"/>
      <c r="FS288" s="70"/>
      <c r="FT288" s="70"/>
      <c r="FU288"/>
      <c r="FV288"/>
      <c r="FW288" s="70"/>
      <c r="FX288" s="70"/>
      <c r="FY288" s="70"/>
      <c r="FZ288"/>
      <c r="GA288"/>
      <c r="GB288"/>
      <c r="GC288"/>
      <c r="GD288"/>
      <c r="GE288"/>
      <c r="GF288"/>
      <c r="GG288"/>
      <c r="GH288"/>
      <c r="GI288"/>
      <c r="GJ288"/>
      <c r="GK288"/>
      <c r="GL288"/>
      <c r="GM288"/>
      <c r="GN288"/>
      <c r="GO288"/>
      <c r="GP288"/>
      <c r="GQ288"/>
      <c r="GR288"/>
      <c r="GS288"/>
      <c r="GT288"/>
      <c r="GU288"/>
      <c r="GV288"/>
      <c r="GW288"/>
      <c r="GX288"/>
      <c r="GY288"/>
      <c r="GZ288"/>
      <c r="HA288"/>
      <c r="HB288"/>
      <c r="HC288"/>
      <c r="HD288"/>
      <c r="HE288"/>
      <c r="HF288"/>
      <c r="HG288"/>
      <c r="HH288"/>
      <c r="HI288"/>
      <c r="HJ288"/>
      <c r="HK288"/>
      <c r="HL288"/>
      <c r="HM288"/>
      <c r="HN288"/>
      <c r="HO288"/>
      <c r="HP288"/>
      <c r="HQ288"/>
      <c r="HR288"/>
      <c r="HS288"/>
      <c r="HT288"/>
      <c r="HU288"/>
      <c r="HV288"/>
      <c r="HW288"/>
      <c r="HX288"/>
      <c r="HY288"/>
      <c r="HZ288"/>
      <c r="IA288"/>
      <c r="IB288"/>
      <c r="IC288"/>
      <c r="ID288"/>
      <c r="IE288"/>
      <c r="IF288"/>
      <c r="IG288"/>
      <c r="IH288"/>
      <c r="II288"/>
      <c r="IJ288"/>
      <c r="IK288"/>
      <c r="IL288"/>
      <c r="IM288"/>
      <c r="IN288"/>
      <c r="IO288"/>
      <c r="IP288"/>
      <c r="IQ288"/>
      <c r="IR288"/>
      <c r="IS288"/>
      <c r="IT288"/>
      <c r="IU288"/>
      <c r="IV288"/>
      <c r="IW288"/>
      <c r="IX288"/>
      <c r="IY288"/>
      <c r="IZ288"/>
    </row>
    <row r="289" spans="1:260" s="4" customFormat="1" ht="11.25" customHeight="1" collapsed="1" x14ac:dyDescent="0.2">
      <c r="A289" s="194"/>
      <c r="E289" s="470"/>
      <c r="I289" s="470"/>
      <c r="M289" s="470"/>
      <c r="Q289" s="470"/>
      <c r="U289" s="470"/>
      <c r="Y289" s="470"/>
      <c r="AC289" s="470"/>
      <c r="AG289" s="470"/>
      <c r="AK289" s="470"/>
      <c r="AO289" s="470"/>
      <c r="AS289" s="470"/>
      <c r="AW289" s="470"/>
      <c r="BA289" s="470"/>
      <c r="BE289" s="470"/>
      <c r="BG289" s="6"/>
      <c r="BH289" s="6"/>
      <c r="BI289" s="749"/>
      <c r="BM289" s="470"/>
      <c r="BQ289" s="470"/>
      <c r="BU289" s="470"/>
      <c r="BY289" s="470"/>
      <c r="CC289" s="470"/>
      <c r="CG289" s="470"/>
      <c r="CK289" s="470"/>
      <c r="CO289" s="470"/>
      <c r="CR289" s="6"/>
      <c r="CS289" s="470"/>
      <c r="CU289" s="6"/>
      <c r="CV289" s="6"/>
      <c r="CW289" s="484"/>
      <c r="CX289" s="6"/>
      <c r="CY289" s="6"/>
      <c r="CZ289" s="6"/>
      <c r="DA289" s="484"/>
      <c r="DB289" s="6"/>
      <c r="DC289" s="6"/>
      <c r="DD289" s="7"/>
      <c r="DE289" s="484"/>
      <c r="DF289" s="7"/>
      <c r="DG289" s="7"/>
      <c r="DH289" s="7"/>
      <c r="DI289" s="484"/>
      <c r="DJ289" s="1671"/>
      <c r="DK289" s="3"/>
      <c r="DL289" s="3"/>
      <c r="DM289" s="470"/>
      <c r="DN289" s="413"/>
      <c r="DO289" s="470"/>
      <c r="EM289" s="9"/>
      <c r="EN289" s="29"/>
      <c r="EV289" s="56"/>
      <c r="EW289" s="56"/>
      <c r="EX289" s="56"/>
      <c r="EY289" s="56"/>
      <c r="EZ289" s="1696"/>
      <c r="FA289" s="15"/>
      <c r="FB289" s="15"/>
      <c r="FC289" s="15"/>
      <c r="FD289" s="15"/>
      <c r="FE289" s="15"/>
      <c r="FF289" s="15"/>
      <c r="FG289" s="15"/>
      <c r="FH289" s="15"/>
      <c r="FI289" s="580"/>
      <c r="FJ289"/>
      <c r="FK289"/>
      <c r="FL289"/>
      <c r="FM289"/>
      <c r="FN289"/>
      <c r="FO289"/>
      <c r="FP289" s="3"/>
      <c r="FS289" s="70"/>
      <c r="FT289" s="70"/>
      <c r="FU289"/>
      <c r="FV289"/>
      <c r="FW289" s="70"/>
      <c r="FX289" s="70"/>
      <c r="FY289" s="70"/>
      <c r="FZ289"/>
      <c r="GA289"/>
      <c r="GB289"/>
      <c r="GC289"/>
      <c r="GD289"/>
      <c r="GE289"/>
      <c r="GF289"/>
      <c r="GG289"/>
      <c r="GH289"/>
      <c r="GI289"/>
      <c r="GJ289"/>
      <c r="GK289"/>
      <c r="GL289"/>
      <c r="GM289"/>
      <c r="GN289"/>
      <c r="GO289"/>
      <c r="GP289"/>
      <c r="GQ289"/>
      <c r="GR289"/>
      <c r="GS289"/>
      <c r="GT289"/>
      <c r="GU289"/>
      <c r="GV289"/>
      <c r="GW289"/>
      <c r="GX289"/>
      <c r="GY289"/>
      <c r="GZ289"/>
      <c r="HA289"/>
      <c r="HB289"/>
      <c r="HC289"/>
      <c r="HD289"/>
      <c r="HE289"/>
      <c r="HF289"/>
      <c r="HG289"/>
      <c r="HH289"/>
      <c r="HI289"/>
      <c r="HJ289"/>
      <c r="HK289"/>
      <c r="HL289"/>
      <c r="HM289"/>
      <c r="HN289"/>
      <c r="HO289"/>
      <c r="HP289"/>
      <c r="HQ289"/>
      <c r="HR289"/>
      <c r="HS289"/>
      <c r="HT289"/>
      <c r="HU289"/>
      <c r="HV289"/>
      <c r="HW289"/>
      <c r="HX289"/>
      <c r="HY289"/>
      <c r="HZ289"/>
      <c r="IA289"/>
      <c r="IB289"/>
      <c r="IC289"/>
      <c r="ID289"/>
      <c r="IE289"/>
      <c r="IF289"/>
      <c r="IG289"/>
      <c r="IH289"/>
      <c r="II289"/>
      <c r="IJ289"/>
      <c r="IK289"/>
      <c r="IL289"/>
      <c r="IM289"/>
      <c r="IN289"/>
      <c r="IO289"/>
      <c r="IP289"/>
      <c r="IQ289"/>
      <c r="IR289"/>
      <c r="IS289"/>
      <c r="IT289"/>
      <c r="IU289"/>
      <c r="IV289"/>
      <c r="IW289"/>
      <c r="IX289"/>
      <c r="IY289"/>
      <c r="IZ289"/>
    </row>
    <row r="290" spans="1:260" s="19" customFormat="1" x14ac:dyDescent="0.2">
      <c r="A290" s="439" t="s">
        <v>118</v>
      </c>
      <c r="B290" s="1007"/>
      <c r="C290" s="1007"/>
      <c r="D290" s="1007"/>
      <c r="E290" s="1008"/>
      <c r="F290" s="1007"/>
      <c r="G290" s="1007"/>
      <c r="H290" s="1007"/>
      <c r="I290" s="1008"/>
      <c r="J290" s="1007"/>
      <c r="K290" s="1007"/>
      <c r="L290" s="1007"/>
      <c r="M290" s="1008"/>
      <c r="N290" s="1007"/>
      <c r="O290" s="1007"/>
      <c r="P290" s="1007"/>
      <c r="Q290" s="1008"/>
      <c r="R290" s="1007"/>
      <c r="S290" s="1007"/>
      <c r="T290" s="1007"/>
      <c r="U290" s="1008"/>
      <c r="V290" s="1007"/>
      <c r="W290" s="1007"/>
      <c r="X290" s="1007"/>
      <c r="Y290" s="1008"/>
      <c r="Z290" s="1007"/>
      <c r="AA290" s="1007"/>
      <c r="AB290" s="1007"/>
      <c r="AC290" s="1008"/>
      <c r="AD290" s="1007"/>
      <c r="AE290" s="1007"/>
      <c r="AF290" s="1007"/>
      <c r="AG290" s="1008"/>
      <c r="AH290" s="1009">
        <v>91</v>
      </c>
      <c r="AI290" s="1009">
        <f>+AI293+AH290</f>
        <v>91</v>
      </c>
      <c r="AJ290" s="1009">
        <f>+AJ293+AI290</f>
        <v>91</v>
      </c>
      <c r="AK290" s="1010">
        <f>+AK293+AJ290</f>
        <v>91</v>
      </c>
      <c r="AL290" s="1009">
        <f>+AK290+AL293</f>
        <v>93</v>
      </c>
      <c r="AM290" s="1009">
        <f>+AM293+AL290</f>
        <v>97</v>
      </c>
      <c r="AN290" s="1009">
        <f>+AN293+AM290</f>
        <v>108</v>
      </c>
      <c r="AO290" s="1010">
        <f>+AO293+AN290</f>
        <v>108</v>
      </c>
      <c r="AP290" s="1009">
        <f t="shared" ref="AP290:BI290" si="1075">AP242</f>
        <v>114</v>
      </c>
      <c r="AQ290" s="1009">
        <f t="shared" si="1075"/>
        <v>120</v>
      </c>
      <c r="AR290" s="1009">
        <f t="shared" si="1075"/>
        <v>127</v>
      </c>
      <c r="AS290" s="1010">
        <f t="shared" si="1075"/>
        <v>127</v>
      </c>
      <c r="AT290" s="1009">
        <f t="shared" si="1075"/>
        <v>128</v>
      </c>
      <c r="AU290" s="1009">
        <f t="shared" si="1075"/>
        <v>131</v>
      </c>
      <c r="AV290" s="1009">
        <f t="shared" si="1075"/>
        <v>142</v>
      </c>
      <c r="AW290" s="1010">
        <f t="shared" si="1075"/>
        <v>144</v>
      </c>
      <c r="AX290" s="1009">
        <f t="shared" si="1075"/>
        <v>147</v>
      </c>
      <c r="AY290" s="1009">
        <f t="shared" si="1075"/>
        <v>150</v>
      </c>
      <c r="AZ290" s="1009">
        <f t="shared" si="1075"/>
        <v>166</v>
      </c>
      <c r="BA290" s="1010">
        <f t="shared" si="1075"/>
        <v>167</v>
      </c>
      <c r="BB290" s="1009">
        <f t="shared" si="1075"/>
        <v>169</v>
      </c>
      <c r="BC290" s="1009">
        <f t="shared" si="1075"/>
        <v>294</v>
      </c>
      <c r="BD290" s="1009">
        <f t="shared" si="1075"/>
        <v>301</v>
      </c>
      <c r="BE290" s="1010">
        <f t="shared" si="1075"/>
        <v>304</v>
      </c>
      <c r="BF290" s="1009">
        <f t="shared" si="1075"/>
        <v>307</v>
      </c>
      <c r="BG290" s="1009">
        <f t="shared" si="1075"/>
        <v>317</v>
      </c>
      <c r="BH290" s="1009">
        <f t="shared" si="1075"/>
        <v>332</v>
      </c>
      <c r="BI290" s="1010">
        <f t="shared" si="1075"/>
        <v>343</v>
      </c>
      <c r="BJ290" s="1009">
        <f t="shared" ref="BJ290:BY290" si="1076">BJ259</f>
        <v>346</v>
      </c>
      <c r="BK290" s="1009">
        <f t="shared" si="1076"/>
        <v>347</v>
      </c>
      <c r="BL290" s="1009">
        <f t="shared" si="1076"/>
        <v>2791</v>
      </c>
      <c r="BM290" s="1010">
        <f t="shared" si="1076"/>
        <v>2835</v>
      </c>
      <c r="BN290" s="1009">
        <f t="shared" si="1076"/>
        <v>2830</v>
      </c>
      <c r="BO290" s="1009">
        <f t="shared" si="1076"/>
        <v>2827</v>
      </c>
      <c r="BP290" s="1009">
        <f t="shared" si="1076"/>
        <v>2831</v>
      </c>
      <c r="BQ290" s="1010">
        <f t="shared" si="1076"/>
        <v>2835</v>
      </c>
      <c r="BR290" s="1009">
        <f t="shared" si="1076"/>
        <v>2815</v>
      </c>
      <c r="BS290" s="1009">
        <f t="shared" si="1076"/>
        <v>2834</v>
      </c>
      <c r="BT290" s="1009">
        <f t="shared" si="1076"/>
        <v>2830</v>
      </c>
      <c r="BU290" s="1010">
        <f t="shared" si="1076"/>
        <v>2855</v>
      </c>
      <c r="BV290" s="1009">
        <f t="shared" si="1076"/>
        <v>2846</v>
      </c>
      <c r="BW290" s="1009">
        <f t="shared" si="1076"/>
        <v>2878</v>
      </c>
      <c r="BX290" s="1009">
        <f t="shared" si="1076"/>
        <v>2911</v>
      </c>
      <c r="BY290" s="1010">
        <f t="shared" si="1076"/>
        <v>2861</v>
      </c>
      <c r="BZ290" s="1009">
        <f t="shared" ref="BZ290:CG290" si="1077">BR259</f>
        <v>2815</v>
      </c>
      <c r="CA290" s="1009">
        <f t="shared" si="1077"/>
        <v>2834</v>
      </c>
      <c r="CB290" s="1009">
        <f t="shared" si="1077"/>
        <v>2830</v>
      </c>
      <c r="CC290" s="1010">
        <f t="shared" si="1077"/>
        <v>2855</v>
      </c>
      <c r="CD290" s="1009">
        <f t="shared" si="1077"/>
        <v>2846</v>
      </c>
      <c r="CE290" s="1009">
        <f t="shared" si="1077"/>
        <v>2878</v>
      </c>
      <c r="CF290" s="1009">
        <f t="shared" si="1077"/>
        <v>2911</v>
      </c>
      <c r="CG290" s="1010">
        <f t="shared" si="1077"/>
        <v>2861</v>
      </c>
      <c r="CH290" s="1009">
        <f>CH259</f>
        <v>2867</v>
      </c>
      <c r="CI290" s="1009">
        <f>CI259</f>
        <v>2856</v>
      </c>
      <c r="CJ290" s="1009">
        <f>CJ259</f>
        <v>2893</v>
      </c>
      <c r="CK290" s="1010">
        <f>CK259</f>
        <v>2877</v>
      </c>
      <c r="CL290" s="1009">
        <f>CP259-CP251</f>
        <v>281</v>
      </c>
      <c r="CM290" s="1009">
        <f>CQ259-CQ251</f>
        <v>282</v>
      </c>
      <c r="CN290" s="1009">
        <f>CR259-CR251</f>
        <v>286</v>
      </c>
      <c r="CO290" s="1010">
        <f>CS259-CS251</f>
        <v>284</v>
      </c>
      <c r="CP290" s="1009">
        <f t="shared" ref="CP290:DA290" si="1078">CP259</f>
        <v>281</v>
      </c>
      <c r="CQ290" s="1009">
        <f t="shared" si="1078"/>
        <v>282</v>
      </c>
      <c r="CR290" s="1009">
        <f t="shared" si="1078"/>
        <v>286</v>
      </c>
      <c r="CS290" s="1010">
        <f t="shared" si="1078"/>
        <v>284</v>
      </c>
      <c r="CT290" s="1009">
        <f t="shared" si="1078"/>
        <v>284</v>
      </c>
      <c r="CU290" s="1011">
        <f t="shared" si="1078"/>
        <v>282</v>
      </c>
      <c r="CV290" s="1011">
        <f t="shared" si="1078"/>
        <v>284</v>
      </c>
      <c r="CW290" s="1295">
        <f t="shared" si="1078"/>
        <v>281</v>
      </c>
      <c r="CX290" s="1011">
        <f t="shared" si="1078"/>
        <v>215</v>
      </c>
      <c r="CY290" s="1011">
        <f t="shared" si="1078"/>
        <v>215</v>
      </c>
      <c r="CZ290" s="1011">
        <f t="shared" si="1078"/>
        <v>215</v>
      </c>
      <c r="DA290" s="1295">
        <f t="shared" si="1078"/>
        <v>216</v>
      </c>
      <c r="DB290" s="1011">
        <f t="shared" ref="DB290:DH290" si="1079">DB259</f>
        <v>215</v>
      </c>
      <c r="DC290" s="1011">
        <f t="shared" si="1079"/>
        <v>213</v>
      </c>
      <c r="DD290" s="1011">
        <f t="shared" si="1079"/>
        <v>211</v>
      </c>
      <c r="DE290" s="1295">
        <f t="shared" si="1079"/>
        <v>212</v>
      </c>
      <c r="DF290" s="1012">
        <f t="shared" si="1079"/>
        <v>212</v>
      </c>
      <c r="DG290" s="1012">
        <f t="shared" si="1079"/>
        <v>213</v>
      </c>
      <c r="DH290" s="1012">
        <f t="shared" si="1079"/>
        <v>214</v>
      </c>
      <c r="DI290" s="1295">
        <f t="shared" ref="DI290:DM290" si="1080">DH290+DI293</f>
        <v>215</v>
      </c>
      <c r="DJ290" s="2749">
        <f t="shared" si="1080"/>
        <v>215</v>
      </c>
      <c r="DK290" s="1012">
        <f t="shared" si="1080"/>
        <v>215</v>
      </c>
      <c r="DL290" s="1012">
        <f t="shared" si="1080"/>
        <v>215</v>
      </c>
      <c r="DM290" s="1295">
        <f t="shared" si="1080"/>
        <v>214</v>
      </c>
      <c r="DN290" s="1013"/>
      <c r="DO290" s="1014"/>
      <c r="DP290" s="1015"/>
      <c r="DQ290" s="1015"/>
      <c r="DR290" s="1015"/>
      <c r="DS290" s="1015"/>
      <c r="DT290" s="1015"/>
      <c r="DU290" s="1015"/>
      <c r="DV290" s="1015"/>
      <c r="DW290" s="1015"/>
      <c r="DX290" s="1015"/>
      <c r="DY290" s="1015"/>
      <c r="DZ290" s="1015"/>
      <c r="EA290" s="1015"/>
      <c r="EB290" s="1015"/>
      <c r="EC290" s="1015"/>
      <c r="ED290" s="1015"/>
      <c r="EE290" s="149"/>
      <c r="EF290" s="1011">
        <f>+AK290</f>
        <v>91</v>
      </c>
      <c r="EG290" s="1011">
        <f>+AO290</f>
        <v>108</v>
      </c>
      <c r="EH290" s="1011">
        <f>EH242</f>
        <v>127</v>
      </c>
      <c r="EI290" s="1011">
        <f>EI242</f>
        <v>144</v>
      </c>
      <c r="EJ290" s="1011">
        <f>EJ242</f>
        <v>167</v>
      </c>
      <c r="EK290" s="1011">
        <f>EK242</f>
        <v>304</v>
      </c>
      <c r="EL290" s="1011">
        <f>+EL293+EK290</f>
        <v>343</v>
      </c>
      <c r="EM290" s="1011">
        <f>EM259</f>
        <v>2835</v>
      </c>
      <c r="EN290" s="1011">
        <f>EN259</f>
        <v>2835</v>
      </c>
      <c r="EO290" s="1011">
        <f>EO259</f>
        <v>2855</v>
      </c>
      <c r="EP290" s="1011">
        <f>EP259</f>
        <v>2861</v>
      </c>
      <c r="EQ290" s="1011">
        <f>EO259</f>
        <v>2855</v>
      </c>
      <c r="ER290" s="1011">
        <f>EP259</f>
        <v>2861</v>
      </c>
      <c r="ES290" s="1011">
        <f>ES259</f>
        <v>2876</v>
      </c>
      <c r="ET290" s="1011">
        <f>EU259-EU251</f>
        <v>284</v>
      </c>
      <c r="EU290" s="1011">
        <f>EU259</f>
        <v>284</v>
      </c>
      <c r="EV290" s="1011">
        <f>EV259</f>
        <v>281</v>
      </c>
      <c r="EW290" s="1011">
        <f>DA290</f>
        <v>216</v>
      </c>
      <c r="EX290" s="1011">
        <f>DE290</f>
        <v>212</v>
      </c>
      <c r="EY290" s="1011">
        <f>DI290</f>
        <v>215</v>
      </c>
      <c r="EZ290" s="1741">
        <f>DM290</f>
        <v>214</v>
      </c>
      <c r="FA290" s="1016">
        <f t="shared" ref="FA290:FH290" si="1081">EZ290+FA293</f>
        <v>215</v>
      </c>
      <c r="FB290" s="1016">
        <f t="shared" si="1081"/>
        <v>216</v>
      </c>
      <c r="FC290" s="1016">
        <f t="shared" si="1081"/>
        <v>217</v>
      </c>
      <c r="FD290" s="1016">
        <f t="shared" si="1081"/>
        <v>218</v>
      </c>
      <c r="FE290" s="1016">
        <f t="shared" si="1081"/>
        <v>219</v>
      </c>
      <c r="FF290" s="1016">
        <f t="shared" si="1081"/>
        <v>220</v>
      </c>
      <c r="FG290" s="1016">
        <f t="shared" si="1081"/>
        <v>221</v>
      </c>
      <c r="FH290" s="1016">
        <f t="shared" si="1081"/>
        <v>222</v>
      </c>
      <c r="FI290" s="1385"/>
      <c r="FJ290"/>
      <c r="FK290"/>
      <c r="FL290"/>
      <c r="FM290"/>
      <c r="FN290"/>
      <c r="FO290"/>
      <c r="FP290" s="401"/>
      <c r="FS290"/>
      <c r="FT290"/>
      <c r="FU290"/>
      <c r="FV290"/>
      <c r="FW290" s="2648"/>
      <c r="FX290" s="2648"/>
      <c r="FY290" s="2648"/>
      <c r="FZ290"/>
      <c r="GA290"/>
      <c r="GB290"/>
      <c r="GC290"/>
      <c r="GD290"/>
      <c r="GE290"/>
      <c r="GF290"/>
      <c r="GG290"/>
      <c r="GH290"/>
      <c r="GI290"/>
      <c r="GJ290"/>
      <c r="GK290"/>
      <c r="GL290"/>
      <c r="GM290"/>
      <c r="GN290"/>
      <c r="GO290"/>
      <c r="GP290"/>
      <c r="GQ290"/>
      <c r="GR290"/>
      <c r="GS290"/>
      <c r="GT290"/>
      <c r="GU290"/>
      <c r="GV290"/>
      <c r="GW290"/>
      <c r="GX290"/>
      <c r="GY290"/>
      <c r="GZ290"/>
      <c r="HA290"/>
      <c r="HB290"/>
      <c r="HC290"/>
      <c r="HD290"/>
      <c r="HE290"/>
      <c r="HF290"/>
      <c r="HG290"/>
      <c r="HH290"/>
      <c r="HI290"/>
      <c r="HJ290"/>
      <c r="HK290"/>
      <c r="HL290"/>
      <c r="HM290"/>
      <c r="HN290"/>
      <c r="HO290"/>
      <c r="HP290"/>
      <c r="HQ290"/>
      <c r="HR290"/>
      <c r="HS290"/>
      <c r="HT290"/>
      <c r="HU290"/>
      <c r="HV290"/>
      <c r="HW290"/>
      <c r="HX290"/>
      <c r="HY290"/>
      <c r="HZ290"/>
      <c r="IA290"/>
      <c r="IB290"/>
      <c r="IC290"/>
      <c r="ID290"/>
      <c r="IE290"/>
      <c r="IF290"/>
      <c r="IG290"/>
      <c r="IH290"/>
      <c r="II290"/>
      <c r="IJ290"/>
      <c r="IK290"/>
      <c r="IL290"/>
      <c r="IM290"/>
      <c r="IN290"/>
      <c r="IO290"/>
      <c r="IP290"/>
      <c r="IQ290"/>
      <c r="IR290"/>
      <c r="IS290"/>
      <c r="IT290"/>
      <c r="IU290"/>
      <c r="IV290"/>
      <c r="IW290"/>
      <c r="IX290"/>
      <c r="IY290"/>
      <c r="IZ290"/>
    </row>
    <row r="291" spans="1:260" s="4" customFormat="1" x14ac:dyDescent="0.2">
      <c r="A291" s="25" t="s">
        <v>482</v>
      </c>
      <c r="B291" s="25"/>
      <c r="C291" s="25"/>
      <c r="D291" s="25"/>
      <c r="E291" s="477"/>
      <c r="F291" s="25"/>
      <c r="G291" s="25"/>
      <c r="H291" s="25"/>
      <c r="I291" s="477"/>
      <c r="J291" s="25"/>
      <c r="K291" s="25"/>
      <c r="L291" s="25"/>
      <c r="M291" s="477"/>
      <c r="N291" s="25"/>
      <c r="O291" s="25"/>
      <c r="P291" s="25"/>
      <c r="Q291" s="477"/>
      <c r="R291" s="25"/>
      <c r="S291" s="25"/>
      <c r="T291" s="25"/>
      <c r="U291" s="477"/>
      <c r="V291" s="25"/>
      <c r="W291" s="25"/>
      <c r="X291" s="25"/>
      <c r="Y291" s="477"/>
      <c r="Z291" s="25"/>
      <c r="AA291" s="25"/>
      <c r="AB291" s="25"/>
      <c r="AC291" s="477"/>
      <c r="AD291" s="25"/>
      <c r="AE291" s="25"/>
      <c r="AF291" s="25"/>
      <c r="AG291" s="477"/>
      <c r="AH291" s="1269" t="s">
        <v>483</v>
      </c>
      <c r="AI291" s="1269" t="s">
        <v>483</v>
      </c>
      <c r="AJ291" s="1269" t="s">
        <v>483</v>
      </c>
      <c r="AK291" s="556" t="s">
        <v>483</v>
      </c>
      <c r="AL291" s="15">
        <f t="shared" ref="AL291:BY291" si="1082">AL290/AH290-1</f>
        <v>2.19780219780219E-2</v>
      </c>
      <c r="AM291" s="15">
        <f t="shared" si="1082"/>
        <v>6.5934065934065922E-2</v>
      </c>
      <c r="AN291" s="15">
        <f t="shared" si="1082"/>
        <v>0.18681318681318682</v>
      </c>
      <c r="AO291" s="518">
        <f t="shared" si="1082"/>
        <v>0.18681318681318682</v>
      </c>
      <c r="AP291" s="15">
        <f t="shared" si="1082"/>
        <v>0.22580645161290325</v>
      </c>
      <c r="AQ291" s="15">
        <f t="shared" si="1082"/>
        <v>0.23711340206185572</v>
      </c>
      <c r="AR291" s="15">
        <f t="shared" si="1082"/>
        <v>0.17592592592592582</v>
      </c>
      <c r="AS291" s="518">
        <f t="shared" si="1082"/>
        <v>0.17592592592592582</v>
      </c>
      <c r="AT291" s="15">
        <f t="shared" si="1082"/>
        <v>0.12280701754385959</v>
      </c>
      <c r="AU291" s="15">
        <f t="shared" si="1082"/>
        <v>9.1666666666666563E-2</v>
      </c>
      <c r="AV291" s="15">
        <f t="shared" si="1082"/>
        <v>0.11811023622047245</v>
      </c>
      <c r="AW291" s="518">
        <f t="shared" si="1082"/>
        <v>0.13385826771653542</v>
      </c>
      <c r="AX291" s="15">
        <f t="shared" si="1082"/>
        <v>0.1484375</v>
      </c>
      <c r="AY291" s="15">
        <f t="shared" si="1082"/>
        <v>0.14503816793893121</v>
      </c>
      <c r="AZ291" s="15">
        <f t="shared" si="1082"/>
        <v>0.16901408450704225</v>
      </c>
      <c r="BA291" s="518">
        <f t="shared" si="1082"/>
        <v>0.15972222222222232</v>
      </c>
      <c r="BB291" s="15">
        <f t="shared" si="1082"/>
        <v>0.14965986394557818</v>
      </c>
      <c r="BC291" s="15">
        <f t="shared" si="1082"/>
        <v>0.96</v>
      </c>
      <c r="BD291" s="15">
        <f t="shared" si="1082"/>
        <v>0.81325301204819267</v>
      </c>
      <c r="BE291" s="518">
        <f t="shared" si="1082"/>
        <v>0.82035928143712566</v>
      </c>
      <c r="BF291" s="15">
        <f t="shared" si="1082"/>
        <v>0.81656804733727806</v>
      </c>
      <c r="BG291" s="15">
        <f t="shared" si="1082"/>
        <v>7.8231292517006779E-2</v>
      </c>
      <c r="BH291" s="15">
        <f t="shared" si="1082"/>
        <v>0.10299003322259126</v>
      </c>
      <c r="BI291" s="518">
        <f t="shared" si="1082"/>
        <v>0.12828947368421062</v>
      </c>
      <c r="BJ291" s="15">
        <f t="shared" si="1082"/>
        <v>0.12703583061889256</v>
      </c>
      <c r="BK291" s="15">
        <f t="shared" si="1082"/>
        <v>9.4637223974763485E-2</v>
      </c>
      <c r="BL291" s="15">
        <f t="shared" si="1082"/>
        <v>7.4066265060240966</v>
      </c>
      <c r="BM291" s="518">
        <f t="shared" si="1082"/>
        <v>7.2653061224489797</v>
      </c>
      <c r="BN291" s="15">
        <f t="shared" si="1082"/>
        <v>7.1791907514450859</v>
      </c>
      <c r="BO291" s="15">
        <f t="shared" si="1082"/>
        <v>7.1469740634005756</v>
      </c>
      <c r="BP291" s="15">
        <f t="shared" si="1082"/>
        <v>1.433178072375485E-2</v>
      </c>
      <c r="BQ291" s="518">
        <f t="shared" si="1082"/>
        <v>0</v>
      </c>
      <c r="BR291" s="15">
        <f t="shared" si="1082"/>
        <v>-5.300353356890497E-3</v>
      </c>
      <c r="BS291" s="15">
        <f t="shared" si="1082"/>
        <v>2.4761230986911631E-3</v>
      </c>
      <c r="BT291" s="15">
        <f t="shared" si="1082"/>
        <v>-3.5323207347226493E-4</v>
      </c>
      <c r="BU291" s="518">
        <f t="shared" si="1082"/>
        <v>7.0546737213403876E-3</v>
      </c>
      <c r="BV291" s="15">
        <f t="shared" si="1082"/>
        <v>1.1012433392539878E-2</v>
      </c>
      <c r="BW291" s="15">
        <f t="shared" si="1082"/>
        <v>1.552575864502459E-2</v>
      </c>
      <c r="BX291" s="15">
        <f t="shared" si="1082"/>
        <v>2.8621908127208551E-2</v>
      </c>
      <c r="BY291" s="518">
        <f t="shared" si="1082"/>
        <v>2.1015761821365775E-3</v>
      </c>
      <c r="BZ291" s="15">
        <f>BZ290/BN290-1</f>
        <v>-5.300353356890497E-3</v>
      </c>
      <c r="CA291" s="15">
        <f>CA290/BO290-1</f>
        <v>2.4761230986911631E-3</v>
      </c>
      <c r="CB291" s="15">
        <f>CB290/BP290-1</f>
        <v>-3.5323207347226493E-4</v>
      </c>
      <c r="CC291" s="518">
        <f>CC290/BQ290-1</f>
        <v>7.0546737213403876E-3</v>
      </c>
      <c r="CD291" s="15">
        <f t="shared" ref="CD291:CK291" si="1083">CD290/BZ290-1</f>
        <v>1.1012433392539878E-2</v>
      </c>
      <c r="CE291" s="15">
        <f t="shared" si="1083"/>
        <v>1.552575864502459E-2</v>
      </c>
      <c r="CF291" s="15">
        <f t="shared" si="1083"/>
        <v>2.8621908127208551E-2</v>
      </c>
      <c r="CG291" s="518">
        <f t="shared" si="1083"/>
        <v>2.1015761821365775E-3</v>
      </c>
      <c r="CH291" s="15">
        <f t="shared" si="1083"/>
        <v>7.3787772312017275E-3</v>
      </c>
      <c r="CI291" s="15">
        <f t="shared" si="1083"/>
        <v>-7.6441973592772383E-3</v>
      </c>
      <c r="CJ291" s="15">
        <f t="shared" si="1083"/>
        <v>-6.1834421161113262E-3</v>
      </c>
      <c r="CK291" s="518">
        <f t="shared" si="1083"/>
        <v>5.5924501922404168E-3</v>
      </c>
      <c r="CL291" s="77">
        <f>CL290/(CD290-BV251)-1</f>
        <v>-0.32613908872901676</v>
      </c>
      <c r="CM291" s="77">
        <f>CM290/(CE290-BW251)-1</f>
        <v>-0.35909090909090913</v>
      </c>
      <c r="CN291" s="77">
        <f>CN290/(CF290-BX251)-1</f>
        <v>-0.37554585152838427</v>
      </c>
      <c r="CO291" s="487">
        <f>CO290/(CG290-BY251)-1</f>
        <v>-0.39316239316239321</v>
      </c>
      <c r="CP291" s="77">
        <f t="shared" ref="CP291:CX291" si="1084">CP290/CL290-1</f>
        <v>0</v>
      </c>
      <c r="CQ291" s="77">
        <f t="shared" si="1084"/>
        <v>0</v>
      </c>
      <c r="CR291" s="77">
        <f t="shared" si="1084"/>
        <v>0</v>
      </c>
      <c r="CS291" s="487">
        <f t="shared" si="1084"/>
        <v>0</v>
      </c>
      <c r="CT291" s="77">
        <f t="shared" si="1084"/>
        <v>1.067615658362997E-2</v>
      </c>
      <c r="CU291" s="77">
        <f t="shared" si="1084"/>
        <v>0</v>
      </c>
      <c r="CV291" s="77">
        <f t="shared" si="1084"/>
        <v>-6.9930069930069783E-3</v>
      </c>
      <c r="CW291" s="487">
        <f t="shared" si="1084"/>
        <v>-1.0563380281690127E-2</v>
      </c>
      <c r="CX291" s="77">
        <f t="shared" si="1084"/>
        <v>-0.24295774647887325</v>
      </c>
      <c r="CY291" s="77">
        <f t="shared" ref="CY291:DE291" si="1085">CY290/CU290-1</f>
        <v>-0.23758865248226946</v>
      </c>
      <c r="CZ291" s="77">
        <f t="shared" si="1085"/>
        <v>-0.24295774647887325</v>
      </c>
      <c r="DA291" s="487">
        <f t="shared" si="1085"/>
        <v>-0.23131672597864772</v>
      </c>
      <c r="DB291" s="77">
        <f t="shared" si="1085"/>
        <v>0</v>
      </c>
      <c r="DC291" s="77">
        <f t="shared" si="1085"/>
        <v>-9.302325581395321E-3</v>
      </c>
      <c r="DD291" s="70">
        <f t="shared" si="1085"/>
        <v>-1.8604651162790753E-2</v>
      </c>
      <c r="DE291" s="487">
        <f t="shared" si="1085"/>
        <v>-1.851851851851849E-2</v>
      </c>
      <c r="DF291" s="70">
        <f t="shared" ref="DF291:DM291" si="1086">DF290/DB290-1</f>
        <v>-1.3953488372092981E-2</v>
      </c>
      <c r="DG291" s="70">
        <f t="shared" si="1086"/>
        <v>0</v>
      </c>
      <c r="DH291" s="70">
        <f t="shared" si="1086"/>
        <v>1.4218009478673022E-2</v>
      </c>
      <c r="DI291" s="487">
        <f t="shared" si="1086"/>
        <v>1.4150943396226356E-2</v>
      </c>
      <c r="DJ291" s="1673">
        <f t="shared" si="1086"/>
        <v>1.4150943396226356E-2</v>
      </c>
      <c r="DK291" s="70">
        <f t="shared" si="1086"/>
        <v>9.3896713615022609E-3</v>
      </c>
      <c r="DL291" s="70">
        <f t="shared" si="1086"/>
        <v>4.6728971962617383E-3</v>
      </c>
      <c r="DM291" s="487">
        <f t="shared" si="1086"/>
        <v>-4.6511627906976605E-3</v>
      </c>
      <c r="DN291" s="580"/>
      <c r="DO291" s="487"/>
      <c r="DP291" s="77"/>
      <c r="DQ291" s="77"/>
      <c r="DR291" s="77"/>
      <c r="DS291" s="77"/>
      <c r="DT291" s="77"/>
      <c r="DU291" s="77"/>
      <c r="DV291" s="77"/>
      <c r="DW291" s="77"/>
      <c r="DX291" s="77"/>
      <c r="DY291" s="77"/>
      <c r="DZ291" s="77"/>
      <c r="EA291" s="77"/>
      <c r="EB291" s="77"/>
      <c r="EC291" s="77"/>
      <c r="ED291" s="77"/>
      <c r="EE291" s="15"/>
      <c r="EF291" s="1269" t="s">
        <v>483</v>
      </c>
      <c r="EG291" s="15">
        <f t="shared" ref="EG291:EP291" si="1087">EG290/EF290-1</f>
        <v>0.18681318681318682</v>
      </c>
      <c r="EH291" s="15">
        <f t="shared" si="1087"/>
        <v>0.17592592592592582</v>
      </c>
      <c r="EI291" s="15">
        <f t="shared" si="1087"/>
        <v>0.13385826771653542</v>
      </c>
      <c r="EJ291" s="15">
        <f t="shared" si="1087"/>
        <v>0.15972222222222232</v>
      </c>
      <c r="EK291" s="15">
        <f t="shared" si="1087"/>
        <v>0.82035928143712566</v>
      </c>
      <c r="EL291" s="15">
        <f t="shared" si="1087"/>
        <v>0.12828947368421062</v>
      </c>
      <c r="EM291" s="15">
        <f t="shared" si="1087"/>
        <v>7.2653061224489797</v>
      </c>
      <c r="EN291" s="15">
        <f t="shared" si="1087"/>
        <v>0</v>
      </c>
      <c r="EO291" s="15">
        <f t="shared" si="1087"/>
        <v>7.0546737213403876E-3</v>
      </c>
      <c r="EP291" s="15">
        <f t="shared" si="1087"/>
        <v>2.1015761821365775E-3</v>
      </c>
      <c r="EQ291" s="15">
        <f>EQ290/EN290-1</f>
        <v>7.0546737213403876E-3</v>
      </c>
      <c r="ER291" s="15">
        <f>ER290/EQ290-1</f>
        <v>2.1015761821365775E-3</v>
      </c>
      <c r="ES291" s="15">
        <f>ES290/ER290-1</f>
        <v>5.2429220552254741E-3</v>
      </c>
      <c r="ET291" s="77">
        <f>ET290/(ER290-EP251)-1</f>
        <v>-0.39316239316239321</v>
      </c>
      <c r="EU291" s="15">
        <f t="shared" ref="EU291:FC291" si="1088">EU290/ET290-1</f>
        <v>0</v>
      </c>
      <c r="EV291" s="15">
        <f t="shared" si="1088"/>
        <v>-1.0563380281690127E-2</v>
      </c>
      <c r="EW291" s="15">
        <f t="shared" si="1088"/>
        <v>-0.23131672597864772</v>
      </c>
      <c r="EX291" s="77">
        <f t="shared" si="1088"/>
        <v>-1.851851851851849E-2</v>
      </c>
      <c r="EY291" s="77">
        <f t="shared" si="1088"/>
        <v>1.4150943396226356E-2</v>
      </c>
      <c r="EZ291" s="1680">
        <f t="shared" si="1088"/>
        <v>-4.6511627906976605E-3</v>
      </c>
      <c r="FA291" s="15">
        <f t="shared" si="1088"/>
        <v>4.6728971962617383E-3</v>
      </c>
      <c r="FB291" s="15">
        <f t="shared" si="1088"/>
        <v>4.6511627906977715E-3</v>
      </c>
      <c r="FC291" s="15">
        <f t="shared" si="1088"/>
        <v>4.6296296296295392E-3</v>
      </c>
      <c r="FD291" s="15">
        <f>FD290/FC290-1</f>
        <v>4.6082949308756671E-3</v>
      </c>
      <c r="FE291" s="15">
        <f>FE290/FD290-1</f>
        <v>4.5871559633028358E-3</v>
      </c>
      <c r="FF291" s="15">
        <f>FF290/FE290-1</f>
        <v>4.5662100456620447E-3</v>
      </c>
      <c r="FG291" s="15">
        <f>FG290/FF290-1</f>
        <v>4.5454545454546302E-3</v>
      </c>
      <c r="FH291" s="15">
        <f>FH290/FG290-1</f>
        <v>4.5248868778280382E-3</v>
      </c>
      <c r="FI291" s="580"/>
      <c r="FJ291"/>
      <c r="FK291"/>
      <c r="FL291"/>
      <c r="FM291"/>
      <c r="FN291"/>
      <c r="FO291"/>
      <c r="FP291" s="3"/>
      <c r="FS291" s="70"/>
      <c r="FT291" s="70"/>
      <c r="FU291"/>
      <c r="FV291"/>
      <c r="FW291" s="70"/>
      <c r="FX291" s="70"/>
      <c r="FY291" s="70"/>
      <c r="FZ291"/>
      <c r="GA291"/>
      <c r="GB291"/>
      <c r="GC291"/>
      <c r="GD291"/>
      <c r="GE291"/>
      <c r="GF291"/>
      <c r="GG291"/>
      <c r="GH291"/>
      <c r="GI291"/>
      <c r="GJ291"/>
      <c r="GK291"/>
      <c r="GL291"/>
      <c r="GM291"/>
      <c r="GN291"/>
      <c r="GO291"/>
      <c r="GP291"/>
      <c r="GQ291"/>
      <c r="GR291"/>
      <c r="GS291"/>
      <c r="GT291"/>
      <c r="GU291"/>
      <c r="GV291"/>
      <c r="GW291"/>
      <c r="GX291"/>
      <c r="GY291"/>
      <c r="GZ291"/>
      <c r="HA291"/>
      <c r="HB291"/>
      <c r="HC291"/>
      <c r="HD291"/>
      <c r="HE291"/>
      <c r="HF291"/>
      <c r="HG291"/>
      <c r="HH291"/>
      <c r="HI291"/>
      <c r="HJ291"/>
      <c r="HK291"/>
      <c r="HL291"/>
      <c r="HM291"/>
      <c r="HN291"/>
      <c r="HO291"/>
      <c r="HP291"/>
      <c r="HQ291"/>
      <c r="HR291"/>
      <c r="HS291"/>
      <c r="HT291"/>
      <c r="HU291"/>
      <c r="HV291"/>
      <c r="HW291"/>
      <c r="HX291"/>
      <c r="HY291"/>
      <c r="HZ291"/>
      <c r="IA291"/>
      <c r="IB291"/>
      <c r="IC291"/>
      <c r="ID291"/>
      <c r="IE291"/>
      <c r="IF291"/>
      <c r="IG291"/>
      <c r="IH291"/>
      <c r="II291"/>
      <c r="IJ291"/>
      <c r="IK291"/>
      <c r="IL291"/>
      <c r="IM291"/>
      <c r="IN291"/>
      <c r="IO291"/>
      <c r="IP291"/>
      <c r="IQ291"/>
      <c r="IR291"/>
      <c r="IS291"/>
      <c r="IT291"/>
      <c r="IU291"/>
      <c r="IV291"/>
      <c r="IW291"/>
      <c r="IX291"/>
      <c r="IY291"/>
      <c r="IZ291"/>
    </row>
    <row r="292" spans="1:260" s="4" customFormat="1" x14ac:dyDescent="0.2">
      <c r="A292" s="21" t="s">
        <v>119</v>
      </c>
      <c r="B292" s="851"/>
      <c r="C292" s="851"/>
      <c r="D292" s="851"/>
      <c r="E292" s="852"/>
      <c r="F292" s="851"/>
      <c r="G292" s="851"/>
      <c r="H292" s="851"/>
      <c r="I292" s="852"/>
      <c r="J292" s="851"/>
      <c r="K292" s="851"/>
      <c r="L292" s="851"/>
      <c r="M292" s="852"/>
      <c r="N292" s="851"/>
      <c r="O292" s="851"/>
      <c r="P292" s="851"/>
      <c r="Q292" s="852"/>
      <c r="R292" s="851"/>
      <c r="S292" s="851"/>
      <c r="T292" s="851"/>
      <c r="U292" s="852"/>
      <c r="V292" s="851"/>
      <c r="W292" s="851"/>
      <c r="X292" s="851"/>
      <c r="Y292" s="852"/>
      <c r="Z292" s="851"/>
      <c r="AA292" s="851"/>
      <c r="AB292" s="851"/>
      <c r="AC292" s="852"/>
      <c r="AD292" s="851"/>
      <c r="AE292" s="851"/>
      <c r="AF292" s="851"/>
      <c r="AG292" s="852"/>
      <c r="AH292" s="853">
        <f>AH290</f>
        <v>91</v>
      </c>
      <c r="AI292" s="853">
        <f t="shared" ref="AI292:BM292" si="1089">(AI290+AH290)/2</f>
        <v>91</v>
      </c>
      <c r="AJ292" s="853">
        <f t="shared" si="1089"/>
        <v>91</v>
      </c>
      <c r="AK292" s="854">
        <f t="shared" si="1089"/>
        <v>91</v>
      </c>
      <c r="AL292" s="853">
        <f t="shared" si="1089"/>
        <v>92</v>
      </c>
      <c r="AM292" s="853">
        <f t="shared" si="1089"/>
        <v>95</v>
      </c>
      <c r="AN292" s="853">
        <f t="shared" si="1089"/>
        <v>102.5</v>
      </c>
      <c r="AO292" s="854">
        <f t="shared" si="1089"/>
        <v>108</v>
      </c>
      <c r="AP292" s="853">
        <f t="shared" si="1089"/>
        <v>111</v>
      </c>
      <c r="AQ292" s="853">
        <f t="shared" si="1089"/>
        <v>117</v>
      </c>
      <c r="AR292" s="853">
        <f t="shared" si="1089"/>
        <v>123.5</v>
      </c>
      <c r="AS292" s="854">
        <f t="shared" si="1089"/>
        <v>127</v>
      </c>
      <c r="AT292" s="853">
        <f t="shared" si="1089"/>
        <v>127.5</v>
      </c>
      <c r="AU292" s="853">
        <f t="shared" si="1089"/>
        <v>129.5</v>
      </c>
      <c r="AV292" s="853">
        <f t="shared" si="1089"/>
        <v>136.5</v>
      </c>
      <c r="AW292" s="854">
        <f t="shared" si="1089"/>
        <v>143</v>
      </c>
      <c r="AX292" s="853">
        <f t="shared" si="1089"/>
        <v>145.5</v>
      </c>
      <c r="AY292" s="853">
        <f t="shared" si="1089"/>
        <v>148.5</v>
      </c>
      <c r="AZ292" s="853">
        <f t="shared" si="1089"/>
        <v>158</v>
      </c>
      <c r="BA292" s="854">
        <f t="shared" si="1089"/>
        <v>166.5</v>
      </c>
      <c r="BB292" s="853">
        <f t="shared" si="1089"/>
        <v>168</v>
      </c>
      <c r="BC292" s="853">
        <f t="shared" si="1089"/>
        <v>231.5</v>
      </c>
      <c r="BD292" s="853">
        <f t="shared" si="1089"/>
        <v>297.5</v>
      </c>
      <c r="BE292" s="854">
        <f t="shared" si="1089"/>
        <v>302.5</v>
      </c>
      <c r="BF292" s="853">
        <f t="shared" si="1089"/>
        <v>305.5</v>
      </c>
      <c r="BG292" s="853">
        <f t="shared" si="1089"/>
        <v>312</v>
      </c>
      <c r="BH292" s="853">
        <f t="shared" si="1089"/>
        <v>324.5</v>
      </c>
      <c r="BI292" s="854">
        <f t="shared" si="1089"/>
        <v>337.5</v>
      </c>
      <c r="BJ292" s="853">
        <f t="shared" si="1089"/>
        <v>344.5</v>
      </c>
      <c r="BK292" s="853">
        <f t="shared" si="1089"/>
        <v>346.5</v>
      </c>
      <c r="BL292" s="853">
        <f t="shared" si="1089"/>
        <v>1569</v>
      </c>
      <c r="BM292" s="854">
        <f t="shared" si="1089"/>
        <v>2813</v>
      </c>
      <c r="BN292" s="853">
        <f>AVERAGE(BM290,BN290)</f>
        <v>2832.5</v>
      </c>
      <c r="BO292" s="853">
        <f>AVERAGE(BN290:BO290)</f>
        <v>2828.5</v>
      </c>
      <c r="BP292" s="853">
        <f>AVERAGE(BO290:BP290)</f>
        <v>2829</v>
      </c>
      <c r="BQ292" s="854">
        <f>AVERAGE(BP290:BQ290)</f>
        <v>2833</v>
      </c>
      <c r="BR292" s="853">
        <f>AVERAGE(BQ290,BR290)</f>
        <v>2825</v>
      </c>
      <c r="BS292" s="853">
        <f>AVERAGE(BR290:BS290)</f>
        <v>2824.5</v>
      </c>
      <c r="BT292" s="853">
        <f>AVERAGE(BS290:BT290)</f>
        <v>2832</v>
      </c>
      <c r="BU292" s="854">
        <f>AVERAGE(BT290:BU290)</f>
        <v>2842.5</v>
      </c>
      <c r="BV292" s="853">
        <f>AVERAGE(BU290,BV290)</f>
        <v>2850.5</v>
      </c>
      <c r="BW292" s="853">
        <f>AVERAGE(BV290:BW290)</f>
        <v>2862</v>
      </c>
      <c r="BX292" s="853">
        <f>AVERAGE(BW290:BX290)</f>
        <v>2894.5</v>
      </c>
      <c r="BY292" s="854">
        <f>AVERAGE(BX290:BY290)</f>
        <v>2886</v>
      </c>
      <c r="BZ292" s="853">
        <f>AVERAGE(BQ290,BZ290)</f>
        <v>2825</v>
      </c>
      <c r="CA292" s="853">
        <f>AVERAGE(CA290,BZ290)</f>
        <v>2824.5</v>
      </c>
      <c r="CB292" s="853">
        <f>AVERAGE(CB290,CA290)</f>
        <v>2832</v>
      </c>
      <c r="CC292" s="854">
        <f>AVERAGE(CC290,CB290)</f>
        <v>2842.5</v>
      </c>
      <c r="CD292" s="853">
        <f>AVERAGE(CC290,CD290)</f>
        <v>2850.5</v>
      </c>
      <c r="CE292" s="853">
        <f>AVERAGE(CD290:CE290)</f>
        <v>2862</v>
      </c>
      <c r="CF292" s="853">
        <f>AVERAGE(CE290:CF290)</f>
        <v>2894.5</v>
      </c>
      <c r="CG292" s="854">
        <f>AVERAGE(CF290:CG290)</f>
        <v>2886</v>
      </c>
      <c r="CH292" s="853">
        <f>AVERAGE(CG290,CH290)</f>
        <v>2864</v>
      </c>
      <c r="CI292" s="853">
        <f>AVERAGE(CH290:CI290)</f>
        <v>2861.5</v>
      </c>
      <c r="CJ292" s="853">
        <f>AVERAGE(CI290:CJ290)</f>
        <v>2874.5</v>
      </c>
      <c r="CK292" s="854">
        <f>AVERAGE(CJ290:CK290)</f>
        <v>2885</v>
      </c>
      <c r="CL292" s="853">
        <f>AVERAGE((CG290-BY251),CL290)</f>
        <v>374.5</v>
      </c>
      <c r="CM292" s="853">
        <f>AVERAGE(CL290:CM290)</f>
        <v>281.5</v>
      </c>
      <c r="CN292" s="853">
        <f>AVERAGE(CM290:CN290)</f>
        <v>284</v>
      </c>
      <c r="CO292" s="854">
        <f>AVERAGE(CN290:CO290)</f>
        <v>285</v>
      </c>
      <c r="CP292" s="853">
        <f>AVERAGE(CK290,CP290)</f>
        <v>1579</v>
      </c>
      <c r="CQ292" s="853">
        <f>AVERAGE(CP290:CQ290)</f>
        <v>281.5</v>
      </c>
      <c r="CR292" s="853">
        <f>AVERAGE(CQ290:CR290)</f>
        <v>284</v>
      </c>
      <c r="CS292" s="854">
        <f>AVERAGE(CR290:CS290)</f>
        <v>285</v>
      </c>
      <c r="CT292" s="133">
        <f>AVERAGE(CO290,CT290)</f>
        <v>284</v>
      </c>
      <c r="CU292" s="133">
        <f t="shared" ref="CU292:DB292" si="1090">AVERAGE(CT290:CU290)</f>
        <v>283</v>
      </c>
      <c r="CV292" s="133">
        <f t="shared" si="1090"/>
        <v>283</v>
      </c>
      <c r="CW292" s="553">
        <f t="shared" si="1090"/>
        <v>282.5</v>
      </c>
      <c r="CX292" s="133">
        <f t="shared" si="1090"/>
        <v>248</v>
      </c>
      <c r="CY292" s="133">
        <f t="shared" si="1090"/>
        <v>215</v>
      </c>
      <c r="CZ292" s="133">
        <f t="shared" si="1090"/>
        <v>215</v>
      </c>
      <c r="DA292" s="553">
        <f t="shared" si="1090"/>
        <v>215.5</v>
      </c>
      <c r="DB292" s="133">
        <f t="shared" si="1090"/>
        <v>215.5</v>
      </c>
      <c r="DC292" s="133">
        <f t="shared" ref="DC292:DM292" si="1091">AVERAGE(DB290:DC290)</f>
        <v>214</v>
      </c>
      <c r="DD292" s="205">
        <f t="shared" si="1091"/>
        <v>212</v>
      </c>
      <c r="DE292" s="553">
        <f t="shared" si="1091"/>
        <v>211.5</v>
      </c>
      <c r="DF292" s="205">
        <f t="shared" si="1091"/>
        <v>212</v>
      </c>
      <c r="DG292" s="205">
        <f t="shared" si="1091"/>
        <v>212.5</v>
      </c>
      <c r="DH292" s="205">
        <f t="shared" si="1091"/>
        <v>213.5</v>
      </c>
      <c r="DI292" s="553">
        <f t="shared" si="1091"/>
        <v>214.5</v>
      </c>
      <c r="DJ292" s="2750">
        <f t="shared" si="1091"/>
        <v>215</v>
      </c>
      <c r="DK292" s="205">
        <f t="shared" si="1091"/>
        <v>215</v>
      </c>
      <c r="DL292" s="205">
        <f t="shared" si="1091"/>
        <v>215</v>
      </c>
      <c r="DM292" s="553">
        <f t="shared" si="1091"/>
        <v>214.5</v>
      </c>
      <c r="DN292" s="754"/>
      <c r="DO292" s="553"/>
      <c r="DP292" s="133"/>
      <c r="DQ292" s="133"/>
      <c r="DR292" s="133"/>
      <c r="DS292" s="133"/>
      <c r="DT292" s="133"/>
      <c r="DU292" s="133"/>
      <c r="DV292" s="133"/>
      <c r="DW292" s="133"/>
      <c r="DX292" s="133"/>
      <c r="DY292" s="133"/>
      <c r="DZ292" s="133"/>
      <c r="EA292" s="133"/>
      <c r="EB292" s="133"/>
      <c r="EC292" s="133"/>
      <c r="ED292" s="133"/>
      <c r="EE292" s="63"/>
      <c r="EF292" s="133">
        <f>+AVERAGE(AI292:AK292)</f>
        <v>91</v>
      </c>
      <c r="EG292" s="133">
        <f t="shared" ref="EG292:EM292" si="1092">(EG290+EF290)/2</f>
        <v>99.5</v>
      </c>
      <c r="EH292" s="133">
        <f t="shared" si="1092"/>
        <v>117.5</v>
      </c>
      <c r="EI292" s="133">
        <f t="shared" si="1092"/>
        <v>135.5</v>
      </c>
      <c r="EJ292" s="133">
        <f t="shared" si="1092"/>
        <v>155.5</v>
      </c>
      <c r="EK292" s="133">
        <f t="shared" si="1092"/>
        <v>235.5</v>
      </c>
      <c r="EL292" s="133">
        <f t="shared" si="1092"/>
        <v>323.5</v>
      </c>
      <c r="EM292" s="133">
        <f t="shared" si="1092"/>
        <v>1589</v>
      </c>
      <c r="EN292" s="133">
        <f>AVERAGE(EM290,EN290)</f>
        <v>2835</v>
      </c>
      <c r="EO292" s="133">
        <f>(EO290+EN290)/2</f>
        <v>2845</v>
      </c>
      <c r="EP292" s="133">
        <f>(EP290+EO290)/2</f>
        <v>2858</v>
      </c>
      <c r="EQ292" s="133">
        <f>AVERAGE(EN290,EQ290)</f>
        <v>2845</v>
      </c>
      <c r="ER292" s="133">
        <f>AVERAGE(EQ290,ER290)</f>
        <v>2858</v>
      </c>
      <c r="ES292" s="133">
        <f>AVERAGE(ER290,ES290)</f>
        <v>2868.5</v>
      </c>
      <c r="ET292" s="133">
        <f>AVERAGE(ER290-BY251,ET290)</f>
        <v>376</v>
      </c>
      <c r="EU292" s="133">
        <f t="shared" ref="EU292:EZ292" si="1093">AVERAGE(ET290,EU290)</f>
        <v>284</v>
      </c>
      <c r="EV292" s="133">
        <f t="shared" si="1093"/>
        <v>282.5</v>
      </c>
      <c r="EW292" s="133">
        <f t="shared" si="1093"/>
        <v>248.5</v>
      </c>
      <c r="EX292" s="133">
        <f t="shared" si="1093"/>
        <v>214</v>
      </c>
      <c r="EY292" s="133">
        <f t="shared" si="1093"/>
        <v>213.5</v>
      </c>
      <c r="EZ292" s="1742">
        <f t="shared" si="1093"/>
        <v>214.5</v>
      </c>
      <c r="FA292" s="23">
        <f t="shared" ref="FA292:FH292" si="1094">AVERAGE(EZ290:FA290)</f>
        <v>214.5</v>
      </c>
      <c r="FB292" s="23">
        <f t="shared" si="1094"/>
        <v>215.5</v>
      </c>
      <c r="FC292" s="23">
        <f t="shared" si="1094"/>
        <v>216.5</v>
      </c>
      <c r="FD292" s="23">
        <f t="shared" si="1094"/>
        <v>217.5</v>
      </c>
      <c r="FE292" s="23">
        <f t="shared" si="1094"/>
        <v>218.5</v>
      </c>
      <c r="FF292" s="23">
        <f t="shared" si="1094"/>
        <v>219.5</v>
      </c>
      <c r="FG292" s="23">
        <f t="shared" si="1094"/>
        <v>220.5</v>
      </c>
      <c r="FH292" s="23">
        <f t="shared" si="1094"/>
        <v>221.5</v>
      </c>
      <c r="FI292" s="1383"/>
      <c r="FJ292"/>
      <c r="FK292"/>
      <c r="FL292"/>
      <c r="FM292"/>
      <c r="FN292"/>
      <c r="FO292"/>
      <c r="FP292" s="3"/>
      <c r="FS292" s="782"/>
      <c r="FT292" s="782"/>
      <c r="FU292"/>
      <c r="FV292"/>
      <c r="FW292" s="782"/>
      <c r="FX292" s="782"/>
      <c r="FY292" s="782"/>
      <c r="FZ292"/>
      <c r="GA292"/>
      <c r="GB292"/>
      <c r="GC292"/>
      <c r="GD292"/>
      <c r="GE292"/>
      <c r="GF292"/>
      <c r="GG292"/>
      <c r="GH292"/>
      <c r="GI292"/>
      <c r="GJ292"/>
      <c r="GK292"/>
      <c r="GL292"/>
      <c r="GM292"/>
      <c r="GN292"/>
      <c r="GO292"/>
      <c r="GP292"/>
      <c r="GQ292"/>
      <c r="GR292"/>
      <c r="GS292"/>
      <c r="GT292"/>
      <c r="GU292"/>
      <c r="GV292"/>
      <c r="GW292"/>
      <c r="GX292"/>
      <c r="GY292"/>
      <c r="GZ292"/>
      <c r="HA292"/>
      <c r="HB292"/>
      <c r="HC292"/>
      <c r="HD292"/>
      <c r="HE292"/>
      <c r="HF292"/>
      <c r="HG292"/>
      <c r="HH292"/>
      <c r="HI292"/>
      <c r="HJ292"/>
      <c r="HK292"/>
      <c r="HL292"/>
      <c r="HM292"/>
      <c r="HN292"/>
      <c r="HO292"/>
      <c r="HP292"/>
      <c r="HQ292"/>
      <c r="HR292"/>
      <c r="HS292"/>
      <c r="HT292"/>
      <c r="HU292"/>
      <c r="HV292"/>
      <c r="HW292"/>
      <c r="HX292"/>
      <c r="HY292"/>
      <c r="HZ292"/>
      <c r="IA292"/>
      <c r="IB292"/>
      <c r="IC292"/>
      <c r="ID292"/>
      <c r="IE292"/>
      <c r="IF292"/>
      <c r="IG292"/>
      <c r="IH292"/>
      <c r="II292"/>
      <c r="IJ292"/>
      <c r="IK292"/>
      <c r="IL292"/>
      <c r="IM292"/>
      <c r="IN292"/>
      <c r="IO292"/>
      <c r="IP292"/>
      <c r="IQ292"/>
      <c r="IR292"/>
      <c r="IS292"/>
      <c r="IT292"/>
      <c r="IU292"/>
      <c r="IV292"/>
      <c r="IW292"/>
      <c r="IX292"/>
      <c r="IY292"/>
      <c r="IZ292"/>
    </row>
    <row r="293" spans="1:260" s="4" customFormat="1" x14ac:dyDescent="0.2">
      <c r="A293" s="1388" t="s">
        <v>617</v>
      </c>
      <c r="E293" s="470"/>
      <c r="I293" s="470"/>
      <c r="M293" s="470"/>
      <c r="Q293" s="470"/>
      <c r="U293" s="470"/>
      <c r="Y293" s="470"/>
      <c r="AC293" s="470"/>
      <c r="AG293" s="470"/>
      <c r="AH293" s="4">
        <f t="shared" ref="AH293:AW293" si="1095">+AH273</f>
        <v>0</v>
      </c>
      <c r="AI293" s="4">
        <f t="shared" si="1095"/>
        <v>0</v>
      </c>
      <c r="AJ293" s="4">
        <f t="shared" si="1095"/>
        <v>0</v>
      </c>
      <c r="AK293" s="470">
        <f t="shared" si="1095"/>
        <v>0</v>
      </c>
      <c r="AL293" s="4">
        <f t="shared" si="1095"/>
        <v>2</v>
      </c>
      <c r="AM293" s="4">
        <f t="shared" si="1095"/>
        <v>4</v>
      </c>
      <c r="AN293" s="4">
        <f t="shared" si="1095"/>
        <v>11</v>
      </c>
      <c r="AO293" s="470">
        <f t="shared" si="1095"/>
        <v>0</v>
      </c>
      <c r="AP293" s="4">
        <f t="shared" si="1095"/>
        <v>2</v>
      </c>
      <c r="AQ293" s="4">
        <f t="shared" si="1095"/>
        <v>6</v>
      </c>
      <c r="AR293" s="4">
        <f t="shared" si="1095"/>
        <v>7</v>
      </c>
      <c r="AS293" s="470">
        <f t="shared" si="1095"/>
        <v>0</v>
      </c>
      <c r="AT293" s="4">
        <f t="shared" si="1095"/>
        <v>1</v>
      </c>
      <c r="AU293" s="4">
        <f t="shared" si="1095"/>
        <v>3</v>
      </c>
      <c r="AV293" s="4">
        <f t="shared" si="1095"/>
        <v>11</v>
      </c>
      <c r="AW293" s="470">
        <f t="shared" si="1095"/>
        <v>2</v>
      </c>
      <c r="AX293" s="4">
        <f t="shared" ref="AX293:BM293" si="1096">+AX243</f>
        <v>3</v>
      </c>
      <c r="AY293" s="4">
        <f t="shared" si="1096"/>
        <v>3</v>
      </c>
      <c r="AZ293" s="4">
        <f t="shared" si="1096"/>
        <v>16</v>
      </c>
      <c r="BA293" s="470">
        <f t="shared" si="1096"/>
        <v>1</v>
      </c>
      <c r="BB293" s="4">
        <f t="shared" si="1096"/>
        <v>2</v>
      </c>
      <c r="BC293" s="4">
        <f t="shared" si="1096"/>
        <v>-6</v>
      </c>
      <c r="BD293" s="4">
        <f t="shared" si="1096"/>
        <v>7</v>
      </c>
      <c r="BE293" s="470">
        <f t="shared" si="1096"/>
        <v>3</v>
      </c>
      <c r="BF293" s="4">
        <f t="shared" si="1096"/>
        <v>3</v>
      </c>
      <c r="BG293" s="4">
        <f t="shared" si="1096"/>
        <v>10</v>
      </c>
      <c r="BH293" s="4">
        <f t="shared" si="1096"/>
        <v>15</v>
      </c>
      <c r="BI293" s="470">
        <f t="shared" si="1096"/>
        <v>11</v>
      </c>
      <c r="BJ293" s="4">
        <f t="shared" si="1096"/>
        <v>3</v>
      </c>
      <c r="BK293" s="4">
        <f t="shared" si="1096"/>
        <v>1</v>
      </c>
      <c r="BL293" s="4">
        <f t="shared" si="1096"/>
        <v>2444</v>
      </c>
      <c r="BM293" s="470">
        <f t="shared" si="1096"/>
        <v>44</v>
      </c>
      <c r="BN293" s="4">
        <f t="shared" ref="BN293:BY293" si="1097">BN290-BM290</f>
        <v>-5</v>
      </c>
      <c r="BO293" s="4">
        <f t="shared" si="1097"/>
        <v>-3</v>
      </c>
      <c r="BP293" s="4">
        <f t="shared" si="1097"/>
        <v>4</v>
      </c>
      <c r="BQ293" s="470">
        <f t="shared" si="1097"/>
        <v>4</v>
      </c>
      <c r="BR293" s="4">
        <f t="shared" si="1097"/>
        <v>-20</v>
      </c>
      <c r="BS293" s="4">
        <f t="shared" si="1097"/>
        <v>19</v>
      </c>
      <c r="BT293" s="4">
        <f t="shared" si="1097"/>
        <v>-4</v>
      </c>
      <c r="BU293" s="470">
        <f t="shared" si="1097"/>
        <v>25</v>
      </c>
      <c r="BV293" s="4">
        <f t="shared" si="1097"/>
        <v>-9</v>
      </c>
      <c r="BW293" s="4">
        <f t="shared" si="1097"/>
        <v>32</v>
      </c>
      <c r="BX293" s="4">
        <f t="shared" si="1097"/>
        <v>33</v>
      </c>
      <c r="BY293" s="470">
        <f t="shared" si="1097"/>
        <v>-50</v>
      </c>
      <c r="BZ293" s="4">
        <f>BZ290-BQ290</f>
        <v>-20</v>
      </c>
      <c r="CA293" s="4">
        <f t="shared" ref="CA293:CK293" si="1098">CA290-BZ290</f>
        <v>19</v>
      </c>
      <c r="CB293" s="4">
        <f t="shared" si="1098"/>
        <v>-4</v>
      </c>
      <c r="CC293" s="470">
        <f t="shared" si="1098"/>
        <v>25</v>
      </c>
      <c r="CD293" s="4">
        <f t="shared" si="1098"/>
        <v>-9</v>
      </c>
      <c r="CE293" s="4">
        <f t="shared" si="1098"/>
        <v>32</v>
      </c>
      <c r="CF293" s="4">
        <f t="shared" si="1098"/>
        <v>33</v>
      </c>
      <c r="CG293" s="470">
        <f t="shared" si="1098"/>
        <v>-50</v>
      </c>
      <c r="CH293" s="4">
        <f t="shared" si="1098"/>
        <v>6</v>
      </c>
      <c r="CI293" s="4">
        <f t="shared" si="1098"/>
        <v>-11</v>
      </c>
      <c r="CJ293" s="4">
        <f t="shared" si="1098"/>
        <v>37</v>
      </c>
      <c r="CK293" s="470">
        <f t="shared" si="1098"/>
        <v>-16</v>
      </c>
      <c r="CL293" s="4">
        <f>CL290-(CG290-BY251)</f>
        <v>-187</v>
      </c>
      <c r="CM293" s="4">
        <f>CM290-CL290</f>
        <v>1</v>
      </c>
      <c r="CN293" s="4">
        <f>CN290-CM290</f>
        <v>4</v>
      </c>
      <c r="CO293" s="470">
        <f>CO290-CN290</f>
        <v>-2</v>
      </c>
      <c r="CP293" s="4">
        <f>CP290-CK290</f>
        <v>-2596</v>
      </c>
      <c r="CQ293" s="4">
        <f t="shared" ref="CQ293:DH293" si="1099">CQ290-CP290</f>
        <v>1</v>
      </c>
      <c r="CR293" s="4">
        <f t="shared" si="1099"/>
        <v>4</v>
      </c>
      <c r="CS293" s="470">
        <f t="shared" si="1099"/>
        <v>-2</v>
      </c>
      <c r="CT293" s="63">
        <f t="shared" si="1099"/>
        <v>0</v>
      </c>
      <c r="CU293" s="63">
        <f t="shared" si="1099"/>
        <v>-2</v>
      </c>
      <c r="CV293" s="63">
        <f t="shared" si="1099"/>
        <v>2</v>
      </c>
      <c r="CW293" s="613">
        <f t="shared" si="1099"/>
        <v>-3</v>
      </c>
      <c r="CX293" s="63">
        <f t="shared" si="1099"/>
        <v>-66</v>
      </c>
      <c r="CY293" s="63">
        <f t="shared" si="1099"/>
        <v>0</v>
      </c>
      <c r="CZ293" s="148">
        <f t="shared" si="1099"/>
        <v>0</v>
      </c>
      <c r="DA293" s="655">
        <f t="shared" si="1099"/>
        <v>1</v>
      </c>
      <c r="DB293" s="63">
        <f t="shared" si="1099"/>
        <v>-1</v>
      </c>
      <c r="DC293" s="148">
        <f t="shared" si="1099"/>
        <v>-2</v>
      </c>
      <c r="DD293" s="148">
        <f t="shared" si="1099"/>
        <v>-2</v>
      </c>
      <c r="DE293" s="484">
        <f t="shared" si="1099"/>
        <v>1</v>
      </c>
      <c r="DF293" s="1435">
        <f t="shared" si="1099"/>
        <v>0</v>
      </c>
      <c r="DG293" s="1435">
        <f t="shared" si="1099"/>
        <v>1</v>
      </c>
      <c r="DH293" s="1435">
        <f t="shared" si="1099"/>
        <v>1</v>
      </c>
      <c r="DI293" s="484">
        <v>1</v>
      </c>
      <c r="DJ293" s="2747">
        <v>0</v>
      </c>
      <c r="DK293" s="2600">
        <v>0</v>
      </c>
      <c r="DL293" s="2600">
        <v>0</v>
      </c>
      <c r="DM293" s="1602">
        <v>-1</v>
      </c>
      <c r="DN293" s="413"/>
      <c r="DO293" s="470"/>
      <c r="EF293" s="4">
        <f>+EF273</f>
        <v>0</v>
      </c>
      <c r="EG293" s="4">
        <f>+EG273</f>
        <v>9</v>
      </c>
      <c r="EH293" s="4">
        <f>+EH273</f>
        <v>15</v>
      </c>
      <c r="EI293" s="4">
        <f>+EI273</f>
        <v>17</v>
      </c>
      <c r="EJ293" s="4">
        <f>+EJ243</f>
        <v>23</v>
      </c>
      <c r="EK293" s="4">
        <f>+EK243</f>
        <v>5</v>
      </c>
      <c r="EL293" s="4">
        <f>+EL243</f>
        <v>39</v>
      </c>
      <c r="EM293" s="4">
        <f>+EM243</f>
        <v>2492</v>
      </c>
      <c r="EN293" s="4">
        <f>EN290-EM290</f>
        <v>0</v>
      </c>
      <c r="EO293" s="4">
        <f>EO290-EN290</f>
        <v>20</v>
      </c>
      <c r="EP293" s="4">
        <f>EP290-EO290</f>
        <v>6</v>
      </c>
      <c r="EQ293" s="4">
        <f>EQ290-EN290</f>
        <v>20</v>
      </c>
      <c r="ER293" s="4">
        <f>ER290-EQ290</f>
        <v>6</v>
      </c>
      <c r="ES293" s="4">
        <f>ES290-ER290</f>
        <v>15</v>
      </c>
      <c r="ET293" s="4">
        <f>ET290-(ER290-BY251)</f>
        <v>-184</v>
      </c>
      <c r="EU293" s="4">
        <f t="shared" ref="EU293:EZ293" si="1100">EU290-ET290</f>
        <v>0</v>
      </c>
      <c r="EV293" s="4">
        <f t="shared" si="1100"/>
        <v>-3</v>
      </c>
      <c r="EW293" s="4">
        <f t="shared" si="1100"/>
        <v>-65</v>
      </c>
      <c r="EX293" s="6">
        <f t="shared" si="1100"/>
        <v>-4</v>
      </c>
      <c r="EY293" s="6">
        <f t="shared" si="1100"/>
        <v>3</v>
      </c>
      <c r="EZ293" s="1734">
        <f t="shared" si="1100"/>
        <v>-1</v>
      </c>
      <c r="FA293" s="1572">
        <v>1</v>
      </c>
      <c r="FB293" s="1572">
        <v>1</v>
      </c>
      <c r="FC293" s="1572">
        <v>1</v>
      </c>
      <c r="FD293" s="1572">
        <v>1</v>
      </c>
      <c r="FE293" s="1572">
        <v>1</v>
      </c>
      <c r="FF293" s="1572">
        <v>1</v>
      </c>
      <c r="FG293" s="1572">
        <v>1</v>
      </c>
      <c r="FH293" s="1572">
        <v>1</v>
      </c>
      <c r="FI293" s="2056"/>
      <c r="FJ293"/>
      <c r="FK293"/>
      <c r="FL293"/>
      <c r="FM293"/>
      <c r="FN293"/>
      <c r="FO293"/>
      <c r="FP293" s="3"/>
      <c r="FS293" s="7"/>
      <c r="FT293" s="7"/>
      <c r="FU293"/>
      <c r="FV293"/>
      <c r="FW293" s="1953"/>
      <c r="FX293" s="1953"/>
      <c r="FY293" s="1953"/>
      <c r="FZ293"/>
      <c r="GA293"/>
      <c r="GB293"/>
      <c r="GC293"/>
      <c r="GD293"/>
      <c r="GE293"/>
      <c r="GF293"/>
      <c r="GG293"/>
      <c r="GH293"/>
      <c r="GI293"/>
      <c r="GJ293"/>
      <c r="GK293"/>
      <c r="GL293"/>
      <c r="GM293"/>
      <c r="GN293"/>
      <c r="GO293"/>
      <c r="GP293"/>
      <c r="GQ293"/>
      <c r="GR293"/>
      <c r="GS293"/>
      <c r="GT293"/>
      <c r="GU293"/>
      <c r="GV293"/>
      <c r="GW293"/>
      <c r="GX293"/>
      <c r="GY293"/>
      <c r="GZ293"/>
      <c r="HA293"/>
      <c r="HB293"/>
      <c r="HC293"/>
      <c r="HD293"/>
      <c r="HE293"/>
      <c r="HF293"/>
      <c r="HG293"/>
      <c r="HH293"/>
      <c r="HI293"/>
      <c r="HJ293"/>
      <c r="HK293"/>
      <c r="HL293"/>
      <c r="HM293"/>
      <c r="HN293"/>
      <c r="HO293"/>
      <c r="HP293"/>
      <c r="HQ293"/>
      <c r="HR293"/>
      <c r="HS293"/>
      <c r="HT293"/>
      <c r="HU293"/>
      <c r="HV293"/>
      <c r="HW293"/>
      <c r="HX293"/>
      <c r="HY293"/>
      <c r="HZ293"/>
      <c r="IA293"/>
      <c r="IB293"/>
      <c r="IC293"/>
      <c r="ID293"/>
      <c r="IE293"/>
      <c r="IF293"/>
      <c r="IG293"/>
      <c r="IH293"/>
      <c r="II293"/>
      <c r="IJ293"/>
      <c r="IK293"/>
      <c r="IL293"/>
      <c r="IM293"/>
      <c r="IN293"/>
      <c r="IO293"/>
      <c r="IP293"/>
      <c r="IQ293"/>
      <c r="IR293"/>
      <c r="IS293"/>
      <c r="IT293"/>
      <c r="IU293"/>
      <c r="IV293"/>
      <c r="IW293"/>
      <c r="IX293"/>
      <c r="IY293"/>
      <c r="IZ293"/>
    </row>
    <row r="294" spans="1:260" s="4" customFormat="1" x14ac:dyDescent="0.2">
      <c r="A294" s="20"/>
      <c r="B294" s="20"/>
      <c r="C294" s="20"/>
      <c r="D294" s="20"/>
      <c r="E294" s="542"/>
      <c r="F294" s="20"/>
      <c r="G294" s="20"/>
      <c r="H294" s="20"/>
      <c r="I294" s="542"/>
      <c r="J294" s="20"/>
      <c r="K294" s="20"/>
      <c r="L294" s="20"/>
      <c r="M294" s="542"/>
      <c r="N294" s="20"/>
      <c r="O294" s="20"/>
      <c r="P294" s="20"/>
      <c r="Q294" s="542"/>
      <c r="R294" s="20"/>
      <c r="S294" s="20"/>
      <c r="T294" s="20"/>
      <c r="U294" s="542"/>
      <c r="V294" s="20"/>
      <c r="W294" s="20"/>
      <c r="X294" s="20"/>
      <c r="Y294" s="542"/>
      <c r="Z294" s="20"/>
      <c r="AA294" s="20"/>
      <c r="AB294" s="20"/>
      <c r="AC294" s="542"/>
      <c r="AD294" s="20"/>
      <c r="AE294" s="20"/>
      <c r="AF294" s="20"/>
      <c r="AG294" s="542"/>
      <c r="AK294" s="470"/>
      <c r="AO294" s="470"/>
      <c r="AS294" s="470"/>
      <c r="AW294" s="470"/>
      <c r="BA294" s="470"/>
      <c r="BE294" s="470"/>
      <c r="BI294" s="470"/>
      <c r="BM294" s="470"/>
      <c r="BQ294" s="470"/>
      <c r="BU294" s="470"/>
      <c r="BY294" s="470"/>
      <c r="CC294" s="470"/>
      <c r="CG294" s="470"/>
      <c r="CK294" s="470"/>
      <c r="CL294" s="6"/>
      <c r="CM294" s="6"/>
      <c r="CN294" s="6"/>
      <c r="CO294" s="484"/>
      <c r="CP294" s="6"/>
      <c r="CQ294" s="6"/>
      <c r="CR294" s="6"/>
      <c r="CS294" s="484"/>
      <c r="CT294" s="6"/>
      <c r="CU294" s="6"/>
      <c r="CV294" s="6"/>
      <c r="CW294" s="484"/>
      <c r="CX294" s="6"/>
      <c r="CY294" s="6"/>
      <c r="CZ294" s="6"/>
      <c r="DA294" s="484"/>
      <c r="DB294" s="6"/>
      <c r="DC294" s="6"/>
      <c r="DD294" s="7"/>
      <c r="DE294" s="484"/>
      <c r="DF294" s="7"/>
      <c r="DG294" s="7"/>
      <c r="DH294" s="7"/>
      <c r="DI294" s="484"/>
      <c r="DJ294" s="1671"/>
      <c r="DK294" s="7"/>
      <c r="DL294" s="7"/>
      <c r="DM294" s="484"/>
      <c r="DN294" s="671"/>
      <c r="DO294" s="484"/>
      <c r="DP294" s="6"/>
      <c r="DQ294" s="6"/>
      <c r="DR294" s="6"/>
      <c r="DS294" s="6"/>
      <c r="DT294" s="6"/>
      <c r="DU294" s="6"/>
      <c r="DV294" s="6"/>
      <c r="DW294" s="6"/>
      <c r="DX294" s="6"/>
      <c r="DY294" s="6"/>
      <c r="DZ294" s="6"/>
      <c r="EA294" s="6"/>
      <c r="EB294" s="6"/>
      <c r="EC294" s="6"/>
      <c r="ED294" s="6"/>
      <c r="ET294" s="6"/>
      <c r="EX294" s="6"/>
      <c r="EY294" s="6"/>
      <c r="EZ294" s="1734"/>
      <c r="FI294" s="671"/>
      <c r="FJ294"/>
      <c r="FK294"/>
      <c r="FL294"/>
      <c r="FM294"/>
      <c r="FN294"/>
      <c r="FO294"/>
      <c r="FP294" s="3"/>
      <c r="FS294" s="7"/>
      <c r="FT294" s="7"/>
      <c r="FU294"/>
      <c r="FV294"/>
      <c r="FW294" s="7"/>
      <c r="FX294" s="7"/>
      <c r="FY294" s="7"/>
      <c r="FZ294"/>
      <c r="GA294"/>
      <c r="GB294"/>
      <c r="GC294"/>
      <c r="GD294"/>
      <c r="GE294"/>
      <c r="GF294"/>
      <c r="GG294"/>
      <c r="GH294"/>
      <c r="GI294"/>
      <c r="GJ294"/>
      <c r="GK294"/>
      <c r="GL294"/>
      <c r="GM294"/>
      <c r="GN294"/>
      <c r="GO294"/>
      <c r="GP294"/>
      <c r="GQ294"/>
      <c r="GR294"/>
      <c r="GS294"/>
      <c r="GT294"/>
      <c r="GU294"/>
      <c r="GV294"/>
      <c r="GW294"/>
      <c r="GX294"/>
      <c r="GY294"/>
      <c r="GZ294"/>
      <c r="HA294"/>
      <c r="HB294"/>
      <c r="HC294"/>
      <c r="HD294"/>
      <c r="HE294"/>
      <c r="HF294"/>
      <c r="HG294"/>
      <c r="HH294"/>
      <c r="HI294"/>
      <c r="HJ294"/>
      <c r="HK294"/>
      <c r="HL294"/>
      <c r="HM294"/>
      <c r="HN294"/>
      <c r="HO294"/>
      <c r="HP294"/>
      <c r="HQ294"/>
      <c r="HR294"/>
      <c r="HS294"/>
      <c r="HT294"/>
      <c r="HU294"/>
      <c r="HV294"/>
      <c r="HW294"/>
      <c r="HX294"/>
      <c r="HY294"/>
      <c r="HZ294"/>
      <c r="IA294"/>
      <c r="IB294"/>
      <c r="IC294"/>
      <c r="ID294"/>
      <c r="IE294"/>
      <c r="IF294"/>
      <c r="IG294"/>
      <c r="IH294"/>
      <c r="II294"/>
      <c r="IJ294"/>
      <c r="IK294"/>
      <c r="IL294"/>
      <c r="IM294"/>
      <c r="IN294"/>
      <c r="IO294"/>
      <c r="IP294"/>
      <c r="IQ294"/>
      <c r="IR294"/>
      <c r="IS294"/>
      <c r="IT294"/>
      <c r="IU294"/>
      <c r="IV294"/>
      <c r="IW294"/>
      <c r="IX294"/>
      <c r="IY294"/>
      <c r="IZ294"/>
    </row>
    <row r="295" spans="1:260" s="19" customFormat="1" x14ac:dyDescent="0.2">
      <c r="A295" s="440" t="s">
        <v>374</v>
      </c>
      <c r="B295" s="1017"/>
      <c r="C295" s="1017"/>
      <c r="D295" s="1017"/>
      <c r="E295" s="1018"/>
      <c r="F295" s="1017"/>
      <c r="G295" s="1017"/>
      <c r="H295" s="1017"/>
      <c r="I295" s="1018"/>
      <c r="J295" s="1017"/>
      <c r="K295" s="1017"/>
      <c r="L295" s="1017"/>
      <c r="M295" s="1018"/>
      <c r="N295" s="1017"/>
      <c r="O295" s="1017"/>
      <c r="P295" s="1017"/>
      <c r="Q295" s="1018"/>
      <c r="R295" s="1017"/>
      <c r="S295" s="1017"/>
      <c r="T295" s="1017"/>
      <c r="U295" s="1018"/>
      <c r="V295" s="1017"/>
      <c r="W295" s="1017"/>
      <c r="X295" s="1017"/>
      <c r="Y295" s="1018"/>
      <c r="Z295" s="1017"/>
      <c r="AA295" s="1017"/>
      <c r="AB295" s="1017"/>
      <c r="AC295" s="1018"/>
      <c r="AD295" s="1017"/>
      <c r="AE295" s="1017"/>
      <c r="AF295" s="1017"/>
      <c r="AG295" s="1018"/>
      <c r="AH295" s="1019">
        <f t="shared" ref="AH295:BY295" si="1101">+AH287</f>
        <v>0</v>
      </c>
      <c r="AI295" s="1019">
        <f t="shared" si="1101"/>
        <v>0</v>
      </c>
      <c r="AJ295" s="1019">
        <f t="shared" si="1101"/>
        <v>2449</v>
      </c>
      <c r="AK295" s="1020">
        <f t="shared" si="1101"/>
        <v>2468</v>
      </c>
      <c r="AL295" s="1019">
        <f t="shared" si="1101"/>
        <v>2508</v>
      </c>
      <c r="AM295" s="1019">
        <f t="shared" si="1101"/>
        <v>2689</v>
      </c>
      <c r="AN295" s="1019">
        <f t="shared" si="1101"/>
        <v>3065</v>
      </c>
      <c r="AO295" s="1020">
        <f t="shared" si="1101"/>
        <v>3065</v>
      </c>
      <c r="AP295" s="1019">
        <f t="shared" si="1101"/>
        <v>3139</v>
      </c>
      <c r="AQ295" s="1019">
        <f t="shared" si="1101"/>
        <v>3333</v>
      </c>
      <c r="AR295" s="1019">
        <f t="shared" si="1101"/>
        <v>3587</v>
      </c>
      <c r="AS295" s="1020">
        <f t="shared" si="1101"/>
        <v>3587</v>
      </c>
      <c r="AT295" s="847">
        <f t="shared" si="1101"/>
        <v>3620</v>
      </c>
      <c r="AU295" s="847">
        <f t="shared" si="1101"/>
        <v>3711</v>
      </c>
      <c r="AV295" s="847">
        <f t="shared" si="1101"/>
        <v>3989</v>
      </c>
      <c r="AW295" s="842">
        <f t="shared" si="1101"/>
        <v>4057</v>
      </c>
      <c r="AX295" s="847">
        <f t="shared" si="1101"/>
        <v>4133</v>
      </c>
      <c r="AY295" s="847">
        <f t="shared" si="1101"/>
        <v>4234</v>
      </c>
      <c r="AZ295" s="847">
        <f t="shared" si="1101"/>
        <v>4636</v>
      </c>
      <c r="BA295" s="842">
        <f t="shared" si="1101"/>
        <v>4651.75</v>
      </c>
      <c r="BB295" s="847">
        <f t="shared" si="1101"/>
        <v>4662.9799999999996</v>
      </c>
      <c r="BC295" s="847">
        <f t="shared" si="1101"/>
        <v>9006</v>
      </c>
      <c r="BD295" s="847">
        <f t="shared" si="1101"/>
        <v>9259</v>
      </c>
      <c r="BE295" s="842">
        <f t="shared" si="1101"/>
        <v>9418</v>
      </c>
      <c r="BF295" s="847">
        <f t="shared" si="1101"/>
        <v>9562</v>
      </c>
      <c r="BG295" s="847">
        <f t="shared" si="1101"/>
        <v>9852</v>
      </c>
      <c r="BH295" s="847">
        <f t="shared" si="1101"/>
        <v>10545</v>
      </c>
      <c r="BI295" s="842">
        <f t="shared" si="1101"/>
        <v>11069</v>
      </c>
      <c r="BJ295" s="847">
        <f t="shared" si="1101"/>
        <v>11415</v>
      </c>
      <c r="BK295" s="847">
        <f t="shared" si="1101"/>
        <v>11442</v>
      </c>
      <c r="BL295" s="847">
        <f t="shared" si="1101"/>
        <v>12840</v>
      </c>
      <c r="BM295" s="842">
        <f t="shared" si="1101"/>
        <v>13331</v>
      </c>
      <c r="BN295" s="847">
        <f t="shared" si="1101"/>
        <v>13310</v>
      </c>
      <c r="BO295" s="847">
        <f t="shared" si="1101"/>
        <v>13484</v>
      </c>
      <c r="BP295" s="847">
        <f t="shared" si="1101"/>
        <v>13556</v>
      </c>
      <c r="BQ295" s="842">
        <f t="shared" si="1101"/>
        <v>13623.0448361</v>
      </c>
      <c r="BR295" s="847">
        <f t="shared" si="1101"/>
        <v>13695</v>
      </c>
      <c r="BS295" s="847">
        <f t="shared" si="1101"/>
        <v>14078</v>
      </c>
      <c r="BT295" s="847">
        <f t="shared" si="1101"/>
        <v>14248</v>
      </c>
      <c r="BU295" s="842">
        <f t="shared" si="1101"/>
        <v>14445</v>
      </c>
      <c r="BV295" s="847">
        <f t="shared" si="1101"/>
        <v>14423</v>
      </c>
      <c r="BW295" s="847">
        <f t="shared" si="1101"/>
        <v>15007</v>
      </c>
      <c r="BX295" s="847">
        <f t="shared" si="1101"/>
        <v>15472</v>
      </c>
      <c r="BY295" s="842">
        <f t="shared" si="1101"/>
        <v>15852</v>
      </c>
      <c r="BZ295" s="847">
        <f t="shared" ref="BZ295:CG295" si="1102">+BR287</f>
        <v>13695</v>
      </c>
      <c r="CA295" s="847">
        <f t="shared" si="1102"/>
        <v>14078</v>
      </c>
      <c r="CB295" s="847">
        <f t="shared" si="1102"/>
        <v>14248</v>
      </c>
      <c r="CC295" s="842">
        <f t="shared" si="1102"/>
        <v>14445</v>
      </c>
      <c r="CD295" s="847">
        <f t="shared" si="1102"/>
        <v>14423</v>
      </c>
      <c r="CE295" s="847">
        <f t="shared" si="1102"/>
        <v>15007</v>
      </c>
      <c r="CF295" s="847">
        <f t="shared" si="1102"/>
        <v>15472</v>
      </c>
      <c r="CG295" s="842">
        <f t="shared" si="1102"/>
        <v>15852</v>
      </c>
      <c r="CH295" s="847">
        <f>+CH287</f>
        <v>15885</v>
      </c>
      <c r="CI295" s="847">
        <f>+CI287</f>
        <v>16077</v>
      </c>
      <c r="CJ295" s="847">
        <f>+CJ287</f>
        <v>16382</v>
      </c>
      <c r="CK295" s="842">
        <f>+CK287</f>
        <v>15049</v>
      </c>
      <c r="CL295" s="847">
        <f>+CP287-CP279</f>
        <v>6618</v>
      </c>
      <c r="CM295" s="847">
        <f>+CQ287-CQ279</f>
        <v>6652</v>
      </c>
      <c r="CN295" s="847">
        <f>+CR287-CR279</f>
        <v>6722</v>
      </c>
      <c r="CO295" s="842">
        <f>+CS287-CS279</f>
        <v>6636</v>
      </c>
      <c r="CP295" s="847">
        <f t="shared" ref="CP295:CV295" si="1103">+CP287</f>
        <v>6618</v>
      </c>
      <c r="CQ295" s="847">
        <f t="shared" si="1103"/>
        <v>6652</v>
      </c>
      <c r="CR295" s="847">
        <f t="shared" si="1103"/>
        <v>6722</v>
      </c>
      <c r="CS295" s="842">
        <f t="shared" si="1103"/>
        <v>6636</v>
      </c>
      <c r="CT295" s="847">
        <f t="shared" si="1103"/>
        <v>6636</v>
      </c>
      <c r="CU295" s="847">
        <f t="shared" si="1103"/>
        <v>6536</v>
      </c>
      <c r="CV295" s="847">
        <f t="shared" si="1103"/>
        <v>6560</v>
      </c>
      <c r="CW295" s="842">
        <f t="shared" ref="CW295:DF295" si="1104">+CW287</f>
        <v>6470</v>
      </c>
      <c r="CX295" s="847">
        <f t="shared" si="1104"/>
        <v>4529</v>
      </c>
      <c r="CY295" s="847">
        <f t="shared" si="1104"/>
        <v>4529</v>
      </c>
      <c r="CZ295" s="847">
        <f t="shared" si="1104"/>
        <v>4528</v>
      </c>
      <c r="DA295" s="842">
        <f t="shared" si="1104"/>
        <v>4543</v>
      </c>
      <c r="DB295" s="847">
        <f t="shared" si="1104"/>
        <v>4510</v>
      </c>
      <c r="DC295" s="847">
        <f t="shared" si="1104"/>
        <v>4508</v>
      </c>
      <c r="DD295" s="847">
        <f t="shared" si="1104"/>
        <v>4506</v>
      </c>
      <c r="DE295" s="842">
        <f t="shared" si="1104"/>
        <v>4510</v>
      </c>
      <c r="DF295" s="847">
        <f t="shared" si="1104"/>
        <v>4510</v>
      </c>
      <c r="DG295" s="847">
        <f t="shared" ref="DG295:DH295" si="1105">+DG287</f>
        <v>4550</v>
      </c>
      <c r="DH295" s="847">
        <f t="shared" si="1105"/>
        <v>4567</v>
      </c>
      <c r="DI295" s="842">
        <f>+DH295</f>
        <v>4567</v>
      </c>
      <c r="DJ295" s="2751">
        <f>+DI295</f>
        <v>4567</v>
      </c>
      <c r="DK295" s="2674">
        <f t="shared" ref="DK295:DM295" si="1106">+DJ295</f>
        <v>4567</v>
      </c>
      <c r="DL295" s="2674">
        <f t="shared" si="1106"/>
        <v>4567</v>
      </c>
      <c r="DM295" s="842">
        <f t="shared" si="1106"/>
        <v>4567</v>
      </c>
      <c r="DN295" s="1021"/>
      <c r="DO295" s="1022"/>
      <c r="DP295" s="1023"/>
      <c r="DQ295" s="1023"/>
      <c r="DR295" s="1023"/>
      <c r="DS295" s="1023"/>
      <c r="DT295" s="1023"/>
      <c r="DU295" s="1023"/>
      <c r="DV295" s="1023"/>
      <c r="DW295" s="1023"/>
      <c r="DX295" s="1023"/>
      <c r="DY295" s="1023"/>
      <c r="DZ295" s="1023"/>
      <c r="EA295" s="1023"/>
      <c r="EB295" s="1023"/>
      <c r="EC295" s="1023"/>
      <c r="ED295" s="1023"/>
      <c r="EE295" s="149"/>
      <c r="EF295" s="1024">
        <f t="shared" ref="EF295:EP295" si="1107">+EF287</f>
        <v>2468</v>
      </c>
      <c r="EG295" s="1024">
        <f t="shared" si="1107"/>
        <v>3065</v>
      </c>
      <c r="EH295" s="1024">
        <f t="shared" si="1107"/>
        <v>3587</v>
      </c>
      <c r="EI295" s="157">
        <f t="shared" si="1107"/>
        <v>4057</v>
      </c>
      <c r="EJ295" s="157">
        <f t="shared" si="1107"/>
        <v>4651.75</v>
      </c>
      <c r="EK295" s="157">
        <f t="shared" si="1107"/>
        <v>9418</v>
      </c>
      <c r="EL295" s="157">
        <f t="shared" si="1107"/>
        <v>11069</v>
      </c>
      <c r="EM295" s="157">
        <f t="shared" si="1107"/>
        <v>13331</v>
      </c>
      <c r="EN295" s="157">
        <f t="shared" si="1107"/>
        <v>13623.0448361</v>
      </c>
      <c r="EO295" s="157">
        <f t="shared" si="1107"/>
        <v>14445</v>
      </c>
      <c r="EP295" s="157">
        <f t="shared" si="1107"/>
        <v>15852</v>
      </c>
      <c r="EQ295" s="157">
        <f>+EO287</f>
        <v>14445</v>
      </c>
      <c r="ER295" s="157">
        <f>+EP287</f>
        <v>15852</v>
      </c>
      <c r="ES295" s="157">
        <f>+ES287</f>
        <v>15049</v>
      </c>
      <c r="ET295" s="157">
        <f>+EU287-EU279</f>
        <v>6636</v>
      </c>
      <c r="EU295" s="157">
        <f>+EU287</f>
        <v>6636</v>
      </c>
      <c r="EV295" s="157">
        <f>+EV287</f>
        <v>6470</v>
      </c>
      <c r="EW295" s="157">
        <f>DA295</f>
        <v>4543</v>
      </c>
      <c r="EX295" s="157">
        <f>DE295</f>
        <v>4510</v>
      </c>
      <c r="EY295" s="157">
        <f>DI295</f>
        <v>4567</v>
      </c>
      <c r="EZ295" s="1743">
        <f>DM295</f>
        <v>4567</v>
      </c>
      <c r="FA295" s="1024">
        <f t="shared" ref="FA295:FF295" si="1108">FA290*FA301/1000</f>
        <v>4577.6456876456878</v>
      </c>
      <c r="FB295" s="1024">
        <f t="shared" si="1108"/>
        <v>4598.9370629370633</v>
      </c>
      <c r="FC295" s="1024">
        <f t="shared" si="1108"/>
        <v>4620.2284382284379</v>
      </c>
      <c r="FD295" s="1024">
        <f t="shared" si="1108"/>
        <v>4641.5198135198134</v>
      </c>
      <c r="FE295" s="1024">
        <f t="shared" si="1108"/>
        <v>4662.8111888111889</v>
      </c>
      <c r="FF295" s="1024">
        <f t="shared" si="1108"/>
        <v>4684.1025641025644</v>
      </c>
      <c r="FG295" s="1024">
        <f>FG290*FG301/1000</f>
        <v>4705.393939393939</v>
      </c>
      <c r="FH295" s="1024">
        <f>FH290*FH301/1000</f>
        <v>4726.6853146853146</v>
      </c>
      <c r="FI295" s="1385"/>
      <c r="FJ295"/>
      <c r="FK295"/>
      <c r="FL295"/>
      <c r="FM295"/>
      <c r="FN295"/>
      <c r="FO295"/>
      <c r="FP295" s="401"/>
      <c r="FS295"/>
      <c r="FT295"/>
      <c r="FU295"/>
      <c r="FV295"/>
      <c r="FW295" s="2648"/>
      <c r="FX295" s="2648"/>
      <c r="FY295" s="2648"/>
      <c r="FZ295"/>
      <c r="GA295"/>
      <c r="GB295"/>
      <c r="GC295"/>
      <c r="GD295"/>
      <c r="GE295"/>
      <c r="GF295"/>
      <c r="GG295"/>
      <c r="GH295"/>
      <c r="GI295"/>
      <c r="GJ295"/>
      <c r="GK295"/>
      <c r="GL295"/>
      <c r="GM295"/>
      <c r="GN295"/>
      <c r="GO295"/>
      <c r="GP295"/>
      <c r="GQ295"/>
      <c r="GR295"/>
      <c r="GS295"/>
      <c r="GT295"/>
      <c r="GU295"/>
      <c r="GV295"/>
      <c r="GW295"/>
      <c r="GX295"/>
      <c r="GY295"/>
      <c r="GZ295"/>
      <c r="HA295"/>
      <c r="HB295"/>
      <c r="HC295"/>
      <c r="HD295"/>
      <c r="HE295"/>
      <c r="HF295"/>
      <c r="HG295"/>
      <c r="HH295"/>
      <c r="HI295"/>
      <c r="HJ295"/>
      <c r="HK295"/>
      <c r="HL295"/>
      <c r="HM295"/>
      <c r="HN295"/>
      <c r="HO295"/>
      <c r="HP295"/>
      <c r="HQ295"/>
      <c r="HR295"/>
      <c r="HS295"/>
      <c r="HT295"/>
      <c r="HU295"/>
      <c r="HV295"/>
      <c r="HW295"/>
      <c r="HX295"/>
      <c r="HY295"/>
      <c r="HZ295"/>
      <c r="IA295"/>
      <c r="IB295"/>
      <c r="IC295"/>
      <c r="ID295"/>
      <c r="IE295"/>
      <c r="IF295"/>
      <c r="IG295"/>
      <c r="IH295"/>
      <c r="II295"/>
      <c r="IJ295"/>
      <c r="IK295"/>
      <c r="IL295"/>
      <c r="IM295"/>
      <c r="IN295"/>
      <c r="IO295"/>
      <c r="IP295"/>
      <c r="IQ295"/>
      <c r="IR295"/>
      <c r="IS295"/>
      <c r="IT295"/>
      <c r="IU295"/>
      <c r="IV295"/>
      <c r="IW295"/>
      <c r="IX295"/>
      <c r="IY295"/>
      <c r="IZ295"/>
    </row>
    <row r="296" spans="1:260" s="4" customFormat="1" x14ac:dyDescent="0.2">
      <c r="A296" s="25" t="s">
        <v>482</v>
      </c>
      <c r="B296" s="25"/>
      <c r="C296" s="25"/>
      <c r="D296" s="25"/>
      <c r="E296" s="477"/>
      <c r="F296" s="25"/>
      <c r="G296" s="25"/>
      <c r="H296" s="25"/>
      <c r="I296" s="477"/>
      <c r="J296" s="25"/>
      <c r="K296" s="25"/>
      <c r="L296" s="25"/>
      <c r="M296" s="477"/>
      <c r="N296" s="25"/>
      <c r="O296" s="25"/>
      <c r="P296" s="25"/>
      <c r="Q296" s="477"/>
      <c r="R296" s="25"/>
      <c r="S296" s="25"/>
      <c r="T296" s="25"/>
      <c r="U296" s="477"/>
      <c r="V296" s="25"/>
      <c r="W296" s="25"/>
      <c r="X296" s="25"/>
      <c r="Y296" s="477"/>
      <c r="Z296" s="25"/>
      <c r="AA296" s="25"/>
      <c r="AB296" s="25"/>
      <c r="AC296" s="477"/>
      <c r="AD296" s="25"/>
      <c r="AE296" s="25"/>
      <c r="AF296" s="25"/>
      <c r="AG296" s="477"/>
      <c r="AH296" s="1269" t="s">
        <v>483</v>
      </c>
      <c r="AI296" s="1269" t="s">
        <v>483</v>
      </c>
      <c r="AJ296" s="1269" t="s">
        <v>483</v>
      </c>
      <c r="AK296" s="556" t="s">
        <v>483</v>
      </c>
      <c r="AL296" s="1269" t="s">
        <v>483</v>
      </c>
      <c r="AM296" s="1269" t="s">
        <v>483</v>
      </c>
      <c r="AN296" s="15">
        <f t="shared" ref="AN296:BY296" si="1109">AN295/AJ295-1</f>
        <v>0.25153123723968962</v>
      </c>
      <c r="AO296" s="518">
        <f t="shared" si="1109"/>
        <v>0.24189627228525112</v>
      </c>
      <c r="AP296" s="15">
        <f t="shared" si="1109"/>
        <v>0.25159489633173848</v>
      </c>
      <c r="AQ296" s="15">
        <f t="shared" si="1109"/>
        <v>0.23949423577538109</v>
      </c>
      <c r="AR296" s="15">
        <f t="shared" si="1109"/>
        <v>0.17030995106035896</v>
      </c>
      <c r="AS296" s="518">
        <f t="shared" si="1109"/>
        <v>0.17030995106035896</v>
      </c>
      <c r="AT296" s="15">
        <f t="shared" si="1109"/>
        <v>0.15323351385791661</v>
      </c>
      <c r="AU296" s="15">
        <f t="shared" si="1109"/>
        <v>0.11341134113411333</v>
      </c>
      <c r="AV296" s="15">
        <f t="shared" si="1109"/>
        <v>0.11207136883189284</v>
      </c>
      <c r="AW296" s="518">
        <f t="shared" si="1109"/>
        <v>0.13102871480345701</v>
      </c>
      <c r="AX296" s="15">
        <f t="shared" si="1109"/>
        <v>0.14171270718232054</v>
      </c>
      <c r="AY296" s="15">
        <f t="shared" si="1109"/>
        <v>0.14093236324440861</v>
      </c>
      <c r="AZ296" s="15">
        <f t="shared" si="1109"/>
        <v>0.16219603910754565</v>
      </c>
      <c r="BA296" s="518">
        <f t="shared" si="1109"/>
        <v>0.14659847177717533</v>
      </c>
      <c r="BB296" s="15">
        <f t="shared" si="1109"/>
        <v>0.12823130897653034</v>
      </c>
      <c r="BC296" s="15">
        <f t="shared" si="1109"/>
        <v>1.127066603684459</v>
      </c>
      <c r="BD296" s="15">
        <f t="shared" si="1109"/>
        <v>0.99719585849870573</v>
      </c>
      <c r="BE296" s="518">
        <f t="shared" si="1109"/>
        <v>1.0246143924329552</v>
      </c>
      <c r="BF296" s="15">
        <f t="shared" si="1109"/>
        <v>1.0506199897919357</v>
      </c>
      <c r="BG296" s="15">
        <f t="shared" si="1109"/>
        <v>9.3937375083277708E-2</v>
      </c>
      <c r="BH296" s="15">
        <f t="shared" si="1109"/>
        <v>0.13889188897289118</v>
      </c>
      <c r="BI296" s="518">
        <f t="shared" si="1109"/>
        <v>0.17530261201953712</v>
      </c>
      <c r="BJ296" s="15">
        <f t="shared" si="1109"/>
        <v>0.19378791047897925</v>
      </c>
      <c r="BK296" s="15">
        <f t="shared" si="1109"/>
        <v>0.16138855054811208</v>
      </c>
      <c r="BL296" s="15">
        <f t="shared" si="1109"/>
        <v>0.21763869132290181</v>
      </c>
      <c r="BM296" s="518">
        <f t="shared" si="1109"/>
        <v>0.2043545035685248</v>
      </c>
      <c r="BN296" s="15">
        <f t="shared" si="1109"/>
        <v>0.16600963644327638</v>
      </c>
      <c r="BO296" s="15">
        <f t="shared" si="1109"/>
        <v>0.17846530326865939</v>
      </c>
      <c r="BP296" s="15">
        <f t="shared" si="1109"/>
        <v>5.5763239875389337E-2</v>
      </c>
      <c r="BQ296" s="518">
        <f t="shared" si="1109"/>
        <v>2.1907196466881773E-2</v>
      </c>
      <c r="BR296" s="15">
        <f t="shared" si="1109"/>
        <v>2.8925619834710758E-2</v>
      </c>
      <c r="BS296" s="15">
        <f t="shared" si="1109"/>
        <v>4.4052210026698235E-2</v>
      </c>
      <c r="BT296" s="15">
        <f t="shared" si="1109"/>
        <v>5.1047506639126494E-2</v>
      </c>
      <c r="BU296" s="518">
        <f t="shared" si="1109"/>
        <v>6.0335642566622383E-2</v>
      </c>
      <c r="BV296" s="15">
        <f t="shared" si="1109"/>
        <v>5.315808689302659E-2</v>
      </c>
      <c r="BW296" s="15">
        <f t="shared" si="1109"/>
        <v>6.5989487143060188E-2</v>
      </c>
      <c r="BX296" s="15">
        <f t="shared" si="1109"/>
        <v>8.5906793935990988E-2</v>
      </c>
      <c r="BY296" s="518">
        <f t="shared" si="1109"/>
        <v>9.7403946002076802E-2</v>
      </c>
      <c r="BZ296" s="15">
        <f>BZ295/BN295-1</f>
        <v>2.8925619834710758E-2</v>
      </c>
      <c r="CA296" s="15">
        <f>CA295/BO295-1</f>
        <v>4.4052210026698235E-2</v>
      </c>
      <c r="CB296" s="15">
        <f>CB295/BP295-1</f>
        <v>5.1047506639126494E-2</v>
      </c>
      <c r="CC296" s="518">
        <f>CC295/BQ295-1</f>
        <v>6.0335642566622383E-2</v>
      </c>
      <c r="CD296" s="15">
        <f t="shared" ref="CD296:CK296" si="1110">CD295/BZ295-1</f>
        <v>5.315808689302659E-2</v>
      </c>
      <c r="CE296" s="15">
        <f t="shared" si="1110"/>
        <v>6.5989487143060188E-2</v>
      </c>
      <c r="CF296" s="15">
        <f t="shared" si="1110"/>
        <v>8.5906793935990988E-2</v>
      </c>
      <c r="CG296" s="518">
        <f t="shared" si="1110"/>
        <v>9.7403946002076802E-2</v>
      </c>
      <c r="CH296" s="15">
        <f t="shared" si="1110"/>
        <v>0.10136587395132768</v>
      </c>
      <c r="CI296" s="15">
        <f t="shared" si="1110"/>
        <v>7.1300059972013052E-2</v>
      </c>
      <c r="CJ296" s="15">
        <f t="shared" si="1110"/>
        <v>5.8815925542916148E-2</v>
      </c>
      <c r="CK296" s="518">
        <f t="shared" si="1110"/>
        <v>-5.0656068634872597E-2</v>
      </c>
      <c r="CL296" s="77">
        <f>CL295/(CD295-BV279)-1</f>
        <v>-0.48745353159851301</v>
      </c>
      <c r="CM296" s="77">
        <f>CM295/(CE295-BW279)-1</f>
        <v>-0.50689399555226089</v>
      </c>
      <c r="CN296" s="77">
        <f>CN295/(CF295-BX279)-1</f>
        <v>-0.51796342775188242</v>
      </c>
      <c r="CO296" s="487">
        <f>CO295/(CG295-BY279)-1</f>
        <v>-0.53765763255068633</v>
      </c>
      <c r="CP296" s="77">
        <f t="shared" ref="CP296:CX296" si="1111">CP295/CL295-1</f>
        <v>0</v>
      </c>
      <c r="CQ296" s="77">
        <f t="shared" si="1111"/>
        <v>0</v>
      </c>
      <c r="CR296" s="77">
        <f t="shared" si="1111"/>
        <v>0</v>
      </c>
      <c r="CS296" s="487">
        <f t="shared" si="1111"/>
        <v>0</v>
      </c>
      <c r="CT296" s="77">
        <f t="shared" si="1111"/>
        <v>2.7198549410698547E-3</v>
      </c>
      <c r="CU296" s="77">
        <f t="shared" si="1111"/>
        <v>-1.743836440168367E-2</v>
      </c>
      <c r="CV296" s="77">
        <f t="shared" si="1111"/>
        <v>-2.409997024695032E-2</v>
      </c>
      <c r="CW296" s="487">
        <f t="shared" si="1111"/>
        <v>-2.5015069318866767E-2</v>
      </c>
      <c r="CX296" s="77">
        <f t="shared" si="1111"/>
        <v>-0.3175105485232067</v>
      </c>
      <c r="CY296" s="77">
        <f t="shared" ref="CY296:DE296" si="1112">CY295/CU295-1</f>
        <v>-0.30706854345165235</v>
      </c>
      <c r="CZ296" s="77">
        <f t="shared" si="1112"/>
        <v>-0.30975609756097566</v>
      </c>
      <c r="DA296" s="487">
        <f t="shared" si="1112"/>
        <v>-0.29783616692426584</v>
      </c>
      <c r="DB296" s="77">
        <f t="shared" si="1112"/>
        <v>-4.1951865754029649E-3</v>
      </c>
      <c r="DC296" s="77">
        <f t="shared" si="1112"/>
        <v>-4.6367851622874934E-3</v>
      </c>
      <c r="DD296" s="77">
        <f t="shared" si="1112"/>
        <v>-4.8586572438162889E-3</v>
      </c>
      <c r="DE296" s="487">
        <f t="shared" si="1112"/>
        <v>-7.2639225181597711E-3</v>
      </c>
      <c r="DF296" s="77">
        <f t="shared" ref="DF296:DM296" si="1113">DF295/DB295-1</f>
        <v>0</v>
      </c>
      <c r="DG296" s="77">
        <f t="shared" si="1113"/>
        <v>9.3167701863354768E-3</v>
      </c>
      <c r="DH296" s="77">
        <f t="shared" si="1113"/>
        <v>1.3537505548157913E-2</v>
      </c>
      <c r="DI296" s="487">
        <f t="shared" si="1113"/>
        <v>1.263858093126391E-2</v>
      </c>
      <c r="DJ296" s="1673">
        <f t="shared" si="1113"/>
        <v>1.263858093126391E-2</v>
      </c>
      <c r="DK296" s="70">
        <f t="shared" si="1113"/>
        <v>3.7362637362636786E-3</v>
      </c>
      <c r="DL296" s="70">
        <f t="shared" si="1113"/>
        <v>0</v>
      </c>
      <c r="DM296" s="487">
        <f t="shared" si="1113"/>
        <v>0</v>
      </c>
      <c r="DN296" s="580"/>
      <c r="DO296" s="487"/>
      <c r="DP296" s="77"/>
      <c r="DQ296" s="77"/>
      <c r="DR296" s="77"/>
      <c r="DS296" s="77"/>
      <c r="DT296" s="77"/>
      <c r="DU296" s="77"/>
      <c r="DV296" s="77"/>
      <c r="DW296" s="77"/>
      <c r="DX296" s="77"/>
      <c r="DY296" s="77"/>
      <c r="DZ296" s="77"/>
      <c r="EA296" s="77"/>
      <c r="EB296" s="77"/>
      <c r="EC296" s="77"/>
      <c r="ED296" s="77"/>
      <c r="EE296" s="15"/>
      <c r="EF296" s="1269" t="s">
        <v>483</v>
      </c>
      <c r="EG296" s="15">
        <f t="shared" ref="EG296:EP296" si="1114">EG295/EF295-1</f>
        <v>0.24189627228525112</v>
      </c>
      <c r="EH296" s="15">
        <f t="shared" si="1114"/>
        <v>0.17030995106035896</v>
      </c>
      <c r="EI296" s="15">
        <f t="shared" si="1114"/>
        <v>0.13102871480345701</v>
      </c>
      <c r="EJ296" s="15">
        <f t="shared" si="1114"/>
        <v>0.14659847177717533</v>
      </c>
      <c r="EK296" s="15">
        <f t="shared" si="1114"/>
        <v>1.0246143924329552</v>
      </c>
      <c r="EL296" s="15">
        <f t="shared" si="1114"/>
        <v>0.17530261201953712</v>
      </c>
      <c r="EM296" s="15">
        <f t="shared" si="1114"/>
        <v>0.2043545035685248</v>
      </c>
      <c r="EN296" s="15">
        <f t="shared" si="1114"/>
        <v>2.1907196466881773E-2</v>
      </c>
      <c r="EO296" s="15">
        <f t="shared" si="1114"/>
        <v>6.0335642566622383E-2</v>
      </c>
      <c r="EP296" s="15">
        <f t="shared" si="1114"/>
        <v>9.7403946002076802E-2</v>
      </c>
      <c r="EQ296" s="15">
        <f>EQ295/EN295-1</f>
        <v>6.0335642566622383E-2</v>
      </c>
      <c r="ER296" s="15">
        <f>ER295/EQ295-1</f>
        <v>9.7403946002076802E-2</v>
      </c>
      <c r="ES296" s="15">
        <f>ES295/ER295-1</f>
        <v>-5.0656068634872597E-2</v>
      </c>
      <c r="ET296" s="77">
        <f>ET295/(ER295-EP279)-1</f>
        <v>-0.53765763255068633</v>
      </c>
      <c r="EU296" s="15">
        <f t="shared" ref="EU296:FC296" si="1115">EU295/ET295-1</f>
        <v>0</v>
      </c>
      <c r="EV296" s="15">
        <f t="shared" si="1115"/>
        <v>-2.5015069318866767E-2</v>
      </c>
      <c r="EW296" s="15">
        <f t="shared" si="1115"/>
        <v>-0.29783616692426584</v>
      </c>
      <c r="EX296" s="77">
        <f t="shared" si="1115"/>
        <v>-7.2639225181597711E-3</v>
      </c>
      <c r="EY296" s="77">
        <f t="shared" si="1115"/>
        <v>1.263858093126391E-2</v>
      </c>
      <c r="EZ296" s="1680">
        <f t="shared" si="1115"/>
        <v>0</v>
      </c>
      <c r="FA296" s="15">
        <f t="shared" si="1115"/>
        <v>2.3310023310023631E-3</v>
      </c>
      <c r="FB296" s="15">
        <f t="shared" si="1115"/>
        <v>4.6511627906977715E-3</v>
      </c>
      <c r="FC296" s="15">
        <f t="shared" si="1115"/>
        <v>4.6296296296295392E-3</v>
      </c>
      <c r="FD296" s="15">
        <f>FD295/FC295-1</f>
        <v>4.6082949308756671E-3</v>
      </c>
      <c r="FE296" s="15">
        <f>FE295/FD295-1</f>
        <v>4.5871559633028358E-3</v>
      </c>
      <c r="FF296" s="15">
        <f>FF295/FE295-1</f>
        <v>4.5662100456620447E-3</v>
      </c>
      <c r="FG296" s="15">
        <f>FG295/FF295-1</f>
        <v>4.5454545454544082E-3</v>
      </c>
      <c r="FH296" s="15">
        <f>FH295/FG295-1</f>
        <v>4.5248868778280382E-3</v>
      </c>
      <c r="FI296" s="580"/>
      <c r="FJ296"/>
      <c r="FK296"/>
      <c r="FL296"/>
      <c r="FM296"/>
      <c r="FN296"/>
      <c r="FO296"/>
      <c r="FP296" s="3"/>
      <c r="FS296" s="70"/>
      <c r="FT296" s="70"/>
      <c r="FU296"/>
      <c r="FV296"/>
      <c r="FW296" s="70"/>
      <c r="FX296" s="70"/>
      <c r="FY296" s="70"/>
      <c r="FZ296"/>
      <c r="GA296"/>
      <c r="GB296"/>
      <c r="GC296"/>
      <c r="GD296"/>
      <c r="GE296"/>
      <c r="GF296"/>
      <c r="GG296"/>
      <c r="GH296"/>
      <c r="GI296"/>
      <c r="GJ296"/>
      <c r="GK296"/>
      <c r="GL296"/>
      <c r="GM296"/>
      <c r="GN296"/>
      <c r="GO296"/>
      <c r="GP296"/>
      <c r="GQ296"/>
      <c r="GR296"/>
      <c r="GS296"/>
      <c r="GT296"/>
      <c r="GU296"/>
      <c r="GV296"/>
      <c r="GW296"/>
      <c r="GX296"/>
      <c r="GY296"/>
      <c r="GZ296"/>
      <c r="HA296"/>
      <c r="HB296"/>
      <c r="HC296"/>
      <c r="HD296"/>
      <c r="HE296"/>
      <c r="HF296"/>
      <c r="HG296"/>
      <c r="HH296"/>
      <c r="HI296"/>
      <c r="HJ296"/>
      <c r="HK296"/>
      <c r="HL296"/>
      <c r="HM296"/>
      <c r="HN296"/>
      <c r="HO296"/>
      <c r="HP296"/>
      <c r="HQ296"/>
      <c r="HR296"/>
      <c r="HS296"/>
      <c r="HT296"/>
      <c r="HU296"/>
      <c r="HV296"/>
      <c r="HW296"/>
      <c r="HX296"/>
      <c r="HY296"/>
      <c r="HZ296"/>
      <c r="IA296"/>
      <c r="IB296"/>
      <c r="IC296"/>
      <c r="ID296"/>
      <c r="IE296"/>
      <c r="IF296"/>
      <c r="IG296"/>
      <c r="IH296"/>
      <c r="II296"/>
      <c r="IJ296"/>
      <c r="IK296"/>
      <c r="IL296"/>
      <c r="IM296"/>
      <c r="IN296"/>
      <c r="IO296"/>
      <c r="IP296"/>
      <c r="IQ296"/>
      <c r="IR296"/>
      <c r="IS296"/>
      <c r="IT296"/>
      <c r="IU296"/>
      <c r="IV296"/>
      <c r="IW296"/>
      <c r="IX296"/>
      <c r="IY296"/>
      <c r="IZ296"/>
    </row>
    <row r="297" spans="1:260" s="4" customFormat="1" x14ac:dyDescent="0.2">
      <c r="A297" s="20" t="s">
        <v>336</v>
      </c>
      <c r="B297" s="855"/>
      <c r="C297" s="855"/>
      <c r="D297" s="855"/>
      <c r="E297" s="856"/>
      <c r="F297" s="855"/>
      <c r="G297" s="855"/>
      <c r="H297" s="855"/>
      <c r="I297" s="856"/>
      <c r="J297" s="855"/>
      <c r="K297" s="855"/>
      <c r="L297" s="855"/>
      <c r="M297" s="856"/>
      <c r="N297" s="855"/>
      <c r="O297" s="855"/>
      <c r="P297" s="855"/>
      <c r="Q297" s="856"/>
      <c r="R297" s="855"/>
      <c r="S297" s="855"/>
      <c r="T297" s="855"/>
      <c r="U297" s="856"/>
      <c r="V297" s="855"/>
      <c r="W297" s="855"/>
      <c r="X297" s="855"/>
      <c r="Y297" s="856"/>
      <c r="Z297" s="855"/>
      <c r="AA297" s="855"/>
      <c r="AB297" s="855"/>
      <c r="AC297" s="856"/>
      <c r="AD297" s="855"/>
      <c r="AE297" s="855"/>
      <c r="AF297" s="855"/>
      <c r="AG297" s="856"/>
      <c r="AH297" s="848">
        <v>0</v>
      </c>
      <c r="AI297" s="848">
        <f t="shared" ref="AI297:BM297" si="1116">(AI295+AH295)/2</f>
        <v>0</v>
      </c>
      <c r="AJ297" s="848">
        <f t="shared" si="1116"/>
        <v>1224.5</v>
      </c>
      <c r="AK297" s="849">
        <f t="shared" si="1116"/>
        <v>2458.5</v>
      </c>
      <c r="AL297" s="848">
        <f t="shared" si="1116"/>
        <v>2488</v>
      </c>
      <c r="AM297" s="848">
        <f t="shared" si="1116"/>
        <v>2598.5</v>
      </c>
      <c r="AN297" s="848">
        <f t="shared" si="1116"/>
        <v>2877</v>
      </c>
      <c r="AO297" s="849">
        <f t="shared" si="1116"/>
        <v>3065</v>
      </c>
      <c r="AP297" s="848">
        <f t="shared" si="1116"/>
        <v>3102</v>
      </c>
      <c r="AQ297" s="848">
        <f t="shared" si="1116"/>
        <v>3236</v>
      </c>
      <c r="AR297" s="848">
        <f t="shared" si="1116"/>
        <v>3460</v>
      </c>
      <c r="AS297" s="849">
        <f t="shared" si="1116"/>
        <v>3587</v>
      </c>
      <c r="AT297" s="848">
        <f t="shared" si="1116"/>
        <v>3603.5</v>
      </c>
      <c r="AU297" s="848">
        <f t="shared" si="1116"/>
        <v>3665.5</v>
      </c>
      <c r="AV297" s="848">
        <f t="shared" si="1116"/>
        <v>3850</v>
      </c>
      <c r="AW297" s="849">
        <f t="shared" si="1116"/>
        <v>4023</v>
      </c>
      <c r="AX297" s="848">
        <f t="shared" si="1116"/>
        <v>4095</v>
      </c>
      <c r="AY297" s="848">
        <f t="shared" si="1116"/>
        <v>4183.5</v>
      </c>
      <c r="AZ297" s="848">
        <f t="shared" si="1116"/>
        <v>4435</v>
      </c>
      <c r="BA297" s="849">
        <f t="shared" si="1116"/>
        <v>4643.875</v>
      </c>
      <c r="BB297" s="848">
        <f t="shared" si="1116"/>
        <v>4657.3649999999998</v>
      </c>
      <c r="BC297" s="848">
        <f t="shared" si="1116"/>
        <v>6834.49</v>
      </c>
      <c r="BD297" s="848">
        <f t="shared" si="1116"/>
        <v>9132.5</v>
      </c>
      <c r="BE297" s="849">
        <f t="shared" si="1116"/>
        <v>9338.5</v>
      </c>
      <c r="BF297" s="848">
        <f t="shared" si="1116"/>
        <v>9490</v>
      </c>
      <c r="BG297" s="848">
        <f t="shared" si="1116"/>
        <v>9707</v>
      </c>
      <c r="BH297" s="848">
        <f t="shared" si="1116"/>
        <v>10198.5</v>
      </c>
      <c r="BI297" s="849">
        <f t="shared" si="1116"/>
        <v>10807</v>
      </c>
      <c r="BJ297" s="848">
        <f t="shared" si="1116"/>
        <v>11242</v>
      </c>
      <c r="BK297" s="848">
        <f t="shared" si="1116"/>
        <v>11428.5</v>
      </c>
      <c r="BL297" s="848">
        <f t="shared" si="1116"/>
        <v>12141</v>
      </c>
      <c r="BM297" s="849">
        <f t="shared" si="1116"/>
        <v>13085.5</v>
      </c>
      <c r="BN297" s="56">
        <f>(BN295+EM295)/2</f>
        <v>13320.5</v>
      </c>
      <c r="BO297" s="56">
        <f>(BO295+BN295)/2</f>
        <v>13397</v>
      </c>
      <c r="BP297" s="56">
        <f>(BP295+BO295)/2</f>
        <v>13520</v>
      </c>
      <c r="BQ297" s="828">
        <f>(BQ295+BP295)/2</f>
        <v>13589.522418050001</v>
      </c>
      <c r="BR297" s="56">
        <f>(BR295+EN295)/2</f>
        <v>13659.022418050001</v>
      </c>
      <c r="BS297" s="56">
        <f>(BS295+BR295)/2</f>
        <v>13886.5</v>
      </c>
      <c r="BT297" s="56">
        <f>(BT295+BS295)/2</f>
        <v>14163</v>
      </c>
      <c r="BU297" s="828">
        <f>(BU295+BT295)/2</f>
        <v>14346.5</v>
      </c>
      <c r="BV297" s="56">
        <f>(BV295+EO295)/2</f>
        <v>14434</v>
      </c>
      <c r="BW297" s="56">
        <f>(BW295+BV295)/2</f>
        <v>14715</v>
      </c>
      <c r="BX297" s="56">
        <f>(BX295+BW295)/2</f>
        <v>15239.5</v>
      </c>
      <c r="BY297" s="828">
        <f>(BY295+BX295)/2</f>
        <v>15662</v>
      </c>
      <c r="BZ297" s="56">
        <f>(BZ295+EN295)/2</f>
        <v>13659.022418050001</v>
      </c>
      <c r="CA297" s="56">
        <f>(CA295+BZ295)/2</f>
        <v>13886.5</v>
      </c>
      <c r="CB297" s="56">
        <f>(CB295+CA295)/2</f>
        <v>14163</v>
      </c>
      <c r="CC297" s="828">
        <f>(CC295+CB295)/2</f>
        <v>14346.5</v>
      </c>
      <c r="CD297" s="56">
        <f>(CD295+EQ295)/2</f>
        <v>14434</v>
      </c>
      <c r="CE297" s="56">
        <f>(CE295+CD295)/2</f>
        <v>14715</v>
      </c>
      <c r="CF297" s="56">
        <f>(CF295+CE295)/2</f>
        <v>15239.5</v>
      </c>
      <c r="CG297" s="828">
        <f>(CG295+CF295)/2</f>
        <v>15662</v>
      </c>
      <c r="CH297" s="56">
        <f>(CH295+ER295)/2</f>
        <v>15868.5</v>
      </c>
      <c r="CI297" s="56">
        <f>(CI295+CH295)/2</f>
        <v>15981</v>
      </c>
      <c r="CJ297" s="56">
        <f>(CJ295+CI295)/2</f>
        <v>16229.5</v>
      </c>
      <c r="CK297" s="828">
        <f>(CK295+CJ295)/2</f>
        <v>15715.5</v>
      </c>
      <c r="CL297" s="56">
        <f>(CL295+(CG295-BY279))/2</f>
        <v>10485.5</v>
      </c>
      <c r="CM297" s="56">
        <f>(CM295+CL295)/2</f>
        <v>6635</v>
      </c>
      <c r="CN297" s="56">
        <f>(CN295+CM295)/2</f>
        <v>6687</v>
      </c>
      <c r="CO297" s="828">
        <f>(CO295+CN295)/2</f>
        <v>6679</v>
      </c>
      <c r="CP297" s="56">
        <f>(CP295+ES295)/2</f>
        <v>10833.5</v>
      </c>
      <c r="CQ297" s="56">
        <f>(CQ295+CP295)/2</f>
        <v>6635</v>
      </c>
      <c r="CR297" s="56">
        <f>(CR295+CQ295)/2</f>
        <v>6687</v>
      </c>
      <c r="CS297" s="828">
        <f>(CS295+CR295)/2</f>
        <v>6679</v>
      </c>
      <c r="CT297" s="56">
        <f>(CT295+ET295)/2</f>
        <v>6636</v>
      </c>
      <c r="CU297" s="56">
        <f>(CU295+CT295)/2</f>
        <v>6586</v>
      </c>
      <c r="CV297" s="56">
        <f>(CV295+CU295)/2</f>
        <v>6548</v>
      </c>
      <c r="CW297" s="828">
        <f>(CW295+CV295)/2</f>
        <v>6515</v>
      </c>
      <c r="CX297" s="56">
        <f>(CX295+CW295)/2</f>
        <v>5499.5</v>
      </c>
      <c r="CY297" s="56">
        <f t="shared" ref="CY297:DE297" si="1117">(CY295+CX295)/2</f>
        <v>4529</v>
      </c>
      <c r="CZ297" s="56">
        <f t="shared" si="1117"/>
        <v>4528.5</v>
      </c>
      <c r="DA297" s="828">
        <f t="shared" si="1117"/>
        <v>4535.5</v>
      </c>
      <c r="DB297" s="56">
        <f t="shared" si="1117"/>
        <v>4526.5</v>
      </c>
      <c r="DC297" s="56">
        <f t="shared" si="1117"/>
        <v>4509</v>
      </c>
      <c r="DD297" s="56">
        <f t="shared" si="1117"/>
        <v>4507</v>
      </c>
      <c r="DE297" s="828">
        <f t="shared" si="1117"/>
        <v>4508</v>
      </c>
      <c r="DF297" s="56">
        <f t="shared" ref="DF297:DM297" si="1118">(DF295+DE295)/2</f>
        <v>4510</v>
      </c>
      <c r="DG297" s="56">
        <f t="shared" si="1118"/>
        <v>4530</v>
      </c>
      <c r="DH297" s="56">
        <f t="shared" si="1118"/>
        <v>4558.5</v>
      </c>
      <c r="DI297" s="828">
        <f t="shared" si="1118"/>
        <v>4567</v>
      </c>
      <c r="DJ297" s="1698">
        <f t="shared" si="1118"/>
        <v>4567</v>
      </c>
      <c r="DK297" s="830">
        <f t="shared" si="1118"/>
        <v>4567</v>
      </c>
      <c r="DL297" s="830">
        <f t="shared" si="1118"/>
        <v>4567</v>
      </c>
      <c r="DM297" s="828">
        <f t="shared" si="1118"/>
        <v>4567</v>
      </c>
      <c r="DN297" s="594"/>
      <c r="DO297" s="537"/>
      <c r="DP297" s="57"/>
      <c r="DQ297" s="57"/>
      <c r="DR297" s="57"/>
      <c r="DS297" s="57"/>
      <c r="DT297" s="57"/>
      <c r="DU297" s="57"/>
      <c r="DV297" s="57"/>
      <c r="DW297" s="57"/>
      <c r="DX297" s="57"/>
      <c r="DY297" s="57"/>
      <c r="DZ297" s="57"/>
      <c r="EA297" s="57"/>
      <c r="EB297" s="57"/>
      <c r="EC297" s="57"/>
      <c r="ED297" s="57"/>
      <c r="EE297" s="63"/>
      <c r="EF297" s="92">
        <f>AVERAGE(AH297:AK297)</f>
        <v>920.75</v>
      </c>
      <c r="EG297" s="92">
        <f t="shared" ref="EG297:EP297" si="1119">(EG295+EF295)/2</f>
        <v>2766.5</v>
      </c>
      <c r="EH297" s="92">
        <f t="shared" si="1119"/>
        <v>3326</v>
      </c>
      <c r="EI297" s="92">
        <f t="shared" si="1119"/>
        <v>3822</v>
      </c>
      <c r="EJ297" s="92">
        <f t="shared" si="1119"/>
        <v>4354.375</v>
      </c>
      <c r="EK297" s="92">
        <f t="shared" si="1119"/>
        <v>7034.875</v>
      </c>
      <c r="EL297" s="92">
        <f t="shared" si="1119"/>
        <v>10243.5</v>
      </c>
      <c r="EM297" s="92">
        <f t="shared" si="1119"/>
        <v>12200</v>
      </c>
      <c r="EN297" s="57">
        <f t="shared" si="1119"/>
        <v>13477.022418050001</v>
      </c>
      <c r="EO297" s="57">
        <f t="shared" si="1119"/>
        <v>14034.022418050001</v>
      </c>
      <c r="EP297" s="57">
        <f t="shared" si="1119"/>
        <v>15148.5</v>
      </c>
      <c r="EQ297" s="57">
        <f>(EQ295+EN295)/2</f>
        <v>14034.022418050001</v>
      </c>
      <c r="ER297" s="57">
        <f>(ER295+EQ295)/2</f>
        <v>15148.5</v>
      </c>
      <c r="ES297" s="57">
        <f>(ES295+ER295)/2</f>
        <v>15450.5</v>
      </c>
      <c r="ET297" s="57">
        <f>(ET295+(CI295-CI279))/2</f>
        <v>10612.5</v>
      </c>
      <c r="EU297" s="57">
        <f t="shared" ref="EU297:EZ297" si="1120">(EU295+ET295)/2</f>
        <v>6636</v>
      </c>
      <c r="EV297" s="57">
        <f t="shared" si="1120"/>
        <v>6553</v>
      </c>
      <c r="EW297" s="57">
        <f t="shared" si="1120"/>
        <v>5506.5</v>
      </c>
      <c r="EX297" s="57">
        <f t="shared" si="1120"/>
        <v>4526.5</v>
      </c>
      <c r="EY297" s="57">
        <f t="shared" si="1120"/>
        <v>4538.5</v>
      </c>
      <c r="EZ297" s="1744">
        <f t="shared" si="1120"/>
        <v>4567</v>
      </c>
      <c r="FA297" s="23">
        <f t="shared" ref="FA297:FH297" si="1121">AVERAGE(EZ295:FA295)</f>
        <v>4572.3228438228434</v>
      </c>
      <c r="FB297" s="23">
        <f t="shared" si="1121"/>
        <v>4588.2913752913755</v>
      </c>
      <c r="FC297" s="23">
        <f t="shared" si="1121"/>
        <v>4609.582750582751</v>
      </c>
      <c r="FD297" s="23">
        <f t="shared" si="1121"/>
        <v>4630.8741258741256</v>
      </c>
      <c r="FE297" s="23">
        <f t="shared" si="1121"/>
        <v>4652.1655011655012</v>
      </c>
      <c r="FF297" s="23">
        <f t="shared" si="1121"/>
        <v>4673.4568764568767</v>
      </c>
      <c r="FG297" s="23">
        <f t="shared" si="1121"/>
        <v>4694.7482517482513</v>
      </c>
      <c r="FH297" s="23">
        <f t="shared" si="1121"/>
        <v>4716.0396270396268</v>
      </c>
      <c r="FI297" s="1383"/>
      <c r="FJ297"/>
      <c r="FK297"/>
      <c r="FL297"/>
      <c r="FM297"/>
      <c r="FN297"/>
      <c r="FO297"/>
      <c r="FP297" s="3"/>
      <c r="FS297" s="782"/>
      <c r="FT297" s="782"/>
      <c r="FU297"/>
      <c r="FV297"/>
      <c r="FW297" s="782"/>
      <c r="FX297" s="782"/>
      <c r="FY297" s="782"/>
      <c r="FZ297"/>
      <c r="GA297"/>
      <c r="GB297"/>
      <c r="GC297"/>
      <c r="GD297"/>
      <c r="GE297"/>
      <c r="GF297"/>
      <c r="GG297"/>
      <c r="GH297"/>
      <c r="GI297"/>
      <c r="GJ297"/>
      <c r="GK297"/>
      <c r="GL297"/>
      <c r="GM297"/>
      <c r="GN297"/>
      <c r="GO297"/>
      <c r="GP297"/>
      <c r="GQ297"/>
      <c r="GR297"/>
      <c r="GS297"/>
      <c r="GT297"/>
      <c r="GU297"/>
      <c r="GV297"/>
      <c r="GW297"/>
      <c r="GX297"/>
      <c r="GY297"/>
      <c r="GZ297"/>
      <c r="HA297"/>
      <c r="HB297"/>
      <c r="HC297"/>
      <c r="HD297"/>
      <c r="HE297"/>
      <c r="HF297"/>
      <c r="HG297"/>
      <c r="HH297"/>
      <c r="HI297"/>
      <c r="HJ297"/>
      <c r="HK297"/>
      <c r="HL297"/>
      <c r="HM297"/>
      <c r="HN297"/>
      <c r="HO297"/>
      <c r="HP297"/>
      <c r="HQ297"/>
      <c r="HR297"/>
      <c r="HS297"/>
      <c r="HT297"/>
      <c r="HU297"/>
      <c r="HV297"/>
      <c r="HW297"/>
      <c r="HX297"/>
      <c r="HY297"/>
      <c r="HZ297"/>
      <c r="IA297"/>
      <c r="IB297"/>
      <c r="IC297"/>
      <c r="ID297"/>
      <c r="IE297"/>
      <c r="IF297"/>
      <c r="IG297"/>
      <c r="IH297"/>
      <c r="II297"/>
      <c r="IJ297"/>
      <c r="IK297"/>
      <c r="IL297"/>
      <c r="IM297"/>
      <c r="IN297"/>
      <c r="IO297"/>
      <c r="IP297"/>
      <c r="IQ297"/>
      <c r="IR297"/>
      <c r="IS297"/>
      <c r="IT297"/>
      <c r="IU297"/>
      <c r="IV297"/>
      <c r="IW297"/>
      <c r="IX297"/>
      <c r="IY297"/>
      <c r="IZ297"/>
    </row>
    <row r="298" spans="1:260" s="4" customFormat="1" x14ac:dyDescent="0.2">
      <c r="A298" s="25" t="s">
        <v>482</v>
      </c>
      <c r="B298" s="25"/>
      <c r="C298" s="25"/>
      <c r="D298" s="25"/>
      <c r="E298" s="477"/>
      <c r="F298" s="25"/>
      <c r="G298" s="25"/>
      <c r="H298" s="25"/>
      <c r="I298" s="477"/>
      <c r="J298" s="25"/>
      <c r="K298" s="25"/>
      <c r="L298" s="25"/>
      <c r="M298" s="477"/>
      <c r="N298" s="25"/>
      <c r="O298" s="25"/>
      <c r="P298" s="25"/>
      <c r="Q298" s="477"/>
      <c r="R298" s="25"/>
      <c r="S298" s="25"/>
      <c r="T298" s="25"/>
      <c r="U298" s="477"/>
      <c r="V298" s="25"/>
      <c r="W298" s="25"/>
      <c r="X298" s="25"/>
      <c r="Y298" s="477"/>
      <c r="Z298" s="25"/>
      <c r="AA298" s="25"/>
      <c r="AB298" s="25"/>
      <c r="AC298" s="477"/>
      <c r="AD298" s="25"/>
      <c r="AE298" s="25"/>
      <c r="AF298" s="25"/>
      <c r="AG298" s="477"/>
      <c r="AH298" s="1269" t="s">
        <v>483</v>
      </c>
      <c r="AI298" s="1269" t="s">
        <v>483</v>
      </c>
      <c r="AJ298" s="1269" t="s">
        <v>483</v>
      </c>
      <c r="AK298" s="556" t="s">
        <v>483</v>
      </c>
      <c r="AL298" s="1269" t="s">
        <v>483</v>
      </c>
      <c r="AM298" s="1269" t="s">
        <v>483</v>
      </c>
      <c r="AN298" s="15">
        <f t="shared" ref="AN298:BY298" si="1122">AN297/AJ297-1</f>
        <v>1.3495304205798284</v>
      </c>
      <c r="AO298" s="518">
        <f t="shared" si="1122"/>
        <v>0.24669513931258891</v>
      </c>
      <c r="AP298" s="15">
        <f t="shared" si="1122"/>
        <v>0.24678456591639875</v>
      </c>
      <c r="AQ298" s="15">
        <f t="shared" si="1122"/>
        <v>0.24533384644987488</v>
      </c>
      <c r="AR298" s="15">
        <f t="shared" si="1122"/>
        <v>0.20264164059784506</v>
      </c>
      <c r="AS298" s="518">
        <f t="shared" si="1122"/>
        <v>0.17030995106035896</v>
      </c>
      <c r="AT298" s="15">
        <f t="shared" si="1122"/>
        <v>0.16166989039329471</v>
      </c>
      <c r="AU298" s="15">
        <f t="shared" si="1122"/>
        <v>0.1327255871446229</v>
      </c>
      <c r="AV298" s="15">
        <f t="shared" si="1122"/>
        <v>0.11271676300578037</v>
      </c>
      <c r="AW298" s="518">
        <f t="shared" si="1122"/>
        <v>0.12155004181767493</v>
      </c>
      <c r="AX298" s="15">
        <f t="shared" si="1122"/>
        <v>0.13639517136117663</v>
      </c>
      <c r="AY298" s="15">
        <f t="shared" si="1122"/>
        <v>0.14131769199290689</v>
      </c>
      <c r="AZ298" s="15">
        <f t="shared" si="1122"/>
        <v>0.15194805194805205</v>
      </c>
      <c r="BA298" s="518">
        <f t="shared" si="1122"/>
        <v>0.15433134476758648</v>
      </c>
      <c r="BB298" s="15">
        <f t="shared" si="1122"/>
        <v>0.13732967032967025</v>
      </c>
      <c r="BC298" s="15">
        <f t="shared" si="1122"/>
        <v>0.6336775427273813</v>
      </c>
      <c r="BD298" s="15">
        <f t="shared" si="1122"/>
        <v>1.0591882750845545</v>
      </c>
      <c r="BE298" s="518">
        <f t="shared" si="1122"/>
        <v>1.0109283733950636</v>
      </c>
      <c r="BF298" s="15">
        <f t="shared" si="1122"/>
        <v>1.0376328675119946</v>
      </c>
      <c r="BG298" s="15">
        <f t="shared" si="1122"/>
        <v>0.42029617425733301</v>
      </c>
      <c r="BH298" s="15">
        <f t="shared" si="1122"/>
        <v>0.11672597864768686</v>
      </c>
      <c r="BI298" s="518">
        <f t="shared" si="1122"/>
        <v>0.15725223536970612</v>
      </c>
      <c r="BJ298" s="15">
        <f t="shared" si="1122"/>
        <v>0.18461538461538463</v>
      </c>
      <c r="BK298" s="15">
        <f t="shared" si="1122"/>
        <v>0.17734624497785112</v>
      </c>
      <c r="BL298" s="15">
        <f t="shared" si="1122"/>
        <v>0.19046918664509493</v>
      </c>
      <c r="BM298" s="518">
        <f t="shared" si="1122"/>
        <v>0.21083556953826221</v>
      </c>
      <c r="BN298" s="15">
        <f t="shared" si="1122"/>
        <v>0.18488703077744173</v>
      </c>
      <c r="BO298" s="15">
        <f t="shared" si="1122"/>
        <v>0.17224482653016571</v>
      </c>
      <c r="BP298" s="15">
        <f t="shared" si="1122"/>
        <v>0.11358207725887493</v>
      </c>
      <c r="BQ298" s="518">
        <f t="shared" si="1122"/>
        <v>3.8517627759734108E-2</v>
      </c>
      <c r="BR298" s="15">
        <f t="shared" si="1122"/>
        <v>2.5413641984159741E-2</v>
      </c>
      <c r="BS298" s="15">
        <f t="shared" si="1122"/>
        <v>3.6538030902440788E-2</v>
      </c>
      <c r="BT298" s="15">
        <f t="shared" si="1122"/>
        <v>4.7559171597633121E-2</v>
      </c>
      <c r="BU298" s="518">
        <f t="shared" si="1122"/>
        <v>5.5703030515962704E-2</v>
      </c>
      <c r="BV298" s="15">
        <f t="shared" si="1122"/>
        <v>5.6737411963383888E-2</v>
      </c>
      <c r="BW298" s="15">
        <f t="shared" si="1122"/>
        <v>5.9662261909048331E-2</v>
      </c>
      <c r="BX298" s="15">
        <f t="shared" si="1122"/>
        <v>7.6007907929111163E-2</v>
      </c>
      <c r="BY298" s="518">
        <f t="shared" si="1122"/>
        <v>9.1694838462342831E-2</v>
      </c>
      <c r="BZ298" s="15">
        <f>BZ297/BN297-1</f>
        <v>2.5413641984159741E-2</v>
      </c>
      <c r="CA298" s="15">
        <f>CA297/BO297-1</f>
        <v>3.6538030902440788E-2</v>
      </c>
      <c r="CB298" s="15">
        <f>CB297/BP297-1</f>
        <v>4.7559171597633121E-2</v>
      </c>
      <c r="CC298" s="518">
        <f>CC297/BQ297-1</f>
        <v>5.5703030515962704E-2</v>
      </c>
      <c r="CD298" s="15">
        <f t="shared" ref="CD298:CK298" si="1123">CD297/BZ297-1</f>
        <v>5.6737411963383888E-2</v>
      </c>
      <c r="CE298" s="15">
        <f t="shared" si="1123"/>
        <v>5.9662261909048331E-2</v>
      </c>
      <c r="CF298" s="15">
        <f t="shared" si="1123"/>
        <v>7.6007907929111163E-2</v>
      </c>
      <c r="CG298" s="518">
        <f t="shared" si="1123"/>
        <v>9.1694838462342831E-2</v>
      </c>
      <c r="CH298" s="15">
        <f t="shared" si="1123"/>
        <v>9.9383400304835723E-2</v>
      </c>
      <c r="CI298" s="15">
        <f t="shared" si="1123"/>
        <v>8.603465851172265E-2</v>
      </c>
      <c r="CJ298" s="15">
        <f t="shared" si="1123"/>
        <v>6.4962761245447753E-2</v>
      </c>
      <c r="CK298" s="518">
        <f t="shared" si="1123"/>
        <v>3.4159111224620897E-3</v>
      </c>
      <c r="CL298" s="77">
        <f>CL297/CD297-1</f>
        <v>-0.27355549397256473</v>
      </c>
      <c r="CM298" s="77">
        <f>CM297/CE297-1</f>
        <v>-0.54909955827387025</v>
      </c>
      <c r="CN298" s="77">
        <f>CN297/CF297-1</f>
        <v>-0.56120607631483965</v>
      </c>
      <c r="CO298" s="487">
        <f>CO297/CG297-1</f>
        <v>-0.57355382454348103</v>
      </c>
      <c r="CP298" s="77">
        <f t="shared" ref="CP298:CX298" si="1124">CP297/CL297-1</f>
        <v>3.3188689142148675E-2</v>
      </c>
      <c r="CQ298" s="77">
        <f t="shared" si="1124"/>
        <v>0</v>
      </c>
      <c r="CR298" s="77">
        <f t="shared" si="1124"/>
        <v>0</v>
      </c>
      <c r="CS298" s="487">
        <f t="shared" si="1124"/>
        <v>0</v>
      </c>
      <c r="CT298" s="77">
        <f t="shared" si="1124"/>
        <v>-0.3874555776064984</v>
      </c>
      <c r="CU298" s="77">
        <f t="shared" si="1124"/>
        <v>-7.3850791258477377E-3</v>
      </c>
      <c r="CV298" s="77">
        <f t="shared" si="1124"/>
        <v>-2.0786600867354621E-2</v>
      </c>
      <c r="CW298" s="487">
        <f t="shared" si="1124"/>
        <v>-2.4554574038029631E-2</v>
      </c>
      <c r="CX298" s="77">
        <f t="shared" si="1124"/>
        <v>-0.17126280892103674</v>
      </c>
      <c r="CY298" s="77">
        <f t="shared" ref="CY298:DE298" si="1125">CY297/CU297-1</f>
        <v>-0.31232918311570002</v>
      </c>
      <c r="CZ298" s="77">
        <f t="shared" si="1125"/>
        <v>-0.30841478313989001</v>
      </c>
      <c r="DA298" s="487">
        <f t="shared" si="1125"/>
        <v>-0.30383729854182651</v>
      </c>
      <c r="DB298" s="77">
        <f t="shared" si="1125"/>
        <v>-0.17692517501591054</v>
      </c>
      <c r="DC298" s="77">
        <f t="shared" si="1125"/>
        <v>-4.4159858688451736E-3</v>
      </c>
      <c r="DD298" s="77">
        <f t="shared" si="1125"/>
        <v>-4.7477089543999096E-3</v>
      </c>
      <c r="DE298" s="487">
        <f t="shared" si="1125"/>
        <v>-6.0632785800903699E-3</v>
      </c>
      <c r="DF298" s="77">
        <f t="shared" ref="DF298:DM298" si="1126">DF297/DB297-1</f>
        <v>-3.6452004860266785E-3</v>
      </c>
      <c r="DG298" s="77">
        <f t="shared" si="1126"/>
        <v>4.6573519627410853E-3</v>
      </c>
      <c r="DH298" s="77">
        <f t="shared" si="1126"/>
        <v>1.1426669625027808E-2</v>
      </c>
      <c r="DI298" s="487">
        <f t="shared" si="1126"/>
        <v>1.3087843833185397E-2</v>
      </c>
      <c r="DJ298" s="1673">
        <f t="shared" si="1126"/>
        <v>1.263858093126391E-2</v>
      </c>
      <c r="DK298" s="70">
        <f t="shared" si="1126"/>
        <v>8.1677704194260681E-3</v>
      </c>
      <c r="DL298" s="70">
        <f t="shared" si="1126"/>
        <v>1.8646484589228685E-3</v>
      </c>
      <c r="DM298" s="487">
        <f t="shared" si="1126"/>
        <v>0</v>
      </c>
      <c r="DN298" s="580"/>
      <c r="DO298" s="487"/>
      <c r="DP298" s="77"/>
      <c r="DQ298" s="77"/>
      <c r="DR298" s="77"/>
      <c r="DS298" s="77"/>
      <c r="DT298" s="77"/>
      <c r="DU298" s="77"/>
      <c r="DV298" s="77"/>
      <c r="DW298" s="77"/>
      <c r="DX298" s="77"/>
      <c r="DY298" s="77"/>
      <c r="DZ298" s="77"/>
      <c r="EA298" s="77"/>
      <c r="EB298" s="77"/>
      <c r="EC298" s="77"/>
      <c r="ED298" s="77"/>
      <c r="EE298" s="15"/>
      <c r="EF298" s="1269" t="s">
        <v>483</v>
      </c>
      <c r="EG298" s="15">
        <f t="shared" ref="EG298:EP298" si="1127">EG297/EF297-1</f>
        <v>2.0046158023350529</v>
      </c>
      <c r="EH298" s="15">
        <f t="shared" si="1127"/>
        <v>0.2022410988613772</v>
      </c>
      <c r="EI298" s="15">
        <f t="shared" si="1127"/>
        <v>0.14912808177991588</v>
      </c>
      <c r="EJ298" s="15">
        <f t="shared" si="1127"/>
        <v>0.13929225536368395</v>
      </c>
      <c r="EK298" s="15">
        <f t="shared" si="1127"/>
        <v>0.61558777092005168</v>
      </c>
      <c r="EL298" s="15">
        <f t="shared" si="1127"/>
        <v>0.45610263153218789</v>
      </c>
      <c r="EM298" s="15">
        <f t="shared" si="1127"/>
        <v>0.19099917020549606</v>
      </c>
      <c r="EN298" s="15">
        <f t="shared" si="1127"/>
        <v>0.10467396869262302</v>
      </c>
      <c r="EO298" s="15">
        <f t="shared" si="1127"/>
        <v>4.1329604026925093E-2</v>
      </c>
      <c r="EP298" s="15">
        <f t="shared" si="1127"/>
        <v>7.9412555342408542E-2</v>
      </c>
      <c r="EQ298" s="15">
        <f>EQ297/EN297-1</f>
        <v>4.1329604026925093E-2</v>
      </c>
      <c r="ER298" s="15">
        <f>ER297/EQ297-1</f>
        <v>7.9412555342408542E-2</v>
      </c>
      <c r="ES298" s="15">
        <f>ES297/ER297-1</f>
        <v>1.9935967257484144E-2</v>
      </c>
      <c r="ET298" s="77">
        <f>ET297/ER297-1</f>
        <v>-0.29943558768194867</v>
      </c>
      <c r="EU298" s="15">
        <f t="shared" ref="EU298:FC298" si="1128">EU297/ET297-1</f>
        <v>-0.37469964664310951</v>
      </c>
      <c r="EV298" s="15">
        <f t="shared" si="1128"/>
        <v>-1.2507534659433439E-2</v>
      </c>
      <c r="EW298" s="15">
        <f t="shared" si="1128"/>
        <v>-0.15969784831374945</v>
      </c>
      <c r="EX298" s="77">
        <f t="shared" si="1128"/>
        <v>-0.17797148824116948</v>
      </c>
      <c r="EY298" s="77">
        <f t="shared" si="1128"/>
        <v>2.6510548989284732E-3</v>
      </c>
      <c r="EZ298" s="1680">
        <f t="shared" si="1128"/>
        <v>6.2796077999338618E-3</v>
      </c>
      <c r="FA298" s="15">
        <f t="shared" si="1128"/>
        <v>1.1655011655011815E-3</v>
      </c>
      <c r="FB298" s="15">
        <f t="shared" si="1128"/>
        <v>3.4924330616998844E-3</v>
      </c>
      <c r="FC298" s="15">
        <f t="shared" si="1128"/>
        <v>4.6403712296985145E-3</v>
      </c>
      <c r="FD298" s="15">
        <f>FD297/FC297-1</f>
        <v>4.6189376443417363E-3</v>
      </c>
      <c r="FE298" s="15">
        <f>FE297/FD297-1</f>
        <v>4.5977011494253706E-3</v>
      </c>
      <c r="FF298" s="15">
        <f>FF297/FE297-1</f>
        <v>4.5766590389015871E-3</v>
      </c>
      <c r="FG298" s="15">
        <f>FG297/FF297-1</f>
        <v>4.5558086560362199E-3</v>
      </c>
      <c r="FH298" s="15">
        <f>FH297/FG297-1</f>
        <v>4.5351473922903285E-3</v>
      </c>
      <c r="FI298" s="580"/>
      <c r="FJ298"/>
      <c r="FK298"/>
      <c r="FL298"/>
      <c r="FM298"/>
      <c r="FN298"/>
      <c r="FO298"/>
      <c r="FP298" s="3"/>
      <c r="FS298" s="70"/>
      <c r="FT298" s="70"/>
      <c r="FU298"/>
      <c r="FV298"/>
      <c r="FW298" s="70"/>
      <c r="FX298" s="70"/>
      <c r="FY298" s="70"/>
      <c r="FZ298"/>
      <c r="GA298"/>
      <c r="GB298"/>
      <c r="GC298"/>
      <c r="GD298"/>
      <c r="GE298"/>
      <c r="GF298"/>
      <c r="GG298"/>
      <c r="GH298"/>
      <c r="GI298"/>
      <c r="GJ298"/>
      <c r="GK298"/>
      <c r="GL298"/>
      <c r="GM298"/>
      <c r="GN298"/>
      <c r="GO298"/>
      <c r="GP298"/>
      <c r="GQ298"/>
      <c r="GR298"/>
      <c r="GS298"/>
      <c r="GT298"/>
      <c r="GU298"/>
      <c r="GV298"/>
      <c r="GW298"/>
      <c r="GX298"/>
      <c r="GY298"/>
      <c r="GZ298"/>
      <c r="HA298"/>
      <c r="HB298"/>
      <c r="HC298"/>
      <c r="HD298"/>
      <c r="HE298"/>
      <c r="HF298"/>
      <c r="HG298"/>
      <c r="HH298"/>
      <c r="HI298"/>
      <c r="HJ298"/>
      <c r="HK298"/>
      <c r="HL298"/>
      <c r="HM298"/>
      <c r="HN298"/>
      <c r="HO298"/>
      <c r="HP298"/>
      <c r="HQ298"/>
      <c r="HR298"/>
      <c r="HS298"/>
      <c r="HT298"/>
      <c r="HU298"/>
      <c r="HV298"/>
      <c r="HW298"/>
      <c r="HX298"/>
      <c r="HY298"/>
      <c r="HZ298"/>
      <c r="IA298"/>
      <c r="IB298"/>
      <c r="IC298"/>
      <c r="ID298"/>
      <c r="IE298"/>
      <c r="IF298"/>
      <c r="IG298"/>
      <c r="IH298"/>
      <c r="II298"/>
      <c r="IJ298"/>
      <c r="IK298"/>
      <c r="IL298"/>
      <c r="IM298"/>
      <c r="IN298"/>
      <c r="IO298"/>
      <c r="IP298"/>
      <c r="IQ298"/>
      <c r="IR298"/>
      <c r="IS298"/>
      <c r="IT298"/>
      <c r="IU298"/>
      <c r="IV298"/>
      <c r="IW298"/>
      <c r="IX298"/>
      <c r="IY298"/>
      <c r="IZ298"/>
    </row>
    <row r="299" spans="1:260" s="4" customFormat="1" x14ac:dyDescent="0.2">
      <c r="A299" s="20" t="s">
        <v>337</v>
      </c>
      <c r="B299" s="855"/>
      <c r="C299" s="855"/>
      <c r="D299" s="855"/>
      <c r="E299" s="856"/>
      <c r="F299" s="855"/>
      <c r="G299" s="855"/>
      <c r="H299" s="855"/>
      <c r="I299" s="856"/>
      <c r="J299" s="855"/>
      <c r="K299" s="855"/>
      <c r="L299" s="855"/>
      <c r="M299" s="856"/>
      <c r="N299" s="855"/>
      <c r="O299" s="855"/>
      <c r="P299" s="855"/>
      <c r="Q299" s="856"/>
      <c r="R299" s="855"/>
      <c r="S299" s="855"/>
      <c r="T299" s="855"/>
      <c r="U299" s="856"/>
      <c r="V299" s="855"/>
      <c r="W299" s="855"/>
      <c r="X299" s="855"/>
      <c r="Y299" s="856"/>
      <c r="Z299" s="855"/>
      <c r="AA299" s="855"/>
      <c r="AB299" s="855"/>
      <c r="AC299" s="856"/>
      <c r="AD299" s="855"/>
      <c r="AE299" s="855"/>
      <c r="AF299" s="855"/>
      <c r="AG299" s="856"/>
      <c r="AH299" s="848">
        <f t="shared" ref="AH299:BM299" si="1129">AH295/AH290*1000</f>
        <v>0</v>
      </c>
      <c r="AI299" s="848">
        <f t="shared" si="1129"/>
        <v>0</v>
      </c>
      <c r="AJ299" s="848">
        <f t="shared" si="1129"/>
        <v>26912.087912087911</v>
      </c>
      <c r="AK299" s="849">
        <f t="shared" si="1129"/>
        <v>27120.879120879119</v>
      </c>
      <c r="AL299" s="848">
        <f t="shared" si="1129"/>
        <v>26967.741935483871</v>
      </c>
      <c r="AM299" s="848">
        <f t="shared" si="1129"/>
        <v>27721.649484536083</v>
      </c>
      <c r="AN299" s="848">
        <f t="shared" si="1129"/>
        <v>28379.629629629631</v>
      </c>
      <c r="AO299" s="849">
        <f t="shared" si="1129"/>
        <v>28379.629629629631</v>
      </c>
      <c r="AP299" s="848">
        <f t="shared" si="1129"/>
        <v>27535.087719298248</v>
      </c>
      <c r="AQ299" s="848">
        <f t="shared" si="1129"/>
        <v>27775</v>
      </c>
      <c r="AR299" s="848">
        <f t="shared" si="1129"/>
        <v>28244.094488188977</v>
      </c>
      <c r="AS299" s="849">
        <f t="shared" si="1129"/>
        <v>28244.094488188977</v>
      </c>
      <c r="AT299" s="848">
        <f t="shared" si="1129"/>
        <v>28281.25</v>
      </c>
      <c r="AU299" s="848">
        <f t="shared" si="1129"/>
        <v>28328.244274809163</v>
      </c>
      <c r="AV299" s="848">
        <f t="shared" si="1129"/>
        <v>28091.549295774646</v>
      </c>
      <c r="AW299" s="849">
        <f t="shared" si="1129"/>
        <v>28173.611111111109</v>
      </c>
      <c r="AX299" s="848">
        <f t="shared" si="1129"/>
        <v>28115.646258503399</v>
      </c>
      <c r="AY299" s="848">
        <f t="shared" si="1129"/>
        <v>28226.666666666668</v>
      </c>
      <c r="AZ299" s="848">
        <f t="shared" si="1129"/>
        <v>27927.710843373494</v>
      </c>
      <c r="BA299" s="849">
        <f t="shared" si="1129"/>
        <v>27854.790419161676</v>
      </c>
      <c r="BB299" s="848">
        <f t="shared" si="1129"/>
        <v>27591.597633136094</v>
      </c>
      <c r="BC299" s="848">
        <f t="shared" si="1129"/>
        <v>30632.65306122449</v>
      </c>
      <c r="BD299" s="848">
        <f t="shared" si="1129"/>
        <v>30760.797342192691</v>
      </c>
      <c r="BE299" s="849">
        <f t="shared" si="1129"/>
        <v>30980.263157894737</v>
      </c>
      <c r="BF299" s="848">
        <f t="shared" si="1129"/>
        <v>31146.579804560261</v>
      </c>
      <c r="BG299" s="848">
        <f t="shared" si="1129"/>
        <v>31078.864353312303</v>
      </c>
      <c r="BH299" s="848">
        <f t="shared" si="1129"/>
        <v>31762.048192771083</v>
      </c>
      <c r="BI299" s="849">
        <f t="shared" si="1129"/>
        <v>32271.137026239066</v>
      </c>
      <c r="BJ299" s="848">
        <f t="shared" si="1129"/>
        <v>32991.329479768785</v>
      </c>
      <c r="BK299" s="848">
        <f t="shared" si="1129"/>
        <v>32974.063400576371</v>
      </c>
      <c r="BL299" s="848">
        <f t="shared" si="1129"/>
        <v>4600.5016123253317</v>
      </c>
      <c r="BM299" s="849">
        <f t="shared" si="1129"/>
        <v>4702.2927689594353</v>
      </c>
      <c r="BN299" s="56">
        <f t="shared" ref="BN299:CX299" si="1130">BN295/BN290*1000</f>
        <v>4703.1802120141338</v>
      </c>
      <c r="BO299" s="56">
        <f t="shared" si="1130"/>
        <v>4769.7205518217197</v>
      </c>
      <c r="BP299" s="56">
        <f t="shared" si="1130"/>
        <v>4788.4139879901095</v>
      </c>
      <c r="BQ299" s="828">
        <f t="shared" si="1130"/>
        <v>4805.3068204938272</v>
      </c>
      <c r="BR299" s="56">
        <f t="shared" si="1130"/>
        <v>4865.008880994671</v>
      </c>
      <c r="BS299" s="56">
        <f t="shared" si="1130"/>
        <v>4967.5370501058569</v>
      </c>
      <c r="BT299" s="56">
        <f t="shared" si="1130"/>
        <v>5034.6289752650173</v>
      </c>
      <c r="BU299" s="828">
        <f t="shared" si="1130"/>
        <v>5059.5446584938709</v>
      </c>
      <c r="BV299" s="56">
        <f t="shared" si="1130"/>
        <v>5067.8144764581866</v>
      </c>
      <c r="BW299" s="56">
        <f t="shared" si="1130"/>
        <v>5214.384989576095</v>
      </c>
      <c r="BX299" s="56">
        <f t="shared" si="1130"/>
        <v>5315.0120233596699</v>
      </c>
      <c r="BY299" s="828">
        <f t="shared" si="1130"/>
        <v>5540.7200279622502</v>
      </c>
      <c r="BZ299" s="56">
        <f t="shared" si="1130"/>
        <v>4865.008880994671</v>
      </c>
      <c r="CA299" s="56">
        <f t="shared" si="1130"/>
        <v>4967.5370501058569</v>
      </c>
      <c r="CB299" s="56">
        <f t="shared" si="1130"/>
        <v>5034.6289752650173</v>
      </c>
      <c r="CC299" s="828">
        <f t="shared" si="1130"/>
        <v>5059.5446584938709</v>
      </c>
      <c r="CD299" s="56">
        <f t="shared" si="1130"/>
        <v>5067.8144764581866</v>
      </c>
      <c r="CE299" s="56">
        <f t="shared" si="1130"/>
        <v>5214.384989576095</v>
      </c>
      <c r="CF299" s="56">
        <f t="shared" si="1130"/>
        <v>5315.0120233596699</v>
      </c>
      <c r="CG299" s="828">
        <f t="shared" si="1130"/>
        <v>5540.7200279622502</v>
      </c>
      <c r="CH299" s="56">
        <f t="shared" si="1130"/>
        <v>5540.634809905825</v>
      </c>
      <c r="CI299" s="56">
        <f t="shared" si="1130"/>
        <v>5629.2016806722686</v>
      </c>
      <c r="CJ299" s="56">
        <f t="shared" si="1130"/>
        <v>5662.633944002765</v>
      </c>
      <c r="CK299" s="828">
        <f t="shared" si="1130"/>
        <v>5230.7959680222448</v>
      </c>
      <c r="CL299" s="56">
        <f t="shared" si="1130"/>
        <v>23551.601423487544</v>
      </c>
      <c r="CM299" s="56">
        <f t="shared" si="1130"/>
        <v>23588.652482269503</v>
      </c>
      <c r="CN299" s="56">
        <f t="shared" si="1130"/>
        <v>23503.496503496503</v>
      </c>
      <c r="CO299" s="828">
        <f t="shared" si="1130"/>
        <v>23366.197183098593</v>
      </c>
      <c r="CP299" s="56">
        <f t="shared" si="1130"/>
        <v>23551.601423487544</v>
      </c>
      <c r="CQ299" s="56">
        <f t="shared" si="1130"/>
        <v>23588.652482269503</v>
      </c>
      <c r="CR299" s="56">
        <f t="shared" si="1130"/>
        <v>23503.496503496503</v>
      </c>
      <c r="CS299" s="828">
        <f t="shared" si="1130"/>
        <v>23366.197183098593</v>
      </c>
      <c r="CT299" s="56">
        <f t="shared" si="1130"/>
        <v>23366.197183098593</v>
      </c>
      <c r="CU299" s="56">
        <f t="shared" si="1130"/>
        <v>23177.304964539009</v>
      </c>
      <c r="CV299" s="56">
        <f t="shared" si="1130"/>
        <v>23098.591549295776</v>
      </c>
      <c r="CW299" s="828">
        <f>CW295/CW290*1000</f>
        <v>23024.911032028471</v>
      </c>
      <c r="CX299" s="56">
        <f t="shared" si="1130"/>
        <v>21065.116279069767</v>
      </c>
      <c r="CY299" s="56">
        <f t="shared" ref="CY299:DE299" si="1131">CY295/CY290*1000</f>
        <v>21065.116279069767</v>
      </c>
      <c r="CZ299" s="56">
        <f t="shared" si="1131"/>
        <v>21060.465116279069</v>
      </c>
      <c r="DA299" s="828">
        <f>DA295/DA290*1000</f>
        <v>21032.407407407409</v>
      </c>
      <c r="DB299" s="56">
        <f>DB295/DB290*1000</f>
        <v>20976.744186046515</v>
      </c>
      <c r="DC299" s="56">
        <f t="shared" si="1131"/>
        <v>21164.31924882629</v>
      </c>
      <c r="DD299" s="56">
        <f t="shared" si="1131"/>
        <v>21355.450236966823</v>
      </c>
      <c r="DE299" s="828">
        <f t="shared" si="1131"/>
        <v>21273.584905660377</v>
      </c>
      <c r="DF299" s="56">
        <f t="shared" ref="DF299:DM299" si="1132">DF295/DF290*1000</f>
        <v>21273.584905660377</v>
      </c>
      <c r="DG299" s="56">
        <f t="shared" si="1132"/>
        <v>21361.502347417842</v>
      </c>
      <c r="DH299" s="56">
        <f t="shared" si="1132"/>
        <v>21341.121495327101</v>
      </c>
      <c r="DI299" s="828">
        <f t="shared" si="1132"/>
        <v>21241.860465116279</v>
      </c>
      <c r="DJ299" s="1698">
        <f t="shared" si="1132"/>
        <v>21241.860465116279</v>
      </c>
      <c r="DK299" s="830">
        <f t="shared" si="1132"/>
        <v>21241.860465116279</v>
      </c>
      <c r="DL299" s="830">
        <f t="shared" si="1132"/>
        <v>21241.860465116279</v>
      </c>
      <c r="DM299" s="828">
        <f t="shared" si="1132"/>
        <v>21341.121495327101</v>
      </c>
      <c r="DN299" s="594"/>
      <c r="DO299" s="537"/>
      <c r="DP299" s="57"/>
      <c r="DQ299" s="57"/>
      <c r="DR299" s="57"/>
      <c r="DS299" s="57"/>
      <c r="DT299" s="57"/>
      <c r="DU299" s="57"/>
      <c r="DV299" s="57"/>
      <c r="DW299" s="57"/>
      <c r="DX299" s="57"/>
      <c r="DY299" s="57"/>
      <c r="DZ299" s="57"/>
      <c r="EA299" s="57"/>
      <c r="EB299" s="57"/>
      <c r="EC299" s="57"/>
      <c r="ED299" s="57"/>
      <c r="EE299" s="63"/>
      <c r="EF299" s="92">
        <f t="shared" ref="EF299:FC299" si="1133">EF295/EF290*1000</f>
        <v>27120.879120879119</v>
      </c>
      <c r="EG299" s="92">
        <f t="shared" si="1133"/>
        <v>28379.629629629631</v>
      </c>
      <c r="EH299" s="92">
        <f t="shared" si="1133"/>
        <v>28244.094488188977</v>
      </c>
      <c r="EI299" s="92">
        <f t="shared" si="1133"/>
        <v>28173.611111111109</v>
      </c>
      <c r="EJ299" s="92">
        <f t="shared" si="1133"/>
        <v>27854.790419161676</v>
      </c>
      <c r="EK299" s="92">
        <f t="shared" si="1133"/>
        <v>30980.263157894737</v>
      </c>
      <c r="EL299" s="92">
        <f t="shared" si="1133"/>
        <v>32271.137026239066</v>
      </c>
      <c r="EM299" s="92">
        <f t="shared" si="1133"/>
        <v>4702.2927689594353</v>
      </c>
      <c r="EN299" s="57">
        <f t="shared" si="1133"/>
        <v>4805.3068204938272</v>
      </c>
      <c r="EO299" s="57">
        <f t="shared" si="1133"/>
        <v>5059.5446584938709</v>
      </c>
      <c r="EP299" s="57">
        <f t="shared" si="1133"/>
        <v>5540.7200279622502</v>
      </c>
      <c r="EQ299" s="57">
        <f t="shared" si="1133"/>
        <v>5059.5446584938709</v>
      </c>
      <c r="ER299" s="57">
        <f t="shared" si="1133"/>
        <v>5540.7200279622502</v>
      </c>
      <c r="ES299" s="57">
        <f t="shared" si="1133"/>
        <v>5232.6147426981915</v>
      </c>
      <c r="ET299" s="57">
        <f t="shared" si="1133"/>
        <v>23366.197183098593</v>
      </c>
      <c r="EU299" s="57">
        <f t="shared" si="1133"/>
        <v>23366.197183098593</v>
      </c>
      <c r="EV299" s="57">
        <f t="shared" si="1133"/>
        <v>23024.911032028471</v>
      </c>
      <c r="EW299" s="57">
        <f>EW295/EW290*1000</f>
        <v>21032.407407407409</v>
      </c>
      <c r="EX299" s="57">
        <f>EX295/EX290*1000</f>
        <v>21273.584905660377</v>
      </c>
      <c r="EY299" s="57">
        <f>EY295/EY290*1000</f>
        <v>21241.860465116279</v>
      </c>
      <c r="EZ299" s="1744">
        <f>EZ295/EZ290*1000</f>
        <v>21341.121495327101</v>
      </c>
      <c r="FA299" s="23">
        <f t="shared" si="1133"/>
        <v>21291.375291375291</v>
      </c>
      <c r="FB299" s="23">
        <f t="shared" si="1133"/>
        <v>21291.375291375291</v>
      </c>
      <c r="FC299" s="23">
        <f t="shared" si="1133"/>
        <v>21291.375291375291</v>
      </c>
      <c r="FD299" s="23">
        <f>FD295/FD290*1000</f>
        <v>21291.375291375291</v>
      </c>
      <c r="FE299" s="23">
        <f>FE295/FE290*1000</f>
        <v>21291.375291375291</v>
      </c>
      <c r="FF299" s="23">
        <f>FF295/FF290*1000</f>
        <v>21291.375291375291</v>
      </c>
      <c r="FG299" s="23">
        <f>FG295/FG290*1000</f>
        <v>21291.375291375291</v>
      </c>
      <c r="FH299" s="23">
        <f>FH295/FH290*1000</f>
        <v>21291.375291375291</v>
      </c>
      <c r="FI299" s="1383"/>
      <c r="FJ299"/>
      <c r="FK299"/>
      <c r="FL299"/>
      <c r="FM299"/>
      <c r="FN299"/>
      <c r="FO299"/>
      <c r="FP299" s="3"/>
      <c r="FS299" s="782"/>
      <c r="FT299" s="782"/>
      <c r="FU299"/>
      <c r="FV299"/>
      <c r="FW299" s="782"/>
      <c r="FX299" s="782"/>
      <c r="FY299" s="782"/>
      <c r="FZ299"/>
      <c r="GA299"/>
      <c r="GB299"/>
      <c r="GC299"/>
      <c r="GD299"/>
      <c r="GE299"/>
      <c r="GF299"/>
      <c r="GG299"/>
      <c r="GH299"/>
      <c r="GI299"/>
      <c r="GJ299"/>
      <c r="GK299"/>
      <c r="GL299"/>
      <c r="GM299"/>
      <c r="GN299"/>
      <c r="GO299"/>
      <c r="GP299"/>
      <c r="GQ299"/>
      <c r="GR299"/>
      <c r="GS299"/>
      <c r="GT299"/>
      <c r="GU299"/>
      <c r="GV299"/>
      <c r="GW299"/>
      <c r="GX299"/>
      <c r="GY299"/>
      <c r="GZ299"/>
      <c r="HA299"/>
      <c r="HB299"/>
      <c r="HC299"/>
      <c r="HD299"/>
      <c r="HE299"/>
      <c r="HF299"/>
      <c r="HG299"/>
      <c r="HH299"/>
      <c r="HI299"/>
      <c r="HJ299"/>
      <c r="HK299"/>
      <c r="HL299"/>
      <c r="HM299"/>
      <c r="HN299"/>
      <c r="HO299"/>
      <c r="HP299"/>
      <c r="HQ299"/>
      <c r="HR299"/>
      <c r="HS299"/>
      <c r="HT299"/>
      <c r="HU299"/>
      <c r="HV299"/>
      <c r="HW299"/>
      <c r="HX299"/>
      <c r="HY299"/>
      <c r="HZ299"/>
      <c r="IA299"/>
      <c r="IB299"/>
      <c r="IC299"/>
      <c r="ID299"/>
      <c r="IE299"/>
      <c r="IF299"/>
      <c r="IG299"/>
      <c r="IH299"/>
      <c r="II299"/>
      <c r="IJ299"/>
      <c r="IK299"/>
      <c r="IL299"/>
      <c r="IM299"/>
      <c r="IN299"/>
      <c r="IO299"/>
      <c r="IP299"/>
      <c r="IQ299"/>
      <c r="IR299"/>
      <c r="IS299"/>
      <c r="IT299"/>
      <c r="IU299"/>
      <c r="IV299"/>
      <c r="IW299"/>
      <c r="IX299"/>
      <c r="IY299"/>
      <c r="IZ299"/>
    </row>
    <row r="300" spans="1:260" s="4" customFormat="1" x14ac:dyDescent="0.2">
      <c r="A300" s="25" t="s">
        <v>482</v>
      </c>
      <c r="B300" s="25"/>
      <c r="C300" s="25"/>
      <c r="D300" s="25"/>
      <c r="E300" s="477"/>
      <c r="F300" s="25"/>
      <c r="G300" s="25"/>
      <c r="H300" s="25"/>
      <c r="I300" s="477"/>
      <c r="J300" s="25"/>
      <c r="K300" s="25"/>
      <c r="L300" s="25"/>
      <c r="M300" s="477"/>
      <c r="N300" s="25"/>
      <c r="O300" s="25"/>
      <c r="P300" s="25"/>
      <c r="Q300" s="477"/>
      <c r="R300" s="25"/>
      <c r="S300" s="25"/>
      <c r="T300" s="25"/>
      <c r="U300" s="477"/>
      <c r="V300" s="25"/>
      <c r="W300" s="25"/>
      <c r="X300" s="25"/>
      <c r="Y300" s="477"/>
      <c r="Z300" s="25"/>
      <c r="AA300" s="25"/>
      <c r="AB300" s="25"/>
      <c r="AC300" s="477"/>
      <c r="AD300" s="25"/>
      <c r="AE300" s="25"/>
      <c r="AF300" s="25"/>
      <c r="AG300" s="477"/>
      <c r="AH300" s="1269" t="s">
        <v>483</v>
      </c>
      <c r="AI300" s="1269" t="s">
        <v>483</v>
      </c>
      <c r="AJ300" s="1269" t="s">
        <v>483</v>
      </c>
      <c r="AK300" s="556" t="s">
        <v>483</v>
      </c>
      <c r="AL300" s="1269" t="s">
        <v>483</v>
      </c>
      <c r="AM300" s="1269" t="s">
        <v>483</v>
      </c>
      <c r="AN300" s="15">
        <f t="shared" ref="AN300:BY300" si="1134">AN299/AJ299-1</f>
        <v>5.4530949896405279E-2</v>
      </c>
      <c r="AO300" s="518">
        <f t="shared" si="1134"/>
        <v>4.6412599795906173E-2</v>
      </c>
      <c r="AP300" s="15">
        <f t="shared" si="1134"/>
        <v>2.1037941744312949E-2</v>
      </c>
      <c r="AQ300" s="15">
        <f t="shared" si="1134"/>
        <v>1.9245072517664052E-3</v>
      </c>
      <c r="AR300" s="15">
        <f t="shared" si="1134"/>
        <v>-4.7757896494585728E-3</v>
      </c>
      <c r="AS300" s="518">
        <f t="shared" si="1134"/>
        <v>-4.7757896494585728E-3</v>
      </c>
      <c r="AT300" s="15">
        <f t="shared" si="1134"/>
        <v>2.7098598279706732E-2</v>
      </c>
      <c r="AU300" s="15">
        <f t="shared" si="1134"/>
        <v>1.9918785771707137E-2</v>
      </c>
      <c r="AV300" s="15">
        <f t="shared" si="1134"/>
        <v>-5.4009588616169557E-3</v>
      </c>
      <c r="AW300" s="518">
        <f t="shared" si="1134"/>
        <v>-2.4955084719512355E-3</v>
      </c>
      <c r="AX300" s="15">
        <f t="shared" si="1134"/>
        <v>-5.8556019092720346E-3</v>
      </c>
      <c r="AY300" s="15">
        <f t="shared" si="1134"/>
        <v>-3.5857360998833299E-3</v>
      </c>
      <c r="AZ300" s="15">
        <f t="shared" si="1134"/>
        <v>-5.8323038959547935E-3</v>
      </c>
      <c r="BA300" s="518">
        <f t="shared" si="1134"/>
        <v>-1.1316287808902703E-2</v>
      </c>
      <c r="BB300" s="15">
        <f t="shared" si="1134"/>
        <v>-1.8639038937574126E-2</v>
      </c>
      <c r="BC300" s="15">
        <f t="shared" si="1134"/>
        <v>8.523806310431592E-2</v>
      </c>
      <c r="BD300" s="15">
        <f t="shared" si="1134"/>
        <v>0.10144356315875469</v>
      </c>
      <c r="BE300" s="518">
        <f t="shared" si="1134"/>
        <v>0.11220593268520895</v>
      </c>
      <c r="BF300" s="15">
        <f t="shared" si="1134"/>
        <v>0.12884292597666813</v>
      </c>
      <c r="BG300" s="15">
        <f t="shared" si="1134"/>
        <v>1.4566524525185143E-2</v>
      </c>
      <c r="BH300" s="15">
        <f t="shared" si="1134"/>
        <v>3.2549574038675422E-2</v>
      </c>
      <c r="BI300" s="518">
        <f t="shared" si="1134"/>
        <v>4.1667621148510969E-2</v>
      </c>
      <c r="BJ300" s="15">
        <f t="shared" si="1134"/>
        <v>5.9228001494354476E-2</v>
      </c>
      <c r="BK300" s="15">
        <f t="shared" si="1134"/>
        <v>6.0980318512252385E-2</v>
      </c>
      <c r="BL300" s="15">
        <f t="shared" si="1134"/>
        <v>-0.85515727498416216</v>
      </c>
      <c r="BM300" s="518">
        <f t="shared" si="1134"/>
        <v>-0.85428797364232667</v>
      </c>
      <c r="BN300" s="15">
        <f t="shared" si="1134"/>
        <v>-0.85744193137477964</v>
      </c>
      <c r="BO300" s="15">
        <f t="shared" si="1134"/>
        <v>-0.85534932428927313</v>
      </c>
      <c r="BP300" s="15">
        <f t="shared" si="1134"/>
        <v>4.0846062342709821E-2</v>
      </c>
      <c r="BQ300" s="518">
        <f t="shared" si="1134"/>
        <v>2.1907196466881773E-2</v>
      </c>
      <c r="BR300" s="15">
        <f t="shared" si="1134"/>
        <v>3.440834960292416E-2</v>
      </c>
      <c r="BS300" s="15">
        <f t="shared" si="1134"/>
        <v>4.1473393699885452E-2</v>
      </c>
      <c r="BT300" s="15">
        <f t="shared" si="1134"/>
        <v>5.1418901517797488E-2</v>
      </c>
      <c r="BU300" s="518">
        <f t="shared" si="1134"/>
        <v>5.2907722128327395E-2</v>
      </c>
      <c r="BV300" s="15">
        <f t="shared" si="1134"/>
        <v>4.1686582784213E-2</v>
      </c>
      <c r="BW300" s="15">
        <f t="shared" si="1134"/>
        <v>4.969221909778776E-2</v>
      </c>
      <c r="BX300" s="15">
        <f t="shared" si="1134"/>
        <v>5.5690905818912562E-2</v>
      </c>
      <c r="BY300" s="518">
        <f t="shared" si="1134"/>
        <v>9.5102504661282339E-2</v>
      </c>
      <c r="BZ300" s="15">
        <f>BZ299/BN299-1</f>
        <v>3.440834960292416E-2</v>
      </c>
      <c r="CA300" s="15">
        <f>CA299/BO299-1</f>
        <v>4.1473393699885452E-2</v>
      </c>
      <c r="CB300" s="15">
        <f>CB299/BP299-1</f>
        <v>5.1418901517797488E-2</v>
      </c>
      <c r="CC300" s="518">
        <f>CC299/BQ299-1</f>
        <v>5.2907722128327395E-2</v>
      </c>
      <c r="CD300" s="15">
        <f t="shared" ref="CD300:CK300" si="1135">CD299/BZ299-1</f>
        <v>4.1686582784213E-2</v>
      </c>
      <c r="CE300" s="15">
        <f t="shared" si="1135"/>
        <v>4.969221909778776E-2</v>
      </c>
      <c r="CF300" s="15">
        <f t="shared" si="1135"/>
        <v>5.5690905818912562E-2</v>
      </c>
      <c r="CG300" s="518">
        <f t="shared" si="1135"/>
        <v>9.5102504661282339E-2</v>
      </c>
      <c r="CH300" s="15">
        <f t="shared" si="1135"/>
        <v>9.3298666642999351E-2</v>
      </c>
      <c r="CI300" s="15">
        <f t="shared" si="1135"/>
        <v>7.9552371358351914E-2</v>
      </c>
      <c r="CJ300" s="15">
        <f t="shared" si="1135"/>
        <v>6.5403788197521351E-2</v>
      </c>
      <c r="CK300" s="518">
        <f t="shared" si="1135"/>
        <v>-5.5935701204160693E-2</v>
      </c>
      <c r="CL300" s="407" t="s">
        <v>483</v>
      </c>
      <c r="CM300" s="407" t="s">
        <v>483</v>
      </c>
      <c r="CN300" s="407" t="s">
        <v>483</v>
      </c>
      <c r="CO300" s="786" t="s">
        <v>483</v>
      </c>
      <c r="CP300" s="77">
        <f t="shared" ref="CP300:CX300" si="1136">CP299/CL299-1</f>
        <v>0</v>
      </c>
      <c r="CQ300" s="77">
        <f t="shared" si="1136"/>
        <v>0</v>
      </c>
      <c r="CR300" s="77">
        <f t="shared" si="1136"/>
        <v>0</v>
      </c>
      <c r="CS300" s="487">
        <f t="shared" si="1136"/>
        <v>0</v>
      </c>
      <c r="CT300" s="77">
        <f t="shared" si="1136"/>
        <v>-7.8722562026738441E-3</v>
      </c>
      <c r="CU300" s="77">
        <f t="shared" si="1136"/>
        <v>-1.7438364401683559E-2</v>
      </c>
      <c r="CV300" s="77">
        <f t="shared" si="1136"/>
        <v>-1.7227434826154076E-2</v>
      </c>
      <c r="CW300" s="487">
        <f t="shared" si="1136"/>
        <v>-1.460597753223547E-2</v>
      </c>
      <c r="CX300" s="77">
        <f t="shared" si="1136"/>
        <v>-9.8479050142282532E-2</v>
      </c>
      <c r="CY300" s="77">
        <f t="shared" ref="CY300:DE300" si="1137">CY299/CU299-1</f>
        <v>-9.1131763969144131E-2</v>
      </c>
      <c r="CZ300" s="77">
        <f t="shared" si="1137"/>
        <v>-8.8235961429381837E-2</v>
      </c>
      <c r="DA300" s="487">
        <f t="shared" si="1137"/>
        <v>-8.6536865304253197E-2</v>
      </c>
      <c r="DB300" s="77">
        <f t="shared" si="1137"/>
        <v>-4.1951865754027429E-3</v>
      </c>
      <c r="DC300" s="77">
        <f t="shared" si="1137"/>
        <v>4.7093483103670675E-3</v>
      </c>
      <c r="DD300" s="77">
        <f t="shared" si="1137"/>
        <v>1.4006581481419422E-2</v>
      </c>
      <c r="DE300" s="487">
        <f t="shared" si="1137"/>
        <v>1.1466946868289973E-2</v>
      </c>
      <c r="DF300" s="77">
        <f t="shared" ref="DF300:DM300" si="1138">DF299/DB299-1</f>
        <v>1.4150943396226134E-2</v>
      </c>
      <c r="DG300" s="77">
        <f t="shared" si="1138"/>
        <v>9.3167701863354768E-3</v>
      </c>
      <c r="DH300" s="77">
        <f t="shared" si="1138"/>
        <v>-6.7096415578815627E-4</v>
      </c>
      <c r="DI300" s="487">
        <f t="shared" si="1138"/>
        <v>-1.4912597328933241E-3</v>
      </c>
      <c r="DJ300" s="1673">
        <f t="shared" si="1138"/>
        <v>-1.4912597328933241E-3</v>
      </c>
      <c r="DK300" s="70">
        <f t="shared" si="1138"/>
        <v>-5.6008177868643871E-3</v>
      </c>
      <c r="DL300" s="70">
        <f t="shared" si="1138"/>
        <v>-4.6511627906976605E-3</v>
      </c>
      <c r="DM300" s="487">
        <f t="shared" si="1138"/>
        <v>4.6728971962615162E-3</v>
      </c>
      <c r="DN300" s="580"/>
      <c r="DO300" s="487"/>
      <c r="DP300" s="77"/>
      <c r="DQ300" s="77"/>
      <c r="DR300" s="77"/>
      <c r="DS300" s="77"/>
      <c r="DT300" s="77"/>
      <c r="DU300" s="77"/>
      <c r="DV300" s="77"/>
      <c r="DW300" s="77"/>
      <c r="DX300" s="77"/>
      <c r="DY300" s="77"/>
      <c r="DZ300" s="77"/>
      <c r="EA300" s="77"/>
      <c r="EB300" s="77"/>
      <c r="EC300" s="77"/>
      <c r="ED300" s="77"/>
      <c r="EE300" s="15"/>
      <c r="EF300" s="1269" t="s">
        <v>483</v>
      </c>
      <c r="EG300" s="15">
        <f t="shared" ref="EG300:EP300" si="1139">EG299/EF299-1</f>
        <v>4.6412599795906173E-2</v>
      </c>
      <c r="EH300" s="15">
        <f t="shared" si="1139"/>
        <v>-4.7757896494585728E-3</v>
      </c>
      <c r="EI300" s="15">
        <f t="shared" si="1139"/>
        <v>-2.4955084719512355E-3</v>
      </c>
      <c r="EJ300" s="15">
        <f t="shared" si="1139"/>
        <v>-1.1316287808902703E-2</v>
      </c>
      <c r="EK300" s="15">
        <f t="shared" si="1139"/>
        <v>0.11220593268520895</v>
      </c>
      <c r="EL300" s="15">
        <f t="shared" si="1139"/>
        <v>4.1667621148510969E-2</v>
      </c>
      <c r="EM300" s="15">
        <f t="shared" si="1139"/>
        <v>-0.85428797364232667</v>
      </c>
      <c r="EN300" s="15">
        <f t="shared" si="1139"/>
        <v>2.1907196466881773E-2</v>
      </c>
      <c r="EO300" s="15">
        <f t="shared" si="1139"/>
        <v>5.2907722128327395E-2</v>
      </c>
      <c r="EP300" s="15">
        <f t="shared" si="1139"/>
        <v>9.5102504661282339E-2</v>
      </c>
      <c r="EQ300" s="15">
        <f>EQ299/EN299-1</f>
        <v>5.2907722128327395E-2</v>
      </c>
      <c r="ER300" s="15">
        <f>ER299/EQ299-1</f>
        <v>9.5102504661282339E-2</v>
      </c>
      <c r="ES300" s="15">
        <f>ES299/ER299-1</f>
        <v>-5.5607445189280291E-2</v>
      </c>
      <c r="ET300" s="407" t="s">
        <v>483</v>
      </c>
      <c r="EU300" s="15">
        <f t="shared" ref="EU300:FC300" si="1140">EU299/ET299-1</f>
        <v>0</v>
      </c>
      <c r="EV300" s="15">
        <f t="shared" si="1140"/>
        <v>-1.460597753223547E-2</v>
      </c>
      <c r="EW300" s="15">
        <f t="shared" si="1140"/>
        <v>-8.6536865304253197E-2</v>
      </c>
      <c r="EX300" s="77">
        <f t="shared" si="1140"/>
        <v>1.1466946868289973E-2</v>
      </c>
      <c r="EY300" s="77">
        <f t="shared" si="1140"/>
        <v>-1.4912597328933241E-3</v>
      </c>
      <c r="EZ300" s="1680">
        <f t="shared" si="1140"/>
        <v>4.6728971962615162E-3</v>
      </c>
      <c r="FA300" s="15">
        <f t="shared" si="1140"/>
        <v>-2.3310023310022521E-3</v>
      </c>
      <c r="FB300" s="15">
        <f t="shared" si="1140"/>
        <v>0</v>
      </c>
      <c r="FC300" s="15">
        <f t="shared" si="1140"/>
        <v>0</v>
      </c>
      <c r="FD300" s="15">
        <f>FD299/FC299-1</f>
        <v>0</v>
      </c>
      <c r="FE300" s="15">
        <f>FE299/FD299-1</f>
        <v>0</v>
      </c>
      <c r="FF300" s="15">
        <f>FF299/FE299-1</f>
        <v>0</v>
      </c>
      <c r="FG300" s="15">
        <f>FG299/FF299-1</f>
        <v>0</v>
      </c>
      <c r="FH300" s="15">
        <f>FH299/FG299-1</f>
        <v>0</v>
      </c>
      <c r="FI300" s="580"/>
      <c r="FJ300"/>
      <c r="FK300"/>
      <c r="FL300"/>
      <c r="FM300"/>
      <c r="FN300"/>
      <c r="FO300"/>
      <c r="FP300" s="3"/>
      <c r="FS300" s="70"/>
      <c r="FT300" s="70"/>
      <c r="FU300"/>
      <c r="FV300"/>
      <c r="FW300" s="70"/>
      <c r="FX300" s="70"/>
      <c r="FY300" s="70"/>
      <c r="FZ300"/>
      <c r="GA300"/>
      <c r="GB300"/>
      <c r="GC300"/>
      <c r="GD300"/>
      <c r="GE300"/>
      <c r="GF300"/>
      <c r="GG300"/>
      <c r="GH300"/>
      <c r="GI300"/>
      <c r="GJ300"/>
      <c r="GK300"/>
      <c r="GL300"/>
      <c r="GM300"/>
      <c r="GN300"/>
      <c r="GO300"/>
      <c r="GP300"/>
      <c r="GQ300"/>
      <c r="GR300"/>
      <c r="GS300"/>
      <c r="GT300"/>
      <c r="GU300"/>
      <c r="GV300"/>
      <c r="GW300"/>
      <c r="GX300"/>
      <c r="GY300"/>
      <c r="GZ300"/>
      <c r="HA300"/>
      <c r="HB300"/>
      <c r="HC300"/>
      <c r="HD300"/>
      <c r="HE300"/>
      <c r="HF300"/>
      <c r="HG300"/>
      <c r="HH300"/>
      <c r="HI300"/>
      <c r="HJ300"/>
      <c r="HK300"/>
      <c r="HL300"/>
      <c r="HM300"/>
      <c r="HN300"/>
      <c r="HO300"/>
      <c r="HP300"/>
      <c r="HQ300"/>
      <c r="HR300"/>
      <c r="HS300"/>
      <c r="HT300"/>
      <c r="HU300"/>
      <c r="HV300"/>
      <c r="HW300"/>
      <c r="HX300"/>
      <c r="HY300"/>
      <c r="HZ300"/>
      <c r="IA300"/>
      <c r="IB300"/>
      <c r="IC300"/>
      <c r="ID300"/>
      <c r="IE300"/>
      <c r="IF300"/>
      <c r="IG300"/>
      <c r="IH300"/>
      <c r="II300"/>
      <c r="IJ300"/>
      <c r="IK300"/>
      <c r="IL300"/>
      <c r="IM300"/>
      <c r="IN300"/>
      <c r="IO300"/>
      <c r="IP300"/>
      <c r="IQ300"/>
      <c r="IR300"/>
      <c r="IS300"/>
      <c r="IT300"/>
      <c r="IU300"/>
      <c r="IV300"/>
      <c r="IW300"/>
      <c r="IX300"/>
      <c r="IY300"/>
      <c r="IZ300"/>
    </row>
    <row r="301" spans="1:260" s="4" customFormat="1" x14ac:dyDescent="0.2">
      <c r="A301" s="20" t="s">
        <v>338</v>
      </c>
      <c r="B301" s="855"/>
      <c r="C301" s="855"/>
      <c r="D301" s="855"/>
      <c r="E301" s="856"/>
      <c r="F301" s="855"/>
      <c r="G301" s="855"/>
      <c r="H301" s="855"/>
      <c r="I301" s="856"/>
      <c r="J301" s="855"/>
      <c r="K301" s="855"/>
      <c r="L301" s="855"/>
      <c r="M301" s="856"/>
      <c r="N301" s="855"/>
      <c r="O301" s="855"/>
      <c r="P301" s="855"/>
      <c r="Q301" s="856"/>
      <c r="R301" s="855"/>
      <c r="S301" s="855"/>
      <c r="T301" s="855"/>
      <c r="U301" s="856"/>
      <c r="V301" s="855"/>
      <c r="W301" s="855"/>
      <c r="X301" s="855"/>
      <c r="Y301" s="856"/>
      <c r="Z301" s="855"/>
      <c r="AA301" s="855"/>
      <c r="AB301" s="855"/>
      <c r="AC301" s="856"/>
      <c r="AD301" s="855"/>
      <c r="AE301" s="855"/>
      <c r="AF301" s="855"/>
      <c r="AG301" s="856"/>
      <c r="AH301" s="848">
        <f t="shared" ref="AH301:BM301" si="1141">+AH297/AH292*1000</f>
        <v>0</v>
      </c>
      <c r="AI301" s="848">
        <f t="shared" si="1141"/>
        <v>0</v>
      </c>
      <c r="AJ301" s="848">
        <f t="shared" si="1141"/>
        <v>13456.043956043955</v>
      </c>
      <c r="AK301" s="849">
        <f t="shared" si="1141"/>
        <v>27016.483516483517</v>
      </c>
      <c r="AL301" s="848">
        <f t="shared" si="1141"/>
        <v>27043.478260869568</v>
      </c>
      <c r="AM301" s="848">
        <f t="shared" si="1141"/>
        <v>27352.631578947367</v>
      </c>
      <c r="AN301" s="848">
        <f t="shared" si="1141"/>
        <v>28068.292682926829</v>
      </c>
      <c r="AO301" s="849">
        <f t="shared" si="1141"/>
        <v>28379.629629629631</v>
      </c>
      <c r="AP301" s="848">
        <f t="shared" si="1141"/>
        <v>27945.945945945947</v>
      </c>
      <c r="AQ301" s="848">
        <f t="shared" si="1141"/>
        <v>27658.11965811966</v>
      </c>
      <c r="AR301" s="848">
        <f t="shared" si="1141"/>
        <v>28016.194331983803</v>
      </c>
      <c r="AS301" s="849">
        <f t="shared" si="1141"/>
        <v>28244.094488188977</v>
      </c>
      <c r="AT301" s="848">
        <f t="shared" si="1141"/>
        <v>28262.745098039213</v>
      </c>
      <c r="AU301" s="848">
        <f t="shared" si="1141"/>
        <v>28305.019305019305</v>
      </c>
      <c r="AV301" s="848">
        <f t="shared" si="1141"/>
        <v>28205.128205128203</v>
      </c>
      <c r="AW301" s="849">
        <f t="shared" si="1141"/>
        <v>28132.867132867133</v>
      </c>
      <c r="AX301" s="848">
        <f t="shared" si="1141"/>
        <v>28144.329896907217</v>
      </c>
      <c r="AY301" s="848">
        <f t="shared" si="1141"/>
        <v>28171.717171717173</v>
      </c>
      <c r="AZ301" s="848">
        <f t="shared" si="1141"/>
        <v>28069.620253164558</v>
      </c>
      <c r="BA301" s="849">
        <f t="shared" si="1141"/>
        <v>27891.141141141139</v>
      </c>
      <c r="BB301" s="848">
        <f t="shared" si="1141"/>
        <v>27722.41071428571</v>
      </c>
      <c r="BC301" s="848">
        <f t="shared" si="1141"/>
        <v>29522.634989200862</v>
      </c>
      <c r="BD301" s="848">
        <f t="shared" si="1141"/>
        <v>30697.478991596639</v>
      </c>
      <c r="BE301" s="849">
        <f t="shared" si="1141"/>
        <v>30871.07438016529</v>
      </c>
      <c r="BF301" s="848">
        <f t="shared" si="1141"/>
        <v>31063.829787234041</v>
      </c>
      <c r="BG301" s="848">
        <f t="shared" si="1141"/>
        <v>31112.179487179485</v>
      </c>
      <c r="BH301" s="848">
        <f t="shared" si="1141"/>
        <v>31428.351309707243</v>
      </c>
      <c r="BI301" s="849">
        <f t="shared" si="1141"/>
        <v>32020.740740740741</v>
      </c>
      <c r="BJ301" s="848">
        <f t="shared" si="1141"/>
        <v>32632.801161103045</v>
      </c>
      <c r="BK301" s="848">
        <f t="shared" si="1141"/>
        <v>32982.683982683979</v>
      </c>
      <c r="BL301" s="848">
        <f t="shared" si="1141"/>
        <v>7738.0497131931161</v>
      </c>
      <c r="BM301" s="849">
        <f t="shared" si="1141"/>
        <v>4651.7952364024177</v>
      </c>
      <c r="BN301" s="56">
        <f t="shared" ref="BN301:DA301" si="1142">+BN297/BN292*1000</f>
        <v>4702.7360988526043</v>
      </c>
      <c r="BO301" s="56">
        <f t="shared" si="1142"/>
        <v>4736.4327382004594</v>
      </c>
      <c r="BP301" s="56">
        <f t="shared" si="1142"/>
        <v>4779.0738776952994</v>
      </c>
      <c r="BQ301" s="828">
        <f t="shared" si="1142"/>
        <v>4796.8663671196618</v>
      </c>
      <c r="BR301" s="56">
        <f t="shared" si="1142"/>
        <v>4835.0521833805315</v>
      </c>
      <c r="BS301" s="56">
        <f t="shared" si="1142"/>
        <v>4916.445388564347</v>
      </c>
      <c r="BT301" s="56">
        <f t="shared" si="1142"/>
        <v>5001.0593220338978</v>
      </c>
      <c r="BU301" s="828">
        <f t="shared" si="1142"/>
        <v>5047.1416007036059</v>
      </c>
      <c r="BV301" s="56">
        <f t="shared" si="1142"/>
        <v>5063.673039817576</v>
      </c>
      <c r="BW301" s="56">
        <f t="shared" si="1142"/>
        <v>5141.5094339622647</v>
      </c>
      <c r="BX301" s="56">
        <f t="shared" si="1142"/>
        <v>5264.9853169804801</v>
      </c>
      <c r="BY301" s="828">
        <f t="shared" si="1142"/>
        <v>5426.8884268884267</v>
      </c>
      <c r="BZ301" s="56">
        <f t="shared" si="1142"/>
        <v>4835.0521833805315</v>
      </c>
      <c r="CA301" s="56">
        <f t="shared" si="1142"/>
        <v>4916.445388564347</v>
      </c>
      <c r="CB301" s="56">
        <f t="shared" si="1142"/>
        <v>5001.0593220338978</v>
      </c>
      <c r="CC301" s="828">
        <f t="shared" si="1142"/>
        <v>5047.1416007036059</v>
      </c>
      <c r="CD301" s="56">
        <f t="shared" si="1142"/>
        <v>5063.673039817576</v>
      </c>
      <c r="CE301" s="56">
        <f t="shared" si="1142"/>
        <v>5141.5094339622647</v>
      </c>
      <c r="CF301" s="56">
        <f t="shared" si="1142"/>
        <v>5264.9853169804801</v>
      </c>
      <c r="CG301" s="828">
        <f t="shared" si="1142"/>
        <v>5426.8884268884267</v>
      </c>
      <c r="CH301" s="56">
        <f t="shared" si="1142"/>
        <v>5540.6773743016765</v>
      </c>
      <c r="CI301" s="56">
        <f t="shared" si="1142"/>
        <v>5584.8331294775462</v>
      </c>
      <c r="CJ301" s="56">
        <f t="shared" si="1142"/>
        <v>5646.0253957209952</v>
      </c>
      <c r="CK301" s="828">
        <f t="shared" si="1142"/>
        <v>5447.3136915077985</v>
      </c>
      <c r="CL301" s="56">
        <f t="shared" si="1142"/>
        <v>27998.664886515355</v>
      </c>
      <c r="CM301" s="56">
        <f t="shared" si="1142"/>
        <v>23570.159857904084</v>
      </c>
      <c r="CN301" s="56">
        <f t="shared" si="1142"/>
        <v>23545.774647887323</v>
      </c>
      <c r="CO301" s="828">
        <f t="shared" si="1142"/>
        <v>23435.087719298244</v>
      </c>
      <c r="CP301" s="56">
        <f t="shared" si="1142"/>
        <v>6860.9879670677647</v>
      </c>
      <c r="CQ301" s="56">
        <f t="shared" si="1142"/>
        <v>23570.159857904084</v>
      </c>
      <c r="CR301" s="56">
        <f t="shared" si="1142"/>
        <v>23545.774647887323</v>
      </c>
      <c r="CS301" s="828">
        <f t="shared" si="1142"/>
        <v>23435.087719298244</v>
      </c>
      <c r="CT301" s="56">
        <f t="shared" si="1142"/>
        <v>23366.197183098593</v>
      </c>
      <c r="CU301" s="56">
        <f t="shared" si="1142"/>
        <v>23272.084805653707</v>
      </c>
      <c r="CV301" s="56">
        <f t="shared" si="1142"/>
        <v>23137.809187279152</v>
      </c>
      <c r="CW301" s="828">
        <f t="shared" si="1142"/>
        <v>23061.946902654869</v>
      </c>
      <c r="CX301" s="56">
        <f t="shared" si="1142"/>
        <v>22175.403225806451</v>
      </c>
      <c r="CY301" s="56">
        <f t="shared" si="1142"/>
        <v>21065.116279069767</v>
      </c>
      <c r="CZ301" s="56">
        <f t="shared" si="1142"/>
        <v>21062.79069767442</v>
      </c>
      <c r="DA301" s="828">
        <f t="shared" si="1142"/>
        <v>21046.403712296982</v>
      </c>
      <c r="DB301" s="56">
        <f t="shared" ref="DB301:DH301" si="1143">+DB297/DB292*1000</f>
        <v>21004.640371229696</v>
      </c>
      <c r="DC301" s="56">
        <f t="shared" si="1143"/>
        <v>21070.093457943927</v>
      </c>
      <c r="DD301" s="56">
        <f t="shared" si="1143"/>
        <v>21259.433962264149</v>
      </c>
      <c r="DE301" s="1448">
        <f t="shared" si="1143"/>
        <v>21314.420803782508</v>
      </c>
      <c r="DF301" s="2310">
        <f t="shared" si="1143"/>
        <v>21273.584905660377</v>
      </c>
      <c r="DG301" s="2310">
        <f t="shared" si="1143"/>
        <v>21317.647058823528</v>
      </c>
      <c r="DH301" s="2310">
        <f t="shared" si="1143"/>
        <v>21351.288056206089</v>
      </c>
      <c r="DI301" s="1448">
        <f t="shared" ref="DI301:DM301" si="1144">+DH301</f>
        <v>21351.288056206089</v>
      </c>
      <c r="DJ301" s="2752">
        <f t="shared" si="1144"/>
        <v>21351.288056206089</v>
      </c>
      <c r="DK301" s="1653">
        <f t="shared" si="1144"/>
        <v>21351.288056206089</v>
      </c>
      <c r="DL301" s="1653">
        <f t="shared" si="1144"/>
        <v>21351.288056206089</v>
      </c>
      <c r="DM301" s="1611">
        <f t="shared" si="1144"/>
        <v>21351.288056206089</v>
      </c>
      <c r="DN301" s="594"/>
      <c r="DO301" s="537"/>
      <c r="DP301" s="57"/>
      <c r="DQ301" s="57"/>
      <c r="DR301" s="57"/>
      <c r="DS301" s="57"/>
      <c r="DT301" s="57"/>
      <c r="DU301" s="57"/>
      <c r="DV301" s="57"/>
      <c r="DW301" s="57"/>
      <c r="DX301" s="57"/>
      <c r="DY301" s="57"/>
      <c r="DZ301" s="57"/>
      <c r="EA301" s="57"/>
      <c r="EB301" s="57"/>
      <c r="EC301" s="57"/>
      <c r="ED301" s="57"/>
      <c r="EE301" s="63"/>
      <c r="EF301" s="92">
        <f t="shared" ref="EF301:EV301" si="1145">+EF297/EF292*1000</f>
        <v>10118.131868131868</v>
      </c>
      <c r="EG301" s="92">
        <f t="shared" si="1145"/>
        <v>27804.020100502512</v>
      </c>
      <c r="EH301" s="92">
        <f t="shared" si="1145"/>
        <v>28306.382978723406</v>
      </c>
      <c r="EI301" s="92">
        <f t="shared" si="1145"/>
        <v>28206.642066420663</v>
      </c>
      <c r="EJ301" s="92">
        <f t="shared" si="1145"/>
        <v>28002.411575562699</v>
      </c>
      <c r="EK301" s="92">
        <f t="shared" si="1145"/>
        <v>29872.080679405521</v>
      </c>
      <c r="EL301" s="92">
        <f t="shared" si="1145"/>
        <v>31664.605873261204</v>
      </c>
      <c r="EM301" s="92">
        <f t="shared" si="1145"/>
        <v>7677.7847702957833</v>
      </c>
      <c r="EN301" s="57">
        <f t="shared" si="1145"/>
        <v>4753.7997947266322</v>
      </c>
      <c r="EO301" s="57">
        <f t="shared" si="1145"/>
        <v>4932.8725546748683</v>
      </c>
      <c r="EP301" s="57">
        <f t="shared" si="1145"/>
        <v>5300.3848845346392</v>
      </c>
      <c r="EQ301" s="57">
        <f t="shared" si="1145"/>
        <v>4932.8725546748683</v>
      </c>
      <c r="ER301" s="57">
        <f t="shared" si="1145"/>
        <v>5300.3848845346392</v>
      </c>
      <c r="ES301" s="57">
        <f t="shared" si="1145"/>
        <v>5386.2645982220674</v>
      </c>
      <c r="ET301" s="57">
        <f t="shared" si="1145"/>
        <v>28224.734042553191</v>
      </c>
      <c r="EU301" s="57">
        <f t="shared" si="1145"/>
        <v>23366.197183098593</v>
      </c>
      <c r="EV301" s="57">
        <f t="shared" si="1145"/>
        <v>23196.46017699115</v>
      </c>
      <c r="EW301" s="57">
        <f>+EW297/EW292*1000</f>
        <v>22158.953722334005</v>
      </c>
      <c r="EX301" s="57">
        <f>+EX297/EX292*1000</f>
        <v>21151.869158878504</v>
      </c>
      <c r="EY301" s="57">
        <f>+EY297/EY292*1000</f>
        <v>21257.611241217797</v>
      </c>
      <c r="EZ301" s="1744">
        <f>+EZ297/EZ292*1000</f>
        <v>21291.375291375291</v>
      </c>
      <c r="FA301" s="1604">
        <f t="shared" ref="FA301:FH301" si="1146">EZ301</f>
        <v>21291.375291375291</v>
      </c>
      <c r="FB301" s="1604">
        <f t="shared" si="1146"/>
        <v>21291.375291375291</v>
      </c>
      <c r="FC301" s="1604">
        <f t="shared" si="1146"/>
        <v>21291.375291375291</v>
      </c>
      <c r="FD301" s="1604">
        <f t="shared" si="1146"/>
        <v>21291.375291375291</v>
      </c>
      <c r="FE301" s="1604">
        <f t="shared" si="1146"/>
        <v>21291.375291375291</v>
      </c>
      <c r="FF301" s="1604">
        <f t="shared" si="1146"/>
        <v>21291.375291375291</v>
      </c>
      <c r="FG301" s="1604">
        <f t="shared" si="1146"/>
        <v>21291.375291375291</v>
      </c>
      <c r="FH301" s="1604">
        <f t="shared" si="1146"/>
        <v>21291.375291375291</v>
      </c>
      <c r="FI301" s="596"/>
      <c r="FJ301"/>
      <c r="FK301"/>
      <c r="FL301"/>
      <c r="FM301"/>
      <c r="FN301"/>
      <c r="FO301"/>
      <c r="FP301" s="3"/>
      <c r="FS301"/>
      <c r="FT301"/>
      <c r="FU301"/>
      <c r="FV301"/>
      <c r="FW301" s="2643"/>
      <c r="FX301" s="2643"/>
      <c r="FY301" s="2643"/>
      <c r="FZ301"/>
      <c r="GA301"/>
      <c r="GB301"/>
      <c r="GC301"/>
      <c r="GD301"/>
      <c r="GE301"/>
      <c r="GF301"/>
      <c r="GG301"/>
      <c r="GH301"/>
      <c r="GI301"/>
      <c r="GJ301"/>
      <c r="GK301"/>
      <c r="GL301"/>
      <c r="GM301"/>
      <c r="GN301"/>
      <c r="GO301"/>
      <c r="GP301"/>
      <c r="GQ301"/>
      <c r="GR301"/>
      <c r="GS301"/>
      <c r="GT301"/>
      <c r="GU301"/>
      <c r="GV301"/>
      <c r="GW301"/>
      <c r="GX301"/>
      <c r="GY301"/>
      <c r="GZ301"/>
      <c r="HA301"/>
      <c r="HB301"/>
      <c r="HC301"/>
      <c r="HD301"/>
      <c r="HE301"/>
      <c r="HF301"/>
      <c r="HG301"/>
      <c r="HH301"/>
      <c r="HI301"/>
      <c r="HJ301"/>
      <c r="HK301"/>
      <c r="HL301"/>
      <c r="HM301"/>
      <c r="HN301"/>
      <c r="HO301"/>
      <c r="HP301"/>
      <c r="HQ301"/>
      <c r="HR301"/>
      <c r="HS301"/>
      <c r="HT301"/>
      <c r="HU301"/>
      <c r="HV301"/>
      <c r="HW301"/>
      <c r="HX301"/>
      <c r="HY301"/>
      <c r="HZ301"/>
      <c r="IA301"/>
      <c r="IB301"/>
      <c r="IC301"/>
      <c r="ID301"/>
      <c r="IE301"/>
      <c r="IF301"/>
      <c r="IG301"/>
      <c r="IH301"/>
      <c r="II301"/>
      <c r="IJ301"/>
      <c r="IK301"/>
      <c r="IL301"/>
      <c r="IM301"/>
      <c r="IN301"/>
      <c r="IO301"/>
      <c r="IP301"/>
      <c r="IQ301"/>
      <c r="IR301"/>
      <c r="IS301"/>
      <c r="IT301"/>
      <c r="IU301"/>
      <c r="IV301"/>
      <c r="IW301"/>
      <c r="IX301"/>
      <c r="IY301"/>
      <c r="IZ301"/>
    </row>
    <row r="302" spans="1:260" s="4" customFormat="1" x14ac:dyDescent="0.2">
      <c r="A302" s="25" t="s">
        <v>482</v>
      </c>
      <c r="B302" s="25"/>
      <c r="C302" s="25"/>
      <c r="D302" s="25"/>
      <c r="E302" s="477"/>
      <c r="F302" s="25"/>
      <c r="G302" s="25"/>
      <c r="H302" s="25"/>
      <c r="I302" s="477"/>
      <c r="J302" s="25"/>
      <c r="K302" s="25"/>
      <c r="L302" s="25"/>
      <c r="M302" s="477"/>
      <c r="N302" s="25"/>
      <c r="O302" s="25"/>
      <c r="P302" s="25"/>
      <c r="Q302" s="477"/>
      <c r="R302" s="25"/>
      <c r="S302" s="25"/>
      <c r="T302" s="25"/>
      <c r="U302" s="477"/>
      <c r="V302" s="25"/>
      <c r="W302" s="25"/>
      <c r="X302" s="25"/>
      <c r="Y302" s="477"/>
      <c r="Z302" s="25"/>
      <c r="AA302" s="25"/>
      <c r="AB302" s="25"/>
      <c r="AC302" s="477"/>
      <c r="AD302" s="25"/>
      <c r="AE302" s="25"/>
      <c r="AF302" s="25"/>
      <c r="AG302" s="477"/>
      <c r="AH302" s="1269" t="s">
        <v>483</v>
      </c>
      <c r="AI302" s="1269" t="s">
        <v>483</v>
      </c>
      <c r="AJ302" s="1269" t="s">
        <v>483</v>
      </c>
      <c r="AK302" s="556" t="s">
        <v>483</v>
      </c>
      <c r="AL302" s="1269" t="s">
        <v>483</v>
      </c>
      <c r="AM302" s="1269" t="s">
        <v>483</v>
      </c>
      <c r="AN302" s="15">
        <f t="shared" ref="AN302:BY302" si="1147">AN301/AJ301-1</f>
        <v>1.0859245685147747</v>
      </c>
      <c r="AO302" s="518">
        <f t="shared" si="1147"/>
        <v>5.0456089605977805E-2</v>
      </c>
      <c r="AP302" s="15">
        <f t="shared" si="1147"/>
        <v>3.3370991570348396E-2</v>
      </c>
      <c r="AQ302" s="15">
        <f t="shared" si="1147"/>
        <v>1.1168507801180727E-2</v>
      </c>
      <c r="AR302" s="15">
        <f t="shared" si="1147"/>
        <v>-1.8561282487522535E-3</v>
      </c>
      <c r="AS302" s="518">
        <f t="shared" si="1147"/>
        <v>-4.7757896494585728E-3</v>
      </c>
      <c r="AT302" s="15">
        <f t="shared" si="1147"/>
        <v>1.1336139871809259E-2</v>
      </c>
      <c r="AU302" s="15">
        <f t="shared" si="1147"/>
        <v>2.3389140509041617E-2</v>
      </c>
      <c r="AV302" s="15">
        <f t="shared" si="1147"/>
        <v>6.7437379576107404E-3</v>
      </c>
      <c r="AW302" s="518">
        <f t="shared" si="1147"/>
        <v>-3.9380747493376056E-3</v>
      </c>
      <c r="AX302" s="15">
        <f t="shared" si="1147"/>
        <v>-4.1897982917523668E-3</v>
      </c>
      <c r="AY302" s="15">
        <f t="shared" si="1147"/>
        <v>-4.7094874539970188E-3</v>
      </c>
      <c r="AZ302" s="15">
        <f t="shared" si="1147"/>
        <v>-4.8043728423474708E-3</v>
      </c>
      <c r="BA302" s="518">
        <f t="shared" si="1147"/>
        <v>-8.5922984878988862E-3</v>
      </c>
      <c r="BB302" s="15">
        <f t="shared" si="1147"/>
        <v>-1.4991267660910634E-2</v>
      </c>
      <c r="BC302" s="15">
        <f t="shared" si="1147"/>
        <v>4.7952980971991854E-2</v>
      </c>
      <c r="BD302" s="15">
        <f t="shared" si="1147"/>
        <v>9.3619319204570228E-2</v>
      </c>
      <c r="BE302" s="518">
        <f t="shared" si="1147"/>
        <v>0.10684156750505158</v>
      </c>
      <c r="BF302" s="15">
        <f t="shared" si="1147"/>
        <v>0.12053133139775807</v>
      </c>
      <c r="BG302" s="15">
        <f t="shared" si="1147"/>
        <v>5.3841552373630197E-2</v>
      </c>
      <c r="BH302" s="15">
        <f t="shared" si="1147"/>
        <v>2.3808871025229106E-2</v>
      </c>
      <c r="BI302" s="518">
        <f t="shared" si="1147"/>
        <v>3.7240892442477191E-2</v>
      </c>
      <c r="BJ302" s="15">
        <f t="shared" si="1147"/>
        <v>5.0507982583454236E-2</v>
      </c>
      <c r="BK302" s="15">
        <f t="shared" si="1147"/>
        <v>6.0121294179190432E-2</v>
      </c>
      <c r="BL302" s="15">
        <f t="shared" si="1147"/>
        <v>-0.75378760288952629</v>
      </c>
      <c r="BM302" s="518">
        <f t="shared" si="1147"/>
        <v>-0.85472555822283558</v>
      </c>
      <c r="BN302" s="15">
        <f t="shared" si="1147"/>
        <v>-0.85588929140235526</v>
      </c>
      <c r="BO302" s="15">
        <f t="shared" si="1147"/>
        <v>-0.85639638239607474</v>
      </c>
      <c r="BP302" s="15">
        <f t="shared" si="1147"/>
        <v>-0.38239297305790909</v>
      </c>
      <c r="BQ302" s="518">
        <f t="shared" si="1147"/>
        <v>3.1186052554935451E-2</v>
      </c>
      <c r="BR302" s="15">
        <f t="shared" si="1147"/>
        <v>2.8135979086772567E-2</v>
      </c>
      <c r="BS302" s="15">
        <f t="shared" si="1147"/>
        <v>3.8005955180582029E-2</v>
      </c>
      <c r="BT302" s="15">
        <f t="shared" si="1147"/>
        <v>4.6449469085347195E-2</v>
      </c>
      <c r="BU302" s="518">
        <f t="shared" si="1147"/>
        <v>5.2174735427167107E-2</v>
      </c>
      <c r="BV302" s="15">
        <f t="shared" si="1147"/>
        <v>4.7284051498529989E-2</v>
      </c>
      <c r="BW302" s="15">
        <f t="shared" si="1147"/>
        <v>4.5777798309611484E-2</v>
      </c>
      <c r="BX302" s="15">
        <f t="shared" si="1147"/>
        <v>5.2774018053288296E-2</v>
      </c>
      <c r="BY302" s="518">
        <f t="shared" si="1147"/>
        <v>7.5239978631049587E-2</v>
      </c>
      <c r="BZ302" s="15">
        <f>BZ301/BN301-1</f>
        <v>2.8135979086772567E-2</v>
      </c>
      <c r="CA302" s="15">
        <f>CA301/BO301-1</f>
        <v>3.8005955180582029E-2</v>
      </c>
      <c r="CB302" s="15">
        <f>CB301/BP301-1</f>
        <v>4.6449469085347195E-2</v>
      </c>
      <c r="CC302" s="518">
        <f>CC301/BQ301-1</f>
        <v>5.2174735427167107E-2</v>
      </c>
      <c r="CD302" s="15">
        <f t="shared" ref="CD302:CK302" si="1148">CD301/BZ301-1</f>
        <v>4.7284051498529989E-2</v>
      </c>
      <c r="CE302" s="15">
        <f t="shared" si="1148"/>
        <v>4.5777798309611484E-2</v>
      </c>
      <c r="CF302" s="15">
        <f t="shared" si="1148"/>
        <v>5.2774018053288296E-2</v>
      </c>
      <c r="CG302" s="518">
        <f t="shared" si="1148"/>
        <v>7.5239978631049587E-2</v>
      </c>
      <c r="CH302" s="15">
        <f t="shared" si="1148"/>
        <v>9.4201250896974509E-2</v>
      </c>
      <c r="CI302" s="15">
        <f t="shared" si="1148"/>
        <v>8.6224425182788611E-2</v>
      </c>
      <c r="CJ302" s="15">
        <f t="shared" si="1148"/>
        <v>7.2372486493285315E-2</v>
      </c>
      <c r="CK302" s="518">
        <f t="shared" si="1148"/>
        <v>3.7637155977210401E-3</v>
      </c>
      <c r="CL302" s="407" t="s">
        <v>483</v>
      </c>
      <c r="CM302" s="407" t="s">
        <v>483</v>
      </c>
      <c r="CN302" s="407" t="s">
        <v>483</v>
      </c>
      <c r="CO302" s="786" t="s">
        <v>483</v>
      </c>
      <c r="CP302" s="77">
        <f t="shared" ref="CP302:CX302" si="1149">CP301/CL301-1</f>
        <v>-0.75495303097926869</v>
      </c>
      <c r="CQ302" s="77">
        <f t="shared" si="1149"/>
        <v>0</v>
      </c>
      <c r="CR302" s="77">
        <f t="shared" si="1149"/>
        <v>0</v>
      </c>
      <c r="CS302" s="487">
        <f t="shared" si="1149"/>
        <v>0</v>
      </c>
      <c r="CT302" s="77">
        <f t="shared" si="1149"/>
        <v>2.4056607146455602</v>
      </c>
      <c r="CU302" s="77">
        <f t="shared" si="1149"/>
        <v>-1.2646288953802709E-2</v>
      </c>
      <c r="CV302" s="77">
        <f t="shared" si="1149"/>
        <v>-1.7326482849218006E-2</v>
      </c>
      <c r="CW302" s="487">
        <f t="shared" si="1149"/>
        <v>-1.5922313631286489E-2</v>
      </c>
      <c r="CX302" s="77">
        <f t="shared" si="1149"/>
        <v>-5.0962248925703446E-2</v>
      </c>
      <c r="CY302" s="77">
        <f t="shared" ref="CY302:DE302" si="1150">CY301/CU301-1</f>
        <v>-9.4833296845316606E-2</v>
      </c>
      <c r="CZ302" s="77">
        <f t="shared" si="1150"/>
        <v>-8.9680854086459871E-2</v>
      </c>
      <c r="DA302" s="487">
        <f t="shared" si="1150"/>
        <v>-8.7396922682440925E-2</v>
      </c>
      <c r="DB302" s="77">
        <f t="shared" si="1150"/>
        <v>-5.2795561039191807E-2</v>
      </c>
      <c r="DC302" s="77">
        <f t="shared" si="1150"/>
        <v>2.3627587943120254E-4</v>
      </c>
      <c r="DD302" s="77">
        <f t="shared" si="1150"/>
        <v>9.3360498811509984E-3</v>
      </c>
      <c r="DE302" s="487">
        <f t="shared" si="1150"/>
        <v>1.2734579035416305E-2</v>
      </c>
      <c r="DF302" s="77">
        <f t="shared" ref="DF302:DM302" si="1151">DF301/DB301-1</f>
        <v>1.2804053279534156E-2</v>
      </c>
      <c r="DG302" s="77">
        <f t="shared" si="1151"/>
        <v>1.174905091777223E-2</v>
      </c>
      <c r="DH302" s="77">
        <f t="shared" si="1151"/>
        <v>4.3206274496763175E-3</v>
      </c>
      <c r="DI302" s="487">
        <f t="shared" si="1151"/>
        <v>1.7296858668116588E-3</v>
      </c>
      <c r="DJ302" s="1673">
        <f t="shared" si="1151"/>
        <v>3.652564948046777E-3</v>
      </c>
      <c r="DK302" s="70">
        <f t="shared" si="1151"/>
        <v>1.5780821067978845E-3</v>
      </c>
      <c r="DL302" s="70">
        <f t="shared" si="1151"/>
        <v>0</v>
      </c>
      <c r="DM302" s="487">
        <f t="shared" si="1151"/>
        <v>0</v>
      </c>
      <c r="DN302" s="580"/>
      <c r="DO302" s="487"/>
      <c r="DP302" s="77"/>
      <c r="DQ302" s="77"/>
      <c r="DR302" s="77"/>
      <c r="DS302" s="77"/>
      <c r="DT302" s="77"/>
      <c r="DU302" s="77"/>
      <c r="DV302" s="77"/>
      <c r="DW302" s="77"/>
      <c r="DX302" s="77"/>
      <c r="DY302" s="77"/>
      <c r="DZ302" s="77"/>
      <c r="EA302" s="77"/>
      <c r="EB302" s="77"/>
      <c r="EC302" s="77"/>
      <c r="ED302" s="77"/>
      <c r="EE302" s="15"/>
      <c r="EF302" s="1269" t="s">
        <v>483</v>
      </c>
      <c r="EG302" s="15">
        <f t="shared" ref="EG302:EP302" si="1152">EG301/EF301-1</f>
        <v>1.747940080527536</v>
      </c>
      <c r="EH302" s="15">
        <f t="shared" si="1152"/>
        <v>1.8067994354953543E-2</v>
      </c>
      <c r="EI302" s="15">
        <f t="shared" si="1152"/>
        <v>-3.5236191207372869E-3</v>
      </c>
      <c r="EJ302" s="15">
        <f t="shared" si="1152"/>
        <v>-7.2405105994909347E-3</v>
      </c>
      <c r="EK302" s="15">
        <f t="shared" si="1152"/>
        <v>6.6768145979057669E-2</v>
      </c>
      <c r="EL302" s="15">
        <f t="shared" si="1152"/>
        <v>6.0006707035023865E-2</v>
      </c>
      <c r="EM302" s="15">
        <f t="shared" si="1152"/>
        <v>-0.75752785930681055</v>
      </c>
      <c r="EN302" s="15">
        <f t="shared" si="1152"/>
        <v>-0.38083705952290015</v>
      </c>
      <c r="EO302" s="15">
        <f t="shared" si="1152"/>
        <v>3.7669394522436672E-2</v>
      </c>
      <c r="EP302" s="15">
        <f t="shared" si="1152"/>
        <v>7.450270117185176E-2</v>
      </c>
      <c r="EQ302" s="15">
        <f>EQ301/EN301-1</f>
        <v>3.7669394522436672E-2</v>
      </c>
      <c r="ER302" s="15">
        <f>ER301/EQ301-1</f>
        <v>7.450270117185176E-2</v>
      </c>
      <c r="ES302" s="15">
        <f>ES301/ER301-1</f>
        <v>1.6202542939477205E-2</v>
      </c>
      <c r="ET302" s="407" t="s">
        <v>483</v>
      </c>
      <c r="EU302" s="15">
        <f t="shared" ref="EU302:FC302" si="1153">EU301/ET301-1</f>
        <v>-0.17213756034439853</v>
      </c>
      <c r="EV302" s="15">
        <f t="shared" si="1153"/>
        <v>-7.2642118346163409E-3</v>
      </c>
      <c r="EW302" s="15">
        <f t="shared" si="1153"/>
        <v>-4.4726930175590374E-2</v>
      </c>
      <c r="EX302" s="77">
        <f t="shared" si="1153"/>
        <v>-4.544820013051698E-2</v>
      </c>
      <c r="EY302" s="77">
        <f t="shared" si="1153"/>
        <v>4.9991838331180372E-3</v>
      </c>
      <c r="EZ302" s="1680">
        <f t="shared" si="1153"/>
        <v>1.588327577090487E-3</v>
      </c>
      <c r="FA302" s="15">
        <f t="shared" si="1153"/>
        <v>0</v>
      </c>
      <c r="FB302" s="15">
        <f t="shared" si="1153"/>
        <v>0</v>
      </c>
      <c r="FC302" s="15">
        <f t="shared" si="1153"/>
        <v>0</v>
      </c>
      <c r="FD302" s="15">
        <f>FD301/FC301-1</f>
        <v>0</v>
      </c>
      <c r="FE302" s="15">
        <f>FE301/FD301-1</f>
        <v>0</v>
      </c>
      <c r="FF302" s="15">
        <f>FF301/FE301-1</f>
        <v>0</v>
      </c>
      <c r="FG302" s="15">
        <f>FG301/FF301-1</f>
        <v>0</v>
      </c>
      <c r="FH302" s="15">
        <f>FH301/FG301-1</f>
        <v>0</v>
      </c>
      <c r="FI302" s="580"/>
      <c r="FJ302"/>
      <c r="FK302"/>
      <c r="FL302"/>
      <c r="FM302"/>
      <c r="FN302"/>
      <c r="FO302"/>
      <c r="FP302" s="3"/>
      <c r="FS302" s="70"/>
      <c r="FT302" s="70"/>
      <c r="FU302"/>
      <c r="FV302"/>
      <c r="FW302" s="70"/>
      <c r="FX302" s="70"/>
      <c r="FY302" s="70"/>
      <c r="FZ302"/>
      <c r="GA302"/>
      <c r="GB302"/>
      <c r="GC302"/>
      <c r="GD302"/>
      <c r="GE302"/>
      <c r="GF302"/>
      <c r="GG302"/>
      <c r="GH302"/>
      <c r="GI302"/>
      <c r="GJ302"/>
      <c r="GK302"/>
      <c r="GL302"/>
      <c r="GM302"/>
      <c r="GN302"/>
      <c r="GO302"/>
      <c r="GP302"/>
      <c r="GQ302"/>
      <c r="GR302"/>
      <c r="GS302"/>
      <c r="GT302"/>
      <c r="GU302"/>
      <c r="GV302"/>
      <c r="GW302"/>
      <c r="GX302"/>
      <c r="GY302"/>
      <c r="GZ302"/>
      <c r="HA302"/>
      <c r="HB302"/>
      <c r="HC302"/>
      <c r="HD302"/>
      <c r="HE302"/>
      <c r="HF302"/>
      <c r="HG302"/>
      <c r="HH302"/>
      <c r="HI302"/>
      <c r="HJ302"/>
      <c r="HK302"/>
      <c r="HL302"/>
      <c r="HM302"/>
      <c r="HN302"/>
      <c r="HO302"/>
      <c r="HP302"/>
      <c r="HQ302"/>
      <c r="HR302"/>
      <c r="HS302"/>
      <c r="HT302"/>
      <c r="HU302"/>
      <c r="HV302"/>
      <c r="HW302"/>
      <c r="HX302"/>
      <c r="HY302"/>
      <c r="HZ302"/>
      <c r="IA302"/>
      <c r="IB302"/>
      <c r="IC302"/>
      <c r="ID302"/>
      <c r="IE302"/>
      <c r="IF302"/>
      <c r="IG302"/>
      <c r="IH302"/>
      <c r="II302"/>
      <c r="IJ302"/>
      <c r="IK302"/>
      <c r="IL302"/>
      <c r="IM302"/>
      <c r="IN302"/>
      <c r="IO302"/>
      <c r="IP302"/>
      <c r="IQ302"/>
      <c r="IR302"/>
      <c r="IS302"/>
      <c r="IT302"/>
      <c r="IU302"/>
      <c r="IV302"/>
      <c r="IW302"/>
      <c r="IX302"/>
      <c r="IY302"/>
      <c r="IZ302"/>
    </row>
    <row r="303" spans="1:260" s="4" customFormat="1" x14ac:dyDescent="0.2">
      <c r="A303" s="24"/>
      <c r="B303" s="24"/>
      <c r="C303" s="24"/>
      <c r="D303" s="24"/>
      <c r="E303" s="543"/>
      <c r="F303" s="24"/>
      <c r="G303" s="24"/>
      <c r="H303" s="24"/>
      <c r="I303" s="543"/>
      <c r="J303" s="24"/>
      <c r="K303" s="24"/>
      <c r="L303" s="24"/>
      <c r="M303" s="543"/>
      <c r="N303" s="24"/>
      <c r="O303" s="24"/>
      <c r="P303" s="24"/>
      <c r="Q303" s="543"/>
      <c r="R303" s="24"/>
      <c r="S303" s="24"/>
      <c r="T303" s="24"/>
      <c r="U303" s="543"/>
      <c r="V303" s="24"/>
      <c r="W303" s="24"/>
      <c r="X303" s="24"/>
      <c r="Y303" s="543"/>
      <c r="Z303" s="24"/>
      <c r="AA303" s="24"/>
      <c r="AB303" s="24"/>
      <c r="AC303" s="543"/>
      <c r="AD303" s="24"/>
      <c r="AE303" s="24"/>
      <c r="AF303" s="24"/>
      <c r="AG303" s="543"/>
      <c r="AK303" s="470"/>
      <c r="AO303" s="470"/>
      <c r="AS303" s="470"/>
      <c r="AW303" s="470"/>
      <c r="BA303" s="470"/>
      <c r="BE303" s="470"/>
      <c r="BI303" s="470"/>
      <c r="BM303" s="470"/>
      <c r="BQ303" s="470"/>
      <c r="BU303" s="470"/>
      <c r="BY303" s="470"/>
      <c r="CC303" s="470"/>
      <c r="CG303" s="470"/>
      <c r="CK303" s="470"/>
      <c r="CO303" s="470"/>
      <c r="CP303" s="6"/>
      <c r="CQ303" s="6"/>
      <c r="CR303" s="6"/>
      <c r="CS303" s="484"/>
      <c r="CT303" s="6"/>
      <c r="CU303" s="6"/>
      <c r="CV303" s="6"/>
      <c r="CW303" s="484"/>
      <c r="CX303" s="6"/>
      <c r="CY303" s="6"/>
      <c r="CZ303" s="6"/>
      <c r="DA303" s="484"/>
      <c r="DB303" s="6"/>
      <c r="DC303" s="6"/>
      <c r="DD303" s="7"/>
      <c r="DE303" s="484"/>
      <c r="DF303" s="7"/>
      <c r="DG303" s="7"/>
      <c r="DH303" s="7"/>
      <c r="DI303" s="484"/>
      <c r="DJ303" s="1671"/>
      <c r="DK303" s="7"/>
      <c r="DL303" s="7"/>
      <c r="DM303" s="484"/>
      <c r="DN303" s="671"/>
      <c r="DO303" s="484"/>
      <c r="DP303" s="6"/>
      <c r="DQ303" s="6"/>
      <c r="DR303" s="6"/>
      <c r="DS303" s="6"/>
      <c r="DT303" s="6"/>
      <c r="DU303" s="6"/>
      <c r="DV303" s="6"/>
      <c r="DW303" s="6"/>
      <c r="DX303" s="6"/>
      <c r="DY303" s="6"/>
      <c r="DZ303" s="6"/>
      <c r="EA303" s="6"/>
      <c r="EB303" s="6"/>
      <c r="EC303" s="6"/>
      <c r="ED303" s="6"/>
      <c r="EX303" s="6"/>
      <c r="EY303" s="6"/>
      <c r="EZ303" s="1734"/>
      <c r="FI303" s="671"/>
      <c r="FJ303"/>
      <c r="FK303"/>
      <c r="FL303"/>
      <c r="FM303"/>
      <c r="FN303"/>
      <c r="FO303"/>
      <c r="FP303" s="3"/>
      <c r="FS303" s="7"/>
      <c r="FT303" s="7"/>
      <c r="FU303"/>
      <c r="FV303"/>
      <c r="FW303" s="7"/>
      <c r="FX303" s="7"/>
      <c r="FY303" s="7"/>
      <c r="FZ303"/>
      <c r="GA303"/>
      <c r="GB303"/>
      <c r="GC303"/>
      <c r="GD303"/>
      <c r="GE303"/>
      <c r="GF303"/>
      <c r="GG303"/>
      <c r="GH303"/>
      <c r="GI303"/>
      <c r="GJ303"/>
      <c r="GK303"/>
      <c r="GL303"/>
      <c r="GM303"/>
      <c r="GN303"/>
      <c r="GO303"/>
      <c r="GP303"/>
      <c r="GQ303"/>
      <c r="GR303"/>
      <c r="GS303"/>
      <c r="GT303"/>
      <c r="GU303"/>
      <c r="GV303"/>
      <c r="GW303"/>
      <c r="GX303"/>
      <c r="GY303"/>
      <c r="GZ303"/>
      <c r="HA303"/>
      <c r="HB303"/>
      <c r="HC303"/>
      <c r="HD303"/>
      <c r="HE303"/>
      <c r="HF303"/>
      <c r="HG303"/>
      <c r="HH303"/>
      <c r="HI303"/>
      <c r="HJ303"/>
      <c r="HK303"/>
      <c r="HL303"/>
      <c r="HM303"/>
      <c r="HN303"/>
      <c r="HO303"/>
      <c r="HP303"/>
      <c r="HQ303"/>
      <c r="HR303"/>
      <c r="HS303"/>
      <c r="HT303"/>
      <c r="HU303"/>
      <c r="HV303"/>
      <c r="HW303"/>
      <c r="HX303"/>
      <c r="HY303"/>
      <c r="HZ303"/>
      <c r="IA303"/>
      <c r="IB303"/>
      <c r="IC303"/>
      <c r="ID303"/>
      <c r="IE303"/>
      <c r="IF303"/>
      <c r="IG303"/>
      <c r="IH303"/>
      <c r="II303"/>
      <c r="IJ303"/>
      <c r="IK303"/>
      <c r="IL303"/>
      <c r="IM303"/>
      <c r="IN303"/>
      <c r="IO303"/>
      <c r="IP303"/>
      <c r="IQ303"/>
      <c r="IR303"/>
      <c r="IS303"/>
      <c r="IT303"/>
      <c r="IU303"/>
      <c r="IV303"/>
      <c r="IW303"/>
      <c r="IX303"/>
      <c r="IY303"/>
      <c r="IZ303"/>
    </row>
    <row r="304" spans="1:260" s="4" customFormat="1" x14ac:dyDescent="0.2">
      <c r="A304" s="20" t="s">
        <v>185</v>
      </c>
      <c r="B304" s="20"/>
      <c r="C304" s="20"/>
      <c r="D304" s="20"/>
      <c r="E304" s="542"/>
      <c r="F304" s="20"/>
      <c r="G304" s="20"/>
      <c r="H304" s="20"/>
      <c r="I304" s="542"/>
      <c r="J304" s="20"/>
      <c r="K304" s="20"/>
      <c r="L304" s="20"/>
      <c r="M304" s="542"/>
      <c r="N304" s="20"/>
      <c r="O304" s="20"/>
      <c r="P304" s="20"/>
      <c r="Q304" s="542"/>
      <c r="R304" s="20"/>
      <c r="S304" s="20"/>
      <c r="T304" s="20"/>
      <c r="U304" s="542"/>
      <c r="V304" s="20"/>
      <c r="W304" s="20"/>
      <c r="X304" s="20"/>
      <c r="Y304" s="542"/>
      <c r="Z304" s="20"/>
      <c r="AA304" s="20"/>
      <c r="AB304" s="20"/>
      <c r="AC304" s="542"/>
      <c r="AD304" s="20"/>
      <c r="AE304" s="20"/>
      <c r="AF304" s="20"/>
      <c r="AG304" s="542"/>
      <c r="AH304" s="215">
        <f t="shared" ref="AH304:BM304" si="1154">+AH325/AH290</f>
        <v>2.9035714285714289</v>
      </c>
      <c r="AI304" s="215">
        <f t="shared" si="1154"/>
        <v>3.3140219780219784</v>
      </c>
      <c r="AJ304" s="215">
        <f t="shared" si="1154"/>
        <v>3.8758791208791208</v>
      </c>
      <c r="AK304" s="551">
        <f t="shared" si="1154"/>
        <v>5.197802197802198</v>
      </c>
      <c r="AL304" s="215">
        <f t="shared" si="1154"/>
        <v>3.2580645161290325</v>
      </c>
      <c r="AM304" s="215">
        <f t="shared" si="1154"/>
        <v>3.4432989690721651</v>
      </c>
      <c r="AN304" s="215">
        <f t="shared" si="1154"/>
        <v>3.8981481481481484</v>
      </c>
      <c r="AO304" s="551">
        <f t="shared" si="1154"/>
        <v>5.3518518518518521</v>
      </c>
      <c r="AP304" s="215">
        <f t="shared" si="1154"/>
        <v>3.4035087719298245</v>
      </c>
      <c r="AQ304" s="215">
        <f t="shared" si="1154"/>
        <v>4.05</v>
      </c>
      <c r="AR304" s="215">
        <f t="shared" si="1154"/>
        <v>4.7401574803149602</v>
      </c>
      <c r="AS304" s="551">
        <f t="shared" si="1154"/>
        <v>6.6456692913385824</v>
      </c>
      <c r="AT304" s="215">
        <f t="shared" si="1154"/>
        <v>3.8984375</v>
      </c>
      <c r="AU304" s="215">
        <f t="shared" si="1154"/>
        <v>4.3816793893129775</v>
      </c>
      <c r="AV304" s="215">
        <f t="shared" si="1154"/>
        <v>5.126760563380282</v>
      </c>
      <c r="AW304" s="551">
        <f t="shared" si="1154"/>
        <v>7.0486111111111107</v>
      </c>
      <c r="AX304" s="216">
        <f t="shared" si="1154"/>
        <v>4.2585034013605441</v>
      </c>
      <c r="AY304" s="216">
        <f t="shared" si="1154"/>
        <v>4.7</v>
      </c>
      <c r="AZ304" s="216">
        <f t="shared" si="1154"/>
        <v>5.2349397590361448</v>
      </c>
      <c r="BA304" s="538">
        <f t="shared" si="1154"/>
        <v>7.5928143712574849</v>
      </c>
      <c r="BB304" s="216">
        <f t="shared" si="1154"/>
        <v>4.7159763313609471</v>
      </c>
      <c r="BC304" s="216">
        <f t="shared" si="1154"/>
        <v>3.3401360544217686</v>
      </c>
      <c r="BD304" s="216">
        <f t="shared" si="1154"/>
        <v>4.3488372093023253</v>
      </c>
      <c r="BE304" s="538">
        <f t="shared" si="1154"/>
        <v>5.9703947368421053</v>
      </c>
      <c r="BF304" s="216">
        <f t="shared" si="1154"/>
        <v>3.9837133550488599</v>
      </c>
      <c r="BG304" s="216">
        <f t="shared" si="1154"/>
        <v>4.7823343848580437</v>
      </c>
      <c r="BH304" s="216">
        <f t="shared" si="1154"/>
        <v>5.1867469879518069</v>
      </c>
      <c r="BI304" s="538">
        <f t="shared" si="1154"/>
        <v>6.5131195335276972</v>
      </c>
      <c r="BJ304" s="216">
        <f t="shared" si="1154"/>
        <v>4.4421965317919074</v>
      </c>
      <c r="BK304" s="216">
        <f t="shared" si="1154"/>
        <v>4.8069164265129682</v>
      </c>
      <c r="BL304" s="216">
        <f t="shared" si="1154"/>
        <v>1.1838050877821569</v>
      </c>
      <c r="BM304" s="538">
        <f t="shared" si="1154"/>
        <v>1.2119929453262788</v>
      </c>
      <c r="BN304" s="216">
        <f t="shared" ref="BN304:CS304" si="1155">+BN325/BN290</f>
        <v>0.90812720848056538</v>
      </c>
      <c r="BO304" s="216">
        <f t="shared" si="1155"/>
        <v>0.97205518217191367</v>
      </c>
      <c r="BP304" s="216">
        <f t="shared" si="1155"/>
        <v>1.092546803249735</v>
      </c>
      <c r="BQ304" s="538">
        <f t="shared" si="1155"/>
        <v>1.4</v>
      </c>
      <c r="BR304" s="216">
        <f t="shared" si="1155"/>
        <v>1.0174067495559502</v>
      </c>
      <c r="BS304" s="216">
        <f t="shared" si="1155"/>
        <v>1.024347212420607</v>
      </c>
      <c r="BT304" s="216">
        <f t="shared" si="1155"/>
        <v>1.1236749116607774</v>
      </c>
      <c r="BU304" s="538">
        <f t="shared" si="1155"/>
        <v>1.4497373029772329</v>
      </c>
      <c r="BV304" s="216">
        <f t="shared" si="1155"/>
        <v>1.0825720309205904</v>
      </c>
      <c r="BW304" s="216">
        <f t="shared" si="1155"/>
        <v>1.054899235580264</v>
      </c>
      <c r="BX304" s="216">
        <f t="shared" si="1155"/>
        <v>1.1040879422878735</v>
      </c>
      <c r="BY304" s="538">
        <f t="shared" si="1155"/>
        <v>1.4085983921705698</v>
      </c>
      <c r="BZ304" s="216">
        <f t="shared" si="1155"/>
        <v>0.99857904085257554</v>
      </c>
      <c r="CA304" s="216">
        <f t="shared" si="1155"/>
        <v>0.95871559633027525</v>
      </c>
      <c r="CB304" s="216">
        <f t="shared" si="1155"/>
        <v>1.0752650176678444</v>
      </c>
      <c r="CC304" s="538">
        <f t="shared" si="1155"/>
        <v>1.4311733800350264</v>
      </c>
      <c r="CD304" s="216">
        <f t="shared" si="1155"/>
        <v>1.0460295151089247</v>
      </c>
      <c r="CE304" s="216">
        <f t="shared" si="1155"/>
        <v>1.0003474635163307</v>
      </c>
      <c r="CF304" s="216">
        <f t="shared" si="1155"/>
        <v>1.0614908965991068</v>
      </c>
      <c r="CG304" s="538">
        <f t="shared" si="1155"/>
        <v>1.4288710241174414</v>
      </c>
      <c r="CH304" s="216">
        <f t="shared" si="1155"/>
        <v>0.97244506452738055</v>
      </c>
      <c r="CI304" s="216">
        <f t="shared" si="1155"/>
        <v>0.96078431372549022</v>
      </c>
      <c r="CJ304" s="216">
        <f t="shared" si="1155"/>
        <v>1.064638783269962</v>
      </c>
      <c r="CK304" s="538">
        <f t="shared" si="1155"/>
        <v>1.446298227320125</v>
      </c>
      <c r="CL304" s="216">
        <f t="shared" si="1155"/>
        <v>5.5195729537366551</v>
      </c>
      <c r="CM304" s="216">
        <f t="shared" si="1155"/>
        <v>5.4468085106382977</v>
      </c>
      <c r="CN304" s="216">
        <f t="shared" si="1155"/>
        <v>5.9720279720279716</v>
      </c>
      <c r="CO304" s="538">
        <f t="shared" si="1155"/>
        <v>8.4577464788732399</v>
      </c>
      <c r="CP304" s="216">
        <f t="shared" si="1155"/>
        <v>3.4946619217081851</v>
      </c>
      <c r="CQ304" s="216">
        <f t="shared" si="1155"/>
        <v>3.4007092198581561</v>
      </c>
      <c r="CR304" s="216">
        <f t="shared" si="1155"/>
        <v>3.8881118881118879</v>
      </c>
      <c r="CS304" s="538">
        <f t="shared" si="1155"/>
        <v>6.080985915492958</v>
      </c>
      <c r="CT304" s="216">
        <f t="shared" ref="CT304:CZ304" si="1156">+CT325/CT290</f>
        <v>3.0211267605633805</v>
      </c>
      <c r="CU304" s="216">
        <f t="shared" si="1156"/>
        <v>3.0992907801418439</v>
      </c>
      <c r="CV304" s="216">
        <f t="shared" si="1156"/>
        <v>3.6619718309859155</v>
      </c>
      <c r="CW304" s="538">
        <f t="shared" si="1156"/>
        <v>5.3807829181494666</v>
      </c>
      <c r="CX304" s="216">
        <f t="shared" si="1156"/>
        <v>3.1069767441860465</v>
      </c>
      <c r="CY304" s="216">
        <f t="shared" si="1156"/>
        <v>3.0232558139534884</v>
      </c>
      <c r="CZ304" s="216">
        <f t="shared" si="1156"/>
        <v>3.3906976744186048</v>
      </c>
      <c r="DA304" s="538">
        <f t="shared" ref="DA304:DI304" si="1157">+DA325/DA290</f>
        <v>5.166666666666667</v>
      </c>
      <c r="DB304" s="216">
        <f t="shared" si="1157"/>
        <v>2.8558139534883722</v>
      </c>
      <c r="DC304" s="216">
        <f t="shared" si="1157"/>
        <v>3.023474178403756</v>
      </c>
      <c r="DD304" s="217">
        <f t="shared" si="1157"/>
        <v>3.5687203791469195</v>
      </c>
      <c r="DE304" s="538">
        <f t="shared" si="1157"/>
        <v>5.3962264150943398</v>
      </c>
      <c r="DF304" s="217">
        <f t="shared" si="1157"/>
        <v>2.9056603773584904</v>
      </c>
      <c r="DG304" s="217">
        <f t="shared" ref="DG304" si="1158">+DG325/DG290</f>
        <v>3.136150234741784</v>
      </c>
      <c r="DH304" s="217">
        <f t="shared" si="1157"/>
        <v>3.8738317757009346</v>
      </c>
      <c r="DI304" s="538">
        <f t="shared" si="1157"/>
        <v>6.4</v>
      </c>
      <c r="DJ304" s="2733">
        <f t="shared" ref="DJ304:DK304" si="1159">+DJ325/DJ290</f>
        <v>2.9169869540555875</v>
      </c>
      <c r="DK304" s="217">
        <f t="shared" si="1159"/>
        <v>3.1129952256275986</v>
      </c>
      <c r="DL304" s="217">
        <f t="shared" ref="DL304:DM304" si="1160">+DL325/DL290</f>
        <v>3.8943720930232555</v>
      </c>
      <c r="DM304" s="538">
        <f t="shared" si="1160"/>
        <v>6.5906542056074775</v>
      </c>
      <c r="DN304" s="755"/>
      <c r="DO304" s="538"/>
      <c r="DP304" s="216"/>
      <c r="DQ304" s="216"/>
      <c r="DR304" s="216"/>
      <c r="DS304" s="216"/>
      <c r="DT304" s="216"/>
      <c r="DU304" s="216"/>
      <c r="DV304" s="216"/>
      <c r="DW304" s="216"/>
      <c r="DX304" s="216"/>
      <c r="DY304" s="216"/>
      <c r="DZ304" s="216"/>
      <c r="EA304" s="216"/>
      <c r="EB304" s="216"/>
      <c r="EC304" s="216"/>
      <c r="ED304" s="216"/>
      <c r="EE304" s="296"/>
      <c r="EF304" s="215">
        <f>+AH304+AI304+AJ304+AK304</f>
        <v>15.291274725274725</v>
      </c>
      <c r="EG304" s="215">
        <f>+AL304+AM304+AN304+AO304</f>
        <v>15.951363485201199</v>
      </c>
      <c r="EH304" s="215">
        <f>+AP304+AQ304+AR304+AS304</f>
        <v>18.839335543583367</v>
      </c>
      <c r="EI304" s="215">
        <f>+AT304+AU304+AV304+AW304</f>
        <v>20.455488563804373</v>
      </c>
      <c r="EJ304" s="216">
        <f>+AX304+AY304+AZ304+BA304</f>
        <v>21.786257531654176</v>
      </c>
      <c r="EK304" s="216">
        <f>+BB304+BC304+BD304+BE304</f>
        <v>18.375344331927145</v>
      </c>
      <c r="EL304" s="216">
        <f t="shared" ref="EL304:FE304" si="1161">+EL325/EL290</f>
        <v>19.518950437317784</v>
      </c>
      <c r="EM304" s="216">
        <f t="shared" si="1161"/>
        <v>3.5079365079365079</v>
      </c>
      <c r="EN304" s="216">
        <f t="shared" si="1161"/>
        <v>4.3668430335097002</v>
      </c>
      <c r="EO304" s="216">
        <f t="shared" si="1161"/>
        <v>4.5835376532399303</v>
      </c>
      <c r="EP304" s="216">
        <f t="shared" si="1161"/>
        <v>4.6700454386578123</v>
      </c>
      <c r="EQ304" s="216">
        <f t="shared" si="1161"/>
        <v>4.4332749562171632</v>
      </c>
      <c r="ER304" s="216">
        <f t="shared" si="1161"/>
        <v>4.5557497378538976</v>
      </c>
      <c r="ES304" s="216">
        <f t="shared" si="1161"/>
        <v>4.4412378303198885</v>
      </c>
      <c r="ET304" s="216">
        <f t="shared" si="1161"/>
        <v>25.341549295774648</v>
      </c>
      <c r="EU304" s="216">
        <f t="shared" si="1161"/>
        <v>16.830985915492956</v>
      </c>
      <c r="EV304" s="216">
        <f t="shared" si="1161"/>
        <v>15.245551601423488</v>
      </c>
      <c r="EW304" s="216">
        <f t="shared" si="1161"/>
        <v>14.643518518518519</v>
      </c>
      <c r="EX304" s="216">
        <f>+EX325/EX290</f>
        <v>14.882075471698114</v>
      </c>
      <c r="EY304" s="216">
        <f>+EY325/EY290</f>
        <v>16.227906976744187</v>
      </c>
      <c r="EZ304" s="1745">
        <f>+EZ325/EZ290</f>
        <v>16.561383965569558</v>
      </c>
      <c r="FA304" s="216">
        <f t="shared" si="1161"/>
        <v>16.646019639052394</v>
      </c>
      <c r="FB304" s="216">
        <f t="shared" si="1161"/>
        <v>16.747744285365052</v>
      </c>
      <c r="FC304" s="216">
        <f t="shared" si="1161"/>
        <v>16.702846220378941</v>
      </c>
      <c r="FD304" s="216">
        <f t="shared" si="1161"/>
        <v>16.658273579691482</v>
      </c>
      <c r="FE304" s="216">
        <f t="shared" si="1161"/>
        <v>16.61402253189549</v>
      </c>
      <c r="FF304" s="216">
        <f>+FF325/FF290</f>
        <v>16.570089307874525</v>
      </c>
      <c r="FG304" s="216">
        <f>+FG325/FG290</f>
        <v>16.526470199513348</v>
      </c>
      <c r="FH304" s="216">
        <f>+FH325/FH290</f>
        <v>16.483161558440781</v>
      </c>
      <c r="FI304" s="755"/>
      <c r="FJ304"/>
      <c r="FK304"/>
      <c r="FL304"/>
      <c r="FM304"/>
      <c r="FN304"/>
      <c r="FO304"/>
      <c r="FP304" s="3"/>
      <c r="FS304" s="217"/>
      <c r="FT304" s="217"/>
      <c r="FU304"/>
      <c r="FV304"/>
      <c r="FW304" s="217"/>
      <c r="FX304" s="217"/>
      <c r="FY304" s="217"/>
      <c r="FZ304"/>
      <c r="GA304"/>
      <c r="GB304"/>
      <c r="GC304"/>
      <c r="GD304"/>
      <c r="GE304"/>
      <c r="GF304"/>
      <c r="GG304"/>
      <c r="GH304"/>
      <c r="GI304"/>
      <c r="GJ304"/>
      <c r="GK304"/>
      <c r="GL304"/>
      <c r="GM304"/>
      <c r="GN304"/>
      <c r="GO304"/>
      <c r="GP304"/>
      <c r="GQ304"/>
      <c r="GR304"/>
      <c r="GS304"/>
      <c r="GT304"/>
      <c r="GU304"/>
      <c r="GV304"/>
      <c r="GW304"/>
      <c r="GX304"/>
      <c r="GY304"/>
      <c r="GZ304"/>
      <c r="HA304"/>
      <c r="HB304"/>
      <c r="HC304"/>
      <c r="HD304"/>
      <c r="HE304"/>
      <c r="HF304"/>
      <c r="HG304"/>
      <c r="HH304"/>
      <c r="HI304"/>
      <c r="HJ304"/>
      <c r="HK304"/>
      <c r="HL304"/>
      <c r="HM304"/>
      <c r="HN304"/>
      <c r="HO304"/>
      <c r="HP304"/>
      <c r="HQ304"/>
      <c r="HR304"/>
      <c r="HS304"/>
      <c r="HT304"/>
      <c r="HU304"/>
      <c r="HV304"/>
      <c r="HW304"/>
      <c r="HX304"/>
      <c r="HY304"/>
      <c r="HZ304"/>
      <c r="IA304"/>
      <c r="IB304"/>
      <c r="IC304"/>
      <c r="ID304"/>
      <c r="IE304"/>
      <c r="IF304"/>
      <c r="IG304"/>
      <c r="IH304"/>
      <c r="II304"/>
      <c r="IJ304"/>
      <c r="IK304"/>
      <c r="IL304"/>
      <c r="IM304"/>
      <c r="IN304"/>
      <c r="IO304"/>
      <c r="IP304"/>
      <c r="IQ304"/>
      <c r="IR304"/>
      <c r="IS304"/>
      <c r="IT304"/>
      <c r="IU304"/>
      <c r="IV304"/>
      <c r="IW304"/>
      <c r="IX304"/>
      <c r="IY304"/>
      <c r="IZ304"/>
    </row>
    <row r="305" spans="1:260" s="4" customFormat="1" x14ac:dyDescent="0.2">
      <c r="A305" s="25" t="s">
        <v>482</v>
      </c>
      <c r="B305" s="25"/>
      <c r="C305" s="25"/>
      <c r="D305" s="25"/>
      <c r="E305" s="477"/>
      <c r="F305" s="25"/>
      <c r="G305" s="25"/>
      <c r="H305" s="25"/>
      <c r="I305" s="477"/>
      <c r="J305" s="25"/>
      <c r="K305" s="25"/>
      <c r="L305" s="25"/>
      <c r="M305" s="477"/>
      <c r="N305" s="25"/>
      <c r="O305" s="25"/>
      <c r="P305" s="25"/>
      <c r="Q305" s="477"/>
      <c r="R305" s="25"/>
      <c r="S305" s="25"/>
      <c r="T305" s="25"/>
      <c r="U305" s="477"/>
      <c r="V305" s="25"/>
      <c r="W305" s="25"/>
      <c r="X305" s="25"/>
      <c r="Y305" s="477"/>
      <c r="Z305" s="25"/>
      <c r="AA305" s="25"/>
      <c r="AB305" s="25"/>
      <c r="AC305" s="477"/>
      <c r="AD305" s="25"/>
      <c r="AE305" s="25"/>
      <c r="AF305" s="25"/>
      <c r="AG305" s="477"/>
      <c r="AH305" s="1269" t="s">
        <v>483</v>
      </c>
      <c r="AI305" s="1269" t="s">
        <v>483</v>
      </c>
      <c r="AJ305" s="1269" t="s">
        <v>483</v>
      </c>
      <c r="AK305" s="556" t="s">
        <v>483</v>
      </c>
      <c r="AL305" s="15">
        <f t="shared" ref="AL305:BY305" si="1162">AL304/AH304-1</f>
        <v>0.12208864024124111</v>
      </c>
      <c r="AM305" s="15">
        <f t="shared" si="1162"/>
        <v>3.9009092850780469E-2</v>
      </c>
      <c r="AN305" s="15">
        <f t="shared" si="1162"/>
        <v>5.7455422562240344E-3</v>
      </c>
      <c r="AO305" s="518">
        <f t="shared" si="1162"/>
        <v>2.9637459870017979E-2</v>
      </c>
      <c r="AP305" s="15">
        <f t="shared" si="1162"/>
        <v>4.464130623588658E-2</v>
      </c>
      <c r="AQ305" s="15">
        <f t="shared" si="1162"/>
        <v>0.17619760479041902</v>
      </c>
      <c r="AR305" s="15">
        <f t="shared" si="1162"/>
        <v>0.21600239400003729</v>
      </c>
      <c r="AS305" s="518">
        <f t="shared" si="1162"/>
        <v>0.24175135547502924</v>
      </c>
      <c r="AT305" s="15">
        <f t="shared" si="1162"/>
        <v>0.1454172036082475</v>
      </c>
      <c r="AU305" s="15">
        <f t="shared" si="1162"/>
        <v>8.1896145509377183E-2</v>
      </c>
      <c r="AV305" s="15">
        <f t="shared" si="1162"/>
        <v>8.1559122174910126E-2</v>
      </c>
      <c r="AW305" s="518">
        <f t="shared" si="1162"/>
        <v>6.0632240652975122E-2</v>
      </c>
      <c r="AX305" s="15">
        <f t="shared" si="1162"/>
        <v>9.2361593936171715E-2</v>
      </c>
      <c r="AY305" s="15">
        <f t="shared" si="1162"/>
        <v>7.2648083623693349E-2</v>
      </c>
      <c r="AZ305" s="15">
        <f t="shared" si="1162"/>
        <v>2.1100887064742446E-2</v>
      </c>
      <c r="BA305" s="518">
        <f t="shared" si="1162"/>
        <v>7.7207162030618504E-2</v>
      </c>
      <c r="BB305" s="15">
        <f t="shared" si="1162"/>
        <v>0.10742575193300197</v>
      </c>
      <c r="BC305" s="15">
        <f t="shared" si="1162"/>
        <v>-0.28933275437834716</v>
      </c>
      <c r="BD305" s="15">
        <f t="shared" si="1162"/>
        <v>-0.16926700029437747</v>
      </c>
      <c r="BE305" s="518">
        <f t="shared" si="1162"/>
        <v>-0.21367829569981733</v>
      </c>
      <c r="BF305" s="15">
        <f t="shared" si="1162"/>
        <v>-0.15527282684660315</v>
      </c>
      <c r="BG305" s="15">
        <f t="shared" si="1162"/>
        <v>0.43177831888825335</v>
      </c>
      <c r="BH305" s="15">
        <f t="shared" si="1162"/>
        <v>0.19267444107982734</v>
      </c>
      <c r="BI305" s="518">
        <f t="shared" si="1162"/>
        <v>9.0902665670754779E-2</v>
      </c>
      <c r="BJ305" s="15">
        <f t="shared" si="1162"/>
        <v>0.11508939923149275</v>
      </c>
      <c r="BK305" s="15">
        <f t="shared" si="1162"/>
        <v>5.140176256339668E-3</v>
      </c>
      <c r="BL305" s="15">
        <f t="shared" si="1162"/>
        <v>-0.77176347901064102</v>
      </c>
      <c r="BM305" s="518">
        <f t="shared" si="1162"/>
        <v>-0.81391513865402254</v>
      </c>
      <c r="BN305" s="15">
        <f t="shared" si="1162"/>
        <v>-0.79556798039409526</v>
      </c>
      <c r="BO305" s="15">
        <f t="shared" si="1162"/>
        <v>-0.79777988716207793</v>
      </c>
      <c r="BP305" s="15">
        <f t="shared" si="1162"/>
        <v>-7.7088944349270494E-2</v>
      </c>
      <c r="BQ305" s="518">
        <f t="shared" si="1162"/>
        <v>0.15512223515715928</v>
      </c>
      <c r="BR305" s="15">
        <f t="shared" si="1162"/>
        <v>0.1203350588495482</v>
      </c>
      <c r="BS305" s="15">
        <f t="shared" si="1162"/>
        <v>5.3795330972727928E-2</v>
      </c>
      <c r="BT305" s="15">
        <f t="shared" si="1162"/>
        <v>2.8491327161868973E-2</v>
      </c>
      <c r="BU305" s="518">
        <f t="shared" si="1162"/>
        <v>3.5526644983737921E-2</v>
      </c>
      <c r="BV305" s="15">
        <f t="shared" si="1162"/>
        <v>6.4050372570342962E-2</v>
      </c>
      <c r="BW305" s="15">
        <f t="shared" si="1162"/>
        <v>2.9825846928855704E-2</v>
      </c>
      <c r="BX305" s="15">
        <f t="shared" si="1162"/>
        <v>-1.7431170857018174E-2</v>
      </c>
      <c r="BY305" s="518">
        <f t="shared" si="1162"/>
        <v>-2.8376803661034788E-2</v>
      </c>
      <c r="BZ305" s="15">
        <f>BZ304/BN304-1</f>
        <v>9.9602601405754276E-2</v>
      </c>
      <c r="CA305" s="15">
        <f>CA304/BO304-1</f>
        <v>-1.3723074663141155E-2</v>
      </c>
      <c r="CB305" s="15">
        <f>CB304/BP304-1</f>
        <v>-1.581789039195991E-2</v>
      </c>
      <c r="CC305" s="518">
        <f>CC304/BQ304-1</f>
        <v>2.226670002501896E-2</v>
      </c>
      <c r="CD305" s="15">
        <f t="shared" ref="CD305:CK305" si="1163">CD304/BZ304-1</f>
        <v>4.7517995386560985E-2</v>
      </c>
      <c r="CE305" s="15">
        <f t="shared" si="1163"/>
        <v>4.3424627017033979E-2</v>
      </c>
      <c r="CF305" s="15">
        <f t="shared" si="1163"/>
        <v>-1.2809977858865396E-2</v>
      </c>
      <c r="CG305" s="518">
        <f t="shared" si="1163"/>
        <v>-1.6087190760414316E-3</v>
      </c>
      <c r="CH305" s="15">
        <f t="shared" si="1163"/>
        <v>-7.0346438144129886E-2</v>
      </c>
      <c r="CI305" s="15">
        <f t="shared" si="1163"/>
        <v>-3.9549407814532533E-2</v>
      </c>
      <c r="CJ305" s="15">
        <f t="shared" si="1163"/>
        <v>2.965533365326678E-3</v>
      </c>
      <c r="CK305" s="518">
        <f t="shared" si="1163"/>
        <v>1.2196484433189214E-2</v>
      </c>
      <c r="CL305" s="407" t="s">
        <v>483</v>
      </c>
      <c r="CM305" s="407" t="s">
        <v>483</v>
      </c>
      <c r="CN305" s="407" t="s">
        <v>483</v>
      </c>
      <c r="CO305" s="786" t="s">
        <v>483</v>
      </c>
      <c r="CP305" s="77">
        <f>CP304/CL304-1</f>
        <v>-0.36686009026434563</v>
      </c>
      <c r="CQ305" s="77">
        <f>CQ304/CM304-1</f>
        <v>-0.37565104166666663</v>
      </c>
      <c r="CR305" s="407" t="s">
        <v>483</v>
      </c>
      <c r="CS305" s="487">
        <f t="shared" ref="CS305:DB305" si="1164">CS304/CO304-1</f>
        <v>-0.28101582014987514</v>
      </c>
      <c r="CT305" s="77">
        <f t="shared" si="1164"/>
        <v>-0.13550242391210809</v>
      </c>
      <c r="CU305" s="77">
        <f t="shared" si="1164"/>
        <v>-8.8633993743482797E-2</v>
      </c>
      <c r="CV305" s="77">
        <f t="shared" si="1164"/>
        <v>-5.8161921167291464E-2</v>
      </c>
      <c r="CW305" s="487">
        <f t="shared" si="1164"/>
        <v>-0.11514629487293082</v>
      </c>
      <c r="CX305" s="77">
        <f t="shared" si="1164"/>
        <v>2.8416544695614387E-2</v>
      </c>
      <c r="CY305" s="77">
        <f t="shared" si="1164"/>
        <v>-2.453302112713529E-2</v>
      </c>
      <c r="CZ305" s="77">
        <f t="shared" si="1164"/>
        <v>-7.4078711985688717E-2</v>
      </c>
      <c r="DA305" s="487">
        <f t="shared" si="1164"/>
        <v>-3.979276895943562E-2</v>
      </c>
      <c r="DB305" s="77">
        <f t="shared" si="1164"/>
        <v>-8.083832335329344E-2</v>
      </c>
      <c r="DC305" s="77">
        <f t="shared" ref="DC305:DM305" si="1165">DC304/CY304-1</f>
        <v>7.2228241242422442E-5</v>
      </c>
      <c r="DD305" s="70">
        <f t="shared" si="1165"/>
        <v>5.2503266826594785E-2</v>
      </c>
      <c r="DE305" s="487">
        <f t="shared" si="1165"/>
        <v>4.4430919050517215E-2</v>
      </c>
      <c r="DF305" s="70">
        <f t="shared" si="1165"/>
        <v>1.745436666461786E-2</v>
      </c>
      <c r="DG305" s="70">
        <f t="shared" si="1165"/>
        <v>3.7267080745341463E-2</v>
      </c>
      <c r="DH305" s="70">
        <f t="shared" si="1165"/>
        <v>8.5496022141961836E-2</v>
      </c>
      <c r="DI305" s="487">
        <f t="shared" si="1165"/>
        <v>0.186013986013986</v>
      </c>
      <c r="DJ305" s="1673">
        <f t="shared" si="1165"/>
        <v>3.898107564585418E-3</v>
      </c>
      <c r="DK305" s="70">
        <f t="shared" si="1165"/>
        <v>-7.3832588941938893E-3</v>
      </c>
      <c r="DL305" s="70">
        <f t="shared" si="1165"/>
        <v>5.3023255813953174E-3</v>
      </c>
      <c r="DM305" s="487">
        <f t="shared" si="1165"/>
        <v>2.9789719626168276E-2</v>
      </c>
      <c r="DN305" s="580"/>
      <c r="DO305" s="487"/>
      <c r="DP305" s="77"/>
      <c r="DQ305" s="77"/>
      <c r="DR305" s="77"/>
      <c r="DS305" s="77"/>
      <c r="DT305" s="77"/>
      <c r="DU305" s="77"/>
      <c r="DV305" s="77"/>
      <c r="DW305" s="77"/>
      <c r="DX305" s="77"/>
      <c r="DY305" s="77"/>
      <c r="DZ305" s="77"/>
      <c r="EA305" s="77"/>
      <c r="EB305" s="77"/>
      <c r="EC305" s="77"/>
      <c r="ED305" s="77"/>
      <c r="EE305" s="15"/>
      <c r="EF305" s="1269" t="s">
        <v>483</v>
      </c>
      <c r="EG305" s="15">
        <f t="shared" ref="EG305:EP305" si="1166">EG304/EF304-1</f>
        <v>4.3167673839213938E-2</v>
      </c>
      <c r="EH305" s="15">
        <f t="shared" si="1166"/>
        <v>0.1810486019619244</v>
      </c>
      <c r="EI305" s="15">
        <f t="shared" si="1166"/>
        <v>8.5786094551060899E-2</v>
      </c>
      <c r="EJ305" s="15">
        <f t="shared" si="1166"/>
        <v>6.5056816594670552E-2</v>
      </c>
      <c r="EK305" s="15">
        <f t="shared" si="1166"/>
        <v>-0.15656260350228446</v>
      </c>
      <c r="EL305" s="15">
        <f t="shared" si="1166"/>
        <v>6.223590071200058E-2</v>
      </c>
      <c r="EM305" s="15">
        <f t="shared" si="1166"/>
        <v>-0.82028047464940668</v>
      </c>
      <c r="EN305" s="15">
        <f t="shared" si="1166"/>
        <v>0.24484665661136251</v>
      </c>
      <c r="EO305" s="15">
        <f t="shared" si="1166"/>
        <v>4.9622717846139253E-2</v>
      </c>
      <c r="EP305" s="15">
        <f t="shared" si="1166"/>
        <v>1.887358454593091E-2</v>
      </c>
      <c r="EQ305" s="15">
        <f>EQ304/EN304-1</f>
        <v>1.5212802978647577E-2</v>
      </c>
      <c r="ER305" s="15">
        <f>ER304/EQ304-1</f>
        <v>2.7626254370931136E-2</v>
      </c>
      <c r="ES305" s="15">
        <f>ES304/ER304-1</f>
        <v>-2.5135688772042308E-2</v>
      </c>
      <c r="ET305" s="407" t="s">
        <v>483</v>
      </c>
      <c r="EU305" s="15">
        <f t="shared" ref="EU305:FC305" si="1167">EU304/ET304-1</f>
        <v>-0.3358343754342088</v>
      </c>
      <c r="EV305" s="15">
        <f t="shared" si="1167"/>
        <v>-9.4197352551407709E-2</v>
      </c>
      <c r="EW305" s="15">
        <f t="shared" si="1167"/>
        <v>-3.9489098108379084E-2</v>
      </c>
      <c r="EX305" s="77">
        <f t="shared" si="1167"/>
        <v>1.6290958547831913E-2</v>
      </c>
      <c r="EY305" s="77">
        <f t="shared" si="1167"/>
        <v>9.0433052003095815E-2</v>
      </c>
      <c r="EZ305" s="1680">
        <f t="shared" si="1167"/>
        <v>2.0549599483363323E-2</v>
      </c>
      <c r="FA305" s="15">
        <f t="shared" si="1167"/>
        <v>5.110422755657984E-3</v>
      </c>
      <c r="FB305" s="15">
        <f t="shared" si="1167"/>
        <v>6.1110492789522297E-3</v>
      </c>
      <c r="FC305" s="15">
        <f t="shared" si="1167"/>
        <v>-2.680842519511395E-3</v>
      </c>
      <c r="FD305" s="15">
        <f>FD304/FC304-1</f>
        <v>-2.668565590520533E-3</v>
      </c>
      <c r="FE305" s="15">
        <f>FE304/FD304-1</f>
        <v>-2.656400591832031E-3</v>
      </c>
      <c r="FF305" s="15">
        <f>FF304/FE304-1</f>
        <v>-2.6443459996892127E-3</v>
      </c>
      <c r="FG305" s="15">
        <f>FG304/FF304-1</f>
        <v>-2.6324003178695987E-3</v>
      </c>
      <c r="FH305" s="15">
        <f>FH304/FG304-1</f>
        <v>-2.6205620770636262E-3</v>
      </c>
      <c r="FI305" s="580"/>
      <c r="FJ305"/>
      <c r="FK305"/>
      <c r="FL305"/>
      <c r="FM305"/>
      <c r="FN305"/>
      <c r="FO305"/>
      <c r="FP305" s="3"/>
      <c r="FS305" s="70"/>
      <c r="FT305" s="70"/>
      <c r="FU305"/>
      <c r="FV305"/>
      <c r="FW305" s="70"/>
      <c r="FX305" s="70"/>
      <c r="FY305" s="70"/>
      <c r="FZ305"/>
      <c r="GA305"/>
      <c r="GB305"/>
      <c r="GC305"/>
      <c r="GD305"/>
      <c r="GE305"/>
      <c r="GF305"/>
      <c r="GG305"/>
      <c r="GH305"/>
      <c r="GI305"/>
      <c r="GJ305"/>
      <c r="GK305"/>
      <c r="GL305"/>
      <c r="GM305"/>
      <c r="GN305"/>
      <c r="GO305"/>
      <c r="GP305"/>
      <c r="GQ305"/>
      <c r="GR305"/>
      <c r="GS305"/>
      <c r="GT305"/>
      <c r="GU305"/>
      <c r="GV305"/>
      <c r="GW305"/>
      <c r="GX305"/>
      <c r="GY305"/>
      <c r="GZ305"/>
      <c r="HA305"/>
      <c r="HB305"/>
      <c r="HC305"/>
      <c r="HD305"/>
      <c r="HE305"/>
      <c r="HF305"/>
      <c r="HG305"/>
      <c r="HH305"/>
      <c r="HI305"/>
      <c r="HJ305"/>
      <c r="HK305"/>
      <c r="HL305"/>
      <c r="HM305"/>
      <c r="HN305"/>
      <c r="HO305"/>
      <c r="HP305"/>
      <c r="HQ305"/>
      <c r="HR305"/>
      <c r="HS305"/>
      <c r="HT305"/>
      <c r="HU305"/>
      <c r="HV305"/>
      <c r="HW305"/>
      <c r="HX305"/>
      <c r="HY305"/>
      <c r="HZ305"/>
      <c r="IA305"/>
      <c r="IB305"/>
      <c r="IC305"/>
      <c r="ID305"/>
      <c r="IE305"/>
      <c r="IF305"/>
      <c r="IG305"/>
      <c r="IH305"/>
      <c r="II305"/>
      <c r="IJ305"/>
      <c r="IK305"/>
      <c r="IL305"/>
      <c r="IM305"/>
      <c r="IN305"/>
      <c r="IO305"/>
      <c r="IP305"/>
      <c r="IQ305"/>
      <c r="IR305"/>
      <c r="IS305"/>
      <c r="IT305"/>
      <c r="IU305"/>
      <c r="IV305"/>
      <c r="IW305"/>
      <c r="IX305"/>
      <c r="IY305"/>
      <c r="IZ305"/>
    </row>
    <row r="306" spans="1:260" s="4" customFormat="1" x14ac:dyDescent="0.2">
      <c r="A306" s="20" t="s">
        <v>335</v>
      </c>
      <c r="B306" s="20"/>
      <c r="C306" s="20"/>
      <c r="D306" s="20"/>
      <c r="E306" s="542"/>
      <c r="F306" s="20"/>
      <c r="G306" s="20"/>
      <c r="H306" s="20"/>
      <c r="I306" s="542"/>
      <c r="J306" s="20"/>
      <c r="K306" s="20"/>
      <c r="L306" s="20"/>
      <c r="M306" s="542"/>
      <c r="N306" s="20"/>
      <c r="O306" s="20"/>
      <c r="P306" s="20"/>
      <c r="Q306" s="542"/>
      <c r="R306" s="20"/>
      <c r="S306" s="20"/>
      <c r="T306" s="20"/>
      <c r="U306" s="542"/>
      <c r="V306" s="20"/>
      <c r="W306" s="20"/>
      <c r="X306" s="20"/>
      <c r="Y306" s="542"/>
      <c r="Z306" s="20"/>
      <c r="AA306" s="20"/>
      <c r="AB306" s="20"/>
      <c r="AC306" s="542"/>
      <c r="AD306" s="20"/>
      <c r="AE306" s="20"/>
      <c r="AF306" s="20"/>
      <c r="AG306" s="542"/>
      <c r="AH306" s="378">
        <f t="shared" ref="AH306:BM306" si="1168">+AH325/AH292</f>
        <v>2.9035714285714289</v>
      </c>
      <c r="AI306" s="378">
        <f t="shared" si="1168"/>
        <v>3.3140219780219784</v>
      </c>
      <c r="AJ306" s="378">
        <f t="shared" si="1168"/>
        <v>3.8758791208791208</v>
      </c>
      <c r="AK306" s="554">
        <f t="shared" si="1168"/>
        <v>5.197802197802198</v>
      </c>
      <c r="AL306" s="378">
        <f t="shared" si="1168"/>
        <v>3.2934782608695654</v>
      </c>
      <c r="AM306" s="378">
        <f t="shared" si="1168"/>
        <v>3.5157894736842104</v>
      </c>
      <c r="AN306" s="378">
        <f t="shared" si="1168"/>
        <v>4.1073170731707318</v>
      </c>
      <c r="AO306" s="554">
        <f t="shared" si="1168"/>
        <v>5.3518518518518521</v>
      </c>
      <c r="AP306" s="378">
        <f t="shared" si="1168"/>
        <v>3.4954954954954953</v>
      </c>
      <c r="AQ306" s="378">
        <f t="shared" si="1168"/>
        <v>4.1538461538461542</v>
      </c>
      <c r="AR306" s="378">
        <f t="shared" si="1168"/>
        <v>4.8744939271255063</v>
      </c>
      <c r="AS306" s="554">
        <f t="shared" si="1168"/>
        <v>6.6456692913385824</v>
      </c>
      <c r="AT306" s="378">
        <f t="shared" si="1168"/>
        <v>3.9137254901960783</v>
      </c>
      <c r="AU306" s="378">
        <f t="shared" si="1168"/>
        <v>4.4324324324324325</v>
      </c>
      <c r="AV306" s="378">
        <f t="shared" si="1168"/>
        <v>5.333333333333333</v>
      </c>
      <c r="AW306" s="554">
        <f t="shared" si="1168"/>
        <v>7.0979020979020975</v>
      </c>
      <c r="AX306" s="379">
        <f t="shared" si="1168"/>
        <v>4.3024054982817868</v>
      </c>
      <c r="AY306" s="379">
        <f t="shared" si="1168"/>
        <v>4.7474747474747474</v>
      </c>
      <c r="AZ306" s="379">
        <f t="shared" si="1168"/>
        <v>5.5</v>
      </c>
      <c r="BA306" s="564">
        <f t="shared" si="1168"/>
        <v>7.6156156156156154</v>
      </c>
      <c r="BB306" s="379">
        <f t="shared" si="1168"/>
        <v>4.7440476190476186</v>
      </c>
      <c r="BC306" s="379">
        <f t="shared" si="1168"/>
        <v>4.2419006479481638</v>
      </c>
      <c r="BD306" s="379">
        <f t="shared" si="1168"/>
        <v>4.4000000000000004</v>
      </c>
      <c r="BE306" s="564">
        <f t="shared" si="1168"/>
        <v>6</v>
      </c>
      <c r="BF306" s="379">
        <f t="shared" si="1168"/>
        <v>4.0032733224222588</v>
      </c>
      <c r="BG306" s="379">
        <f t="shared" si="1168"/>
        <v>4.8589743589743586</v>
      </c>
      <c r="BH306" s="379">
        <f t="shared" si="1168"/>
        <v>5.3066255778120182</v>
      </c>
      <c r="BI306" s="564">
        <f t="shared" si="1168"/>
        <v>6.619259259259259</v>
      </c>
      <c r="BJ306" s="379">
        <f t="shared" si="1168"/>
        <v>4.4615384615384617</v>
      </c>
      <c r="BK306" s="379">
        <f t="shared" si="1168"/>
        <v>4.8138528138528143</v>
      </c>
      <c r="BL306" s="379">
        <f t="shared" si="1168"/>
        <v>2.105799872530274</v>
      </c>
      <c r="BM306" s="564">
        <f t="shared" si="1168"/>
        <v>1.2214717383576252</v>
      </c>
      <c r="BN306" s="379">
        <f t="shared" ref="BN306:CS306" si="1169">+BN325/BN292</f>
        <v>0.90732568402471314</v>
      </c>
      <c r="BO306" s="379">
        <f t="shared" si="1169"/>
        <v>0.97153968534558954</v>
      </c>
      <c r="BP306" s="379">
        <f t="shared" si="1169"/>
        <v>1.0933191940615059</v>
      </c>
      <c r="BQ306" s="564">
        <f t="shared" si="1169"/>
        <v>1.4009883515707731</v>
      </c>
      <c r="BR306" s="379">
        <f t="shared" si="1169"/>
        <v>1.0138053097345132</v>
      </c>
      <c r="BS306" s="379">
        <f t="shared" si="1169"/>
        <v>1.0277925296512658</v>
      </c>
      <c r="BT306" s="379">
        <f t="shared" si="1169"/>
        <v>1.1228813559322033</v>
      </c>
      <c r="BU306" s="564">
        <f t="shared" si="1169"/>
        <v>1.4561125769569041</v>
      </c>
      <c r="BV306" s="379">
        <f t="shared" si="1169"/>
        <v>1.0808630064900895</v>
      </c>
      <c r="BW306" s="379">
        <f t="shared" si="1169"/>
        <v>1.0607966457023061</v>
      </c>
      <c r="BX306" s="379">
        <f t="shared" si="1169"/>
        <v>1.1103817585075142</v>
      </c>
      <c r="BY306" s="564">
        <f t="shared" si="1169"/>
        <v>1.3963963963963963</v>
      </c>
      <c r="BZ306" s="379">
        <f t="shared" si="1169"/>
        <v>0.99504424778761058</v>
      </c>
      <c r="CA306" s="379">
        <f t="shared" si="1169"/>
        <v>0.96194016640113289</v>
      </c>
      <c r="CB306" s="379">
        <f t="shared" si="1169"/>
        <v>1.0745056497175141</v>
      </c>
      <c r="CC306" s="564">
        <f t="shared" si="1169"/>
        <v>1.437467018469657</v>
      </c>
      <c r="CD306" s="379">
        <f t="shared" si="1169"/>
        <v>1.0443781792667952</v>
      </c>
      <c r="CE306" s="379">
        <f t="shared" si="1169"/>
        <v>1.0059399021663173</v>
      </c>
      <c r="CF306" s="379">
        <f t="shared" si="1169"/>
        <v>1.067541889790983</v>
      </c>
      <c r="CG306" s="564">
        <f t="shared" si="1169"/>
        <v>1.4164934164934164</v>
      </c>
      <c r="CH306" s="379">
        <f t="shared" si="1169"/>
        <v>0.97346368715083798</v>
      </c>
      <c r="CI306" s="379">
        <f t="shared" si="1169"/>
        <v>0.95893762012930284</v>
      </c>
      <c r="CJ306" s="379">
        <f t="shared" si="1169"/>
        <v>1.071490694033745</v>
      </c>
      <c r="CK306" s="564">
        <f t="shared" si="1169"/>
        <v>1.4422876949740036</v>
      </c>
      <c r="CL306" s="379">
        <f t="shared" si="1169"/>
        <v>4.1415220293724966</v>
      </c>
      <c r="CM306" s="379">
        <f t="shared" si="1169"/>
        <v>5.4564831261101245</v>
      </c>
      <c r="CN306" s="379">
        <f t="shared" si="1169"/>
        <v>6.0140845070422539</v>
      </c>
      <c r="CO306" s="564">
        <f t="shared" si="1169"/>
        <v>8.4280701754385969</v>
      </c>
      <c r="CP306" s="379">
        <f t="shared" si="1169"/>
        <v>0.62191260291323625</v>
      </c>
      <c r="CQ306" s="379">
        <f t="shared" si="1169"/>
        <v>3.4067495559502663</v>
      </c>
      <c r="CR306" s="379">
        <f t="shared" si="1169"/>
        <v>3.915492957746479</v>
      </c>
      <c r="CS306" s="564">
        <f t="shared" si="1169"/>
        <v>6.0596491228070173</v>
      </c>
      <c r="CT306" s="379">
        <f t="shared" ref="CT306:CZ306" si="1170">+CT325/CT292</f>
        <v>3.0211267605633805</v>
      </c>
      <c r="CU306" s="379">
        <f t="shared" si="1170"/>
        <v>3.0883392226148412</v>
      </c>
      <c r="CV306" s="379">
        <f t="shared" si="1170"/>
        <v>3.6749116607773851</v>
      </c>
      <c r="CW306" s="564">
        <f t="shared" si="1170"/>
        <v>5.3522123893805311</v>
      </c>
      <c r="CX306" s="379">
        <f t="shared" si="1170"/>
        <v>2.693548387096774</v>
      </c>
      <c r="CY306" s="379">
        <f t="shared" si="1170"/>
        <v>3.0232558139534884</v>
      </c>
      <c r="CZ306" s="379">
        <f t="shared" si="1170"/>
        <v>3.3906976744186048</v>
      </c>
      <c r="DA306" s="564">
        <f t="shared" ref="DA306:DI306" si="1171">+DA325/DA292</f>
        <v>5.1786542923433876</v>
      </c>
      <c r="DB306" s="379">
        <f t="shared" si="1171"/>
        <v>2.8491879350348026</v>
      </c>
      <c r="DC306" s="379">
        <f t="shared" si="1171"/>
        <v>3.0093457943925235</v>
      </c>
      <c r="DD306" s="380">
        <f t="shared" si="1171"/>
        <v>3.5518867924528301</v>
      </c>
      <c r="DE306" s="564">
        <f t="shared" si="1171"/>
        <v>5.4089834515366428</v>
      </c>
      <c r="DF306" s="380">
        <f t="shared" si="1171"/>
        <v>2.9056603773584904</v>
      </c>
      <c r="DG306" s="380">
        <f t="shared" ref="DG306" si="1172">+DG325/DG292</f>
        <v>3.1435294117647059</v>
      </c>
      <c r="DH306" s="380">
        <f t="shared" si="1171"/>
        <v>3.8829039812646369</v>
      </c>
      <c r="DI306" s="564">
        <f t="shared" si="1171"/>
        <v>6.4149184149184153</v>
      </c>
      <c r="DJ306" s="2753">
        <f t="shared" ref="DJ306:DK306" si="1173">+DJ325/DJ292</f>
        <v>2.9169869540555875</v>
      </c>
      <c r="DK306" s="380">
        <f t="shared" si="1173"/>
        <v>3.1129952256275986</v>
      </c>
      <c r="DL306" s="380">
        <f t="shared" ref="DL306:DM306" si="1174">+DL325/DL292</f>
        <v>3.8943720930232555</v>
      </c>
      <c r="DM306" s="564">
        <f t="shared" si="1174"/>
        <v>6.5752913752913758</v>
      </c>
      <c r="DN306" s="756"/>
      <c r="DO306" s="564"/>
      <c r="DP306" s="379"/>
      <c r="DQ306" s="379"/>
      <c r="DR306" s="379"/>
      <c r="DS306" s="379"/>
      <c r="DT306" s="379"/>
      <c r="DU306" s="379"/>
      <c r="DV306" s="379"/>
      <c r="DW306" s="379"/>
      <c r="DX306" s="379"/>
      <c r="DY306" s="379"/>
      <c r="DZ306" s="379"/>
      <c r="EA306" s="379"/>
      <c r="EB306" s="379"/>
      <c r="EC306" s="379"/>
      <c r="ED306" s="379"/>
      <c r="EE306" s="63"/>
      <c r="EF306" s="215">
        <f>+AH306+AI306+AJ306+AK306</f>
        <v>15.291274725274725</v>
      </c>
      <c r="EG306" s="215">
        <f>+AL306+AM306+AN306+AO306</f>
        <v>16.268436659576359</v>
      </c>
      <c r="EH306" s="215">
        <f>+AP306+AQ306+AR306+AS306</f>
        <v>19.169504867805738</v>
      </c>
      <c r="EI306" s="215">
        <f>+AT306+AU306+AV306+AW306</f>
        <v>20.777393353863939</v>
      </c>
      <c r="EJ306" s="216">
        <f>+AX306+AY306+AZ306+BA306</f>
        <v>22.16549586137215</v>
      </c>
      <c r="EK306" s="216">
        <f>+BB306+BC306+BD306+BE306</f>
        <v>19.385948266995783</v>
      </c>
      <c r="EL306" s="216">
        <f t="shared" ref="EL306:EW306" si="1175">+EL325/EL292</f>
        <v>20.695517774343124</v>
      </c>
      <c r="EM306" s="216">
        <f t="shared" si="1175"/>
        <v>6.2586532410320954</v>
      </c>
      <c r="EN306" s="216">
        <f t="shared" si="1175"/>
        <v>4.3668430335097002</v>
      </c>
      <c r="EO306" s="216">
        <f t="shared" si="1175"/>
        <v>4.5996485061511425</v>
      </c>
      <c r="EP306" s="216">
        <f t="shared" si="1175"/>
        <v>4.6749475157452762</v>
      </c>
      <c r="EQ306" s="216">
        <f t="shared" si="1175"/>
        <v>4.4488576449912127</v>
      </c>
      <c r="ER306" s="216">
        <f t="shared" si="1175"/>
        <v>4.5605318404478661</v>
      </c>
      <c r="ES306" s="216">
        <f t="shared" si="1175"/>
        <v>4.4528499215617918</v>
      </c>
      <c r="ET306" s="216">
        <f t="shared" si="1175"/>
        <v>19.14095744680851</v>
      </c>
      <c r="EU306" s="216">
        <f t="shared" si="1175"/>
        <v>16.830985915492956</v>
      </c>
      <c r="EV306" s="216">
        <f t="shared" si="1175"/>
        <v>15.164601769911505</v>
      </c>
      <c r="EW306" s="216">
        <f t="shared" si="1175"/>
        <v>12.728370221327967</v>
      </c>
      <c r="EX306" s="216">
        <f>+EX325/EX292</f>
        <v>14.742990654205608</v>
      </c>
      <c r="EY306" s="216">
        <f>+EY325/EY292</f>
        <v>16.341920374707261</v>
      </c>
      <c r="EZ306" s="1745">
        <f>+EZ325/EZ292</f>
        <v>16.522779340941188</v>
      </c>
      <c r="FA306" s="216">
        <f t="shared" ref="FA306:FE306" si="1176">FA325/FA292</f>
        <v>16.684821549632936</v>
      </c>
      <c r="FB306" s="216">
        <f t="shared" si="1176"/>
        <v>16.786602160737125</v>
      </c>
      <c r="FC306" s="216">
        <f t="shared" si="1176"/>
        <v>16.741420922966423</v>
      </c>
      <c r="FD306" s="216">
        <f t="shared" si="1176"/>
        <v>16.696568461483874</v>
      </c>
      <c r="FE306" s="216">
        <f t="shared" si="1176"/>
        <v>16.652040890092046</v>
      </c>
      <c r="FF306" s="216">
        <f>FF325/FF292</f>
        <v>16.607834386024582</v>
      </c>
      <c r="FG306" s="216">
        <f>FG325/FG292</f>
        <v>16.563945188627891</v>
      </c>
      <c r="FH306" s="216">
        <f>FH325/FH292</f>
        <v>16.520369598076091</v>
      </c>
      <c r="FI306" s="755"/>
      <c r="FJ306"/>
      <c r="FK306"/>
      <c r="FL306"/>
      <c r="FM306"/>
      <c r="FN306"/>
      <c r="FO306"/>
      <c r="FP306" s="3"/>
      <c r="FS306" s="217"/>
      <c r="FT306" s="217"/>
      <c r="FU306"/>
      <c r="FV306"/>
      <c r="FW306" s="217"/>
      <c r="FX306" s="217"/>
      <c r="FY306" s="217"/>
      <c r="FZ306"/>
      <c r="GA306"/>
      <c r="GB306"/>
      <c r="GC306"/>
      <c r="GD306"/>
      <c r="GE306"/>
      <c r="GF306"/>
      <c r="GG306"/>
      <c r="GH306"/>
      <c r="GI306"/>
      <c r="GJ306"/>
      <c r="GK306"/>
      <c r="GL306"/>
      <c r="GM306"/>
      <c r="GN306"/>
      <c r="GO306"/>
      <c r="GP306"/>
      <c r="GQ306"/>
      <c r="GR306"/>
      <c r="GS306"/>
      <c r="GT306"/>
      <c r="GU306"/>
      <c r="GV306"/>
      <c r="GW306"/>
      <c r="GX306"/>
      <c r="GY306"/>
      <c r="GZ306"/>
      <c r="HA306"/>
      <c r="HB306"/>
      <c r="HC306"/>
      <c r="HD306"/>
      <c r="HE306"/>
      <c r="HF306"/>
      <c r="HG306"/>
      <c r="HH306"/>
      <c r="HI306"/>
      <c r="HJ306"/>
      <c r="HK306"/>
      <c r="HL306"/>
      <c r="HM306"/>
      <c r="HN306"/>
      <c r="HO306"/>
      <c r="HP306"/>
      <c r="HQ306"/>
      <c r="HR306"/>
      <c r="HS306"/>
      <c r="HT306"/>
      <c r="HU306"/>
      <c r="HV306"/>
      <c r="HW306"/>
      <c r="HX306"/>
      <c r="HY306"/>
      <c r="HZ306"/>
      <c r="IA306"/>
      <c r="IB306"/>
      <c r="IC306"/>
      <c r="ID306"/>
      <c r="IE306"/>
      <c r="IF306"/>
      <c r="IG306"/>
      <c r="IH306"/>
      <c r="II306"/>
      <c r="IJ306"/>
      <c r="IK306"/>
      <c r="IL306"/>
      <c r="IM306"/>
      <c r="IN306"/>
      <c r="IO306"/>
      <c r="IP306"/>
      <c r="IQ306"/>
      <c r="IR306"/>
      <c r="IS306"/>
      <c r="IT306"/>
      <c r="IU306"/>
      <c r="IV306"/>
      <c r="IW306"/>
      <c r="IX306"/>
      <c r="IY306"/>
      <c r="IZ306"/>
    </row>
    <row r="307" spans="1:260" s="4" customFormat="1" x14ac:dyDescent="0.2">
      <c r="A307" s="25" t="s">
        <v>482</v>
      </c>
      <c r="B307" s="25"/>
      <c r="C307" s="25"/>
      <c r="D307" s="25"/>
      <c r="E307" s="477"/>
      <c r="F307" s="25"/>
      <c r="G307" s="25"/>
      <c r="H307" s="25"/>
      <c r="I307" s="477"/>
      <c r="J307" s="25"/>
      <c r="K307" s="25"/>
      <c r="L307" s="25"/>
      <c r="M307" s="477"/>
      <c r="N307" s="25"/>
      <c r="O307" s="25"/>
      <c r="P307" s="25"/>
      <c r="Q307" s="477"/>
      <c r="R307" s="25"/>
      <c r="S307" s="25"/>
      <c r="T307" s="25"/>
      <c r="U307" s="477"/>
      <c r="V307" s="25"/>
      <c r="W307" s="25"/>
      <c r="X307" s="25"/>
      <c r="Y307" s="477"/>
      <c r="Z307" s="25"/>
      <c r="AA307" s="25"/>
      <c r="AB307" s="25"/>
      <c r="AC307" s="477"/>
      <c r="AD307" s="25"/>
      <c r="AE307" s="25"/>
      <c r="AF307" s="25"/>
      <c r="AG307" s="477"/>
      <c r="AH307" s="1269" t="s">
        <v>483</v>
      </c>
      <c r="AI307" s="1269" t="s">
        <v>483</v>
      </c>
      <c r="AJ307" s="1269" t="s">
        <v>483</v>
      </c>
      <c r="AK307" s="556" t="s">
        <v>483</v>
      </c>
      <c r="AL307" s="15">
        <f t="shared" ref="AL307:BY307" si="1177">AL306/AH306-1</f>
        <v>0.13428525589603724</v>
      </c>
      <c r="AM307" s="15">
        <f t="shared" si="1177"/>
        <v>6.0882968489744282E-2</v>
      </c>
      <c r="AN307" s="15">
        <f t="shared" si="1177"/>
        <v>5.9712376230948161E-2</v>
      </c>
      <c r="AO307" s="518">
        <f t="shared" si="1177"/>
        <v>2.9637459870017979E-2</v>
      </c>
      <c r="AP307" s="15">
        <f t="shared" si="1177"/>
        <v>6.1338566289061314E-2</v>
      </c>
      <c r="AQ307" s="15">
        <f t="shared" si="1177"/>
        <v>0.1814831874712115</v>
      </c>
      <c r="AR307" s="15">
        <f t="shared" si="1177"/>
        <v>0.18678296325502219</v>
      </c>
      <c r="AS307" s="518">
        <f t="shared" si="1177"/>
        <v>0.24175135547502924</v>
      </c>
      <c r="AT307" s="15">
        <f t="shared" si="1177"/>
        <v>0.11964827167980596</v>
      </c>
      <c r="AU307" s="15">
        <f t="shared" si="1177"/>
        <v>6.7067067067066999E-2</v>
      </c>
      <c r="AV307" s="15">
        <f t="shared" si="1177"/>
        <v>9.4130675526024277E-2</v>
      </c>
      <c r="AW307" s="518">
        <f t="shared" si="1177"/>
        <v>6.8049249328870243E-2</v>
      </c>
      <c r="AX307" s="15">
        <f t="shared" si="1177"/>
        <v>9.9312026114083851E-2</v>
      </c>
      <c r="AY307" s="15">
        <f t="shared" si="1177"/>
        <v>7.1076619857107559E-2</v>
      </c>
      <c r="AZ307" s="15">
        <f t="shared" si="1177"/>
        <v>3.125E-2</v>
      </c>
      <c r="BA307" s="518">
        <f t="shared" si="1177"/>
        <v>7.29389488010177E-2</v>
      </c>
      <c r="BB307" s="15">
        <f t="shared" si="1177"/>
        <v>0.10265004564125957</v>
      </c>
      <c r="BC307" s="15">
        <f t="shared" si="1177"/>
        <v>-0.1064932677726208</v>
      </c>
      <c r="BD307" s="15">
        <f t="shared" si="1177"/>
        <v>-0.19999999999999996</v>
      </c>
      <c r="BE307" s="518">
        <f t="shared" si="1177"/>
        <v>-0.21214511041009465</v>
      </c>
      <c r="BF307" s="15">
        <f t="shared" si="1177"/>
        <v>-0.15614815788338832</v>
      </c>
      <c r="BG307" s="15">
        <f t="shared" si="1177"/>
        <v>0.14547104287430157</v>
      </c>
      <c r="BH307" s="15">
        <f t="shared" si="1177"/>
        <v>0.2060512676845494</v>
      </c>
      <c r="BI307" s="518">
        <f t="shared" si="1177"/>
        <v>0.1032098765432099</v>
      </c>
      <c r="BJ307" s="15">
        <f t="shared" si="1177"/>
        <v>0.11447260834014727</v>
      </c>
      <c r="BK307" s="15">
        <f t="shared" si="1177"/>
        <v>-9.2862282835896037E-3</v>
      </c>
      <c r="BL307" s="15">
        <f t="shared" si="1177"/>
        <v>-0.60317534341691403</v>
      </c>
      <c r="BM307" s="518">
        <f t="shared" si="1177"/>
        <v>-0.81546700461248944</v>
      </c>
      <c r="BN307" s="15">
        <f t="shared" si="1177"/>
        <v>-0.79663389840825394</v>
      </c>
      <c r="BO307" s="15">
        <f t="shared" si="1177"/>
        <v>-0.79817835673126691</v>
      </c>
      <c r="BP307" s="15">
        <f t="shared" si="1177"/>
        <v>-0.48080574591933933</v>
      </c>
      <c r="BQ307" s="518">
        <f t="shared" si="1177"/>
        <v>0.14696747176035641</v>
      </c>
      <c r="BR307" s="15">
        <f t="shared" si="1177"/>
        <v>0.11735546296615129</v>
      </c>
      <c r="BS307" s="15">
        <f t="shared" si="1177"/>
        <v>5.7900716928167784E-2</v>
      </c>
      <c r="BT307" s="15">
        <f t="shared" si="1177"/>
        <v>2.7038912360880296E-2</v>
      </c>
      <c r="BU307" s="518">
        <f t="shared" si="1177"/>
        <v>3.9346669316933536E-2</v>
      </c>
      <c r="BV307" s="15">
        <f t="shared" si="1177"/>
        <v>6.6144550745287356E-2</v>
      </c>
      <c r="BW307" s="15">
        <f t="shared" si="1177"/>
        <v>3.2111652010390568E-2</v>
      </c>
      <c r="BX307" s="15">
        <f t="shared" si="1177"/>
        <v>-1.1131716951798598E-2</v>
      </c>
      <c r="BY307" s="518">
        <f t="shared" si="1177"/>
        <v>-4.1010689355700292E-2</v>
      </c>
      <c r="BZ307" s="15">
        <f>BZ306/BN306-1</f>
        <v>9.66781446919871E-2</v>
      </c>
      <c r="CA307" s="15">
        <f>CA306/BO306-1</f>
        <v>-9.880727559823721E-3</v>
      </c>
      <c r="CB307" s="15">
        <f>CB306/BP306-1</f>
        <v>-1.7207732605610371E-2</v>
      </c>
      <c r="CC307" s="518">
        <f>CC306/BQ306-1</f>
        <v>2.6037808849719957E-2</v>
      </c>
      <c r="CD307" s="15">
        <f t="shared" ref="CD307:CK307" si="1178">CD306/BZ306-1</f>
        <v>4.9579635869333449E-2</v>
      </c>
      <c r="CE307" s="15">
        <f t="shared" si="1178"/>
        <v>4.5740615998808742E-2</v>
      </c>
      <c r="CF307" s="15">
        <f t="shared" si="1178"/>
        <v>-6.4808965205179758E-3</v>
      </c>
      <c r="CG307" s="518">
        <f t="shared" si="1178"/>
        <v>-1.4590666573045419E-2</v>
      </c>
      <c r="CH307" s="15">
        <f t="shared" si="1178"/>
        <v>-6.7901162168806262E-2</v>
      </c>
      <c r="CI307" s="15">
        <f t="shared" si="1178"/>
        <v>-4.6724741642909184E-2</v>
      </c>
      <c r="CJ307" s="15">
        <f t="shared" si="1178"/>
        <v>3.6989688934221387E-3</v>
      </c>
      <c r="CK307" s="518">
        <f t="shared" si="1178"/>
        <v>1.8209952958653242E-2</v>
      </c>
      <c r="CL307" s="407" t="s">
        <v>483</v>
      </c>
      <c r="CM307" s="407" t="s">
        <v>483</v>
      </c>
      <c r="CN307" s="407" t="s">
        <v>483</v>
      </c>
      <c r="CO307" s="786" t="s">
        <v>483</v>
      </c>
      <c r="CP307" s="77">
        <f>CP306/CL306-1</f>
        <v>-0.84983477125015672</v>
      </c>
      <c r="CQ307" s="77">
        <f>CQ306/CM306-1</f>
        <v>-0.37565104166666674</v>
      </c>
      <c r="CR307" s="407" t="s">
        <v>483</v>
      </c>
      <c r="CS307" s="487">
        <f t="shared" ref="CS307:DB307" si="1179">CS306/CO306-1</f>
        <v>-0.28101582014987514</v>
      </c>
      <c r="CT307" s="77">
        <f t="shared" si="1179"/>
        <v>3.8577995467714636</v>
      </c>
      <c r="CU307" s="77">
        <f t="shared" si="1179"/>
        <v>-9.3464555614100275E-2</v>
      </c>
      <c r="CV307" s="77">
        <f t="shared" si="1179"/>
        <v>-6.1443424765488031E-2</v>
      </c>
      <c r="CW307" s="487">
        <f t="shared" si="1179"/>
        <v>-0.11674549451450411</v>
      </c>
      <c r="CX307" s="77">
        <f t="shared" si="1179"/>
        <v>-0.10842920520339883</v>
      </c>
      <c r="CY307" s="77">
        <f t="shared" si="1179"/>
        <v>-2.1073918365174915E-2</v>
      </c>
      <c r="CZ307" s="77">
        <f t="shared" si="1179"/>
        <v>-7.7338998211091137E-2</v>
      </c>
      <c r="DA307" s="487">
        <f t="shared" si="1179"/>
        <v>-3.2427356093249315E-2</v>
      </c>
      <c r="DB307" s="77">
        <f t="shared" si="1179"/>
        <v>5.7782347138669365E-2</v>
      </c>
      <c r="DC307" s="77">
        <f t="shared" ref="DC307:DM307" si="1180">DC306/CY306-1</f>
        <v>-4.6010064701653697E-3</v>
      </c>
      <c r="DD307" s="70">
        <f t="shared" si="1180"/>
        <v>4.7538628775525948E-2</v>
      </c>
      <c r="DE307" s="487">
        <f t="shared" si="1180"/>
        <v>4.4476643195471732E-2</v>
      </c>
      <c r="DF307" s="70">
        <f t="shared" si="1180"/>
        <v>1.9820539610349686E-2</v>
      </c>
      <c r="DG307" s="70">
        <f t="shared" si="1180"/>
        <v>4.4588966021191112E-2</v>
      </c>
      <c r="DH307" s="70">
        <f t="shared" si="1180"/>
        <v>9.3194746385262928E-2</v>
      </c>
      <c r="DI307" s="487">
        <f t="shared" si="1180"/>
        <v>0.18597486429654264</v>
      </c>
      <c r="DJ307" s="1673">
        <f t="shared" si="1180"/>
        <v>3.898107564585418E-3</v>
      </c>
      <c r="DK307" s="70">
        <f t="shared" si="1180"/>
        <v>-9.713345140921148E-3</v>
      </c>
      <c r="DL307" s="70">
        <f t="shared" si="1180"/>
        <v>2.9534883720929717E-3</v>
      </c>
      <c r="DM307" s="487">
        <f t="shared" si="1180"/>
        <v>2.4999999999999911E-2</v>
      </c>
      <c r="DN307" s="580"/>
      <c r="DO307" s="487"/>
      <c r="DP307" s="77"/>
      <c r="DQ307" s="77"/>
      <c r="DR307" s="77"/>
      <c r="DS307" s="77"/>
      <c r="DT307" s="77"/>
      <c r="DU307" s="77"/>
      <c r="DV307" s="77"/>
      <c r="DW307" s="77"/>
      <c r="DX307" s="77"/>
      <c r="DY307" s="77"/>
      <c r="DZ307" s="77"/>
      <c r="EA307" s="77"/>
      <c r="EB307" s="77"/>
      <c r="EC307" s="77"/>
      <c r="ED307" s="77"/>
      <c r="EE307" s="15"/>
      <c r="EF307" s="1269" t="s">
        <v>483</v>
      </c>
      <c r="EG307" s="15">
        <f t="shared" ref="EG307:EP307" si="1181">EG306/EF306-1</f>
        <v>6.390323579017898E-2</v>
      </c>
      <c r="EH307" s="15">
        <f t="shared" si="1181"/>
        <v>0.17832495333973442</v>
      </c>
      <c r="EI307" s="15">
        <f t="shared" si="1181"/>
        <v>8.387741348283706E-2</v>
      </c>
      <c r="EJ307" s="15">
        <f t="shared" si="1181"/>
        <v>6.6808308620198931E-2</v>
      </c>
      <c r="EK307" s="15">
        <f t="shared" si="1181"/>
        <v>-0.12539974795782893</v>
      </c>
      <c r="EL307" s="15">
        <f t="shared" si="1181"/>
        <v>6.7552512227470274E-2</v>
      </c>
      <c r="EM307" s="15">
        <f t="shared" si="1181"/>
        <v>-0.69758411897328121</v>
      </c>
      <c r="EN307" s="15">
        <f t="shared" si="1181"/>
        <v>-0.3022711332079524</v>
      </c>
      <c r="EO307" s="15">
        <f t="shared" si="1181"/>
        <v>5.3312077135580616E-2</v>
      </c>
      <c r="EP307" s="15">
        <f t="shared" si="1181"/>
        <v>1.6370600817309455E-2</v>
      </c>
      <c r="EQ307" s="15">
        <f>EQ306/EN306-1</f>
        <v>1.8781213533932695E-2</v>
      </c>
      <c r="ER307" s="15">
        <f>ER306/EQ306-1</f>
        <v>2.5101768671421221E-2</v>
      </c>
      <c r="ES307" s="15">
        <f>ES306/ER306-1</f>
        <v>-2.3611702023661252E-2</v>
      </c>
      <c r="ET307" s="407" t="s">
        <v>483</v>
      </c>
      <c r="EU307" s="15">
        <f t="shared" ref="EU307:FC307" si="1182">EU306/ET306-1</f>
        <v>-0.1206821308565581</v>
      </c>
      <c r="EV307" s="15">
        <f t="shared" si="1182"/>
        <v>-9.9006924130780827E-2</v>
      </c>
      <c r="EW307" s="15">
        <f t="shared" si="1182"/>
        <v>-0.16065252392036633</v>
      </c>
      <c r="EX307" s="77">
        <f t="shared" si="1182"/>
        <v>0.15827795686692814</v>
      </c>
      <c r="EY307" s="77">
        <f t="shared" si="1182"/>
        <v>0.10845355314971594</v>
      </c>
      <c r="EZ307" s="1680">
        <f t="shared" si="1182"/>
        <v>1.1067179504426372E-2</v>
      </c>
      <c r="FA307" s="15">
        <f t="shared" si="1182"/>
        <v>9.8072004320863826E-3</v>
      </c>
      <c r="FB307" s="15">
        <f t="shared" si="1182"/>
        <v>6.1001917701917208E-3</v>
      </c>
      <c r="FC307" s="15">
        <f t="shared" si="1182"/>
        <v>-2.6915058412702031E-3</v>
      </c>
      <c r="FD307" s="15">
        <f>FD306/FC306-1</f>
        <v>-2.6791311017704267E-3</v>
      </c>
      <c r="FE307" s="15">
        <f>FE306/FD306-1</f>
        <v>-2.6668696321969776E-3</v>
      </c>
      <c r="FF307" s="15">
        <f>FF306/FE306-1</f>
        <v>-2.6547198844417697E-3</v>
      </c>
      <c r="FG307" s="15">
        <f>FG306/FF306-1</f>
        <v>-2.6426803384806963E-3</v>
      </c>
      <c r="FH307" s="15">
        <f>FH306/FG306-1</f>
        <v>-2.6307495017381388E-3</v>
      </c>
      <c r="FI307" s="580"/>
      <c r="FJ307"/>
      <c r="FK307"/>
      <c r="FL307"/>
      <c r="FM307"/>
      <c r="FN307"/>
      <c r="FO307"/>
      <c r="FP307" s="3"/>
      <c r="FS307" s="70"/>
      <c r="FT307" s="70"/>
      <c r="FU307"/>
      <c r="FV307"/>
      <c r="FW307" s="70"/>
      <c r="FX307" s="70"/>
      <c r="FY307" s="70"/>
      <c r="FZ307"/>
      <c r="GA307"/>
      <c r="GB307"/>
      <c r="GC307"/>
      <c r="GD307"/>
      <c r="GE307"/>
      <c r="GF307"/>
      <c r="GG307"/>
      <c r="GH307"/>
      <c r="GI307"/>
      <c r="GJ307"/>
      <c r="GK307"/>
      <c r="GL307"/>
      <c r="GM307"/>
      <c r="GN307"/>
      <c r="GO307"/>
      <c r="GP307"/>
      <c r="GQ307"/>
      <c r="GR307"/>
      <c r="GS307"/>
      <c r="GT307"/>
      <c r="GU307"/>
      <c r="GV307"/>
      <c r="GW307"/>
      <c r="GX307"/>
      <c r="GY307"/>
      <c r="GZ307"/>
      <c r="HA307"/>
      <c r="HB307"/>
      <c r="HC307"/>
      <c r="HD307"/>
      <c r="HE307"/>
      <c r="HF307"/>
      <c r="HG307"/>
      <c r="HH307"/>
      <c r="HI307"/>
      <c r="HJ307"/>
      <c r="HK307"/>
      <c r="HL307"/>
      <c r="HM307"/>
      <c r="HN307"/>
      <c r="HO307"/>
      <c r="HP307"/>
      <c r="HQ307"/>
      <c r="HR307"/>
      <c r="HS307"/>
      <c r="HT307"/>
      <c r="HU307"/>
      <c r="HV307"/>
      <c r="HW307"/>
      <c r="HX307"/>
      <c r="HY307"/>
      <c r="HZ307"/>
      <c r="IA307"/>
      <c r="IB307"/>
      <c r="IC307"/>
      <c r="ID307"/>
      <c r="IE307"/>
      <c r="IF307"/>
      <c r="IG307"/>
      <c r="IH307"/>
      <c r="II307"/>
      <c r="IJ307"/>
      <c r="IK307"/>
      <c r="IL307"/>
      <c r="IM307"/>
      <c r="IN307"/>
      <c r="IO307"/>
      <c r="IP307"/>
      <c r="IQ307"/>
      <c r="IR307"/>
      <c r="IS307"/>
      <c r="IT307"/>
      <c r="IU307"/>
      <c r="IV307"/>
      <c r="IW307"/>
      <c r="IX307"/>
      <c r="IY307"/>
      <c r="IZ307"/>
    </row>
    <row r="308" spans="1:260" s="4" customFormat="1" x14ac:dyDescent="0.2">
      <c r="A308" s="20" t="s">
        <v>339</v>
      </c>
      <c r="B308" s="20"/>
      <c r="C308" s="20"/>
      <c r="D308" s="20"/>
      <c r="E308" s="542"/>
      <c r="F308" s="20"/>
      <c r="G308" s="20"/>
      <c r="H308" s="20"/>
      <c r="I308" s="542"/>
      <c r="J308" s="20"/>
      <c r="K308" s="20"/>
      <c r="L308" s="20"/>
      <c r="M308" s="542"/>
      <c r="N308" s="20"/>
      <c r="O308" s="20"/>
      <c r="P308" s="20"/>
      <c r="Q308" s="542"/>
      <c r="R308" s="20"/>
      <c r="S308" s="20"/>
      <c r="T308" s="20"/>
      <c r="U308" s="542"/>
      <c r="V308" s="20"/>
      <c r="W308" s="20"/>
      <c r="X308" s="20"/>
      <c r="Y308" s="542"/>
      <c r="Z308" s="20"/>
      <c r="AA308" s="20"/>
      <c r="AB308" s="20"/>
      <c r="AC308" s="542"/>
      <c r="AD308" s="20"/>
      <c r="AE308" s="20"/>
      <c r="AF308" s="20"/>
      <c r="AG308" s="542"/>
      <c r="AH308" s="1269" t="s">
        <v>483</v>
      </c>
      <c r="AI308" s="1269" t="s">
        <v>483</v>
      </c>
      <c r="AJ308" s="215">
        <f t="shared" ref="AJ308:BO308" si="1183">+AJ325/AJ295*1000</f>
        <v>144.02000816659861</v>
      </c>
      <c r="AK308" s="551">
        <f t="shared" si="1183"/>
        <v>191.65316045380877</v>
      </c>
      <c r="AL308" s="215">
        <f t="shared" si="1183"/>
        <v>120.81339712918661</v>
      </c>
      <c r="AM308" s="215">
        <f t="shared" si="1183"/>
        <v>124.2097433990331</v>
      </c>
      <c r="AN308" s="215">
        <f t="shared" si="1183"/>
        <v>137.35725938009787</v>
      </c>
      <c r="AO308" s="551">
        <f t="shared" si="1183"/>
        <v>188.58075040783035</v>
      </c>
      <c r="AP308" s="215">
        <f t="shared" si="1183"/>
        <v>123.60624402676011</v>
      </c>
      <c r="AQ308" s="215">
        <f t="shared" si="1183"/>
        <v>145.81458145814582</v>
      </c>
      <c r="AR308" s="215">
        <f t="shared" si="1183"/>
        <v>167.82826874825759</v>
      </c>
      <c r="AS308" s="551">
        <f t="shared" si="1183"/>
        <v>235.29411764705881</v>
      </c>
      <c r="AT308" s="215">
        <f t="shared" si="1183"/>
        <v>137.84530386740332</v>
      </c>
      <c r="AU308" s="215">
        <f t="shared" si="1183"/>
        <v>154.67528967933171</v>
      </c>
      <c r="AV308" s="215">
        <f t="shared" si="1183"/>
        <v>182.50188017046878</v>
      </c>
      <c r="AW308" s="551">
        <f t="shared" si="1183"/>
        <v>250.18486566428393</v>
      </c>
      <c r="AX308" s="164">
        <f t="shared" si="1183"/>
        <v>151.46382772804259</v>
      </c>
      <c r="AY308" s="164">
        <f t="shared" si="1183"/>
        <v>166.50921114785072</v>
      </c>
      <c r="AZ308" s="164">
        <f t="shared" si="1183"/>
        <v>187.44607420189817</v>
      </c>
      <c r="BA308" s="561">
        <f t="shared" si="1183"/>
        <v>272.58558606975868</v>
      </c>
      <c r="BB308" s="164">
        <f t="shared" si="1183"/>
        <v>170.92074167163491</v>
      </c>
      <c r="BC308" s="164">
        <f t="shared" si="1183"/>
        <v>109.03841883188984</v>
      </c>
      <c r="BD308" s="164">
        <f t="shared" si="1183"/>
        <v>141.37595852683876</v>
      </c>
      <c r="BE308" s="561">
        <f t="shared" si="1183"/>
        <v>192.71607559991506</v>
      </c>
      <c r="BF308" s="164">
        <f t="shared" si="1183"/>
        <v>127.90211252875969</v>
      </c>
      <c r="BG308" s="164">
        <f t="shared" si="1183"/>
        <v>153.87738530247665</v>
      </c>
      <c r="BH308" s="164">
        <f t="shared" si="1183"/>
        <v>163.30014224751065</v>
      </c>
      <c r="BI308" s="561">
        <f t="shared" si="1183"/>
        <v>201.82491643328211</v>
      </c>
      <c r="BJ308" s="164">
        <f t="shared" si="1183"/>
        <v>134.6473937801139</v>
      </c>
      <c r="BK308" s="164">
        <f t="shared" si="1183"/>
        <v>145.77871001573152</v>
      </c>
      <c r="BL308" s="164">
        <f t="shared" si="1183"/>
        <v>257.32087227414331</v>
      </c>
      <c r="BM308" s="561">
        <f t="shared" si="1183"/>
        <v>257.74510539344385</v>
      </c>
      <c r="BN308" s="164">
        <f t="shared" si="1183"/>
        <v>193.08790383170549</v>
      </c>
      <c r="BO308" s="164">
        <f t="shared" si="1183"/>
        <v>203.79709285078613</v>
      </c>
      <c r="BP308" s="164">
        <f t="shared" ref="BP308:CU308" si="1184">+BP325/BP295*1000</f>
        <v>228.16465033933315</v>
      </c>
      <c r="BQ308" s="561">
        <f t="shared" si="1184"/>
        <v>291.34455973325885</v>
      </c>
      <c r="BR308" s="164">
        <f t="shared" si="1184"/>
        <v>209.12741876597298</v>
      </c>
      <c r="BS308" s="164">
        <f t="shared" si="1184"/>
        <v>206.20826821991761</v>
      </c>
      <c r="BT308" s="164">
        <f t="shared" si="1184"/>
        <v>223.18921953958451</v>
      </c>
      <c r="BU308" s="561">
        <f t="shared" si="1184"/>
        <v>286.53513326410524</v>
      </c>
      <c r="BV308" s="164">
        <f t="shared" si="1184"/>
        <v>213.61713929140956</v>
      </c>
      <c r="BW308" s="164">
        <f t="shared" si="1184"/>
        <v>202.30559072432865</v>
      </c>
      <c r="BX308" s="164">
        <f t="shared" si="1184"/>
        <v>207.7300930713547</v>
      </c>
      <c r="BY308" s="561">
        <f t="shared" si="1184"/>
        <v>254.22659601312137</v>
      </c>
      <c r="BZ308" s="164">
        <f t="shared" si="1184"/>
        <v>205.25739320920044</v>
      </c>
      <c r="CA308" s="164">
        <f t="shared" si="1184"/>
        <v>192.99616422787327</v>
      </c>
      <c r="CB308" s="164">
        <f t="shared" si="1184"/>
        <v>213.5738349241999</v>
      </c>
      <c r="CC308" s="561">
        <f t="shared" si="1184"/>
        <v>282.86604361370718</v>
      </c>
      <c r="CD308" s="164">
        <f t="shared" si="1184"/>
        <v>206.40643416764888</v>
      </c>
      <c r="CE308" s="164">
        <f t="shared" si="1184"/>
        <v>191.84380622376224</v>
      </c>
      <c r="CF308" s="164">
        <f t="shared" si="1184"/>
        <v>199.71561530506722</v>
      </c>
      <c r="CG308" s="561">
        <f t="shared" si="1184"/>
        <v>257.88544032298768</v>
      </c>
      <c r="CH308" s="164">
        <f t="shared" si="1184"/>
        <v>175.51148882593642</v>
      </c>
      <c r="CI308" s="164">
        <f t="shared" si="1184"/>
        <v>170.67860919325744</v>
      </c>
      <c r="CJ308" s="164">
        <f t="shared" si="1184"/>
        <v>188.01123183982421</v>
      </c>
      <c r="CK308" s="561">
        <f t="shared" si="1184"/>
        <v>276.49677719449801</v>
      </c>
      <c r="CL308" s="164">
        <f t="shared" si="1184"/>
        <v>234.36083408884858</v>
      </c>
      <c r="CM308" s="164">
        <f t="shared" si="1184"/>
        <v>230.90799759470838</v>
      </c>
      <c r="CN308" s="164">
        <f t="shared" si="1184"/>
        <v>254.09104433204405</v>
      </c>
      <c r="CO308" s="561">
        <f t="shared" si="1184"/>
        <v>361.96503918022904</v>
      </c>
      <c r="CP308" s="164">
        <f t="shared" si="1184"/>
        <v>148.38319734058626</v>
      </c>
      <c r="CQ308" s="164">
        <f t="shared" si="1184"/>
        <v>144.167167769092</v>
      </c>
      <c r="CR308" s="164">
        <f t="shared" si="1184"/>
        <v>165.42695626301696</v>
      </c>
      <c r="CS308" s="561">
        <f t="shared" si="1184"/>
        <v>260.2471368294153</v>
      </c>
      <c r="CT308" s="164">
        <f t="shared" si="1184"/>
        <v>129.29475587703433</v>
      </c>
      <c r="CU308" s="164">
        <f t="shared" si="1184"/>
        <v>133.72093023255812</v>
      </c>
      <c r="CV308" s="164">
        <f t="shared" ref="CV308:DE308" si="1185">+CV325/CV295*1000</f>
        <v>158.53658536585365</v>
      </c>
      <c r="CW308" s="561">
        <f t="shared" si="1185"/>
        <v>233.69397217928903</v>
      </c>
      <c r="CX308" s="164">
        <f t="shared" si="1185"/>
        <v>147.49392801943034</v>
      </c>
      <c r="CY308" s="164">
        <f t="shared" si="1185"/>
        <v>143.51954073746964</v>
      </c>
      <c r="CZ308" s="164">
        <f t="shared" si="1185"/>
        <v>160.99823321554771</v>
      </c>
      <c r="DA308" s="561">
        <f t="shared" si="1185"/>
        <v>245.65265243231346</v>
      </c>
      <c r="DB308" s="164">
        <f>+DB325/DB295*1000</f>
        <v>136.14190687361418</v>
      </c>
      <c r="DC308" s="164">
        <f t="shared" si="1185"/>
        <v>142.85714285714286</v>
      </c>
      <c r="DD308" s="166">
        <f t="shared" si="1185"/>
        <v>167.1105193075899</v>
      </c>
      <c r="DE308" s="561">
        <f t="shared" si="1185"/>
        <v>253.65853658536585</v>
      </c>
      <c r="DF308" s="166">
        <f t="shared" ref="DF308:DM308" si="1186">+DF325/DF295*1000</f>
        <v>136.58536585365854</v>
      </c>
      <c r="DG308" s="166">
        <f t="shared" si="1186"/>
        <v>146.8131868131868</v>
      </c>
      <c r="DH308" s="166">
        <f t="shared" si="1186"/>
        <v>181.51959710970004</v>
      </c>
      <c r="DI308" s="561">
        <f t="shared" si="1186"/>
        <v>301.2918765053646</v>
      </c>
      <c r="DJ308" s="2734">
        <f t="shared" si="1186"/>
        <v>137.32257392641804</v>
      </c>
      <c r="DK308" s="166">
        <f t="shared" si="1186"/>
        <v>146.55002704399686</v>
      </c>
      <c r="DL308" s="166">
        <f t="shared" si="1186"/>
        <v>183.334793080797</v>
      </c>
      <c r="DM308" s="561">
        <f t="shared" si="1186"/>
        <v>308.82417341799874</v>
      </c>
      <c r="DN308" s="583"/>
      <c r="DO308" s="561"/>
      <c r="DP308" s="164"/>
      <c r="DQ308" s="164"/>
      <c r="DR308" s="164"/>
      <c r="DS308" s="164"/>
      <c r="DT308" s="164"/>
      <c r="DU308" s="164"/>
      <c r="DV308" s="164"/>
      <c r="DW308" s="164"/>
      <c r="DX308" s="164"/>
      <c r="DY308" s="164"/>
      <c r="DZ308" s="164"/>
      <c r="EA308" s="164"/>
      <c r="EB308" s="164"/>
      <c r="EC308" s="164"/>
      <c r="ED308" s="164"/>
      <c r="EE308" s="63"/>
      <c r="EF308" s="215">
        <f>+EF325/EF295*1000</f>
        <v>563.81928687196114</v>
      </c>
      <c r="EG308" s="215">
        <f>+AL308+AM308+AN308+AO308</f>
        <v>570.96115031614795</v>
      </c>
      <c r="EH308" s="215">
        <f>+AP308+AQ308+AR308+AS308</f>
        <v>672.54321188022232</v>
      </c>
      <c r="EI308" s="215">
        <f>+AT308+AU308+AV308+AW308</f>
        <v>725.20733938148771</v>
      </c>
      <c r="EJ308" s="216">
        <f>+AX308+AY308+AZ308+BA308</f>
        <v>778.00469914755013</v>
      </c>
      <c r="EK308" s="216">
        <f>+BB308+BC308+BD308+BE308</f>
        <v>614.05119463027859</v>
      </c>
      <c r="EL308" s="216">
        <f t="shared" ref="EL308:EW308" si="1187">+EL325/EL295*1000</f>
        <v>604.84235251603582</v>
      </c>
      <c r="EM308" s="216">
        <f t="shared" si="1187"/>
        <v>746.00555097142001</v>
      </c>
      <c r="EN308" s="216">
        <f t="shared" si="1187"/>
        <v>908.75425787295148</v>
      </c>
      <c r="EO308" s="216">
        <f t="shared" si="1187"/>
        <v>905.91900311526479</v>
      </c>
      <c r="EP308" s="216">
        <f t="shared" si="1187"/>
        <v>842.85894524350238</v>
      </c>
      <c r="EQ308" s="216">
        <f t="shared" si="1187"/>
        <v>876.22014537902396</v>
      </c>
      <c r="ER308" s="216">
        <f t="shared" si="1187"/>
        <v>822.23063335856671</v>
      </c>
      <c r="ES308" s="216">
        <f t="shared" si="1187"/>
        <v>848.7607149976742</v>
      </c>
      <c r="ET308" s="216">
        <f t="shared" si="1187"/>
        <v>1084.5388788426765</v>
      </c>
      <c r="EU308" s="216">
        <f t="shared" si="1187"/>
        <v>720.31344183242913</v>
      </c>
      <c r="EV308" s="216">
        <f t="shared" si="1187"/>
        <v>662.13292117465232</v>
      </c>
      <c r="EW308" s="216">
        <f t="shared" si="1187"/>
        <v>696.23596742240807</v>
      </c>
      <c r="EX308" s="216">
        <f>+EX325/EX295*1000</f>
        <v>699.55654101995572</v>
      </c>
      <c r="EY308" s="216">
        <f>+EY325/EY295*1000</f>
        <v>763.95883512152398</v>
      </c>
      <c r="EZ308" s="1745">
        <f>+EZ325/EZ295*1000</f>
        <v>776.0315674692107</v>
      </c>
      <c r="FA308" s="216">
        <f t="shared" ref="FA308:FE308" si="1188">FA325/FA295*1000</f>
        <v>781.81984072186083</v>
      </c>
      <c r="FB308" s="216">
        <f t="shared" si="1188"/>
        <v>786.59758029577461</v>
      </c>
      <c r="FC308" s="216">
        <f t="shared" si="1188"/>
        <v>784.48883605677327</v>
      </c>
      <c r="FD308" s="216">
        <f t="shared" si="1188"/>
        <v>782.39537614272444</v>
      </c>
      <c r="FE308" s="216">
        <f t="shared" si="1188"/>
        <v>780.31702060249233</v>
      </c>
      <c r="FF308" s="216">
        <f>FF325/FF295*1000</f>
        <v>778.25359241057265</v>
      </c>
      <c r="FG308" s="216">
        <f>FG325/FG295*1000</f>
        <v>776.20491740652801</v>
      </c>
      <c r="FH308" s="216">
        <f>FH325/FH295*1000</f>
        <v>774.17082423594218</v>
      </c>
      <c r="FI308" s="755"/>
      <c r="FJ308"/>
      <c r="FK308"/>
      <c r="FL308"/>
      <c r="FM308"/>
      <c r="FN308"/>
      <c r="FO308"/>
      <c r="FP308" s="3"/>
      <c r="FS308" s="217"/>
      <c r="FT308" s="217"/>
      <c r="FU308"/>
      <c r="FV308"/>
      <c r="FW308" s="217"/>
      <c r="FX308" s="217"/>
      <c r="FY308" s="217"/>
      <c r="FZ308"/>
      <c r="GA308"/>
      <c r="GB308"/>
      <c r="GC308"/>
      <c r="GD308"/>
      <c r="GE308"/>
      <c r="GF308"/>
      <c r="GG308"/>
      <c r="GH308"/>
      <c r="GI308"/>
      <c r="GJ308"/>
      <c r="GK308"/>
      <c r="GL308"/>
      <c r="GM308"/>
      <c r="GN308"/>
      <c r="GO308"/>
      <c r="GP308"/>
      <c r="GQ308"/>
      <c r="GR308"/>
      <c r="GS308"/>
      <c r="GT308"/>
      <c r="GU308"/>
      <c r="GV308"/>
      <c r="GW308"/>
      <c r="GX308"/>
      <c r="GY308"/>
      <c r="GZ308"/>
      <c r="HA308"/>
      <c r="HB308"/>
      <c r="HC308"/>
      <c r="HD308"/>
      <c r="HE308"/>
      <c r="HF308"/>
      <c r="HG308"/>
      <c r="HH308"/>
      <c r="HI308"/>
      <c r="HJ308"/>
      <c r="HK308"/>
      <c r="HL308"/>
      <c r="HM308"/>
      <c r="HN308"/>
      <c r="HO308"/>
      <c r="HP308"/>
      <c r="HQ308"/>
      <c r="HR308"/>
      <c r="HS308"/>
      <c r="HT308"/>
      <c r="HU308"/>
      <c r="HV308"/>
      <c r="HW308"/>
      <c r="HX308"/>
      <c r="HY308"/>
      <c r="HZ308"/>
      <c r="IA308"/>
      <c r="IB308"/>
      <c r="IC308"/>
      <c r="ID308"/>
      <c r="IE308"/>
      <c r="IF308"/>
      <c r="IG308"/>
      <c r="IH308"/>
      <c r="II308"/>
      <c r="IJ308"/>
      <c r="IK308"/>
      <c r="IL308"/>
      <c r="IM308"/>
      <c r="IN308"/>
      <c r="IO308"/>
      <c r="IP308"/>
      <c r="IQ308"/>
      <c r="IR308"/>
      <c r="IS308"/>
      <c r="IT308"/>
      <c r="IU308"/>
      <c r="IV308"/>
      <c r="IW308"/>
      <c r="IX308"/>
      <c r="IY308"/>
      <c r="IZ308"/>
    </row>
    <row r="309" spans="1:260" s="4" customFormat="1" x14ac:dyDescent="0.2">
      <c r="A309" s="25" t="s">
        <v>482</v>
      </c>
      <c r="B309" s="25"/>
      <c r="C309" s="25"/>
      <c r="D309" s="25"/>
      <c r="E309" s="477"/>
      <c r="F309" s="25"/>
      <c r="G309" s="25"/>
      <c r="H309" s="25"/>
      <c r="I309" s="477"/>
      <c r="J309" s="25"/>
      <c r="K309" s="25"/>
      <c r="L309" s="25"/>
      <c r="M309" s="477"/>
      <c r="N309" s="25"/>
      <c r="O309" s="25"/>
      <c r="P309" s="25"/>
      <c r="Q309" s="477"/>
      <c r="R309" s="25"/>
      <c r="S309" s="25"/>
      <c r="T309" s="25"/>
      <c r="U309" s="477"/>
      <c r="V309" s="25"/>
      <c r="W309" s="25"/>
      <c r="X309" s="25"/>
      <c r="Y309" s="477"/>
      <c r="Z309" s="25"/>
      <c r="AA309" s="25"/>
      <c r="AB309" s="25"/>
      <c r="AC309" s="477"/>
      <c r="AD309" s="25"/>
      <c r="AE309" s="25"/>
      <c r="AF309" s="25"/>
      <c r="AG309" s="477"/>
      <c r="AH309" s="1269" t="s">
        <v>483</v>
      </c>
      <c r="AI309" s="1269" t="s">
        <v>483</v>
      </c>
      <c r="AJ309" s="1269" t="s">
        <v>483</v>
      </c>
      <c r="AK309" s="556" t="s">
        <v>483</v>
      </c>
      <c r="AL309" s="1269" t="s">
        <v>483</v>
      </c>
      <c r="AM309" s="1269" t="s">
        <v>483</v>
      </c>
      <c r="AN309" s="15">
        <f t="shared" ref="AN309:BY309" si="1189">AN308/AJ308-1</f>
        <v>-4.6262660801917543E-2</v>
      </c>
      <c r="AO309" s="518">
        <f t="shared" si="1189"/>
        <v>-1.6031095123625216E-2</v>
      </c>
      <c r="AP309" s="15">
        <f t="shared" si="1189"/>
        <v>2.3117029766053898E-2</v>
      </c>
      <c r="AQ309" s="15">
        <f t="shared" si="1189"/>
        <v>0.17393835191902429</v>
      </c>
      <c r="AR309" s="15">
        <f t="shared" si="1189"/>
        <v>0.22183763352353814</v>
      </c>
      <c r="AS309" s="518">
        <f t="shared" si="1189"/>
        <v>0.24771015672705055</v>
      </c>
      <c r="AT309" s="15">
        <f t="shared" si="1189"/>
        <v>0.11519692999943043</v>
      </c>
      <c r="AU309" s="15">
        <f t="shared" si="1189"/>
        <v>6.0766955763811747E-2</v>
      </c>
      <c r="AV309" s="15">
        <f t="shared" si="1189"/>
        <v>8.7432299288158655E-2</v>
      </c>
      <c r="AW309" s="518">
        <f t="shared" si="1189"/>
        <v>6.3285679073206813E-2</v>
      </c>
      <c r="AX309" s="15">
        <f t="shared" si="1189"/>
        <v>9.879570415934702E-2</v>
      </c>
      <c r="AY309" s="15">
        <f t="shared" si="1189"/>
        <v>7.6508157786888464E-2</v>
      </c>
      <c r="AZ309" s="15">
        <f t="shared" si="1189"/>
        <v>2.7091195043093208E-2</v>
      </c>
      <c r="BA309" s="518">
        <f t="shared" si="1189"/>
        <v>8.953667259607001E-2</v>
      </c>
      <c r="BB309" s="15">
        <f t="shared" si="1189"/>
        <v>0.12845914589275886</v>
      </c>
      <c r="BC309" s="15">
        <f t="shared" si="1189"/>
        <v>-0.34515082931316077</v>
      </c>
      <c r="BD309" s="15">
        <f t="shared" si="1189"/>
        <v>-0.24577797039076577</v>
      </c>
      <c r="BE309" s="518">
        <f t="shared" si="1189"/>
        <v>-0.2930070941073305</v>
      </c>
      <c r="BF309" s="15">
        <f t="shared" si="1189"/>
        <v>-0.25168758760432153</v>
      </c>
      <c r="BG309" s="15">
        <f t="shared" si="1189"/>
        <v>0.41122172304898652</v>
      </c>
      <c r="BH309" s="15">
        <f t="shared" si="1189"/>
        <v>0.1550771711762422</v>
      </c>
      <c r="BI309" s="518">
        <f t="shared" si="1189"/>
        <v>4.7265599431763672E-2</v>
      </c>
      <c r="BJ309" s="15">
        <f t="shared" si="1189"/>
        <v>5.2737840822116855E-2</v>
      </c>
      <c r="BK309" s="15">
        <f t="shared" si="1189"/>
        <v>-5.2630705095655039E-2</v>
      </c>
      <c r="BL309" s="15">
        <f t="shared" si="1189"/>
        <v>0.57575412202720178</v>
      </c>
      <c r="BM309" s="518">
        <f t="shared" si="1189"/>
        <v>0.27707277153089982</v>
      </c>
      <c r="BN309" s="15">
        <f t="shared" si="1189"/>
        <v>0.43402629943976434</v>
      </c>
      <c r="BO309" s="15">
        <f t="shared" si="1189"/>
        <v>0.39798941031096802</v>
      </c>
      <c r="BP309" s="15">
        <f t="shared" si="1189"/>
        <v>-0.11330686732535189</v>
      </c>
      <c r="BQ309" s="518">
        <f t="shared" si="1189"/>
        <v>0.13035923335392141</v>
      </c>
      <c r="BR309" s="15">
        <f t="shared" si="1189"/>
        <v>8.3068460612879536E-2</v>
      </c>
      <c r="BS309" s="15">
        <f t="shared" si="1189"/>
        <v>1.1831254977208383E-2</v>
      </c>
      <c r="BT309" s="15">
        <f t="shared" si="1189"/>
        <v>-2.180631746569428E-2</v>
      </c>
      <c r="BU309" s="518">
        <f t="shared" si="1189"/>
        <v>-1.6507692724919587E-2</v>
      </c>
      <c r="BV309" s="15">
        <f t="shared" si="1189"/>
        <v>2.1468827722016082E-2</v>
      </c>
      <c r="BW309" s="15">
        <f t="shared" si="1189"/>
        <v>-1.8925902095384584E-2</v>
      </c>
      <c r="BX309" s="15">
        <f t="shared" si="1189"/>
        <v>-6.9264664754508876E-2</v>
      </c>
      <c r="BY309" s="518">
        <f t="shared" si="1189"/>
        <v>-0.1127559363591355</v>
      </c>
      <c r="BZ309" s="15">
        <f>BZ308/BN308-1</f>
        <v>6.3025643429750033E-2</v>
      </c>
      <c r="CA309" s="15">
        <f>CA308/BO308-1</f>
        <v>-5.2998443068179468E-2</v>
      </c>
      <c r="CB309" s="15">
        <f>CB308/BP308-1</f>
        <v>-6.3948623914499292E-2</v>
      </c>
      <c r="CC309" s="518">
        <f>CC308/BQ308-1</f>
        <v>-2.9101336669248967E-2</v>
      </c>
      <c r="CD309" s="15">
        <f t="shared" ref="CD309:CK309" si="1190">CD308/BZ308-1</f>
        <v>5.5980490665070715E-3</v>
      </c>
      <c r="CE309" s="15">
        <f t="shared" si="1190"/>
        <v>-5.9708855288461704E-3</v>
      </c>
      <c r="CF309" s="15">
        <f t="shared" si="1190"/>
        <v>-6.4887253740848694E-2</v>
      </c>
      <c r="CG309" s="518">
        <f t="shared" si="1190"/>
        <v>-8.8312485201772706E-2</v>
      </c>
      <c r="CH309" s="15">
        <f t="shared" si="1190"/>
        <v>-0.14968014667904561</v>
      </c>
      <c r="CI309" s="15">
        <f t="shared" si="1190"/>
        <v>-0.1103251517321242</v>
      </c>
      <c r="CJ309" s="15">
        <f t="shared" si="1190"/>
        <v>-5.8605249506226476E-2</v>
      </c>
      <c r="CK309" s="518">
        <f t="shared" si="1190"/>
        <v>7.2169009806062112E-2</v>
      </c>
      <c r="CL309" s="407" t="s">
        <v>483</v>
      </c>
      <c r="CM309" s="407" t="s">
        <v>483</v>
      </c>
      <c r="CN309" s="407" t="s">
        <v>483</v>
      </c>
      <c r="CO309" s="786" t="s">
        <v>483</v>
      </c>
      <c r="CP309" s="77">
        <f>CP308/CL308-1</f>
        <v>-0.36686009026434563</v>
      </c>
      <c r="CQ309" s="77">
        <f>CQ308/CM308-1</f>
        <v>-0.37565104166666674</v>
      </c>
      <c r="CR309" s="407" t="s">
        <v>483</v>
      </c>
      <c r="CS309" s="487">
        <f t="shared" ref="CS309:DB309" si="1191">CS308/CO308-1</f>
        <v>-0.28101582014987514</v>
      </c>
      <c r="CT309" s="77">
        <f t="shared" si="1191"/>
        <v>-0.12864287739896807</v>
      </c>
      <c r="CU309" s="77">
        <f t="shared" si="1191"/>
        <v>-7.2459199262798091E-2</v>
      </c>
      <c r="CV309" s="77">
        <f t="shared" si="1191"/>
        <v>-4.1652044218283946E-2</v>
      </c>
      <c r="CW309" s="487">
        <f t="shared" si="1191"/>
        <v>-0.10203057360639134</v>
      </c>
      <c r="CX309" s="77">
        <f t="shared" si="1191"/>
        <v>0.14075723349293701</v>
      </c>
      <c r="CY309" s="77">
        <f t="shared" si="1191"/>
        <v>7.327656551499051E-2</v>
      </c>
      <c r="CZ309" s="77">
        <f t="shared" si="1191"/>
        <v>1.5527317205762614E-2</v>
      </c>
      <c r="DA309" s="487">
        <f t="shared" si="1191"/>
        <v>5.1172394998060922E-2</v>
      </c>
      <c r="DB309" s="77">
        <f t="shared" si="1191"/>
        <v>-7.6966023606888312E-2</v>
      </c>
      <c r="DC309" s="77">
        <f t="shared" ref="DC309:DM309" si="1192">DC308/CY308-1</f>
        <v>-4.6153846153845768E-3</v>
      </c>
      <c r="DD309" s="70">
        <f t="shared" si="1192"/>
        <v>3.7964926508596619E-2</v>
      </c>
      <c r="DE309" s="487">
        <f t="shared" si="1192"/>
        <v>3.2590261386484798E-2</v>
      </c>
      <c r="DF309" s="70">
        <f t="shared" si="1192"/>
        <v>3.2573289902282365E-3</v>
      </c>
      <c r="DG309" s="70">
        <f t="shared" si="1192"/>
        <v>2.7692307692307683E-2</v>
      </c>
      <c r="DH309" s="70">
        <f t="shared" si="1192"/>
        <v>8.6224840074778708E-2</v>
      </c>
      <c r="DI309" s="487">
        <f t="shared" si="1192"/>
        <v>0.18778528237691816</v>
      </c>
      <c r="DJ309" s="1673">
        <f t="shared" si="1192"/>
        <v>5.3974162469891951E-3</v>
      </c>
      <c r="DK309" s="70">
        <f t="shared" si="1192"/>
        <v>-1.7924804637937664E-3</v>
      </c>
      <c r="DL309" s="70">
        <f t="shared" si="1192"/>
        <v>9.9999999999997868E-3</v>
      </c>
      <c r="DM309" s="487">
        <f t="shared" si="1192"/>
        <v>2.5000000000000133E-2</v>
      </c>
      <c r="DN309" s="580"/>
      <c r="DO309" s="487"/>
      <c r="DP309" s="77"/>
      <c r="DQ309" s="77"/>
      <c r="DR309" s="77"/>
      <c r="DS309" s="77"/>
      <c r="DT309" s="77"/>
      <c r="DU309" s="77"/>
      <c r="DV309" s="77"/>
      <c r="DW309" s="77"/>
      <c r="DX309" s="77"/>
      <c r="DY309" s="77"/>
      <c r="DZ309" s="77"/>
      <c r="EA309" s="77"/>
      <c r="EB309" s="77"/>
      <c r="EC309" s="77"/>
      <c r="ED309" s="77"/>
      <c r="EE309" s="15"/>
      <c r="EF309" s="1269" t="s">
        <v>483</v>
      </c>
      <c r="EG309" s="15">
        <f t="shared" ref="EG309:EP309" si="1193">EG308/EF308-1</f>
        <v>1.2666937102860487E-2</v>
      </c>
      <c r="EH309" s="15">
        <f t="shared" si="1193"/>
        <v>0.17791413918062049</v>
      </c>
      <c r="EI309" s="15">
        <f t="shared" si="1193"/>
        <v>7.8305938668286945E-2</v>
      </c>
      <c r="EJ309" s="15">
        <f t="shared" si="1193"/>
        <v>7.2803123877775544E-2</v>
      </c>
      <c r="EK309" s="15">
        <f t="shared" si="1193"/>
        <v>-0.21073587948365002</v>
      </c>
      <c r="EL309" s="15">
        <f t="shared" si="1193"/>
        <v>-1.4996863770922908E-2</v>
      </c>
      <c r="EM309" s="15">
        <f t="shared" si="1193"/>
        <v>0.23338841578829683</v>
      </c>
      <c r="EN309" s="15">
        <f t="shared" si="1193"/>
        <v>0.21816018217237976</v>
      </c>
      <c r="EO309" s="15">
        <f t="shared" si="1193"/>
        <v>-3.1199355965857434E-3</v>
      </c>
      <c r="EP309" s="15">
        <f t="shared" si="1193"/>
        <v>-6.9608935958857421E-2</v>
      </c>
      <c r="EQ309" s="15">
        <f>EQ308/EN308-1</f>
        <v>-3.5800781357632983E-2</v>
      </c>
      <c r="ER309" s="15">
        <f>ER308/EQ308-1</f>
        <v>-6.161637837840761E-2</v>
      </c>
      <c r="ES309" s="15">
        <f>ES308/ER308-1</f>
        <v>3.2265985433721944E-2</v>
      </c>
      <c r="ET309" s="407" t="s">
        <v>483</v>
      </c>
      <c r="EU309" s="15">
        <f t="shared" ref="EU309:FC309" si="1194">EU308/ET308-1</f>
        <v>-0.3358343754342088</v>
      </c>
      <c r="EV309" s="15">
        <f t="shared" si="1194"/>
        <v>-8.0771116126570508E-2</v>
      </c>
      <c r="EW309" s="15">
        <f t="shared" si="1194"/>
        <v>5.1504834085662754E-2</v>
      </c>
      <c r="EX309" s="77">
        <f t="shared" si="1194"/>
        <v>4.7693221162374844E-3</v>
      </c>
      <c r="EY309" s="77">
        <f t="shared" si="1194"/>
        <v>9.2061599492257562E-2</v>
      </c>
      <c r="EZ309" s="1680">
        <f t="shared" si="1194"/>
        <v>1.5802857160184924E-2</v>
      </c>
      <c r="FA309" s="15">
        <f t="shared" si="1194"/>
        <v>7.4588115938720723E-3</v>
      </c>
      <c r="FB309" s="15">
        <f t="shared" si="1194"/>
        <v>6.1110492789520077E-3</v>
      </c>
      <c r="FC309" s="15">
        <f t="shared" si="1194"/>
        <v>-2.6808425195109509E-3</v>
      </c>
      <c r="FD309" s="15">
        <f>FD308/FC308-1</f>
        <v>-2.668565590520755E-3</v>
      </c>
      <c r="FE309" s="15">
        <f>FE308/FD308-1</f>
        <v>-2.65640059183192E-3</v>
      </c>
      <c r="FF309" s="15">
        <f>FF308/FE308-1</f>
        <v>-2.6443459996893237E-3</v>
      </c>
      <c r="FG309" s="15">
        <f>FG308/FF308-1</f>
        <v>-2.6324003178694877E-3</v>
      </c>
      <c r="FH309" s="15">
        <f>FH308/FG308-1</f>
        <v>-2.6205620770636262E-3</v>
      </c>
      <c r="FI309" s="580"/>
      <c r="FJ309"/>
      <c r="FK309"/>
      <c r="FL309"/>
      <c r="FM309"/>
      <c r="FN309"/>
      <c r="FO309"/>
      <c r="FP309" s="3"/>
      <c r="FS309" s="70"/>
      <c r="FT309" s="70"/>
      <c r="FU309"/>
      <c r="FV309"/>
      <c r="FW309" s="70"/>
      <c r="FX309" s="70"/>
      <c r="FY309" s="70"/>
      <c r="FZ309"/>
      <c r="GA309"/>
      <c r="GB309"/>
      <c r="GC309"/>
      <c r="GD309"/>
      <c r="GE309"/>
      <c r="GF309"/>
      <c r="GG309"/>
      <c r="GH309"/>
      <c r="GI309"/>
      <c r="GJ309"/>
      <c r="GK309"/>
      <c r="GL309"/>
      <c r="GM309"/>
      <c r="GN309"/>
      <c r="GO309"/>
      <c r="GP309"/>
      <c r="GQ309"/>
      <c r="GR309"/>
      <c r="GS309"/>
      <c r="GT309"/>
      <c r="GU309"/>
      <c r="GV309"/>
      <c r="GW309"/>
      <c r="GX309"/>
      <c r="GY309"/>
      <c r="GZ309"/>
      <c r="HA309"/>
      <c r="HB309"/>
      <c r="HC309"/>
      <c r="HD309"/>
      <c r="HE309"/>
      <c r="HF309"/>
      <c r="HG309"/>
      <c r="HH309"/>
      <c r="HI309"/>
      <c r="HJ309"/>
      <c r="HK309"/>
      <c r="HL309"/>
      <c r="HM309"/>
      <c r="HN309"/>
      <c r="HO309"/>
      <c r="HP309"/>
      <c r="HQ309"/>
      <c r="HR309"/>
      <c r="HS309"/>
      <c r="HT309"/>
      <c r="HU309"/>
      <c r="HV309"/>
      <c r="HW309"/>
      <c r="HX309"/>
      <c r="HY309"/>
      <c r="HZ309"/>
      <c r="IA309"/>
      <c r="IB309"/>
      <c r="IC309"/>
      <c r="ID309"/>
      <c r="IE309"/>
      <c r="IF309"/>
      <c r="IG309"/>
      <c r="IH309"/>
      <c r="II309"/>
      <c r="IJ309"/>
      <c r="IK309"/>
      <c r="IL309"/>
      <c r="IM309"/>
      <c r="IN309"/>
      <c r="IO309"/>
      <c r="IP309"/>
      <c r="IQ309"/>
      <c r="IR309"/>
      <c r="IS309"/>
      <c r="IT309"/>
      <c r="IU309"/>
      <c r="IV309"/>
      <c r="IW309"/>
      <c r="IX309"/>
      <c r="IY309"/>
      <c r="IZ309"/>
    </row>
    <row r="310" spans="1:260" s="4" customFormat="1" x14ac:dyDescent="0.2">
      <c r="A310" s="20" t="s">
        <v>342</v>
      </c>
      <c r="B310" s="20"/>
      <c r="C310" s="20"/>
      <c r="D310" s="20"/>
      <c r="E310" s="542"/>
      <c r="F310" s="20"/>
      <c r="G310" s="20"/>
      <c r="H310" s="20"/>
      <c r="I310" s="542"/>
      <c r="J310" s="20"/>
      <c r="K310" s="20"/>
      <c r="L310" s="20"/>
      <c r="M310" s="542"/>
      <c r="N310" s="20"/>
      <c r="O310" s="20"/>
      <c r="P310" s="20"/>
      <c r="Q310" s="542"/>
      <c r="R310" s="20"/>
      <c r="S310" s="20"/>
      <c r="T310" s="20"/>
      <c r="U310" s="542"/>
      <c r="V310" s="20"/>
      <c r="W310" s="20"/>
      <c r="X310" s="20"/>
      <c r="Y310" s="542"/>
      <c r="Z310" s="20"/>
      <c r="AA310" s="20"/>
      <c r="AB310" s="20"/>
      <c r="AC310" s="542"/>
      <c r="AD310" s="20"/>
      <c r="AE310" s="20"/>
      <c r="AF310" s="20"/>
      <c r="AG310" s="542"/>
      <c r="AH310" s="1269" t="s">
        <v>483</v>
      </c>
      <c r="AI310" s="1269" t="s">
        <v>483</v>
      </c>
      <c r="AJ310" s="215">
        <f t="shared" ref="AJ310:BO310" si="1195">+AJ325/AJ297*1000</f>
        <v>288.04001633319723</v>
      </c>
      <c r="AK310" s="551">
        <f t="shared" si="1195"/>
        <v>192.39373601789708</v>
      </c>
      <c r="AL310" s="215">
        <f t="shared" si="1195"/>
        <v>121.78456591639872</v>
      </c>
      <c r="AM310" s="215">
        <f t="shared" si="1195"/>
        <v>128.53569366942466</v>
      </c>
      <c r="AN310" s="215">
        <f t="shared" si="1195"/>
        <v>146.33298574904413</v>
      </c>
      <c r="AO310" s="551">
        <f t="shared" si="1195"/>
        <v>188.58075040783035</v>
      </c>
      <c r="AP310" s="215">
        <f t="shared" si="1195"/>
        <v>125.08059316569955</v>
      </c>
      <c r="AQ310" s="215">
        <f t="shared" si="1195"/>
        <v>150.18541409147096</v>
      </c>
      <c r="AR310" s="215">
        <f t="shared" si="1195"/>
        <v>173.98843930635837</v>
      </c>
      <c r="AS310" s="551">
        <f t="shared" si="1195"/>
        <v>235.29411764705881</v>
      </c>
      <c r="AT310" s="215">
        <f t="shared" si="1195"/>
        <v>138.47648119883445</v>
      </c>
      <c r="AU310" s="215">
        <f t="shared" si="1195"/>
        <v>156.59528031646434</v>
      </c>
      <c r="AV310" s="215">
        <f t="shared" si="1195"/>
        <v>189.09090909090909</v>
      </c>
      <c r="AW310" s="551">
        <f t="shared" si="1195"/>
        <v>252.29927914491674</v>
      </c>
      <c r="AX310" s="164">
        <f t="shared" si="1195"/>
        <v>152.86935286935289</v>
      </c>
      <c r="AY310" s="164">
        <f t="shared" si="1195"/>
        <v>168.51918250268912</v>
      </c>
      <c r="AZ310" s="164">
        <f t="shared" si="1195"/>
        <v>195.9413754227734</v>
      </c>
      <c r="BA310" s="561">
        <f t="shared" si="1195"/>
        <v>273.04783182148526</v>
      </c>
      <c r="BB310" s="164">
        <f t="shared" si="1195"/>
        <v>171.12680668146044</v>
      </c>
      <c r="BC310" s="164">
        <f t="shared" si="1195"/>
        <v>143.68299609773371</v>
      </c>
      <c r="BD310" s="164">
        <f t="shared" si="1195"/>
        <v>143.33424582534903</v>
      </c>
      <c r="BE310" s="561">
        <f t="shared" si="1195"/>
        <v>194.35669540076029</v>
      </c>
      <c r="BF310" s="164">
        <f t="shared" si="1195"/>
        <v>128.87249736564803</v>
      </c>
      <c r="BG310" s="164">
        <f t="shared" si="1195"/>
        <v>156.17595549603379</v>
      </c>
      <c r="BH310" s="164">
        <f t="shared" si="1195"/>
        <v>168.84836005294895</v>
      </c>
      <c r="BI310" s="561">
        <f t="shared" si="1195"/>
        <v>206.71786804848711</v>
      </c>
      <c r="BJ310" s="164">
        <f t="shared" si="1195"/>
        <v>136.71944493862301</v>
      </c>
      <c r="BK310" s="164">
        <f t="shared" si="1195"/>
        <v>145.95091219320122</v>
      </c>
      <c r="BL310" s="164">
        <f t="shared" si="1195"/>
        <v>272.13573840705044</v>
      </c>
      <c r="BM310" s="561">
        <f t="shared" si="1195"/>
        <v>262.58071911657942</v>
      </c>
      <c r="BN310" s="164">
        <f t="shared" si="1195"/>
        <v>192.93570061183891</v>
      </c>
      <c r="BO310" s="164">
        <f t="shared" si="1195"/>
        <v>205.12054937672613</v>
      </c>
      <c r="BP310" s="164">
        <f t="shared" ref="BP310:CU310" si="1196">+BP325/BP297*1000</f>
        <v>228.77218934911241</v>
      </c>
      <c r="BQ310" s="561">
        <f t="shared" si="1196"/>
        <v>292.06324386560181</v>
      </c>
      <c r="BR310" s="164">
        <f t="shared" si="1196"/>
        <v>209.6782560525933</v>
      </c>
      <c r="BS310" s="164">
        <f t="shared" si="1196"/>
        <v>209.05195693659309</v>
      </c>
      <c r="BT310" s="164">
        <f t="shared" si="1196"/>
        <v>224.52870154628258</v>
      </c>
      <c r="BU310" s="561">
        <f t="shared" si="1196"/>
        <v>288.50242219356636</v>
      </c>
      <c r="BV310" s="164">
        <f t="shared" si="1196"/>
        <v>213.454343910212</v>
      </c>
      <c r="BW310" s="164">
        <f t="shared" si="1196"/>
        <v>206.32008154943935</v>
      </c>
      <c r="BX310" s="164">
        <f t="shared" si="1196"/>
        <v>210.89930772006957</v>
      </c>
      <c r="BY310" s="561">
        <f t="shared" si="1196"/>
        <v>257.31068829012901</v>
      </c>
      <c r="BZ310" s="164">
        <f t="shared" si="1196"/>
        <v>205.79803692871499</v>
      </c>
      <c r="CA310" s="164">
        <f t="shared" si="1196"/>
        <v>195.65765311633601</v>
      </c>
      <c r="CB310" s="164">
        <f t="shared" si="1196"/>
        <v>214.85560968721316</v>
      </c>
      <c r="CC310" s="561">
        <f t="shared" si="1196"/>
        <v>284.80814135851949</v>
      </c>
      <c r="CD310" s="164">
        <f t="shared" si="1196"/>
        <v>206.24913398919216</v>
      </c>
      <c r="CE310" s="164">
        <f t="shared" si="1196"/>
        <v>195.65069656812776</v>
      </c>
      <c r="CF310" s="164">
        <f t="shared" si="1196"/>
        <v>202.76255782670034</v>
      </c>
      <c r="CG310" s="561">
        <f t="shared" si="1196"/>
        <v>261.01391903971393</v>
      </c>
      <c r="CH310" s="164">
        <f t="shared" si="1196"/>
        <v>175.69398493871506</v>
      </c>
      <c r="CI310" s="164">
        <f t="shared" si="1196"/>
        <v>171.70389837932547</v>
      </c>
      <c r="CJ310" s="164">
        <f t="shared" si="1196"/>
        <v>189.7778736251887</v>
      </c>
      <c r="CK310" s="561">
        <f t="shared" si="1196"/>
        <v>264.77044955617066</v>
      </c>
      <c r="CL310" s="164">
        <f t="shared" si="1196"/>
        <v>147.91855419388679</v>
      </c>
      <c r="CM310" s="164">
        <f t="shared" si="1196"/>
        <v>231.4996232102487</v>
      </c>
      <c r="CN310" s="164">
        <f t="shared" si="1196"/>
        <v>255.42096605353669</v>
      </c>
      <c r="CO310" s="561">
        <f t="shared" si="1196"/>
        <v>359.6346758496781</v>
      </c>
      <c r="CP310" s="164">
        <f t="shared" si="1196"/>
        <v>90.644759311395205</v>
      </c>
      <c r="CQ310" s="164">
        <f t="shared" si="1196"/>
        <v>144.53654860587793</v>
      </c>
      <c r="CR310" s="164">
        <f t="shared" si="1196"/>
        <v>166.29280693883655</v>
      </c>
      <c r="CS310" s="561">
        <f t="shared" si="1196"/>
        <v>258.57164246144629</v>
      </c>
      <c r="CT310" s="164">
        <f t="shared" si="1196"/>
        <v>129.29475587703433</v>
      </c>
      <c r="CU310" s="164">
        <f t="shared" si="1196"/>
        <v>132.70573944731248</v>
      </c>
      <c r="CV310" s="164">
        <f t="shared" ref="CV310:DE310" si="1197">+CV325/CV297*1000</f>
        <v>158.82712278558338</v>
      </c>
      <c r="CW310" s="561">
        <f t="shared" si="1197"/>
        <v>232.07981580966998</v>
      </c>
      <c r="CX310" s="164">
        <f t="shared" si="1197"/>
        <v>121.46558778070734</v>
      </c>
      <c r="CY310" s="164">
        <f t="shared" si="1197"/>
        <v>143.51954073746964</v>
      </c>
      <c r="CZ310" s="164">
        <f t="shared" si="1197"/>
        <v>160.98045710500168</v>
      </c>
      <c r="DA310" s="561">
        <f t="shared" si="1197"/>
        <v>246.05886892294123</v>
      </c>
      <c r="DB310" s="164">
        <f>+DB325/DB297*1000</f>
        <v>135.64564232850989</v>
      </c>
      <c r="DC310" s="164">
        <f t="shared" si="1197"/>
        <v>142.82546019072964</v>
      </c>
      <c r="DD310" s="166">
        <f t="shared" si="1197"/>
        <v>167.07344131351232</v>
      </c>
      <c r="DE310" s="561">
        <f t="shared" si="1197"/>
        <v>253.77107364685003</v>
      </c>
      <c r="DF310" s="166">
        <f t="shared" ref="DF310:DM310" si="1198">+DF325/DF297*1000</f>
        <v>136.58536585365854</v>
      </c>
      <c r="DG310" s="166">
        <f t="shared" si="1198"/>
        <v>147.46136865342163</v>
      </c>
      <c r="DH310" s="166">
        <f t="shared" si="1198"/>
        <v>181.85806734671493</v>
      </c>
      <c r="DI310" s="561">
        <f t="shared" si="1198"/>
        <v>301.2918765053646</v>
      </c>
      <c r="DJ310" s="2734">
        <f t="shared" si="1198"/>
        <v>137.32257392641804</v>
      </c>
      <c r="DK310" s="166">
        <f t="shared" si="1198"/>
        <v>146.55002704399686</v>
      </c>
      <c r="DL310" s="166">
        <f t="shared" si="1198"/>
        <v>183.334793080797</v>
      </c>
      <c r="DM310" s="561">
        <f t="shared" si="1198"/>
        <v>308.82417341799874</v>
      </c>
      <c r="DN310" s="583"/>
      <c r="DO310" s="561"/>
      <c r="DP310" s="164"/>
      <c r="DQ310" s="164"/>
      <c r="DR310" s="164"/>
      <c r="DS310" s="164"/>
      <c r="DT310" s="164"/>
      <c r="DU310" s="164"/>
      <c r="DV310" s="164"/>
      <c r="DW310" s="164"/>
      <c r="DX310" s="164"/>
      <c r="DY310" s="164"/>
      <c r="DZ310" s="164"/>
      <c r="EA310" s="164"/>
      <c r="EB310" s="164"/>
      <c r="EC310" s="164"/>
      <c r="ED310" s="164"/>
      <c r="EE310" s="63"/>
      <c r="EF310" s="215">
        <f>+EF325/EF297*1000</f>
        <v>1511.2745044800436</v>
      </c>
      <c r="EG310" s="215">
        <f>+AL310+AM310+AN310+AO310</f>
        <v>585.23399574269786</v>
      </c>
      <c r="EH310" s="215">
        <f>+AP310+AQ310+AR310+AS310</f>
        <v>684.54856421058764</v>
      </c>
      <c r="EI310" s="215">
        <f>+AT310+AU310+AV310+AW310</f>
        <v>736.46194975112462</v>
      </c>
      <c r="EJ310" s="216">
        <f>+AX310+AY310+AZ310+BA310</f>
        <v>790.37774261630068</v>
      </c>
      <c r="EK310" s="216">
        <f>+BB310+BC310+BD310+BE310</f>
        <v>652.50074400530343</v>
      </c>
      <c r="EL310" s="216">
        <f t="shared" ref="EL310:EW310" si="1199">+EL325/EL297*1000</f>
        <v>653.58520037096685</v>
      </c>
      <c r="EM310" s="216">
        <f t="shared" si="1199"/>
        <v>815.1639344262295</v>
      </c>
      <c r="EN310" s="216">
        <f t="shared" si="1199"/>
        <v>918.60053474566166</v>
      </c>
      <c r="EO310" s="216">
        <f t="shared" si="1199"/>
        <v>932.44827535470574</v>
      </c>
      <c r="EP310" s="216">
        <f t="shared" si="1199"/>
        <v>882.00151830214213</v>
      </c>
      <c r="EQ310" s="216">
        <f t="shared" si="1199"/>
        <v>901.87970511726348</v>
      </c>
      <c r="ER310" s="216">
        <f t="shared" si="1199"/>
        <v>860.41522262930323</v>
      </c>
      <c r="ES310" s="216">
        <f t="shared" si="1199"/>
        <v>826.70463739037575</v>
      </c>
      <c r="ET310" s="216">
        <f t="shared" si="1199"/>
        <v>678.16254416961135</v>
      </c>
      <c r="EU310" s="216">
        <f t="shared" si="1199"/>
        <v>720.31344183242913</v>
      </c>
      <c r="EV310" s="216">
        <f t="shared" si="1199"/>
        <v>653.74637570578363</v>
      </c>
      <c r="EW310" s="216">
        <f t="shared" si="1199"/>
        <v>574.41205847634615</v>
      </c>
      <c r="EX310" s="216">
        <f>+EX325/EX297*1000</f>
        <v>697.00651717662652</v>
      </c>
      <c r="EY310" s="216">
        <f>+EY325/EY297*1000</f>
        <v>768.75619698138155</v>
      </c>
      <c r="EZ310" s="1745">
        <f>+EZ325/EZ297*1000</f>
        <v>776.0315674692107</v>
      </c>
      <c r="FA310" s="216">
        <f t="shared" ref="FA310:FE310" si="1200">FA325/FA297*1000</f>
        <v>782.72999187520418</v>
      </c>
      <c r="FB310" s="216">
        <f t="shared" si="1200"/>
        <v>788.42263268625209</v>
      </c>
      <c r="FC310" s="216">
        <f t="shared" si="1200"/>
        <v>786.30058856498727</v>
      </c>
      <c r="FD310" s="216">
        <f t="shared" si="1200"/>
        <v>784.19398620282266</v>
      </c>
      <c r="FE310" s="216">
        <f t="shared" si="1200"/>
        <v>782.10264307526688</v>
      </c>
      <c r="FF310" s="216">
        <f>FF325/FF297*1000</f>
        <v>780.02637963702034</v>
      </c>
      <c r="FG310" s="216">
        <f>FG325/FG297*1000</f>
        <v>777.96501926005749</v>
      </c>
      <c r="FH310" s="216">
        <f>FH325/FH297*1000</f>
        <v>775.91838817326936</v>
      </c>
      <c r="FI310" s="755"/>
      <c r="FJ310"/>
      <c r="FK310"/>
      <c r="FL310"/>
      <c r="FM310"/>
      <c r="FN310"/>
      <c r="FO310"/>
      <c r="FP310" s="3"/>
      <c r="FS310" s="217"/>
      <c r="FT310" s="217"/>
      <c r="FU310"/>
      <c r="FV310"/>
      <c r="FW310" s="217"/>
      <c r="FX310" s="217"/>
      <c r="FY310" s="217"/>
      <c r="FZ310"/>
      <c r="GA310"/>
      <c r="GB310"/>
      <c r="GC310"/>
      <c r="GD310"/>
      <c r="GE310"/>
      <c r="GF310"/>
      <c r="GG310"/>
      <c r="GH310"/>
      <c r="GI310"/>
      <c r="GJ310"/>
      <c r="GK310"/>
      <c r="GL310"/>
      <c r="GM310"/>
      <c r="GN310"/>
      <c r="GO310"/>
      <c r="GP310"/>
      <c r="GQ310"/>
      <c r="GR310"/>
      <c r="GS310"/>
      <c r="GT310"/>
      <c r="GU310"/>
      <c r="GV310"/>
      <c r="GW310"/>
      <c r="GX310"/>
      <c r="GY310"/>
      <c r="GZ310"/>
      <c r="HA310"/>
      <c r="HB310"/>
      <c r="HC310"/>
      <c r="HD310"/>
      <c r="HE310"/>
      <c r="HF310"/>
      <c r="HG310"/>
      <c r="HH310"/>
      <c r="HI310"/>
      <c r="HJ310"/>
      <c r="HK310"/>
      <c r="HL310"/>
      <c r="HM310"/>
      <c r="HN310"/>
      <c r="HO310"/>
      <c r="HP310"/>
      <c r="HQ310"/>
      <c r="HR310"/>
      <c r="HS310"/>
      <c r="HT310"/>
      <c r="HU310"/>
      <c r="HV310"/>
      <c r="HW310"/>
      <c r="HX310"/>
      <c r="HY310"/>
      <c r="HZ310"/>
      <c r="IA310"/>
      <c r="IB310"/>
      <c r="IC310"/>
      <c r="ID310"/>
      <c r="IE310"/>
      <c r="IF310"/>
      <c r="IG310"/>
      <c r="IH310"/>
      <c r="II310"/>
      <c r="IJ310"/>
      <c r="IK310"/>
      <c r="IL310"/>
      <c r="IM310"/>
      <c r="IN310"/>
      <c r="IO310"/>
      <c r="IP310"/>
      <c r="IQ310"/>
      <c r="IR310"/>
      <c r="IS310"/>
      <c r="IT310"/>
      <c r="IU310"/>
      <c r="IV310"/>
      <c r="IW310"/>
      <c r="IX310"/>
      <c r="IY310"/>
      <c r="IZ310"/>
    </row>
    <row r="311" spans="1:260" s="4" customFormat="1" x14ac:dyDescent="0.2">
      <c r="A311" s="25" t="s">
        <v>482</v>
      </c>
      <c r="B311" s="25"/>
      <c r="C311" s="25"/>
      <c r="D311" s="25"/>
      <c r="E311" s="477"/>
      <c r="F311" s="25"/>
      <c r="G311" s="25"/>
      <c r="H311" s="25"/>
      <c r="I311" s="477"/>
      <c r="J311" s="25"/>
      <c r="K311" s="25"/>
      <c r="L311" s="25"/>
      <c r="M311" s="477"/>
      <c r="N311" s="25"/>
      <c r="O311" s="25"/>
      <c r="P311" s="25"/>
      <c r="Q311" s="477"/>
      <c r="R311" s="25"/>
      <c r="S311" s="25"/>
      <c r="T311" s="25"/>
      <c r="U311" s="477"/>
      <c r="V311" s="25"/>
      <c r="W311" s="25"/>
      <c r="X311" s="25"/>
      <c r="Y311" s="477"/>
      <c r="Z311" s="25"/>
      <c r="AA311" s="25"/>
      <c r="AB311" s="25"/>
      <c r="AC311" s="477"/>
      <c r="AD311" s="25"/>
      <c r="AE311" s="25"/>
      <c r="AF311" s="25"/>
      <c r="AG311" s="477"/>
      <c r="AH311" s="1269" t="s">
        <v>483</v>
      </c>
      <c r="AI311" s="1269" t="s">
        <v>483</v>
      </c>
      <c r="AJ311" s="1269" t="s">
        <v>483</v>
      </c>
      <c r="AK311" s="556" t="s">
        <v>483</v>
      </c>
      <c r="AL311" s="1269" t="s">
        <v>483</v>
      </c>
      <c r="AM311" s="1269" t="s">
        <v>483</v>
      </c>
      <c r="AN311" s="15">
        <f t="shared" ref="AN311:BY311" si="1201">AN310/AJ310-1</f>
        <v>-0.49196994357974932</v>
      </c>
      <c r="AO311" s="518">
        <f t="shared" si="1201"/>
        <v>-1.981865776395153E-2</v>
      </c>
      <c r="AP311" s="15">
        <f t="shared" si="1201"/>
        <v>2.7064408568516329E-2</v>
      </c>
      <c r="AQ311" s="15">
        <f t="shared" si="1201"/>
        <v>0.1684335284930758</v>
      </c>
      <c r="AR311" s="15">
        <f t="shared" si="1201"/>
        <v>0.18898988096055369</v>
      </c>
      <c r="AS311" s="518">
        <f t="shared" si="1201"/>
        <v>0.24771015672705055</v>
      </c>
      <c r="AT311" s="15">
        <f t="shared" si="1201"/>
        <v>0.1070980532958361</v>
      </c>
      <c r="AU311" s="15">
        <f t="shared" si="1201"/>
        <v>4.2679685399338529E-2</v>
      </c>
      <c r="AV311" s="15">
        <f t="shared" si="1201"/>
        <v>8.6801570522500926E-2</v>
      </c>
      <c r="AW311" s="518">
        <f t="shared" si="1201"/>
        <v>7.2271936365896128E-2</v>
      </c>
      <c r="AX311" s="15">
        <f t="shared" si="1201"/>
        <v>0.10393730073088814</v>
      </c>
      <c r="AY311" s="15">
        <f t="shared" si="1201"/>
        <v>7.614470986691102E-2</v>
      </c>
      <c r="AZ311" s="15">
        <f t="shared" si="1201"/>
        <v>3.6228427716590073E-2</v>
      </c>
      <c r="BA311" s="518">
        <f t="shared" si="1201"/>
        <v>8.2237859524960655E-2</v>
      </c>
      <c r="BB311" s="15">
        <f t="shared" si="1201"/>
        <v>0.11943174658239686</v>
      </c>
      <c r="BC311" s="15">
        <f t="shared" si="1201"/>
        <v>-0.14737898698600138</v>
      </c>
      <c r="BD311" s="15">
        <f t="shared" si="1201"/>
        <v>-0.26848402734703924</v>
      </c>
      <c r="BE311" s="518">
        <f t="shared" si="1201"/>
        <v>-0.28819542677113108</v>
      </c>
      <c r="BF311" s="15">
        <f t="shared" si="1201"/>
        <v>-0.24691811958172982</v>
      </c>
      <c r="BG311" s="15">
        <f t="shared" si="1201"/>
        <v>8.6948071362614954E-2</v>
      </c>
      <c r="BH311" s="15">
        <f t="shared" si="1201"/>
        <v>0.17800431488430579</v>
      </c>
      <c r="BI311" s="518">
        <f t="shared" si="1201"/>
        <v>6.3600446705673219E-2</v>
      </c>
      <c r="BJ311" s="15">
        <f t="shared" si="1201"/>
        <v>6.0889233415807542E-2</v>
      </c>
      <c r="BK311" s="15">
        <f t="shared" si="1201"/>
        <v>-6.5471302995115943E-2</v>
      </c>
      <c r="BL311" s="15">
        <f t="shared" si="1201"/>
        <v>0.61171679915464816</v>
      </c>
      <c r="BM311" s="518">
        <f t="shared" si="1201"/>
        <v>0.27023716718570889</v>
      </c>
      <c r="BN311" s="15">
        <f t="shared" si="1201"/>
        <v>0.41117966576336573</v>
      </c>
      <c r="BO311" s="15">
        <f t="shared" si="1201"/>
        <v>0.40540779289683115</v>
      </c>
      <c r="BP311" s="15">
        <f t="shared" si="1201"/>
        <v>-0.15934529331489877</v>
      </c>
      <c r="BQ311" s="518">
        <f t="shared" si="1201"/>
        <v>0.11227985378443894</v>
      </c>
      <c r="BR311" s="15">
        <f t="shared" si="1201"/>
        <v>8.6777902625902348E-2</v>
      </c>
      <c r="BS311" s="15">
        <f t="shared" si="1201"/>
        <v>1.9166327175959896E-2</v>
      </c>
      <c r="BT311" s="15">
        <f t="shared" si="1201"/>
        <v>-1.8548967052783527E-2</v>
      </c>
      <c r="BU311" s="518">
        <f t="shared" si="1201"/>
        <v>-1.2191954129202265E-2</v>
      </c>
      <c r="BV311" s="15">
        <f t="shared" si="1201"/>
        <v>1.8008962534825423E-2</v>
      </c>
      <c r="BW311" s="15">
        <f t="shared" si="1201"/>
        <v>-1.3067925443923656E-2</v>
      </c>
      <c r="BX311" s="15">
        <f t="shared" si="1201"/>
        <v>-6.0702234201463812E-2</v>
      </c>
      <c r="BY311" s="518">
        <f t="shared" si="1201"/>
        <v>-0.10811602088563999</v>
      </c>
      <c r="BZ311" s="15">
        <f>BZ310/BN310-1</f>
        <v>6.6666440042392194E-2</v>
      </c>
      <c r="CA311" s="15">
        <f>CA310/BO310-1</f>
        <v>-4.613334104819744E-2</v>
      </c>
      <c r="CB311" s="15">
        <f>CB310/BP310-1</f>
        <v>-6.0831605893591267E-2</v>
      </c>
      <c r="CC311" s="518">
        <f>CC310/BQ310-1</f>
        <v>-2.4840861215733367E-2</v>
      </c>
      <c r="CD311" s="15">
        <f t="shared" ref="CD311:CK311" si="1202">CD310/BZ310-1</f>
        <v>2.191940541363957E-3</v>
      </c>
      <c r="CE311" s="15">
        <f t="shared" si="1202"/>
        <v>-3.5554695139494719E-5</v>
      </c>
      <c r="CF311" s="15">
        <f t="shared" si="1202"/>
        <v>-5.6284552579836666E-2</v>
      </c>
      <c r="CG311" s="518">
        <f t="shared" si="1202"/>
        <v>-8.3544740699154185E-2</v>
      </c>
      <c r="CH311" s="15">
        <f t="shared" si="1202"/>
        <v>-0.14814679925918262</v>
      </c>
      <c r="CI311" s="15">
        <f t="shared" si="1202"/>
        <v>-0.12239567049261058</v>
      </c>
      <c r="CJ311" s="15">
        <f t="shared" si="1202"/>
        <v>-6.4038865659850064E-2</v>
      </c>
      <c r="CK311" s="518">
        <f t="shared" si="1202"/>
        <v>1.4392069703704768E-2</v>
      </c>
      <c r="CL311" s="407" t="s">
        <v>483</v>
      </c>
      <c r="CM311" s="407" t="s">
        <v>483</v>
      </c>
      <c r="CN311" s="407" t="s">
        <v>483</v>
      </c>
      <c r="CO311" s="786" t="s">
        <v>483</v>
      </c>
      <c r="CP311" s="77">
        <f>CP310/CL310-1</f>
        <v>-0.38719817939417511</v>
      </c>
      <c r="CQ311" s="77">
        <f>CQ310/CM310-1</f>
        <v>-0.37565104166666674</v>
      </c>
      <c r="CR311" s="407" t="s">
        <v>483</v>
      </c>
      <c r="CS311" s="487">
        <f t="shared" ref="CS311:DB311" si="1203">CS310/CO310-1</f>
        <v>-0.28101582014987525</v>
      </c>
      <c r="CT311" s="77">
        <f t="shared" si="1203"/>
        <v>0.42638975335422757</v>
      </c>
      <c r="CU311" s="77">
        <f t="shared" si="1203"/>
        <v>-8.1853408516247894E-2</v>
      </c>
      <c r="CV311" s="77">
        <f t="shared" si="1203"/>
        <v>-4.4894811090650966E-2</v>
      </c>
      <c r="CW311" s="487">
        <f t="shared" si="1203"/>
        <v>-0.10245449346103874</v>
      </c>
      <c r="CX311" s="77">
        <f t="shared" si="1203"/>
        <v>-6.05528665352284E-2</v>
      </c>
      <c r="CY311" s="77">
        <f t="shared" si="1203"/>
        <v>8.1487065557179772E-2</v>
      </c>
      <c r="CZ311" s="77">
        <f t="shared" si="1203"/>
        <v>1.3557724157260642E-2</v>
      </c>
      <c r="DA311" s="487">
        <f t="shared" si="1203"/>
        <v>6.0233816820742136E-2</v>
      </c>
      <c r="DB311" s="77">
        <f t="shared" si="1203"/>
        <v>0.11674133231383266</v>
      </c>
      <c r="DC311" s="77">
        <f t="shared" ref="DC311:DM311" si="1204">DC310/CY310-1</f>
        <v>-4.8361396864391448E-3</v>
      </c>
      <c r="DD311" s="70">
        <f t="shared" si="1204"/>
        <v>3.7849216719122669E-2</v>
      </c>
      <c r="DE311" s="487">
        <f t="shared" si="1204"/>
        <v>3.1342925201871319E-2</v>
      </c>
      <c r="DF311" s="70">
        <f t="shared" si="1204"/>
        <v>6.9277826328753012E-3</v>
      </c>
      <c r="DG311" s="70">
        <f t="shared" si="1204"/>
        <v>3.2458557854469161E-2</v>
      </c>
      <c r="DH311" s="70">
        <f t="shared" si="1204"/>
        <v>8.8491778926486298E-2</v>
      </c>
      <c r="DI311" s="487">
        <f t="shared" si="1204"/>
        <v>0.18725854832708366</v>
      </c>
      <c r="DJ311" s="1673">
        <f t="shared" si="1204"/>
        <v>5.3974162469891951E-3</v>
      </c>
      <c r="DK311" s="70">
        <f t="shared" si="1204"/>
        <v>-6.1802058243924929E-3</v>
      </c>
      <c r="DL311" s="70">
        <f t="shared" si="1204"/>
        <v>8.1202102036346258E-3</v>
      </c>
      <c r="DM311" s="487">
        <f t="shared" si="1204"/>
        <v>2.5000000000000133E-2</v>
      </c>
      <c r="DN311" s="580"/>
      <c r="DO311" s="487"/>
      <c r="DP311" s="77"/>
      <c r="DQ311" s="77"/>
      <c r="DR311" s="77"/>
      <c r="DS311" s="77"/>
      <c r="DT311" s="77"/>
      <c r="DU311" s="77"/>
      <c r="DV311" s="77"/>
      <c r="DW311" s="77"/>
      <c r="DX311" s="77"/>
      <c r="DY311" s="77"/>
      <c r="DZ311" s="77"/>
      <c r="EA311" s="77"/>
      <c r="EB311" s="77"/>
      <c r="EC311" s="77"/>
      <c r="ED311" s="77"/>
      <c r="EE311" s="15"/>
      <c r="EF311" s="1269" t="s">
        <v>483</v>
      </c>
      <c r="EG311" s="15">
        <f t="shared" ref="EG311:EP311" si="1205">EG310/EF310-1</f>
        <v>-0.61275466898447506</v>
      </c>
      <c r="EH311" s="15">
        <f t="shared" si="1205"/>
        <v>0.16970061409685111</v>
      </c>
      <c r="EI311" s="15">
        <f t="shared" si="1205"/>
        <v>7.5835942480432683E-2</v>
      </c>
      <c r="EJ311" s="15">
        <f t="shared" si="1205"/>
        <v>7.3209203657291555E-2</v>
      </c>
      <c r="EK311" s="15">
        <f t="shared" si="1205"/>
        <v>-0.17444443482757765</v>
      </c>
      <c r="EL311" s="15">
        <f t="shared" si="1205"/>
        <v>1.662000197894864E-3</v>
      </c>
      <c r="EM311" s="15">
        <f t="shared" si="1205"/>
        <v>0.24721908324049036</v>
      </c>
      <c r="EN311" s="15">
        <f t="shared" si="1205"/>
        <v>0.12689055041700081</v>
      </c>
      <c r="EO311" s="15">
        <f t="shared" si="1205"/>
        <v>1.5074823152457784E-2</v>
      </c>
      <c r="EP311" s="15">
        <f t="shared" si="1205"/>
        <v>-5.4101399923093374E-2</v>
      </c>
      <c r="EQ311" s="15">
        <f>EQ310/EN310-1</f>
        <v>-1.8202503695502137E-2</v>
      </c>
      <c r="ER311" s="15">
        <f>ER310/EQ310-1</f>
        <v>-4.5975624301878515E-2</v>
      </c>
      <c r="ES311" s="15">
        <f>ES310/ER310-1</f>
        <v>-3.9179438429637337E-2</v>
      </c>
      <c r="ET311" s="407" t="s">
        <v>483</v>
      </c>
      <c r="EU311" s="15">
        <f t="shared" ref="EU311:FC311" si="1206">EU310/ET310-1</f>
        <v>6.2154564602842077E-2</v>
      </c>
      <c r="EV311" s="15">
        <f t="shared" si="1206"/>
        <v>-9.2414027367451745E-2</v>
      </c>
      <c r="EW311" s="15">
        <f t="shared" si="1206"/>
        <v>-0.12135335686379645</v>
      </c>
      <c r="EX311" s="77">
        <f t="shared" si="1206"/>
        <v>0.2134259838232988</v>
      </c>
      <c r="EY311" s="77">
        <f t="shared" si="1206"/>
        <v>0.10293975455981741</v>
      </c>
      <c r="EZ311" s="1680">
        <f t="shared" si="1206"/>
        <v>9.4638202805996663E-3</v>
      </c>
      <c r="FA311" s="15">
        <f t="shared" si="1206"/>
        <v>8.6316390811760346E-3</v>
      </c>
      <c r="FB311" s="15">
        <f t="shared" si="1206"/>
        <v>7.2728027163107001E-3</v>
      </c>
      <c r="FC311" s="15">
        <f t="shared" si="1206"/>
        <v>-2.6915058412704251E-3</v>
      </c>
      <c r="FD311" s="15">
        <f>FD310/FC310-1</f>
        <v>-2.6791311017700936E-3</v>
      </c>
      <c r="FE311" s="15">
        <f>FE310/FD310-1</f>
        <v>-2.6668696321969776E-3</v>
      </c>
      <c r="FF311" s="15">
        <f>FF310/FE310-1</f>
        <v>-2.6547198844419917E-3</v>
      </c>
      <c r="FG311" s="15">
        <f>FG310/FF310-1</f>
        <v>-2.6426803384804742E-3</v>
      </c>
      <c r="FH311" s="15">
        <f>FH310/FG310-1</f>
        <v>-2.6307495017381388E-3</v>
      </c>
      <c r="FI311" s="580"/>
      <c r="FJ311"/>
      <c r="FK311"/>
      <c r="FL311"/>
      <c r="FM311"/>
      <c r="FN311"/>
      <c r="FO311"/>
      <c r="FP311" s="3"/>
      <c r="FS311" s="70"/>
      <c r="FT311" s="70"/>
      <c r="FU311"/>
      <c r="FV311"/>
      <c r="FW311" s="70"/>
      <c r="FX311" s="70"/>
      <c r="FY311" s="70"/>
      <c r="FZ311"/>
      <c r="GA311"/>
      <c r="GB311"/>
      <c r="GC311"/>
      <c r="GD311"/>
      <c r="GE311"/>
      <c r="GF311"/>
      <c r="GG311"/>
      <c r="GH311"/>
      <c r="GI311"/>
      <c r="GJ311"/>
      <c r="GK311"/>
      <c r="GL311"/>
      <c r="GM311"/>
      <c r="GN311"/>
      <c r="GO311"/>
      <c r="GP311"/>
      <c r="GQ311"/>
      <c r="GR311"/>
      <c r="GS311"/>
      <c r="GT311"/>
      <c r="GU311"/>
      <c r="GV311"/>
      <c r="GW311"/>
      <c r="GX311"/>
      <c r="GY311"/>
      <c r="GZ311"/>
      <c r="HA311"/>
      <c r="HB311"/>
      <c r="HC311"/>
      <c r="HD311"/>
      <c r="HE311"/>
      <c r="HF311"/>
      <c r="HG311"/>
      <c r="HH311"/>
      <c r="HI311"/>
      <c r="HJ311"/>
      <c r="HK311"/>
      <c r="HL311"/>
      <c r="HM311"/>
      <c r="HN311"/>
      <c r="HO311"/>
      <c r="HP311"/>
      <c r="HQ311"/>
      <c r="HR311"/>
      <c r="HS311"/>
      <c r="HT311"/>
      <c r="HU311"/>
      <c r="HV311"/>
      <c r="HW311"/>
      <c r="HX311"/>
      <c r="HY311"/>
      <c r="HZ311"/>
      <c r="IA311"/>
      <c r="IB311"/>
      <c r="IC311"/>
      <c r="ID311"/>
      <c r="IE311"/>
      <c r="IF311"/>
      <c r="IG311"/>
      <c r="IH311"/>
      <c r="II311"/>
      <c r="IJ311"/>
      <c r="IK311"/>
      <c r="IL311"/>
      <c r="IM311"/>
      <c r="IN311"/>
      <c r="IO311"/>
      <c r="IP311"/>
      <c r="IQ311"/>
      <c r="IR311"/>
      <c r="IS311"/>
      <c r="IT311"/>
      <c r="IU311"/>
      <c r="IV311"/>
      <c r="IW311"/>
      <c r="IX311"/>
      <c r="IY311"/>
      <c r="IZ311"/>
    </row>
    <row r="312" spans="1:260" s="4" customFormat="1" x14ac:dyDescent="0.2">
      <c r="A312" s="6"/>
      <c r="B312" s="6"/>
      <c r="C312" s="6"/>
      <c r="D312" s="6"/>
      <c r="E312" s="484"/>
      <c r="F312" s="6"/>
      <c r="G312" s="6"/>
      <c r="H312" s="6"/>
      <c r="I312" s="484"/>
      <c r="J312" s="6"/>
      <c r="K312" s="6"/>
      <c r="L312" s="6"/>
      <c r="M312" s="484"/>
      <c r="N312" s="6"/>
      <c r="O312" s="6"/>
      <c r="P312" s="6"/>
      <c r="Q312" s="484"/>
      <c r="R312" s="6"/>
      <c r="S312" s="6"/>
      <c r="T312" s="6"/>
      <c r="U312" s="484"/>
      <c r="V312" s="6"/>
      <c r="W312" s="6"/>
      <c r="X312" s="6"/>
      <c r="Y312" s="484"/>
      <c r="Z312" s="6"/>
      <c r="AA312" s="6"/>
      <c r="AB312" s="6"/>
      <c r="AC312" s="484"/>
      <c r="AD312" s="6"/>
      <c r="AE312" s="6"/>
      <c r="AF312" s="6"/>
      <c r="AG312" s="484"/>
      <c r="AK312" s="470"/>
      <c r="AO312" s="470"/>
      <c r="AS312" s="470"/>
      <c r="AW312" s="470"/>
      <c r="BA312" s="470"/>
      <c r="BE312" s="470"/>
      <c r="BI312" s="470"/>
      <c r="BM312" s="470"/>
      <c r="BQ312" s="470"/>
      <c r="BU312" s="470"/>
      <c r="BV312" s="6"/>
      <c r="BY312" s="470"/>
      <c r="CC312" s="470"/>
      <c r="CG312" s="470"/>
      <c r="CI312" s="427"/>
      <c r="CK312" s="519"/>
      <c r="CM312" s="427"/>
      <c r="CO312" s="519"/>
      <c r="CP312" s="382"/>
      <c r="CQ312" s="382"/>
      <c r="CS312" s="568"/>
      <c r="CT312" s="382"/>
      <c r="CU312" s="382"/>
      <c r="CV312" s="382"/>
      <c r="CW312" s="568"/>
      <c r="CX312" s="382"/>
      <c r="CY312" s="382"/>
      <c r="CZ312" s="382"/>
      <c r="DA312" s="568"/>
      <c r="DB312" s="382"/>
      <c r="DC312" s="382"/>
      <c r="DD312" s="573"/>
      <c r="DE312" s="568"/>
      <c r="DF312" s="573"/>
      <c r="DG312" s="573"/>
      <c r="DH312" s="573"/>
      <c r="DI312" s="568"/>
      <c r="DJ312" s="1672"/>
      <c r="DK312" s="573"/>
      <c r="DL312" s="573"/>
      <c r="DM312" s="568"/>
      <c r="DN312" s="1211"/>
      <c r="DO312" s="568"/>
      <c r="DP312" s="382"/>
      <c r="DQ312" s="382"/>
      <c r="DR312" s="382"/>
      <c r="DS312" s="382"/>
      <c r="DT312" s="382"/>
      <c r="DU312" s="382"/>
      <c r="DV312" s="382"/>
      <c r="DW312" s="382"/>
      <c r="DX312" s="382"/>
      <c r="DY312" s="382"/>
      <c r="DZ312" s="382"/>
      <c r="EA312" s="382"/>
      <c r="EB312" s="382"/>
      <c r="EC312" s="382"/>
      <c r="ED312" s="382"/>
      <c r="EX312" s="6"/>
      <c r="EY312" s="6"/>
      <c r="EZ312" s="1734"/>
      <c r="FI312" s="671"/>
      <c r="FJ312"/>
      <c r="FK312"/>
      <c r="FL312"/>
      <c r="FM312"/>
      <c r="FN312"/>
      <c r="FO312"/>
      <c r="FP312" s="3"/>
      <c r="FS312" s="7"/>
      <c r="FT312" s="7"/>
      <c r="FU312"/>
      <c r="FV312"/>
      <c r="FW312" s="7"/>
      <c r="FX312" s="7"/>
      <c r="FY312" s="7"/>
      <c r="FZ312"/>
      <c r="GA312"/>
      <c r="GB312"/>
      <c r="GC312"/>
      <c r="GD312"/>
      <c r="GE312"/>
      <c r="GF312"/>
      <c r="GG312"/>
      <c r="GH312"/>
      <c r="GI312"/>
      <c r="GJ312"/>
      <c r="GK312"/>
      <c r="GL312"/>
      <c r="GM312"/>
      <c r="GN312"/>
      <c r="GO312"/>
      <c r="GP312"/>
      <c r="GQ312"/>
      <c r="GR312"/>
      <c r="GS312"/>
      <c r="GT312"/>
      <c r="GU312"/>
      <c r="GV312"/>
      <c r="GW312"/>
      <c r="GX312"/>
      <c r="GY312"/>
      <c r="GZ312"/>
      <c r="HA312"/>
      <c r="HB312"/>
      <c r="HC312"/>
      <c r="HD312"/>
      <c r="HE312"/>
      <c r="HF312"/>
      <c r="HG312"/>
      <c r="HH312"/>
      <c r="HI312"/>
      <c r="HJ312"/>
      <c r="HK312"/>
      <c r="HL312"/>
      <c r="HM312"/>
      <c r="HN312"/>
      <c r="HO312"/>
      <c r="HP312"/>
      <c r="HQ312"/>
      <c r="HR312"/>
      <c r="HS312"/>
      <c r="HT312"/>
      <c r="HU312"/>
      <c r="HV312"/>
      <c r="HW312"/>
      <c r="HX312"/>
      <c r="HY312"/>
      <c r="HZ312"/>
      <c r="IA312"/>
      <c r="IB312"/>
      <c r="IC312"/>
      <c r="ID312"/>
      <c r="IE312"/>
      <c r="IF312"/>
      <c r="IG312"/>
      <c r="IH312"/>
      <c r="II312"/>
      <c r="IJ312"/>
      <c r="IK312"/>
      <c r="IL312"/>
      <c r="IM312"/>
      <c r="IN312"/>
      <c r="IO312"/>
      <c r="IP312"/>
      <c r="IQ312"/>
      <c r="IR312"/>
      <c r="IS312"/>
      <c r="IT312"/>
      <c r="IU312"/>
      <c r="IV312"/>
      <c r="IW312"/>
      <c r="IX312"/>
      <c r="IY312"/>
      <c r="IZ312"/>
    </row>
    <row r="313" spans="1:260" s="19" customFormat="1" x14ac:dyDescent="0.2">
      <c r="A313" s="440" t="s">
        <v>626</v>
      </c>
      <c r="B313" s="440"/>
      <c r="C313" s="440"/>
      <c r="D313" s="440"/>
      <c r="E313" s="544"/>
      <c r="F313" s="440"/>
      <c r="G313" s="440"/>
      <c r="H313" s="440"/>
      <c r="I313" s="544"/>
      <c r="J313" s="440"/>
      <c r="K313" s="440"/>
      <c r="L313" s="440"/>
      <c r="M313" s="544"/>
      <c r="N313" s="440"/>
      <c r="O313" s="440"/>
      <c r="P313" s="440"/>
      <c r="Q313" s="544"/>
      <c r="R313" s="440"/>
      <c r="S313" s="440"/>
      <c r="T313" s="440"/>
      <c r="U313" s="544"/>
      <c r="V313" s="440"/>
      <c r="W313" s="440"/>
      <c r="X313" s="440"/>
      <c r="Y313" s="544"/>
      <c r="Z313" s="440"/>
      <c r="AA313" s="440"/>
      <c r="AB313" s="440"/>
      <c r="AC313" s="544"/>
      <c r="AD313" s="440"/>
      <c r="AE313" s="440"/>
      <c r="AF313" s="440"/>
      <c r="AG313" s="544"/>
      <c r="AH313" s="438"/>
      <c r="AI313" s="438"/>
      <c r="AJ313" s="438"/>
      <c r="AK313" s="555"/>
      <c r="AL313" s="438"/>
      <c r="AM313" s="438"/>
      <c r="AN313" s="438"/>
      <c r="AO313" s="555"/>
      <c r="AP313" s="223">
        <f t="shared" ref="AP313:BY313" si="1207">AL297*AL310*(1+AP314)/1000</f>
        <v>303</v>
      </c>
      <c r="AQ313" s="223">
        <f t="shared" si="1207"/>
        <v>347.69400000000002</v>
      </c>
      <c r="AR313" s="223">
        <f t="shared" si="1207"/>
        <v>437.83999999999992</v>
      </c>
      <c r="AS313" s="879">
        <f t="shared" si="1207"/>
        <v>623.66200000000003</v>
      </c>
      <c r="AT313" s="223">
        <f t="shared" si="1207"/>
        <v>415.93599999999998</v>
      </c>
      <c r="AU313" s="223">
        <f t="shared" si="1207"/>
        <v>500.58</v>
      </c>
      <c r="AV313" s="223">
        <f t="shared" si="1207"/>
        <v>632.1</v>
      </c>
      <c r="AW313" s="879">
        <f t="shared" si="1207"/>
        <v>848.21999999999991</v>
      </c>
      <c r="AX313" s="223">
        <f t="shared" si="1207"/>
        <v>513.96999999999991</v>
      </c>
      <c r="AY313" s="223">
        <f t="shared" si="1207"/>
        <v>579.16599999999994</v>
      </c>
      <c r="AZ313" s="223">
        <f t="shared" si="1207"/>
        <v>724.36</v>
      </c>
      <c r="BA313" s="879">
        <f t="shared" si="1207"/>
        <v>1079.96</v>
      </c>
      <c r="BB313" s="223">
        <f t="shared" si="1207"/>
        <v>670.44600000000014</v>
      </c>
      <c r="BC313" s="223">
        <f t="shared" si="1207"/>
        <v>770.56499999999983</v>
      </c>
      <c r="BD313" s="223">
        <f t="shared" si="1207"/>
        <v>988.053</v>
      </c>
      <c r="BE313" s="879">
        <f t="shared" si="1207"/>
        <v>1445.52</v>
      </c>
      <c r="BF313" s="223">
        <f t="shared" si="1207"/>
        <v>899.01600000000008</v>
      </c>
      <c r="BG313" s="223">
        <f t="shared" si="1207"/>
        <v>1142.066</v>
      </c>
      <c r="BH313" s="223">
        <f t="shared" si="1207"/>
        <v>1430.7370000000001</v>
      </c>
      <c r="BI313" s="879">
        <f t="shared" si="1207"/>
        <v>1876.71</v>
      </c>
      <c r="BJ313" s="223">
        <f t="shared" si="1207"/>
        <v>1280.4809999999998</v>
      </c>
      <c r="BK313" s="223">
        <f t="shared" si="1207"/>
        <v>1500.84</v>
      </c>
      <c r="BL313" s="223">
        <f t="shared" si="1207"/>
        <v>1727.1659999999995</v>
      </c>
      <c r="BM313" s="879">
        <f t="shared" si="1207"/>
        <v>2115.598</v>
      </c>
      <c r="BN313" s="223">
        <f t="shared" si="1207"/>
        <v>1323.357</v>
      </c>
      <c r="BO313" s="223">
        <f t="shared" si="1207"/>
        <v>1529.5560000000003</v>
      </c>
      <c r="BP313" s="223">
        <f t="shared" si="1207"/>
        <v>3082.6319999999996</v>
      </c>
      <c r="BQ313" s="879">
        <f t="shared" si="1207"/>
        <v>3624.98</v>
      </c>
      <c r="BR313" s="223">
        <f t="shared" si="1207"/>
        <v>2731.91</v>
      </c>
      <c r="BS313" s="223">
        <f t="shared" si="1207"/>
        <v>2866.1640000000002</v>
      </c>
      <c r="BT313" s="223">
        <f t="shared" si="1207"/>
        <v>3164.1389999999997</v>
      </c>
      <c r="BU313" s="879">
        <f t="shared" si="1207"/>
        <v>3917.4029999999998</v>
      </c>
      <c r="BV313" s="223">
        <f t="shared" si="1207"/>
        <v>2875.4560000000001</v>
      </c>
      <c r="BW313" s="223">
        <f t="shared" si="1207"/>
        <v>2810.1039999999998</v>
      </c>
      <c r="BX313" s="223">
        <f t="shared" si="1207"/>
        <v>3125.94</v>
      </c>
      <c r="BY313" s="879">
        <f t="shared" si="1207"/>
        <v>4018.9690000000001</v>
      </c>
      <c r="BZ313" s="223">
        <f>BN297*BN310*(1+BZ314)/1000</f>
        <v>2752.47</v>
      </c>
      <c r="CA313" s="223">
        <f>BO297*BO310*(1+CA314)/1000</f>
        <v>2882.652</v>
      </c>
      <c r="CB313" s="223">
        <f>BP297*BP310*(1+CB314)/1000</f>
        <v>3173.4180000000001</v>
      </c>
      <c r="CC313" s="879">
        <f>BQ297*BQ310*(1+CC314)/1000</f>
        <v>3889.62</v>
      </c>
      <c r="CD313" s="223">
        <f t="shared" ref="CD313:CK313" si="1208">BZ297*BZ310*(1+CD314)/1000</f>
        <v>2805.3780000000002</v>
      </c>
      <c r="CE313" s="223">
        <f t="shared" si="1208"/>
        <v>2640.924</v>
      </c>
      <c r="CF313" s="223">
        <f t="shared" si="1208"/>
        <v>2945.6239999999998</v>
      </c>
      <c r="CG313" s="879">
        <f t="shared" si="1208"/>
        <v>4012.4520000000002</v>
      </c>
      <c r="CH313" s="223">
        <f t="shared" si="1208"/>
        <v>2664.4149999999995</v>
      </c>
      <c r="CI313" s="223">
        <f t="shared" si="1208"/>
        <v>2642.922</v>
      </c>
      <c r="CJ313" s="223">
        <f t="shared" si="1208"/>
        <v>2929.32</v>
      </c>
      <c r="CK313" s="879">
        <f t="shared" si="1208"/>
        <v>3818.1919999999996</v>
      </c>
      <c r="CL313" s="223">
        <f>CD297*CD310*(1+CL314)/1000</f>
        <v>2578.0819999999994</v>
      </c>
      <c r="CM313" s="223">
        <f>CE297*CE310*(1+CM314)/1000</f>
        <v>2553.6729999999998</v>
      </c>
      <c r="CN313" s="223">
        <f>CF297*CF310*(1+CN314)/1000</f>
        <v>2771.73</v>
      </c>
      <c r="CO313" s="879">
        <f>CG297*CG310*(1+CO314)/1000</f>
        <v>3572.9119999999994</v>
      </c>
      <c r="CP313" s="223">
        <f>CL297*CL310*(1+CP314)/1000</f>
        <v>1451.7360000000001</v>
      </c>
      <c r="CQ313" s="223">
        <f>CM297*CM310*(1+CQ314)/1000</f>
        <v>1426.9440000000002</v>
      </c>
      <c r="CR313" s="223">
        <f>CJ297*CJ310*(1+CR314)/1000</f>
        <v>2861.32</v>
      </c>
      <c r="CS313" s="879">
        <f t="shared" ref="CS313:CX313" si="1209">CO297*CO310*(1+CS314)/1000</f>
        <v>2353.96</v>
      </c>
      <c r="CT313" s="1392">
        <f t="shared" si="1209"/>
        <v>917.18799999999999</v>
      </c>
      <c r="CU313" s="1392">
        <f t="shared" si="1209"/>
        <v>922.55799999999999</v>
      </c>
      <c r="CV313" s="1392">
        <f t="shared" si="1209"/>
        <v>1109.7760000000001</v>
      </c>
      <c r="CW313" s="1436">
        <f t="shared" si="1209"/>
        <v>1657.9199999999998</v>
      </c>
      <c r="CX313" s="1392">
        <f t="shared" si="1209"/>
        <v>863.14799999999991</v>
      </c>
      <c r="CY313" s="1437">
        <f t="shared" ref="CY313:DI313" si="1210">IFERROR(CU297*CU310*(1+CY314)/1000,"NA")</f>
        <v>847.78</v>
      </c>
      <c r="CZ313" s="1437">
        <f t="shared" si="1210"/>
        <v>1045.1999999999998</v>
      </c>
      <c r="DA313" s="1438">
        <f t="shared" si="1210"/>
        <v>1496.88</v>
      </c>
      <c r="DB313" s="1437">
        <f t="shared" si="1210"/>
        <v>659.98400000000004</v>
      </c>
      <c r="DC313" s="1437">
        <f t="shared" si="1210"/>
        <v>676.65</v>
      </c>
      <c r="DD313" s="1437">
        <f t="shared" si="1210"/>
        <v>742.12200000000007</v>
      </c>
      <c r="DE313" s="1436">
        <f t="shared" si="1210"/>
        <v>1126.0440000000001</v>
      </c>
      <c r="DF313" s="1392">
        <f t="shared" si="1210"/>
        <v>638.55999999999995</v>
      </c>
      <c r="DG313" s="1392">
        <f t="shared" si="1210"/>
        <v>674.26800000000003</v>
      </c>
      <c r="DH313" s="1392">
        <f t="shared" si="1210"/>
        <v>781.61400000000003</v>
      </c>
      <c r="DI313" s="1436">
        <f t="shared" si="1210"/>
        <v>1257.2560000000001</v>
      </c>
      <c r="DJ313" s="2754">
        <f t="shared" ref="DJ313:DM313" si="1211">DF297*DF310*(1+DJ314)/1000</f>
        <v>628.32000000000005</v>
      </c>
      <c r="DK313" s="1392">
        <f t="shared" si="1211"/>
        <v>669.67</v>
      </c>
      <c r="DL313" s="1392">
        <f t="shared" si="1211"/>
        <v>837.29</v>
      </c>
      <c r="DM313" s="1436">
        <f t="shared" si="1211"/>
        <v>1410.4</v>
      </c>
      <c r="DN313" s="586"/>
      <c r="DO313" s="548"/>
      <c r="DP313" s="165"/>
      <c r="DQ313" s="165"/>
      <c r="DR313" s="165"/>
      <c r="DS313" s="165"/>
      <c r="DT313" s="165"/>
      <c r="DU313" s="165"/>
      <c r="DV313" s="165"/>
      <c r="DW313" s="165"/>
      <c r="DX313" s="165"/>
      <c r="DY313" s="165"/>
      <c r="DZ313" s="165"/>
      <c r="EA313" s="165"/>
      <c r="EB313" s="165"/>
      <c r="EC313" s="165"/>
      <c r="ED313" s="165"/>
      <c r="EE313" s="149"/>
      <c r="EF313" s="438"/>
      <c r="EG313" s="438"/>
      <c r="EH313" s="223">
        <f>SUM(AP313:AS313)</f>
        <v>1712.1959999999999</v>
      </c>
      <c r="EI313" s="223">
        <f>SUM(AT313:AW313)</f>
        <v>2396.8359999999998</v>
      </c>
      <c r="EJ313" s="223">
        <f>SUM(AX313:BA313)</f>
        <v>2897.4560000000001</v>
      </c>
      <c r="EK313" s="223">
        <f>SUM(BB313:BE313)</f>
        <v>3874.5839999999998</v>
      </c>
      <c r="EL313" s="223">
        <f>SUM(BF313:BI313)</f>
        <v>5348.5290000000005</v>
      </c>
      <c r="EM313" s="223">
        <f>SUM(BJ313:BM313)</f>
        <v>6624.0849999999991</v>
      </c>
      <c r="EN313" s="223">
        <f>SUM(BN313:BQ313)</f>
        <v>9560.5249999999996</v>
      </c>
      <c r="EO313" s="223">
        <f>SUM(BR313:BU313)</f>
        <v>12679.616</v>
      </c>
      <c r="EP313" s="886">
        <f>SUM(BV313:BY313)</f>
        <v>12830.469000000001</v>
      </c>
      <c r="EQ313" s="223">
        <f>SUM(BZ313:CC313)</f>
        <v>12698.16</v>
      </c>
      <c r="ER313" s="223">
        <f>SUM(CD313:CG313)</f>
        <v>12404.378000000001</v>
      </c>
      <c r="ES313" s="223">
        <f>ER297*ER310*(1+ES314)/1000</f>
        <v>12199.824000000001</v>
      </c>
      <c r="ET313" s="1392">
        <f>ER297*ER310*(1+ET314)/1000</f>
        <v>11469.92</v>
      </c>
      <c r="EU313" s="198">
        <f>SUM(CP313:CS313)</f>
        <v>8093.96</v>
      </c>
      <c r="EV313" s="198">
        <f>SUM(CT313:CW313)</f>
        <v>4607.442</v>
      </c>
      <c r="EW313" s="198">
        <f>SUM(CX313:DA313)</f>
        <v>4253.0079999999998</v>
      </c>
      <c r="EX313" s="198">
        <f>SUM(DB313:DE313)</f>
        <v>3204.8</v>
      </c>
      <c r="EY313" s="198">
        <f>SUM(DF313:DI313)</f>
        <v>3351.6980000000003</v>
      </c>
      <c r="EZ313" s="1736">
        <f>SUM(DJ313:DM313)</f>
        <v>3545.68</v>
      </c>
      <c r="FA313" s="198">
        <f t="shared" ref="FA313:FH313" si="1212">EZ295*EZ310*(1+FA314)/1000</f>
        <v>3579.5775303182045</v>
      </c>
      <c r="FB313" s="198">
        <f t="shared" si="1212"/>
        <v>3618.8911776174573</v>
      </c>
      <c r="FC313" s="198">
        <f t="shared" si="1212"/>
        <v>3625.9060667192189</v>
      </c>
      <c r="FD313" s="198">
        <f t="shared" si="1212"/>
        <v>3632.8883402837128</v>
      </c>
      <c r="FE313" s="198">
        <f t="shared" si="1212"/>
        <v>3639.8519246034843</v>
      </c>
      <c r="FF313" s="198">
        <f t="shared" si="1212"/>
        <v>3646.7969549301583</v>
      </c>
      <c r="FG313" s="198">
        <f t="shared" si="1212"/>
        <v>3653.7235649254076</v>
      </c>
      <c r="FH313" s="198">
        <f t="shared" si="1212"/>
        <v>3660.6318866867637</v>
      </c>
      <c r="FI313" s="1384"/>
      <c r="FJ313"/>
      <c r="FK313"/>
      <c r="FL313"/>
      <c r="FM313"/>
      <c r="FN313"/>
      <c r="FO313"/>
      <c r="FP313" s="401"/>
      <c r="FS313" s="1392"/>
      <c r="FT313" s="1392"/>
      <c r="FU313"/>
      <c r="FV313"/>
      <c r="FW313" s="198"/>
      <c r="FX313" s="198"/>
      <c r="FY313" s="198"/>
      <c r="FZ313"/>
      <c r="GA313"/>
      <c r="GB313"/>
      <c r="GC313"/>
      <c r="GD313"/>
      <c r="GE313"/>
      <c r="GF313"/>
      <c r="GG313"/>
      <c r="GH313"/>
      <c r="GI313"/>
      <c r="GJ313"/>
      <c r="GK313"/>
      <c r="GL313"/>
      <c r="GM313"/>
      <c r="GN313"/>
      <c r="GO313"/>
      <c r="GP313"/>
      <c r="GQ313"/>
      <c r="GR313"/>
      <c r="GS313"/>
      <c r="GT313"/>
      <c r="GU313"/>
      <c r="GV313"/>
      <c r="GW313"/>
      <c r="GX313"/>
      <c r="GY313"/>
      <c r="GZ313"/>
      <c r="HA313"/>
      <c r="HB313"/>
      <c r="HC313"/>
      <c r="HD313"/>
      <c r="HE313"/>
      <c r="HF313"/>
      <c r="HG313"/>
      <c r="HH313"/>
      <c r="HI313"/>
      <c r="HJ313"/>
      <c r="HK313"/>
      <c r="HL313"/>
      <c r="HM313"/>
      <c r="HN313"/>
      <c r="HO313"/>
      <c r="HP313"/>
      <c r="HQ313"/>
      <c r="HR313"/>
      <c r="HS313"/>
      <c r="HT313"/>
      <c r="HU313"/>
      <c r="HV313"/>
      <c r="HW313"/>
      <c r="HX313"/>
      <c r="HY313"/>
      <c r="HZ313"/>
      <c r="IA313"/>
      <c r="IB313"/>
      <c r="IC313"/>
      <c r="ID313"/>
      <c r="IE313"/>
      <c r="IF313"/>
      <c r="IG313"/>
      <c r="IH313"/>
      <c r="II313"/>
      <c r="IJ313"/>
      <c r="IK313"/>
      <c r="IL313"/>
      <c r="IM313"/>
      <c r="IN313"/>
      <c r="IO313"/>
      <c r="IP313"/>
      <c r="IQ313"/>
      <c r="IR313"/>
      <c r="IS313"/>
      <c r="IT313"/>
      <c r="IU313"/>
      <c r="IV313"/>
      <c r="IW313"/>
      <c r="IX313"/>
      <c r="IY313"/>
      <c r="IZ313"/>
    </row>
    <row r="314" spans="1:260" s="19" customFormat="1" x14ac:dyDescent="0.2">
      <c r="A314" s="122" t="s">
        <v>627</v>
      </c>
      <c r="B314" s="59"/>
      <c r="C314" s="59"/>
      <c r="D314" s="59"/>
      <c r="E314" s="545"/>
      <c r="F314" s="59"/>
      <c r="G314" s="59"/>
      <c r="H314" s="59"/>
      <c r="I314" s="545"/>
      <c r="J314" s="59"/>
      <c r="K314" s="59"/>
      <c r="L314" s="59"/>
      <c r="M314" s="545"/>
      <c r="N314" s="59"/>
      <c r="O314" s="59"/>
      <c r="P314" s="59"/>
      <c r="Q314" s="545"/>
      <c r="R314" s="59"/>
      <c r="S314" s="59"/>
      <c r="T314" s="59"/>
      <c r="U314" s="545"/>
      <c r="V314" s="59"/>
      <c r="W314" s="59"/>
      <c r="X314" s="59"/>
      <c r="Y314" s="545"/>
      <c r="Z314" s="59"/>
      <c r="AA314" s="59"/>
      <c r="AB314" s="59"/>
      <c r="AC314" s="545"/>
      <c r="AD314" s="59"/>
      <c r="AE314" s="59"/>
      <c r="AF314" s="59"/>
      <c r="AG314" s="545"/>
      <c r="AH314" s="219">
        <v>6.3E-2</v>
      </c>
      <c r="AI314" s="219">
        <v>0.151</v>
      </c>
      <c r="AJ314" s="219">
        <v>0.11199999999999999</v>
      </c>
      <c r="AK314" s="550">
        <v>0.16500000000000001</v>
      </c>
      <c r="AL314" s="219">
        <v>9.6000000000000002E-2</v>
      </c>
      <c r="AM314" s="219">
        <v>6.9000000000000006E-2</v>
      </c>
      <c r="AN314" s="219">
        <v>3.7999999999999999E-2</v>
      </c>
      <c r="AO314" s="550">
        <v>6.0000000000000001E-3</v>
      </c>
      <c r="AP314" s="219">
        <v>0</v>
      </c>
      <c r="AQ314" s="219">
        <v>4.1000000000000002E-2</v>
      </c>
      <c r="AR314" s="219">
        <v>0.04</v>
      </c>
      <c r="AS314" s="550">
        <v>7.9000000000000001E-2</v>
      </c>
      <c r="AT314" s="219">
        <v>7.1999999999999995E-2</v>
      </c>
      <c r="AU314" s="219">
        <v>0.03</v>
      </c>
      <c r="AV314" s="219">
        <v>0.05</v>
      </c>
      <c r="AW314" s="550">
        <v>5.0000000000000001E-3</v>
      </c>
      <c r="AX314" s="197">
        <f t="shared" ref="AX314:CW314" si="1213">AX399</f>
        <v>0.03</v>
      </c>
      <c r="AY314" s="197">
        <f t="shared" si="1213"/>
        <v>8.9999999999999993E-3</v>
      </c>
      <c r="AZ314" s="197">
        <f t="shared" si="1213"/>
        <v>-5.0000000000000001E-3</v>
      </c>
      <c r="BA314" s="572">
        <f t="shared" si="1213"/>
        <v>6.4000000000000001E-2</v>
      </c>
      <c r="BB314" s="197">
        <f t="shared" si="1213"/>
        <v>7.0999999999999994E-2</v>
      </c>
      <c r="BC314" s="197">
        <f t="shared" si="1213"/>
        <v>9.2999999999999999E-2</v>
      </c>
      <c r="BD314" s="197">
        <f t="shared" si="1213"/>
        <v>0.13700000000000001</v>
      </c>
      <c r="BE314" s="572">
        <f t="shared" si="1213"/>
        <v>0.14000000000000001</v>
      </c>
      <c r="BF314" s="197">
        <f t="shared" si="1213"/>
        <v>0.128</v>
      </c>
      <c r="BG314" s="197">
        <f t="shared" si="1213"/>
        <v>0.16300000000000001</v>
      </c>
      <c r="BH314" s="197">
        <f t="shared" si="1213"/>
        <v>9.2999999999999999E-2</v>
      </c>
      <c r="BI314" s="572">
        <f t="shared" si="1213"/>
        <v>3.4000000000000002E-2</v>
      </c>
      <c r="BJ314" s="197">
        <f t="shared" si="1213"/>
        <v>4.7E-2</v>
      </c>
      <c r="BK314" s="197">
        <f t="shared" si="1213"/>
        <v>-0.01</v>
      </c>
      <c r="BL314" s="197">
        <f t="shared" si="1213"/>
        <v>3.0000000000000001E-3</v>
      </c>
      <c r="BM314" s="572">
        <f t="shared" si="1213"/>
        <v>-5.2999999999999999E-2</v>
      </c>
      <c r="BN314" s="197">
        <f t="shared" si="1213"/>
        <v>-0.13900000000000001</v>
      </c>
      <c r="BO314" s="197">
        <f t="shared" si="1213"/>
        <v>-8.3000000000000004E-2</v>
      </c>
      <c r="BP314" s="197">
        <f t="shared" si="1213"/>
        <v>-6.7000000000000004E-2</v>
      </c>
      <c r="BQ314" s="572">
        <f t="shared" si="1213"/>
        <v>5.5E-2</v>
      </c>
      <c r="BR314" s="197">
        <f t="shared" si="1213"/>
        <v>6.3E-2</v>
      </c>
      <c r="BS314" s="197">
        <f t="shared" si="1213"/>
        <v>4.2999999999999997E-2</v>
      </c>
      <c r="BT314" s="197">
        <f t="shared" si="1213"/>
        <v>2.3E-2</v>
      </c>
      <c r="BU314" s="572">
        <f t="shared" si="1213"/>
        <v>-1.2999999999999999E-2</v>
      </c>
      <c r="BV314" s="197">
        <f t="shared" si="1213"/>
        <v>4.0000000000000001E-3</v>
      </c>
      <c r="BW314" s="197">
        <f t="shared" si="1213"/>
        <v>-3.2000000000000001E-2</v>
      </c>
      <c r="BX314" s="197">
        <f t="shared" si="1213"/>
        <v>-1.7000000000000001E-2</v>
      </c>
      <c r="BY314" s="572">
        <f t="shared" si="1213"/>
        <v>-2.9000000000000001E-2</v>
      </c>
      <c r="BZ314" s="197">
        <f t="shared" si="1213"/>
        <v>7.0999999999999994E-2</v>
      </c>
      <c r="CA314" s="197">
        <f t="shared" si="1213"/>
        <v>4.9000000000000002E-2</v>
      </c>
      <c r="CB314" s="197">
        <f t="shared" si="1213"/>
        <v>2.5999999999999999E-2</v>
      </c>
      <c r="CC314" s="572">
        <f t="shared" si="1213"/>
        <v>-0.02</v>
      </c>
      <c r="CD314" s="197">
        <f t="shared" si="1213"/>
        <v>-2E-3</v>
      </c>
      <c r="CE314" s="197">
        <f t="shared" si="1213"/>
        <v>-2.8000000000000001E-2</v>
      </c>
      <c r="CF314" s="197">
        <f t="shared" si="1213"/>
        <v>-3.2000000000000001E-2</v>
      </c>
      <c r="CG314" s="572">
        <f t="shared" si="1213"/>
        <v>-1.7999999999999999E-2</v>
      </c>
      <c r="CH314" s="197">
        <f t="shared" si="1213"/>
        <v>-0.105</v>
      </c>
      <c r="CI314" s="197">
        <f t="shared" si="1213"/>
        <v>-8.2000000000000003E-2</v>
      </c>
      <c r="CJ314" s="197">
        <f t="shared" si="1213"/>
        <v>-5.1999999999999998E-2</v>
      </c>
      <c r="CK314" s="572">
        <f t="shared" si="1213"/>
        <v>-6.6000000000000003E-2</v>
      </c>
      <c r="CL314" s="197">
        <f t="shared" si="1213"/>
        <v>-0.13400000000000001</v>
      </c>
      <c r="CM314" s="197">
        <f t="shared" si="1213"/>
        <v>-0.113</v>
      </c>
      <c r="CN314" s="197">
        <f t="shared" si="1213"/>
        <v>-0.10299999999999999</v>
      </c>
      <c r="CO314" s="572">
        <f t="shared" si="1213"/>
        <v>-0.126</v>
      </c>
      <c r="CP314" s="197">
        <f t="shared" si="1213"/>
        <v>-6.4000000000000001E-2</v>
      </c>
      <c r="CQ314" s="197">
        <f t="shared" si="1213"/>
        <v>-7.0999999999999994E-2</v>
      </c>
      <c r="CR314" s="197">
        <f t="shared" si="1213"/>
        <v>-7.0999999999999994E-2</v>
      </c>
      <c r="CS314" s="572">
        <f t="shared" si="1213"/>
        <v>-0.02</v>
      </c>
      <c r="CT314" s="197">
        <f>CT399</f>
        <v>-6.6000000000000003E-2</v>
      </c>
      <c r="CU314" s="197">
        <f t="shared" si="1213"/>
        <v>-3.7999999999999999E-2</v>
      </c>
      <c r="CV314" s="197">
        <f t="shared" si="1213"/>
        <v>-2E-3</v>
      </c>
      <c r="CW314" s="572">
        <f t="shared" si="1213"/>
        <v>-0.04</v>
      </c>
      <c r="CX314" s="197">
        <v>6.0000000000000001E-3</v>
      </c>
      <c r="CY314" s="1353">
        <v>-0.03</v>
      </c>
      <c r="CZ314" s="197">
        <v>5.0000000000000001E-3</v>
      </c>
      <c r="DA314" s="572">
        <v>-0.01</v>
      </c>
      <c r="DB314" s="1353">
        <v>-1.2E-2</v>
      </c>
      <c r="DC314" s="197">
        <v>4.1000000000000002E-2</v>
      </c>
      <c r="DD314" s="197">
        <v>1.7999999999999999E-2</v>
      </c>
      <c r="DE314" s="572">
        <v>8.9999999999999993E-3</v>
      </c>
      <c r="DF314" s="208">
        <v>0.04</v>
      </c>
      <c r="DG314" s="208">
        <v>4.7E-2</v>
      </c>
      <c r="DH314" s="208">
        <v>3.7999999999999999E-2</v>
      </c>
      <c r="DI314" s="572">
        <v>9.9000000000000005E-2</v>
      </c>
      <c r="DJ314" s="2704">
        <f t="shared" ref="DJ314:DM314" si="1214">CHOOSE(scenario,DJ315,DJ316,DJ317)</f>
        <v>0.02</v>
      </c>
      <c r="DK314" s="1552">
        <f t="shared" si="1214"/>
        <v>2.5000000000000001E-3</v>
      </c>
      <c r="DL314" s="1552">
        <f t="shared" si="1214"/>
        <v>0.01</v>
      </c>
      <c r="DM314" s="1551">
        <f t="shared" si="1214"/>
        <v>2.5000000000000001E-2</v>
      </c>
      <c r="DN314" s="757"/>
      <c r="DO314" s="562"/>
      <c r="DP314" s="221"/>
      <c r="DQ314" s="221"/>
      <c r="DR314" s="221"/>
      <c r="DS314" s="221"/>
      <c r="DT314" s="221"/>
      <c r="DU314" s="221"/>
      <c r="DV314" s="221"/>
      <c r="DW314" s="221"/>
      <c r="DX314" s="221"/>
      <c r="DY314" s="221"/>
      <c r="DZ314" s="221"/>
      <c r="EA314" s="221"/>
      <c r="EB314" s="221"/>
      <c r="EC314" s="221"/>
      <c r="ED314" s="221"/>
      <c r="EE314" s="50"/>
      <c r="EF314" s="219">
        <f>SUMPRODUCT(AH314:AK314,AH325:AK325)/EF325</f>
        <v>0.12916373411253704</v>
      </c>
      <c r="EG314" s="219">
        <f>SUMPRODUCT(AL314:AO314,AL325:AO325)/EG325</f>
        <v>4.3765281173594135E-2</v>
      </c>
      <c r="EH314" s="219">
        <f>SUMPRODUCT(AP314:AS314,AP325:AS325)/EH325</f>
        <v>4.7707758620689655E-2</v>
      </c>
      <c r="EI314" s="219">
        <f>SUMPRODUCT(AT314:AW314,AT325:AW325)/EI325</f>
        <v>3.3601917613636366E-2</v>
      </c>
      <c r="EJ314" s="197">
        <f t="shared" ref="EJ314:EO314" si="1215">EJ399</f>
        <v>2.8000000000000001E-2</v>
      </c>
      <c r="EK314" s="197">
        <f t="shared" si="1215"/>
        <v>0.11700000000000001</v>
      </c>
      <c r="EL314" s="197">
        <f t="shared" si="1215"/>
        <v>0.09</v>
      </c>
      <c r="EM314" s="197">
        <f t="shared" si="1215"/>
        <v>-8.9999999999999993E-3</v>
      </c>
      <c r="EN314" s="197">
        <f t="shared" si="1215"/>
        <v>-3.6999999999999998E-2</v>
      </c>
      <c r="EO314" s="197">
        <f t="shared" si="1215"/>
        <v>2.4E-2</v>
      </c>
      <c r="EP314" s="197">
        <f>(BV313*BV314+BW313*BW314+BX313*BX314+BY313*BY314)/EP313</f>
        <v>-1.9337764270347405E-2</v>
      </c>
      <c r="EQ314" s="197">
        <f>EQ399</f>
        <v>2.5000000000000001E-2</v>
      </c>
      <c r="ER314" s="197">
        <f>ER399</f>
        <v>-0.02</v>
      </c>
      <c r="ES314" s="197">
        <f>ES399</f>
        <v>-6.4000000000000001E-2</v>
      </c>
      <c r="ET314" s="197">
        <f>ET399</f>
        <v>-0.12</v>
      </c>
      <c r="EU314" s="197">
        <f>(CP313*CP314+CQ313*CQ314+CR313*CR314+CS313*CS314)/EU313</f>
        <v>-5.4912187359463106E-2</v>
      </c>
      <c r="EV314" s="197">
        <f>(CT313*CT314+CU313*CU314+CV313*CV314+CW313*CW314)/EV313</f>
        <v>-3.5622361388379931E-2</v>
      </c>
      <c r="EW314" s="197">
        <f>(CY313*CY314+CZ313*CZ314+DA313*DA314+CX313*CX314)/EW313</f>
        <v>-7.0531990534699208E-3</v>
      </c>
      <c r="EX314" s="197">
        <f>(DD313*DD314+DC313*DC314+DB313*DB314+DE313*DE314)/EX313</f>
        <v>1.3515799425861208E-2</v>
      </c>
      <c r="EY314" s="197">
        <f>(DH313*DH314+DG313*DG314+DF313*DF314+DI313*DI314)/EY313</f>
        <v>6.3073305530510201E-2</v>
      </c>
      <c r="EZ314" s="1713">
        <f>(DL313*DL314+DK313*DK314+DJ313*DJ314+DM313*DM314)/EZ313</f>
        <v>1.632224989282733E-2</v>
      </c>
      <c r="FA314" s="1605">
        <f t="shared" ref="FA314:FF314" si="1216">CHOOSE(scenario,FA315,FA316,FA317)</f>
        <v>0.01</v>
      </c>
      <c r="FB314" s="1605">
        <f t="shared" si="1216"/>
        <v>0.01</v>
      </c>
      <c r="FC314" s="1605">
        <f t="shared" si="1216"/>
        <v>0</v>
      </c>
      <c r="FD314" s="1605">
        <f t="shared" si="1216"/>
        <v>0</v>
      </c>
      <c r="FE314" s="1605">
        <f t="shared" si="1216"/>
        <v>0</v>
      </c>
      <c r="FF314" s="1605">
        <f t="shared" si="1216"/>
        <v>0</v>
      </c>
      <c r="FG314" s="1605">
        <f>CHOOSE(scenario,FG315,FG316,FG317)</f>
        <v>0</v>
      </c>
      <c r="FH314" s="1605">
        <f>CHOOSE(scenario,FH315,FH316,FH317)</f>
        <v>0</v>
      </c>
      <c r="FI314" s="757"/>
      <c r="FJ314"/>
      <c r="FK314"/>
      <c r="FL314"/>
      <c r="FM314"/>
      <c r="FN314"/>
      <c r="FO314"/>
      <c r="FP314" s="401"/>
      <c r="FS314" s="221"/>
      <c r="FT314" s="221"/>
      <c r="FU314"/>
      <c r="FV314"/>
      <c r="FW314" s="1605"/>
      <c r="FX314" s="1605"/>
      <c r="FY314" s="1605"/>
      <c r="FZ314"/>
      <c r="GA314"/>
      <c r="GB314"/>
      <c r="GC314"/>
      <c r="GD314"/>
      <c r="GE314"/>
      <c r="GF314"/>
      <c r="GG314"/>
      <c r="GH314"/>
      <c r="GI314"/>
      <c r="GJ314"/>
      <c r="GK314"/>
      <c r="GL314"/>
      <c r="GM314"/>
      <c r="GN314"/>
      <c r="GO314"/>
      <c r="GP314"/>
      <c r="GQ314"/>
      <c r="GR314"/>
      <c r="GS314"/>
      <c r="GT314"/>
      <c r="GU314"/>
      <c r="GV314"/>
      <c r="GW314"/>
      <c r="GX314"/>
      <c r="GY314"/>
      <c r="GZ314"/>
      <c r="HA314"/>
      <c r="HB314"/>
      <c r="HC314"/>
      <c r="HD314"/>
      <c r="HE314"/>
      <c r="HF314"/>
      <c r="HG314"/>
      <c r="HH314"/>
      <c r="HI314"/>
      <c r="HJ314"/>
      <c r="HK314"/>
      <c r="HL314"/>
      <c r="HM314"/>
      <c r="HN314"/>
      <c r="HO314"/>
      <c r="HP314"/>
      <c r="HQ314"/>
      <c r="HR314"/>
      <c r="HS314"/>
      <c r="HT314"/>
      <c r="HU314"/>
      <c r="HV314"/>
      <c r="HW314"/>
      <c r="HX314"/>
      <c r="HY314"/>
      <c r="HZ314"/>
      <c r="IA314"/>
      <c r="IB314"/>
      <c r="IC314"/>
      <c r="ID314"/>
      <c r="IE314"/>
      <c r="IF314"/>
      <c r="IG314"/>
      <c r="IH314"/>
      <c r="II314"/>
      <c r="IJ314"/>
      <c r="IK314"/>
      <c r="IL314"/>
      <c r="IM314"/>
      <c r="IN314"/>
      <c r="IO314"/>
      <c r="IP314"/>
      <c r="IQ314"/>
      <c r="IR314"/>
      <c r="IS314"/>
      <c r="IT314"/>
      <c r="IU314"/>
      <c r="IV314"/>
      <c r="IW314"/>
      <c r="IX314"/>
      <c r="IY314"/>
      <c r="IZ314"/>
    </row>
    <row r="315" spans="1:260" s="19" customFormat="1" outlineLevel="1" x14ac:dyDescent="0.2">
      <c r="A315" s="287" t="s">
        <v>593</v>
      </c>
      <c r="B315" s="59"/>
      <c r="C315" s="59"/>
      <c r="D315" s="59"/>
      <c r="E315" s="545"/>
      <c r="F315" s="59"/>
      <c r="G315" s="59"/>
      <c r="H315" s="59"/>
      <c r="I315" s="545"/>
      <c r="J315" s="59"/>
      <c r="K315" s="59"/>
      <c r="L315" s="59"/>
      <c r="M315" s="545"/>
      <c r="N315" s="59"/>
      <c r="O315" s="59"/>
      <c r="P315" s="59"/>
      <c r="Q315" s="545"/>
      <c r="R315" s="59"/>
      <c r="S315" s="59"/>
      <c r="T315" s="59"/>
      <c r="U315" s="545"/>
      <c r="V315" s="59"/>
      <c r="W315" s="59"/>
      <c r="X315" s="59"/>
      <c r="Y315" s="545"/>
      <c r="Z315" s="59"/>
      <c r="AA315" s="59"/>
      <c r="AB315" s="59"/>
      <c r="AC315" s="545"/>
      <c r="AD315" s="59"/>
      <c r="AE315" s="59"/>
      <c r="AF315" s="59"/>
      <c r="AG315" s="545"/>
      <c r="AH315" s="220"/>
      <c r="AI315" s="220"/>
      <c r="AJ315" s="220"/>
      <c r="AK315" s="540"/>
      <c r="AL315" s="220"/>
      <c r="AM315" s="220"/>
      <c r="AN315" s="220"/>
      <c r="AO315" s="540"/>
      <c r="AP315" s="220"/>
      <c r="AQ315" s="220"/>
      <c r="AR315" s="220"/>
      <c r="AS315" s="540"/>
      <c r="AT315" s="220"/>
      <c r="AU315" s="220"/>
      <c r="AV315" s="220"/>
      <c r="AW315" s="540"/>
      <c r="AX315" s="289"/>
      <c r="AY315" s="289"/>
      <c r="AZ315" s="197"/>
      <c r="BA315" s="572"/>
      <c r="BB315" s="197"/>
      <c r="BC315" s="197"/>
      <c r="BD315" s="197"/>
      <c r="BE315" s="572"/>
      <c r="BF315" s="197"/>
      <c r="BG315" s="197"/>
      <c r="BH315" s="197"/>
      <c r="BI315" s="572"/>
      <c r="BJ315" s="197"/>
      <c r="BK315" s="197"/>
      <c r="BL315" s="197"/>
      <c r="BM315" s="572"/>
      <c r="BN315" s="197"/>
      <c r="BO315" s="197"/>
      <c r="BP315" s="197"/>
      <c r="BQ315" s="572"/>
      <c r="BR315" s="197"/>
      <c r="BS315" s="197"/>
      <c r="BT315" s="197"/>
      <c r="BU315" s="572"/>
      <c r="BV315" s="197"/>
      <c r="BW315" s="197"/>
      <c r="BX315" s="197"/>
      <c r="BY315" s="572"/>
      <c r="BZ315" s="197"/>
      <c r="CA315" s="197"/>
      <c r="CB315" s="197"/>
      <c r="CC315" s="572"/>
      <c r="CD315" s="197"/>
      <c r="CE315" s="197"/>
      <c r="CF315" s="197"/>
      <c r="CG315" s="572"/>
      <c r="CH315" s="197"/>
      <c r="CI315" s="197"/>
      <c r="CJ315" s="197"/>
      <c r="CK315" s="572"/>
      <c r="CL315" s="197"/>
      <c r="CM315" s="197"/>
      <c r="CN315" s="197"/>
      <c r="CO315" s="572"/>
      <c r="CP315" s="197"/>
      <c r="CQ315" s="197"/>
      <c r="CR315" s="197"/>
      <c r="CS315" s="572"/>
      <c r="CT315" s="70"/>
      <c r="CU315" s="70"/>
      <c r="CV315" s="70"/>
      <c r="CW315" s="487"/>
      <c r="CX315" s="70"/>
      <c r="CY315" s="70"/>
      <c r="CZ315" s="70"/>
      <c r="DA315" s="487"/>
      <c r="DB315" s="70"/>
      <c r="DC315" s="70"/>
      <c r="DD315" s="70"/>
      <c r="DE315" s="487"/>
      <c r="DF315" s="70"/>
      <c r="DG315" s="70"/>
      <c r="DH315" s="70"/>
      <c r="DI315" s="487"/>
      <c r="DJ315" s="1673">
        <f t="shared" ref="DJ315:DM315" si="1217">+DJ316+1%</f>
        <v>0.03</v>
      </c>
      <c r="DK315" s="70">
        <f t="shared" si="1217"/>
        <v>1.2500000000000001E-2</v>
      </c>
      <c r="DL315" s="70">
        <f t="shared" si="1217"/>
        <v>0.02</v>
      </c>
      <c r="DM315" s="487">
        <f t="shared" si="1217"/>
        <v>3.5000000000000003E-2</v>
      </c>
      <c r="DN315" s="757"/>
      <c r="DO315" s="562"/>
      <c r="DP315" s="221"/>
      <c r="DQ315" s="221"/>
      <c r="DR315" s="221"/>
      <c r="DS315" s="221"/>
      <c r="DT315" s="221"/>
      <c r="DU315" s="221"/>
      <c r="DV315" s="221"/>
      <c r="DW315" s="221"/>
      <c r="DX315" s="221"/>
      <c r="DY315" s="221"/>
      <c r="DZ315" s="221"/>
      <c r="EA315" s="221"/>
      <c r="EB315" s="221"/>
      <c r="EC315" s="221"/>
      <c r="ED315" s="221"/>
      <c r="EE315" s="50"/>
      <c r="EF315" s="219"/>
      <c r="EG315" s="219"/>
      <c r="EH315" s="219"/>
      <c r="EI315" s="219"/>
      <c r="EJ315" s="289"/>
      <c r="EK315" s="289"/>
      <c r="EL315" s="289"/>
      <c r="EM315" s="289"/>
      <c r="EN315" s="289"/>
      <c r="EO315" s="289"/>
      <c r="EP315" s="197"/>
      <c r="EQ315" s="289"/>
      <c r="ER315" s="289"/>
      <c r="ES315" s="289"/>
      <c r="ET315" s="289"/>
      <c r="EU315" s="197"/>
      <c r="EV315" s="197"/>
      <c r="EW315" s="197"/>
      <c r="EX315" s="197"/>
      <c r="EY315" s="197"/>
      <c r="EZ315" s="1713"/>
      <c r="FA315" s="70">
        <f t="shared" ref="FA315:FH315" si="1218">+FA316+1%</f>
        <v>0.02</v>
      </c>
      <c r="FB315" s="70">
        <f t="shared" si="1218"/>
        <v>0.02</v>
      </c>
      <c r="FC315" s="70">
        <f t="shared" si="1218"/>
        <v>0.01</v>
      </c>
      <c r="FD315" s="70">
        <f t="shared" si="1218"/>
        <v>0.01</v>
      </c>
      <c r="FE315" s="70">
        <f t="shared" si="1218"/>
        <v>0.01</v>
      </c>
      <c r="FF315" s="70">
        <f t="shared" si="1218"/>
        <v>0.01</v>
      </c>
      <c r="FG315" s="70">
        <f t="shared" si="1218"/>
        <v>0.01</v>
      </c>
      <c r="FH315" s="70">
        <f t="shared" si="1218"/>
        <v>0.01</v>
      </c>
      <c r="FI315" s="580"/>
      <c r="FJ315"/>
      <c r="FK315"/>
      <c r="FL315"/>
      <c r="FM315"/>
      <c r="FN315"/>
      <c r="FO315"/>
      <c r="FP315" s="401"/>
      <c r="FS315" s="70"/>
      <c r="FT315" s="70"/>
      <c r="FU315"/>
      <c r="FV315"/>
      <c r="FW315" s="70"/>
      <c r="FX315" s="70"/>
      <c r="FY315" s="70"/>
      <c r="FZ315"/>
      <c r="GA315"/>
      <c r="GB315"/>
      <c r="GC315"/>
      <c r="GD315"/>
      <c r="GE315"/>
      <c r="GF315"/>
      <c r="GG315"/>
      <c r="GH315"/>
      <c r="GI315"/>
      <c r="GJ315"/>
      <c r="GK315"/>
      <c r="GL315"/>
      <c r="GM315"/>
      <c r="GN315"/>
      <c r="GO315"/>
      <c r="GP315"/>
      <c r="GQ315"/>
      <c r="GR315"/>
      <c r="GS315"/>
      <c r="GT315"/>
      <c r="GU315"/>
      <c r="GV315"/>
      <c r="GW315"/>
      <c r="GX315"/>
      <c r="GY315"/>
      <c r="GZ315"/>
      <c r="HA315"/>
      <c r="HB315"/>
      <c r="HC315"/>
      <c r="HD315"/>
      <c r="HE315"/>
      <c r="HF315"/>
      <c r="HG315"/>
      <c r="HH315"/>
      <c r="HI315"/>
      <c r="HJ315"/>
      <c r="HK315"/>
      <c r="HL315"/>
      <c r="HM315"/>
      <c r="HN315"/>
      <c r="HO315"/>
      <c r="HP315"/>
      <c r="HQ315"/>
      <c r="HR315"/>
      <c r="HS315"/>
      <c r="HT315"/>
      <c r="HU315"/>
      <c r="HV315"/>
      <c r="HW315"/>
      <c r="HX315"/>
      <c r="HY315"/>
      <c r="HZ315"/>
      <c r="IA315"/>
      <c r="IB315"/>
      <c r="IC315"/>
      <c r="ID315"/>
      <c r="IE315"/>
      <c r="IF315"/>
      <c r="IG315"/>
      <c r="IH315"/>
      <c r="II315"/>
      <c r="IJ315"/>
      <c r="IK315"/>
      <c r="IL315"/>
      <c r="IM315"/>
      <c r="IN315"/>
      <c r="IO315"/>
      <c r="IP315"/>
      <c r="IQ315"/>
      <c r="IR315"/>
      <c r="IS315"/>
      <c r="IT315"/>
      <c r="IU315"/>
      <c r="IV315"/>
      <c r="IW315"/>
      <c r="IX315"/>
      <c r="IY315"/>
      <c r="IZ315"/>
    </row>
    <row r="316" spans="1:260" s="19" customFormat="1" outlineLevel="1" x14ac:dyDescent="0.2">
      <c r="A316" s="287" t="s">
        <v>594</v>
      </c>
      <c r="B316" s="59"/>
      <c r="C316" s="59"/>
      <c r="D316" s="59"/>
      <c r="E316" s="545"/>
      <c r="F316" s="59"/>
      <c r="G316" s="59"/>
      <c r="H316" s="59"/>
      <c r="I316" s="545"/>
      <c r="J316" s="59"/>
      <c r="K316" s="59"/>
      <c r="L316" s="59"/>
      <c r="M316" s="545"/>
      <c r="N316" s="59"/>
      <c r="O316" s="59"/>
      <c r="P316" s="59"/>
      <c r="Q316" s="545"/>
      <c r="R316" s="59"/>
      <c r="S316" s="59"/>
      <c r="T316" s="59"/>
      <c r="U316" s="545"/>
      <c r="V316" s="59"/>
      <c r="W316" s="59"/>
      <c r="X316" s="59"/>
      <c r="Y316" s="545"/>
      <c r="Z316" s="59"/>
      <c r="AA316" s="59"/>
      <c r="AB316" s="59"/>
      <c r="AC316" s="545"/>
      <c r="AD316" s="59"/>
      <c r="AE316" s="59"/>
      <c r="AF316" s="59"/>
      <c r="AG316" s="545"/>
      <c r="AH316" s="220"/>
      <c r="AI316" s="220"/>
      <c r="AJ316" s="220"/>
      <c r="AK316" s="540"/>
      <c r="AL316" s="220"/>
      <c r="AM316" s="220"/>
      <c r="AN316" s="220"/>
      <c r="AO316" s="540"/>
      <c r="AP316" s="220"/>
      <c r="AQ316" s="220"/>
      <c r="AR316" s="220"/>
      <c r="AS316" s="540"/>
      <c r="AT316" s="220"/>
      <c r="AU316" s="220"/>
      <c r="AV316" s="220"/>
      <c r="AW316" s="540"/>
      <c r="AX316" s="289"/>
      <c r="AY316" s="289"/>
      <c r="AZ316" s="197"/>
      <c r="BA316" s="572"/>
      <c r="BB316" s="197"/>
      <c r="BC316" s="197"/>
      <c r="BD316" s="197"/>
      <c r="BE316" s="572"/>
      <c r="BF316" s="197"/>
      <c r="BG316" s="197"/>
      <c r="BH316" s="197"/>
      <c r="BI316" s="572"/>
      <c r="BJ316" s="197"/>
      <c r="BK316" s="197"/>
      <c r="BL316" s="197"/>
      <c r="BM316" s="572"/>
      <c r="BN316" s="197"/>
      <c r="BO316" s="197"/>
      <c r="BP316" s="197"/>
      <c r="BQ316" s="572"/>
      <c r="BR316" s="197"/>
      <c r="BS316" s="197"/>
      <c r="BT316" s="197"/>
      <c r="BU316" s="572"/>
      <c r="BV316" s="197"/>
      <c r="BW316" s="197"/>
      <c r="BX316" s="197"/>
      <c r="BY316" s="572"/>
      <c r="BZ316" s="197"/>
      <c r="CA316" s="197"/>
      <c r="CB316" s="197"/>
      <c r="CC316" s="572"/>
      <c r="CD316" s="197"/>
      <c r="CE316" s="197"/>
      <c r="CF316" s="197"/>
      <c r="CG316" s="572"/>
      <c r="CH316" s="197"/>
      <c r="CI316" s="197"/>
      <c r="CJ316" s="197"/>
      <c r="CK316" s="572"/>
      <c r="CL316" s="197"/>
      <c r="CM316" s="197"/>
      <c r="CN316" s="197"/>
      <c r="CO316" s="572"/>
      <c r="CP316" s="197"/>
      <c r="CQ316" s="197"/>
      <c r="CR316" s="197"/>
      <c r="CS316" s="572"/>
      <c r="CT316" s="170"/>
      <c r="CU316" s="170"/>
      <c r="CV316" s="170"/>
      <c r="CW316" s="525"/>
      <c r="CX316" s="170"/>
      <c r="CY316" s="170"/>
      <c r="CZ316" s="170"/>
      <c r="DA316" s="525"/>
      <c r="DB316" s="170"/>
      <c r="DC316" s="170"/>
      <c r="DD316" s="91"/>
      <c r="DE316" s="2190"/>
      <c r="DF316" s="1610"/>
      <c r="DG316" s="1610"/>
      <c r="DH316" s="1610"/>
      <c r="DI316" s="2190"/>
      <c r="DJ316" s="2383">
        <v>0.02</v>
      </c>
      <c r="DK316" s="1554">
        <v>2.5000000000000001E-3</v>
      </c>
      <c r="DL316" s="1554">
        <v>0.01</v>
      </c>
      <c r="DM316" s="1553">
        <v>2.5000000000000001E-2</v>
      </c>
      <c r="DN316" s="757"/>
      <c r="DO316" s="562"/>
      <c r="DP316" s="221"/>
      <c r="DQ316" s="221"/>
      <c r="DR316" s="221"/>
      <c r="DS316" s="221"/>
      <c r="DT316" s="221"/>
      <c r="DU316" s="221"/>
      <c r="DV316" s="221"/>
      <c r="DW316" s="221"/>
      <c r="DX316" s="221"/>
      <c r="DY316" s="221"/>
      <c r="DZ316" s="221"/>
      <c r="EA316" s="221"/>
      <c r="EB316" s="221"/>
      <c r="EC316" s="221"/>
      <c r="ED316" s="221"/>
      <c r="EE316" s="50"/>
      <c r="EF316" s="219"/>
      <c r="EG316" s="219"/>
      <c r="EH316" s="219"/>
      <c r="EI316" s="219"/>
      <c r="EJ316" s="289"/>
      <c r="EK316" s="289"/>
      <c r="EL316" s="289"/>
      <c r="EM316" s="289"/>
      <c r="EN316" s="289"/>
      <c r="EO316" s="289"/>
      <c r="EP316" s="197"/>
      <c r="EQ316" s="289"/>
      <c r="ER316" s="289"/>
      <c r="ES316" s="289"/>
      <c r="ET316" s="289"/>
      <c r="EU316" s="197"/>
      <c r="EV316" s="197"/>
      <c r="EW316" s="197"/>
      <c r="EX316" s="197"/>
      <c r="EY316" s="197"/>
      <c r="EZ316" s="1713"/>
      <c r="FA316" s="1606">
        <v>0.01</v>
      </c>
      <c r="FB316" s="1606">
        <v>0.01</v>
      </c>
      <c r="FC316" s="1606">
        <v>0</v>
      </c>
      <c r="FD316" s="1606">
        <v>0</v>
      </c>
      <c r="FE316" s="1606">
        <v>0</v>
      </c>
      <c r="FF316" s="1606">
        <v>0</v>
      </c>
      <c r="FG316" s="1606">
        <v>0</v>
      </c>
      <c r="FH316" s="1606">
        <v>0</v>
      </c>
      <c r="FI316" s="589"/>
      <c r="FJ316"/>
      <c r="FK316"/>
      <c r="FL316"/>
      <c r="FM316"/>
      <c r="FN316"/>
      <c r="FO316"/>
      <c r="FP316" s="401"/>
      <c r="FS316" s="170"/>
      <c r="FT316" s="170"/>
      <c r="FU316"/>
      <c r="FV316"/>
      <c r="FW316" s="1606"/>
      <c r="FX316" s="1606"/>
      <c r="FY316" s="1606"/>
      <c r="FZ316"/>
      <c r="GA316"/>
      <c r="GB316"/>
      <c r="GC316"/>
      <c r="GD316"/>
      <c r="GE316"/>
      <c r="GF316"/>
      <c r="GG316"/>
      <c r="GH316"/>
      <c r="GI316"/>
      <c r="GJ316"/>
      <c r="GK316"/>
      <c r="GL316"/>
      <c r="GM316"/>
      <c r="GN316"/>
      <c r="GO316"/>
      <c r="GP316"/>
      <c r="GQ316"/>
      <c r="GR316"/>
      <c r="GS316"/>
      <c r="GT316"/>
      <c r="GU316"/>
      <c r="GV316"/>
      <c r="GW316"/>
      <c r="GX316"/>
      <c r="GY316"/>
      <c r="GZ316"/>
      <c r="HA316"/>
      <c r="HB316"/>
      <c r="HC316"/>
      <c r="HD316"/>
      <c r="HE316"/>
      <c r="HF316"/>
      <c r="HG316"/>
      <c r="HH316"/>
      <c r="HI316"/>
      <c r="HJ316"/>
      <c r="HK316"/>
      <c r="HL316"/>
      <c r="HM316"/>
      <c r="HN316"/>
      <c r="HO316"/>
      <c r="HP316"/>
      <c r="HQ316"/>
      <c r="HR316"/>
      <c r="HS316"/>
      <c r="HT316"/>
      <c r="HU316"/>
      <c r="HV316"/>
      <c r="HW316"/>
      <c r="HX316"/>
      <c r="HY316"/>
      <c r="HZ316"/>
      <c r="IA316"/>
      <c r="IB316"/>
      <c r="IC316"/>
      <c r="ID316"/>
      <c r="IE316"/>
      <c r="IF316"/>
      <c r="IG316"/>
      <c r="IH316"/>
      <c r="II316"/>
      <c r="IJ316"/>
      <c r="IK316"/>
      <c r="IL316"/>
      <c r="IM316"/>
      <c r="IN316"/>
      <c r="IO316"/>
      <c r="IP316"/>
      <c r="IQ316"/>
      <c r="IR316"/>
      <c r="IS316"/>
      <c r="IT316"/>
      <c r="IU316"/>
      <c r="IV316"/>
      <c r="IW316"/>
      <c r="IX316"/>
      <c r="IY316"/>
      <c r="IZ316"/>
    </row>
    <row r="317" spans="1:260" s="19" customFormat="1" outlineLevel="1" x14ac:dyDescent="0.2">
      <c r="A317" s="287" t="s">
        <v>471</v>
      </c>
      <c r="B317" s="59"/>
      <c r="C317" s="59"/>
      <c r="D317" s="59"/>
      <c r="E317" s="545"/>
      <c r="F317" s="59"/>
      <c r="G317" s="59"/>
      <c r="H317" s="59"/>
      <c r="I317" s="545"/>
      <c r="J317" s="59"/>
      <c r="K317" s="59"/>
      <c r="L317" s="59"/>
      <c r="M317" s="545"/>
      <c r="N317" s="59"/>
      <c r="O317" s="59"/>
      <c r="P317" s="59"/>
      <c r="Q317" s="545"/>
      <c r="R317" s="59"/>
      <c r="S317" s="59"/>
      <c r="T317" s="59"/>
      <c r="U317" s="545"/>
      <c r="V317" s="59"/>
      <c r="W317" s="59"/>
      <c r="X317" s="59"/>
      <c r="Y317" s="545"/>
      <c r="Z317" s="59"/>
      <c r="AA317" s="59"/>
      <c r="AB317" s="59"/>
      <c r="AC317" s="545"/>
      <c r="AD317" s="59"/>
      <c r="AE317" s="59"/>
      <c r="AF317" s="59"/>
      <c r="AG317" s="545"/>
      <c r="AH317" s="220"/>
      <c r="AI317" s="220"/>
      <c r="AJ317" s="220"/>
      <c r="AK317" s="540"/>
      <c r="AL317" s="220"/>
      <c r="AM317" s="220"/>
      <c r="AN317" s="220"/>
      <c r="AO317" s="540"/>
      <c r="AP317" s="220"/>
      <c r="AQ317" s="220"/>
      <c r="AR317" s="220"/>
      <c r="AS317" s="540"/>
      <c r="AT317" s="220"/>
      <c r="AU317" s="220"/>
      <c r="AV317" s="220"/>
      <c r="AW317" s="540"/>
      <c r="AX317" s="289"/>
      <c r="AY317" s="289"/>
      <c r="AZ317" s="197"/>
      <c r="BA317" s="572"/>
      <c r="BB317" s="197"/>
      <c r="BC317" s="197"/>
      <c r="BD317" s="197"/>
      <c r="BE317" s="572"/>
      <c r="BF317" s="197"/>
      <c r="BG317" s="197"/>
      <c r="BH317" s="197"/>
      <c r="BI317" s="572"/>
      <c r="BJ317" s="197"/>
      <c r="BK317" s="197"/>
      <c r="BL317" s="197"/>
      <c r="BM317" s="572"/>
      <c r="BN317" s="197"/>
      <c r="BO317" s="197"/>
      <c r="BP317" s="197"/>
      <c r="BQ317" s="572"/>
      <c r="BR317" s="197"/>
      <c r="BS317" s="197"/>
      <c r="BT317" s="197"/>
      <c r="BU317" s="572"/>
      <c r="BV317" s="197"/>
      <c r="BW317" s="197"/>
      <c r="BX317" s="197"/>
      <c r="BY317" s="572"/>
      <c r="BZ317" s="197"/>
      <c r="CA317" s="197"/>
      <c r="CB317" s="197"/>
      <c r="CC317" s="572"/>
      <c r="CD317" s="197"/>
      <c r="CE317" s="197"/>
      <c r="CF317" s="197"/>
      <c r="CG317" s="572"/>
      <c r="CH317" s="197"/>
      <c r="CI317" s="197"/>
      <c r="CJ317" s="197"/>
      <c r="CK317" s="572"/>
      <c r="CL317" s="197"/>
      <c r="CM317" s="197"/>
      <c r="CN317" s="197"/>
      <c r="CO317" s="572"/>
      <c r="CP317" s="197"/>
      <c r="CQ317" s="197"/>
      <c r="CR317" s="197"/>
      <c r="CS317" s="572"/>
      <c r="CT317" s="70"/>
      <c r="CU317" s="70"/>
      <c r="CV317" s="70"/>
      <c r="CW317" s="487"/>
      <c r="CX317" s="70"/>
      <c r="CY317" s="70"/>
      <c r="CZ317" s="70"/>
      <c r="DA317" s="487"/>
      <c r="DB317" s="70"/>
      <c r="DC317" s="70"/>
      <c r="DD317" s="70"/>
      <c r="DE317" s="487"/>
      <c r="DF317" s="70"/>
      <c r="DG317" s="70"/>
      <c r="DH317" s="70"/>
      <c r="DI317" s="487"/>
      <c r="DJ317" s="1673">
        <f t="shared" ref="DJ317:DM317" si="1219">+DJ316-1%</f>
        <v>0.01</v>
      </c>
      <c r="DK317" s="70">
        <f t="shared" si="1219"/>
        <v>-7.4999999999999997E-3</v>
      </c>
      <c r="DL317" s="70">
        <f t="shared" si="1219"/>
        <v>0</v>
      </c>
      <c r="DM317" s="487">
        <f t="shared" si="1219"/>
        <v>1.5000000000000001E-2</v>
      </c>
      <c r="DN317" s="757"/>
      <c r="DO317" s="562"/>
      <c r="DP317" s="221"/>
      <c r="DQ317" s="221"/>
      <c r="DR317" s="221"/>
      <c r="DS317" s="221"/>
      <c r="DT317" s="221"/>
      <c r="DU317" s="221"/>
      <c r="DV317" s="221"/>
      <c r="DW317" s="221"/>
      <c r="DX317" s="221"/>
      <c r="DY317" s="221"/>
      <c r="DZ317" s="221"/>
      <c r="EA317" s="221"/>
      <c r="EB317" s="221"/>
      <c r="EC317" s="221"/>
      <c r="ED317" s="221"/>
      <c r="EE317" s="50"/>
      <c r="EF317" s="219"/>
      <c r="EG317" s="219"/>
      <c r="EH317" s="219"/>
      <c r="EI317" s="219"/>
      <c r="EJ317" s="289"/>
      <c r="EK317" s="289"/>
      <c r="EL317" s="289"/>
      <c r="EM317" s="289"/>
      <c r="EN317" s="289"/>
      <c r="EO317" s="289"/>
      <c r="EP317" s="197"/>
      <c r="EQ317" s="289"/>
      <c r="ER317" s="289"/>
      <c r="ES317" s="289"/>
      <c r="ET317" s="289"/>
      <c r="EU317" s="197"/>
      <c r="EV317" s="197"/>
      <c r="EW317" s="197"/>
      <c r="EX317" s="197"/>
      <c r="EY317" s="197"/>
      <c r="EZ317" s="1713"/>
      <c r="FA317" s="70">
        <f t="shared" ref="FA317:FF317" si="1220">FA316-1%</f>
        <v>0</v>
      </c>
      <c r="FB317" s="70">
        <f t="shared" si="1220"/>
        <v>0</v>
      </c>
      <c r="FC317" s="70">
        <f t="shared" si="1220"/>
        <v>-0.01</v>
      </c>
      <c r="FD317" s="70">
        <f t="shared" si="1220"/>
        <v>-0.01</v>
      </c>
      <c r="FE317" s="70">
        <f t="shared" si="1220"/>
        <v>-0.01</v>
      </c>
      <c r="FF317" s="70">
        <f t="shared" si="1220"/>
        <v>-0.01</v>
      </c>
      <c r="FG317" s="70">
        <f>FG316-1%</f>
        <v>-0.01</v>
      </c>
      <c r="FH317" s="70">
        <f>FH316-1%</f>
        <v>-0.01</v>
      </c>
      <c r="FI317" s="580"/>
      <c r="FJ317"/>
      <c r="FK317"/>
      <c r="FL317"/>
      <c r="FM317"/>
      <c r="FN317"/>
      <c r="FO317"/>
      <c r="FP317" s="401"/>
      <c r="FS317" s="70"/>
      <c r="FT317" s="70"/>
      <c r="FU317"/>
      <c r="FV317"/>
      <c r="FW317" s="70"/>
      <c r="FX317" s="70"/>
      <c r="FY317" s="70"/>
      <c r="FZ317"/>
      <c r="GA317"/>
      <c r="GB317"/>
      <c r="GC317"/>
      <c r="GD317"/>
      <c r="GE317"/>
      <c r="GF317"/>
      <c r="GG317"/>
      <c r="GH317"/>
      <c r="GI317"/>
      <c r="GJ317"/>
      <c r="GK317"/>
      <c r="GL317"/>
      <c r="GM317"/>
      <c r="GN317"/>
      <c r="GO317"/>
      <c r="GP317"/>
      <c r="GQ317"/>
      <c r="GR317"/>
      <c r="GS317"/>
      <c r="GT317"/>
      <c r="GU317"/>
      <c r="GV317"/>
      <c r="GW317"/>
      <c r="GX317"/>
      <c r="GY317"/>
      <c r="GZ317"/>
      <c r="HA317"/>
      <c r="HB317"/>
      <c r="HC317"/>
      <c r="HD317"/>
      <c r="HE317"/>
      <c r="HF317"/>
      <c r="HG317"/>
      <c r="HH317"/>
      <c r="HI317"/>
      <c r="HJ317"/>
      <c r="HK317"/>
      <c r="HL317"/>
      <c r="HM317"/>
      <c r="HN317"/>
      <c r="HO317"/>
      <c r="HP317"/>
      <c r="HQ317"/>
      <c r="HR317"/>
      <c r="HS317"/>
      <c r="HT317"/>
      <c r="HU317"/>
      <c r="HV317"/>
      <c r="HW317"/>
      <c r="HX317"/>
      <c r="HY317"/>
      <c r="HZ317"/>
      <c r="IA317"/>
      <c r="IB317"/>
      <c r="IC317"/>
      <c r="ID317"/>
      <c r="IE317"/>
      <c r="IF317"/>
      <c r="IG317"/>
      <c r="IH317"/>
      <c r="II317"/>
      <c r="IJ317"/>
      <c r="IK317"/>
      <c r="IL317"/>
      <c r="IM317"/>
      <c r="IN317"/>
      <c r="IO317"/>
      <c r="IP317"/>
      <c r="IQ317"/>
      <c r="IR317"/>
      <c r="IS317"/>
      <c r="IT317"/>
      <c r="IU317"/>
      <c r="IV317"/>
      <c r="IW317"/>
      <c r="IX317"/>
      <c r="IY317"/>
      <c r="IZ317"/>
    </row>
    <row r="318" spans="1:260" s="4" customFormat="1" x14ac:dyDescent="0.2">
      <c r="A318" s="1527" t="s">
        <v>705</v>
      </c>
      <c r="B318" s="282"/>
      <c r="C318" s="282"/>
      <c r="D318" s="282"/>
      <c r="E318" s="1268"/>
      <c r="F318" s="282"/>
      <c r="G318" s="282"/>
      <c r="H318" s="282"/>
      <c r="I318" s="1268"/>
      <c r="J318" s="282"/>
      <c r="K318" s="282"/>
      <c r="L318" s="282"/>
      <c r="M318" s="1268"/>
      <c r="N318" s="282"/>
      <c r="O318" s="282"/>
      <c r="P318" s="282"/>
      <c r="Q318" s="1268"/>
      <c r="R318" s="282"/>
      <c r="S318" s="282"/>
      <c r="T318" s="282"/>
      <c r="U318" s="1268"/>
      <c r="V318" s="282"/>
      <c r="W318" s="282"/>
      <c r="X318" s="282"/>
      <c r="Y318" s="1268"/>
      <c r="Z318" s="282"/>
      <c r="AA318" s="282"/>
      <c r="AB318" s="282"/>
      <c r="AC318" s="1268"/>
      <c r="AD318" s="282"/>
      <c r="AE318" s="282"/>
      <c r="AF318" s="282"/>
      <c r="AG318" s="1268"/>
      <c r="AH318" s="384" t="s">
        <v>483</v>
      </c>
      <c r="AI318" s="384" t="s">
        <v>483</v>
      </c>
      <c r="AJ318" s="384" t="s">
        <v>483</v>
      </c>
      <c r="AK318" s="556" t="s">
        <v>483</v>
      </c>
      <c r="AL318" s="384" t="s">
        <v>483</v>
      </c>
      <c r="AM318" s="384" t="s">
        <v>483</v>
      </c>
      <c r="AN318" s="384" t="s">
        <v>483</v>
      </c>
      <c r="AO318" s="556" t="s">
        <v>483</v>
      </c>
      <c r="AP318" s="384" t="s">
        <v>483</v>
      </c>
      <c r="AQ318" s="384" t="s">
        <v>483</v>
      </c>
      <c r="AR318" s="384" t="s">
        <v>483</v>
      </c>
      <c r="AS318" s="556" t="s">
        <v>483</v>
      </c>
      <c r="AT318" s="161">
        <f t="shared" ref="AT318:BQ318" si="1221">SUM(AT314,AP314)</f>
        <v>7.1999999999999995E-2</v>
      </c>
      <c r="AU318" s="161">
        <f t="shared" si="1221"/>
        <v>7.1000000000000008E-2</v>
      </c>
      <c r="AV318" s="161">
        <f t="shared" si="1221"/>
        <v>0.09</v>
      </c>
      <c r="AW318" s="518">
        <f t="shared" si="1221"/>
        <v>8.4000000000000005E-2</v>
      </c>
      <c r="AX318" s="161">
        <f t="shared" si="1221"/>
        <v>0.10199999999999999</v>
      </c>
      <c r="AY318" s="161">
        <f t="shared" si="1221"/>
        <v>3.9E-2</v>
      </c>
      <c r="AZ318" s="161">
        <f t="shared" si="1221"/>
        <v>4.5000000000000005E-2</v>
      </c>
      <c r="BA318" s="518">
        <f t="shared" si="1221"/>
        <v>6.9000000000000006E-2</v>
      </c>
      <c r="BB318" s="161">
        <f t="shared" si="1221"/>
        <v>0.10099999999999999</v>
      </c>
      <c r="BC318" s="161">
        <f t="shared" si="1221"/>
        <v>0.10199999999999999</v>
      </c>
      <c r="BD318" s="161">
        <f t="shared" si="1221"/>
        <v>0.13200000000000001</v>
      </c>
      <c r="BE318" s="518">
        <f t="shared" si="1221"/>
        <v>0.20400000000000001</v>
      </c>
      <c r="BF318" s="161">
        <f t="shared" si="1221"/>
        <v>0.19900000000000001</v>
      </c>
      <c r="BG318" s="161">
        <f t="shared" si="1221"/>
        <v>0.25600000000000001</v>
      </c>
      <c r="BH318" s="161">
        <f t="shared" si="1221"/>
        <v>0.23</v>
      </c>
      <c r="BI318" s="518">
        <f t="shared" si="1221"/>
        <v>0.17400000000000002</v>
      </c>
      <c r="BJ318" s="161">
        <f t="shared" si="1221"/>
        <v>0.17499999999999999</v>
      </c>
      <c r="BK318" s="161">
        <f t="shared" si="1221"/>
        <v>0.153</v>
      </c>
      <c r="BL318" s="161">
        <f t="shared" si="1221"/>
        <v>9.6000000000000002E-2</v>
      </c>
      <c r="BM318" s="518">
        <f t="shared" si="1221"/>
        <v>-1.8999999999999996E-2</v>
      </c>
      <c r="BN318" s="161">
        <f t="shared" si="1221"/>
        <v>-9.2000000000000012E-2</v>
      </c>
      <c r="BO318" s="161">
        <f t="shared" si="1221"/>
        <v>-9.2999999999999999E-2</v>
      </c>
      <c r="BP318" s="161">
        <f t="shared" si="1221"/>
        <v>-6.4000000000000001E-2</v>
      </c>
      <c r="BQ318" s="518">
        <f t="shared" si="1221"/>
        <v>2.0000000000000018E-3</v>
      </c>
      <c r="BR318" s="70"/>
      <c r="BS318" s="70"/>
      <c r="BT318" s="70"/>
      <c r="BU318" s="487"/>
      <c r="BV318" s="70"/>
      <c r="BW318" s="70"/>
      <c r="BX318" s="70"/>
      <c r="BY318" s="487"/>
      <c r="BZ318" s="161">
        <f>SUM(BZ314,BN314)</f>
        <v>-6.8000000000000019E-2</v>
      </c>
      <c r="CA318" s="161">
        <f>SUM(CA314,BO314)</f>
        <v>-3.4000000000000002E-2</v>
      </c>
      <c r="CB318" s="161">
        <f>SUM(CB314,BP314)</f>
        <v>-4.1000000000000009E-2</v>
      </c>
      <c r="CC318" s="518">
        <f>SUM(CC314,BQ314)</f>
        <v>3.5000000000000003E-2</v>
      </c>
      <c r="CD318" s="161">
        <f t="shared" ref="CD318:CK318" si="1222">SUM(CD314,BZ314)</f>
        <v>6.8999999999999992E-2</v>
      </c>
      <c r="CE318" s="161">
        <f t="shared" si="1222"/>
        <v>2.1000000000000001E-2</v>
      </c>
      <c r="CF318" s="161">
        <f t="shared" si="1222"/>
        <v>-6.0000000000000019E-3</v>
      </c>
      <c r="CG318" s="518">
        <f t="shared" si="1222"/>
        <v>-3.7999999999999999E-2</v>
      </c>
      <c r="CH318" s="161">
        <f t="shared" si="1222"/>
        <v>-0.107</v>
      </c>
      <c r="CI318" s="161">
        <f t="shared" si="1222"/>
        <v>-0.11</v>
      </c>
      <c r="CJ318" s="161">
        <f t="shared" si="1222"/>
        <v>-8.3999999999999991E-2</v>
      </c>
      <c r="CK318" s="518">
        <f t="shared" si="1222"/>
        <v>-8.4000000000000005E-2</v>
      </c>
      <c r="CL318" s="161">
        <f>SUM(CL314,CD314)</f>
        <v>-0.13600000000000001</v>
      </c>
      <c r="CM318" s="161">
        <f>SUM(CM314,CE314)</f>
        <v>-0.14100000000000001</v>
      </c>
      <c r="CN318" s="161">
        <f>SUM(CN314,CF314)</f>
        <v>-0.13500000000000001</v>
      </c>
      <c r="CO318" s="518">
        <f>SUM(CO314,CG314)</f>
        <v>-0.14399999999999999</v>
      </c>
      <c r="CP318" s="70">
        <f>SUM(CP314,CL314)</f>
        <v>-0.19800000000000001</v>
      </c>
      <c r="CQ318" s="70">
        <f>SUM(CQ314,CM314)</f>
        <v>-0.184</v>
      </c>
      <c r="CR318" s="161">
        <f>SUM(CR314,CJ314)</f>
        <v>-0.123</v>
      </c>
      <c r="CS318" s="487">
        <f t="shared" ref="CS318:DB318" si="1223">SUM(CS314,CO314)</f>
        <v>-0.14599999999999999</v>
      </c>
      <c r="CT318" s="70">
        <f t="shared" si="1223"/>
        <v>-0.13</v>
      </c>
      <c r="CU318" s="70">
        <f t="shared" si="1223"/>
        <v>-0.10899999999999999</v>
      </c>
      <c r="CV318" s="70">
        <f t="shared" si="1223"/>
        <v>-7.2999999999999995E-2</v>
      </c>
      <c r="CW318" s="487">
        <f t="shared" si="1223"/>
        <v>-0.06</v>
      </c>
      <c r="CX318" s="70">
        <f t="shared" si="1223"/>
        <v>-6.0000000000000005E-2</v>
      </c>
      <c r="CY318" s="70">
        <f t="shared" si="1223"/>
        <v>-6.8000000000000005E-2</v>
      </c>
      <c r="CZ318" s="70">
        <f t="shared" si="1223"/>
        <v>3.0000000000000001E-3</v>
      </c>
      <c r="DA318" s="487">
        <f t="shared" si="1223"/>
        <v>-0.05</v>
      </c>
      <c r="DB318" s="70">
        <f t="shared" si="1223"/>
        <v>-6.0000000000000001E-3</v>
      </c>
      <c r="DC318" s="70">
        <f t="shared" ref="DC318:DM318" si="1224">SUM(DC314,CY314)</f>
        <v>1.1000000000000003E-2</v>
      </c>
      <c r="DD318" s="70">
        <f t="shared" si="1224"/>
        <v>2.3E-2</v>
      </c>
      <c r="DE318" s="487">
        <f t="shared" si="1224"/>
        <v>-1.0000000000000009E-3</v>
      </c>
      <c r="DF318" s="70">
        <f t="shared" si="1224"/>
        <v>2.8000000000000001E-2</v>
      </c>
      <c r="DG318" s="70">
        <f t="shared" si="1224"/>
        <v>8.7999999999999995E-2</v>
      </c>
      <c r="DH318" s="70">
        <f t="shared" si="1224"/>
        <v>5.5999999999999994E-2</v>
      </c>
      <c r="DI318" s="487">
        <f t="shared" si="1224"/>
        <v>0.108</v>
      </c>
      <c r="DJ318" s="1673">
        <f t="shared" si="1224"/>
        <v>0.06</v>
      </c>
      <c r="DK318" s="70">
        <f t="shared" si="1224"/>
        <v>4.9500000000000002E-2</v>
      </c>
      <c r="DL318" s="70">
        <f t="shared" si="1224"/>
        <v>4.8000000000000001E-2</v>
      </c>
      <c r="DM318" s="487">
        <f t="shared" si="1224"/>
        <v>0.124</v>
      </c>
      <c r="DN318" s="580"/>
      <c r="DO318" s="487"/>
      <c r="DP318" s="70"/>
      <c r="DQ318" s="70"/>
      <c r="DR318" s="70"/>
      <c r="DS318" s="70"/>
      <c r="DT318" s="70"/>
      <c r="DU318" s="70"/>
      <c r="DV318" s="70"/>
      <c r="DW318" s="70"/>
      <c r="DX318" s="70"/>
      <c r="DY318" s="70"/>
      <c r="DZ318" s="70"/>
      <c r="EA318" s="70"/>
      <c r="EB318" s="70"/>
      <c r="EC318" s="70"/>
      <c r="ED318" s="70"/>
      <c r="EE318" s="15"/>
      <c r="EF318" s="384" t="s">
        <v>483</v>
      </c>
      <c r="EG318" s="384" t="s">
        <v>483</v>
      </c>
      <c r="EH318" s="384" t="s">
        <v>483</v>
      </c>
      <c r="EI318" s="161">
        <f t="shared" ref="EI318:EN318" si="1225">SUM(EI314,EH314)</f>
        <v>8.1309676234326028E-2</v>
      </c>
      <c r="EJ318" s="161">
        <f t="shared" si="1225"/>
        <v>6.160191761363637E-2</v>
      </c>
      <c r="EK318" s="161">
        <f t="shared" si="1225"/>
        <v>0.14500000000000002</v>
      </c>
      <c r="EL318" s="161">
        <f t="shared" si="1225"/>
        <v>0.20700000000000002</v>
      </c>
      <c r="EM318" s="161">
        <f t="shared" si="1225"/>
        <v>8.1000000000000003E-2</v>
      </c>
      <c r="EN318" s="161">
        <f t="shared" si="1225"/>
        <v>-4.5999999999999999E-2</v>
      </c>
      <c r="EO318" s="161"/>
      <c r="EP318" s="161"/>
      <c r="EQ318" s="161">
        <f>SUM(EQ314,EN314)</f>
        <v>-1.1999999999999997E-2</v>
      </c>
      <c r="ER318" s="161">
        <f>SUM(ER314,EQ314)</f>
        <v>5.000000000000001E-3</v>
      </c>
      <c r="ES318" s="161">
        <f>SUM(ES314,ER314)</f>
        <v>-8.4000000000000005E-2</v>
      </c>
      <c r="ET318" s="161">
        <f>SUM(ET314,ER314)</f>
        <v>-0.13999999999999999</v>
      </c>
      <c r="EU318" s="161">
        <f t="shared" ref="EU318:FC318" si="1226">SUM(EU314,ET314)</f>
        <v>-0.17491218735946309</v>
      </c>
      <c r="EV318" s="161">
        <f t="shared" si="1226"/>
        <v>-9.053454874784303E-2</v>
      </c>
      <c r="EW318" s="161">
        <f t="shared" si="1226"/>
        <v>-4.267556044184985E-2</v>
      </c>
      <c r="EX318" s="70">
        <f t="shared" si="1226"/>
        <v>6.4626003723912868E-3</v>
      </c>
      <c r="EY318" s="70">
        <f t="shared" si="1226"/>
        <v>7.6589104956371404E-2</v>
      </c>
      <c r="EZ318" s="1673">
        <f t="shared" si="1226"/>
        <v>7.9395555423337538E-2</v>
      </c>
      <c r="FA318" s="161">
        <f t="shared" si="1226"/>
        <v>2.6322249892827332E-2</v>
      </c>
      <c r="FB318" s="161">
        <f t="shared" si="1226"/>
        <v>0.02</v>
      </c>
      <c r="FC318" s="161">
        <f t="shared" si="1226"/>
        <v>0.01</v>
      </c>
      <c r="FD318" s="161">
        <f>SUM(FD314,FC314)</f>
        <v>0</v>
      </c>
      <c r="FE318" s="161">
        <f>SUM(FE314,FD314)</f>
        <v>0</v>
      </c>
      <c r="FF318" s="161">
        <f>SUM(FF314,FE314)</f>
        <v>0</v>
      </c>
      <c r="FG318" s="161">
        <f>SUM(FG314,FF314)</f>
        <v>0</v>
      </c>
      <c r="FH318" s="161">
        <f>SUM(FH314,FG314)</f>
        <v>0</v>
      </c>
      <c r="FI318" s="580"/>
      <c r="FJ318"/>
      <c r="FK318"/>
      <c r="FL318"/>
      <c r="FM318"/>
      <c r="FN318"/>
      <c r="FO318"/>
      <c r="FP318" s="3"/>
      <c r="FS318" s="70"/>
      <c r="FT318" s="70"/>
      <c r="FU318"/>
      <c r="FV318"/>
      <c r="FW318" s="70"/>
      <c r="FX318" s="70"/>
      <c r="FY318" s="70"/>
      <c r="FZ318"/>
      <c r="GA318"/>
      <c r="GB318"/>
      <c r="GC318"/>
      <c r="GD318"/>
      <c r="GE318"/>
      <c r="GF318"/>
      <c r="GG318"/>
      <c r="GH318"/>
      <c r="GI318"/>
      <c r="GJ318"/>
      <c r="GK318"/>
      <c r="GL318"/>
      <c r="GM318"/>
      <c r="GN318"/>
      <c r="GO318"/>
      <c r="GP318"/>
      <c r="GQ318"/>
      <c r="GR318"/>
      <c r="GS318"/>
      <c r="GT318"/>
      <c r="GU318"/>
      <c r="GV318"/>
      <c r="GW318"/>
      <c r="GX318"/>
      <c r="GY318"/>
      <c r="GZ318"/>
      <c r="HA318"/>
      <c r="HB318"/>
      <c r="HC318"/>
      <c r="HD318"/>
      <c r="HE318"/>
      <c r="HF318"/>
      <c r="HG318"/>
      <c r="HH318"/>
      <c r="HI318"/>
      <c r="HJ318"/>
      <c r="HK318"/>
      <c r="HL318"/>
      <c r="HM318"/>
      <c r="HN318"/>
      <c r="HO318"/>
      <c r="HP318"/>
      <c r="HQ318"/>
      <c r="HR318"/>
      <c r="HS318"/>
      <c r="HT318"/>
      <c r="HU318"/>
      <c r="HV318"/>
      <c r="HW318"/>
      <c r="HX318"/>
      <c r="HY318"/>
      <c r="HZ318"/>
      <c r="IA318"/>
      <c r="IB318"/>
      <c r="IC318"/>
      <c r="ID318"/>
      <c r="IE318"/>
      <c r="IF318"/>
      <c r="IG318"/>
      <c r="IH318"/>
      <c r="II318"/>
      <c r="IJ318"/>
      <c r="IK318"/>
      <c r="IL318"/>
      <c r="IM318"/>
      <c r="IN318"/>
      <c r="IO318"/>
      <c r="IP318"/>
      <c r="IQ318"/>
      <c r="IR318"/>
      <c r="IS318"/>
      <c r="IT318"/>
      <c r="IU318"/>
      <c r="IV318"/>
      <c r="IW318"/>
      <c r="IX318"/>
      <c r="IY318"/>
      <c r="IZ318"/>
    </row>
    <row r="319" spans="1:260" s="4" customFormat="1" x14ac:dyDescent="0.2">
      <c r="A319" s="59"/>
      <c r="B319" s="59"/>
      <c r="C319" s="59"/>
      <c r="D319" s="59"/>
      <c r="E319" s="545"/>
      <c r="F319" s="59"/>
      <c r="G319" s="59"/>
      <c r="H319" s="59"/>
      <c r="I319" s="545"/>
      <c r="J319" s="59"/>
      <c r="K319" s="59"/>
      <c r="L319" s="59"/>
      <c r="M319" s="545"/>
      <c r="N319" s="59"/>
      <c r="O319" s="59"/>
      <c r="P319" s="59"/>
      <c r="Q319" s="545"/>
      <c r="R319" s="59"/>
      <c r="S319" s="59"/>
      <c r="T319" s="59"/>
      <c r="U319" s="545"/>
      <c r="V319" s="59"/>
      <c r="W319" s="59"/>
      <c r="X319" s="59"/>
      <c r="Y319" s="545"/>
      <c r="Z319" s="59"/>
      <c r="AA319" s="59"/>
      <c r="AB319" s="59"/>
      <c r="AC319" s="545"/>
      <c r="AD319" s="59"/>
      <c r="AE319" s="59"/>
      <c r="AF319" s="59"/>
      <c r="AG319" s="545"/>
      <c r="AH319" s="220"/>
      <c r="AI319" s="220"/>
      <c r="AJ319" s="220"/>
      <c r="AK319" s="540"/>
      <c r="AL319" s="220"/>
      <c r="AM319" s="220"/>
      <c r="AN319" s="220"/>
      <c r="AO319" s="540"/>
      <c r="AP319" s="220"/>
      <c r="AQ319" s="220"/>
      <c r="AR319" s="220"/>
      <c r="AS319" s="540"/>
      <c r="AT319" s="220"/>
      <c r="AU319" s="220"/>
      <c r="AV319" s="220"/>
      <c r="AW319" s="540"/>
      <c r="AX319" s="221"/>
      <c r="AY319" s="221"/>
      <c r="AZ319" s="197"/>
      <c r="BA319" s="572"/>
      <c r="BB319" s="197"/>
      <c r="BC319" s="197"/>
      <c r="BD319" s="197"/>
      <c r="BE319" s="572"/>
      <c r="BF319" s="197"/>
      <c r="BG319" s="197"/>
      <c r="BH319" s="197"/>
      <c r="BI319" s="572"/>
      <c r="BJ319" s="197"/>
      <c r="BK319" s="197"/>
      <c r="BL319" s="197"/>
      <c r="BM319" s="572"/>
      <c r="BN319" s="197"/>
      <c r="BO319" s="197"/>
      <c r="BP319" s="197"/>
      <c r="BQ319" s="572"/>
      <c r="BR319" s="197"/>
      <c r="BS319" s="197"/>
      <c r="BT319" s="197"/>
      <c r="BU319" s="572"/>
      <c r="BV319" s="197"/>
      <c r="BW319" s="197"/>
      <c r="BX319" s="197"/>
      <c r="BY319" s="572"/>
      <c r="BZ319" s="197"/>
      <c r="CA319" s="197"/>
      <c r="CB319" s="197"/>
      <c r="CC319" s="572"/>
      <c r="CD319" s="197"/>
      <c r="CE319" s="197"/>
      <c r="CF319" s="197"/>
      <c r="CG319" s="572"/>
      <c r="CH319" s="197"/>
      <c r="CI319" s="197"/>
      <c r="CJ319" s="197"/>
      <c r="CK319" s="572"/>
      <c r="CL319" s="197"/>
      <c r="CM319" s="197"/>
      <c r="CN319" s="197"/>
      <c r="CO319" s="572"/>
      <c r="CP319" s="197"/>
      <c r="CQ319" s="197"/>
      <c r="CR319" s="197"/>
      <c r="CS319" s="572"/>
      <c r="CT319" s="221"/>
      <c r="CU319" s="221"/>
      <c r="CV319" s="221"/>
      <c r="CW319" s="562"/>
      <c r="CX319" s="221"/>
      <c r="CY319" s="221"/>
      <c r="CZ319" s="221"/>
      <c r="DA319" s="562"/>
      <c r="DB319" s="221"/>
      <c r="DC319" s="221"/>
      <c r="DD319" s="221"/>
      <c r="DE319" s="562"/>
      <c r="DF319" s="221"/>
      <c r="DG319" s="221"/>
      <c r="DH319" s="221"/>
      <c r="DI319" s="562"/>
      <c r="DJ319" s="2755"/>
      <c r="DK319" s="221"/>
      <c r="DL319" s="221"/>
      <c r="DM319" s="562"/>
      <c r="DN319" s="757"/>
      <c r="DO319" s="562"/>
      <c r="DP319" s="221"/>
      <c r="DQ319" s="221"/>
      <c r="DR319" s="221"/>
      <c r="DS319" s="221"/>
      <c r="DT319" s="221"/>
      <c r="DU319" s="221"/>
      <c r="DV319" s="221"/>
      <c r="DW319" s="221"/>
      <c r="DX319" s="221"/>
      <c r="DY319" s="221"/>
      <c r="DZ319" s="221"/>
      <c r="EA319" s="221"/>
      <c r="EB319" s="221"/>
      <c r="EC319" s="221"/>
      <c r="ED319" s="221"/>
      <c r="EF319" s="220"/>
      <c r="EG319" s="220"/>
      <c r="EH319" s="219"/>
      <c r="EI319" s="219"/>
      <c r="EJ319" s="197"/>
      <c r="EK319" s="197"/>
      <c r="EL319" s="197"/>
      <c r="EM319" s="197"/>
      <c r="EN319" s="197"/>
      <c r="EO319" s="197"/>
      <c r="EP319" s="197"/>
      <c r="EQ319" s="197"/>
      <c r="ER319" s="197"/>
      <c r="ES319" s="197"/>
      <c r="ET319" s="197"/>
      <c r="EU319" s="197"/>
      <c r="EV319" s="197"/>
      <c r="EW319" s="197"/>
      <c r="EX319" s="197"/>
      <c r="EY319" s="197"/>
      <c r="EZ319" s="1713"/>
      <c r="FA319" s="221"/>
      <c r="FB319" s="221"/>
      <c r="FC319" s="221"/>
      <c r="FD319" s="221"/>
      <c r="FE319" s="221"/>
      <c r="FF319" s="221"/>
      <c r="FG319" s="221"/>
      <c r="FH319" s="221"/>
      <c r="FI319" s="757"/>
      <c r="FJ319"/>
      <c r="FK319"/>
      <c r="FL319"/>
      <c r="FM319"/>
      <c r="FN319"/>
      <c r="FO319"/>
      <c r="FP319" s="3"/>
      <c r="FS319" s="221"/>
      <c r="FT319" s="221"/>
      <c r="FU319"/>
      <c r="FV319"/>
      <c r="FW319" s="221"/>
      <c r="FX319" s="221"/>
      <c r="FY319" s="221"/>
      <c r="FZ319"/>
      <c r="GA319"/>
      <c r="GB319"/>
      <c r="GC319"/>
      <c r="GD319"/>
      <c r="GE319"/>
      <c r="GF319"/>
      <c r="GG319"/>
      <c r="GH319"/>
      <c r="GI319"/>
      <c r="GJ319"/>
      <c r="GK319"/>
      <c r="GL319"/>
      <c r="GM319"/>
      <c r="GN319"/>
      <c r="GO319"/>
      <c r="GP319"/>
      <c r="GQ319"/>
      <c r="GR319"/>
      <c r="GS319"/>
      <c r="GT319"/>
      <c r="GU319"/>
      <c r="GV319"/>
      <c r="GW319"/>
      <c r="GX319"/>
      <c r="GY319"/>
      <c r="GZ319"/>
      <c r="HA319"/>
      <c r="HB319"/>
      <c r="HC319"/>
      <c r="HD319"/>
      <c r="HE319"/>
      <c r="HF319"/>
      <c r="HG319"/>
      <c r="HH319"/>
      <c r="HI319"/>
      <c r="HJ319"/>
      <c r="HK319"/>
      <c r="HL319"/>
      <c r="HM319"/>
      <c r="HN319"/>
      <c r="HO319"/>
      <c r="HP319"/>
      <c r="HQ319"/>
      <c r="HR319"/>
      <c r="HS319"/>
      <c r="HT319"/>
      <c r="HU319"/>
      <c r="HV319"/>
      <c r="HW319"/>
      <c r="HX319"/>
      <c r="HY319"/>
      <c r="HZ319"/>
      <c r="IA319"/>
      <c r="IB319"/>
      <c r="IC319"/>
      <c r="ID319"/>
      <c r="IE319"/>
      <c r="IF319"/>
      <c r="IG319"/>
      <c r="IH319"/>
      <c r="II319"/>
      <c r="IJ319"/>
      <c r="IK319"/>
      <c r="IL319"/>
      <c r="IM319"/>
      <c r="IN319"/>
      <c r="IO319"/>
      <c r="IP319"/>
      <c r="IQ319"/>
      <c r="IR319"/>
      <c r="IS319"/>
      <c r="IT319"/>
      <c r="IU319"/>
      <c r="IV319"/>
      <c r="IW319"/>
      <c r="IX319"/>
      <c r="IY319"/>
      <c r="IZ319"/>
    </row>
    <row r="320" spans="1:260" s="4" customFormat="1" x14ac:dyDescent="0.2">
      <c r="A320" s="20" t="s">
        <v>375</v>
      </c>
      <c r="B320" s="20"/>
      <c r="C320" s="20"/>
      <c r="D320" s="20"/>
      <c r="E320" s="542"/>
      <c r="F320" s="20"/>
      <c r="G320" s="20"/>
      <c r="H320" s="20"/>
      <c r="I320" s="542"/>
      <c r="J320" s="20"/>
      <c r="K320" s="20"/>
      <c r="L320" s="20"/>
      <c r="M320" s="542"/>
      <c r="N320" s="20"/>
      <c r="O320" s="20"/>
      <c r="P320" s="20"/>
      <c r="Q320" s="542"/>
      <c r="R320" s="20"/>
      <c r="S320" s="20"/>
      <c r="T320" s="20"/>
      <c r="U320" s="542"/>
      <c r="V320" s="20"/>
      <c r="W320" s="20"/>
      <c r="X320" s="20"/>
      <c r="Y320" s="542"/>
      <c r="Z320" s="20"/>
      <c r="AA320" s="20"/>
      <c r="AB320" s="20"/>
      <c r="AC320" s="542"/>
      <c r="AD320" s="20"/>
      <c r="AE320" s="20"/>
      <c r="AF320" s="20"/>
      <c r="AG320" s="542"/>
      <c r="AH320" s="384" t="s">
        <v>483</v>
      </c>
      <c r="AI320" s="384" t="s">
        <v>483</v>
      </c>
      <c r="AJ320" s="384" t="s">
        <v>483</v>
      </c>
      <c r="AK320" s="556" t="s">
        <v>483</v>
      </c>
      <c r="AL320" s="384" t="s">
        <v>483</v>
      </c>
      <c r="AM320" s="384" t="s">
        <v>483</v>
      </c>
      <c r="AN320" s="384" t="s">
        <v>483</v>
      </c>
      <c r="AO320" s="556" t="s">
        <v>483</v>
      </c>
      <c r="AP320" s="866">
        <f t="shared" ref="AP320:BU320" si="1227">+AP325-AP313</f>
        <v>85</v>
      </c>
      <c r="AQ320" s="866">
        <f t="shared" si="1227"/>
        <v>138.30599999999998</v>
      </c>
      <c r="AR320" s="866">
        <f t="shared" si="1227"/>
        <v>164.16000000000008</v>
      </c>
      <c r="AS320" s="867">
        <f t="shared" si="1227"/>
        <v>220.33799999999997</v>
      </c>
      <c r="AT320" s="866">
        <f t="shared" si="1227"/>
        <v>83.064000000000021</v>
      </c>
      <c r="AU320" s="866">
        <f t="shared" si="1227"/>
        <v>73.420000000000016</v>
      </c>
      <c r="AV320" s="866">
        <f t="shared" si="1227"/>
        <v>95.899999999999977</v>
      </c>
      <c r="AW320" s="867">
        <f t="shared" si="1227"/>
        <v>166.78000000000009</v>
      </c>
      <c r="AX320" s="866">
        <f t="shared" si="1227"/>
        <v>112.03000000000009</v>
      </c>
      <c r="AY320" s="866">
        <f t="shared" si="1227"/>
        <v>125.83400000000006</v>
      </c>
      <c r="AZ320" s="866">
        <f t="shared" si="1227"/>
        <v>144.63999999999999</v>
      </c>
      <c r="BA320" s="867">
        <f t="shared" si="1227"/>
        <v>188.03999999999996</v>
      </c>
      <c r="BB320" s="866">
        <f t="shared" si="1227"/>
        <v>126.55399999999986</v>
      </c>
      <c r="BC320" s="866">
        <f t="shared" si="1227"/>
        <v>211.43500000000017</v>
      </c>
      <c r="BD320" s="866">
        <f t="shared" si="1227"/>
        <v>320.947</v>
      </c>
      <c r="BE320" s="867">
        <f t="shared" si="1227"/>
        <v>369.48</v>
      </c>
      <c r="BF320" s="866">
        <f t="shared" si="1227"/>
        <v>323.98399999999992</v>
      </c>
      <c r="BG320" s="866">
        <f t="shared" si="1227"/>
        <v>373.93399999999997</v>
      </c>
      <c r="BH320" s="866">
        <f t="shared" si="1227"/>
        <v>291.26299999999992</v>
      </c>
      <c r="BI320" s="867">
        <f t="shared" si="1227"/>
        <v>357.28999999999996</v>
      </c>
      <c r="BJ320" s="866">
        <f t="shared" si="1227"/>
        <v>256.51900000000023</v>
      </c>
      <c r="BK320" s="866">
        <f t="shared" si="1227"/>
        <v>167.16000000000008</v>
      </c>
      <c r="BL320" s="866">
        <f t="shared" si="1227"/>
        <v>1576.8340000000005</v>
      </c>
      <c r="BM320" s="867">
        <f t="shared" si="1227"/>
        <v>1320.402</v>
      </c>
      <c r="BN320" s="866">
        <f t="shared" si="1227"/>
        <v>1246.643</v>
      </c>
      <c r="BO320" s="866">
        <f t="shared" si="1227"/>
        <v>1218.4439999999997</v>
      </c>
      <c r="BP320" s="866">
        <f t="shared" si="1227"/>
        <v>10.368000000000393</v>
      </c>
      <c r="BQ320" s="867">
        <f t="shared" si="1227"/>
        <v>344.02</v>
      </c>
      <c r="BR320" s="866">
        <f t="shared" si="1227"/>
        <v>132.09000000000015</v>
      </c>
      <c r="BS320" s="866">
        <f t="shared" si="1227"/>
        <v>36.835999999999785</v>
      </c>
      <c r="BT320" s="866">
        <f t="shared" si="1227"/>
        <v>15.861000000000331</v>
      </c>
      <c r="BU320" s="867">
        <f t="shared" si="1227"/>
        <v>221.59700000000021</v>
      </c>
      <c r="BV320" s="866">
        <f t="shared" ref="BV320:CX320" si="1228">+BV325-BV313</f>
        <v>205.54399999999987</v>
      </c>
      <c r="BW320" s="866">
        <f t="shared" si="1228"/>
        <v>225.89600000000019</v>
      </c>
      <c r="BX320" s="866">
        <f t="shared" si="1228"/>
        <v>88.059999999999945</v>
      </c>
      <c r="BY320" s="867">
        <f t="shared" si="1228"/>
        <v>11.030999999999949</v>
      </c>
      <c r="BZ320" s="866">
        <f t="shared" si="1228"/>
        <v>58.5300000000002</v>
      </c>
      <c r="CA320" s="866">
        <f t="shared" si="1228"/>
        <v>-165.65200000000004</v>
      </c>
      <c r="CB320" s="866">
        <f t="shared" si="1228"/>
        <v>-130.41800000000012</v>
      </c>
      <c r="CC320" s="867">
        <f t="shared" si="1228"/>
        <v>196.38000000000011</v>
      </c>
      <c r="CD320" s="866">
        <f t="shared" si="1228"/>
        <v>171.62199999999984</v>
      </c>
      <c r="CE320" s="866">
        <f t="shared" si="1228"/>
        <v>238.07600000000002</v>
      </c>
      <c r="CF320" s="866">
        <f t="shared" si="1228"/>
        <v>144.3760000000002</v>
      </c>
      <c r="CG320" s="867">
        <f t="shared" si="1228"/>
        <v>75.547999999999774</v>
      </c>
      <c r="CH320" s="866">
        <f t="shared" si="1228"/>
        <v>123.58500000000049</v>
      </c>
      <c r="CI320" s="866">
        <f t="shared" si="1228"/>
        <v>101.07799999999997</v>
      </c>
      <c r="CJ320" s="866">
        <f t="shared" si="1228"/>
        <v>150.67999999999984</v>
      </c>
      <c r="CK320" s="867">
        <f t="shared" si="1228"/>
        <v>342.80800000000045</v>
      </c>
      <c r="CL320" s="866">
        <f t="shared" si="1228"/>
        <v>-1027.0819999999994</v>
      </c>
      <c r="CM320" s="866">
        <f t="shared" si="1228"/>
        <v>-1017.6729999999998</v>
      </c>
      <c r="CN320" s="866">
        <f t="shared" si="1228"/>
        <v>-1063.73</v>
      </c>
      <c r="CO320" s="867">
        <f t="shared" si="1228"/>
        <v>-1170.9119999999994</v>
      </c>
      <c r="CP320" s="866">
        <f t="shared" si="1228"/>
        <v>-469.7360000000001</v>
      </c>
      <c r="CQ320" s="866">
        <f t="shared" si="1228"/>
        <v>-467.94400000000019</v>
      </c>
      <c r="CR320" s="866">
        <f t="shared" si="1228"/>
        <v>-1749.3200000000002</v>
      </c>
      <c r="CS320" s="867">
        <f t="shared" si="1228"/>
        <v>-626.96</v>
      </c>
      <c r="CT320" s="866">
        <f t="shared" si="1228"/>
        <v>-59.187999999999988</v>
      </c>
      <c r="CU320" s="866">
        <f t="shared" si="1228"/>
        <v>-48.557999999999993</v>
      </c>
      <c r="CV320" s="866">
        <f t="shared" si="1228"/>
        <v>-69.776000000000067</v>
      </c>
      <c r="CW320" s="867">
        <f t="shared" si="1228"/>
        <v>-145.91999999999985</v>
      </c>
      <c r="CX320" s="866">
        <f t="shared" si="1228"/>
        <v>-195.14799999999991</v>
      </c>
      <c r="CY320" s="1186">
        <f t="shared" ref="CY320:DD320" si="1229">IFERROR(+CY325-CY313,"NA")</f>
        <v>-197.77999999999997</v>
      </c>
      <c r="CZ320" s="1186">
        <f t="shared" si="1229"/>
        <v>-316.19999999999982</v>
      </c>
      <c r="DA320" s="1415">
        <f t="shared" si="1229"/>
        <v>-380.88000000000011</v>
      </c>
      <c r="DB320" s="1186">
        <f t="shared" si="1229"/>
        <v>-45.984000000000037</v>
      </c>
      <c r="DC320" s="1186">
        <f t="shared" si="1229"/>
        <v>-32.649999999999977</v>
      </c>
      <c r="DD320" s="1186">
        <f t="shared" si="1229"/>
        <v>10.877999999999929</v>
      </c>
      <c r="DE320" s="1415">
        <f t="shared" ref="DE320:DF320" si="1230">IFERROR(+DE325-DE313,"NA")</f>
        <v>17.955999999999904</v>
      </c>
      <c r="DF320" s="2494">
        <f t="shared" si="1230"/>
        <v>-22.559999999999945</v>
      </c>
      <c r="DG320" s="2494">
        <f t="shared" ref="DG320:DI320" si="1231">IFERROR(+DG325-DG313,"NA")</f>
        <v>-6.2680000000000291</v>
      </c>
      <c r="DH320" s="2494">
        <f t="shared" si="1231"/>
        <v>47.385999999999967</v>
      </c>
      <c r="DI320" s="1415">
        <f t="shared" si="1231"/>
        <v>118.74399999999991</v>
      </c>
      <c r="DJ320" s="2756">
        <f t="shared" ref="DJ320:DM320" si="1232">+(DJ295-DF295)*DF310*DJ321/1000</f>
        <v>-1.1678048780487804</v>
      </c>
      <c r="DK320" s="2601">
        <f t="shared" si="1232"/>
        <v>-0.37602649006622518</v>
      </c>
      <c r="DL320" s="2601">
        <f t="shared" si="1232"/>
        <v>0</v>
      </c>
      <c r="DM320" s="1415">
        <f t="shared" si="1232"/>
        <v>0</v>
      </c>
      <c r="DN320" s="583"/>
      <c r="DO320" s="561"/>
      <c r="DP320" s="164"/>
      <c r="DQ320" s="164"/>
      <c r="DR320" s="164"/>
      <c r="DS320" s="164"/>
      <c r="DT320" s="164"/>
      <c r="DU320" s="164"/>
      <c r="DV320" s="164"/>
      <c r="DW320" s="164"/>
      <c r="DX320" s="164"/>
      <c r="DY320" s="164"/>
      <c r="DZ320" s="164"/>
      <c r="EA320" s="164"/>
      <c r="EB320" s="164"/>
      <c r="EC320" s="164"/>
      <c r="ED320" s="164"/>
      <c r="EE320" s="63"/>
      <c r="EF320" s="1288" t="s">
        <v>483</v>
      </c>
      <c r="EG320" s="1288" t="s">
        <v>483</v>
      </c>
      <c r="EH320" s="216">
        <f>+AP320+AQ320+AR320+AS320</f>
        <v>607.80400000000009</v>
      </c>
      <c r="EI320" s="216">
        <f>+AT320+AU320+AV320+AW320</f>
        <v>419.1640000000001</v>
      </c>
      <c r="EJ320" s="883">
        <f>SUM(AX320:BA320)</f>
        <v>570.5440000000001</v>
      </c>
      <c r="EK320" s="883">
        <f>SUM(BB320:BE320)</f>
        <v>1028.4160000000002</v>
      </c>
      <c r="EL320" s="883">
        <f>SUM(BF320:BI320)</f>
        <v>1346.4709999999998</v>
      </c>
      <c r="EM320" s="883">
        <f>SUM(BJ320:BM320)</f>
        <v>3320.9150000000009</v>
      </c>
      <c r="EN320" s="883">
        <f>SUM(BN320:BQ320)</f>
        <v>2819.4749999999999</v>
      </c>
      <c r="EO320" s="883">
        <f>SUM(BR320:BU320)</f>
        <v>406.38400000000047</v>
      </c>
      <c r="EP320" s="883">
        <f>SUM(BV320:BY320)</f>
        <v>530.53099999999995</v>
      </c>
      <c r="EQ320" s="883">
        <f>SUM(BZ320:CC320)</f>
        <v>-41.159999999999854</v>
      </c>
      <c r="ER320" s="883">
        <f>SUM(CD320:CG320)</f>
        <v>629.62199999999984</v>
      </c>
      <c r="ES320" s="883">
        <f>SUM(CH320:CK320)</f>
        <v>718.15100000000075</v>
      </c>
      <c r="ET320" s="883">
        <f>SUM(CL320:CO320)</f>
        <v>-4279.396999999999</v>
      </c>
      <c r="EU320" s="883">
        <f>SUM(CP320:CS320)</f>
        <v>-3313.9600000000005</v>
      </c>
      <c r="EV320" s="883">
        <f>SUM(CT320:CW320)</f>
        <v>-323.44199999999989</v>
      </c>
      <c r="EW320" s="883">
        <f>SUM(CX320:DA320)</f>
        <v>-1090.0079999999998</v>
      </c>
      <c r="EX320" s="883">
        <f>SUM(DB320:DE320)</f>
        <v>-49.800000000000182</v>
      </c>
      <c r="EY320" s="883">
        <f>SUM(DF320:DI320)</f>
        <v>137.30199999999991</v>
      </c>
      <c r="EZ320" s="1735">
        <f>SUM(DJ320:DM320)</f>
        <v>-1.5438313681150055</v>
      </c>
      <c r="FA320" s="215">
        <f t="shared" ref="FA320:FH320" si="1233">+(FA295-EZ295)*EZ310*FA321/1000</f>
        <v>-0.68330792193975909</v>
      </c>
      <c r="FB320" s="215">
        <f t="shared" si="1233"/>
        <v>-1.378411978606503</v>
      </c>
      <c r="FC320" s="215">
        <f t="shared" si="1233"/>
        <v>-1.3884368969886485</v>
      </c>
      <c r="FD320" s="215">
        <f t="shared" si="1233"/>
        <v>-1.3846999109702272</v>
      </c>
      <c r="FE320" s="215">
        <f t="shared" si="1233"/>
        <v>-1.3809901183721285</v>
      </c>
      <c r="FF320" s="215">
        <f t="shared" si="1233"/>
        <v>-1.377307197763078</v>
      </c>
      <c r="FG320" s="215">
        <f t="shared" si="1233"/>
        <v>-1.3736508329581325</v>
      </c>
      <c r="FH320" s="215">
        <f t="shared" si="1233"/>
        <v>-1.3700207129099953</v>
      </c>
      <c r="FI320" s="755"/>
      <c r="FJ320"/>
      <c r="FK320"/>
      <c r="FL320"/>
      <c r="FM320"/>
      <c r="FN320"/>
      <c r="FO320"/>
      <c r="FP320" s="3"/>
      <c r="FS320" s="217"/>
      <c r="FT320" s="217"/>
      <c r="FU320"/>
      <c r="FV320"/>
      <c r="FW320" s="217"/>
      <c r="FX320" s="217"/>
      <c r="FY320" s="217"/>
      <c r="FZ320"/>
      <c r="GA320"/>
      <c r="GB320"/>
      <c r="GC320"/>
      <c r="GD320"/>
      <c r="GE320"/>
      <c r="GF320"/>
      <c r="GG320"/>
      <c r="GH320"/>
      <c r="GI320"/>
      <c r="GJ320"/>
      <c r="GK320"/>
      <c r="GL320"/>
      <c r="GM320"/>
      <c r="GN320"/>
      <c r="GO320"/>
      <c r="GP320"/>
      <c r="GQ320"/>
      <c r="GR320"/>
      <c r="GS320"/>
      <c r="GT320"/>
      <c r="GU320"/>
      <c r="GV320"/>
      <c r="GW320"/>
      <c r="GX320"/>
      <c r="GY320"/>
      <c r="GZ320"/>
      <c r="HA320"/>
      <c r="HB320"/>
      <c r="HC320"/>
      <c r="HD320"/>
      <c r="HE320"/>
      <c r="HF320"/>
      <c r="HG320"/>
      <c r="HH320"/>
      <c r="HI320"/>
      <c r="HJ320"/>
      <c r="HK320"/>
      <c r="HL320"/>
      <c r="HM320"/>
      <c r="HN320"/>
      <c r="HO320"/>
      <c r="HP320"/>
      <c r="HQ320"/>
      <c r="HR320"/>
      <c r="HS320"/>
      <c r="HT320"/>
      <c r="HU320"/>
      <c r="HV320"/>
      <c r="HW320"/>
      <c r="HX320"/>
      <c r="HY320"/>
      <c r="HZ320"/>
      <c r="IA320"/>
      <c r="IB320"/>
      <c r="IC320"/>
      <c r="ID320"/>
      <c r="IE320"/>
      <c r="IF320"/>
      <c r="IG320"/>
      <c r="IH320"/>
      <c r="II320"/>
      <c r="IJ320"/>
      <c r="IK320"/>
      <c r="IL320"/>
      <c r="IM320"/>
      <c r="IN320"/>
      <c r="IO320"/>
      <c r="IP320"/>
      <c r="IQ320"/>
      <c r="IR320"/>
      <c r="IS320"/>
      <c r="IT320"/>
      <c r="IU320"/>
      <c r="IV320"/>
      <c r="IW320"/>
      <c r="IX320"/>
      <c r="IY320"/>
      <c r="IZ320"/>
    </row>
    <row r="321" spans="1:260" s="4" customFormat="1" x14ac:dyDescent="0.2">
      <c r="A321" s="25" t="s">
        <v>19</v>
      </c>
      <c r="B321" s="25"/>
      <c r="C321" s="25"/>
      <c r="D321" s="25"/>
      <c r="E321" s="477"/>
      <c r="F321" s="25"/>
      <c r="G321" s="25"/>
      <c r="H321" s="25"/>
      <c r="I321" s="477"/>
      <c r="J321" s="25"/>
      <c r="K321" s="25"/>
      <c r="L321" s="25"/>
      <c r="M321" s="477"/>
      <c r="N321" s="25"/>
      <c r="O321" s="25"/>
      <c r="P321" s="25"/>
      <c r="Q321" s="477"/>
      <c r="R321" s="25"/>
      <c r="S321" s="25"/>
      <c r="T321" s="25"/>
      <c r="U321" s="477"/>
      <c r="V321" s="25"/>
      <c r="W321" s="25"/>
      <c r="X321" s="25"/>
      <c r="Y321" s="477"/>
      <c r="Z321" s="25"/>
      <c r="AA321" s="25"/>
      <c r="AB321" s="25"/>
      <c r="AC321" s="477"/>
      <c r="AD321" s="25"/>
      <c r="AE321" s="25"/>
      <c r="AF321" s="25"/>
      <c r="AG321" s="477"/>
      <c r="AH321" s="384" t="s">
        <v>483</v>
      </c>
      <c r="AI321" s="384" t="s">
        <v>483</v>
      </c>
      <c r="AJ321" s="384" t="s">
        <v>483</v>
      </c>
      <c r="AK321" s="556" t="s">
        <v>483</v>
      </c>
      <c r="AL321" s="384" t="s">
        <v>483</v>
      </c>
      <c r="AM321" s="384" t="s">
        <v>483</v>
      </c>
      <c r="AN321" s="384" t="s">
        <v>483</v>
      </c>
      <c r="AO321" s="556" t="s">
        <v>483</v>
      </c>
      <c r="AP321" s="73">
        <f t="shared" ref="AP321:CY321" si="1234">(AP326-AP314)/AP298</f>
        <v>1.1367325657647194</v>
      </c>
      <c r="AQ321" s="73">
        <f t="shared" si="1234"/>
        <v>1.687862585417401</v>
      </c>
      <c r="AR321" s="73">
        <f t="shared" si="1234"/>
        <v>1.9242281099888769</v>
      </c>
      <c r="AS321" s="559">
        <f t="shared" si="1234"/>
        <v>2.2383167283140426</v>
      </c>
      <c r="AT321" s="73">
        <f t="shared" si="1234"/>
        <v>1.3241950848485471</v>
      </c>
      <c r="AU321" s="73">
        <f t="shared" si="1234"/>
        <v>1.1382127749273021</v>
      </c>
      <c r="AV321" s="73">
        <f t="shared" si="1234"/>
        <v>1.4132975551580194</v>
      </c>
      <c r="AW321" s="559">
        <f t="shared" si="1234"/>
        <v>1.62572247706422</v>
      </c>
      <c r="AX321" s="73">
        <f t="shared" si="1234"/>
        <v>1.6460188128036333</v>
      </c>
      <c r="AY321" s="73">
        <f t="shared" si="1234"/>
        <v>1.5512777871201211</v>
      </c>
      <c r="AZ321" s="73">
        <f t="shared" si="1234"/>
        <v>1.307560815253122</v>
      </c>
      <c r="BA321" s="559">
        <f t="shared" si="1234"/>
        <v>1.2004112581461275</v>
      </c>
      <c r="BB321" s="73">
        <f t="shared" si="1234"/>
        <v>1.4720995019635394</v>
      </c>
      <c r="BC321" s="73">
        <f t="shared" si="1234"/>
        <v>0.47328141080654507</v>
      </c>
      <c r="BD321" s="73">
        <f t="shared" si="1234"/>
        <v>0.34869071213478764</v>
      </c>
      <c r="BE321" s="559">
        <f t="shared" si="1234"/>
        <v>0.2882380396938608</v>
      </c>
      <c r="BF321" s="73">
        <f t="shared" si="1234"/>
        <v>0.39176129071808335</v>
      </c>
      <c r="BG321" s="73">
        <f t="shared" si="1234"/>
        <v>0.90599965142572336</v>
      </c>
      <c r="BH321" s="73">
        <f t="shared" si="1234"/>
        <v>1.9062425003260717</v>
      </c>
      <c r="BI321" s="559">
        <f t="shared" si="1234"/>
        <v>1.2518359057189021</v>
      </c>
      <c r="BJ321" s="73">
        <f t="shared" si="1234"/>
        <v>1.1361225810847644</v>
      </c>
      <c r="BK321" s="73">
        <f t="shared" si="1234"/>
        <v>0.62174337131589708</v>
      </c>
      <c r="BL321" s="73">
        <f t="shared" si="1234"/>
        <v>4.8075975076121402</v>
      </c>
      <c r="BM321" s="559">
        <f t="shared" si="1234"/>
        <v>2.8033616200169398</v>
      </c>
      <c r="BN321" s="73">
        <f t="shared" si="1234"/>
        <v>4.3869409371185526</v>
      </c>
      <c r="BO321" s="73">
        <f t="shared" si="1234"/>
        <v>4.2409518422346224</v>
      </c>
      <c r="BP321" s="73">
        <f t="shared" si="1234"/>
        <v>2.7627726165748337E-2</v>
      </c>
      <c r="BQ321" s="559">
        <f t="shared" si="1234"/>
        <v>2.5993873709384085</v>
      </c>
      <c r="BR321" s="73">
        <f t="shared" si="1234"/>
        <v>2.0224132846275502</v>
      </c>
      <c r="BS321" s="73">
        <f t="shared" si="1234"/>
        <v>0.36686864622873594</v>
      </c>
      <c r="BT321" s="73">
        <f t="shared" si="1234"/>
        <v>0.10782422959786284</v>
      </c>
      <c r="BU321" s="559">
        <f t="shared" si="1234"/>
        <v>1.0023143638092129</v>
      </c>
      <c r="BV321" s="73">
        <f t="shared" si="1234"/>
        <v>1.2649176961208113</v>
      </c>
      <c r="BW321" s="73">
        <f t="shared" si="1234"/>
        <v>1.3042528389772656</v>
      </c>
      <c r="BX321" s="73">
        <f t="shared" si="1234"/>
        <v>0.36432819497147562</v>
      </c>
      <c r="BY321" s="559">
        <f t="shared" si="1234"/>
        <v>2.9065283838163206E-2</v>
      </c>
      <c r="BZ321" s="73">
        <f t="shared" si="1234"/>
        <v>0.89614542773299288</v>
      </c>
      <c r="CA321" s="73">
        <f t="shared" si="1234"/>
        <v>-1.6498133615235855</v>
      </c>
      <c r="CB321" s="73">
        <f t="shared" si="1234"/>
        <v>-0.88659103308076959</v>
      </c>
      <c r="CC321" s="559">
        <f t="shared" si="1234"/>
        <v>0.88825432999929232</v>
      </c>
      <c r="CD321" s="77">
        <f t="shared" si="1234"/>
        <v>1.0760751226658753</v>
      </c>
      <c r="CE321" s="77">
        <f t="shared" si="1234"/>
        <v>1.4686769012203069</v>
      </c>
      <c r="CF321" s="77">
        <f t="shared" si="1234"/>
        <v>0.62421510539672864</v>
      </c>
      <c r="CG321" s="487">
        <f t="shared" si="1234"/>
        <v>0.20164140719866738</v>
      </c>
      <c r="CH321" s="77">
        <f t="shared" si="1234"/>
        <v>0.41770827184082332</v>
      </c>
      <c r="CI321" s="77">
        <f t="shared" si="1234"/>
        <v>0.40807645328403652</v>
      </c>
      <c r="CJ321" s="77">
        <f t="shared" si="1234"/>
        <v>0.75064164623582075</v>
      </c>
      <c r="CK321" s="487">
        <f t="shared" si="1234"/>
        <v>24.548982643524109</v>
      </c>
      <c r="CL321" s="407">
        <f t="shared" si="1234"/>
        <v>1.2611909394931016</v>
      </c>
      <c r="CM321" s="407">
        <f t="shared" si="1234"/>
        <v>0.64374740761024696</v>
      </c>
      <c r="CN321" s="407">
        <f t="shared" si="1234"/>
        <v>0.6134095931373803</v>
      </c>
      <c r="CO321" s="786">
        <f t="shared" si="1234"/>
        <v>0.49938925036266602</v>
      </c>
      <c r="CP321" s="77">
        <f t="shared" si="1234"/>
        <v>-9.1254007944448183</v>
      </c>
      <c r="CQ321" s="407" t="e">
        <f t="shared" si="1234"/>
        <v>#DIV/0!</v>
      </c>
      <c r="CR321" s="407" t="e">
        <f t="shared" si="1234"/>
        <v>#DIV/0!</v>
      </c>
      <c r="CS321" s="786" t="e">
        <f t="shared" si="1234"/>
        <v>#DIV/0!</v>
      </c>
      <c r="CT321" s="77">
        <f t="shared" si="1234"/>
        <v>0.15556083305332796</v>
      </c>
      <c r="CU321" s="77">
        <f t="shared" si="1234"/>
        <v>6.8562560915920443</v>
      </c>
      <c r="CV321" s="77">
        <f t="shared" si="1234"/>
        <v>3.0186850577092228</v>
      </c>
      <c r="CW321" s="487">
        <f t="shared" si="1234"/>
        <v>3.4410428347479769</v>
      </c>
      <c r="CX321" s="77">
        <f t="shared" si="1234"/>
        <v>1.3280479450158296</v>
      </c>
      <c r="CY321" s="1042">
        <f t="shared" si="1234"/>
        <v>0.72453333985976309</v>
      </c>
      <c r="CZ321" s="1042">
        <f t="shared" ref="CZ321:DE321" si="1235">(CZ326-CZ314)/CZ298</f>
        <v>0.98581027291599244</v>
      </c>
      <c r="DA321" s="1416">
        <f t="shared" si="1235"/>
        <v>0.82907780945164122</v>
      </c>
      <c r="DB321" s="1042">
        <f t="shared" si="1235"/>
        <v>0.38908156144032607</v>
      </c>
      <c r="DC321" s="1042">
        <f t="shared" si="1235"/>
        <v>11.374757692307819</v>
      </c>
      <c r="DD321" s="1042">
        <f t="shared" si="1235"/>
        <v>-3.1429497559575248</v>
      </c>
      <c r="DE321" s="1569">
        <f t="shared" si="1235"/>
        <v>-2.6536147930922085</v>
      </c>
      <c r="DF321" s="52">
        <f t="shared" ref="DF321:DH321" si="1236">(DF326-DF314)/DF298</f>
        <v>10.079739413680928</v>
      </c>
      <c r="DG321" s="52">
        <f t="shared" si="1236"/>
        <v>-2.0897968056788225</v>
      </c>
      <c r="DH321" s="52">
        <f t="shared" si="1236"/>
        <v>5.5072577521628263</v>
      </c>
      <c r="DI321" s="1569">
        <v>0.85</v>
      </c>
      <c r="DJ321" s="2383">
        <v>-0.15</v>
      </c>
      <c r="DK321" s="1554">
        <v>-0.15</v>
      </c>
      <c r="DL321" s="1554">
        <v>-0.15</v>
      </c>
      <c r="DM321" s="1553">
        <v>1.5</v>
      </c>
      <c r="DN321" s="589"/>
      <c r="DO321" s="525"/>
      <c r="DP321" s="89"/>
      <c r="DQ321" s="89"/>
      <c r="DR321" s="89"/>
      <c r="DS321" s="89"/>
      <c r="DT321" s="89"/>
      <c r="DU321" s="89"/>
      <c r="DV321" s="89"/>
      <c r="DW321" s="89"/>
      <c r="DX321" s="89"/>
      <c r="DY321" s="89"/>
      <c r="DZ321" s="89"/>
      <c r="EA321" s="89"/>
      <c r="EB321" s="89"/>
      <c r="EC321" s="89"/>
      <c r="ED321" s="89"/>
      <c r="EE321" s="15"/>
      <c r="EF321" s="384" t="s">
        <v>483</v>
      </c>
      <c r="EG321" s="384" t="s">
        <v>483</v>
      </c>
      <c r="EH321" s="77">
        <f t="shared" ref="EH321:EX321" si="1237">(EH326-EH314)/EH298</f>
        <v>1.8314039678385901</v>
      </c>
      <c r="EI321" s="77">
        <f t="shared" si="1237"/>
        <v>1.208298153399215</v>
      </c>
      <c r="EJ321" s="77">
        <f t="shared" si="1237"/>
        <v>1.4612017759183753</v>
      </c>
      <c r="EK321" s="77">
        <f t="shared" si="1237"/>
        <v>0.48211347648992992</v>
      </c>
      <c r="EL321" s="77">
        <f t="shared" si="1237"/>
        <v>0.60400992444430546</v>
      </c>
      <c r="EM321" s="77">
        <f t="shared" si="1237"/>
        <v>2.5886860800071472</v>
      </c>
      <c r="EN321" s="77">
        <f t="shared" si="1237"/>
        <v>2.6926146025762168</v>
      </c>
      <c r="EO321" s="77">
        <f t="shared" si="1237"/>
        <v>0.79912364099916566</v>
      </c>
      <c r="EP321" s="77">
        <f t="shared" si="1237"/>
        <v>0.50813865767418376</v>
      </c>
      <c r="EQ321" s="77">
        <f t="shared" si="1237"/>
        <v>-6.3518681110528996E-2</v>
      </c>
      <c r="ER321" s="77">
        <f t="shared" si="1237"/>
        <v>0.62692717815955235</v>
      </c>
      <c r="ES321" s="77">
        <f t="shared" si="1237"/>
        <v>2.2058347236519547</v>
      </c>
      <c r="ET321" s="407">
        <f t="shared" si="1237"/>
        <v>1.0948222891615176</v>
      </c>
      <c r="EU321" s="1042">
        <f t="shared" si="1237"/>
        <v>0.74972632237979064</v>
      </c>
      <c r="EV321" s="77">
        <f t="shared" si="1237"/>
        <v>5.4481823032002552</v>
      </c>
      <c r="EW321" s="77">
        <f t="shared" si="1237"/>
        <v>1.5943742438347885</v>
      </c>
      <c r="EX321" s="77">
        <f t="shared" si="1237"/>
        <v>9.0155136492186455E-2</v>
      </c>
      <c r="EY321" s="77">
        <f>(EY326-EY314)/EY298</f>
        <v>16.140896548823374</v>
      </c>
      <c r="EZ321" s="1680">
        <f>(EZ326-EZ314)/EZ298</f>
        <v>-8.2711014635002508E-2</v>
      </c>
      <c r="FA321" s="1610">
        <f t="shared" ref="FA321:FH321" si="1238">EZ321</f>
        <v>-8.2711014635002508E-2</v>
      </c>
      <c r="FB321" s="1610">
        <f t="shared" si="1238"/>
        <v>-8.2711014635002508E-2</v>
      </c>
      <c r="FC321" s="1610">
        <f t="shared" si="1238"/>
        <v>-8.2711014635002508E-2</v>
      </c>
      <c r="FD321" s="1610">
        <f t="shared" si="1238"/>
        <v>-8.2711014635002508E-2</v>
      </c>
      <c r="FE321" s="1610">
        <f t="shared" si="1238"/>
        <v>-8.2711014635002508E-2</v>
      </c>
      <c r="FF321" s="1610">
        <f t="shared" si="1238"/>
        <v>-8.2711014635002508E-2</v>
      </c>
      <c r="FG321" s="1610">
        <f t="shared" si="1238"/>
        <v>-8.2711014635002508E-2</v>
      </c>
      <c r="FH321" s="1610">
        <f t="shared" si="1238"/>
        <v>-8.2711014635002508E-2</v>
      </c>
      <c r="FI321" s="589"/>
      <c r="FJ321"/>
      <c r="FK321"/>
      <c r="FL321"/>
      <c r="FM321"/>
      <c r="FN321"/>
      <c r="FO321"/>
      <c r="FP321" s="3"/>
      <c r="FS321" s="204"/>
      <c r="FT321" s="204"/>
      <c r="FU321"/>
      <c r="FV321"/>
      <c r="FW321" s="1606"/>
      <c r="FX321" s="1606"/>
      <c r="FY321" s="1606"/>
      <c r="FZ321"/>
      <c r="GA321"/>
      <c r="GB321"/>
      <c r="GC321"/>
      <c r="GD321"/>
      <c r="GE321"/>
      <c r="GF321"/>
      <c r="GG321"/>
      <c r="GH321"/>
      <c r="GI321"/>
      <c r="GJ321"/>
      <c r="GK321"/>
      <c r="GL321"/>
      <c r="GM321"/>
      <c r="GN321"/>
      <c r="GO321"/>
      <c r="GP321"/>
      <c r="GQ321"/>
      <c r="GR321"/>
      <c r="GS321"/>
      <c r="GT321"/>
      <c r="GU321"/>
      <c r="GV321"/>
      <c r="GW321"/>
      <c r="GX321"/>
      <c r="GY321"/>
      <c r="GZ321"/>
      <c r="HA321"/>
      <c r="HB321"/>
      <c r="HC321"/>
      <c r="HD321"/>
      <c r="HE321"/>
      <c r="HF321"/>
      <c r="HG321"/>
      <c r="HH321"/>
      <c r="HI321"/>
      <c r="HJ321"/>
      <c r="HK321"/>
      <c r="HL321"/>
      <c r="HM321"/>
      <c r="HN321"/>
      <c r="HO321"/>
      <c r="HP321"/>
      <c r="HQ321"/>
      <c r="HR321"/>
      <c r="HS321"/>
      <c r="HT321"/>
      <c r="HU321"/>
      <c r="HV321"/>
      <c r="HW321"/>
      <c r="HX321"/>
      <c r="HY321"/>
      <c r="HZ321"/>
      <c r="IA321"/>
      <c r="IB321"/>
      <c r="IC321"/>
      <c r="ID321"/>
      <c r="IE321"/>
      <c r="IF321"/>
      <c r="IG321"/>
      <c r="IH321"/>
      <c r="II321"/>
      <c r="IJ321"/>
      <c r="IK321"/>
      <c r="IL321"/>
      <c r="IM321"/>
      <c r="IN321"/>
      <c r="IO321"/>
      <c r="IP321"/>
      <c r="IQ321"/>
      <c r="IR321"/>
      <c r="IS321"/>
      <c r="IT321"/>
      <c r="IU321"/>
      <c r="IV321"/>
      <c r="IW321"/>
      <c r="IX321"/>
      <c r="IY321"/>
      <c r="IZ321"/>
    </row>
    <row r="322" spans="1:260" s="4" customFormat="1" x14ac:dyDescent="0.2">
      <c r="A322" s="25"/>
      <c r="B322" s="25"/>
      <c r="C322" s="25"/>
      <c r="D322" s="25"/>
      <c r="E322" s="477"/>
      <c r="F322" s="25"/>
      <c r="G322" s="25"/>
      <c r="H322" s="25"/>
      <c r="I322" s="477"/>
      <c r="J322" s="25"/>
      <c r="K322" s="25"/>
      <c r="L322" s="25"/>
      <c r="M322" s="477"/>
      <c r="N322" s="25"/>
      <c r="O322" s="25"/>
      <c r="P322" s="25"/>
      <c r="Q322" s="477"/>
      <c r="R322" s="25"/>
      <c r="S322" s="25"/>
      <c r="T322" s="25"/>
      <c r="U322" s="477"/>
      <c r="V322" s="25"/>
      <c r="W322" s="25"/>
      <c r="X322" s="25"/>
      <c r="Y322" s="477"/>
      <c r="Z322" s="25"/>
      <c r="AA322" s="25"/>
      <c r="AB322" s="25"/>
      <c r="AC322" s="477"/>
      <c r="AD322" s="25"/>
      <c r="AE322" s="25"/>
      <c r="AF322" s="25"/>
      <c r="AG322" s="477"/>
      <c r="AH322" s="384"/>
      <c r="AI322" s="384"/>
      <c r="AJ322" s="384"/>
      <c r="AK322" s="556"/>
      <c r="AL322" s="384"/>
      <c r="AM322" s="384"/>
      <c r="AN322" s="384"/>
      <c r="AO322" s="556"/>
      <c r="AP322" s="384"/>
      <c r="AQ322" s="384"/>
      <c r="AR322" s="384"/>
      <c r="AS322" s="556"/>
      <c r="AT322" s="15"/>
      <c r="AU322" s="15"/>
      <c r="AV322" s="15"/>
      <c r="AW322" s="518"/>
      <c r="AX322" s="77"/>
      <c r="AY322" s="77"/>
      <c r="AZ322" s="77"/>
      <c r="BA322" s="487"/>
      <c r="BB322" s="77"/>
      <c r="BC322" s="77"/>
      <c r="BD322" s="77"/>
      <c r="BE322" s="487"/>
      <c r="BF322" s="77"/>
      <c r="BG322" s="77"/>
      <c r="BH322" s="77"/>
      <c r="BI322" s="487"/>
      <c r="BJ322" s="77"/>
      <c r="BK322" s="77"/>
      <c r="BL322" s="77"/>
      <c r="BM322" s="487"/>
      <c r="BN322" s="77"/>
      <c r="BO322" s="77"/>
      <c r="BP322" s="77"/>
      <c r="BQ322" s="487"/>
      <c r="BR322" s="77"/>
      <c r="BS322" s="77"/>
      <c r="BT322" s="77"/>
      <c r="BU322" s="487"/>
      <c r="BV322" s="77"/>
      <c r="BW322" s="77"/>
      <c r="BX322" s="77"/>
      <c r="BY322" s="487"/>
      <c r="BZ322" s="77"/>
      <c r="CA322" s="77"/>
      <c r="CB322" s="77"/>
      <c r="CC322" s="487"/>
      <c r="CD322" s="77"/>
      <c r="CE322" s="77"/>
      <c r="CF322" s="77"/>
      <c r="CG322" s="487"/>
      <c r="CH322" s="77"/>
      <c r="CI322" s="77"/>
      <c r="CJ322" s="77"/>
      <c r="CK322" s="487"/>
      <c r="CL322" s="77"/>
      <c r="CM322" s="77"/>
      <c r="CN322" s="77"/>
      <c r="CO322" s="487"/>
      <c r="CP322" s="77"/>
      <c r="CQ322" s="77"/>
      <c r="CR322" s="77"/>
      <c r="CS322" s="487"/>
      <c r="CT322" s="77"/>
      <c r="CU322" s="77"/>
      <c r="CV322" s="77"/>
      <c r="CW322" s="487"/>
      <c r="CX322" s="77"/>
      <c r="CY322" s="77"/>
      <c r="CZ322" s="77"/>
      <c r="DA322" s="487"/>
      <c r="DB322" s="77"/>
      <c r="DC322" s="77"/>
      <c r="DD322" s="77"/>
      <c r="DE322" s="487"/>
      <c r="DF322" s="70"/>
      <c r="DG322" s="70"/>
      <c r="DH322" s="70"/>
      <c r="DI322" s="487"/>
      <c r="DJ322" s="1673"/>
      <c r="DK322" s="70"/>
      <c r="DL322" s="70"/>
      <c r="DM322" s="487"/>
      <c r="DN322" s="580"/>
      <c r="DO322" s="487"/>
      <c r="DP322" s="77"/>
      <c r="DQ322" s="77"/>
      <c r="DR322" s="77"/>
      <c r="DS322" s="77"/>
      <c r="DT322" s="77"/>
      <c r="DU322" s="77"/>
      <c r="DV322" s="77"/>
      <c r="DW322" s="77"/>
      <c r="DX322" s="77"/>
      <c r="DY322" s="77"/>
      <c r="DZ322" s="77"/>
      <c r="EA322" s="77"/>
      <c r="EB322" s="77"/>
      <c r="EC322" s="77"/>
      <c r="ED322" s="77"/>
      <c r="EE322" s="15"/>
      <c r="EF322" s="384"/>
      <c r="EG322" s="384"/>
      <c r="EH322" s="384"/>
      <c r="EI322" s="15"/>
      <c r="EJ322" s="15"/>
      <c r="EK322" s="15"/>
      <c r="EL322" s="15"/>
      <c r="EM322" s="15"/>
      <c r="EN322" s="15"/>
      <c r="EO322" s="15"/>
      <c r="EP322" s="15"/>
      <c r="EQ322" s="15"/>
      <c r="ER322" s="15"/>
      <c r="ES322" s="15"/>
      <c r="ET322" s="15"/>
      <c r="EU322" s="15"/>
      <c r="EV322" s="15"/>
      <c r="EW322" s="15"/>
      <c r="EX322" s="77"/>
      <c r="EY322" s="77"/>
      <c r="EZ322" s="1680"/>
      <c r="FA322" s="15"/>
      <c r="FB322" s="15"/>
      <c r="FC322" s="15"/>
      <c r="FD322" s="15"/>
      <c r="FE322" s="15"/>
      <c r="FF322" s="15"/>
      <c r="FG322" s="15"/>
      <c r="FH322" s="15"/>
      <c r="FI322" s="580"/>
      <c r="FJ322"/>
      <c r="FK322"/>
      <c r="FL322"/>
      <c r="FM322"/>
      <c r="FN322"/>
      <c r="FO322"/>
      <c r="FP322" s="3"/>
      <c r="FS322" s="70"/>
      <c r="FT322" s="70"/>
      <c r="FU322"/>
      <c r="FV322"/>
      <c r="FW322" s="70"/>
      <c r="FX322" s="70"/>
      <c r="FY322" s="70"/>
      <c r="FZ322"/>
      <c r="GA322"/>
      <c r="GB322"/>
      <c r="GC322"/>
      <c r="GD322"/>
      <c r="GE322"/>
      <c r="GF322"/>
      <c r="GG322"/>
      <c r="GH322"/>
      <c r="GI322"/>
      <c r="GJ322"/>
      <c r="GK322"/>
      <c r="GL322"/>
      <c r="GM322"/>
      <c r="GN322"/>
      <c r="GO322"/>
      <c r="GP322"/>
      <c r="GQ322"/>
      <c r="GR322"/>
      <c r="GS322"/>
      <c r="GT322"/>
      <c r="GU322"/>
      <c r="GV322"/>
      <c r="GW322"/>
      <c r="GX322"/>
      <c r="GY322"/>
      <c r="GZ322"/>
      <c r="HA322"/>
      <c r="HB322"/>
      <c r="HC322"/>
      <c r="HD322"/>
      <c r="HE322"/>
      <c r="HF322"/>
      <c r="HG322"/>
      <c r="HH322"/>
      <c r="HI322"/>
      <c r="HJ322"/>
      <c r="HK322"/>
      <c r="HL322"/>
      <c r="HM322"/>
      <c r="HN322"/>
      <c r="HO322"/>
      <c r="HP322"/>
      <c r="HQ322"/>
      <c r="HR322"/>
      <c r="HS322"/>
      <c r="HT322"/>
      <c r="HU322"/>
      <c r="HV322"/>
      <c r="HW322"/>
      <c r="HX322"/>
      <c r="HY322"/>
      <c r="HZ322"/>
      <c r="IA322"/>
      <c r="IB322"/>
      <c r="IC322"/>
      <c r="ID322"/>
      <c r="IE322"/>
      <c r="IF322"/>
      <c r="IG322"/>
      <c r="IH322"/>
      <c r="II322"/>
      <c r="IJ322"/>
      <c r="IK322"/>
      <c r="IL322"/>
      <c r="IM322"/>
      <c r="IN322"/>
      <c r="IO322"/>
      <c r="IP322"/>
      <c r="IQ322"/>
      <c r="IR322"/>
      <c r="IS322"/>
      <c r="IT322"/>
      <c r="IU322"/>
      <c r="IV322"/>
      <c r="IW322"/>
      <c r="IX322"/>
      <c r="IY322"/>
      <c r="IZ322"/>
    </row>
    <row r="323" spans="1:260" s="4" customFormat="1" outlineLevel="1" x14ac:dyDescent="0.2">
      <c r="A323" s="25" t="s">
        <v>352</v>
      </c>
      <c r="B323" s="25"/>
      <c r="C323" s="25"/>
      <c r="D323" s="25"/>
      <c r="E323" s="477"/>
      <c r="F323" s="25"/>
      <c r="G323" s="25"/>
      <c r="H323" s="25"/>
      <c r="I323" s="477"/>
      <c r="J323" s="25"/>
      <c r="K323" s="25"/>
      <c r="L323" s="25"/>
      <c r="M323" s="477"/>
      <c r="N323" s="25"/>
      <c r="O323" s="25"/>
      <c r="P323" s="25"/>
      <c r="Q323" s="477"/>
      <c r="R323" s="25"/>
      <c r="S323" s="25"/>
      <c r="T323" s="25"/>
      <c r="U323" s="477"/>
      <c r="V323" s="25"/>
      <c r="W323" s="25"/>
      <c r="X323" s="25"/>
      <c r="Y323" s="477"/>
      <c r="Z323" s="25"/>
      <c r="AA323" s="25"/>
      <c r="AB323" s="25"/>
      <c r="AC323" s="477"/>
      <c r="AD323" s="25"/>
      <c r="AE323" s="25"/>
      <c r="AF323" s="25"/>
      <c r="AG323" s="477"/>
      <c r="AH323" s="384"/>
      <c r="AI323" s="384"/>
      <c r="AJ323" s="384"/>
      <c r="AK323" s="556"/>
      <c r="AL323" s="384"/>
      <c r="AM323" s="384"/>
      <c r="AN323" s="384"/>
      <c r="AO323" s="556"/>
      <c r="AP323" s="384"/>
      <c r="AQ323" s="384"/>
      <c r="AR323" s="384"/>
      <c r="AS323" s="556"/>
      <c r="AT323" s="15"/>
      <c r="AU323" s="15"/>
      <c r="AV323" s="15"/>
      <c r="AW323" s="518"/>
      <c r="AX323" s="77"/>
      <c r="AY323" s="77"/>
      <c r="AZ323" s="77"/>
      <c r="BA323" s="487"/>
      <c r="BB323" s="77"/>
      <c r="BC323" s="77"/>
      <c r="BD323" s="77"/>
      <c r="BE323" s="487"/>
      <c r="BF323" s="77"/>
      <c r="BG323" s="77"/>
      <c r="BH323" s="77"/>
      <c r="BI323" s="487"/>
      <c r="BJ323" s="77"/>
      <c r="BK323" s="77"/>
      <c r="BL323" s="77"/>
      <c r="BM323" s="487"/>
      <c r="BN323" s="866">
        <v>-170</v>
      </c>
      <c r="BO323" s="866">
        <v>-86</v>
      </c>
      <c r="BP323" s="866">
        <v>-73</v>
      </c>
      <c r="BQ323" s="867">
        <v>370</v>
      </c>
      <c r="BR323" s="866">
        <v>258</v>
      </c>
      <c r="BS323" s="866">
        <v>6</v>
      </c>
      <c r="BT323" s="866">
        <v>-43</v>
      </c>
      <c r="BU323" s="867">
        <v>76</v>
      </c>
      <c r="BV323" s="866">
        <v>130</v>
      </c>
      <c r="BW323" s="866">
        <v>251</v>
      </c>
      <c r="BX323" s="866">
        <v>110</v>
      </c>
      <c r="BY323" s="867">
        <v>-27.316752026463725</v>
      </c>
      <c r="BZ323" s="866">
        <v>258</v>
      </c>
      <c r="CA323" s="866">
        <v>6</v>
      </c>
      <c r="CB323" s="866">
        <v>-43</v>
      </c>
      <c r="CC323" s="867">
        <v>76</v>
      </c>
      <c r="CD323" s="866">
        <v>130</v>
      </c>
      <c r="CE323" s="866">
        <v>251</v>
      </c>
      <c r="CF323" s="866">
        <v>110</v>
      </c>
      <c r="CG323" s="867">
        <v>-27.316752026463725</v>
      </c>
      <c r="CH323" s="866">
        <v>-22</v>
      </c>
      <c r="CI323" s="866">
        <v>-48</v>
      </c>
      <c r="CJ323" s="866">
        <v>-52</v>
      </c>
      <c r="CK323" s="867">
        <v>243</v>
      </c>
      <c r="CL323" s="866">
        <v>0</v>
      </c>
      <c r="CM323" s="866">
        <v>0</v>
      </c>
      <c r="CN323" s="866">
        <v>0</v>
      </c>
      <c r="CO323" s="867">
        <v>0</v>
      </c>
      <c r="CP323" s="866">
        <v>-14</v>
      </c>
      <c r="CQ323" s="866">
        <v>57.595322993323649</v>
      </c>
      <c r="CR323" s="866">
        <v>77.932052760727416</v>
      </c>
      <c r="CS323" s="867">
        <v>83.523946110471371</v>
      </c>
      <c r="CT323" s="164">
        <v>-2</v>
      </c>
      <c r="CU323" s="164">
        <v>-1</v>
      </c>
      <c r="CV323" s="164">
        <v>0</v>
      </c>
      <c r="CW323" s="561">
        <v>0</v>
      </c>
      <c r="CX323" s="164">
        <v>-1</v>
      </c>
      <c r="CY323" s="164">
        <f>CU313*-12%</f>
        <v>-110.70696</v>
      </c>
      <c r="CZ323" s="164">
        <f>CV313*-13.5%</f>
        <v>-149.81976000000003</v>
      </c>
      <c r="DA323" s="561">
        <f>CW313*-13.5%</f>
        <v>-223.8192</v>
      </c>
      <c r="DB323" s="164">
        <f>CX313*-13.5%</f>
        <v>-116.52498</v>
      </c>
      <c r="DC323" s="866">
        <f>CY313*-13.5%</f>
        <v>-114.4503</v>
      </c>
      <c r="DD323" s="866">
        <f>CZ313*-13.5%</f>
        <v>-141.10199999999998</v>
      </c>
      <c r="DE323" s="867">
        <v>0</v>
      </c>
      <c r="DF323" s="868">
        <v>-15</v>
      </c>
      <c r="DG323" s="868">
        <v>-15</v>
      </c>
      <c r="DH323" s="868">
        <v>0</v>
      </c>
      <c r="DI323" s="867">
        <v>0</v>
      </c>
      <c r="DJ323" s="2757">
        <v>0</v>
      </c>
      <c r="DK323" s="2602">
        <v>0</v>
      </c>
      <c r="DL323" s="2602">
        <v>0</v>
      </c>
      <c r="DM323" s="2093">
        <v>0</v>
      </c>
      <c r="DN323" s="584"/>
      <c r="DO323" s="567"/>
      <c r="DP323" s="426"/>
      <c r="DQ323" s="426"/>
      <c r="DR323" s="426"/>
      <c r="DS323" s="426"/>
      <c r="DT323" s="426"/>
      <c r="DU323" s="426"/>
      <c r="DV323" s="426"/>
      <c r="DW323" s="426"/>
      <c r="DX323" s="426"/>
      <c r="DY323" s="426"/>
      <c r="DZ323" s="426"/>
      <c r="EA323" s="426"/>
      <c r="EB323" s="426"/>
      <c r="EC323" s="426"/>
      <c r="ED323" s="426"/>
      <c r="EE323" s="15"/>
      <c r="EF323" s="384"/>
      <c r="EG323" s="384"/>
      <c r="EH323" s="384"/>
      <c r="EI323" s="15"/>
      <c r="EJ323" s="15"/>
      <c r="EK323" s="15"/>
      <c r="EL323" s="15"/>
      <c r="EM323" s="15"/>
      <c r="EN323" s="216">
        <v>41</v>
      </c>
      <c r="EO323" s="216">
        <v>297</v>
      </c>
      <c r="EP323" s="216">
        <v>463.68324797353625</v>
      </c>
      <c r="EQ323" s="216">
        <v>297</v>
      </c>
      <c r="ER323" s="216">
        <v>463.68324797353625</v>
      </c>
      <c r="ES323" s="216">
        <v>121</v>
      </c>
      <c r="ET323" s="216">
        <v>0</v>
      </c>
      <c r="EU323" s="216">
        <v>205.05132186452244</v>
      </c>
      <c r="EV323" s="216">
        <f>SUM(CT323:CW323)</f>
        <v>-3</v>
      </c>
      <c r="EW323" s="216">
        <f>SUM(CX323:DA323)</f>
        <v>-485.34591999999998</v>
      </c>
      <c r="EX323" s="216">
        <f>SUM(DB323:DE323)</f>
        <v>-372.07727999999997</v>
      </c>
      <c r="EY323" s="216">
        <f>SUM(DF323:DI323)</f>
        <v>-30</v>
      </c>
      <c r="EZ323" s="1745">
        <f>SUM(DJ323:DM323)</f>
        <v>0</v>
      </c>
      <c r="FA323" s="216">
        <v>0</v>
      </c>
      <c r="FB323" s="216">
        <v>0</v>
      </c>
      <c r="FC323" s="216">
        <v>0</v>
      </c>
      <c r="FD323" s="216">
        <v>0</v>
      </c>
      <c r="FE323" s="216">
        <v>0</v>
      </c>
      <c r="FF323" s="216">
        <v>0</v>
      </c>
      <c r="FG323" s="216">
        <v>0</v>
      </c>
      <c r="FH323" s="216">
        <v>0</v>
      </c>
      <c r="FI323" s="755"/>
      <c r="FJ323"/>
      <c r="FK323"/>
      <c r="FL323"/>
      <c r="FM323"/>
      <c r="FN323"/>
      <c r="FO323"/>
      <c r="FP323" s="3"/>
      <c r="FS323" s="217"/>
      <c r="FT323" s="217"/>
      <c r="FU323"/>
      <c r="FV323"/>
      <c r="FW323" s="217"/>
      <c r="FX323" s="217"/>
      <c r="FY323" s="217"/>
      <c r="FZ323"/>
      <c r="GA323"/>
      <c r="GB323"/>
      <c r="GC323"/>
      <c r="GD323"/>
      <c r="GE323"/>
      <c r="GF323"/>
      <c r="GG323"/>
      <c r="GH323"/>
      <c r="GI323"/>
      <c r="GJ323"/>
      <c r="GK323"/>
      <c r="GL323"/>
      <c r="GM323"/>
      <c r="GN323"/>
      <c r="GO323"/>
      <c r="GP323"/>
      <c r="GQ323"/>
      <c r="GR323"/>
      <c r="GS323"/>
      <c r="GT323"/>
      <c r="GU323"/>
      <c r="GV323"/>
      <c r="GW323"/>
      <c r="GX323"/>
      <c r="GY323"/>
      <c r="GZ323"/>
      <c r="HA323"/>
      <c r="HB323"/>
      <c r="HC323"/>
      <c r="HD323"/>
      <c r="HE323"/>
      <c r="HF323"/>
      <c r="HG323"/>
      <c r="HH323"/>
      <c r="HI323"/>
      <c r="HJ323"/>
      <c r="HK323"/>
      <c r="HL323"/>
      <c r="HM323"/>
      <c r="HN323"/>
      <c r="HO323"/>
      <c r="HP323"/>
      <c r="HQ323"/>
      <c r="HR323"/>
      <c r="HS323"/>
      <c r="HT323"/>
      <c r="HU323"/>
      <c r="HV323"/>
      <c r="HW323"/>
      <c r="HX323"/>
      <c r="HY323"/>
      <c r="HZ323"/>
      <c r="IA323"/>
      <c r="IB323"/>
      <c r="IC323"/>
      <c r="ID323"/>
      <c r="IE323"/>
      <c r="IF323"/>
      <c r="IG323"/>
      <c r="IH323"/>
      <c r="II323"/>
      <c r="IJ323"/>
      <c r="IK323"/>
      <c r="IL323"/>
      <c r="IM323"/>
      <c r="IN323"/>
      <c r="IO323"/>
      <c r="IP323"/>
      <c r="IQ323"/>
      <c r="IR323"/>
      <c r="IS323"/>
      <c r="IT323"/>
      <c r="IU323"/>
      <c r="IV323"/>
      <c r="IW323"/>
      <c r="IX323"/>
      <c r="IY323"/>
      <c r="IZ323"/>
    </row>
    <row r="324" spans="1:260" s="4" customFormat="1" outlineLevel="1" x14ac:dyDescent="0.2">
      <c r="A324" s="25" t="s">
        <v>351</v>
      </c>
      <c r="B324" s="25"/>
      <c r="C324" s="25"/>
      <c r="D324" s="25"/>
      <c r="E324" s="477"/>
      <c r="F324" s="25"/>
      <c r="G324" s="25"/>
      <c r="H324" s="25"/>
      <c r="I324" s="477"/>
      <c r="J324" s="25"/>
      <c r="K324" s="25"/>
      <c r="L324" s="25"/>
      <c r="M324" s="477"/>
      <c r="N324" s="25"/>
      <c r="O324" s="25"/>
      <c r="P324" s="25"/>
      <c r="Q324" s="477"/>
      <c r="R324" s="25"/>
      <c r="S324" s="25"/>
      <c r="T324" s="25"/>
      <c r="U324" s="477"/>
      <c r="V324" s="25"/>
      <c r="W324" s="25"/>
      <c r="X324" s="25"/>
      <c r="Y324" s="477"/>
      <c r="Z324" s="25"/>
      <c r="AA324" s="25"/>
      <c r="AB324" s="25"/>
      <c r="AC324" s="477"/>
      <c r="AD324" s="25"/>
      <c r="AE324" s="25"/>
      <c r="AF324" s="25"/>
      <c r="AG324" s="477"/>
      <c r="AH324" s="15"/>
      <c r="AI324" s="15"/>
      <c r="AJ324" s="15"/>
      <c r="AK324" s="518"/>
      <c r="AL324" s="15"/>
      <c r="AM324" s="15"/>
      <c r="AN324" s="15"/>
      <c r="AO324" s="518"/>
      <c r="AP324" s="15"/>
      <c r="AQ324" s="15"/>
      <c r="AR324" s="15"/>
      <c r="AS324" s="518"/>
      <c r="AT324" s="15"/>
      <c r="AU324" s="15"/>
      <c r="AV324" s="15"/>
      <c r="AW324" s="518"/>
      <c r="AX324" s="77"/>
      <c r="AY324" s="77"/>
      <c r="AZ324" s="77"/>
      <c r="BA324" s="487"/>
      <c r="BB324" s="77"/>
      <c r="BC324" s="77"/>
      <c r="BD324" s="77"/>
      <c r="BE324" s="487"/>
      <c r="BF324" s="77"/>
      <c r="BG324" s="77"/>
      <c r="BH324" s="77"/>
      <c r="BI324" s="487"/>
      <c r="BJ324" s="77"/>
      <c r="BK324" s="77"/>
      <c r="BL324" s="77"/>
      <c r="BM324" s="487"/>
      <c r="BN324" s="866">
        <f t="shared" ref="BN324:CV324" si="1239">BN325-BN323</f>
        <v>2740</v>
      </c>
      <c r="BO324" s="866">
        <f t="shared" si="1239"/>
        <v>2834</v>
      </c>
      <c r="BP324" s="866">
        <f t="shared" si="1239"/>
        <v>3166</v>
      </c>
      <c r="BQ324" s="867">
        <f t="shared" si="1239"/>
        <v>3599</v>
      </c>
      <c r="BR324" s="866">
        <f t="shared" si="1239"/>
        <v>2606</v>
      </c>
      <c r="BS324" s="866">
        <f t="shared" si="1239"/>
        <v>2897</v>
      </c>
      <c r="BT324" s="866">
        <f t="shared" si="1239"/>
        <v>3223</v>
      </c>
      <c r="BU324" s="867">
        <f t="shared" si="1239"/>
        <v>4063</v>
      </c>
      <c r="BV324" s="866">
        <f t="shared" si="1239"/>
        <v>2951</v>
      </c>
      <c r="BW324" s="866">
        <f t="shared" si="1239"/>
        <v>2785</v>
      </c>
      <c r="BX324" s="866">
        <f t="shared" si="1239"/>
        <v>3104</v>
      </c>
      <c r="BY324" s="867">
        <f t="shared" si="1239"/>
        <v>4057.3167520264637</v>
      </c>
      <c r="BZ324" s="866">
        <f t="shared" si="1239"/>
        <v>2553</v>
      </c>
      <c r="CA324" s="866">
        <f t="shared" si="1239"/>
        <v>2711</v>
      </c>
      <c r="CB324" s="866">
        <f t="shared" si="1239"/>
        <v>3086</v>
      </c>
      <c r="CC324" s="867">
        <f t="shared" si="1239"/>
        <v>4010</v>
      </c>
      <c r="CD324" s="866">
        <f t="shared" si="1239"/>
        <v>2847</v>
      </c>
      <c r="CE324" s="866">
        <f t="shared" si="1239"/>
        <v>2628</v>
      </c>
      <c r="CF324" s="866">
        <f t="shared" si="1239"/>
        <v>2980</v>
      </c>
      <c r="CG324" s="867">
        <f t="shared" si="1239"/>
        <v>4115.3167520264633</v>
      </c>
      <c r="CH324" s="866">
        <f t="shared" si="1239"/>
        <v>2810</v>
      </c>
      <c r="CI324" s="866">
        <f t="shared" si="1239"/>
        <v>2792</v>
      </c>
      <c r="CJ324" s="866">
        <f t="shared" si="1239"/>
        <v>3132</v>
      </c>
      <c r="CK324" s="867">
        <f t="shared" si="1239"/>
        <v>3918</v>
      </c>
      <c r="CL324" s="866">
        <f t="shared" si="1239"/>
        <v>1551</v>
      </c>
      <c r="CM324" s="866">
        <f t="shared" si="1239"/>
        <v>1536</v>
      </c>
      <c r="CN324" s="866">
        <f t="shared" si="1239"/>
        <v>1708</v>
      </c>
      <c r="CO324" s="867">
        <f t="shared" si="1239"/>
        <v>2402</v>
      </c>
      <c r="CP324" s="866">
        <f t="shared" si="1239"/>
        <v>996</v>
      </c>
      <c r="CQ324" s="866">
        <f t="shared" si="1239"/>
        <v>901.40467700667637</v>
      </c>
      <c r="CR324" s="866">
        <f t="shared" si="1239"/>
        <v>1034.0679472392726</v>
      </c>
      <c r="CS324" s="867">
        <f t="shared" si="1239"/>
        <v>1643.4760538895287</v>
      </c>
      <c r="CT324" s="866">
        <f t="shared" si="1239"/>
        <v>860</v>
      </c>
      <c r="CU324" s="866">
        <f t="shared" si="1239"/>
        <v>875</v>
      </c>
      <c r="CV324" s="866">
        <f t="shared" si="1239"/>
        <v>1040</v>
      </c>
      <c r="CW324" s="867">
        <f t="shared" ref="CW324:DE324" si="1240">CW325-CW323</f>
        <v>1512</v>
      </c>
      <c r="CX324" s="866">
        <f t="shared" si="1240"/>
        <v>669</v>
      </c>
      <c r="CY324" s="866">
        <f t="shared" si="1240"/>
        <v>760.70695999999998</v>
      </c>
      <c r="CZ324" s="866">
        <f>CZ325-CZ323</f>
        <v>878.81976000000009</v>
      </c>
      <c r="DA324" s="867">
        <f>DA325-DA323</f>
        <v>1339.8191999999999</v>
      </c>
      <c r="DB324" s="866">
        <f>DB325-DB323</f>
        <v>730.52498000000003</v>
      </c>
      <c r="DC324" s="866">
        <f t="shared" si="1240"/>
        <v>758.45029999999997</v>
      </c>
      <c r="DD324" s="866">
        <f>DD325-DD323</f>
        <v>894.10199999999998</v>
      </c>
      <c r="DE324" s="867">
        <f t="shared" si="1240"/>
        <v>1144</v>
      </c>
      <c r="DF324" s="868">
        <f t="shared" ref="DF324:DM324" si="1241">DF325-DF323</f>
        <v>631</v>
      </c>
      <c r="DG324" s="868">
        <f t="shared" si="1241"/>
        <v>683</v>
      </c>
      <c r="DH324" s="868">
        <f t="shared" si="1241"/>
        <v>829</v>
      </c>
      <c r="DI324" s="867">
        <f t="shared" si="1241"/>
        <v>1376</v>
      </c>
      <c r="DJ324" s="2758">
        <f t="shared" si="1241"/>
        <v>627.15219512195131</v>
      </c>
      <c r="DK324" s="868">
        <f t="shared" si="1241"/>
        <v>669.29397350993372</v>
      </c>
      <c r="DL324" s="868">
        <f t="shared" si="1241"/>
        <v>837.29</v>
      </c>
      <c r="DM324" s="867">
        <f t="shared" si="1241"/>
        <v>1410.4</v>
      </c>
      <c r="DN324" s="585"/>
      <c r="DO324" s="563"/>
      <c r="DP324" s="211"/>
      <c r="DQ324" s="211"/>
      <c r="DR324" s="211"/>
      <c r="DS324" s="211"/>
      <c r="DT324" s="211"/>
      <c r="DU324" s="211"/>
      <c r="DV324" s="211"/>
      <c r="DW324" s="211"/>
      <c r="DX324" s="211"/>
      <c r="DY324" s="211"/>
      <c r="DZ324" s="211"/>
      <c r="EA324" s="211"/>
      <c r="EB324" s="211"/>
      <c r="EC324" s="211"/>
      <c r="ED324" s="211"/>
      <c r="EF324" s="15"/>
      <c r="EG324" s="15"/>
      <c r="EH324" s="15"/>
      <c r="EI324" s="15"/>
      <c r="EJ324" s="15"/>
      <c r="EK324" s="15"/>
      <c r="EL324" s="15"/>
      <c r="EM324" s="15"/>
      <c r="EN324" s="216">
        <f t="shared" ref="EN324:FC324" si="1242">EN325-EN323</f>
        <v>12339</v>
      </c>
      <c r="EO324" s="216">
        <f t="shared" si="1242"/>
        <v>12789</v>
      </c>
      <c r="EP324" s="216">
        <f t="shared" si="1242"/>
        <v>12897.316752026463</v>
      </c>
      <c r="EQ324" s="216">
        <f t="shared" si="1242"/>
        <v>12360</v>
      </c>
      <c r="ER324" s="216">
        <f t="shared" si="1242"/>
        <v>12570.316752026463</v>
      </c>
      <c r="ES324" s="216">
        <f t="shared" si="1242"/>
        <v>12652</v>
      </c>
      <c r="ET324" s="216">
        <f t="shared" si="1242"/>
        <v>7197</v>
      </c>
      <c r="EU324" s="216">
        <f t="shared" si="1242"/>
        <v>4574.9486781354772</v>
      </c>
      <c r="EV324" s="216">
        <f t="shared" si="1242"/>
        <v>4287</v>
      </c>
      <c r="EW324" s="216">
        <f>EW325-EW323</f>
        <v>3648.3459199999998</v>
      </c>
      <c r="EX324" s="216">
        <f>EX325-EX323</f>
        <v>3527.07728</v>
      </c>
      <c r="EY324" s="216">
        <f>EY325-EY323</f>
        <v>3519</v>
      </c>
      <c r="EZ324" s="1745">
        <f>EZ325-EZ323</f>
        <v>3544.1361686318851</v>
      </c>
      <c r="FA324" s="222">
        <f t="shared" si="1242"/>
        <v>3578.8942223962649</v>
      </c>
      <c r="FB324" s="222">
        <f t="shared" si="1242"/>
        <v>3617.5127656388509</v>
      </c>
      <c r="FC324" s="222">
        <f t="shared" si="1242"/>
        <v>3624.5176298222304</v>
      </c>
      <c r="FD324" s="222">
        <f>FD325-FD323</f>
        <v>3631.5036403727427</v>
      </c>
      <c r="FE324" s="222">
        <f>FE325-FE323</f>
        <v>3638.4709344851121</v>
      </c>
      <c r="FF324" s="222">
        <f>FF325-FF323</f>
        <v>3645.4196477323953</v>
      </c>
      <c r="FG324" s="222">
        <f>FG325-FG323</f>
        <v>3652.3499140924496</v>
      </c>
      <c r="FH324" s="222">
        <f>FH325-FH323</f>
        <v>3659.2618659738537</v>
      </c>
      <c r="FI324" s="755"/>
      <c r="FJ324"/>
      <c r="FK324"/>
      <c r="FL324"/>
      <c r="FM324"/>
      <c r="FN324"/>
      <c r="FO324"/>
      <c r="FP324" s="3"/>
      <c r="FS324" s="217"/>
      <c r="FT324" s="217"/>
      <c r="FU324"/>
      <c r="FV324"/>
      <c r="FW324" s="217"/>
      <c r="FX324" s="217"/>
      <c r="FY324" s="217"/>
      <c r="FZ324"/>
      <c r="GA324"/>
      <c r="GB324"/>
      <c r="GC324"/>
      <c r="GD324"/>
      <c r="GE324"/>
      <c r="GF324"/>
      <c r="GG324"/>
      <c r="GH324"/>
      <c r="GI324"/>
      <c r="GJ324"/>
      <c r="GK324"/>
      <c r="GL324"/>
      <c r="GM324"/>
      <c r="GN324"/>
      <c r="GO324"/>
      <c r="GP324"/>
      <c r="GQ324"/>
      <c r="GR324"/>
      <c r="GS324"/>
      <c r="GT324"/>
      <c r="GU324"/>
      <c r="GV324"/>
      <c r="GW324"/>
      <c r="GX324"/>
      <c r="GY324"/>
      <c r="GZ324"/>
      <c r="HA324"/>
      <c r="HB324"/>
      <c r="HC324"/>
      <c r="HD324"/>
      <c r="HE324"/>
      <c r="HF324"/>
      <c r="HG324"/>
      <c r="HH324"/>
      <c r="HI324"/>
      <c r="HJ324"/>
      <c r="HK324"/>
      <c r="HL324"/>
      <c r="HM324"/>
      <c r="HN324"/>
      <c r="HO324"/>
      <c r="HP324"/>
      <c r="HQ324"/>
      <c r="HR324"/>
      <c r="HS324"/>
      <c r="HT324"/>
      <c r="HU324"/>
      <c r="HV324"/>
      <c r="HW324"/>
      <c r="HX324"/>
      <c r="HY324"/>
      <c r="HZ324"/>
      <c r="IA324"/>
      <c r="IB324"/>
      <c r="IC324"/>
      <c r="ID324"/>
      <c r="IE324"/>
      <c r="IF324"/>
      <c r="IG324"/>
      <c r="IH324"/>
      <c r="II324"/>
      <c r="IJ324"/>
      <c r="IK324"/>
      <c r="IL324"/>
      <c r="IM324"/>
      <c r="IN324"/>
      <c r="IO324"/>
      <c r="IP324"/>
      <c r="IQ324"/>
      <c r="IR324"/>
      <c r="IS324"/>
      <c r="IT324"/>
      <c r="IU324"/>
      <c r="IV324"/>
      <c r="IW324"/>
      <c r="IX324"/>
      <c r="IY324"/>
      <c r="IZ324"/>
    </row>
    <row r="325" spans="1:260" s="3" customFormat="1" x14ac:dyDescent="0.2">
      <c r="A325" s="288" t="s">
        <v>21</v>
      </c>
      <c r="B325" s="876"/>
      <c r="C325" s="876"/>
      <c r="D325" s="876"/>
      <c r="E325" s="877"/>
      <c r="F325" s="876"/>
      <c r="G325" s="876"/>
      <c r="H325" s="876"/>
      <c r="I325" s="877"/>
      <c r="J325" s="876"/>
      <c r="K325" s="876"/>
      <c r="L325" s="876"/>
      <c r="M325" s="877"/>
      <c r="N325" s="876"/>
      <c r="O325" s="876"/>
      <c r="P325" s="876"/>
      <c r="Q325" s="877"/>
      <c r="R325" s="876"/>
      <c r="S325" s="876"/>
      <c r="T325" s="876"/>
      <c r="U325" s="877"/>
      <c r="V325" s="876"/>
      <c r="W325" s="876"/>
      <c r="X325" s="876"/>
      <c r="Y325" s="877"/>
      <c r="Z325" s="876"/>
      <c r="AA325" s="876"/>
      <c r="AB325" s="876"/>
      <c r="AC325" s="877"/>
      <c r="AD325" s="876"/>
      <c r="AE325" s="876"/>
      <c r="AF325" s="876"/>
      <c r="AG325" s="877"/>
      <c r="AH325" s="264">
        <v>264.22500000000002</v>
      </c>
      <c r="AI325" s="264">
        <v>301.57600000000002</v>
      </c>
      <c r="AJ325" s="264">
        <v>352.70499999999998</v>
      </c>
      <c r="AK325" s="878">
        <v>473</v>
      </c>
      <c r="AL325" s="264">
        <v>303</v>
      </c>
      <c r="AM325" s="264">
        <v>334</v>
      </c>
      <c r="AN325" s="264">
        <v>421</v>
      </c>
      <c r="AO325" s="878">
        <v>578</v>
      </c>
      <c r="AP325" s="264">
        <v>388</v>
      </c>
      <c r="AQ325" s="264">
        <v>486</v>
      </c>
      <c r="AR325" s="264">
        <v>602</v>
      </c>
      <c r="AS325" s="878">
        <v>844</v>
      </c>
      <c r="AT325" s="264">
        <v>499</v>
      </c>
      <c r="AU325" s="264">
        <v>574</v>
      </c>
      <c r="AV325" s="264">
        <v>728</v>
      </c>
      <c r="AW325" s="878">
        <v>1015</v>
      </c>
      <c r="AX325" s="223">
        <f t="shared" ref="AX325:BY325" si="1243">AX398:AX398</f>
        <v>626</v>
      </c>
      <c r="AY325" s="223">
        <f t="shared" si="1243"/>
        <v>705</v>
      </c>
      <c r="AZ325" s="223">
        <f t="shared" si="1243"/>
        <v>869</v>
      </c>
      <c r="BA325" s="879">
        <f t="shared" si="1243"/>
        <v>1268</v>
      </c>
      <c r="BB325" s="223">
        <f t="shared" si="1243"/>
        <v>797</v>
      </c>
      <c r="BC325" s="223">
        <f t="shared" si="1243"/>
        <v>982</v>
      </c>
      <c r="BD325" s="223">
        <f t="shared" si="1243"/>
        <v>1309</v>
      </c>
      <c r="BE325" s="879">
        <f t="shared" si="1243"/>
        <v>1815</v>
      </c>
      <c r="BF325" s="223">
        <f t="shared" si="1243"/>
        <v>1223</v>
      </c>
      <c r="BG325" s="223">
        <f t="shared" si="1243"/>
        <v>1516</v>
      </c>
      <c r="BH325" s="223">
        <f t="shared" si="1243"/>
        <v>1722</v>
      </c>
      <c r="BI325" s="879">
        <f t="shared" si="1243"/>
        <v>2234</v>
      </c>
      <c r="BJ325" s="223">
        <f t="shared" si="1243"/>
        <v>1537</v>
      </c>
      <c r="BK325" s="223">
        <f t="shared" si="1243"/>
        <v>1668</v>
      </c>
      <c r="BL325" s="223">
        <f t="shared" si="1243"/>
        <v>3304</v>
      </c>
      <c r="BM325" s="879">
        <f t="shared" si="1243"/>
        <v>3436</v>
      </c>
      <c r="BN325" s="223">
        <f t="shared" si="1243"/>
        <v>2570</v>
      </c>
      <c r="BO325" s="223">
        <f t="shared" si="1243"/>
        <v>2748</v>
      </c>
      <c r="BP325" s="223">
        <f t="shared" si="1243"/>
        <v>3093</v>
      </c>
      <c r="BQ325" s="879">
        <f t="shared" si="1243"/>
        <v>3969</v>
      </c>
      <c r="BR325" s="223">
        <f t="shared" si="1243"/>
        <v>2864</v>
      </c>
      <c r="BS325" s="223">
        <f t="shared" si="1243"/>
        <v>2903</v>
      </c>
      <c r="BT325" s="223">
        <f t="shared" si="1243"/>
        <v>3180</v>
      </c>
      <c r="BU325" s="879">
        <f t="shared" si="1243"/>
        <v>4139</v>
      </c>
      <c r="BV325" s="223">
        <f t="shared" si="1243"/>
        <v>3081</v>
      </c>
      <c r="BW325" s="223">
        <f t="shared" si="1243"/>
        <v>3036</v>
      </c>
      <c r="BX325" s="223">
        <f t="shared" si="1243"/>
        <v>3214</v>
      </c>
      <c r="BY325" s="879">
        <f t="shared" si="1243"/>
        <v>4030</v>
      </c>
      <c r="BZ325" s="223">
        <f t="shared" ref="BZ325:CU325" si="1244">BZ398</f>
        <v>2811</v>
      </c>
      <c r="CA325" s="223">
        <f t="shared" si="1244"/>
        <v>2717</v>
      </c>
      <c r="CB325" s="223">
        <f t="shared" si="1244"/>
        <v>3043</v>
      </c>
      <c r="CC325" s="879">
        <f t="shared" si="1244"/>
        <v>4086</v>
      </c>
      <c r="CD325" s="223">
        <f t="shared" si="1244"/>
        <v>2977</v>
      </c>
      <c r="CE325" s="223">
        <f t="shared" si="1244"/>
        <v>2879</v>
      </c>
      <c r="CF325" s="223">
        <f t="shared" si="1244"/>
        <v>3090</v>
      </c>
      <c r="CG325" s="879">
        <f t="shared" si="1244"/>
        <v>4088</v>
      </c>
      <c r="CH325" s="223">
        <f t="shared" si="1244"/>
        <v>2788</v>
      </c>
      <c r="CI325" s="223">
        <f t="shared" si="1244"/>
        <v>2744</v>
      </c>
      <c r="CJ325" s="223">
        <f t="shared" si="1244"/>
        <v>3080</v>
      </c>
      <c r="CK325" s="879">
        <f t="shared" si="1244"/>
        <v>4161</v>
      </c>
      <c r="CL325" s="223">
        <f t="shared" si="1244"/>
        <v>1551</v>
      </c>
      <c r="CM325" s="223">
        <f t="shared" si="1244"/>
        <v>1536</v>
      </c>
      <c r="CN325" s="223">
        <f t="shared" si="1244"/>
        <v>1708</v>
      </c>
      <c r="CO325" s="879">
        <f t="shared" si="1244"/>
        <v>2402</v>
      </c>
      <c r="CP325" s="223">
        <f t="shared" si="1244"/>
        <v>982</v>
      </c>
      <c r="CQ325" s="223">
        <f t="shared" si="1244"/>
        <v>959</v>
      </c>
      <c r="CR325" s="223">
        <f t="shared" si="1244"/>
        <v>1112</v>
      </c>
      <c r="CS325" s="879">
        <f t="shared" si="1244"/>
        <v>1727</v>
      </c>
      <c r="CT325" s="1392">
        <f>CT398</f>
        <v>858</v>
      </c>
      <c r="CU325" s="1392">
        <f t="shared" si="1244"/>
        <v>874</v>
      </c>
      <c r="CV325" s="1392">
        <f t="shared" ref="CV325:DB325" si="1245">CV398</f>
        <v>1040</v>
      </c>
      <c r="CW325" s="1436">
        <f t="shared" si="1245"/>
        <v>1512</v>
      </c>
      <c r="CX325" s="1392">
        <f t="shared" si="1245"/>
        <v>668</v>
      </c>
      <c r="CY325" s="1392">
        <f t="shared" si="1245"/>
        <v>650</v>
      </c>
      <c r="CZ325" s="1392">
        <f t="shared" si="1245"/>
        <v>729</v>
      </c>
      <c r="DA325" s="1436">
        <f t="shared" si="1245"/>
        <v>1116</v>
      </c>
      <c r="DB325" s="1392">
        <f t="shared" si="1245"/>
        <v>614</v>
      </c>
      <c r="DC325" s="1392">
        <f t="shared" ref="DC325:DI325" si="1246">DC398</f>
        <v>644</v>
      </c>
      <c r="DD325" s="1392">
        <f t="shared" si="1246"/>
        <v>753</v>
      </c>
      <c r="DE325" s="1436">
        <f t="shared" si="1246"/>
        <v>1144</v>
      </c>
      <c r="DF325" s="1392">
        <f t="shared" si="1246"/>
        <v>616</v>
      </c>
      <c r="DG325" s="1392">
        <f t="shared" si="1246"/>
        <v>668</v>
      </c>
      <c r="DH325" s="1392">
        <f t="shared" si="1246"/>
        <v>829</v>
      </c>
      <c r="DI325" s="1436">
        <f t="shared" si="1246"/>
        <v>1376</v>
      </c>
      <c r="DJ325" s="2754">
        <f t="shared" ref="DJ325:DM325" si="1247">DJ313+DJ320+DJ323</f>
        <v>627.15219512195131</v>
      </c>
      <c r="DK325" s="1392">
        <f t="shared" si="1247"/>
        <v>669.29397350993372</v>
      </c>
      <c r="DL325" s="1392">
        <f t="shared" si="1247"/>
        <v>837.29</v>
      </c>
      <c r="DM325" s="1436">
        <f t="shared" si="1247"/>
        <v>1410.4</v>
      </c>
      <c r="DN325" s="586"/>
      <c r="DO325" s="548"/>
      <c r="DP325" s="165"/>
      <c r="DQ325" s="165"/>
      <c r="DR325" s="165"/>
      <c r="DS325" s="165"/>
      <c r="DT325" s="165"/>
      <c r="DU325" s="165"/>
      <c r="DV325" s="165"/>
      <c r="DW325" s="165"/>
      <c r="DX325" s="165"/>
      <c r="DY325" s="165"/>
      <c r="DZ325" s="165"/>
      <c r="EA325" s="165"/>
      <c r="EB325" s="165"/>
      <c r="EC325" s="165"/>
      <c r="ED325" s="165"/>
      <c r="EE325" s="1037"/>
      <c r="EF325" s="264">
        <f>+AH325+AI325+AJ325+AK325</f>
        <v>1391.5060000000001</v>
      </c>
      <c r="EG325" s="264">
        <f>+AL325+AM325+AN325+AO325</f>
        <v>1636</v>
      </c>
      <c r="EH325" s="264">
        <f>SUM(AP325:AS325)</f>
        <v>2320</v>
      </c>
      <c r="EI325" s="264">
        <f>SUM(AT325:AW325)</f>
        <v>2816</v>
      </c>
      <c r="EJ325" s="264">
        <f>SUM(AX325:BA325)</f>
        <v>3468</v>
      </c>
      <c r="EK325" s="264">
        <f>SUM(BB325:BE325)</f>
        <v>4903</v>
      </c>
      <c r="EL325" s="264">
        <f>SUM(BF325:BI325)</f>
        <v>6695</v>
      </c>
      <c r="EM325" s="264">
        <f>SUM(BJ325:BM325)</f>
        <v>9945</v>
      </c>
      <c r="EN325" s="264">
        <f>SUM(BN325:BQ325)</f>
        <v>12380</v>
      </c>
      <c r="EO325" s="264">
        <f>SUM(BR325:BU325)</f>
        <v>13086</v>
      </c>
      <c r="EP325" s="223">
        <f>SUM(BV325:BY325)</f>
        <v>13361</v>
      </c>
      <c r="EQ325" s="264">
        <f>SUM(BZ325:CC325)</f>
        <v>12657</v>
      </c>
      <c r="ER325" s="264">
        <f>SUM(CD325:CG325)</f>
        <v>13034</v>
      </c>
      <c r="ES325" s="223">
        <f>SUM(CH325:CK325)</f>
        <v>12773</v>
      </c>
      <c r="ET325" s="1392">
        <f>SUM(CL325:CO325)</f>
        <v>7197</v>
      </c>
      <c r="EU325" s="198">
        <f>SUM(CP325:CS325)</f>
        <v>4780</v>
      </c>
      <c r="EV325" s="198">
        <f>SUM(CT325:CW325)</f>
        <v>4284</v>
      </c>
      <c r="EW325" s="198">
        <f>SUM(CX325:DA325)</f>
        <v>3163</v>
      </c>
      <c r="EX325" s="198">
        <f>SUM(DB325:DE325)</f>
        <v>3155</v>
      </c>
      <c r="EY325" s="198">
        <f>SUM(DF325:DI325)</f>
        <v>3489</v>
      </c>
      <c r="EZ325" s="1736">
        <f>SUM(DJ325:DM325)</f>
        <v>3544.1361686318851</v>
      </c>
      <c r="FA325" s="198">
        <f t="shared" ref="FA325:FE325" si="1248">FA313+FA320+FA323</f>
        <v>3578.8942223962649</v>
      </c>
      <c r="FB325" s="198">
        <f t="shared" si="1248"/>
        <v>3617.5127656388509</v>
      </c>
      <c r="FC325" s="198">
        <f t="shared" si="1248"/>
        <v>3624.5176298222304</v>
      </c>
      <c r="FD325" s="198">
        <f t="shared" si="1248"/>
        <v>3631.5036403727427</v>
      </c>
      <c r="FE325" s="198">
        <f t="shared" si="1248"/>
        <v>3638.4709344851121</v>
      </c>
      <c r="FF325" s="198">
        <f>FF313+FF320+FF323</f>
        <v>3645.4196477323953</v>
      </c>
      <c r="FG325" s="198">
        <f>FG313+FG320+FG323</f>
        <v>3652.3499140924496</v>
      </c>
      <c r="FH325" s="198">
        <f>FH313+FH320+FH323</f>
        <v>3659.2618659738537</v>
      </c>
      <c r="FI325" s="1384"/>
      <c r="FJ325"/>
      <c r="FK325"/>
      <c r="FL325"/>
      <c r="FM325"/>
      <c r="FN325"/>
      <c r="FO325"/>
      <c r="FS325" s="1392"/>
      <c r="FT325" s="1392"/>
      <c r="FU325"/>
      <c r="FV325"/>
      <c r="FW325" s="198"/>
      <c r="FX325" s="198"/>
      <c r="FY325" s="198"/>
      <c r="FZ325"/>
      <c r="GA325"/>
      <c r="GB325"/>
      <c r="GC325"/>
      <c r="GD325"/>
      <c r="GE325"/>
      <c r="GF325"/>
      <c r="GG325"/>
      <c r="GH325"/>
      <c r="GI325"/>
      <c r="GJ325"/>
      <c r="GK325"/>
      <c r="GL325"/>
      <c r="GM325"/>
      <c r="GN325"/>
      <c r="GO325"/>
      <c r="GP325"/>
      <c r="GQ325"/>
      <c r="GR325"/>
      <c r="GS325"/>
      <c r="GT325"/>
      <c r="GU325"/>
      <c r="GV325"/>
      <c r="GW325"/>
      <c r="GX325"/>
      <c r="GY325"/>
      <c r="GZ325"/>
      <c r="HA325"/>
      <c r="HB325"/>
      <c r="HC325"/>
      <c r="HD325"/>
      <c r="HE325"/>
      <c r="HF325"/>
      <c r="HG325"/>
      <c r="HH325"/>
      <c r="HI325"/>
      <c r="HJ325"/>
      <c r="HK325"/>
      <c r="HL325"/>
      <c r="HM325"/>
      <c r="HN325"/>
      <c r="HO325"/>
      <c r="HP325"/>
      <c r="HQ325"/>
      <c r="HR325"/>
      <c r="HS325"/>
      <c r="HT325"/>
      <c r="HU325"/>
      <c r="HV325"/>
      <c r="HW325"/>
      <c r="HX325"/>
      <c r="HY325"/>
      <c r="HZ325"/>
      <c r="IA325"/>
      <c r="IB325"/>
      <c r="IC325"/>
      <c r="ID325"/>
      <c r="IE325"/>
      <c r="IF325"/>
      <c r="IG325"/>
      <c r="IH325"/>
      <c r="II325"/>
      <c r="IJ325"/>
      <c r="IK325"/>
      <c r="IL325"/>
      <c r="IM325"/>
      <c r="IN325"/>
      <c r="IO325"/>
      <c r="IP325"/>
      <c r="IQ325"/>
      <c r="IR325"/>
      <c r="IS325"/>
      <c r="IT325"/>
      <c r="IU325"/>
      <c r="IV325"/>
      <c r="IW325"/>
      <c r="IX325"/>
      <c r="IY325"/>
      <c r="IZ325"/>
    </row>
    <row r="326" spans="1:260" s="4" customFormat="1" x14ac:dyDescent="0.2">
      <c r="A326" s="25" t="s">
        <v>482</v>
      </c>
      <c r="B326" s="25"/>
      <c r="C326" s="25"/>
      <c r="D326" s="25"/>
      <c r="E326" s="477"/>
      <c r="F326" s="25"/>
      <c r="G326" s="25"/>
      <c r="H326" s="25"/>
      <c r="I326" s="477"/>
      <c r="J326" s="25"/>
      <c r="K326" s="25"/>
      <c r="L326" s="25"/>
      <c r="M326" s="477"/>
      <c r="N326" s="25"/>
      <c r="O326" s="25"/>
      <c r="P326" s="25"/>
      <c r="Q326" s="477"/>
      <c r="R326" s="25"/>
      <c r="S326" s="25"/>
      <c r="T326" s="25"/>
      <c r="U326" s="477"/>
      <c r="V326" s="25"/>
      <c r="W326" s="25"/>
      <c r="X326" s="25"/>
      <c r="Y326" s="477"/>
      <c r="Z326" s="25"/>
      <c r="AA326" s="25"/>
      <c r="AB326" s="25"/>
      <c r="AC326" s="477"/>
      <c r="AD326" s="25"/>
      <c r="AE326" s="25"/>
      <c r="AF326" s="25"/>
      <c r="AG326" s="477"/>
      <c r="AH326" s="1269" t="s">
        <v>483</v>
      </c>
      <c r="AI326" s="1269" t="s">
        <v>483</v>
      </c>
      <c r="AJ326" s="1269" t="s">
        <v>483</v>
      </c>
      <c r="AK326" s="556" t="s">
        <v>483</v>
      </c>
      <c r="AL326" s="15">
        <f t="shared" ref="AL326:BY326" si="1249">AL325/AH325-1</f>
        <v>0.14674992903775186</v>
      </c>
      <c r="AM326" s="15">
        <f t="shared" si="1249"/>
        <v>0.10751518688489803</v>
      </c>
      <c r="AN326" s="15">
        <f t="shared" si="1249"/>
        <v>0.19363207212826583</v>
      </c>
      <c r="AO326" s="518">
        <f t="shared" si="1249"/>
        <v>0.2219873150105709</v>
      </c>
      <c r="AP326" s="15">
        <f t="shared" si="1249"/>
        <v>0.28052805280528048</v>
      </c>
      <c r="AQ326" s="15">
        <f t="shared" si="1249"/>
        <v>0.45508982035928147</v>
      </c>
      <c r="AR326" s="15">
        <f t="shared" si="1249"/>
        <v>0.42992874109263668</v>
      </c>
      <c r="AS326" s="518">
        <f t="shared" si="1249"/>
        <v>0.46020761245674735</v>
      </c>
      <c r="AT326" s="15">
        <f t="shared" si="1249"/>
        <v>0.28608247422680422</v>
      </c>
      <c r="AU326" s="15">
        <f t="shared" si="1249"/>
        <v>0.18106995884773669</v>
      </c>
      <c r="AV326" s="15">
        <f t="shared" si="1249"/>
        <v>0.20930232558139528</v>
      </c>
      <c r="AW326" s="518">
        <f t="shared" si="1249"/>
        <v>0.20260663507109</v>
      </c>
      <c r="AX326" s="77">
        <f t="shared" si="1249"/>
        <v>0.25450901803607207</v>
      </c>
      <c r="AY326" s="77">
        <f t="shared" si="1249"/>
        <v>0.22822299651567945</v>
      </c>
      <c r="AZ326" s="77">
        <f t="shared" si="1249"/>
        <v>0.19368131868131866</v>
      </c>
      <c r="BA326" s="487">
        <f t="shared" si="1249"/>
        <v>0.24926108374384226</v>
      </c>
      <c r="BB326" s="77">
        <f t="shared" si="1249"/>
        <v>0.27316293929712465</v>
      </c>
      <c r="BC326" s="77">
        <f t="shared" si="1249"/>
        <v>0.39290780141843973</v>
      </c>
      <c r="BD326" s="77">
        <f t="shared" si="1249"/>
        <v>0.50632911392405067</v>
      </c>
      <c r="BE326" s="487">
        <f t="shared" si="1249"/>
        <v>0.43138801261829651</v>
      </c>
      <c r="BF326" s="77">
        <f t="shared" si="1249"/>
        <v>0.53450439146800499</v>
      </c>
      <c r="BG326" s="77">
        <f t="shared" si="1249"/>
        <v>0.54378818737270884</v>
      </c>
      <c r="BH326" s="77">
        <f t="shared" si="1249"/>
        <v>0.31550802139037426</v>
      </c>
      <c r="BI326" s="487">
        <f t="shared" si="1249"/>
        <v>0.23085399449035804</v>
      </c>
      <c r="BJ326" s="77">
        <f t="shared" si="1249"/>
        <v>0.25674570727718726</v>
      </c>
      <c r="BK326" s="77">
        <f t="shared" si="1249"/>
        <v>0.10026385224274414</v>
      </c>
      <c r="BL326" s="77">
        <f t="shared" si="1249"/>
        <v>0.91869918699186992</v>
      </c>
      <c r="BM326" s="487">
        <f t="shared" si="1249"/>
        <v>0.53804834377797683</v>
      </c>
      <c r="BN326" s="77">
        <f t="shared" si="1249"/>
        <v>0.67208848405985688</v>
      </c>
      <c r="BO326" s="77">
        <f t="shared" si="1249"/>
        <v>0.64748201438848918</v>
      </c>
      <c r="BP326" s="77">
        <f t="shared" si="1249"/>
        <v>-6.3861985472154936E-2</v>
      </c>
      <c r="BQ326" s="487">
        <f t="shared" si="1249"/>
        <v>0.1551222351571595</v>
      </c>
      <c r="BR326" s="77">
        <f t="shared" si="1249"/>
        <v>0.11439688715953311</v>
      </c>
      <c r="BS326" s="77">
        <f t="shared" si="1249"/>
        <v>5.6404657933042168E-2</v>
      </c>
      <c r="BT326" s="77">
        <f t="shared" si="1249"/>
        <v>2.812803103782735E-2</v>
      </c>
      <c r="BU326" s="487">
        <f t="shared" si="1249"/>
        <v>4.2831947593852338E-2</v>
      </c>
      <c r="BV326" s="77">
        <f t="shared" si="1249"/>
        <v>7.5768156424580901E-2</v>
      </c>
      <c r="BW326" s="77">
        <f t="shared" si="1249"/>
        <v>4.581467447468146E-2</v>
      </c>
      <c r="BX326" s="77">
        <f t="shared" si="1249"/>
        <v>1.0691823899371178E-2</v>
      </c>
      <c r="BY326" s="487">
        <f t="shared" si="1249"/>
        <v>-2.6334863493597482E-2</v>
      </c>
      <c r="BZ326" s="15">
        <f>BZ325/BN325-1</f>
        <v>9.3774319066147971E-2</v>
      </c>
      <c r="CA326" s="15">
        <f>CA325/BO325-1</f>
        <v>-1.1280931586608478E-2</v>
      </c>
      <c r="CB326" s="15">
        <f>CB325/BP325-1</f>
        <v>-1.6165535079211146E-2</v>
      </c>
      <c r="CC326" s="518">
        <f>CC325/BQ325-1</f>
        <v>2.947845804988658E-2</v>
      </c>
      <c r="CD326" s="77">
        <f t="shared" ref="CD326:CK326" si="1250">CD325/BZ325-1</f>
        <v>5.9053717538242623E-2</v>
      </c>
      <c r="CE326" s="77">
        <f t="shared" si="1250"/>
        <v>5.9624585940375452E-2</v>
      </c>
      <c r="CF326" s="77">
        <f t="shared" si="1250"/>
        <v>1.5445284258954972E-2</v>
      </c>
      <c r="CG326" s="487">
        <f t="shared" si="1250"/>
        <v>4.8947626040130032E-4</v>
      </c>
      <c r="CH326" s="77">
        <f t="shared" si="1250"/>
        <v>-6.3486731609002311E-2</v>
      </c>
      <c r="CI326" s="77">
        <f t="shared" si="1250"/>
        <v>-4.6891281695032982E-2</v>
      </c>
      <c r="CJ326" s="77">
        <f t="shared" si="1250"/>
        <v>-3.2362459546925182E-3</v>
      </c>
      <c r="CK326" s="487">
        <f t="shared" si="1250"/>
        <v>1.7857142857142794E-2</v>
      </c>
      <c r="CL326" s="77">
        <f>CL325/CD325-1</f>
        <v>-0.47900571044675844</v>
      </c>
      <c r="CM326" s="77">
        <f>CM325/CE325-1</f>
        <v>-0.4664814171587357</v>
      </c>
      <c r="CN326" s="77">
        <f>CN325/CF325-1</f>
        <v>-0.44724919093851134</v>
      </c>
      <c r="CO326" s="487">
        <f>CO325/CG325-1</f>
        <v>-0.41242661448140905</v>
      </c>
      <c r="CP326" s="77">
        <f>CP325/CL325-1</f>
        <v>-0.36686009026434563</v>
      </c>
      <c r="CQ326" s="77">
        <f>CQ325/CM325-1</f>
        <v>-0.37565104166666663</v>
      </c>
      <c r="CR326" s="77">
        <f>CR325/CJ325-1</f>
        <v>-0.63896103896103895</v>
      </c>
      <c r="CS326" s="487">
        <f t="shared" ref="CS326:CY326" si="1251">CS325/CO325-1</f>
        <v>-0.28101582014987514</v>
      </c>
      <c r="CT326" s="77">
        <f t="shared" si="1251"/>
        <v>-0.12627291242362526</v>
      </c>
      <c r="CU326" s="77">
        <f t="shared" si="1251"/>
        <v>-8.8633993743482797E-2</v>
      </c>
      <c r="CV326" s="77">
        <f t="shared" si="1251"/>
        <v>-6.4748201438848962E-2</v>
      </c>
      <c r="CW326" s="487">
        <f t="shared" si="1251"/>
        <v>-0.12449334105385057</v>
      </c>
      <c r="CX326" s="77">
        <f t="shared" si="1251"/>
        <v>-0.2214452214452215</v>
      </c>
      <c r="CY326" s="77">
        <f t="shared" si="1251"/>
        <v>-0.25629290617848965</v>
      </c>
      <c r="CZ326" s="77">
        <f t="shared" ref="CZ326:DE326" si="1252">CZ325/CV325-1</f>
        <v>-0.29903846153846159</v>
      </c>
      <c r="DA326" s="487">
        <f t="shared" si="1252"/>
        <v>-0.26190476190476186</v>
      </c>
      <c r="DB326" s="77">
        <f t="shared" si="1252"/>
        <v>-8.083832335329344E-2</v>
      </c>
      <c r="DC326" s="77">
        <f t="shared" si="1252"/>
        <v>-9.2307692307692646E-3</v>
      </c>
      <c r="DD326" s="70">
        <f t="shared" si="1252"/>
        <v>3.292181069958855E-2</v>
      </c>
      <c r="DE326" s="487">
        <f t="shared" si="1252"/>
        <v>2.5089605734766929E-2</v>
      </c>
      <c r="DF326" s="70">
        <f t="shared" ref="DF326:DM326" si="1253">DF325/DB325-1</f>
        <v>3.2573289902280145E-3</v>
      </c>
      <c r="DG326" s="70">
        <f t="shared" si="1253"/>
        <v>3.7267080745341685E-2</v>
      </c>
      <c r="DH326" s="70">
        <f t="shared" si="1253"/>
        <v>0.10092961487383789</v>
      </c>
      <c r="DI326" s="487">
        <f t="shared" si="1253"/>
        <v>0.2027972027972027</v>
      </c>
      <c r="DJ326" s="1673">
        <f t="shared" si="1253"/>
        <v>1.8104212860310609E-2</v>
      </c>
      <c r="DK326" s="70">
        <f t="shared" si="1253"/>
        <v>1.9370860927152567E-3</v>
      </c>
      <c r="DL326" s="70">
        <f t="shared" si="1253"/>
        <v>1.0000000000000009E-2</v>
      </c>
      <c r="DM326" s="487">
        <f t="shared" si="1253"/>
        <v>2.5000000000000133E-2</v>
      </c>
      <c r="DN326" s="580"/>
      <c r="DO326" s="487"/>
      <c r="DP326" s="77"/>
      <c r="DQ326" s="77"/>
      <c r="DR326" s="77"/>
      <c r="DS326" s="77"/>
      <c r="DT326" s="77"/>
      <c r="DU326" s="77"/>
      <c r="DV326" s="77"/>
      <c r="DW326" s="77"/>
      <c r="DX326" s="77"/>
      <c r="DY326" s="77"/>
      <c r="DZ326" s="77"/>
      <c r="EA326" s="77"/>
      <c r="EB326" s="77"/>
      <c r="EC326" s="77"/>
      <c r="ED326" s="77"/>
      <c r="EE326" s="15"/>
      <c r="EF326" s="1269" t="s">
        <v>483</v>
      </c>
      <c r="EG326" s="15">
        <f t="shared" ref="EG326:EP326" si="1254">EG325/EF325-1</f>
        <v>0.1757045963150714</v>
      </c>
      <c r="EH326" s="15">
        <f t="shared" si="1254"/>
        <v>0.41809290953545242</v>
      </c>
      <c r="EI326" s="15">
        <f t="shared" si="1254"/>
        <v>0.21379310344827585</v>
      </c>
      <c r="EJ326" s="15">
        <f t="shared" si="1254"/>
        <v>0.23153409090909083</v>
      </c>
      <c r="EK326" s="15">
        <f t="shared" si="1254"/>
        <v>0.4137831603229527</v>
      </c>
      <c r="EL326" s="15">
        <f t="shared" si="1254"/>
        <v>0.36549051601060567</v>
      </c>
      <c r="EM326" s="15">
        <f t="shared" si="1254"/>
        <v>0.4854368932038835</v>
      </c>
      <c r="EN326" s="15">
        <f t="shared" si="1254"/>
        <v>0.24484665661136251</v>
      </c>
      <c r="EO326" s="15">
        <f t="shared" si="1254"/>
        <v>5.7027463651050159E-2</v>
      </c>
      <c r="EP326" s="15">
        <f t="shared" si="1254"/>
        <v>2.1014825003820903E-2</v>
      </c>
      <c r="EQ326" s="15">
        <f>EQ325/EN325-1</f>
        <v>2.2374798061389312E-2</v>
      </c>
      <c r="ER326" s="15">
        <f>ER325/EQ325-1</f>
        <v>2.9785889231255469E-2</v>
      </c>
      <c r="ES326" s="15">
        <f>ES325/ER325-1</f>
        <v>-2.0024551173853045E-2</v>
      </c>
      <c r="ET326" s="15">
        <f>ET325/ER325-1</f>
        <v>-0.44782875556237534</v>
      </c>
      <c r="EU326" s="15">
        <f t="shared" ref="EU326:FC326" si="1255">EU325/ET325-1</f>
        <v>-0.33583437543420869</v>
      </c>
      <c r="EV326" s="15">
        <f t="shared" si="1255"/>
        <v>-0.10376569037656902</v>
      </c>
      <c r="EW326" s="15">
        <f t="shared" si="1255"/>
        <v>-0.26167133520074692</v>
      </c>
      <c r="EX326" s="77">
        <f t="shared" si="1255"/>
        <v>-2.5292443882389826E-3</v>
      </c>
      <c r="EY326" s="77">
        <f t="shared" si="1255"/>
        <v>0.1058637083993661</v>
      </c>
      <c r="EZ326" s="1680">
        <f t="shared" si="1255"/>
        <v>1.5802857160184924E-2</v>
      </c>
      <c r="FA326" s="15">
        <f t="shared" si="1255"/>
        <v>9.8072004320863826E-3</v>
      </c>
      <c r="FB326" s="15">
        <f t="shared" si="1255"/>
        <v>1.0790635554668304E-2</v>
      </c>
      <c r="FC326" s="15">
        <f t="shared" si="1255"/>
        <v>1.9363758021577748E-3</v>
      </c>
      <c r="FD326" s="15">
        <f>FD325/FC325-1</f>
        <v>1.9274318030713111E-3</v>
      </c>
      <c r="FE326" s="15">
        <f>FE325/FD325-1</f>
        <v>1.9185700476551659E-3</v>
      </c>
      <c r="FF326" s="15">
        <f>FF325/FE325-1</f>
        <v>1.9097894067048315E-3</v>
      </c>
      <c r="FG326" s="15">
        <f>FG325/FF325-1</f>
        <v>1.9010887715944502E-3</v>
      </c>
      <c r="FH326" s="15">
        <f>FH325/FG325-1</f>
        <v>1.8924670538096322E-3</v>
      </c>
      <c r="FI326" s="580"/>
      <c r="FJ326"/>
      <c r="FK326"/>
      <c r="FL326"/>
      <c r="FM326"/>
      <c r="FN326"/>
      <c r="FO326"/>
      <c r="FP326" s="3"/>
      <c r="FS326" s="70"/>
      <c r="FT326" s="70"/>
      <c r="FU326"/>
      <c r="FV326"/>
      <c r="FW326" s="70"/>
      <c r="FX326" s="70"/>
      <c r="FY326" s="70"/>
      <c r="FZ326"/>
      <c r="GA326"/>
      <c r="GB326"/>
      <c r="GC326"/>
      <c r="GD326"/>
      <c r="GE326"/>
      <c r="GF326"/>
      <c r="GG326"/>
      <c r="GH326"/>
      <c r="GI326"/>
      <c r="GJ326"/>
      <c r="GK326"/>
      <c r="GL326"/>
      <c r="GM326"/>
      <c r="GN326"/>
      <c r="GO326"/>
      <c r="GP326"/>
      <c r="GQ326"/>
      <c r="GR326"/>
      <c r="GS326"/>
      <c r="GT326"/>
      <c r="GU326"/>
      <c r="GV326"/>
      <c r="GW326"/>
      <c r="GX326"/>
      <c r="GY326"/>
      <c r="GZ326"/>
      <c r="HA326"/>
      <c r="HB326"/>
      <c r="HC326"/>
      <c r="HD326"/>
      <c r="HE326"/>
      <c r="HF326"/>
      <c r="HG326"/>
      <c r="HH326"/>
      <c r="HI326"/>
      <c r="HJ326"/>
      <c r="HK326"/>
      <c r="HL326"/>
      <c r="HM326"/>
      <c r="HN326"/>
      <c r="HO326"/>
      <c r="HP326"/>
      <c r="HQ326"/>
      <c r="HR326"/>
      <c r="HS326"/>
      <c r="HT326"/>
      <c r="HU326"/>
      <c r="HV326"/>
      <c r="HW326"/>
      <c r="HX326"/>
      <c r="HY326"/>
      <c r="HZ326"/>
      <c r="IA326"/>
      <c r="IB326"/>
      <c r="IC326"/>
      <c r="ID326"/>
      <c r="IE326"/>
      <c r="IF326"/>
      <c r="IG326"/>
      <c r="IH326"/>
      <c r="II326"/>
      <c r="IJ326"/>
      <c r="IK326"/>
      <c r="IL326"/>
      <c r="IM326"/>
      <c r="IN326"/>
      <c r="IO326"/>
      <c r="IP326"/>
      <c r="IQ326"/>
      <c r="IR326"/>
      <c r="IS326"/>
      <c r="IT326"/>
      <c r="IU326"/>
      <c r="IV326"/>
      <c r="IW326"/>
      <c r="IX326"/>
      <c r="IY326"/>
      <c r="IZ326"/>
    </row>
    <row r="327" spans="1:260" s="4" customFormat="1" x14ac:dyDescent="0.2">
      <c r="E327" s="470"/>
      <c r="I327" s="470"/>
      <c r="M327" s="470"/>
      <c r="Q327" s="470"/>
      <c r="U327" s="470"/>
      <c r="Y327" s="470"/>
      <c r="AC327" s="470"/>
      <c r="AG327" s="470"/>
      <c r="AK327" s="470"/>
      <c r="AO327" s="470"/>
      <c r="AS327" s="470"/>
      <c r="AW327" s="470"/>
      <c r="BA327" s="470"/>
      <c r="BE327" s="470"/>
      <c r="BI327" s="470"/>
      <c r="BM327" s="470"/>
      <c r="BQ327" s="470"/>
      <c r="BR327" s="427"/>
      <c r="BS327" s="427"/>
      <c r="BT327" s="427"/>
      <c r="BU327" s="519"/>
      <c r="BV327" s="427"/>
      <c r="BW327" s="427"/>
      <c r="BX327" s="427"/>
      <c r="BY327" s="519"/>
      <c r="BZ327" s="427"/>
      <c r="CA327" s="427"/>
      <c r="CB327" s="427"/>
      <c r="CC327" s="519"/>
      <c r="CD327" s="77"/>
      <c r="CE327" s="77"/>
      <c r="CF327" s="77"/>
      <c r="CG327" s="487"/>
      <c r="CH327" s="77"/>
      <c r="CI327" s="77"/>
      <c r="CJ327" s="77"/>
      <c r="CK327" s="487"/>
      <c r="CL327" s="77"/>
      <c r="CM327" s="77"/>
      <c r="CN327" s="77"/>
      <c r="CO327" s="487"/>
      <c r="CP327" s="77"/>
      <c r="CQ327" s="77"/>
      <c r="CR327" s="77"/>
      <c r="CS327" s="487"/>
      <c r="CT327" s="77"/>
      <c r="CU327" s="77"/>
      <c r="CV327" s="77"/>
      <c r="CW327" s="487"/>
      <c r="CX327" s="77"/>
      <c r="CY327" s="77"/>
      <c r="CZ327" s="77"/>
      <c r="DA327" s="487"/>
      <c r="DB327" s="77"/>
      <c r="DC327" s="77"/>
      <c r="DD327" s="70"/>
      <c r="DE327" s="568"/>
      <c r="DF327" s="573"/>
      <c r="DG327" s="573"/>
      <c r="DH327" s="573"/>
      <c r="DI327" s="568"/>
      <c r="DJ327" s="1672"/>
      <c r="DK327" s="573"/>
      <c r="DL327" s="573"/>
      <c r="DM327" s="568"/>
      <c r="DN327" s="1211"/>
      <c r="DO327" s="484"/>
      <c r="ER327" s="77"/>
      <c r="ES327" s="77"/>
      <c r="ET327" s="77"/>
      <c r="EU327" s="77"/>
      <c r="EV327" s="77"/>
      <c r="EW327" s="77"/>
      <c r="EX327" s="77"/>
      <c r="EY327" s="77"/>
      <c r="EZ327" s="1680"/>
      <c r="FI327" s="671"/>
      <c r="FJ327"/>
      <c r="FK327"/>
      <c r="FL327"/>
      <c r="FM327"/>
      <c r="FN327"/>
      <c r="FO327"/>
      <c r="FP327" s="3"/>
      <c r="FS327" s="7"/>
      <c r="FT327" s="7"/>
      <c r="FU327"/>
      <c r="FV327"/>
      <c r="FW327" s="7"/>
      <c r="FX327" s="7"/>
      <c r="FY327" s="7"/>
      <c r="FZ327"/>
      <c r="GA327"/>
      <c r="GB327"/>
      <c r="GC327"/>
      <c r="GD327"/>
      <c r="GE327"/>
      <c r="GF327"/>
      <c r="GG327"/>
      <c r="GH327"/>
      <c r="GI327"/>
      <c r="GJ327"/>
      <c r="GK327"/>
      <c r="GL327"/>
      <c r="GM327"/>
      <c r="GN327"/>
      <c r="GO327"/>
      <c r="GP327"/>
      <c r="GQ327"/>
      <c r="GR327"/>
      <c r="GS327"/>
      <c r="GT327"/>
      <c r="GU327"/>
      <c r="GV327"/>
      <c r="GW327"/>
      <c r="GX327"/>
      <c r="GY327"/>
      <c r="GZ327"/>
      <c r="HA327"/>
      <c r="HB327"/>
      <c r="HC327"/>
      <c r="HD327"/>
      <c r="HE327"/>
      <c r="HF327"/>
      <c r="HG327"/>
      <c r="HH327"/>
      <c r="HI327"/>
      <c r="HJ327"/>
      <c r="HK327"/>
      <c r="HL327"/>
      <c r="HM327"/>
      <c r="HN327"/>
      <c r="HO327"/>
      <c r="HP327"/>
      <c r="HQ327"/>
      <c r="HR327"/>
      <c r="HS327"/>
      <c r="HT327"/>
      <c r="HU327"/>
      <c r="HV327"/>
      <c r="HW327"/>
      <c r="HX327"/>
      <c r="HY327"/>
      <c r="HZ327"/>
      <c r="IA327"/>
      <c r="IB327"/>
      <c r="IC327"/>
      <c r="ID327"/>
      <c r="IE327"/>
      <c r="IF327"/>
      <c r="IG327"/>
      <c r="IH327"/>
      <c r="II327"/>
      <c r="IJ327"/>
      <c r="IK327"/>
      <c r="IL327"/>
      <c r="IM327"/>
      <c r="IN327"/>
      <c r="IO327"/>
      <c r="IP327"/>
      <c r="IQ327"/>
      <c r="IR327"/>
      <c r="IS327"/>
      <c r="IT327"/>
      <c r="IU327"/>
      <c r="IV327"/>
      <c r="IW327"/>
      <c r="IX327"/>
      <c r="IY327"/>
      <c r="IZ327"/>
    </row>
    <row r="328" spans="1:260" s="6" customFormat="1" hidden="1" outlineLevel="1" x14ac:dyDescent="0.2">
      <c r="A328" s="1591" t="s">
        <v>575</v>
      </c>
      <c r="B328" s="1593"/>
      <c r="C328" s="1593"/>
      <c r="D328" s="1593"/>
      <c r="E328" s="1593"/>
      <c r="F328" s="1593"/>
      <c r="G328" s="1593"/>
      <c r="H328" s="1593"/>
      <c r="I328" s="1593"/>
      <c r="J328" s="1593"/>
      <c r="K328" s="1593"/>
      <c r="L328" s="1593"/>
      <c r="M328" s="1593"/>
      <c r="N328" s="1593"/>
      <c r="O328" s="1593"/>
      <c r="P328" s="1593"/>
      <c r="Q328" s="1593"/>
      <c r="R328" s="1593"/>
      <c r="S328" s="1593"/>
      <c r="T328" s="1593"/>
      <c r="U328" s="1593"/>
      <c r="V328" s="1593"/>
      <c r="W328" s="1593"/>
      <c r="X328" s="1593"/>
      <c r="Y328" s="1593"/>
      <c r="Z328" s="1593"/>
      <c r="AA328" s="1593"/>
      <c r="AB328" s="1593"/>
      <c r="AC328" s="1593"/>
      <c r="AD328" s="1593"/>
      <c r="AE328" s="1593"/>
      <c r="AF328" s="1593"/>
      <c r="AG328" s="1593"/>
      <c r="AH328" s="1593"/>
      <c r="AI328" s="1593"/>
      <c r="AJ328" s="1593"/>
      <c r="AK328" s="1593"/>
      <c r="AL328" s="1593"/>
      <c r="AM328" s="1593"/>
      <c r="AN328" s="1593"/>
      <c r="AO328" s="1593"/>
      <c r="AP328" s="1593"/>
      <c r="AQ328" s="1593"/>
      <c r="AR328" s="1593"/>
      <c r="AS328" s="1593"/>
      <c r="AT328" s="1593"/>
      <c r="AU328" s="1593"/>
      <c r="AV328" s="1593"/>
      <c r="AW328" s="1593"/>
      <c r="AX328" s="1593"/>
      <c r="AY328" s="1593"/>
      <c r="AZ328" s="1593"/>
      <c r="BA328" s="1593"/>
      <c r="BB328" s="1593"/>
      <c r="BC328" s="1593"/>
      <c r="BD328" s="1593"/>
      <c r="BE328" s="1593"/>
      <c r="BF328" s="1593"/>
      <c r="BG328" s="1593"/>
      <c r="BH328" s="1593"/>
      <c r="BI328" s="1593"/>
      <c r="BJ328" s="1593"/>
      <c r="BK328" s="1593"/>
      <c r="BL328" s="1593"/>
      <c r="BM328" s="1593"/>
      <c r="BN328" s="1593"/>
      <c r="BO328" s="1593"/>
      <c r="BP328" s="1593"/>
      <c r="BQ328" s="1593"/>
      <c r="BR328" s="1593"/>
      <c r="BS328" s="1593"/>
      <c r="BT328" s="1593"/>
      <c r="BU328" s="1593"/>
      <c r="BV328" s="1593"/>
      <c r="BW328" s="1593"/>
      <c r="BX328" s="1593"/>
      <c r="BY328" s="1593"/>
      <c r="BZ328" s="1593"/>
      <c r="CA328" s="1593"/>
      <c r="CB328" s="1593"/>
      <c r="CC328" s="1593"/>
      <c r="CD328" s="1593"/>
      <c r="CE328" s="1593"/>
      <c r="CF328" s="1593"/>
      <c r="CG328" s="1593"/>
      <c r="CH328" s="1593"/>
      <c r="CI328" s="1593"/>
      <c r="CJ328" s="1593"/>
      <c r="CK328" s="1593"/>
      <c r="CL328" s="1593"/>
      <c r="CM328" s="1593"/>
      <c r="CN328" s="1593"/>
      <c r="CO328" s="1593"/>
      <c r="CP328" s="1593"/>
      <c r="CQ328" s="1593"/>
      <c r="CR328" s="1593"/>
      <c r="CS328" s="1593"/>
      <c r="CT328" s="1593"/>
      <c r="CU328" s="1593"/>
      <c r="CV328" s="1593"/>
      <c r="CW328" s="1593"/>
      <c r="CX328" s="1593"/>
      <c r="CY328" s="1593"/>
      <c r="CZ328" s="1593"/>
      <c r="DA328" s="1593"/>
      <c r="DB328" s="1593"/>
      <c r="DC328" s="1593"/>
      <c r="DD328" s="1593"/>
      <c r="DE328" s="1594"/>
      <c r="DF328" s="1593"/>
      <c r="DG328" s="1593"/>
      <c r="DH328" s="1593"/>
      <c r="DI328" s="1594"/>
      <c r="DJ328" s="1593"/>
      <c r="DK328" s="1593"/>
      <c r="DL328" s="1593"/>
      <c r="DM328" s="1594"/>
      <c r="DN328" s="587"/>
      <c r="DO328" s="465"/>
      <c r="DP328" s="759"/>
      <c r="DQ328" s="435"/>
      <c r="DR328" s="435"/>
      <c r="DS328" s="435"/>
      <c r="DT328" s="435"/>
      <c r="DU328" s="435"/>
      <c r="DV328" s="435"/>
      <c r="DW328" s="435"/>
      <c r="DX328" s="435"/>
      <c r="DY328" s="435"/>
      <c r="DZ328" s="435"/>
      <c r="EA328" s="435"/>
      <c r="EB328" s="435"/>
      <c r="EC328" s="435"/>
      <c r="ED328" s="435"/>
      <c r="EE328" s="597"/>
      <c r="EF328" s="435"/>
      <c r="EG328" s="435"/>
      <c r="EH328" s="435"/>
      <c r="EI328" s="435"/>
      <c r="EJ328" s="435"/>
      <c r="EK328" s="435"/>
      <c r="EL328" s="435"/>
      <c r="EM328" s="435"/>
      <c r="EN328" s="435"/>
      <c r="EO328" s="435"/>
      <c r="EP328" s="435"/>
      <c r="EQ328" s="435"/>
      <c r="ER328" s="435"/>
      <c r="ES328" s="435"/>
      <c r="ET328" s="435"/>
      <c r="EU328" s="1593"/>
      <c r="EV328" s="1593"/>
      <c r="EW328" s="1593"/>
      <c r="EX328" s="1593"/>
      <c r="EY328" s="1593"/>
      <c r="EZ328" s="1593"/>
      <c r="FA328" s="1593"/>
      <c r="FB328" s="1593"/>
      <c r="FC328" s="1593"/>
      <c r="FD328" s="1593"/>
      <c r="FE328" s="1593"/>
      <c r="FF328" s="1593"/>
      <c r="FG328" s="1593"/>
      <c r="FH328" s="1594"/>
      <c r="FI328" s="587"/>
      <c r="FJ328"/>
      <c r="FK328"/>
      <c r="FL328"/>
      <c r="FM328"/>
      <c r="FN328"/>
      <c r="FO328"/>
      <c r="FP328" s="7"/>
      <c r="FS328" s="335"/>
      <c r="FT328" s="335"/>
      <c r="FU328"/>
      <c r="FV328"/>
      <c r="FW328" s="134"/>
      <c r="FX328" s="134"/>
      <c r="FY328" s="134"/>
      <c r="FZ328"/>
      <c r="GA328"/>
      <c r="GB328"/>
      <c r="GC328"/>
      <c r="GD328"/>
      <c r="GE328"/>
      <c r="GF328"/>
      <c r="GG328"/>
      <c r="GH328"/>
      <c r="GI328"/>
      <c r="GJ328"/>
      <c r="GK328"/>
      <c r="GL328"/>
      <c r="GM328"/>
      <c r="GN328"/>
      <c r="GO328"/>
      <c r="GP328"/>
      <c r="GQ328"/>
      <c r="GR328"/>
      <c r="GS328"/>
      <c r="GT328"/>
      <c r="GU328"/>
      <c r="GV328"/>
      <c r="GW328"/>
      <c r="GX328"/>
      <c r="GY328"/>
      <c r="GZ328"/>
      <c r="HA328"/>
      <c r="HB328"/>
      <c r="HC328"/>
      <c r="HD328"/>
      <c r="HE328"/>
      <c r="HF328"/>
      <c r="HG328"/>
      <c r="HH328"/>
      <c r="HI328"/>
      <c r="HJ328"/>
      <c r="HK328"/>
      <c r="HL328"/>
      <c r="HM328"/>
      <c r="HN328"/>
      <c r="HO328"/>
      <c r="HP328"/>
      <c r="HQ328"/>
      <c r="HR328"/>
      <c r="HS328"/>
      <c r="HT328"/>
      <c r="HU328"/>
      <c r="HV328"/>
      <c r="HW328"/>
      <c r="HX328"/>
      <c r="HY328"/>
      <c r="HZ328"/>
      <c r="IA328"/>
      <c r="IB328"/>
      <c r="IC328"/>
      <c r="ID328"/>
      <c r="IE328"/>
      <c r="IF328"/>
      <c r="IG328"/>
      <c r="IH328"/>
      <c r="II328"/>
      <c r="IJ328"/>
      <c r="IK328"/>
      <c r="IL328"/>
      <c r="IM328"/>
      <c r="IN328"/>
      <c r="IO328"/>
      <c r="IP328"/>
      <c r="IQ328"/>
      <c r="IR328"/>
      <c r="IS328"/>
      <c r="IT328"/>
      <c r="IU328"/>
      <c r="IV328"/>
      <c r="IW328"/>
      <c r="IX328"/>
      <c r="IY328"/>
      <c r="IZ328"/>
    </row>
    <row r="329" spans="1:260" s="4" customFormat="1" hidden="1" outlineLevel="1" x14ac:dyDescent="0.2">
      <c r="A329" s="79"/>
      <c r="B329" s="79"/>
      <c r="C329" s="79"/>
      <c r="D329" s="79"/>
      <c r="E329" s="546"/>
      <c r="F329" s="79"/>
      <c r="G329" s="79"/>
      <c r="H329" s="79"/>
      <c r="I329" s="546"/>
      <c r="J329" s="79"/>
      <c r="K329" s="79"/>
      <c r="L329" s="79"/>
      <c r="M329" s="546"/>
      <c r="N329" s="79"/>
      <c r="O329" s="79"/>
      <c r="P329" s="79"/>
      <c r="Q329" s="546"/>
      <c r="R329" s="79"/>
      <c r="S329" s="79"/>
      <c r="T329" s="79"/>
      <c r="U329" s="546"/>
      <c r="V329" s="79"/>
      <c r="W329" s="79"/>
      <c r="X329" s="79"/>
      <c r="Y329" s="546"/>
      <c r="Z329" s="79"/>
      <c r="AA329" s="79"/>
      <c r="AB329" s="79"/>
      <c r="AC329" s="546"/>
      <c r="AD329" s="79"/>
      <c r="AE329" s="79"/>
      <c r="AF329" s="79"/>
      <c r="AG329" s="546"/>
      <c r="AK329" s="470"/>
      <c r="AO329" s="470"/>
      <c r="AS329" s="470"/>
      <c r="AW329" s="470"/>
      <c r="BA329" s="470"/>
      <c r="BE329" s="470"/>
      <c r="BI329" s="470"/>
      <c r="BM329" s="470"/>
      <c r="BQ329" s="470"/>
      <c r="BU329" s="470"/>
      <c r="BY329" s="470"/>
      <c r="CC329" s="470"/>
      <c r="CG329" s="470"/>
      <c r="CK329" s="470"/>
      <c r="CO329" s="470"/>
      <c r="CP329" s="6"/>
      <c r="CQ329" s="6"/>
      <c r="CS329" s="484"/>
      <c r="CT329" s="6"/>
      <c r="CU329" s="6"/>
      <c r="CV329" s="6"/>
      <c r="CW329" s="484"/>
      <c r="CX329" s="6"/>
      <c r="CY329" s="6"/>
      <c r="CZ329" s="6"/>
      <c r="DA329" s="484"/>
      <c r="DB329" s="6"/>
      <c r="DC329" s="6"/>
      <c r="DD329" s="7"/>
      <c r="DE329" s="484"/>
      <c r="DF329" s="7"/>
      <c r="DG329" s="7"/>
      <c r="DH329" s="7"/>
      <c r="DI329" s="484"/>
      <c r="DJ329" s="1671"/>
      <c r="DK329" s="7"/>
      <c r="DL329" s="7"/>
      <c r="DM329" s="484"/>
      <c r="DN329" s="671"/>
      <c r="DO329" s="484"/>
      <c r="DP329" s="6"/>
      <c r="DQ329" s="6"/>
      <c r="DR329" s="6"/>
      <c r="DS329" s="6"/>
      <c r="DT329" s="6"/>
      <c r="DU329" s="6"/>
      <c r="DV329" s="6"/>
      <c r="DW329" s="6"/>
      <c r="DX329" s="6"/>
      <c r="DY329" s="6"/>
      <c r="DZ329" s="6"/>
      <c r="EA329" s="6"/>
      <c r="EB329" s="6"/>
      <c r="EC329" s="6"/>
      <c r="ED329" s="6"/>
      <c r="EX329" s="6"/>
      <c r="EY329" s="6"/>
      <c r="EZ329" s="1734"/>
      <c r="FI329" s="671"/>
      <c r="FJ329"/>
      <c r="FK329"/>
      <c r="FL329"/>
      <c r="FM329"/>
      <c r="FN329"/>
      <c r="FO329"/>
      <c r="FP329" s="3"/>
      <c r="FS329" s="7"/>
      <c r="FT329" s="7"/>
      <c r="FU329"/>
      <c r="FV329"/>
      <c r="FW329" s="7"/>
      <c r="FX329" s="7"/>
      <c r="FY329" s="7"/>
      <c r="FZ329"/>
      <c r="GA329"/>
      <c r="GB329"/>
      <c r="GC329"/>
      <c r="GD329"/>
      <c r="GE329"/>
      <c r="GF329"/>
      <c r="GG329"/>
      <c r="GH329"/>
      <c r="GI329"/>
      <c r="GJ329"/>
      <c r="GK329"/>
      <c r="GL329"/>
      <c r="GM329"/>
      <c r="GN329"/>
      <c r="GO329"/>
      <c r="GP329"/>
      <c r="GQ329"/>
      <c r="GR329"/>
      <c r="GS329"/>
      <c r="GT329"/>
      <c r="GU329"/>
      <c r="GV329"/>
      <c r="GW329"/>
      <c r="GX329"/>
      <c r="GY329"/>
      <c r="GZ329"/>
      <c r="HA329"/>
      <c r="HB329"/>
      <c r="HC329"/>
      <c r="HD329"/>
      <c r="HE329"/>
      <c r="HF329"/>
      <c r="HG329"/>
      <c r="HH329"/>
      <c r="HI329"/>
      <c r="HJ329"/>
      <c r="HK329"/>
      <c r="HL329"/>
      <c r="HM329"/>
      <c r="HN329"/>
      <c r="HO329"/>
      <c r="HP329"/>
      <c r="HQ329"/>
      <c r="HR329"/>
      <c r="HS329"/>
      <c r="HT329"/>
      <c r="HU329"/>
      <c r="HV329"/>
      <c r="HW329"/>
      <c r="HX329"/>
      <c r="HY329"/>
      <c r="HZ329"/>
      <c r="IA329"/>
      <c r="IB329"/>
      <c r="IC329"/>
      <c r="ID329"/>
      <c r="IE329"/>
      <c r="IF329"/>
      <c r="IG329"/>
      <c r="IH329"/>
      <c r="II329"/>
      <c r="IJ329"/>
      <c r="IK329"/>
      <c r="IL329"/>
      <c r="IM329"/>
      <c r="IN329"/>
      <c r="IO329"/>
      <c r="IP329"/>
      <c r="IQ329"/>
      <c r="IR329"/>
      <c r="IS329"/>
      <c r="IT329"/>
      <c r="IU329"/>
      <c r="IV329"/>
      <c r="IW329"/>
      <c r="IX329"/>
      <c r="IY329"/>
      <c r="IZ329"/>
    </row>
    <row r="330" spans="1:260" s="4" customFormat="1" hidden="1" outlineLevel="1" x14ac:dyDescent="0.2">
      <c r="A330" s="4" t="s">
        <v>86</v>
      </c>
      <c r="E330" s="470"/>
      <c r="I330" s="470"/>
      <c r="M330" s="470"/>
      <c r="Q330" s="470"/>
      <c r="U330" s="470"/>
      <c r="Y330" s="470"/>
      <c r="AC330" s="470"/>
      <c r="AG330" s="470"/>
      <c r="AK330" s="470"/>
      <c r="AO330" s="470"/>
      <c r="AS330" s="470"/>
      <c r="AW330" s="470"/>
      <c r="BA330" s="470"/>
      <c r="BB330" s="6"/>
      <c r="BC330" s="6"/>
      <c r="BE330" s="484"/>
      <c r="BF330" s="789">
        <f>BF359*BF$354</f>
        <v>476.97</v>
      </c>
      <c r="BG330" s="789">
        <f>BG359*BG$354</f>
        <v>530.6</v>
      </c>
      <c r="BH330" s="789">
        <f>BH359*BH$354</f>
        <v>637.14</v>
      </c>
      <c r="BI330" s="875">
        <f>EL330-SUM(BF330:BH330)</f>
        <v>966.34000000000015</v>
      </c>
      <c r="BJ330" s="789">
        <f>BJ359*BJ$354</f>
        <v>584.06000000000006</v>
      </c>
      <c r="BK330" s="789">
        <f>BK359*BK$354</f>
        <v>600.48</v>
      </c>
      <c r="BL330" s="789">
        <f>BL359*BL$354</f>
        <v>594.72</v>
      </c>
      <c r="BM330" s="875">
        <f>EM330-SUM(BJ330:BL330)</f>
        <v>806.44000000000028</v>
      </c>
      <c r="BN330" s="789">
        <f t="shared" ref="BN330:CS330" si="1256">BN359*BN$354</f>
        <v>462.59999999999997</v>
      </c>
      <c r="BO330" s="789">
        <f t="shared" si="1256"/>
        <v>522.12</v>
      </c>
      <c r="BP330" s="789">
        <f t="shared" si="1256"/>
        <v>556.74</v>
      </c>
      <c r="BQ330" s="875">
        <f t="shared" si="1256"/>
        <v>912.87</v>
      </c>
      <c r="BR330" s="789">
        <f t="shared" si="1256"/>
        <v>544.16</v>
      </c>
      <c r="BS330" s="789">
        <f t="shared" si="1256"/>
        <v>551.57000000000005</v>
      </c>
      <c r="BT330" s="789">
        <f t="shared" si="1256"/>
        <v>604.20000000000005</v>
      </c>
      <c r="BU330" s="875">
        <f t="shared" si="1256"/>
        <v>951.97</v>
      </c>
      <c r="BV330" s="789">
        <f t="shared" si="1256"/>
        <v>554.57999999999993</v>
      </c>
      <c r="BW330" s="789">
        <f t="shared" si="1256"/>
        <v>576.84</v>
      </c>
      <c r="BX330" s="789">
        <f t="shared" si="1256"/>
        <v>610.66</v>
      </c>
      <c r="BY330" s="875">
        <f t="shared" si="1256"/>
        <v>967.19999999999993</v>
      </c>
      <c r="BZ330" s="789">
        <f t="shared" si="1256"/>
        <v>534.09</v>
      </c>
      <c r="CA330" s="789">
        <f t="shared" si="1256"/>
        <v>543.4</v>
      </c>
      <c r="CB330" s="789">
        <f t="shared" si="1256"/>
        <v>517.31000000000006</v>
      </c>
      <c r="CC330" s="875">
        <f t="shared" si="1256"/>
        <v>980.64</v>
      </c>
      <c r="CD330" s="789">
        <f t="shared" si="1256"/>
        <v>535.86</v>
      </c>
      <c r="CE330" s="789">
        <f t="shared" si="1256"/>
        <v>547.01</v>
      </c>
      <c r="CF330" s="789">
        <f t="shared" si="1256"/>
        <v>587.1</v>
      </c>
      <c r="CG330" s="875">
        <f t="shared" si="1256"/>
        <v>981.12</v>
      </c>
      <c r="CH330" s="789">
        <f t="shared" si="1256"/>
        <v>451.65600000000001</v>
      </c>
      <c r="CI330" s="789">
        <f t="shared" si="1256"/>
        <v>521.36</v>
      </c>
      <c r="CJ330" s="789">
        <f t="shared" si="1256"/>
        <v>492.8</v>
      </c>
      <c r="CK330" s="875">
        <f t="shared" si="1256"/>
        <v>832.2</v>
      </c>
      <c r="CL330" s="789">
        <f t="shared" si="1256"/>
        <v>496.32</v>
      </c>
      <c r="CM330" s="789">
        <f t="shared" si="1256"/>
        <v>460.79999999999995</v>
      </c>
      <c r="CN330" s="789">
        <f t="shared" si="1256"/>
        <v>495.32</v>
      </c>
      <c r="CO330" s="875">
        <f t="shared" si="1256"/>
        <v>840.69999999999993</v>
      </c>
      <c r="CP330" s="789">
        <f t="shared" si="1256"/>
        <v>294.59999999999997</v>
      </c>
      <c r="CQ330" s="789">
        <f t="shared" si="1256"/>
        <v>268.52000000000004</v>
      </c>
      <c r="CR330" s="789">
        <f t="shared" si="1256"/>
        <v>289.12</v>
      </c>
      <c r="CS330" s="875">
        <f t="shared" si="1256"/>
        <v>535.37</v>
      </c>
      <c r="CT330" s="789">
        <f t="shared" ref="CT330:CY330" si="1257">CT359*CT$354</f>
        <v>231.66000000000003</v>
      </c>
      <c r="CU330" s="789">
        <f t="shared" si="1257"/>
        <v>227.24</v>
      </c>
      <c r="CV330" s="789">
        <f t="shared" si="1257"/>
        <v>260</v>
      </c>
      <c r="CW330" s="875">
        <f t="shared" si="1257"/>
        <v>498.96000000000004</v>
      </c>
      <c r="CX330" s="789">
        <f t="shared" si="1257"/>
        <v>200.4</v>
      </c>
      <c r="CY330" s="789">
        <f t="shared" si="1257"/>
        <v>201.5</v>
      </c>
      <c r="CZ330" s="789">
        <f>CZ359*CZ$325</f>
        <v>196.83</v>
      </c>
      <c r="DA330" s="875">
        <f>DA359*DA$325</f>
        <v>390.59999999999997</v>
      </c>
      <c r="DB330" s="789">
        <f>DB359*DB$325</f>
        <v>178.05999999999997</v>
      </c>
      <c r="DC330" s="789">
        <f t="shared" ref="DC330:DI330" si="1258">DC359*DC$354</f>
        <v>186.76</v>
      </c>
      <c r="DD330" s="880">
        <f t="shared" si="1258"/>
        <v>210.84000000000003</v>
      </c>
      <c r="DE330" s="875">
        <f t="shared" si="1258"/>
        <v>400.4</v>
      </c>
      <c r="DF330" s="789">
        <f t="shared" si="1258"/>
        <v>178.64</v>
      </c>
      <c r="DG330" s="789">
        <f t="shared" ref="DG330" si="1259">DG359*DG$354</f>
        <v>207.08</v>
      </c>
      <c r="DH330" s="789">
        <f t="shared" si="1258"/>
        <v>223.83</v>
      </c>
      <c r="DI330" s="875">
        <f t="shared" si="1258"/>
        <v>481.59999999999997</v>
      </c>
      <c r="DJ330" s="1675">
        <f>DJ359*DJ$354</f>
        <v>219.50326829268295</v>
      </c>
      <c r="DK330" s="880">
        <f t="shared" ref="DK330" si="1260">DK359*DK$354</f>
        <v>234.25289072847679</v>
      </c>
      <c r="DL330" s="880">
        <f t="shared" ref="DL330:DM330" si="1261">DL359*DL$354</f>
        <v>293.05149999999998</v>
      </c>
      <c r="DM330" s="875">
        <f t="shared" si="1261"/>
        <v>493.64</v>
      </c>
      <c r="DN330" s="588"/>
      <c r="DO330" s="565"/>
      <c r="DP330" s="177"/>
      <c r="DQ330" s="177"/>
      <c r="DR330" s="177"/>
      <c r="DS330" s="177"/>
      <c r="DT330" s="177"/>
      <c r="DU330" s="177"/>
      <c r="DV330" s="177"/>
      <c r="DW330" s="177"/>
      <c r="DX330" s="177"/>
      <c r="DY330" s="177"/>
      <c r="DZ330" s="177"/>
      <c r="EA330" s="177"/>
      <c r="EB330" s="177"/>
      <c r="EC330" s="177"/>
      <c r="ED330" s="177"/>
      <c r="EE330" s="296"/>
      <c r="EJ330" s="19"/>
      <c r="EK330" s="88"/>
      <c r="EL330" s="789">
        <f>EL359*EL$354</f>
        <v>2611.0500000000002</v>
      </c>
      <c r="EM330" s="789">
        <f>EM359*EM$354</f>
        <v>2585.7000000000003</v>
      </c>
      <c r="EN330" s="789">
        <f>SUM(BN330:BQ330)</f>
        <v>2454.33</v>
      </c>
      <c r="EO330" s="789">
        <f>SUM(BR330:BU330)</f>
        <v>2651.9</v>
      </c>
      <c r="EP330" s="789">
        <f>SUM(BV330:BY330)</f>
        <v>2709.2799999999997</v>
      </c>
      <c r="EQ330" s="789">
        <f>SUM(BZ330:CC330)</f>
        <v>2575.44</v>
      </c>
      <c r="ER330" s="789">
        <f>SUM(CD330:CG330)</f>
        <v>2651.0899999999997</v>
      </c>
      <c r="ES330" s="789">
        <f>SUM(CH330:CK330)</f>
        <v>2298.0160000000001</v>
      </c>
      <c r="ET330" s="789">
        <f>SUM(CL330:CO330)</f>
        <v>2293.14</v>
      </c>
      <c r="EU330" s="789">
        <f>SUM(CP330:CS330)</f>
        <v>1387.6100000000001</v>
      </c>
      <c r="EV330" s="789">
        <f>SUM(CT330:CW330)</f>
        <v>1217.8600000000001</v>
      </c>
      <c r="EW330" s="789">
        <f>SUM(CX330:DA330)</f>
        <v>989.32999999999993</v>
      </c>
      <c r="EX330" s="789">
        <f>SUM(DB330:DE330)</f>
        <v>976.06</v>
      </c>
      <c r="EY330" s="789">
        <f>SUM(DF330:DI330)</f>
        <v>1091.1500000000001</v>
      </c>
      <c r="EZ330" s="1737">
        <f>SUM(DJ330:DM330)</f>
        <v>1240.4476590211598</v>
      </c>
      <c r="FA330" s="789">
        <f t="shared" ref="FA330:FH330" si="1262">EZ330*(1+FA331)</f>
        <v>1240.4476590211598</v>
      </c>
      <c r="FB330" s="789">
        <f t="shared" si="1262"/>
        <v>1240.4476590211598</v>
      </c>
      <c r="FC330" s="789">
        <f t="shared" si="1262"/>
        <v>1240.4476590211598</v>
      </c>
      <c r="FD330" s="789">
        <f t="shared" si="1262"/>
        <v>1240.4476590211598</v>
      </c>
      <c r="FE330" s="789">
        <f t="shared" si="1262"/>
        <v>1240.4476590211598</v>
      </c>
      <c r="FF330" s="789">
        <f t="shared" si="1262"/>
        <v>1240.4476590211598</v>
      </c>
      <c r="FG330" s="789">
        <f t="shared" si="1262"/>
        <v>1240.4476590211598</v>
      </c>
      <c r="FH330" s="789">
        <f t="shared" si="1262"/>
        <v>1240.4476590211598</v>
      </c>
      <c r="FI330" s="1194"/>
      <c r="FJ330"/>
      <c r="FK330"/>
      <c r="FL330"/>
      <c r="FM330"/>
      <c r="FN330"/>
      <c r="FO330"/>
      <c r="FP330" s="3"/>
      <c r="FS330" s="880"/>
      <c r="FT330" s="880"/>
      <c r="FU330"/>
      <c r="FV330"/>
      <c r="FW330" s="880"/>
      <c r="FX330" s="880"/>
      <c r="FY330" s="880"/>
      <c r="FZ330"/>
      <c r="GA330"/>
      <c r="GB330"/>
      <c r="GC330"/>
      <c r="GD330"/>
      <c r="GE330"/>
      <c r="GF330"/>
      <c r="GG330"/>
      <c r="GH330"/>
      <c r="GI330"/>
      <c r="GJ330"/>
      <c r="GK330"/>
      <c r="GL330"/>
      <c r="GM330"/>
      <c r="GN330"/>
      <c r="GO330"/>
      <c r="GP330"/>
      <c r="GQ330"/>
      <c r="GR330"/>
      <c r="GS330"/>
      <c r="GT330"/>
      <c r="GU330"/>
      <c r="GV330"/>
      <c r="GW330"/>
      <c r="GX330"/>
      <c r="GY330"/>
      <c r="GZ330"/>
      <c r="HA330"/>
      <c r="HB330"/>
      <c r="HC330"/>
      <c r="HD330"/>
      <c r="HE330"/>
      <c r="HF330"/>
      <c r="HG330"/>
      <c r="HH330"/>
      <c r="HI330"/>
      <c r="HJ330"/>
      <c r="HK330"/>
      <c r="HL330"/>
      <c r="HM330"/>
      <c r="HN330"/>
      <c r="HO330"/>
      <c r="HP330"/>
      <c r="HQ330"/>
      <c r="HR330"/>
      <c r="HS330"/>
      <c r="HT330"/>
      <c r="HU330"/>
      <c r="HV330"/>
      <c r="HW330"/>
      <c r="HX330"/>
      <c r="HY330"/>
      <c r="HZ330"/>
      <c r="IA330"/>
      <c r="IB330"/>
      <c r="IC330"/>
      <c r="ID330"/>
      <c r="IE330"/>
      <c r="IF330"/>
      <c r="IG330"/>
      <c r="IH330"/>
      <c r="II330"/>
      <c r="IJ330"/>
      <c r="IK330"/>
      <c r="IL330"/>
      <c r="IM330"/>
      <c r="IN330"/>
      <c r="IO330"/>
      <c r="IP330"/>
      <c r="IQ330"/>
      <c r="IR330"/>
      <c r="IS330"/>
      <c r="IT330"/>
      <c r="IU330"/>
      <c r="IV330"/>
      <c r="IW330"/>
      <c r="IX330"/>
      <c r="IY330"/>
      <c r="IZ330"/>
    </row>
    <row r="331" spans="1:260" s="4" customFormat="1" hidden="1" outlineLevel="1" x14ac:dyDescent="0.2">
      <c r="A331" s="4" t="s">
        <v>482</v>
      </c>
      <c r="E331" s="470"/>
      <c r="I331" s="470"/>
      <c r="M331" s="470"/>
      <c r="Q331" s="470"/>
      <c r="U331" s="470"/>
      <c r="Y331" s="470"/>
      <c r="AC331" s="470"/>
      <c r="AG331" s="470"/>
      <c r="AK331" s="470"/>
      <c r="AO331" s="470"/>
      <c r="AS331" s="470"/>
      <c r="AW331" s="470"/>
      <c r="BA331" s="470"/>
      <c r="BB331" s="6"/>
      <c r="BC331" s="6"/>
      <c r="BE331" s="484"/>
      <c r="BF331" s="6"/>
      <c r="BG331" s="6"/>
      <c r="BH331" s="6"/>
      <c r="BI331" s="484"/>
      <c r="BJ331" s="77">
        <f t="shared" ref="BJ331:BY331" si="1263">BJ330/BF330-1</f>
        <v>0.22452145837264403</v>
      </c>
      <c r="BK331" s="77">
        <f t="shared" si="1263"/>
        <v>0.13169996230682246</v>
      </c>
      <c r="BL331" s="77">
        <f t="shared" si="1263"/>
        <v>-6.6578773895846988E-2</v>
      </c>
      <c r="BM331" s="487">
        <f t="shared" si="1263"/>
        <v>-0.16546971045387737</v>
      </c>
      <c r="BN331" s="77">
        <f t="shared" si="1263"/>
        <v>-0.20795808649796266</v>
      </c>
      <c r="BO331" s="77">
        <f t="shared" si="1263"/>
        <v>-0.13049560351718625</v>
      </c>
      <c r="BP331" s="77">
        <f t="shared" si="1263"/>
        <v>-6.3861985472154936E-2</v>
      </c>
      <c r="BQ331" s="487">
        <f t="shared" si="1263"/>
        <v>0.131975100441446</v>
      </c>
      <c r="BR331" s="77">
        <f t="shared" si="1263"/>
        <v>0.17630782533506273</v>
      </c>
      <c r="BS331" s="77">
        <f t="shared" si="1263"/>
        <v>5.640465793304239E-2</v>
      </c>
      <c r="BT331" s="77">
        <f t="shared" si="1263"/>
        <v>8.5246254984373326E-2</v>
      </c>
      <c r="BU331" s="487">
        <f t="shared" si="1263"/>
        <v>4.2831947593852338E-2</v>
      </c>
      <c r="BV331" s="77">
        <f t="shared" si="1263"/>
        <v>1.9148779770655544E-2</v>
      </c>
      <c r="BW331" s="77">
        <f t="shared" si="1263"/>
        <v>4.5814674474681238E-2</v>
      </c>
      <c r="BX331" s="77">
        <f t="shared" si="1263"/>
        <v>1.0691823899370956E-2</v>
      </c>
      <c r="BY331" s="487">
        <f t="shared" si="1263"/>
        <v>1.5998403311028531E-2</v>
      </c>
      <c r="BZ331" s="15">
        <f t="shared" ref="BZ331:CC332" si="1264">BZ330/BN330-1</f>
        <v>0.1545395590142673</v>
      </c>
      <c r="CA331" s="15">
        <f t="shared" si="1264"/>
        <v>4.0756914119359555E-2</v>
      </c>
      <c r="CB331" s="15">
        <f t="shared" si="1264"/>
        <v>-7.0823005352588231E-2</v>
      </c>
      <c r="CC331" s="518">
        <f t="shared" si="1264"/>
        <v>7.423839100857732E-2</v>
      </c>
      <c r="CD331" s="77">
        <f t="shared" ref="CD331:CK331" si="1265">CD330/BZ330-1</f>
        <v>3.3140481941245081E-3</v>
      </c>
      <c r="CE331" s="77">
        <f t="shared" si="1265"/>
        <v>6.6433566433565794E-3</v>
      </c>
      <c r="CF331" s="77">
        <f t="shared" si="1265"/>
        <v>0.13490943534824362</v>
      </c>
      <c r="CG331" s="487">
        <f t="shared" si="1265"/>
        <v>4.8947626040130032E-4</v>
      </c>
      <c r="CH331" s="77">
        <f t="shared" si="1265"/>
        <v>-0.15713805844810214</v>
      </c>
      <c r="CI331" s="77">
        <f t="shared" si="1265"/>
        <v>-4.6891281695032982E-2</v>
      </c>
      <c r="CJ331" s="77">
        <f t="shared" si="1265"/>
        <v>-0.1606199965934253</v>
      </c>
      <c r="CK331" s="487">
        <f t="shared" si="1265"/>
        <v>-0.15178571428571419</v>
      </c>
      <c r="CL331" s="77">
        <f>CL330/CD330-1</f>
        <v>-7.3787929683126197E-2</v>
      </c>
      <c r="CM331" s="77">
        <f>CM330/CE330-1</f>
        <v>-0.15760223761905634</v>
      </c>
      <c r="CN331" s="77">
        <f>CN330/CF330-1</f>
        <v>-0.15632771248509625</v>
      </c>
      <c r="CO331" s="487">
        <f>CO330/CG330-1</f>
        <v>-0.14312214611872154</v>
      </c>
      <c r="CP331" s="77">
        <f>CP330/CL330-1</f>
        <v>-0.40643133462282399</v>
      </c>
      <c r="CQ331" s="77">
        <f>CQ330/CI330-1</f>
        <v>-0.48496240601503748</v>
      </c>
      <c r="CR331" s="77">
        <f>CR330/CJ330-1</f>
        <v>-0.4133116883116883</v>
      </c>
      <c r="CS331" s="487">
        <f>CS330/CK330-1</f>
        <v>-0.35668108627733719</v>
      </c>
      <c r="CT331" s="77">
        <f t="shared" ref="CT331:DD331" si="1266">CT330/CP330-1</f>
        <v>-0.21364562118126251</v>
      </c>
      <c r="CU331" s="77">
        <f t="shared" si="1266"/>
        <v>-0.15373156561894841</v>
      </c>
      <c r="CV331" s="77">
        <f t="shared" si="1266"/>
        <v>-0.10071942446043169</v>
      </c>
      <c r="CW331" s="487">
        <f t="shared" si="1266"/>
        <v>-6.8009040476679661E-2</v>
      </c>
      <c r="CX331" s="77">
        <f t="shared" si="1266"/>
        <v>-0.13493913493913501</v>
      </c>
      <c r="CY331" s="77">
        <f t="shared" si="1266"/>
        <v>-0.11327231121281467</v>
      </c>
      <c r="CZ331" s="77">
        <f t="shared" si="1266"/>
        <v>-0.24296153846153845</v>
      </c>
      <c r="DA331" s="487">
        <f t="shared" si="1266"/>
        <v>-0.21717171717171735</v>
      </c>
      <c r="DB331" s="77">
        <f t="shared" si="1266"/>
        <v>-0.11147704590818375</v>
      </c>
      <c r="DC331" s="77">
        <f t="shared" si="1266"/>
        <v>-7.315136476426809E-2</v>
      </c>
      <c r="DD331" s="77">
        <f t="shared" si="1266"/>
        <v>7.1178174058832644E-2</v>
      </c>
      <c r="DE331" s="487">
        <v>8.8999999999999996E-2</v>
      </c>
      <c r="DF331" s="77">
        <v>8.9999999999999993E-3</v>
      </c>
      <c r="DG331" s="70">
        <v>7.2999999999999995E-2</v>
      </c>
      <c r="DH331" s="70">
        <v>4.4999999999999998E-2</v>
      </c>
      <c r="DI331" s="487">
        <v>0.10199999999999999</v>
      </c>
      <c r="DJ331" s="2759">
        <v>0.02</v>
      </c>
      <c r="DK331" s="2382">
        <v>0.02</v>
      </c>
      <c r="DL331" s="2382">
        <v>0.02</v>
      </c>
      <c r="DM331" s="2428">
        <v>0.02</v>
      </c>
      <c r="DN331" s="589"/>
      <c r="DO331" s="525"/>
      <c r="DP331" s="89"/>
      <c r="DQ331" s="89"/>
      <c r="DR331" s="89"/>
      <c r="DS331" s="89"/>
      <c r="DT331" s="89"/>
      <c r="DU331" s="89"/>
      <c r="DV331" s="89"/>
      <c r="DW331" s="89"/>
      <c r="DX331" s="89"/>
      <c r="DY331" s="89"/>
      <c r="DZ331" s="89"/>
      <c r="EA331" s="89"/>
      <c r="EB331" s="89"/>
      <c r="EC331" s="89"/>
      <c r="ED331" s="89"/>
      <c r="EE331" s="15"/>
      <c r="EJ331" s="19"/>
      <c r="EK331" s="88"/>
      <c r="EL331" s="88"/>
      <c r="EM331" s="77">
        <f>EM330/EL330-1</f>
        <v>-9.7087378640776656E-3</v>
      </c>
      <c r="EN331" s="77">
        <f>EN330/EM330-1</f>
        <v>-5.0806358046177169E-2</v>
      </c>
      <c r="EO331" s="77">
        <f>EO330/EN330-1</f>
        <v>8.0498547465092329E-2</v>
      </c>
      <c r="EP331" s="77">
        <f>EP330/EO330-1</f>
        <v>2.1637316640898741E-2</v>
      </c>
      <c r="EQ331" s="15">
        <f>EQ330/EN330-1</f>
        <v>4.9345442544401097E-2</v>
      </c>
      <c r="ER331" s="77">
        <f>ER330/EQ330-1</f>
        <v>2.9373621594756427E-2</v>
      </c>
      <c r="ES331" s="77">
        <f>ES330/ER330-1</f>
        <v>-0.13318069171548297</v>
      </c>
      <c r="ET331" s="77">
        <f>ET330/ER330-1</f>
        <v>-0.13501993519646627</v>
      </c>
      <c r="EU331" s="77">
        <f t="shared" ref="EU331:EZ331" si="1267">EU330/ET330-1</f>
        <v>-0.3948864875236574</v>
      </c>
      <c r="EV331" s="77">
        <f t="shared" si="1267"/>
        <v>-0.12233264389850174</v>
      </c>
      <c r="EW331" s="77">
        <f t="shared" si="1267"/>
        <v>-0.1876488266303189</v>
      </c>
      <c r="EX331" s="77">
        <f t="shared" si="1267"/>
        <v>-1.341311796872624E-2</v>
      </c>
      <c r="EY331" s="77">
        <f t="shared" si="1267"/>
        <v>0.11791283322746571</v>
      </c>
      <c r="EZ331" s="1680">
        <f t="shared" si="1267"/>
        <v>0.13682597170064592</v>
      </c>
      <c r="FA331" s="1610">
        <v>0</v>
      </c>
      <c r="FB331" s="1610">
        <v>0</v>
      </c>
      <c r="FC331" s="1610">
        <v>0</v>
      </c>
      <c r="FD331" s="1610">
        <v>0</v>
      </c>
      <c r="FE331" s="1610">
        <v>0</v>
      </c>
      <c r="FF331" s="1610">
        <v>0</v>
      </c>
      <c r="FG331" s="1610">
        <v>0</v>
      </c>
      <c r="FH331" s="1610">
        <v>0</v>
      </c>
      <c r="FI331" s="589"/>
      <c r="FJ331"/>
      <c r="FK331"/>
      <c r="FL331"/>
      <c r="FM331"/>
      <c r="FN331"/>
      <c r="FO331"/>
      <c r="FP331" s="3"/>
      <c r="FS331" s="170"/>
      <c r="FT331" s="170"/>
      <c r="FU331"/>
      <c r="FV331"/>
      <c r="FW331" s="1606"/>
      <c r="FX331" s="1606"/>
      <c r="FY331" s="1606"/>
      <c r="FZ331"/>
      <c r="GA331"/>
      <c r="GB331"/>
      <c r="GC331"/>
      <c r="GD331"/>
      <c r="GE331"/>
      <c r="GF331"/>
      <c r="GG331"/>
      <c r="GH331"/>
      <c r="GI331"/>
      <c r="GJ331"/>
      <c r="GK331"/>
      <c r="GL331"/>
      <c r="GM331"/>
      <c r="GN331"/>
      <c r="GO331"/>
      <c r="GP331"/>
      <c r="GQ331"/>
      <c r="GR331"/>
      <c r="GS331"/>
      <c r="GT331"/>
      <c r="GU331"/>
      <c r="GV331"/>
      <c r="GW331"/>
      <c r="GX331"/>
      <c r="GY331"/>
      <c r="GZ331"/>
      <c r="HA331"/>
      <c r="HB331"/>
      <c r="HC331"/>
      <c r="HD331"/>
      <c r="HE331"/>
      <c r="HF331"/>
      <c r="HG331"/>
      <c r="HH331"/>
      <c r="HI331"/>
      <c r="HJ331"/>
      <c r="HK331"/>
      <c r="HL331"/>
      <c r="HM331"/>
      <c r="HN331"/>
      <c r="HO331"/>
      <c r="HP331"/>
      <c r="HQ331"/>
      <c r="HR331"/>
      <c r="HS331"/>
      <c r="HT331"/>
      <c r="HU331"/>
      <c r="HV331"/>
      <c r="HW331"/>
      <c r="HX331"/>
      <c r="HY331"/>
      <c r="HZ331"/>
      <c r="IA331"/>
      <c r="IB331"/>
      <c r="IC331"/>
      <c r="ID331"/>
      <c r="IE331"/>
      <c r="IF331"/>
      <c r="IG331"/>
      <c r="IH331"/>
      <c r="II331"/>
      <c r="IJ331"/>
      <c r="IK331"/>
      <c r="IL331"/>
      <c r="IM331"/>
      <c r="IN331"/>
      <c r="IO331"/>
      <c r="IP331"/>
      <c r="IQ331"/>
      <c r="IR331"/>
      <c r="IS331"/>
      <c r="IT331"/>
      <c r="IU331"/>
      <c r="IV331"/>
      <c r="IW331"/>
      <c r="IX331"/>
      <c r="IY331"/>
      <c r="IZ331"/>
    </row>
    <row r="332" spans="1:260" s="4" customFormat="1" hidden="1" outlineLevel="1" x14ac:dyDescent="0.2">
      <c r="A332" s="4" t="s">
        <v>4</v>
      </c>
      <c r="E332" s="470"/>
      <c r="I332" s="470"/>
      <c r="M332" s="470"/>
      <c r="Q332" s="470"/>
      <c r="U332" s="470"/>
      <c r="Y332" s="470"/>
      <c r="AC332" s="470"/>
      <c r="AG332" s="470"/>
      <c r="AK332" s="470"/>
      <c r="AO332" s="470"/>
      <c r="AS332" s="470"/>
      <c r="AW332" s="470"/>
      <c r="BA332" s="470"/>
      <c r="BB332" s="6"/>
      <c r="BC332" s="6"/>
      <c r="BE332" s="484"/>
      <c r="BF332" s="6"/>
      <c r="BG332" s="6"/>
      <c r="BH332" s="6"/>
      <c r="BI332" s="484"/>
      <c r="BJ332" s="77"/>
      <c r="BK332" s="77"/>
      <c r="BL332" s="77"/>
      <c r="BM332" s="487"/>
      <c r="BN332" s="77">
        <f t="shared" ref="BN332:BY332" si="1268">BN331/BJ331-1</f>
        <v>-1.9262281120266431</v>
      </c>
      <c r="BO332" s="77">
        <f t="shared" si="1268"/>
        <v>-1.9908552837180742</v>
      </c>
      <c r="BP332" s="77">
        <f t="shared" si="1268"/>
        <v>-4.0805624145949015E-2</v>
      </c>
      <c r="BQ332" s="487">
        <f t="shared" si="1268"/>
        <v>-1.7975786026303129</v>
      </c>
      <c r="BR332" s="77">
        <f t="shared" si="1268"/>
        <v>-1.8478046144014217</v>
      </c>
      <c r="BS332" s="77">
        <f t="shared" si="1268"/>
        <v>-1.4322341627824566</v>
      </c>
      <c r="BT332" s="77">
        <f t="shared" si="1268"/>
        <v>-2.3348513102766333</v>
      </c>
      <c r="BU332" s="487">
        <f t="shared" si="1268"/>
        <v>-0.67545432850149045</v>
      </c>
      <c r="BV332" s="77">
        <f t="shared" si="1268"/>
        <v>-0.89139007452298613</v>
      </c>
      <c r="BW332" s="77">
        <f t="shared" si="1268"/>
        <v>-0.18775015834565389</v>
      </c>
      <c r="BX332" s="77">
        <f t="shared" si="1268"/>
        <v>-0.87457720105908587</v>
      </c>
      <c r="BY332" s="487">
        <f t="shared" si="1268"/>
        <v>-0.62648433681486904</v>
      </c>
      <c r="BZ332" s="15">
        <f t="shared" si="1264"/>
        <v>-1.7431283948449936</v>
      </c>
      <c r="CA332" s="15">
        <f t="shared" si="1264"/>
        <v>-1.3123240402040968</v>
      </c>
      <c r="CB332" s="15">
        <f t="shared" si="1264"/>
        <v>0.10900099376754313</v>
      </c>
      <c r="CC332" s="518">
        <f t="shared" si="1264"/>
        <v>-0.43748183740526869</v>
      </c>
      <c r="CD332" s="77">
        <f t="shared" ref="CD332:CK332" si="1269">AVERAGE(CD331,BZ331)</f>
        <v>7.8926803604195905E-2</v>
      </c>
      <c r="CE332" s="77">
        <f t="shared" si="1269"/>
        <v>2.3700135381358067E-2</v>
      </c>
      <c r="CF332" s="77">
        <f t="shared" si="1269"/>
        <v>3.2043214997827696E-2</v>
      </c>
      <c r="CG332" s="487">
        <f t="shared" si="1269"/>
        <v>3.736393363448931E-2</v>
      </c>
      <c r="CH332" s="77">
        <f t="shared" si="1269"/>
        <v>-7.6912005126988814E-2</v>
      </c>
      <c r="CI332" s="77">
        <f t="shared" si="1269"/>
        <v>-2.0123962525838202E-2</v>
      </c>
      <c r="CJ332" s="77">
        <f t="shared" si="1269"/>
        <v>-1.2855280622590837E-2</v>
      </c>
      <c r="CK332" s="487">
        <f t="shared" si="1269"/>
        <v>-7.5648119012656445E-2</v>
      </c>
      <c r="CL332" s="77">
        <f>AVERAGE(CL331,CD331)</f>
        <v>-3.5236940744500844E-2</v>
      </c>
      <c r="CM332" s="77">
        <f>AVERAGE(CM331,CE331)</f>
        <v>-7.547944048784988E-2</v>
      </c>
      <c r="CN332" s="77">
        <f>AVERAGE(CN331,CF331)</f>
        <v>-1.0709138568426313E-2</v>
      </c>
      <c r="CO332" s="487">
        <f>AVERAGE(CO331,CG331)</f>
        <v>-7.1316334929160119E-2</v>
      </c>
      <c r="CP332" s="77">
        <f>AVERAGE(CP331,CL331)</f>
        <v>-0.24010963215297509</v>
      </c>
      <c r="CQ332" s="77">
        <f>AVERAGE(CQ331,CI331)</f>
        <v>-0.26592684385503523</v>
      </c>
      <c r="CR332" s="77">
        <f>AVERAGE(CR331,CJ331)</f>
        <v>-0.2869658424525568</v>
      </c>
      <c r="CS332" s="487">
        <f t="shared" ref="CS332:DB332" si="1270">AVERAGE(CS331,CO331)</f>
        <v>-0.24990161619802936</v>
      </c>
      <c r="CT332" s="77">
        <f t="shared" si="1270"/>
        <v>-0.31003847790204325</v>
      </c>
      <c r="CU332" s="77">
        <f t="shared" si="1270"/>
        <v>-0.31934698581699295</v>
      </c>
      <c r="CV332" s="77">
        <f t="shared" si="1270"/>
        <v>-0.25701555638606</v>
      </c>
      <c r="CW332" s="487">
        <f t="shared" si="1270"/>
        <v>-0.21234506337700843</v>
      </c>
      <c r="CX332" s="77">
        <f t="shared" si="1270"/>
        <v>-0.17429237806019876</v>
      </c>
      <c r="CY332" s="77">
        <f t="shared" si="1270"/>
        <v>-0.13350193841588154</v>
      </c>
      <c r="CZ332" s="77">
        <f t="shared" si="1270"/>
        <v>-0.17184048146098507</v>
      </c>
      <c r="DA332" s="487">
        <f t="shared" si="1270"/>
        <v>-0.1425903788241985</v>
      </c>
      <c r="DB332" s="77">
        <f t="shared" si="1270"/>
        <v>-0.12320809042365938</v>
      </c>
      <c r="DC332" s="77">
        <f t="shared" ref="DC332:DM332" si="1271">AVERAGE(DC331,CY331)</f>
        <v>-9.3211837988541379E-2</v>
      </c>
      <c r="DD332" s="77">
        <f t="shared" si="1271"/>
        <v>-8.5891682201352904E-2</v>
      </c>
      <c r="DE332" s="487">
        <f t="shared" si="1271"/>
        <v>-6.4085858585858677E-2</v>
      </c>
      <c r="DF332" s="77">
        <f t="shared" si="1271"/>
        <v>-5.1238522954091877E-2</v>
      </c>
      <c r="DG332" s="70">
        <f t="shared" si="1271"/>
        <v>-7.5682382134047155E-5</v>
      </c>
      <c r="DH332" s="70">
        <f t="shared" si="1271"/>
        <v>5.8089087029416321E-2</v>
      </c>
      <c r="DI332" s="487">
        <f t="shared" si="1271"/>
        <v>9.5500000000000002E-2</v>
      </c>
      <c r="DJ332" s="1673">
        <f t="shared" si="1271"/>
        <v>1.4499999999999999E-2</v>
      </c>
      <c r="DK332" s="70">
        <f t="shared" si="1271"/>
        <v>4.65E-2</v>
      </c>
      <c r="DL332" s="70">
        <f t="shared" si="1271"/>
        <v>3.2500000000000001E-2</v>
      </c>
      <c r="DM332" s="487">
        <f t="shared" si="1271"/>
        <v>6.0999999999999999E-2</v>
      </c>
      <c r="DN332" s="580"/>
      <c r="DO332" s="487"/>
      <c r="DP332" s="77"/>
      <c r="DQ332" s="77"/>
      <c r="DR332" s="77"/>
      <c r="DS332" s="77"/>
      <c r="DT332" s="77"/>
      <c r="DU332" s="77"/>
      <c r="DV332" s="77"/>
      <c r="DW332" s="77"/>
      <c r="DX332" s="77"/>
      <c r="DY332" s="77"/>
      <c r="DZ332" s="77"/>
      <c r="EA332" s="77"/>
      <c r="EB332" s="77"/>
      <c r="EC332" s="77"/>
      <c r="ED332" s="77"/>
      <c r="EE332" s="15"/>
      <c r="EJ332" s="19"/>
      <c r="EK332" s="88"/>
      <c r="EL332" s="88"/>
      <c r="EM332" s="77"/>
      <c r="EN332" s="77">
        <f>EN331/EM331-1</f>
        <v>4.233054878756251</v>
      </c>
      <c r="EO332" s="77">
        <f>EO331/EN331-1</f>
        <v>-2.584418772782894</v>
      </c>
      <c r="EP332" s="77">
        <f>EP331/EO331-1</f>
        <v>-0.73120860782883534</v>
      </c>
      <c r="EQ332" s="15">
        <f>EQ331/EN331-1</f>
        <v>-1.9712454197081344</v>
      </c>
      <c r="ER332" s="77">
        <f>AVERAGE(ER331,EQ331)</f>
        <v>3.9359532069578762E-2</v>
      </c>
      <c r="ES332" s="77">
        <f>AVERAGE(ES331,ER331)</f>
        <v>-5.1903535060363271E-2</v>
      </c>
      <c r="ET332" s="77">
        <f>AVERAGE(ET331,ER331)</f>
        <v>-5.282315680085492E-2</v>
      </c>
      <c r="EU332" s="77">
        <f t="shared" ref="EU332:EZ332" si="1272">AVERAGE(EU331,ET331)</f>
        <v>-0.26495321136006184</v>
      </c>
      <c r="EV332" s="77">
        <f t="shared" si="1272"/>
        <v>-0.25860956571107957</v>
      </c>
      <c r="EW332" s="77">
        <f t="shared" si="1272"/>
        <v>-0.15499073526441032</v>
      </c>
      <c r="EX332" s="77">
        <f t="shared" si="1272"/>
        <v>-0.10053097229952257</v>
      </c>
      <c r="EY332" s="77">
        <f t="shared" si="1272"/>
        <v>5.2249857629369734E-2</v>
      </c>
      <c r="EZ332" s="1680">
        <f t="shared" si="1272"/>
        <v>0.12736940246405581</v>
      </c>
      <c r="FA332" s="77">
        <f t="shared" ref="FA332:FH332" si="1273">FA331+EZ331</f>
        <v>0.13682597170064592</v>
      </c>
      <c r="FB332" s="77">
        <f t="shared" si="1273"/>
        <v>0</v>
      </c>
      <c r="FC332" s="77">
        <f t="shared" si="1273"/>
        <v>0</v>
      </c>
      <c r="FD332" s="77">
        <f t="shared" si="1273"/>
        <v>0</v>
      </c>
      <c r="FE332" s="77">
        <f t="shared" si="1273"/>
        <v>0</v>
      </c>
      <c r="FF332" s="77">
        <f t="shared" si="1273"/>
        <v>0</v>
      </c>
      <c r="FG332" s="77">
        <f t="shared" si="1273"/>
        <v>0</v>
      </c>
      <c r="FH332" s="77">
        <f t="shared" si="1273"/>
        <v>0</v>
      </c>
      <c r="FI332" s="580"/>
      <c r="FJ332"/>
      <c r="FK332"/>
      <c r="FL332"/>
      <c r="FM332"/>
      <c r="FN332"/>
      <c r="FO332"/>
      <c r="FP332" s="3"/>
      <c r="FS332" s="70"/>
      <c r="FT332" s="70"/>
      <c r="FU332"/>
      <c r="FV332"/>
      <c r="FW332" s="70"/>
      <c r="FX332" s="70"/>
      <c r="FY332" s="70"/>
      <c r="FZ332"/>
      <c r="GA332"/>
      <c r="GB332"/>
      <c r="GC332"/>
      <c r="GD332"/>
      <c r="GE332"/>
      <c r="GF332"/>
      <c r="GG332"/>
      <c r="GH332"/>
      <c r="GI332"/>
      <c r="GJ332"/>
      <c r="GK332"/>
      <c r="GL332"/>
      <c r="GM332"/>
      <c r="GN332"/>
      <c r="GO332"/>
      <c r="GP332"/>
      <c r="GQ332"/>
      <c r="GR332"/>
      <c r="GS332"/>
      <c r="GT332"/>
      <c r="GU332"/>
      <c r="GV332"/>
      <c r="GW332"/>
      <c r="GX332"/>
      <c r="GY332"/>
      <c r="GZ332"/>
      <c r="HA332"/>
      <c r="HB332"/>
      <c r="HC332"/>
      <c r="HD332"/>
      <c r="HE332"/>
      <c r="HF332"/>
      <c r="HG332"/>
      <c r="HH332"/>
      <c r="HI332"/>
      <c r="HJ332"/>
      <c r="HK332"/>
      <c r="HL332"/>
      <c r="HM332"/>
      <c r="HN332"/>
      <c r="HO332"/>
      <c r="HP332"/>
      <c r="HQ332"/>
      <c r="HR332"/>
      <c r="HS332"/>
      <c r="HT332"/>
      <c r="HU332"/>
      <c r="HV332"/>
      <c r="HW332"/>
      <c r="HX332"/>
      <c r="HY332"/>
      <c r="HZ332"/>
      <c r="IA332"/>
      <c r="IB332"/>
      <c r="IC332"/>
      <c r="ID332"/>
      <c r="IE332"/>
      <c r="IF332"/>
      <c r="IG332"/>
      <c r="IH332"/>
      <c r="II332"/>
      <c r="IJ332"/>
      <c r="IK332"/>
      <c r="IL332"/>
      <c r="IM332"/>
      <c r="IN332"/>
      <c r="IO332"/>
      <c r="IP332"/>
      <c r="IQ332"/>
      <c r="IR332"/>
      <c r="IS332"/>
      <c r="IT332"/>
      <c r="IU332"/>
      <c r="IV332"/>
      <c r="IW332"/>
      <c r="IX332"/>
      <c r="IY332"/>
      <c r="IZ332"/>
    </row>
    <row r="333" spans="1:260" s="4" customFormat="1" hidden="1" outlineLevel="1" x14ac:dyDescent="0.2">
      <c r="E333" s="470"/>
      <c r="I333" s="470"/>
      <c r="M333" s="470"/>
      <c r="Q333" s="470"/>
      <c r="U333" s="470"/>
      <c r="Y333" s="470"/>
      <c r="AC333" s="470"/>
      <c r="AG333" s="470"/>
      <c r="AK333" s="470"/>
      <c r="AO333" s="470"/>
      <c r="AS333" s="470"/>
      <c r="AW333" s="470"/>
      <c r="BA333" s="470"/>
      <c r="BB333" s="6"/>
      <c r="BC333" s="6"/>
      <c r="BE333" s="484"/>
      <c r="BF333" s="6"/>
      <c r="BG333" s="6"/>
      <c r="BH333" s="6"/>
      <c r="BI333" s="484"/>
      <c r="BJ333" s="6"/>
      <c r="BK333" s="6"/>
      <c r="BL333" s="6"/>
      <c r="BM333" s="484"/>
      <c r="BN333" s="6"/>
      <c r="BO333" s="6"/>
      <c r="BP333" s="6"/>
      <c r="BQ333" s="484"/>
      <c r="BR333" s="6"/>
      <c r="BS333" s="6"/>
      <c r="BT333" s="6"/>
      <c r="BU333" s="499"/>
      <c r="BV333" s="6"/>
      <c r="BW333" s="6"/>
      <c r="BX333" s="6"/>
      <c r="BY333" s="484"/>
      <c r="BZ333" s="6"/>
      <c r="CA333" s="6"/>
      <c r="CB333" s="6"/>
      <c r="CC333" s="499"/>
      <c r="CD333" s="6"/>
      <c r="CE333" s="6"/>
      <c r="CF333" s="6"/>
      <c r="CG333" s="484"/>
      <c r="CH333" s="6"/>
      <c r="CI333" s="6"/>
      <c r="CJ333" s="6"/>
      <c r="CK333" s="484"/>
      <c r="CL333" s="6"/>
      <c r="CM333" s="6"/>
      <c r="CN333" s="6"/>
      <c r="CO333" s="484"/>
      <c r="CP333" s="6"/>
      <c r="CQ333" s="6"/>
      <c r="CR333" s="6"/>
      <c r="CS333" s="499"/>
      <c r="CT333" s="88"/>
      <c r="CU333" s="6"/>
      <c r="CV333" s="6"/>
      <c r="CW333" s="484"/>
      <c r="CX333" s="6"/>
      <c r="CY333" s="6"/>
      <c r="CZ333" s="6"/>
      <c r="DA333" s="484"/>
      <c r="DB333" s="6"/>
      <c r="DC333" s="6"/>
      <c r="DD333" s="6"/>
      <c r="DE333" s="484"/>
      <c r="DF333" s="6"/>
      <c r="DG333" s="7"/>
      <c r="DH333" s="7"/>
      <c r="DI333" s="484"/>
      <c r="DJ333" s="1671"/>
      <c r="DK333" s="7"/>
      <c r="DL333" s="7"/>
      <c r="DM333" s="484"/>
      <c r="DN333" s="590"/>
      <c r="DO333" s="499"/>
      <c r="DP333" s="88"/>
      <c r="DQ333" s="88"/>
      <c r="DR333" s="88"/>
      <c r="DS333" s="88"/>
      <c r="DT333" s="88"/>
      <c r="DU333" s="88"/>
      <c r="DV333" s="88"/>
      <c r="DW333" s="88"/>
      <c r="DX333" s="88"/>
      <c r="DY333" s="88"/>
      <c r="DZ333" s="88"/>
      <c r="EA333" s="88"/>
      <c r="EB333" s="88"/>
      <c r="EC333" s="88"/>
      <c r="ED333" s="88"/>
      <c r="EJ333" s="19"/>
      <c r="EK333" s="88"/>
      <c r="EL333" s="88"/>
      <c r="EM333" s="88"/>
      <c r="EN333" s="88"/>
      <c r="EO333" s="88"/>
      <c r="EP333" s="88"/>
      <c r="EQ333" s="88"/>
      <c r="ER333" s="88"/>
      <c r="ES333" s="88"/>
      <c r="ET333" s="88"/>
      <c r="EU333" s="88"/>
      <c r="EV333" s="88"/>
      <c r="EW333" s="88"/>
      <c r="EX333" s="88"/>
      <c r="EY333" s="88"/>
      <c r="EZ333" s="1738"/>
      <c r="FA333" s="88"/>
      <c r="FB333" s="88"/>
      <c r="FC333" s="88"/>
      <c r="FD333" s="88"/>
      <c r="FE333" s="88"/>
      <c r="FF333" s="88"/>
      <c r="FG333" s="88"/>
      <c r="FH333" s="88"/>
      <c r="FI333" s="590"/>
      <c r="FJ333"/>
      <c r="FK333"/>
      <c r="FL333"/>
      <c r="FM333"/>
      <c r="FN333"/>
      <c r="FO333"/>
      <c r="FP333" s="3"/>
      <c r="FS333" s="53"/>
      <c r="FT333" s="53"/>
      <c r="FU333"/>
      <c r="FV333"/>
      <c r="FW333" s="53"/>
      <c r="FX333" s="53"/>
      <c r="FY333" s="53"/>
      <c r="FZ333"/>
      <c r="GA333"/>
      <c r="GB333"/>
      <c r="GC333"/>
      <c r="GD333"/>
      <c r="GE333"/>
      <c r="GF333"/>
      <c r="GG333"/>
      <c r="GH333"/>
      <c r="GI333"/>
      <c r="GJ333"/>
      <c r="GK333"/>
      <c r="GL333"/>
      <c r="GM333"/>
      <c r="GN333"/>
      <c r="GO333"/>
      <c r="GP333"/>
      <c r="GQ333"/>
      <c r="GR333"/>
      <c r="GS333"/>
      <c r="GT333"/>
      <c r="GU333"/>
      <c r="GV333"/>
      <c r="GW333"/>
      <c r="GX333"/>
      <c r="GY333"/>
      <c r="GZ333"/>
      <c r="HA333"/>
      <c r="HB333"/>
      <c r="HC333"/>
      <c r="HD333"/>
      <c r="HE333"/>
      <c r="HF333"/>
      <c r="HG333"/>
      <c r="HH333"/>
      <c r="HI333"/>
      <c r="HJ333"/>
      <c r="HK333"/>
      <c r="HL333"/>
      <c r="HM333"/>
      <c r="HN333"/>
      <c r="HO333"/>
      <c r="HP333"/>
      <c r="HQ333"/>
      <c r="HR333"/>
      <c r="HS333"/>
      <c r="HT333"/>
      <c r="HU333"/>
      <c r="HV333"/>
      <c r="HW333"/>
      <c r="HX333"/>
      <c r="HY333"/>
      <c r="HZ333"/>
      <c r="IA333"/>
      <c r="IB333"/>
      <c r="IC333"/>
      <c r="ID333"/>
      <c r="IE333"/>
      <c r="IF333"/>
      <c r="IG333"/>
      <c r="IH333"/>
      <c r="II333"/>
      <c r="IJ333"/>
      <c r="IK333"/>
      <c r="IL333"/>
      <c r="IM333"/>
      <c r="IN333"/>
      <c r="IO333"/>
      <c r="IP333"/>
      <c r="IQ333"/>
      <c r="IR333"/>
      <c r="IS333"/>
      <c r="IT333"/>
      <c r="IU333"/>
      <c r="IV333"/>
      <c r="IW333"/>
      <c r="IX333"/>
      <c r="IY333"/>
      <c r="IZ333"/>
    </row>
    <row r="334" spans="1:260" s="4" customFormat="1" hidden="1" outlineLevel="1" x14ac:dyDescent="0.2">
      <c r="A334" s="30" t="s">
        <v>305</v>
      </c>
      <c r="B334" s="30"/>
      <c r="C334" s="30"/>
      <c r="D334" s="30"/>
      <c r="E334" s="547"/>
      <c r="F334" s="30"/>
      <c r="G334" s="30"/>
      <c r="H334" s="30"/>
      <c r="I334" s="547"/>
      <c r="J334" s="30"/>
      <c r="K334" s="30"/>
      <c r="L334" s="30"/>
      <c r="M334" s="547"/>
      <c r="N334" s="30"/>
      <c r="O334" s="30"/>
      <c r="P334" s="30"/>
      <c r="Q334" s="547"/>
      <c r="R334" s="30"/>
      <c r="S334" s="30"/>
      <c r="T334" s="30"/>
      <c r="U334" s="547"/>
      <c r="V334" s="30"/>
      <c r="W334" s="30"/>
      <c r="X334" s="30"/>
      <c r="Y334" s="547"/>
      <c r="Z334" s="30"/>
      <c r="AA334" s="30"/>
      <c r="AB334" s="30"/>
      <c r="AC334" s="547"/>
      <c r="AD334" s="30"/>
      <c r="AE334" s="30"/>
      <c r="AF334" s="30"/>
      <c r="AG334" s="547"/>
      <c r="AH334" s="176"/>
      <c r="AI334" s="176"/>
      <c r="AJ334" s="176"/>
      <c r="AK334" s="787"/>
      <c r="AL334" s="176"/>
      <c r="AM334" s="176"/>
      <c r="AN334" s="176"/>
      <c r="AO334" s="787"/>
      <c r="AP334" s="176"/>
      <c r="AQ334" s="176"/>
      <c r="AR334" s="176"/>
      <c r="AS334" s="787"/>
      <c r="AT334" s="176"/>
      <c r="AU334" s="176"/>
      <c r="AV334" s="176"/>
      <c r="AW334" s="787"/>
      <c r="AX334" s="176"/>
      <c r="AY334" s="176"/>
      <c r="AZ334" s="176"/>
      <c r="BA334" s="787"/>
      <c r="BB334" s="177"/>
      <c r="BC334" s="177"/>
      <c r="BD334" s="176"/>
      <c r="BE334" s="565"/>
      <c r="BF334" s="789">
        <f>BF360*BF$354</f>
        <v>379.13</v>
      </c>
      <c r="BG334" s="789">
        <f>BG360*BG$354</f>
        <v>485.12</v>
      </c>
      <c r="BH334" s="789">
        <f>BH360*BH$354</f>
        <v>533.82000000000005</v>
      </c>
      <c r="BI334" s="875">
        <f>EL334-SUM(BF334:BH334)</f>
        <v>610.42999999999984</v>
      </c>
      <c r="BJ334" s="789">
        <f>BJ360*BJ$354</f>
        <v>461.09999999999997</v>
      </c>
      <c r="BK334" s="789">
        <f>BK360*BK$354</f>
        <v>500.4</v>
      </c>
      <c r="BL334" s="789">
        <f>BL360*BL$354</f>
        <v>1784.16</v>
      </c>
      <c r="BM334" s="875">
        <f>EM334-SUM(BJ334:BL334)</f>
        <v>1729.5900000000001</v>
      </c>
      <c r="BN334" s="789">
        <f t="shared" ref="BN334:CS334" si="1274">BN360*BN$354</f>
        <v>1387.8000000000002</v>
      </c>
      <c r="BO334" s="789">
        <f t="shared" si="1274"/>
        <v>1428.96</v>
      </c>
      <c r="BP334" s="789">
        <f t="shared" si="1274"/>
        <v>1701.15</v>
      </c>
      <c r="BQ334" s="875">
        <f t="shared" si="1274"/>
        <v>2024.19</v>
      </c>
      <c r="BR334" s="789">
        <f t="shared" si="1274"/>
        <v>1603.8400000000001</v>
      </c>
      <c r="BS334" s="789">
        <f t="shared" si="1274"/>
        <v>1567.6200000000001</v>
      </c>
      <c r="BT334" s="789">
        <f t="shared" si="1274"/>
        <v>1812.6</v>
      </c>
      <c r="BU334" s="875">
        <f t="shared" si="1274"/>
        <v>2235.06</v>
      </c>
      <c r="BV334" s="789">
        <f t="shared" si="1274"/>
        <v>1817.79</v>
      </c>
      <c r="BW334" s="789">
        <f t="shared" si="1274"/>
        <v>1669.8000000000002</v>
      </c>
      <c r="BX334" s="789">
        <f t="shared" si="1274"/>
        <v>1799.8400000000001</v>
      </c>
      <c r="BY334" s="875">
        <f t="shared" si="1274"/>
        <v>2176.2000000000003</v>
      </c>
      <c r="BZ334" s="789">
        <f t="shared" si="1274"/>
        <v>1574.16</v>
      </c>
      <c r="CA334" s="789">
        <f t="shared" si="1274"/>
        <v>1440.01</v>
      </c>
      <c r="CB334" s="789">
        <f t="shared" si="1274"/>
        <v>1795.37</v>
      </c>
      <c r="CC334" s="875">
        <f t="shared" si="1274"/>
        <v>2124.7200000000003</v>
      </c>
      <c r="CD334" s="789">
        <f t="shared" si="1274"/>
        <v>1756.4299999999998</v>
      </c>
      <c r="CE334" s="789">
        <f t="shared" si="1274"/>
        <v>1554.66</v>
      </c>
      <c r="CF334" s="789">
        <f t="shared" si="1274"/>
        <v>1761.3</v>
      </c>
      <c r="CG334" s="875">
        <f t="shared" si="1274"/>
        <v>2166.6400000000003</v>
      </c>
      <c r="CH334" s="789">
        <f t="shared" si="1274"/>
        <v>1812.2</v>
      </c>
      <c r="CI334" s="789">
        <f t="shared" si="1274"/>
        <v>1481.76</v>
      </c>
      <c r="CJ334" s="789">
        <f t="shared" si="1274"/>
        <v>2002</v>
      </c>
      <c r="CK334" s="875">
        <f t="shared" si="1274"/>
        <v>2496.6</v>
      </c>
      <c r="CL334" s="789">
        <f t="shared" si="1274"/>
        <v>620.40000000000009</v>
      </c>
      <c r="CM334" s="789">
        <f t="shared" si="1274"/>
        <v>552.96</v>
      </c>
      <c r="CN334" s="789">
        <f t="shared" si="1274"/>
        <v>734.43999999999994</v>
      </c>
      <c r="CO334" s="875">
        <f t="shared" si="1274"/>
        <v>888.74</v>
      </c>
      <c r="CP334" s="789">
        <f t="shared" si="1274"/>
        <v>392.8</v>
      </c>
      <c r="CQ334" s="789">
        <f t="shared" si="1274"/>
        <v>345.24</v>
      </c>
      <c r="CR334" s="789">
        <f t="shared" si="1274"/>
        <v>478.15999999999997</v>
      </c>
      <c r="CS334" s="875">
        <f t="shared" si="1274"/>
        <v>673.53</v>
      </c>
      <c r="CT334" s="789">
        <f t="shared" ref="CT334:CY334" si="1275">CT360*CT$354</f>
        <v>351.78</v>
      </c>
      <c r="CU334" s="789">
        <f t="shared" si="1275"/>
        <v>323.38</v>
      </c>
      <c r="CV334" s="789">
        <f t="shared" si="1275"/>
        <v>457.6</v>
      </c>
      <c r="CW334" s="875">
        <f t="shared" si="1275"/>
        <v>680.4</v>
      </c>
      <c r="CX334" s="789">
        <f t="shared" si="1275"/>
        <v>327.32</v>
      </c>
      <c r="CY334" s="789">
        <f t="shared" si="1275"/>
        <v>312</v>
      </c>
      <c r="CZ334" s="789">
        <f t="shared" ref="CZ334:DE334" si="1276">CZ360*CZ$325</f>
        <v>400.95000000000005</v>
      </c>
      <c r="DA334" s="875">
        <f t="shared" si="1276"/>
        <v>491.04</v>
      </c>
      <c r="DB334" s="789">
        <f>DB360*DB$325</f>
        <v>307</v>
      </c>
      <c r="DC334" s="789">
        <f t="shared" si="1276"/>
        <v>309.12</v>
      </c>
      <c r="DD334" s="789">
        <f>DD360*DD$325</f>
        <v>406.62</v>
      </c>
      <c r="DE334" s="875">
        <f t="shared" si="1276"/>
        <v>491.92</v>
      </c>
      <c r="DF334" s="789">
        <f t="shared" ref="DF334:DM334" si="1277">DF360*DF$325</f>
        <v>295.68</v>
      </c>
      <c r="DG334" s="880">
        <f t="shared" si="1277"/>
        <v>313.95999999999998</v>
      </c>
      <c r="DH334" s="880">
        <f t="shared" si="1277"/>
        <v>431.08000000000004</v>
      </c>
      <c r="DI334" s="875">
        <f t="shared" si="1277"/>
        <v>577.91999999999996</v>
      </c>
      <c r="DJ334" s="1675">
        <f t="shared" si="1277"/>
        <v>272.81120487804884</v>
      </c>
      <c r="DK334" s="880">
        <f t="shared" si="1277"/>
        <v>291.14287847682118</v>
      </c>
      <c r="DL334" s="880">
        <f t="shared" si="1277"/>
        <v>364.22114999999997</v>
      </c>
      <c r="DM334" s="875">
        <f t="shared" si="1277"/>
        <v>613.524</v>
      </c>
      <c r="DN334" s="588"/>
      <c r="DO334" s="565"/>
      <c r="DP334" s="177"/>
      <c r="DQ334" s="177"/>
      <c r="DR334" s="177"/>
      <c r="DS334" s="177"/>
      <c r="DT334" s="177"/>
      <c r="DU334" s="177"/>
      <c r="DV334" s="177"/>
      <c r="DW334" s="177"/>
      <c r="DX334" s="177"/>
      <c r="DY334" s="177"/>
      <c r="DZ334" s="177"/>
      <c r="EA334" s="177"/>
      <c r="EB334" s="177"/>
      <c r="EC334" s="177"/>
      <c r="ED334" s="177"/>
      <c r="EE334" s="296"/>
      <c r="EF334" s="176"/>
      <c r="EG334" s="176"/>
      <c r="EH334" s="176"/>
      <c r="EI334" s="176"/>
      <c r="EJ334" s="377"/>
      <c r="EK334" s="376"/>
      <c r="EL334" s="789">
        <f>EL360*EL$354</f>
        <v>2008.5</v>
      </c>
      <c r="EM334" s="789">
        <f>EM360*EM$354</f>
        <v>4475.25</v>
      </c>
      <c r="EN334" s="789">
        <f>SUM(BN334:BQ334)</f>
        <v>6542.1</v>
      </c>
      <c r="EO334" s="789">
        <f>SUM(BR334:BU334)</f>
        <v>7219.119999999999</v>
      </c>
      <c r="EP334" s="789">
        <f>SUM(BV334:BY334)</f>
        <v>7463.630000000001</v>
      </c>
      <c r="EQ334" s="789">
        <f>SUM(BZ334:CC334)</f>
        <v>6934.26</v>
      </c>
      <c r="ER334" s="789">
        <f>SUM(CD334:CG334)</f>
        <v>7239.0300000000007</v>
      </c>
      <c r="ES334" s="789">
        <f>SUM(CH334:CK334)</f>
        <v>7792.5599999999995</v>
      </c>
      <c r="ET334" s="789">
        <f>SUM(CL334:CO334)</f>
        <v>2796.54</v>
      </c>
      <c r="EU334" s="789">
        <f>SUM(CP334:CS334)</f>
        <v>1889.7299999999998</v>
      </c>
      <c r="EV334" s="789">
        <f>SUM(CT334:CW334)</f>
        <v>1813.1599999999999</v>
      </c>
      <c r="EW334" s="789">
        <f>SUM(CX334:DA334)</f>
        <v>1531.31</v>
      </c>
      <c r="EX334" s="789">
        <f>SUM(DB334:DE334)</f>
        <v>1514.66</v>
      </c>
      <c r="EY334" s="789">
        <f>SUM(DF334:DI334)</f>
        <v>1618.6399999999999</v>
      </c>
      <c r="EZ334" s="1737">
        <f>SUM(DJ334:DM334)</f>
        <v>1541.6992333548701</v>
      </c>
      <c r="FA334" s="789">
        <f t="shared" ref="FA334:FH334" si="1278">EZ334*(1+FA335)</f>
        <v>1572.5332180219675</v>
      </c>
      <c r="FB334" s="789">
        <f t="shared" si="1278"/>
        <v>1588.2585502021873</v>
      </c>
      <c r="FC334" s="789">
        <f t="shared" si="1278"/>
        <v>1604.1411357042091</v>
      </c>
      <c r="FD334" s="789">
        <f t="shared" si="1278"/>
        <v>1620.1825470612512</v>
      </c>
      <c r="FE334" s="789">
        <f t="shared" si="1278"/>
        <v>1636.3843725318636</v>
      </c>
      <c r="FF334" s="789">
        <f t="shared" si="1278"/>
        <v>1652.7482162571823</v>
      </c>
      <c r="FG334" s="789">
        <f t="shared" si="1278"/>
        <v>1669.2756984197542</v>
      </c>
      <c r="FH334" s="789">
        <f t="shared" si="1278"/>
        <v>1685.9684554039518</v>
      </c>
      <c r="FI334" s="1194"/>
      <c r="FJ334"/>
      <c r="FK334"/>
      <c r="FL334"/>
      <c r="FM334"/>
      <c r="FN334"/>
      <c r="FO334"/>
      <c r="FP334" s="3"/>
      <c r="FS334" s="880"/>
      <c r="FT334" s="880"/>
      <c r="FU334"/>
      <c r="FV334"/>
      <c r="FW334" s="880"/>
      <c r="FX334" s="880"/>
      <c r="FY334" s="880"/>
      <c r="FZ334"/>
      <c r="GA334"/>
      <c r="GB334"/>
      <c r="GC334"/>
      <c r="GD334"/>
      <c r="GE334"/>
      <c r="GF334"/>
      <c r="GG334"/>
      <c r="GH334"/>
      <c r="GI334"/>
      <c r="GJ334"/>
      <c r="GK334"/>
      <c r="GL334"/>
      <c r="GM334"/>
      <c r="GN334"/>
      <c r="GO334"/>
      <c r="GP334"/>
      <c r="GQ334"/>
      <c r="GR334"/>
      <c r="GS334"/>
      <c r="GT334"/>
      <c r="GU334"/>
      <c r="GV334"/>
      <c r="GW334"/>
      <c r="GX334"/>
      <c r="GY334"/>
      <c r="GZ334"/>
      <c r="HA334"/>
      <c r="HB334"/>
      <c r="HC334"/>
      <c r="HD334"/>
      <c r="HE334"/>
      <c r="HF334"/>
      <c r="HG334"/>
      <c r="HH334"/>
      <c r="HI334"/>
      <c r="HJ334"/>
      <c r="HK334"/>
      <c r="HL334"/>
      <c r="HM334"/>
      <c r="HN334"/>
      <c r="HO334"/>
      <c r="HP334"/>
      <c r="HQ334"/>
      <c r="HR334"/>
      <c r="HS334"/>
      <c r="HT334"/>
      <c r="HU334"/>
      <c r="HV334"/>
      <c r="HW334"/>
      <c r="HX334"/>
      <c r="HY334"/>
      <c r="HZ334"/>
      <c r="IA334"/>
      <c r="IB334"/>
      <c r="IC334"/>
      <c r="ID334"/>
      <c r="IE334"/>
      <c r="IF334"/>
      <c r="IG334"/>
      <c r="IH334"/>
      <c r="II334"/>
      <c r="IJ334"/>
      <c r="IK334"/>
      <c r="IL334"/>
      <c r="IM334"/>
      <c r="IN334"/>
      <c r="IO334"/>
      <c r="IP334"/>
      <c r="IQ334"/>
      <c r="IR334"/>
      <c r="IS334"/>
      <c r="IT334"/>
      <c r="IU334"/>
      <c r="IV334"/>
      <c r="IW334"/>
      <c r="IX334"/>
      <c r="IY334"/>
      <c r="IZ334"/>
    </row>
    <row r="335" spans="1:260" s="4" customFormat="1" hidden="1" outlineLevel="1" x14ac:dyDescent="0.2">
      <c r="A335" s="4" t="s">
        <v>482</v>
      </c>
      <c r="E335" s="470"/>
      <c r="I335" s="470"/>
      <c r="M335" s="470"/>
      <c r="Q335" s="470"/>
      <c r="U335" s="470"/>
      <c r="Y335" s="470"/>
      <c r="AC335" s="470"/>
      <c r="AG335" s="470"/>
      <c r="AK335" s="470"/>
      <c r="AO335" s="470"/>
      <c r="AS335" s="470"/>
      <c r="AW335" s="470"/>
      <c r="BA335" s="470"/>
      <c r="BB335" s="6"/>
      <c r="BC335" s="6"/>
      <c r="BE335" s="484"/>
      <c r="BF335" s="213" t="s">
        <v>483</v>
      </c>
      <c r="BG335" s="213" t="s">
        <v>483</v>
      </c>
      <c r="BH335" s="213" t="s">
        <v>483</v>
      </c>
      <c r="BI335" s="490" t="s">
        <v>483</v>
      </c>
      <c r="BJ335" s="77">
        <f t="shared" ref="BJ335:BY335" si="1279">BJ334/BF334-1</f>
        <v>0.21620552317147146</v>
      </c>
      <c r="BK335" s="77">
        <f t="shared" si="1279"/>
        <v>3.1497361477572428E-2</v>
      </c>
      <c r="BL335" s="77">
        <f t="shared" si="1279"/>
        <v>2.3422501966955154</v>
      </c>
      <c r="BM335" s="487">
        <f t="shared" si="1279"/>
        <v>1.8333961305964657</v>
      </c>
      <c r="BN335" s="77">
        <f t="shared" si="1279"/>
        <v>2.0097592713077428</v>
      </c>
      <c r="BO335" s="77">
        <f t="shared" si="1279"/>
        <v>1.8556354916067148</v>
      </c>
      <c r="BP335" s="77">
        <f t="shared" si="1279"/>
        <v>-4.652609631423188E-2</v>
      </c>
      <c r="BQ335" s="487">
        <f t="shared" si="1279"/>
        <v>0.17032938442058509</v>
      </c>
      <c r="BR335" s="77">
        <f t="shared" si="1279"/>
        <v>0.15567084594321945</v>
      </c>
      <c r="BS335" s="77">
        <f t="shared" si="1279"/>
        <v>9.7035606315082346E-2</v>
      </c>
      <c r="BT335" s="77">
        <f t="shared" si="1279"/>
        <v>6.5514504893748216E-2</v>
      </c>
      <c r="BU335" s="487">
        <f t="shared" si="1279"/>
        <v>0.10417500333466712</v>
      </c>
      <c r="BV335" s="77">
        <f t="shared" si="1279"/>
        <v>0.13339859337589766</v>
      </c>
      <c r="BW335" s="77">
        <f t="shared" si="1279"/>
        <v>6.5181612890879093E-2</v>
      </c>
      <c r="BX335" s="77">
        <f t="shared" si="1279"/>
        <v>-7.0396116076353321E-3</v>
      </c>
      <c r="BY335" s="487">
        <f t="shared" si="1279"/>
        <v>-2.6334863493597371E-2</v>
      </c>
      <c r="BZ335" s="15">
        <f t="shared" ref="BZ335:CC336" si="1280">BZ334/BN334-1</f>
        <v>0.13428447903156071</v>
      </c>
      <c r="CA335" s="15">
        <f t="shared" si="1280"/>
        <v>7.7328966521106324E-3</v>
      </c>
      <c r="CB335" s="15">
        <f t="shared" si="1280"/>
        <v>5.5386062369573441E-2</v>
      </c>
      <c r="CC335" s="518">
        <f t="shared" si="1280"/>
        <v>4.9664310168511916E-2</v>
      </c>
      <c r="CD335" s="77">
        <f t="shared" ref="CD335:CK335" si="1281">CD334/BZ334-1</f>
        <v>0.11578873812064838</v>
      </c>
      <c r="CE335" s="77">
        <f t="shared" si="1281"/>
        <v>7.9617502656231576E-2</v>
      </c>
      <c r="CF335" s="77">
        <f t="shared" si="1281"/>
        <v>-1.8976589783721409E-2</v>
      </c>
      <c r="CG335" s="487">
        <f t="shared" si="1281"/>
        <v>1.9729658496178359E-2</v>
      </c>
      <c r="CH335" s="77">
        <f t="shared" si="1281"/>
        <v>3.175190585448906E-2</v>
      </c>
      <c r="CI335" s="77">
        <f t="shared" si="1281"/>
        <v>-4.6891281695033094E-2</v>
      </c>
      <c r="CJ335" s="77">
        <f t="shared" si="1281"/>
        <v>0.13666042127973665</v>
      </c>
      <c r="CK335" s="487">
        <f t="shared" si="1281"/>
        <v>0.15229110512129362</v>
      </c>
      <c r="CL335" s="77">
        <f>CL334/CD334-1</f>
        <v>-0.64678353250627685</v>
      </c>
      <c r="CM335" s="77">
        <f>CM334/CE334-1</f>
        <v>-0.64432094477249047</v>
      </c>
      <c r="CN335" s="77">
        <f>CN334/CF334-1</f>
        <v>-0.58301254755010512</v>
      </c>
      <c r="CO335" s="487">
        <f>CO334/CG334-1</f>
        <v>-0.58980725916626664</v>
      </c>
      <c r="CP335" s="77">
        <f>CP334/CL334-1</f>
        <v>-0.36686009026434563</v>
      </c>
      <c r="CQ335" s="77">
        <f>CQ334/CI334-1</f>
        <v>-0.76700680272108845</v>
      </c>
      <c r="CR335" s="77">
        <f>CR334/CJ334-1</f>
        <v>-0.76115884115884114</v>
      </c>
      <c r="CS335" s="487">
        <f>CS334/CK334-1</f>
        <v>-0.7302211006969479</v>
      </c>
      <c r="CT335" s="77">
        <f t="shared" ref="CT335:DD335" si="1282">CT334/CP334-1</f>
        <v>-0.10442973523421595</v>
      </c>
      <c r="CU335" s="77">
        <f t="shared" si="1282"/>
        <v>-6.331827134746848E-2</v>
      </c>
      <c r="CV335" s="77">
        <f t="shared" si="1282"/>
        <v>-4.2998159611845277E-2</v>
      </c>
      <c r="CW335" s="487">
        <f t="shared" si="1282"/>
        <v>1.0199991091710769E-2</v>
      </c>
      <c r="CX335" s="77">
        <f t="shared" si="1282"/>
        <v>-6.9532093922337723E-2</v>
      </c>
      <c r="CY335" s="77">
        <f t="shared" si="1282"/>
        <v>-3.5190797204527113E-2</v>
      </c>
      <c r="CZ335" s="77">
        <f t="shared" si="1282"/>
        <v>-0.12379807692307687</v>
      </c>
      <c r="DA335" s="487">
        <f t="shared" si="1282"/>
        <v>-0.27830687830687828</v>
      </c>
      <c r="DB335" s="77">
        <f t="shared" si="1282"/>
        <v>-6.2079921789074843E-2</v>
      </c>
      <c r="DC335" s="77">
        <f t="shared" si="1282"/>
        <v>-9.2307692307692646E-3</v>
      </c>
      <c r="DD335" s="77">
        <f t="shared" si="1282"/>
        <v>1.414141414141401E-2</v>
      </c>
      <c r="DE335" s="487">
        <v>-4.2000000000000003E-2</v>
      </c>
      <c r="DF335" s="77">
        <v>0.09</v>
      </c>
      <c r="DG335" s="70">
        <v>3.0000000000000001E-3</v>
      </c>
      <c r="DH335" s="70">
        <v>6.0000000000000001E-3</v>
      </c>
      <c r="DI335" s="487">
        <v>6.5000000000000002E-2</v>
      </c>
      <c r="DJ335" s="2759">
        <v>0.09</v>
      </c>
      <c r="DK335" s="2382">
        <v>0.09</v>
      </c>
      <c r="DL335" s="2382">
        <v>0.09</v>
      </c>
      <c r="DM335" s="2428">
        <v>0.09</v>
      </c>
      <c r="DN335" s="1285"/>
      <c r="DO335" s="1227"/>
      <c r="DP335" s="250"/>
      <c r="DQ335" s="250"/>
      <c r="DR335" s="250"/>
      <c r="DS335" s="250"/>
      <c r="DT335" s="250"/>
      <c r="DU335" s="250"/>
      <c r="DV335" s="250"/>
      <c r="DW335" s="250"/>
      <c r="DX335" s="250"/>
      <c r="DY335" s="250"/>
      <c r="DZ335" s="250"/>
      <c r="EA335" s="250"/>
      <c r="EB335" s="250"/>
      <c r="EC335" s="250"/>
      <c r="ED335" s="250"/>
      <c r="EE335" s="15"/>
      <c r="EJ335" s="19"/>
      <c r="EK335" s="88"/>
      <c r="EL335" s="864" t="s">
        <v>483</v>
      </c>
      <c r="EM335" s="77">
        <f>EM334/EL334-1</f>
        <v>1.2281553398058254</v>
      </c>
      <c r="EN335" s="77">
        <f>EN334/EM334-1</f>
        <v>0.46184012066365021</v>
      </c>
      <c r="EO335" s="77">
        <f>EO334/EN334-1</f>
        <v>0.10348664801822016</v>
      </c>
      <c r="EP335" s="77">
        <f>EP334/EO334-1</f>
        <v>3.3869779142056355E-2</v>
      </c>
      <c r="EQ335" s="15">
        <f>EQ334/EN334-1</f>
        <v>5.9944054661347224E-2</v>
      </c>
      <c r="ER335" s="77">
        <f>ER334/EQ334-1</f>
        <v>4.3951337273191449E-2</v>
      </c>
      <c r="ES335" s="77">
        <f>ES334/ER334-1</f>
        <v>7.6464664464714005E-2</v>
      </c>
      <c r="ET335" s="77">
        <f>ET334/ER334-1</f>
        <v>-0.6136858114968442</v>
      </c>
      <c r="EU335" s="77">
        <f t="shared" ref="EU335:EZ335" si="1283">EU334/ET334-1</f>
        <v>-0.32426140874080123</v>
      </c>
      <c r="EV335" s="77">
        <f t="shared" si="1283"/>
        <v>-4.0519015944076586E-2</v>
      </c>
      <c r="EW335" s="77">
        <f t="shared" si="1283"/>
        <v>-0.15544684418363519</v>
      </c>
      <c r="EX335" s="77">
        <f t="shared" si="1283"/>
        <v>-1.0873043341975031E-2</v>
      </c>
      <c r="EY335" s="77">
        <f t="shared" si="1283"/>
        <v>6.8649069758229375E-2</v>
      </c>
      <c r="EZ335" s="1680">
        <f t="shared" si="1283"/>
        <v>-4.75342056572986E-2</v>
      </c>
      <c r="FA335" s="1610">
        <v>0.02</v>
      </c>
      <c r="FB335" s="1610">
        <v>0.01</v>
      </c>
      <c r="FC335" s="1610">
        <v>0.01</v>
      </c>
      <c r="FD335" s="1610">
        <v>0.01</v>
      </c>
      <c r="FE335" s="1610">
        <v>0.01</v>
      </c>
      <c r="FF335" s="1610">
        <v>0.01</v>
      </c>
      <c r="FG335" s="1610">
        <v>0.01</v>
      </c>
      <c r="FH335" s="1610">
        <v>0.01</v>
      </c>
      <c r="FI335" s="589"/>
      <c r="FJ335"/>
      <c r="FK335"/>
      <c r="FL335"/>
      <c r="FM335"/>
      <c r="FN335"/>
      <c r="FO335"/>
      <c r="FP335" s="3"/>
      <c r="FS335" s="170"/>
      <c r="FT335" s="170"/>
      <c r="FU335"/>
      <c r="FV335"/>
      <c r="FW335" s="1606"/>
      <c r="FX335" s="1606"/>
      <c r="FY335" s="1606"/>
      <c r="FZ335"/>
      <c r="GA335"/>
      <c r="GB335"/>
      <c r="GC335"/>
      <c r="GD335"/>
      <c r="GE335"/>
      <c r="GF335"/>
      <c r="GG335"/>
      <c r="GH335"/>
      <c r="GI335"/>
      <c r="GJ335"/>
      <c r="GK335"/>
      <c r="GL335"/>
      <c r="GM335"/>
      <c r="GN335"/>
      <c r="GO335"/>
      <c r="GP335"/>
      <c r="GQ335"/>
      <c r="GR335"/>
      <c r="GS335"/>
      <c r="GT335"/>
      <c r="GU335"/>
      <c r="GV335"/>
      <c r="GW335"/>
      <c r="GX335"/>
      <c r="GY335"/>
      <c r="GZ335"/>
      <c r="HA335"/>
      <c r="HB335"/>
      <c r="HC335"/>
      <c r="HD335"/>
      <c r="HE335"/>
      <c r="HF335"/>
      <c r="HG335"/>
      <c r="HH335"/>
      <c r="HI335"/>
      <c r="HJ335"/>
      <c r="HK335"/>
      <c r="HL335"/>
      <c r="HM335"/>
      <c r="HN335"/>
      <c r="HO335"/>
      <c r="HP335"/>
      <c r="HQ335"/>
      <c r="HR335"/>
      <c r="HS335"/>
      <c r="HT335"/>
      <c r="HU335"/>
      <c r="HV335"/>
      <c r="HW335"/>
      <c r="HX335"/>
      <c r="HY335"/>
      <c r="HZ335"/>
      <c r="IA335"/>
      <c r="IB335"/>
      <c r="IC335"/>
      <c r="ID335"/>
      <c r="IE335"/>
      <c r="IF335"/>
      <c r="IG335"/>
      <c r="IH335"/>
      <c r="II335"/>
      <c r="IJ335"/>
      <c r="IK335"/>
      <c r="IL335"/>
      <c r="IM335"/>
      <c r="IN335"/>
      <c r="IO335"/>
      <c r="IP335"/>
      <c r="IQ335"/>
      <c r="IR335"/>
      <c r="IS335"/>
      <c r="IT335"/>
      <c r="IU335"/>
      <c r="IV335"/>
      <c r="IW335"/>
      <c r="IX335"/>
      <c r="IY335"/>
      <c r="IZ335"/>
    </row>
    <row r="336" spans="1:260" s="4" customFormat="1" hidden="1" outlineLevel="1" x14ac:dyDescent="0.2">
      <c r="A336" s="4" t="s">
        <v>4</v>
      </c>
      <c r="E336" s="470"/>
      <c r="I336" s="470"/>
      <c r="M336" s="470"/>
      <c r="Q336" s="470"/>
      <c r="U336" s="470"/>
      <c r="Y336" s="470"/>
      <c r="AC336" s="470"/>
      <c r="AG336" s="470"/>
      <c r="AK336" s="470"/>
      <c r="AO336" s="470"/>
      <c r="AS336" s="470"/>
      <c r="AW336" s="470"/>
      <c r="BA336" s="470"/>
      <c r="BB336" s="6"/>
      <c r="BC336" s="6"/>
      <c r="BE336" s="484"/>
      <c r="BF336" s="6"/>
      <c r="BG336" s="6"/>
      <c r="BH336" s="6"/>
      <c r="BI336" s="484"/>
      <c r="BJ336" s="77"/>
      <c r="BK336" s="77"/>
      <c r="BL336" s="77"/>
      <c r="BM336" s="487"/>
      <c r="BN336" s="77">
        <f t="shared" ref="BN336:BY336" si="1284">BN335/BJ335-1</f>
        <v>8.2955963466012541</v>
      </c>
      <c r="BO336" s="77">
        <f t="shared" si="1284"/>
        <v>57.913998016246943</v>
      </c>
      <c r="BP336" s="77">
        <f t="shared" si="1284"/>
        <v>-1.0198638456215616</v>
      </c>
      <c r="BQ336" s="487">
        <f t="shared" si="1284"/>
        <v>-0.90709624528051602</v>
      </c>
      <c r="BR336" s="77">
        <f t="shared" si="1284"/>
        <v>-0.92254254120597989</v>
      </c>
      <c r="BS336" s="77">
        <f t="shared" si="1284"/>
        <v>-0.94770761458595332</v>
      </c>
      <c r="BT336" s="77">
        <f t="shared" si="1284"/>
        <v>-2.4081238290715561</v>
      </c>
      <c r="BU336" s="487">
        <f t="shared" si="1284"/>
        <v>-0.38839088928171406</v>
      </c>
      <c r="BV336" s="77">
        <f t="shared" si="1284"/>
        <v>-0.14307272779545077</v>
      </c>
      <c r="BW336" s="77">
        <f t="shared" si="1284"/>
        <v>-0.32827118450490023</v>
      </c>
      <c r="BX336" s="77">
        <f t="shared" si="1284"/>
        <v>-1.1074511914430585</v>
      </c>
      <c r="BY336" s="487">
        <f t="shared" si="1284"/>
        <v>-1.252794457889244</v>
      </c>
      <c r="BZ336" s="15">
        <f t="shared" si="1280"/>
        <v>-0.93318379919990002</v>
      </c>
      <c r="CA336" s="15">
        <f t="shared" si="1280"/>
        <v>-0.99583275018876949</v>
      </c>
      <c r="CB336" s="15">
        <f t="shared" si="1280"/>
        <v>-2.1904300329755237</v>
      </c>
      <c r="CC336" s="518">
        <f t="shared" si="1280"/>
        <v>-0.708421947643053</v>
      </c>
      <c r="CD336" s="77">
        <f t="shared" ref="CD336:CK336" si="1285">AVERAGE(CD335,BZ335)</f>
        <v>0.12503660857610455</v>
      </c>
      <c r="CE336" s="77">
        <f t="shared" si="1285"/>
        <v>4.3675199654171104E-2</v>
      </c>
      <c r="CF336" s="77">
        <f t="shared" si="1285"/>
        <v>1.8204736292926016E-2</v>
      </c>
      <c r="CG336" s="487">
        <f t="shared" si="1285"/>
        <v>3.4696984332345138E-2</v>
      </c>
      <c r="CH336" s="77">
        <f t="shared" si="1285"/>
        <v>7.3770321987568721E-2</v>
      </c>
      <c r="CI336" s="77">
        <f t="shared" si="1285"/>
        <v>1.6363110480599241E-2</v>
      </c>
      <c r="CJ336" s="77">
        <f t="shared" si="1285"/>
        <v>5.8841915748007623E-2</v>
      </c>
      <c r="CK336" s="487">
        <f t="shared" si="1285"/>
        <v>8.6010381808735992E-2</v>
      </c>
      <c r="CL336" s="77">
        <f>AVERAGE(CL335,CD335)</f>
        <v>-0.26549739719281423</v>
      </c>
      <c r="CM336" s="77">
        <f>AVERAGE(CM335,CE335)</f>
        <v>-0.28235172105812945</v>
      </c>
      <c r="CN336" s="77">
        <f>AVERAGE(CN335,CF335)</f>
        <v>-0.30099456866691326</v>
      </c>
      <c r="CO336" s="487">
        <f>AVERAGE(CO335,CG335)</f>
        <v>-0.28503880033504414</v>
      </c>
      <c r="CP336" s="77">
        <f>AVERAGE(CP335,CL335)</f>
        <v>-0.50682181138531124</v>
      </c>
      <c r="CQ336" s="77">
        <f>AVERAGE(CQ335,CI335)</f>
        <v>-0.40694904220806077</v>
      </c>
      <c r="CR336" s="77">
        <f>AVERAGE(CR335,CJ335)</f>
        <v>-0.31224920993955224</v>
      </c>
      <c r="CS336" s="487">
        <f t="shared" ref="CS336:DB336" si="1286">AVERAGE(CS335,CO335)</f>
        <v>-0.66001417993160727</v>
      </c>
      <c r="CT336" s="77">
        <f t="shared" si="1286"/>
        <v>-0.23564491274928079</v>
      </c>
      <c r="CU336" s="77">
        <f t="shared" si="1286"/>
        <v>-0.41516253703427847</v>
      </c>
      <c r="CV336" s="77">
        <f t="shared" si="1286"/>
        <v>-0.40207850038534321</v>
      </c>
      <c r="CW336" s="487">
        <f t="shared" si="1286"/>
        <v>-0.36001055480261857</v>
      </c>
      <c r="CX336" s="77">
        <f t="shared" si="1286"/>
        <v>-8.6980914578276836E-2</v>
      </c>
      <c r="CY336" s="77">
        <f t="shared" si="1286"/>
        <v>-4.9254534275997797E-2</v>
      </c>
      <c r="CZ336" s="77">
        <f t="shared" si="1286"/>
        <v>-8.3398118267461074E-2</v>
      </c>
      <c r="DA336" s="487">
        <f t="shared" si="1286"/>
        <v>-0.13405344360758376</v>
      </c>
      <c r="DB336" s="77">
        <f t="shared" si="1286"/>
        <v>-6.5806007855706283E-2</v>
      </c>
      <c r="DC336" s="77">
        <f t="shared" ref="DC336:DM336" si="1287">AVERAGE(DC335,CY335)</f>
        <v>-2.2210783217648189E-2</v>
      </c>
      <c r="DD336" s="77">
        <f t="shared" si="1287"/>
        <v>-5.4828331390831431E-2</v>
      </c>
      <c r="DE336" s="487">
        <f t="shared" si="1287"/>
        <v>-0.16015343915343913</v>
      </c>
      <c r="DF336" s="77">
        <f t="shared" si="1287"/>
        <v>1.3960039105462577E-2</v>
      </c>
      <c r="DG336" s="70">
        <f t="shared" si="1287"/>
        <v>-3.1153846153846323E-3</v>
      </c>
      <c r="DH336" s="70">
        <f t="shared" si="1287"/>
        <v>1.0070707070707004E-2</v>
      </c>
      <c r="DI336" s="487">
        <f t="shared" si="1287"/>
        <v>1.15E-2</v>
      </c>
      <c r="DJ336" s="1673">
        <f t="shared" si="1287"/>
        <v>0.09</v>
      </c>
      <c r="DK336" s="70">
        <f t="shared" si="1287"/>
        <v>4.65E-2</v>
      </c>
      <c r="DL336" s="70">
        <f t="shared" si="1287"/>
        <v>4.8000000000000001E-2</v>
      </c>
      <c r="DM336" s="487">
        <f t="shared" si="1287"/>
        <v>7.7499999999999999E-2</v>
      </c>
      <c r="DN336" s="580"/>
      <c r="DO336" s="487"/>
      <c r="DP336" s="77"/>
      <c r="DQ336" s="77"/>
      <c r="DR336" s="77"/>
      <c r="DS336" s="77"/>
      <c r="DT336" s="77"/>
      <c r="DU336" s="77"/>
      <c r="DV336" s="77"/>
      <c r="DW336" s="77"/>
      <c r="DX336" s="77"/>
      <c r="DY336" s="77"/>
      <c r="DZ336" s="77"/>
      <c r="EA336" s="77"/>
      <c r="EB336" s="77"/>
      <c r="EC336" s="77"/>
      <c r="ED336" s="77"/>
      <c r="EE336" s="15"/>
      <c r="EJ336" s="19"/>
      <c r="EK336" s="88"/>
      <c r="EL336" s="88"/>
      <c r="EM336" s="77"/>
      <c r="EN336" s="77">
        <f>EN335/EM335-1</f>
        <v>-0.62395626538849036</v>
      </c>
      <c r="EO336" s="77">
        <f>EO335/EN335-1</f>
        <v>-0.77592538329170491</v>
      </c>
      <c r="EP336" s="77">
        <f>EP335/EO335-1</f>
        <v>-0.67271353560419556</v>
      </c>
      <c r="EQ336" s="15">
        <f>EQ335/EN335-1</f>
        <v>-0.87020604754907516</v>
      </c>
      <c r="ER336" s="77">
        <f>AVERAGE(ER335,EQ335)</f>
        <v>5.1947695967269336E-2</v>
      </c>
      <c r="ES336" s="77">
        <f>AVERAGE(ES335,ER335)</f>
        <v>6.0208000868952727E-2</v>
      </c>
      <c r="ET336" s="77">
        <f>AVERAGE(ET335,ER335)</f>
        <v>-0.28486723711182638</v>
      </c>
      <c r="EU336" s="77">
        <f t="shared" ref="EU336:EZ336" si="1288">AVERAGE(EU335,ET335)</f>
        <v>-0.46897361011882271</v>
      </c>
      <c r="EV336" s="77">
        <f t="shared" si="1288"/>
        <v>-0.18239021234243891</v>
      </c>
      <c r="EW336" s="77">
        <f t="shared" si="1288"/>
        <v>-9.7982930063855889E-2</v>
      </c>
      <c r="EX336" s="77">
        <f t="shared" si="1288"/>
        <v>-8.3159943762805111E-2</v>
      </c>
      <c r="EY336" s="77">
        <f t="shared" si="1288"/>
        <v>2.8888013208127172E-2</v>
      </c>
      <c r="EZ336" s="1680">
        <f t="shared" si="1288"/>
        <v>1.0557432050465387E-2</v>
      </c>
      <c r="FA336" s="77">
        <f t="shared" ref="FA336:FH336" si="1289">FA335+EZ335</f>
        <v>-2.75342056572986E-2</v>
      </c>
      <c r="FB336" s="77">
        <f t="shared" si="1289"/>
        <v>0.03</v>
      </c>
      <c r="FC336" s="77">
        <f t="shared" si="1289"/>
        <v>0.02</v>
      </c>
      <c r="FD336" s="77">
        <f t="shared" si="1289"/>
        <v>0.02</v>
      </c>
      <c r="FE336" s="77">
        <f t="shared" si="1289"/>
        <v>0.02</v>
      </c>
      <c r="FF336" s="77">
        <f t="shared" si="1289"/>
        <v>0.02</v>
      </c>
      <c r="FG336" s="77">
        <f t="shared" si="1289"/>
        <v>0.02</v>
      </c>
      <c r="FH336" s="77">
        <f t="shared" si="1289"/>
        <v>0.02</v>
      </c>
      <c r="FI336" s="580"/>
      <c r="FJ336"/>
      <c r="FK336"/>
      <c r="FL336"/>
      <c r="FM336"/>
      <c r="FN336"/>
      <c r="FO336"/>
      <c r="FP336" s="3"/>
      <c r="FS336" s="70"/>
      <c r="FT336" s="70"/>
      <c r="FU336"/>
      <c r="FV336"/>
      <c r="FW336" s="70"/>
      <c r="FX336" s="70"/>
      <c r="FY336" s="70"/>
      <c r="FZ336"/>
      <c r="GA336"/>
      <c r="GB336"/>
      <c r="GC336"/>
      <c r="GD336"/>
      <c r="GE336"/>
      <c r="GF336"/>
      <c r="GG336"/>
      <c r="GH336"/>
      <c r="GI336"/>
      <c r="GJ336"/>
      <c r="GK336"/>
      <c r="GL336"/>
      <c r="GM336"/>
      <c r="GN336"/>
      <c r="GO336"/>
      <c r="GP336"/>
      <c r="GQ336"/>
      <c r="GR336"/>
      <c r="GS336"/>
      <c r="GT336"/>
      <c r="GU336"/>
      <c r="GV336"/>
      <c r="GW336"/>
      <c r="GX336"/>
      <c r="GY336"/>
      <c r="GZ336"/>
      <c r="HA336"/>
      <c r="HB336"/>
      <c r="HC336"/>
      <c r="HD336"/>
      <c r="HE336"/>
      <c r="HF336"/>
      <c r="HG336"/>
      <c r="HH336"/>
      <c r="HI336"/>
      <c r="HJ336"/>
      <c r="HK336"/>
      <c r="HL336"/>
      <c r="HM336"/>
      <c r="HN336"/>
      <c r="HO336"/>
      <c r="HP336"/>
      <c r="HQ336"/>
      <c r="HR336"/>
      <c r="HS336"/>
      <c r="HT336"/>
      <c r="HU336"/>
      <c r="HV336"/>
      <c r="HW336"/>
      <c r="HX336"/>
      <c r="HY336"/>
      <c r="HZ336"/>
      <c r="IA336"/>
      <c r="IB336"/>
      <c r="IC336"/>
      <c r="ID336"/>
      <c r="IE336"/>
      <c r="IF336"/>
      <c r="IG336"/>
      <c r="IH336"/>
      <c r="II336"/>
      <c r="IJ336"/>
      <c r="IK336"/>
      <c r="IL336"/>
      <c r="IM336"/>
      <c r="IN336"/>
      <c r="IO336"/>
      <c r="IP336"/>
      <c r="IQ336"/>
      <c r="IR336"/>
      <c r="IS336"/>
      <c r="IT336"/>
      <c r="IU336"/>
      <c r="IV336"/>
      <c r="IW336"/>
      <c r="IX336"/>
      <c r="IY336"/>
      <c r="IZ336"/>
    </row>
    <row r="337" spans="1:260" s="4" customFormat="1" hidden="1" outlineLevel="1" x14ac:dyDescent="0.2">
      <c r="E337" s="470"/>
      <c r="I337" s="470"/>
      <c r="M337" s="470"/>
      <c r="Q337" s="470"/>
      <c r="U337" s="470"/>
      <c r="Y337" s="470"/>
      <c r="AC337" s="470"/>
      <c r="AG337" s="470"/>
      <c r="AK337" s="470"/>
      <c r="AO337" s="470"/>
      <c r="AS337" s="470"/>
      <c r="AW337" s="470"/>
      <c r="BA337" s="470"/>
      <c r="BB337" s="6"/>
      <c r="BC337" s="6"/>
      <c r="BE337" s="484"/>
      <c r="BF337" s="6"/>
      <c r="BG337" s="6"/>
      <c r="BH337" s="6"/>
      <c r="BI337" s="484"/>
      <c r="BJ337" s="6"/>
      <c r="BK337" s="6"/>
      <c r="BL337" s="6"/>
      <c r="BM337" s="484"/>
      <c r="BN337" s="6"/>
      <c r="BO337" s="6"/>
      <c r="BP337" s="6"/>
      <c r="BQ337" s="484"/>
      <c r="BR337" s="6"/>
      <c r="BS337" s="6"/>
      <c r="BT337" s="6"/>
      <c r="BU337" s="499"/>
      <c r="BV337" s="6"/>
      <c r="BW337" s="6"/>
      <c r="BX337" s="6"/>
      <c r="BY337" s="484"/>
      <c r="BZ337" s="6"/>
      <c r="CA337" s="6"/>
      <c r="CB337" s="6"/>
      <c r="CC337" s="499"/>
      <c r="CD337" s="6"/>
      <c r="CE337" s="6"/>
      <c r="CF337" s="6"/>
      <c r="CG337" s="484"/>
      <c r="CH337" s="6"/>
      <c r="CI337" s="6"/>
      <c r="CJ337" s="6"/>
      <c r="CK337" s="484"/>
      <c r="CL337" s="6"/>
      <c r="CM337" s="6"/>
      <c r="CN337" s="6"/>
      <c r="CO337" s="484"/>
      <c r="CP337" s="6"/>
      <c r="CQ337" s="6"/>
      <c r="CR337" s="6"/>
      <c r="CS337" s="499"/>
      <c r="CT337" s="88"/>
      <c r="CU337" s="6"/>
      <c r="CV337" s="6"/>
      <c r="CW337" s="484"/>
      <c r="CX337" s="6"/>
      <c r="CY337" s="6"/>
      <c r="CZ337" s="6"/>
      <c r="DA337" s="484"/>
      <c r="DB337" s="6"/>
      <c r="DC337" s="6"/>
      <c r="DD337" s="6"/>
      <c r="DE337" s="484"/>
      <c r="DF337" s="6"/>
      <c r="DG337" s="7"/>
      <c r="DH337" s="7"/>
      <c r="DI337" s="484"/>
      <c r="DJ337" s="1671"/>
      <c r="DK337" s="7"/>
      <c r="DL337" s="7"/>
      <c r="DM337" s="484"/>
      <c r="DN337" s="590"/>
      <c r="DO337" s="499"/>
      <c r="DP337" s="88"/>
      <c r="DQ337" s="88"/>
      <c r="DR337" s="88"/>
      <c r="DS337" s="88"/>
      <c r="DT337" s="88"/>
      <c r="DU337" s="88"/>
      <c r="DV337" s="88"/>
      <c r="DW337" s="88"/>
      <c r="DX337" s="88"/>
      <c r="DY337" s="88"/>
      <c r="DZ337" s="88"/>
      <c r="EA337" s="88"/>
      <c r="EB337" s="88"/>
      <c r="EC337" s="88"/>
      <c r="ED337" s="88"/>
      <c r="EJ337" s="19"/>
      <c r="EK337" s="88"/>
      <c r="EL337" s="88"/>
      <c r="EM337" s="88"/>
      <c r="EN337" s="88"/>
      <c r="EO337" s="88"/>
      <c r="EP337" s="88"/>
      <c r="EQ337" s="88"/>
      <c r="ER337" s="88"/>
      <c r="ES337" s="88"/>
      <c r="ET337" s="88"/>
      <c r="EU337" s="88"/>
      <c r="EV337" s="88"/>
      <c r="EW337" s="88"/>
      <c r="EX337" s="88"/>
      <c r="EY337" s="88"/>
      <c r="EZ337" s="1738"/>
      <c r="FA337" s="88"/>
      <c r="FB337" s="88"/>
      <c r="FC337" s="88"/>
      <c r="FD337" s="88"/>
      <c r="FE337" s="88"/>
      <c r="FF337" s="88"/>
      <c r="FG337" s="88"/>
      <c r="FH337" s="88"/>
      <c r="FI337" s="590"/>
      <c r="FJ337"/>
      <c r="FK337"/>
      <c r="FL337"/>
      <c r="FM337"/>
      <c r="FN337"/>
      <c r="FO337"/>
      <c r="FP337" s="3"/>
      <c r="FS337" s="53"/>
      <c r="FT337" s="53"/>
      <c r="FU337"/>
      <c r="FV337"/>
      <c r="FW337" s="53"/>
      <c r="FX337" s="53"/>
      <c r="FY337" s="53"/>
      <c r="FZ337"/>
      <c r="GA337"/>
      <c r="GB337"/>
      <c r="GC337"/>
      <c r="GD337"/>
      <c r="GE337"/>
      <c r="GF337"/>
      <c r="GG337"/>
      <c r="GH337"/>
      <c r="GI337"/>
      <c r="GJ337"/>
      <c r="GK337"/>
      <c r="GL337"/>
      <c r="GM337"/>
      <c r="GN337"/>
      <c r="GO337"/>
      <c r="GP337"/>
      <c r="GQ337"/>
      <c r="GR337"/>
      <c r="GS337"/>
      <c r="GT337"/>
      <c r="GU337"/>
      <c r="GV337"/>
      <c r="GW337"/>
      <c r="GX337"/>
      <c r="GY337"/>
      <c r="GZ337"/>
      <c r="HA337"/>
      <c r="HB337"/>
      <c r="HC337"/>
      <c r="HD337"/>
      <c r="HE337"/>
      <c r="HF337"/>
      <c r="HG337"/>
      <c r="HH337"/>
      <c r="HI337"/>
      <c r="HJ337"/>
      <c r="HK337"/>
      <c r="HL337"/>
      <c r="HM337"/>
      <c r="HN337"/>
      <c r="HO337"/>
      <c r="HP337"/>
      <c r="HQ337"/>
      <c r="HR337"/>
      <c r="HS337"/>
      <c r="HT337"/>
      <c r="HU337"/>
      <c r="HV337"/>
      <c r="HW337"/>
      <c r="HX337"/>
      <c r="HY337"/>
      <c r="HZ337"/>
      <c r="IA337"/>
      <c r="IB337"/>
      <c r="IC337"/>
      <c r="ID337"/>
      <c r="IE337"/>
      <c r="IF337"/>
      <c r="IG337"/>
      <c r="IH337"/>
      <c r="II337"/>
      <c r="IJ337"/>
      <c r="IK337"/>
      <c r="IL337"/>
      <c r="IM337"/>
      <c r="IN337"/>
      <c r="IO337"/>
      <c r="IP337"/>
      <c r="IQ337"/>
      <c r="IR337"/>
      <c r="IS337"/>
      <c r="IT337"/>
      <c r="IU337"/>
      <c r="IV337"/>
      <c r="IW337"/>
      <c r="IX337"/>
      <c r="IY337"/>
      <c r="IZ337"/>
    </row>
    <row r="338" spans="1:260" s="4" customFormat="1" hidden="1" outlineLevel="1" x14ac:dyDescent="0.2">
      <c r="A338" s="4" t="s">
        <v>385</v>
      </c>
      <c r="E338" s="470"/>
      <c r="I338" s="470"/>
      <c r="M338" s="470"/>
      <c r="Q338" s="470"/>
      <c r="U338" s="470"/>
      <c r="Y338" s="470"/>
      <c r="AC338" s="470"/>
      <c r="AG338" s="470"/>
      <c r="AK338" s="470"/>
      <c r="AO338" s="470"/>
      <c r="AS338" s="470"/>
      <c r="AW338" s="470"/>
      <c r="BA338" s="470"/>
      <c r="BB338" s="6"/>
      <c r="BC338" s="6"/>
      <c r="BE338" s="484"/>
      <c r="BF338" s="789">
        <f>BF361*BF$354</f>
        <v>134.53</v>
      </c>
      <c r="BG338" s="789">
        <f>BG361*BG$354</f>
        <v>151.6</v>
      </c>
      <c r="BH338" s="789">
        <f>BH361*BH$354</f>
        <v>241.08</v>
      </c>
      <c r="BI338" s="875">
        <f>EL338-SUM(BF338:BH338)</f>
        <v>343.14</v>
      </c>
      <c r="BJ338" s="789">
        <f>BJ361*BJ$354</f>
        <v>184.44</v>
      </c>
      <c r="BK338" s="789">
        <f>BK361*BK$354</f>
        <v>183.48</v>
      </c>
      <c r="BL338" s="789">
        <f>BL361*BL$354</f>
        <v>198.23999999999998</v>
      </c>
      <c r="BM338" s="875">
        <f>EM338-SUM(BJ338:BL338)</f>
        <v>328.89</v>
      </c>
      <c r="BN338" s="789">
        <f t="shared" ref="BN338:CS338" si="1290">BN361*BN$354</f>
        <v>128.5</v>
      </c>
      <c r="BO338" s="789">
        <f t="shared" si="1290"/>
        <v>137.4</v>
      </c>
      <c r="BP338" s="789">
        <f t="shared" si="1290"/>
        <v>216.51000000000002</v>
      </c>
      <c r="BQ338" s="875">
        <f t="shared" si="1290"/>
        <v>317.52</v>
      </c>
      <c r="BR338" s="789">
        <f t="shared" si="1290"/>
        <v>143.20000000000002</v>
      </c>
      <c r="BS338" s="789">
        <f t="shared" si="1290"/>
        <v>145.15</v>
      </c>
      <c r="BT338" s="789">
        <f t="shared" si="1290"/>
        <v>190.79999999999998</v>
      </c>
      <c r="BU338" s="875">
        <f t="shared" si="1290"/>
        <v>289.73</v>
      </c>
      <c r="BV338" s="789">
        <f t="shared" si="1290"/>
        <v>123.24000000000001</v>
      </c>
      <c r="BW338" s="789">
        <f t="shared" si="1290"/>
        <v>91.08</v>
      </c>
      <c r="BX338" s="789">
        <f t="shared" si="1290"/>
        <v>160.70000000000002</v>
      </c>
      <c r="BY338" s="875">
        <f t="shared" si="1290"/>
        <v>241.79999999999998</v>
      </c>
      <c r="BZ338" s="789">
        <f t="shared" si="1290"/>
        <v>140.55000000000001</v>
      </c>
      <c r="CA338" s="789">
        <f t="shared" si="1290"/>
        <v>108.68</v>
      </c>
      <c r="CB338" s="789">
        <f t="shared" si="1290"/>
        <v>121.72</v>
      </c>
      <c r="CC338" s="875">
        <f t="shared" si="1290"/>
        <v>326.88</v>
      </c>
      <c r="CD338" s="789">
        <f t="shared" si="1290"/>
        <v>119.08</v>
      </c>
      <c r="CE338" s="789">
        <f t="shared" si="1290"/>
        <v>115.16</v>
      </c>
      <c r="CF338" s="789">
        <f t="shared" si="1290"/>
        <v>123.60000000000001</v>
      </c>
      <c r="CG338" s="875">
        <f t="shared" si="1290"/>
        <v>286.16000000000003</v>
      </c>
      <c r="CH338" s="789">
        <f t="shared" si="1290"/>
        <v>55.76</v>
      </c>
      <c r="CI338" s="789">
        <f t="shared" si="1290"/>
        <v>109.76</v>
      </c>
      <c r="CJ338" s="789">
        <f t="shared" si="1290"/>
        <v>92.399999999999991</v>
      </c>
      <c r="CK338" s="875">
        <f t="shared" si="1290"/>
        <v>249.66</v>
      </c>
      <c r="CL338" s="789">
        <f t="shared" si="1290"/>
        <v>108.57000000000001</v>
      </c>
      <c r="CM338" s="789">
        <f t="shared" si="1290"/>
        <v>92.16</v>
      </c>
      <c r="CN338" s="789">
        <f t="shared" si="1290"/>
        <v>102.47999999999999</v>
      </c>
      <c r="CO338" s="875">
        <f t="shared" si="1290"/>
        <v>240.20000000000002</v>
      </c>
      <c r="CP338" s="789">
        <f t="shared" si="1290"/>
        <v>58.919999999999995</v>
      </c>
      <c r="CQ338" s="789">
        <f t="shared" si="1290"/>
        <v>38.36</v>
      </c>
      <c r="CR338" s="789">
        <f t="shared" si="1290"/>
        <v>66.72</v>
      </c>
      <c r="CS338" s="875">
        <f t="shared" si="1290"/>
        <v>189.97</v>
      </c>
      <c r="CT338" s="789">
        <f t="shared" ref="CT338:CY338" si="1291">CT361*CT$354</f>
        <v>51.48</v>
      </c>
      <c r="CU338" s="789">
        <f t="shared" si="1291"/>
        <v>43.7</v>
      </c>
      <c r="CV338" s="789">
        <f t="shared" si="1291"/>
        <v>62.4</v>
      </c>
      <c r="CW338" s="875">
        <f t="shared" si="1291"/>
        <v>166.32</v>
      </c>
      <c r="CX338" s="789">
        <f t="shared" si="1291"/>
        <v>53.44</v>
      </c>
      <c r="CY338" s="789">
        <f t="shared" si="1291"/>
        <v>45.500000000000007</v>
      </c>
      <c r="CZ338" s="789">
        <f t="shared" ref="CZ338:DE338" si="1292">CZ361*CZ$325</f>
        <v>58.32</v>
      </c>
      <c r="DA338" s="875">
        <f t="shared" si="1292"/>
        <v>133.91999999999999</v>
      </c>
      <c r="DB338" s="789">
        <f>DB361*DB$325</f>
        <v>36.839999999999996</v>
      </c>
      <c r="DC338" s="789">
        <f t="shared" si="1292"/>
        <v>38.64</v>
      </c>
      <c r="DD338" s="789">
        <f>DD361*DD$325</f>
        <v>45.18</v>
      </c>
      <c r="DE338" s="875">
        <f t="shared" si="1292"/>
        <v>102.96</v>
      </c>
      <c r="DF338" s="789">
        <f t="shared" ref="DF338:DM338" si="1293">DF361*DF$325</f>
        <v>43.120000000000005</v>
      </c>
      <c r="DG338" s="880">
        <f t="shared" si="1293"/>
        <v>33.4</v>
      </c>
      <c r="DH338" s="880">
        <f t="shared" si="1293"/>
        <v>49.739999999999995</v>
      </c>
      <c r="DI338" s="875">
        <f t="shared" si="1293"/>
        <v>123.83999999999999</v>
      </c>
      <c r="DJ338" s="1675">
        <f t="shared" si="1293"/>
        <v>65.85098048780489</v>
      </c>
      <c r="DK338" s="880">
        <f t="shared" si="1293"/>
        <v>70.275867218543041</v>
      </c>
      <c r="DL338" s="880">
        <f t="shared" si="1293"/>
        <v>87.915449999999993</v>
      </c>
      <c r="DM338" s="875">
        <f t="shared" si="1293"/>
        <v>148.09200000000001</v>
      </c>
      <c r="DN338" s="588"/>
      <c r="DO338" s="565"/>
      <c r="DP338" s="177"/>
      <c r="DQ338" s="177"/>
      <c r="DR338" s="177"/>
      <c r="DS338" s="177"/>
      <c r="DT338" s="177"/>
      <c r="DU338" s="177"/>
      <c r="DV338" s="177"/>
      <c r="DW338" s="177"/>
      <c r="DX338" s="177"/>
      <c r="DY338" s="177"/>
      <c r="DZ338" s="177"/>
      <c r="EA338" s="177"/>
      <c r="EB338" s="177"/>
      <c r="EC338" s="177"/>
      <c r="ED338" s="177"/>
      <c r="EE338" s="296"/>
      <c r="EJ338" s="19"/>
      <c r="EK338" s="88"/>
      <c r="EL338" s="789">
        <f>EL361*EL$354</f>
        <v>870.35</v>
      </c>
      <c r="EM338" s="789">
        <f>EM361*EM$354</f>
        <v>895.05</v>
      </c>
      <c r="EN338" s="789">
        <f>SUM(BN338:BQ338)</f>
        <v>799.93</v>
      </c>
      <c r="EO338" s="789">
        <f>SUM(BR338:BU338)</f>
        <v>768.88</v>
      </c>
      <c r="EP338" s="789">
        <f>SUM(BV338:BY338)</f>
        <v>616.81999999999994</v>
      </c>
      <c r="EQ338" s="789">
        <f>SUM(BZ338:CC338)</f>
        <v>697.83</v>
      </c>
      <c r="ER338" s="789">
        <f>SUM(CD338:CG338)</f>
        <v>644</v>
      </c>
      <c r="ES338" s="789">
        <f>SUM(CH338:CK338)</f>
        <v>507.58000000000004</v>
      </c>
      <c r="ET338" s="789">
        <f>SUM(CL338:CO338)</f>
        <v>543.41000000000008</v>
      </c>
      <c r="EU338" s="789">
        <f>SUM(CP338:CS338)</f>
        <v>353.97</v>
      </c>
      <c r="EV338" s="789">
        <f>SUM(CT338:CW338)</f>
        <v>323.89999999999998</v>
      </c>
      <c r="EW338" s="789">
        <f>SUM(CX338:DA338)</f>
        <v>291.17999999999995</v>
      </c>
      <c r="EX338" s="789">
        <f>SUM(DB338:DE338)</f>
        <v>223.62</v>
      </c>
      <c r="EY338" s="789">
        <f>SUM(DF338:DI338)</f>
        <v>250.1</v>
      </c>
      <c r="EZ338" s="1737">
        <f>SUM(DJ338:DM338)</f>
        <v>372.13429770634792</v>
      </c>
      <c r="FA338" s="789">
        <f t="shared" ref="FA338:FH338" si="1294">EZ338*(1+FA339)</f>
        <v>553.71425641502117</v>
      </c>
      <c r="FB338" s="789">
        <f t="shared" si="1294"/>
        <v>823.89470588163363</v>
      </c>
      <c r="FC338" s="789">
        <f t="shared" si="1294"/>
        <v>1225.9075480097554</v>
      </c>
      <c r="FD338" s="789">
        <f t="shared" si="1294"/>
        <v>1824.0793459876902</v>
      </c>
      <c r="FE338" s="789">
        <f t="shared" si="1294"/>
        <v>2714.1242958008138</v>
      </c>
      <c r="FF338" s="789">
        <f t="shared" si="1294"/>
        <v>4038.4595709938903</v>
      </c>
      <c r="FG338" s="789">
        <f t="shared" si="1294"/>
        <v>6008.9936676021216</v>
      </c>
      <c r="FH338" s="789">
        <f t="shared" si="1294"/>
        <v>8941.0341400040288</v>
      </c>
      <c r="FI338" s="1194"/>
      <c r="FJ338"/>
      <c r="FK338"/>
      <c r="FL338"/>
      <c r="FM338"/>
      <c r="FN338"/>
      <c r="FO338"/>
      <c r="FP338" s="3"/>
      <c r="FS338" s="880"/>
      <c r="FT338" s="880"/>
      <c r="FU338"/>
      <c r="FV338"/>
      <c r="FW338" s="880"/>
      <c r="FX338" s="880"/>
      <c r="FY338" s="880"/>
      <c r="FZ338"/>
      <c r="GA338"/>
      <c r="GB338"/>
      <c r="GC338"/>
      <c r="GD338"/>
      <c r="GE338"/>
      <c r="GF338"/>
      <c r="GG338"/>
      <c r="GH338"/>
      <c r="GI338"/>
      <c r="GJ338"/>
      <c r="GK338"/>
      <c r="GL338"/>
      <c r="GM338"/>
      <c r="GN338"/>
      <c r="GO338"/>
      <c r="GP338"/>
      <c r="GQ338"/>
      <c r="GR338"/>
      <c r="GS338"/>
      <c r="GT338"/>
      <c r="GU338"/>
      <c r="GV338"/>
      <c r="GW338"/>
      <c r="GX338"/>
      <c r="GY338"/>
      <c r="GZ338"/>
      <c r="HA338"/>
      <c r="HB338"/>
      <c r="HC338"/>
      <c r="HD338"/>
      <c r="HE338"/>
      <c r="HF338"/>
      <c r="HG338"/>
      <c r="HH338"/>
      <c r="HI338"/>
      <c r="HJ338"/>
      <c r="HK338"/>
      <c r="HL338"/>
      <c r="HM338"/>
      <c r="HN338"/>
      <c r="HO338"/>
      <c r="HP338"/>
      <c r="HQ338"/>
      <c r="HR338"/>
      <c r="HS338"/>
      <c r="HT338"/>
      <c r="HU338"/>
      <c r="HV338"/>
      <c r="HW338"/>
      <c r="HX338"/>
      <c r="HY338"/>
      <c r="HZ338"/>
      <c r="IA338"/>
      <c r="IB338"/>
      <c r="IC338"/>
      <c r="ID338"/>
      <c r="IE338"/>
      <c r="IF338"/>
      <c r="IG338"/>
      <c r="IH338"/>
      <c r="II338"/>
      <c r="IJ338"/>
      <c r="IK338"/>
      <c r="IL338"/>
      <c r="IM338"/>
      <c r="IN338"/>
      <c r="IO338"/>
      <c r="IP338"/>
      <c r="IQ338"/>
      <c r="IR338"/>
      <c r="IS338"/>
      <c r="IT338"/>
      <c r="IU338"/>
      <c r="IV338"/>
      <c r="IW338"/>
      <c r="IX338"/>
      <c r="IY338"/>
      <c r="IZ338"/>
    </row>
    <row r="339" spans="1:260" s="4" customFormat="1" hidden="1" outlineLevel="1" x14ac:dyDescent="0.2">
      <c r="A339" s="4" t="s">
        <v>482</v>
      </c>
      <c r="E339" s="470"/>
      <c r="I339" s="470"/>
      <c r="M339" s="470"/>
      <c r="Q339" s="470"/>
      <c r="U339" s="470"/>
      <c r="Y339" s="470"/>
      <c r="AC339" s="470"/>
      <c r="AG339" s="470"/>
      <c r="AK339" s="470"/>
      <c r="AO339" s="470"/>
      <c r="AS339" s="470"/>
      <c r="AW339" s="470"/>
      <c r="BA339" s="470"/>
      <c r="BB339" s="6"/>
      <c r="BC339" s="6"/>
      <c r="BE339" s="484"/>
      <c r="BF339" s="213" t="s">
        <v>483</v>
      </c>
      <c r="BG339" s="213" t="s">
        <v>483</v>
      </c>
      <c r="BH339" s="213" t="s">
        <v>483</v>
      </c>
      <c r="BI339" s="490" t="s">
        <v>483</v>
      </c>
      <c r="BJ339" s="77">
        <f t="shared" ref="BJ339:BY339" si="1295">BJ338/BF338-1</f>
        <v>0.37099531702965871</v>
      </c>
      <c r="BK339" s="77">
        <f t="shared" si="1295"/>
        <v>0.21029023746701836</v>
      </c>
      <c r="BL339" s="77">
        <f t="shared" si="1295"/>
        <v>-0.17770034843205584</v>
      </c>
      <c r="BM339" s="487">
        <f t="shared" si="1295"/>
        <v>-4.1528239202657802E-2</v>
      </c>
      <c r="BN339" s="77">
        <f t="shared" si="1295"/>
        <v>-0.30329646497505958</v>
      </c>
      <c r="BO339" s="77">
        <f t="shared" si="1295"/>
        <v>-0.25114453891432298</v>
      </c>
      <c r="BP339" s="77">
        <f t="shared" si="1295"/>
        <v>9.2161016949152685E-2</v>
      </c>
      <c r="BQ339" s="487">
        <f t="shared" si="1295"/>
        <v>-3.4570829152604232E-2</v>
      </c>
      <c r="BR339" s="77">
        <f t="shared" si="1295"/>
        <v>0.11439688715953311</v>
      </c>
      <c r="BS339" s="77">
        <f t="shared" si="1295"/>
        <v>5.6404657933042168E-2</v>
      </c>
      <c r="BT339" s="77">
        <f t="shared" si="1295"/>
        <v>-0.11874740196757672</v>
      </c>
      <c r="BU339" s="487">
        <f t="shared" si="1295"/>
        <v>-8.7522045855379038E-2</v>
      </c>
      <c r="BV339" s="77">
        <f t="shared" si="1295"/>
        <v>-0.13938547486033526</v>
      </c>
      <c r="BW339" s="77">
        <f t="shared" si="1295"/>
        <v>-0.37251119531519117</v>
      </c>
      <c r="BX339" s="77">
        <f t="shared" si="1295"/>
        <v>-0.15775681341719061</v>
      </c>
      <c r="BY339" s="487">
        <f t="shared" si="1295"/>
        <v>-0.16542988299451222</v>
      </c>
      <c r="BZ339" s="15">
        <f t="shared" ref="BZ339:CC340" si="1296">BZ338/BN338-1</f>
        <v>9.3774319066147971E-2</v>
      </c>
      <c r="CA339" s="15">
        <f t="shared" si="1296"/>
        <v>-0.20902474526928672</v>
      </c>
      <c r="CB339" s="15">
        <f t="shared" si="1296"/>
        <v>-0.43780887718812067</v>
      </c>
      <c r="CC339" s="518">
        <f t="shared" si="1296"/>
        <v>2.947845804988658E-2</v>
      </c>
      <c r="CD339" s="77">
        <f t="shared" ref="CD339:CK339" si="1297">CD338/BZ338-1</f>
        <v>-0.15275702596940599</v>
      </c>
      <c r="CE339" s="77">
        <f t="shared" si="1297"/>
        <v>5.962458594037523E-2</v>
      </c>
      <c r="CF339" s="77">
        <f t="shared" si="1297"/>
        <v>1.5445284258954972E-2</v>
      </c>
      <c r="CG339" s="487">
        <f t="shared" si="1297"/>
        <v>-0.1245717082721487</v>
      </c>
      <c r="CH339" s="77">
        <f t="shared" si="1297"/>
        <v>-0.53174336580450121</v>
      </c>
      <c r="CI339" s="77">
        <f t="shared" si="1297"/>
        <v>-4.6891281695032871E-2</v>
      </c>
      <c r="CJ339" s="77">
        <f t="shared" si="1297"/>
        <v>-0.25242718446601953</v>
      </c>
      <c r="CK339" s="487">
        <f t="shared" si="1297"/>
        <v>-0.12755102040816335</v>
      </c>
      <c r="CL339" s="77">
        <f>CL338/CD338-1</f>
        <v>-8.825999328182732E-2</v>
      </c>
      <c r="CM339" s="77">
        <f>CM338/CE338-1</f>
        <v>-0.19972212573810355</v>
      </c>
      <c r="CN339" s="77">
        <f>CN338/CF338-1</f>
        <v>-0.17087378640776718</v>
      </c>
      <c r="CO339" s="487">
        <f>CO338/CG338-1</f>
        <v>-0.16060944925915577</v>
      </c>
      <c r="CP339" s="77">
        <f>CP338/CL338-1</f>
        <v>-0.45730864879801059</v>
      </c>
      <c r="CQ339" s="77">
        <f>CQ338/CI338-1</f>
        <v>-0.65051020408163263</v>
      </c>
      <c r="CR339" s="77">
        <f>CR338/CJ338-1</f>
        <v>-0.2779220779220779</v>
      </c>
      <c r="CS339" s="487">
        <f>CS338/CK338-1</f>
        <v>-0.23908515581190415</v>
      </c>
      <c r="CT339" s="77">
        <f t="shared" ref="CT339:DD339" si="1298">CT338/CP338-1</f>
        <v>-0.12627291242362526</v>
      </c>
      <c r="CU339" s="77">
        <f t="shared" si="1298"/>
        <v>0.1392075078206465</v>
      </c>
      <c r="CV339" s="77">
        <f t="shared" si="1298"/>
        <v>-6.4748201438848962E-2</v>
      </c>
      <c r="CW339" s="487">
        <f t="shared" si="1298"/>
        <v>-0.12449334105385068</v>
      </c>
      <c r="CX339" s="77">
        <f t="shared" si="1298"/>
        <v>3.8073038073038079E-2</v>
      </c>
      <c r="CY339" s="77">
        <f t="shared" si="1298"/>
        <v>4.1189931350114506E-2</v>
      </c>
      <c r="CZ339" s="77">
        <f t="shared" si="1298"/>
        <v>-6.5384615384615374E-2</v>
      </c>
      <c r="DA339" s="487">
        <f t="shared" si="1298"/>
        <v>-0.19480519480519487</v>
      </c>
      <c r="DB339" s="77">
        <f t="shared" si="1298"/>
        <v>-0.31062874251497008</v>
      </c>
      <c r="DC339" s="77">
        <f t="shared" si="1298"/>
        <v>-0.15076923076923088</v>
      </c>
      <c r="DD339" s="77">
        <f t="shared" si="1298"/>
        <v>-0.22530864197530864</v>
      </c>
      <c r="DE339" s="70">
        <v>-0.23799999999999999</v>
      </c>
      <c r="DF339" s="580">
        <v>0</v>
      </c>
      <c r="DG339" s="70">
        <v>5.0000000000000001E-3</v>
      </c>
      <c r="DH339" s="70">
        <v>7.8E-2</v>
      </c>
      <c r="DI339" s="70">
        <v>0.11</v>
      </c>
      <c r="DJ339" s="2779">
        <v>0</v>
      </c>
      <c r="DK339" s="2382">
        <v>0</v>
      </c>
      <c r="DL339" s="2382">
        <v>0</v>
      </c>
      <c r="DM339" s="2428">
        <v>0</v>
      </c>
      <c r="DN339" s="1285"/>
      <c r="DO339" s="1227"/>
      <c r="DP339" s="250"/>
      <c r="DQ339" s="250"/>
      <c r="DR339" s="250"/>
      <c r="DS339" s="250"/>
      <c r="DT339" s="250"/>
      <c r="DU339" s="250"/>
      <c r="DV339" s="250"/>
      <c r="DW339" s="250"/>
      <c r="DX339" s="250"/>
      <c r="DY339" s="250"/>
      <c r="DZ339" s="250"/>
      <c r="EA339" s="250"/>
      <c r="EB339" s="250"/>
      <c r="EC339" s="250"/>
      <c r="ED339" s="250"/>
      <c r="EE339" s="15"/>
      <c r="EJ339" s="19"/>
      <c r="EK339" s="88"/>
      <c r="EL339" s="864" t="s">
        <v>483</v>
      </c>
      <c r="EM339" s="77">
        <f>EM338/EL338-1</f>
        <v>2.8379387602688544E-2</v>
      </c>
      <c r="EN339" s="77">
        <f>EN338/EM338-1</f>
        <v>-0.10627339254790236</v>
      </c>
      <c r="EO339" s="77">
        <f>EO338/EN338-1</f>
        <v>-3.881589639093419E-2</v>
      </c>
      <c r="EP339" s="77">
        <f>EP338/EO338-1</f>
        <v>-0.19776818229112481</v>
      </c>
      <c r="EQ339" s="15">
        <f>EQ338/EN338-1</f>
        <v>-0.12763616816471435</v>
      </c>
      <c r="ER339" s="77">
        <f>ER338/EQ338-1</f>
        <v>-7.7139131307051967E-2</v>
      </c>
      <c r="ES339" s="77">
        <f>ES338/ER338-1</f>
        <v>-0.21183229813664595</v>
      </c>
      <c r="ET339" s="77">
        <f>ET338/ER338-1</f>
        <v>-0.15619565217391296</v>
      </c>
      <c r="EU339" s="77">
        <f t="shared" ref="EU339:EZ339" si="1299">EU338/ET338-1</f>
        <v>-0.34861338584126167</v>
      </c>
      <c r="EV339" s="77">
        <f t="shared" si="1299"/>
        <v>-8.495070203689592E-2</v>
      </c>
      <c r="EW339" s="77">
        <f t="shared" si="1299"/>
        <v>-0.10101883297313996</v>
      </c>
      <c r="EX339" s="77">
        <f t="shared" si="1299"/>
        <v>-0.23202143004327203</v>
      </c>
      <c r="EY339" s="77">
        <f t="shared" si="1299"/>
        <v>0.11841516858957157</v>
      </c>
      <c r="EZ339" s="1680">
        <f t="shared" si="1299"/>
        <v>0.48794201401978388</v>
      </c>
      <c r="FA339" s="1610">
        <f t="shared" ref="FA339:FH339" si="1300">EZ339</f>
        <v>0.48794201401978388</v>
      </c>
      <c r="FB339" s="1610">
        <f t="shared" si="1300"/>
        <v>0.48794201401978388</v>
      </c>
      <c r="FC339" s="1610">
        <f t="shared" si="1300"/>
        <v>0.48794201401978388</v>
      </c>
      <c r="FD339" s="1610">
        <f t="shared" si="1300"/>
        <v>0.48794201401978388</v>
      </c>
      <c r="FE339" s="1610">
        <f t="shared" si="1300"/>
        <v>0.48794201401978388</v>
      </c>
      <c r="FF339" s="1610">
        <f t="shared" si="1300"/>
        <v>0.48794201401978388</v>
      </c>
      <c r="FG339" s="1610">
        <f t="shared" si="1300"/>
        <v>0.48794201401978388</v>
      </c>
      <c r="FH339" s="1610">
        <f t="shared" si="1300"/>
        <v>0.48794201401978388</v>
      </c>
      <c r="FI339" s="589"/>
      <c r="FJ339"/>
      <c r="FK339"/>
      <c r="FL339"/>
      <c r="FM339"/>
      <c r="FN339"/>
      <c r="FO339"/>
      <c r="FP339" s="3"/>
      <c r="FS339" s="170"/>
      <c r="FT339" s="170"/>
      <c r="FU339"/>
      <c r="FV339"/>
      <c r="FW339" s="1606"/>
      <c r="FX339" s="1606"/>
      <c r="FY339" s="1606"/>
      <c r="FZ339"/>
      <c r="GA339"/>
      <c r="GB339"/>
      <c r="GC339"/>
      <c r="GD339"/>
      <c r="GE339"/>
      <c r="GF339"/>
      <c r="GG339"/>
      <c r="GH339"/>
      <c r="GI339"/>
      <c r="GJ339"/>
      <c r="GK339"/>
      <c r="GL339"/>
      <c r="GM339"/>
      <c r="GN339"/>
      <c r="GO339"/>
      <c r="GP339"/>
      <c r="GQ339"/>
      <c r="GR339"/>
      <c r="GS339"/>
      <c r="GT339"/>
      <c r="GU339"/>
      <c r="GV339"/>
      <c r="GW339"/>
      <c r="GX339"/>
      <c r="GY339"/>
      <c r="GZ339"/>
      <c r="HA339"/>
      <c r="HB339"/>
      <c r="HC339"/>
      <c r="HD339"/>
      <c r="HE339"/>
      <c r="HF339"/>
      <c r="HG339"/>
      <c r="HH339"/>
      <c r="HI339"/>
      <c r="HJ339"/>
      <c r="HK339"/>
      <c r="HL339"/>
      <c r="HM339"/>
      <c r="HN339"/>
      <c r="HO339"/>
      <c r="HP339"/>
      <c r="HQ339"/>
      <c r="HR339"/>
      <c r="HS339"/>
      <c r="HT339"/>
      <c r="HU339"/>
      <c r="HV339"/>
      <c r="HW339"/>
      <c r="HX339"/>
      <c r="HY339"/>
      <c r="HZ339"/>
      <c r="IA339"/>
      <c r="IB339"/>
      <c r="IC339"/>
      <c r="ID339"/>
      <c r="IE339"/>
      <c r="IF339"/>
      <c r="IG339"/>
      <c r="IH339"/>
      <c r="II339"/>
      <c r="IJ339"/>
      <c r="IK339"/>
      <c r="IL339"/>
      <c r="IM339"/>
      <c r="IN339"/>
      <c r="IO339"/>
      <c r="IP339"/>
      <c r="IQ339"/>
      <c r="IR339"/>
      <c r="IS339"/>
      <c r="IT339"/>
      <c r="IU339"/>
      <c r="IV339"/>
      <c r="IW339"/>
      <c r="IX339"/>
      <c r="IY339"/>
      <c r="IZ339"/>
    </row>
    <row r="340" spans="1:260" s="4" customFormat="1" hidden="1" outlineLevel="1" x14ac:dyDescent="0.2">
      <c r="A340" s="4" t="s">
        <v>4</v>
      </c>
      <c r="E340" s="470"/>
      <c r="I340" s="470"/>
      <c r="M340" s="470"/>
      <c r="Q340" s="470"/>
      <c r="U340" s="470"/>
      <c r="Y340" s="470"/>
      <c r="AC340" s="470"/>
      <c r="AG340" s="470"/>
      <c r="AK340" s="470"/>
      <c r="AO340" s="470"/>
      <c r="AS340" s="470"/>
      <c r="AW340" s="470"/>
      <c r="BA340" s="470"/>
      <c r="BB340" s="6"/>
      <c r="BC340" s="6"/>
      <c r="BE340" s="484"/>
      <c r="BF340" s="6"/>
      <c r="BG340" s="6"/>
      <c r="BH340" s="6"/>
      <c r="BI340" s="484"/>
      <c r="BJ340" s="77"/>
      <c r="BK340" s="77"/>
      <c r="BL340" s="77"/>
      <c r="BM340" s="487"/>
      <c r="BN340" s="77">
        <f t="shared" ref="BN340:BY340" si="1301">BN339/BJ339-1</f>
        <v>-1.8175210064735479</v>
      </c>
      <c r="BO340" s="77">
        <f t="shared" si="1301"/>
        <v>-2.1942757873090146</v>
      </c>
      <c r="BP340" s="77">
        <f t="shared" si="1301"/>
        <v>-1.5186316051844471</v>
      </c>
      <c r="BQ340" s="487">
        <f t="shared" si="1301"/>
        <v>-0.16753443400529</v>
      </c>
      <c r="BR340" s="77">
        <f t="shared" si="1301"/>
        <v>-1.3771784388220287</v>
      </c>
      <c r="BS340" s="77">
        <f t="shared" si="1301"/>
        <v>-1.224590421821931</v>
      </c>
      <c r="BT340" s="77">
        <f t="shared" si="1301"/>
        <v>-2.2884775569815199</v>
      </c>
      <c r="BU340" s="487">
        <f t="shared" si="1301"/>
        <v>1.5316733211412132</v>
      </c>
      <c r="BV340" s="77">
        <f t="shared" si="1301"/>
        <v>-2.2184376543913658</v>
      </c>
      <c r="BW340" s="77">
        <f t="shared" si="1301"/>
        <v>-7.6042629982332013</v>
      </c>
      <c r="BX340" s="77">
        <f t="shared" si="1301"/>
        <v>0.32850749408618807</v>
      </c>
      <c r="BY340" s="487">
        <f t="shared" si="1301"/>
        <v>0.89015100570052574</v>
      </c>
      <c r="BZ340" s="15">
        <f t="shared" si="1296"/>
        <v>-1.3091836862452688</v>
      </c>
      <c r="CA340" s="15">
        <f t="shared" si="1296"/>
        <v>-0.16771136584182411</v>
      </c>
      <c r="CB340" s="15">
        <f t="shared" si="1296"/>
        <v>-5.7504779317883363</v>
      </c>
      <c r="CC340" s="518">
        <f t="shared" si="1296"/>
        <v>-1.8526974554113624</v>
      </c>
      <c r="CD340" s="77">
        <f t="shared" ref="CD340:CK340" si="1302">AVERAGE(CD339,BZ339)</f>
        <v>-2.949135345162901E-2</v>
      </c>
      <c r="CE340" s="77">
        <f t="shared" si="1302"/>
        <v>-7.4700079664455743E-2</v>
      </c>
      <c r="CF340" s="77">
        <f t="shared" si="1302"/>
        <v>-0.21118179646458285</v>
      </c>
      <c r="CG340" s="487">
        <f t="shared" si="1302"/>
        <v>-4.7546625111131058E-2</v>
      </c>
      <c r="CH340" s="77">
        <f t="shared" si="1302"/>
        <v>-0.3422501958869536</v>
      </c>
      <c r="CI340" s="77">
        <f t="shared" si="1302"/>
        <v>6.3666521226711792E-3</v>
      </c>
      <c r="CJ340" s="77">
        <f t="shared" si="1302"/>
        <v>-0.11849095010353228</v>
      </c>
      <c r="CK340" s="487">
        <f t="shared" si="1302"/>
        <v>-0.12606136434015602</v>
      </c>
      <c r="CL340" s="77">
        <f>AVERAGE(CL339,CD339)</f>
        <v>-0.12050850962561666</v>
      </c>
      <c r="CM340" s="77">
        <f>AVERAGE(CM339,CE339)</f>
        <v>-7.004876989886416E-2</v>
      </c>
      <c r="CN340" s="77">
        <f>AVERAGE(CN339,CF339)</f>
        <v>-7.7714251074406104E-2</v>
      </c>
      <c r="CO340" s="487">
        <f>AVERAGE(CO339,CG339)</f>
        <v>-0.14259057876565223</v>
      </c>
      <c r="CP340" s="77">
        <f>AVERAGE(CP339,CL339)</f>
        <v>-0.27278432103991895</v>
      </c>
      <c r="CQ340" s="77">
        <f>AVERAGE(CQ339,CI339)</f>
        <v>-0.34870074288833275</v>
      </c>
      <c r="CR340" s="77">
        <f>AVERAGE(CR339,CJ339)</f>
        <v>-0.26517463119404872</v>
      </c>
      <c r="CS340" s="487">
        <f t="shared" ref="CS340:DB340" si="1303">AVERAGE(CS339,CO339)</f>
        <v>-0.19984730253552996</v>
      </c>
      <c r="CT340" s="77">
        <f t="shared" si="1303"/>
        <v>-0.29179078061081792</v>
      </c>
      <c r="CU340" s="77">
        <f t="shared" si="1303"/>
        <v>-0.25565134813049306</v>
      </c>
      <c r="CV340" s="77">
        <f t="shared" si="1303"/>
        <v>-0.17133513968046343</v>
      </c>
      <c r="CW340" s="487">
        <f t="shared" si="1303"/>
        <v>-0.18178924843287741</v>
      </c>
      <c r="CX340" s="77">
        <f t="shared" si="1303"/>
        <v>-4.4099937175293591E-2</v>
      </c>
      <c r="CY340" s="77">
        <f t="shared" si="1303"/>
        <v>9.0198719585380505E-2</v>
      </c>
      <c r="CZ340" s="77">
        <f t="shared" si="1303"/>
        <v>-6.5066408411732168E-2</v>
      </c>
      <c r="DA340" s="487">
        <f t="shared" si="1303"/>
        <v>-0.15964926792952278</v>
      </c>
      <c r="DB340" s="77">
        <f t="shared" si="1303"/>
        <v>-0.136277852220966</v>
      </c>
      <c r="DC340" s="77">
        <f t="shared" ref="DC340:DM340" si="1304">AVERAGE(DC339,CY339)</f>
        <v>-5.4789649709558186E-2</v>
      </c>
      <c r="DD340" s="77">
        <f t="shared" si="1304"/>
        <v>-0.14534662867996201</v>
      </c>
      <c r="DE340" s="70">
        <f t="shared" si="1304"/>
        <v>-0.21640259740259743</v>
      </c>
      <c r="DF340" s="580">
        <f t="shared" si="1304"/>
        <v>-0.15531437125748504</v>
      </c>
      <c r="DG340" s="70">
        <f t="shared" si="1304"/>
        <v>-7.2884615384615437E-2</v>
      </c>
      <c r="DH340" s="70">
        <f t="shared" si="1304"/>
        <v>-7.3654320987654315E-2</v>
      </c>
      <c r="DI340" s="70">
        <f t="shared" si="1304"/>
        <v>-6.4000000000000001E-2</v>
      </c>
      <c r="DJ340" s="2780">
        <f t="shared" si="1304"/>
        <v>0</v>
      </c>
      <c r="DK340" s="70">
        <f t="shared" si="1304"/>
        <v>2.5000000000000001E-3</v>
      </c>
      <c r="DL340" s="70">
        <f t="shared" si="1304"/>
        <v>3.9E-2</v>
      </c>
      <c r="DM340" s="487">
        <f t="shared" si="1304"/>
        <v>5.5E-2</v>
      </c>
      <c r="DN340" s="580"/>
      <c r="DO340" s="487"/>
      <c r="DP340" s="77"/>
      <c r="DQ340" s="77"/>
      <c r="DR340" s="77"/>
      <c r="DS340" s="77"/>
      <c r="DT340" s="77"/>
      <c r="DU340" s="77"/>
      <c r="DV340" s="77"/>
      <c r="DW340" s="77"/>
      <c r="DX340" s="77"/>
      <c r="DY340" s="77"/>
      <c r="DZ340" s="77"/>
      <c r="EA340" s="77"/>
      <c r="EB340" s="77"/>
      <c r="EC340" s="77"/>
      <c r="ED340" s="77"/>
      <c r="EE340" s="15"/>
      <c r="EJ340" s="19"/>
      <c r="EK340" s="88"/>
      <c r="EL340" s="88"/>
      <c r="EM340" s="77"/>
      <c r="EN340" s="77">
        <f>EN339/EM339-1</f>
        <v>-4.744738753201089</v>
      </c>
      <c r="EO340" s="77">
        <f>EO339/EN339-1</f>
        <v>-0.63475433069064713</v>
      </c>
      <c r="EP340" s="77">
        <f>EP339/EO339-1</f>
        <v>4.095030662162304</v>
      </c>
      <c r="EQ340" s="15">
        <f>EQ339/EN339-1</f>
        <v>0.2010171605953277</v>
      </c>
      <c r="ER340" s="77">
        <f>AVERAGE(ER339,EQ339)</f>
        <v>-0.10238764973588316</v>
      </c>
      <c r="ES340" s="77">
        <f>AVERAGE(ES339,ER339)</f>
        <v>-0.14448571472184896</v>
      </c>
      <c r="ET340" s="77">
        <f>AVERAGE(ET339,ER339)</f>
        <v>-0.11666739174048246</v>
      </c>
      <c r="EU340" s="77">
        <f t="shared" ref="EU340:EZ340" si="1305">AVERAGE(EU339,ET339)</f>
        <v>-0.25240451900758731</v>
      </c>
      <c r="EV340" s="77">
        <f t="shared" si="1305"/>
        <v>-0.21678204393907879</v>
      </c>
      <c r="EW340" s="77">
        <f t="shared" si="1305"/>
        <v>-9.298476750501794E-2</v>
      </c>
      <c r="EX340" s="77">
        <f t="shared" si="1305"/>
        <v>-0.16652013150820599</v>
      </c>
      <c r="EY340" s="77">
        <f t="shared" si="1305"/>
        <v>-5.6803130726850226E-2</v>
      </c>
      <c r="EZ340" s="1680">
        <f t="shared" si="1305"/>
        <v>0.30317859130467772</v>
      </c>
      <c r="FA340" s="77">
        <f t="shared" ref="FA340:FH340" si="1306">FA339+EZ339</f>
        <v>0.97588402803956775</v>
      </c>
      <c r="FB340" s="77">
        <f t="shared" si="1306"/>
        <v>0.97588402803956775</v>
      </c>
      <c r="FC340" s="77">
        <f t="shared" si="1306"/>
        <v>0.97588402803956775</v>
      </c>
      <c r="FD340" s="77">
        <f t="shared" si="1306"/>
        <v>0.97588402803956775</v>
      </c>
      <c r="FE340" s="77">
        <f t="shared" si="1306"/>
        <v>0.97588402803956775</v>
      </c>
      <c r="FF340" s="77">
        <f t="shared" si="1306"/>
        <v>0.97588402803956775</v>
      </c>
      <c r="FG340" s="77">
        <f t="shared" si="1306"/>
        <v>0.97588402803956775</v>
      </c>
      <c r="FH340" s="77">
        <f t="shared" si="1306"/>
        <v>0.97588402803956775</v>
      </c>
      <c r="FI340" s="580"/>
      <c r="FJ340"/>
      <c r="FK340"/>
      <c r="FL340"/>
      <c r="FM340"/>
      <c r="FN340"/>
      <c r="FO340"/>
      <c r="FP340" s="3"/>
      <c r="FS340" s="70"/>
      <c r="FT340" s="70"/>
      <c r="FU340"/>
      <c r="FV340"/>
      <c r="FW340" s="70"/>
      <c r="FX340" s="70"/>
      <c r="FY340" s="70"/>
      <c r="FZ340"/>
      <c r="GA340"/>
      <c r="GB340"/>
      <c r="GC340"/>
      <c r="GD340"/>
      <c r="GE340"/>
      <c r="GF340"/>
      <c r="GG340"/>
      <c r="GH340"/>
      <c r="GI340"/>
      <c r="GJ340"/>
      <c r="GK340"/>
      <c r="GL340"/>
      <c r="GM340"/>
      <c r="GN340"/>
      <c r="GO340"/>
      <c r="GP340"/>
      <c r="GQ340"/>
      <c r="GR340"/>
      <c r="GS340"/>
      <c r="GT340"/>
      <c r="GU340"/>
      <c r="GV340"/>
      <c r="GW340"/>
      <c r="GX340"/>
      <c r="GY340"/>
      <c r="GZ340"/>
      <c r="HA340"/>
      <c r="HB340"/>
      <c r="HC340"/>
      <c r="HD340"/>
      <c r="HE340"/>
      <c r="HF340"/>
      <c r="HG340"/>
      <c r="HH340"/>
      <c r="HI340"/>
      <c r="HJ340"/>
      <c r="HK340"/>
      <c r="HL340"/>
      <c r="HM340"/>
      <c r="HN340"/>
      <c r="HO340"/>
      <c r="HP340"/>
      <c r="HQ340"/>
      <c r="HR340"/>
      <c r="HS340"/>
      <c r="HT340"/>
      <c r="HU340"/>
      <c r="HV340"/>
      <c r="HW340"/>
      <c r="HX340"/>
      <c r="HY340"/>
      <c r="HZ340"/>
      <c r="IA340"/>
      <c r="IB340"/>
      <c r="IC340"/>
      <c r="ID340"/>
      <c r="IE340"/>
      <c r="IF340"/>
      <c r="IG340"/>
      <c r="IH340"/>
      <c r="II340"/>
      <c r="IJ340"/>
      <c r="IK340"/>
      <c r="IL340"/>
      <c r="IM340"/>
      <c r="IN340"/>
      <c r="IO340"/>
      <c r="IP340"/>
      <c r="IQ340"/>
      <c r="IR340"/>
      <c r="IS340"/>
      <c r="IT340"/>
      <c r="IU340"/>
      <c r="IV340"/>
      <c r="IW340"/>
      <c r="IX340"/>
      <c r="IY340"/>
      <c r="IZ340"/>
    </row>
    <row r="341" spans="1:260" s="259" customFormat="1" ht="12.75" hidden="1" outlineLevel="1" x14ac:dyDescent="0.2">
      <c r="BU341" s="260"/>
      <c r="CC341" s="260"/>
      <c r="CS341" s="260"/>
      <c r="CT341" s="260"/>
      <c r="DA341" s="1939"/>
      <c r="DF341" s="2120"/>
      <c r="DJ341" s="2781"/>
      <c r="DM341" s="1939"/>
      <c r="DN341" s="2096"/>
      <c r="DO341" s="2095"/>
      <c r="DP341" s="260"/>
      <c r="DQ341" s="260"/>
      <c r="DR341" s="260"/>
      <c r="DS341" s="260"/>
      <c r="DT341" s="260"/>
      <c r="DU341" s="260"/>
      <c r="DV341" s="260"/>
      <c r="DW341" s="260"/>
      <c r="DX341" s="260"/>
      <c r="DY341" s="260"/>
      <c r="DZ341" s="260"/>
      <c r="EA341" s="260"/>
      <c r="EB341" s="260"/>
      <c r="EC341" s="260"/>
      <c r="ED341" s="260"/>
      <c r="EJ341" s="260"/>
      <c r="EK341" s="260"/>
      <c r="EL341" s="260"/>
      <c r="EM341" s="260"/>
      <c r="EN341" s="260"/>
      <c r="EO341" s="260"/>
      <c r="EP341" s="260"/>
      <c r="EQ341" s="260"/>
      <c r="ER341" s="260"/>
      <c r="ES341" s="260"/>
      <c r="ET341" s="260"/>
      <c r="EU341" s="260"/>
      <c r="EV341" s="260"/>
      <c r="EW341" s="260"/>
      <c r="EX341" s="260"/>
      <c r="EY341" s="260"/>
      <c r="EZ341" s="2119"/>
      <c r="FA341" s="260"/>
      <c r="FB341" s="260"/>
      <c r="FC341" s="260"/>
      <c r="FD341" s="260"/>
      <c r="FE341" s="260"/>
      <c r="FF341" s="260"/>
      <c r="FG341" s="260"/>
      <c r="FH341" s="260"/>
      <c r="FI341" s="2096"/>
      <c r="FJ341"/>
      <c r="FK341"/>
      <c r="FL341"/>
      <c r="FM341"/>
      <c r="FN341"/>
      <c r="FO341"/>
      <c r="FS341" s="260"/>
      <c r="FT341" s="260"/>
      <c r="FW341" s="260"/>
      <c r="FX341" s="260"/>
      <c r="FY341" s="260"/>
    </row>
    <row r="342" spans="1:260" ht="12.75" hidden="1" outlineLevel="1" x14ac:dyDescent="0.2">
      <c r="A342" s="99" t="s">
        <v>87</v>
      </c>
      <c r="E342" s="1486"/>
      <c r="I342" s="1486"/>
      <c r="M342" s="1486"/>
      <c r="Q342" s="1486"/>
      <c r="U342" s="1486"/>
      <c r="Y342" s="1486"/>
      <c r="AC342" s="1486"/>
      <c r="AG342" s="1486"/>
      <c r="AK342" s="1486"/>
      <c r="AO342" s="1486"/>
      <c r="AS342" s="1486"/>
      <c r="AW342" s="1486"/>
      <c r="BA342" s="1486"/>
      <c r="BB342" s="256"/>
      <c r="BC342" s="256"/>
      <c r="BE342" s="1939"/>
      <c r="BF342" s="2098">
        <f>BF362*BF$354</f>
        <v>171.22000000000003</v>
      </c>
      <c r="BG342" s="2098">
        <f>BG362*BG$354</f>
        <v>272.88</v>
      </c>
      <c r="BH342" s="2098">
        <f>BH362*BH$354</f>
        <v>223.86</v>
      </c>
      <c r="BI342" s="2099">
        <f>EL342-SUM(BF342:BH342)</f>
        <v>202.39</v>
      </c>
      <c r="BJ342" s="2098">
        <f>BJ362*BJ$354</f>
        <v>230.54999999999998</v>
      </c>
      <c r="BK342" s="2098">
        <f>BK362*BK$354</f>
        <v>300.24</v>
      </c>
      <c r="BL342" s="2098">
        <f>BL362*BL$354</f>
        <v>264.32</v>
      </c>
      <c r="BM342" s="2099">
        <f>EM342-SUM(BJ342:BL342)</f>
        <v>199.3900000000001</v>
      </c>
      <c r="BN342" s="2098">
        <f t="shared" ref="BN342:CS342" si="1307">BN362*BN$354</f>
        <v>205.6</v>
      </c>
      <c r="BO342" s="2098">
        <f t="shared" si="1307"/>
        <v>302.28000000000003</v>
      </c>
      <c r="BP342" s="2098">
        <f t="shared" si="1307"/>
        <v>247.44</v>
      </c>
      <c r="BQ342" s="2099">
        <f t="shared" si="1307"/>
        <v>317.52</v>
      </c>
      <c r="BR342" s="2098">
        <f t="shared" si="1307"/>
        <v>257.76</v>
      </c>
      <c r="BS342" s="2098">
        <f t="shared" si="1307"/>
        <v>348.36</v>
      </c>
      <c r="BT342" s="2098">
        <f t="shared" si="1307"/>
        <v>286.2</v>
      </c>
      <c r="BU342" s="2099">
        <f t="shared" si="1307"/>
        <v>331.12</v>
      </c>
      <c r="BV342" s="2098">
        <f t="shared" si="1307"/>
        <v>308.10000000000002</v>
      </c>
      <c r="BW342" s="2098">
        <f t="shared" si="1307"/>
        <v>425.04</v>
      </c>
      <c r="BX342" s="2098">
        <f t="shared" si="1307"/>
        <v>321.40000000000003</v>
      </c>
      <c r="BY342" s="2099">
        <f t="shared" si="1307"/>
        <v>362.7</v>
      </c>
      <c r="BZ342" s="2098">
        <f t="shared" si="1307"/>
        <v>252.98999999999998</v>
      </c>
      <c r="CA342" s="2098">
        <f t="shared" si="1307"/>
        <v>353.21000000000004</v>
      </c>
      <c r="CB342" s="2098">
        <f t="shared" si="1307"/>
        <v>304.3</v>
      </c>
      <c r="CC342" s="2099">
        <f t="shared" si="1307"/>
        <v>326.88</v>
      </c>
      <c r="CD342" s="2098">
        <f t="shared" si="1307"/>
        <v>297.7</v>
      </c>
      <c r="CE342" s="2098">
        <f t="shared" si="1307"/>
        <v>403.06000000000006</v>
      </c>
      <c r="CF342" s="2098">
        <f t="shared" si="1307"/>
        <v>309</v>
      </c>
      <c r="CG342" s="2099">
        <f t="shared" si="1307"/>
        <v>367.91999999999996</v>
      </c>
      <c r="CH342" s="2098">
        <f t="shared" si="1307"/>
        <v>278.8</v>
      </c>
      <c r="CI342" s="2098">
        <f t="shared" si="1307"/>
        <v>384.16</v>
      </c>
      <c r="CJ342" s="2098">
        <f t="shared" si="1307"/>
        <v>277.2</v>
      </c>
      <c r="CK342" s="2099">
        <f t="shared" si="1307"/>
        <v>332.88</v>
      </c>
      <c r="CL342" s="2098">
        <f t="shared" si="1307"/>
        <v>248.16</v>
      </c>
      <c r="CM342" s="2098">
        <f t="shared" si="1307"/>
        <v>353.28000000000003</v>
      </c>
      <c r="CN342" s="2098">
        <f t="shared" si="1307"/>
        <v>290.36</v>
      </c>
      <c r="CO342" s="2099">
        <f t="shared" si="1307"/>
        <v>336.28000000000003</v>
      </c>
      <c r="CP342" s="2098">
        <f t="shared" si="1307"/>
        <v>186.58</v>
      </c>
      <c r="CQ342" s="2098">
        <f t="shared" si="1307"/>
        <v>258.93</v>
      </c>
      <c r="CR342" s="2098">
        <f t="shared" si="1307"/>
        <v>222.4</v>
      </c>
      <c r="CS342" s="2099">
        <f t="shared" si="1307"/>
        <v>259.05</v>
      </c>
      <c r="CT342" s="2098">
        <f t="shared" ref="CT342:CY342" si="1308">CT362*CT$354</f>
        <v>171.60000000000002</v>
      </c>
      <c r="CU342" s="2098">
        <f t="shared" si="1308"/>
        <v>235.98000000000002</v>
      </c>
      <c r="CV342" s="2098">
        <f t="shared" si="1308"/>
        <v>197.6</v>
      </c>
      <c r="CW342" s="2099">
        <f t="shared" si="1308"/>
        <v>75.600000000000009</v>
      </c>
      <c r="CX342" s="789">
        <f t="shared" si="1308"/>
        <v>33.4</v>
      </c>
      <c r="CY342" s="789">
        <f t="shared" si="1308"/>
        <v>45.500000000000007</v>
      </c>
      <c r="CZ342" s="789">
        <f t="shared" ref="CZ342:DE342" si="1309">CZ362*CZ$325</f>
        <v>29.16</v>
      </c>
      <c r="DA342" s="875">
        <f t="shared" si="1309"/>
        <v>44.64</v>
      </c>
      <c r="DB342" s="789">
        <f>DB362*DB$325</f>
        <v>30.700000000000003</v>
      </c>
      <c r="DC342" s="789">
        <f t="shared" si="1309"/>
        <v>45.080000000000005</v>
      </c>
      <c r="DD342" s="789">
        <f>DD362*DD$325</f>
        <v>37.65</v>
      </c>
      <c r="DE342" s="875">
        <f t="shared" si="1309"/>
        <v>68.64</v>
      </c>
      <c r="DF342" s="789">
        <f t="shared" ref="DF342:DM342" si="1310">DF362*DF$325</f>
        <v>43.120000000000005</v>
      </c>
      <c r="DG342" s="880">
        <f t="shared" si="1310"/>
        <v>60.12</v>
      </c>
      <c r="DH342" s="880">
        <f t="shared" si="1310"/>
        <v>66.320000000000007</v>
      </c>
      <c r="DI342" s="875">
        <f t="shared" si="1310"/>
        <v>110.08</v>
      </c>
      <c r="DJ342" s="2782">
        <f t="shared" si="1310"/>
        <v>31.357609756097567</v>
      </c>
      <c r="DK342" s="880">
        <f t="shared" si="1310"/>
        <v>33.464698675496685</v>
      </c>
      <c r="DL342" s="880">
        <f t="shared" si="1310"/>
        <v>41.8645</v>
      </c>
      <c r="DM342" s="875">
        <f t="shared" si="1310"/>
        <v>70.52000000000001</v>
      </c>
      <c r="DN342" s="2100"/>
      <c r="DO342" s="1941"/>
      <c r="DP342" s="2101"/>
      <c r="DQ342" s="2101"/>
      <c r="DR342" s="2101"/>
      <c r="DS342" s="2101"/>
      <c r="DT342" s="2101"/>
      <c r="DU342" s="2101"/>
      <c r="DV342" s="2101"/>
      <c r="DW342" s="2101"/>
      <c r="DX342" s="2101"/>
      <c r="DY342" s="2101"/>
      <c r="DZ342" s="2101"/>
      <c r="EA342" s="2101"/>
      <c r="EB342" s="2101"/>
      <c r="EC342" s="2101"/>
      <c r="ED342" s="2101"/>
      <c r="EE342" s="257"/>
      <c r="EJ342" s="71"/>
      <c r="EK342" s="269"/>
      <c r="EL342" s="2098">
        <f>EL362*EL$354</f>
        <v>870.35</v>
      </c>
      <c r="EM342" s="2098">
        <f>EM362*EM$354</f>
        <v>994.5</v>
      </c>
      <c r="EN342" s="2098">
        <f>SUM(BN342:BQ342)</f>
        <v>1072.8399999999999</v>
      </c>
      <c r="EO342" s="2098">
        <f>SUM(BR342:BU342)</f>
        <v>1223.44</v>
      </c>
      <c r="EP342" s="2098">
        <f>SUM(BV342:BY342)</f>
        <v>1417.2400000000002</v>
      </c>
      <c r="EQ342" s="2098">
        <f>SUM(BZ342:CC342)</f>
        <v>1237.3800000000001</v>
      </c>
      <c r="ER342" s="2098">
        <f>SUM(CD342:CG342)</f>
        <v>1377.6799999999998</v>
      </c>
      <c r="ES342" s="2098">
        <f>SUM(CH342:CK342)</f>
        <v>1273.04</v>
      </c>
      <c r="ET342" s="2098">
        <f>SUM(CL342:CO342)</f>
        <v>1228.0800000000002</v>
      </c>
      <c r="EU342" s="2098">
        <f>SUM(CP342:CS342)</f>
        <v>926.96</v>
      </c>
      <c r="EV342" s="789">
        <f>SUM(CT342:CW342)</f>
        <v>680.78000000000009</v>
      </c>
      <c r="EW342" s="789">
        <f>SUM(CX342:DA342)</f>
        <v>152.69999999999999</v>
      </c>
      <c r="EX342" s="789">
        <f>SUM(DB342:DE342)</f>
        <v>182.07</v>
      </c>
      <c r="EY342" s="789">
        <f>SUM(DF342:DI342)</f>
        <v>279.64</v>
      </c>
      <c r="EZ342" s="1737">
        <f>SUM(DJ342:DM342)</f>
        <v>177.20680843159425</v>
      </c>
      <c r="FA342" s="789">
        <f t="shared" ref="FA342:FH342" si="1311">EZ342*(1+FA343)</f>
        <v>186.06714885317396</v>
      </c>
      <c r="FB342" s="2098">
        <f t="shared" si="1311"/>
        <v>195.37050629583266</v>
      </c>
      <c r="FC342" s="2098">
        <f t="shared" si="1311"/>
        <v>205.1390316106243</v>
      </c>
      <c r="FD342" s="2098">
        <f t="shared" si="1311"/>
        <v>215.39598319115552</v>
      </c>
      <c r="FE342" s="2098">
        <f t="shared" si="1311"/>
        <v>226.1657823507133</v>
      </c>
      <c r="FF342" s="2098">
        <f t="shared" si="1311"/>
        <v>237.47407146824898</v>
      </c>
      <c r="FG342" s="2098">
        <f t="shared" si="1311"/>
        <v>249.34777504166144</v>
      </c>
      <c r="FH342" s="2098">
        <f t="shared" si="1311"/>
        <v>261.81516379374455</v>
      </c>
      <c r="FI342" s="2102"/>
      <c r="FP342" s="190"/>
      <c r="FS342" s="2103"/>
      <c r="FT342" s="2103"/>
      <c r="FW342" s="880"/>
      <c r="FX342" s="880"/>
      <c r="FY342" s="2103"/>
    </row>
    <row r="343" spans="1:260" ht="12.75" hidden="1" outlineLevel="1" x14ac:dyDescent="0.2">
      <c r="A343" s="99" t="s">
        <v>482</v>
      </c>
      <c r="E343" s="1486"/>
      <c r="I343" s="1486"/>
      <c r="M343" s="1486"/>
      <c r="Q343" s="1486"/>
      <c r="U343" s="1486"/>
      <c r="Y343" s="1486"/>
      <c r="AC343" s="1486"/>
      <c r="AG343" s="1486"/>
      <c r="AK343" s="1486"/>
      <c r="AO343" s="1486"/>
      <c r="AS343" s="1486"/>
      <c r="AW343" s="1486"/>
      <c r="BA343" s="1486"/>
      <c r="BB343" s="256"/>
      <c r="BC343" s="256"/>
      <c r="BE343" s="1939"/>
      <c r="BF343" s="2104" t="s">
        <v>483</v>
      </c>
      <c r="BG343" s="2104" t="s">
        <v>483</v>
      </c>
      <c r="BH343" s="2104" t="s">
        <v>483</v>
      </c>
      <c r="BI343" s="2105" t="s">
        <v>483</v>
      </c>
      <c r="BJ343" s="258">
        <f t="shared" ref="BJ343:BY343" si="1312">BJ342/BF342-1</f>
        <v>0.34651325779698605</v>
      </c>
      <c r="BK343" s="258">
        <f t="shared" si="1312"/>
        <v>0.10026385224274414</v>
      </c>
      <c r="BL343" s="258">
        <f t="shared" si="1312"/>
        <v>0.18073796122576602</v>
      </c>
      <c r="BM343" s="1940">
        <f t="shared" si="1312"/>
        <v>-1.4822866742427387E-2</v>
      </c>
      <c r="BN343" s="258">
        <f t="shared" si="1312"/>
        <v>-0.10821947516807628</v>
      </c>
      <c r="BO343" s="258">
        <f t="shared" si="1312"/>
        <v>6.7945643485212148E-3</v>
      </c>
      <c r="BP343" s="258">
        <f t="shared" si="1312"/>
        <v>-6.3861985472154936E-2</v>
      </c>
      <c r="BQ343" s="1940">
        <f t="shared" si="1312"/>
        <v>0.59245699383118433</v>
      </c>
      <c r="BR343" s="258">
        <f t="shared" si="1312"/>
        <v>0.2536964980544747</v>
      </c>
      <c r="BS343" s="258">
        <f t="shared" si="1312"/>
        <v>0.15244144501786416</v>
      </c>
      <c r="BT343" s="258">
        <f t="shared" si="1312"/>
        <v>0.15664403491755574</v>
      </c>
      <c r="BU343" s="1940">
        <f t="shared" si="1312"/>
        <v>4.2831947593852338E-2</v>
      </c>
      <c r="BV343" s="258">
        <f t="shared" si="1312"/>
        <v>0.19529795158286789</v>
      </c>
      <c r="BW343" s="258">
        <f t="shared" si="1312"/>
        <v>0.2201171202204617</v>
      </c>
      <c r="BX343" s="258">
        <f t="shared" si="1312"/>
        <v>0.12299091544374585</v>
      </c>
      <c r="BY343" s="1940">
        <f t="shared" si="1312"/>
        <v>9.5373278569702791E-2</v>
      </c>
      <c r="BZ343" s="187">
        <f t="shared" ref="BZ343:CC344" si="1313">BZ342/BN342-1</f>
        <v>0.23049610894941619</v>
      </c>
      <c r="CA343" s="187">
        <f t="shared" si="1313"/>
        <v>0.16848617176128089</v>
      </c>
      <c r="CB343" s="187">
        <f t="shared" si="1313"/>
        <v>0.22979308115098607</v>
      </c>
      <c r="CC343" s="1568">
        <f t="shared" si="1313"/>
        <v>2.947845804988658E-2</v>
      </c>
      <c r="CD343" s="258">
        <f t="shared" ref="CD343:CK343" si="1314">CD342/BZ342-1</f>
        <v>0.17672635282026961</v>
      </c>
      <c r="CE343" s="258">
        <f t="shared" si="1314"/>
        <v>0.1411341694742505</v>
      </c>
      <c r="CF343" s="258">
        <f t="shared" si="1314"/>
        <v>1.5445284258954972E-2</v>
      </c>
      <c r="CG343" s="1940">
        <f t="shared" si="1314"/>
        <v>0.12555066079295152</v>
      </c>
      <c r="CH343" s="258">
        <f t="shared" si="1314"/>
        <v>-6.3486731609002311E-2</v>
      </c>
      <c r="CI343" s="258">
        <f t="shared" si="1314"/>
        <v>-4.6891281695033094E-2</v>
      </c>
      <c r="CJ343" s="258">
        <f t="shared" si="1314"/>
        <v>-0.1029126213592233</v>
      </c>
      <c r="CK343" s="1940">
        <f t="shared" si="1314"/>
        <v>-9.5238095238095122E-2</v>
      </c>
      <c r="CL343" s="258">
        <f>CL342/CD342-1</f>
        <v>-0.1664091367148135</v>
      </c>
      <c r="CM343" s="258">
        <f>CM342/CE342-1</f>
        <v>-0.12350518533220867</v>
      </c>
      <c r="CN343" s="258">
        <f>CN342/CF342-1</f>
        <v>-6.032362459546925E-2</v>
      </c>
      <c r="CO343" s="1940">
        <f>CO342/CG342-1</f>
        <v>-8.599695585996936E-2</v>
      </c>
      <c r="CP343" s="258">
        <f>CP342/CL342-1</f>
        <v>-0.24814635718891032</v>
      </c>
      <c r="CQ343" s="258">
        <f>CQ342/CI342-1</f>
        <v>-0.32598396501457727</v>
      </c>
      <c r="CR343" s="258">
        <f>CR342/CJ342-1</f>
        <v>-0.19769119769119758</v>
      </c>
      <c r="CS343" s="1940">
        <f>CS342/CK342-1</f>
        <v>-0.22179163662581103</v>
      </c>
      <c r="CT343" s="258">
        <f t="shared" ref="CT343:DD343" si="1315">CT342/CP342-1</f>
        <v>-8.0287276235395E-2</v>
      </c>
      <c r="CU343" s="258">
        <f t="shared" si="1315"/>
        <v>-8.8633993743482797E-2</v>
      </c>
      <c r="CV343" s="258">
        <f t="shared" si="1315"/>
        <v>-0.11151079136690656</v>
      </c>
      <c r="CW343" s="1940">
        <f t="shared" si="1315"/>
        <v>-0.70816444701795023</v>
      </c>
      <c r="CX343" s="77">
        <f t="shared" si="1315"/>
        <v>-0.80536130536130535</v>
      </c>
      <c r="CY343" s="77">
        <f t="shared" si="1315"/>
        <v>-0.80718704974997879</v>
      </c>
      <c r="CZ343" s="77">
        <f t="shared" si="1315"/>
        <v>-0.8524291497975709</v>
      </c>
      <c r="DA343" s="487">
        <f t="shared" si="1315"/>
        <v>-0.40952380952380962</v>
      </c>
      <c r="DB343" s="77">
        <f t="shared" si="1315"/>
        <v>-8.0838323353293329E-2</v>
      </c>
      <c r="DC343" s="77">
        <f t="shared" si="1315"/>
        <v>-9.2307692307692646E-3</v>
      </c>
      <c r="DD343" s="77">
        <f t="shared" si="1315"/>
        <v>0.29115226337448563</v>
      </c>
      <c r="DE343" s="70">
        <v>0.38400000000000001</v>
      </c>
      <c r="DF343" s="580">
        <v>-0.19800000000000001</v>
      </c>
      <c r="DG343" s="70">
        <v>0.308</v>
      </c>
      <c r="DH343" s="70">
        <v>0.49</v>
      </c>
      <c r="DI343" s="70">
        <v>0.45800000000000002</v>
      </c>
      <c r="DJ343" s="2779">
        <v>-0.19800000000000001</v>
      </c>
      <c r="DK343" s="2382">
        <v>-0.19800000000000001</v>
      </c>
      <c r="DL343" s="2382">
        <v>-0.19800000000000001</v>
      </c>
      <c r="DM343" s="2428">
        <v>-0.19800000000000001</v>
      </c>
      <c r="DN343" s="2107"/>
      <c r="DO343" s="2108"/>
      <c r="DP343" s="261"/>
      <c r="DQ343" s="261"/>
      <c r="DR343" s="261"/>
      <c r="DS343" s="261"/>
      <c r="DT343" s="261"/>
      <c r="DU343" s="261"/>
      <c r="DV343" s="261"/>
      <c r="DW343" s="261"/>
      <c r="DX343" s="261"/>
      <c r="DY343" s="261"/>
      <c r="DZ343" s="261"/>
      <c r="EA343" s="261"/>
      <c r="EB343" s="261"/>
      <c r="EC343" s="261"/>
      <c r="ED343" s="261"/>
      <c r="EE343" s="187"/>
      <c r="EJ343" s="71"/>
      <c r="EK343" s="269"/>
      <c r="EL343" s="2109" t="s">
        <v>483</v>
      </c>
      <c r="EM343" s="258">
        <f>EM342/EL342-1</f>
        <v>0.14264376400298717</v>
      </c>
      <c r="EN343" s="258">
        <f>EN342/EM342-1</f>
        <v>7.8773252890899759E-2</v>
      </c>
      <c r="EO343" s="258">
        <f>EO342/EN342-1</f>
        <v>0.14037507922896242</v>
      </c>
      <c r="EP343" s="258">
        <f>EP342/EO342-1</f>
        <v>0.15840580657817327</v>
      </c>
      <c r="EQ343" s="187">
        <f>EQ342/EN342-1</f>
        <v>0.15336862905931947</v>
      </c>
      <c r="ER343" s="258">
        <f>ER342/EQ342-1</f>
        <v>0.11338473225686507</v>
      </c>
      <c r="ES343" s="258">
        <f>ES342/ER342-1</f>
        <v>-7.595377736484521E-2</v>
      </c>
      <c r="ET343" s="258">
        <f>ET342/ER342-1</f>
        <v>-0.10858835143139167</v>
      </c>
      <c r="EU343" s="258">
        <f>EU342/ET342-1</f>
        <v>-0.24519575271969263</v>
      </c>
      <c r="EV343" s="77">
        <f>EV342/EU342-1</f>
        <v>-0.26557780270993347</v>
      </c>
      <c r="EW343" s="77">
        <f>EW342/EV342-1</f>
        <v>-0.77569846352713068</v>
      </c>
      <c r="EX343" s="77">
        <f>EX342/EW342-1</f>
        <v>0.1923379174852653</v>
      </c>
      <c r="EY343" s="77">
        <f>EY342/EX342-1</f>
        <v>0.53589278848794408</v>
      </c>
      <c r="EZ343" s="1680">
        <f>+IFERROR(EY$7*(1+EZ346),"NA")</f>
        <v>0</v>
      </c>
      <c r="FA343" s="1610">
        <v>0.05</v>
      </c>
      <c r="FB343" s="1938">
        <v>0.05</v>
      </c>
      <c r="FC343" s="1938">
        <v>0.05</v>
      </c>
      <c r="FD343" s="1938">
        <v>0.05</v>
      </c>
      <c r="FE343" s="1938">
        <v>0.05</v>
      </c>
      <c r="FF343" s="1938">
        <v>0.05</v>
      </c>
      <c r="FG343" s="1938">
        <v>0.05</v>
      </c>
      <c r="FH343" s="1938">
        <v>0.05</v>
      </c>
      <c r="FI343" s="2110"/>
      <c r="FP343" s="190"/>
      <c r="FS343" s="2111"/>
      <c r="FT343" s="2111"/>
      <c r="FW343" s="1606"/>
      <c r="FX343" s="1606"/>
      <c r="FY343" s="2649"/>
    </row>
    <row r="344" spans="1:260" ht="12.75" hidden="1" outlineLevel="1" x14ac:dyDescent="0.2">
      <c r="A344" s="99" t="s">
        <v>4</v>
      </c>
      <c r="E344" s="1486"/>
      <c r="I344" s="1486"/>
      <c r="M344" s="1486"/>
      <c r="Q344" s="1486"/>
      <c r="U344" s="1486"/>
      <c r="Y344" s="1486"/>
      <c r="AC344" s="1486"/>
      <c r="AG344" s="1486"/>
      <c r="AK344" s="1486"/>
      <c r="AO344" s="1486"/>
      <c r="AS344" s="1486"/>
      <c r="AW344" s="1486"/>
      <c r="BA344" s="1486"/>
      <c r="BB344" s="256"/>
      <c r="BC344" s="256"/>
      <c r="BE344" s="1939"/>
      <c r="BF344" s="256"/>
      <c r="BG344" s="256"/>
      <c r="BH344" s="256"/>
      <c r="BI344" s="1939"/>
      <c r="BJ344" s="258"/>
      <c r="BK344" s="258"/>
      <c r="BL344" s="258"/>
      <c r="BM344" s="1940"/>
      <c r="BN344" s="258">
        <f t="shared" ref="BN344:BY344" si="1316">BN343/BJ343-1</f>
        <v>-1.3123097680478348</v>
      </c>
      <c r="BO344" s="258">
        <f t="shared" si="1316"/>
        <v>-0.93223316083974894</v>
      </c>
      <c r="BP344" s="258">
        <f t="shared" si="1316"/>
        <v>-1.3533401895154871</v>
      </c>
      <c r="BQ344" s="1940">
        <f t="shared" si="1316"/>
        <v>-40.969123660499413</v>
      </c>
      <c r="BR344" s="258">
        <f t="shared" si="1316"/>
        <v>-3.3442776603791251</v>
      </c>
      <c r="BS344" s="258">
        <f t="shared" si="1316"/>
        <v>21.435793849099667</v>
      </c>
      <c r="BT344" s="258">
        <f t="shared" si="1316"/>
        <v>-3.4528525657232434</v>
      </c>
      <c r="BU344" s="1940">
        <f t="shared" si="1316"/>
        <v>-0.92770454557912274</v>
      </c>
      <c r="BV344" s="258">
        <f t="shared" si="1316"/>
        <v>-0.23019058961967709</v>
      </c>
      <c r="BW344" s="258">
        <f t="shared" si="1316"/>
        <v>0.44394537977953985</v>
      </c>
      <c r="BX344" s="258">
        <f t="shared" si="1316"/>
        <v>-0.21483818066562232</v>
      </c>
      <c r="BY344" s="1940">
        <f t="shared" si="1316"/>
        <v>1.2266855449597092</v>
      </c>
      <c r="BZ344" s="187">
        <f t="shared" si="1313"/>
        <v>-3.1298949065446062</v>
      </c>
      <c r="CA344" s="187">
        <f t="shared" si="1313"/>
        <v>23.797200102748402</v>
      </c>
      <c r="CB344" s="187">
        <f t="shared" si="1313"/>
        <v>-4.5982764934732625</v>
      </c>
      <c r="CC344" s="1568">
        <f t="shared" si="1313"/>
        <v>-0.95024371666327867</v>
      </c>
      <c r="CD344" s="258">
        <f t="shared" ref="CD344:CK344" si="1317">AVERAGE(CD343,BZ343)</f>
        <v>0.2036112308848429</v>
      </c>
      <c r="CE344" s="258">
        <f t="shared" si="1317"/>
        <v>0.1548101706177657</v>
      </c>
      <c r="CF344" s="258">
        <f t="shared" si="1317"/>
        <v>0.12261918270497052</v>
      </c>
      <c r="CG344" s="1940">
        <f t="shared" si="1317"/>
        <v>7.7514559421419049E-2</v>
      </c>
      <c r="CH344" s="258">
        <f t="shared" si="1317"/>
        <v>5.6619810605633647E-2</v>
      </c>
      <c r="CI344" s="258">
        <f t="shared" si="1317"/>
        <v>4.7121443889608705E-2</v>
      </c>
      <c r="CJ344" s="258">
        <f t="shared" si="1317"/>
        <v>-4.3733668550134164E-2</v>
      </c>
      <c r="CK344" s="1940">
        <f t="shared" si="1317"/>
        <v>1.5156282777428198E-2</v>
      </c>
      <c r="CL344" s="258">
        <f>AVERAGE(CL343,CD343)</f>
        <v>5.1586080527280531E-3</v>
      </c>
      <c r="CM344" s="258">
        <f>AVERAGE(CM343,CE343)</f>
        <v>8.8144920710209185E-3</v>
      </c>
      <c r="CN344" s="258">
        <f>AVERAGE(CN343,CF343)</f>
        <v>-2.2439170168257139E-2</v>
      </c>
      <c r="CO344" s="1940">
        <f>AVERAGE(CO343,CG343)</f>
        <v>1.9776852466491079E-2</v>
      </c>
      <c r="CP344" s="258">
        <f>AVERAGE(CP343,CL343)</f>
        <v>-0.20727774695186191</v>
      </c>
      <c r="CQ344" s="258">
        <f>AVERAGE(CQ343,CI343)</f>
        <v>-0.18643762335480518</v>
      </c>
      <c r="CR344" s="258">
        <f>AVERAGE(CR343,CJ343)</f>
        <v>-0.15030190952521044</v>
      </c>
      <c r="CS344" s="1940">
        <f t="shared" ref="CS344:DB344" si="1318">AVERAGE(CS343,CO343)</f>
        <v>-0.15389429624289019</v>
      </c>
      <c r="CT344" s="258">
        <f t="shared" si="1318"/>
        <v>-0.16421681671215266</v>
      </c>
      <c r="CU344" s="258">
        <f t="shared" si="1318"/>
        <v>-0.20730897937903003</v>
      </c>
      <c r="CV344" s="258">
        <f t="shared" si="1318"/>
        <v>-0.15460099452905207</v>
      </c>
      <c r="CW344" s="1940">
        <f t="shared" si="1318"/>
        <v>-0.46497804182188063</v>
      </c>
      <c r="CX344" s="77">
        <f t="shared" si="1318"/>
        <v>-0.44282429079835017</v>
      </c>
      <c r="CY344" s="77">
        <f t="shared" si="1318"/>
        <v>-0.44791052174673079</v>
      </c>
      <c r="CZ344" s="77">
        <f t="shared" si="1318"/>
        <v>-0.48196997058223873</v>
      </c>
      <c r="DA344" s="487">
        <f t="shared" si="1318"/>
        <v>-0.55884412827087993</v>
      </c>
      <c r="DB344" s="77">
        <f t="shared" si="1318"/>
        <v>-0.44309981435729934</v>
      </c>
      <c r="DC344" s="77">
        <f t="shared" ref="DC344:DM344" si="1319">AVERAGE(DC343,CY343)</f>
        <v>-0.40820890949037403</v>
      </c>
      <c r="DD344" s="77">
        <f t="shared" si="1319"/>
        <v>-0.28063844321154263</v>
      </c>
      <c r="DE344" s="70">
        <f t="shared" si="1319"/>
        <v>-1.2761904761904808E-2</v>
      </c>
      <c r="DF344" s="580">
        <f t="shared" si="1319"/>
        <v>-0.13941916167664667</v>
      </c>
      <c r="DG344" s="70">
        <f t="shared" si="1319"/>
        <v>0.14938461538461537</v>
      </c>
      <c r="DH344" s="70">
        <f t="shared" si="1319"/>
        <v>0.39057613168724281</v>
      </c>
      <c r="DI344" s="70">
        <f t="shared" si="1319"/>
        <v>0.42100000000000004</v>
      </c>
      <c r="DJ344" s="2780">
        <f t="shared" si="1319"/>
        <v>-0.19800000000000001</v>
      </c>
      <c r="DK344" s="70">
        <f t="shared" si="1319"/>
        <v>5.4999999999999993E-2</v>
      </c>
      <c r="DL344" s="70">
        <f t="shared" si="1319"/>
        <v>0.14599999999999999</v>
      </c>
      <c r="DM344" s="487">
        <f t="shared" si="1319"/>
        <v>0.13</v>
      </c>
      <c r="DN344" s="2112"/>
      <c r="DO344" s="1940"/>
      <c r="DP344" s="258"/>
      <c r="DQ344" s="258"/>
      <c r="DR344" s="258"/>
      <c r="DS344" s="258"/>
      <c r="DT344" s="258"/>
      <c r="DU344" s="258"/>
      <c r="DV344" s="258"/>
      <c r="DW344" s="258"/>
      <c r="DX344" s="258"/>
      <c r="DY344" s="258"/>
      <c r="DZ344" s="258"/>
      <c r="EA344" s="258"/>
      <c r="EB344" s="258"/>
      <c r="EC344" s="258"/>
      <c r="ED344" s="258"/>
      <c r="EE344" s="187"/>
      <c r="EJ344" s="71"/>
      <c r="EK344" s="269"/>
      <c r="EL344" s="269"/>
      <c r="EM344" s="258"/>
      <c r="EN344" s="258">
        <f>EN343/EM343-1</f>
        <v>-0.44776237894808968</v>
      </c>
      <c r="EO344" s="258">
        <f>EO343/EN343-1</f>
        <v>0.78201450463624544</v>
      </c>
      <c r="EP344" s="258">
        <f>EP343/EO343-1</f>
        <v>0.12844678306326274</v>
      </c>
      <c r="EQ344" s="187">
        <f>EQ343/EN343-1</f>
        <v>0.94696325758863398</v>
      </c>
      <c r="ER344" s="258">
        <f>AVERAGE(ER343,EQ343)</f>
        <v>0.13337668065809227</v>
      </c>
      <c r="ES344" s="258">
        <f>AVERAGE(ES343,ER343)</f>
        <v>1.8715477446009932E-2</v>
      </c>
      <c r="ET344" s="258">
        <f>AVERAGE(ET343,ER343)</f>
        <v>2.3981904127367004E-3</v>
      </c>
      <c r="EU344" s="258">
        <f>AVERAGE(EU343,ET343)</f>
        <v>-0.17689205207554215</v>
      </c>
      <c r="EV344" s="77">
        <f>AVERAGE(EV343,EU343)</f>
        <v>-0.25538677771481305</v>
      </c>
      <c r="EW344" s="77">
        <f>AVERAGE(EW343,EV343)</f>
        <v>-0.52063813311853213</v>
      </c>
      <c r="EX344" s="77">
        <f>AVERAGE(EX343,EW343)</f>
        <v>-0.29168027302093269</v>
      </c>
      <c r="EY344" s="77">
        <f>AVERAGE(EY343,EX343)</f>
        <v>0.36411535298660469</v>
      </c>
      <c r="EZ344" s="1680">
        <f>+IFERROR(EY$7*(1+EZ347),"NA")</f>
        <v>0</v>
      </c>
      <c r="FA344" s="77">
        <f t="shared" ref="FA344:FH344" si="1320">FA343+EZ343</f>
        <v>0.05</v>
      </c>
      <c r="FB344" s="258">
        <f t="shared" si="1320"/>
        <v>0.1</v>
      </c>
      <c r="FC344" s="258">
        <f t="shared" si="1320"/>
        <v>0.1</v>
      </c>
      <c r="FD344" s="258">
        <f t="shared" si="1320"/>
        <v>0.1</v>
      </c>
      <c r="FE344" s="258">
        <f t="shared" si="1320"/>
        <v>0.1</v>
      </c>
      <c r="FF344" s="258">
        <f t="shared" si="1320"/>
        <v>0.1</v>
      </c>
      <c r="FG344" s="258">
        <f t="shared" si="1320"/>
        <v>0.1</v>
      </c>
      <c r="FH344" s="258">
        <f t="shared" si="1320"/>
        <v>0.1</v>
      </c>
      <c r="FI344" s="2112"/>
      <c r="FP344" s="190"/>
      <c r="FS344" s="266"/>
      <c r="FT344" s="266"/>
      <c r="FW344" s="70"/>
      <c r="FX344" s="70"/>
      <c r="FY344" s="266"/>
    </row>
    <row r="345" spans="1:260" ht="12.75" hidden="1" outlineLevel="1" x14ac:dyDescent="0.2">
      <c r="E345" s="1486"/>
      <c r="I345" s="1486"/>
      <c r="M345" s="1486"/>
      <c r="Q345" s="1486"/>
      <c r="U345" s="1486"/>
      <c r="Y345" s="1486"/>
      <c r="AC345" s="1486"/>
      <c r="AG345" s="1486"/>
      <c r="AK345" s="1486"/>
      <c r="AO345" s="1486"/>
      <c r="AS345" s="1486"/>
      <c r="AW345" s="1486"/>
      <c r="BA345" s="1486"/>
      <c r="BB345" s="256"/>
      <c r="BC345" s="256"/>
      <c r="BE345" s="1939"/>
      <c r="BF345" s="256"/>
      <c r="BG345" s="256"/>
      <c r="BH345" s="256"/>
      <c r="BI345" s="1939"/>
      <c r="BJ345" s="256"/>
      <c r="BK345" s="256"/>
      <c r="BL345" s="256"/>
      <c r="BM345" s="1939"/>
      <c r="BN345" s="256"/>
      <c r="BO345" s="256"/>
      <c r="BP345" s="256"/>
      <c r="BQ345" s="1939"/>
      <c r="BR345" s="256"/>
      <c r="BS345" s="256"/>
      <c r="BT345" s="256"/>
      <c r="BU345" s="2095"/>
      <c r="BV345" s="256"/>
      <c r="BW345" s="256"/>
      <c r="BX345" s="256"/>
      <c r="BY345" s="1939"/>
      <c r="BZ345" s="256"/>
      <c r="CA345" s="256"/>
      <c r="CB345" s="256"/>
      <c r="CC345" s="2095"/>
      <c r="CD345" s="256"/>
      <c r="CE345" s="256"/>
      <c r="CF345" s="256"/>
      <c r="CG345" s="1939"/>
      <c r="CH345" s="256"/>
      <c r="CI345" s="256"/>
      <c r="CJ345" s="256"/>
      <c r="CK345" s="1939"/>
      <c r="CL345" s="256"/>
      <c r="CM345" s="256"/>
      <c r="CN345" s="256"/>
      <c r="CO345" s="1939"/>
      <c r="CP345" s="256"/>
      <c r="CQ345" s="256"/>
      <c r="CR345" s="256"/>
      <c r="CS345" s="2095"/>
      <c r="CT345" s="269"/>
      <c r="CU345" s="256"/>
      <c r="CV345" s="256"/>
      <c r="CW345" s="1939"/>
      <c r="CX345" s="256"/>
      <c r="CY345" s="256"/>
      <c r="CZ345" s="256"/>
      <c r="DA345" s="1939"/>
      <c r="DB345" s="256"/>
      <c r="DC345" s="256"/>
      <c r="DD345" s="256"/>
      <c r="DE345" s="1939"/>
      <c r="DF345" s="256"/>
      <c r="DG345" s="259"/>
      <c r="DH345" s="259"/>
      <c r="DI345" s="1939"/>
      <c r="DJ345" s="2781"/>
      <c r="DK345" s="259"/>
      <c r="DL345" s="259"/>
      <c r="DM345" s="1939"/>
      <c r="DN345" s="2096"/>
      <c r="DO345" s="2095"/>
      <c r="DP345" s="269"/>
      <c r="DQ345" s="269"/>
      <c r="DR345" s="269"/>
      <c r="DS345" s="269"/>
      <c r="DT345" s="269"/>
      <c r="DU345" s="269"/>
      <c r="DV345" s="269"/>
      <c r="DW345" s="269"/>
      <c r="DX345" s="269"/>
      <c r="DY345" s="269"/>
      <c r="DZ345" s="269"/>
      <c r="EA345" s="269"/>
      <c r="EB345" s="269"/>
      <c r="EC345" s="269"/>
      <c r="ED345" s="269"/>
      <c r="EJ345" s="71"/>
      <c r="EK345" s="269"/>
      <c r="EL345" s="269"/>
      <c r="EM345" s="269"/>
      <c r="EN345" s="269"/>
      <c r="EO345" s="269"/>
      <c r="EP345" s="269"/>
      <c r="EQ345" s="269"/>
      <c r="ER345" s="269"/>
      <c r="ES345" s="269"/>
      <c r="ET345" s="269"/>
      <c r="EU345" s="269"/>
      <c r="EV345" s="269"/>
      <c r="EW345" s="269"/>
      <c r="EX345" s="269"/>
      <c r="EY345" s="269"/>
      <c r="EZ345" s="2097"/>
      <c r="FA345" s="269"/>
      <c r="FB345" s="269"/>
      <c r="FC345" s="269"/>
      <c r="FD345" s="269"/>
      <c r="FE345" s="269"/>
      <c r="FF345" s="269"/>
      <c r="FG345" s="269"/>
      <c r="FH345" s="269"/>
      <c r="FI345" s="2096"/>
      <c r="FP345" s="190"/>
      <c r="FS345" s="260"/>
      <c r="FT345" s="260"/>
      <c r="FW345" s="260"/>
      <c r="FX345" s="260"/>
      <c r="FY345" s="260"/>
    </row>
    <row r="346" spans="1:260" ht="12.75" hidden="1" outlineLevel="1" x14ac:dyDescent="0.2">
      <c r="A346" s="99" t="s">
        <v>376</v>
      </c>
      <c r="E346" s="1486"/>
      <c r="I346" s="1486"/>
      <c r="M346" s="1486"/>
      <c r="Q346" s="1486"/>
      <c r="U346" s="1486"/>
      <c r="Y346" s="1486"/>
      <c r="AC346" s="1486"/>
      <c r="AG346" s="1486"/>
      <c r="AK346" s="1486"/>
      <c r="AO346" s="1486"/>
      <c r="AS346" s="1486"/>
      <c r="AW346" s="1486"/>
      <c r="BA346" s="1486"/>
      <c r="BB346" s="256"/>
      <c r="BC346" s="256"/>
      <c r="BE346" s="1939"/>
      <c r="BF346" s="2098">
        <f>BF363*BF$354</f>
        <v>61.150000000000006</v>
      </c>
      <c r="BG346" s="2098">
        <f>BG363*BG$354</f>
        <v>75.8</v>
      </c>
      <c r="BH346" s="2098">
        <f>BH363*BH$354</f>
        <v>86.100000000000009</v>
      </c>
      <c r="BI346" s="2099">
        <f>EL346-SUM(BF346:BH346)</f>
        <v>111.69999999999999</v>
      </c>
      <c r="BJ346" s="2098">
        <f>BJ363*BJ$354</f>
        <v>76.850000000000009</v>
      </c>
      <c r="BK346" s="2098">
        <f>BK363*BK$354</f>
        <v>83.4</v>
      </c>
      <c r="BL346" s="2098">
        <f>BL363*BL$354</f>
        <v>462.56000000000006</v>
      </c>
      <c r="BM346" s="2099">
        <f>EM346-SUM(BJ346:BL346)</f>
        <v>371.68999999999994</v>
      </c>
      <c r="BN346" s="2098">
        <f t="shared" ref="BN346:CS346" si="1321">BN363*BN$354</f>
        <v>385.5</v>
      </c>
      <c r="BO346" s="2098">
        <f t="shared" si="1321"/>
        <v>357.24</v>
      </c>
      <c r="BP346" s="2098">
        <f t="shared" si="1321"/>
        <v>371.15999999999997</v>
      </c>
      <c r="BQ346" s="2099">
        <f t="shared" si="1321"/>
        <v>396.90000000000003</v>
      </c>
      <c r="BR346" s="2098">
        <f t="shared" si="1321"/>
        <v>315.04000000000002</v>
      </c>
      <c r="BS346" s="2098">
        <f t="shared" si="1321"/>
        <v>290.3</v>
      </c>
      <c r="BT346" s="2098">
        <f t="shared" si="1321"/>
        <v>286.2</v>
      </c>
      <c r="BU346" s="2099">
        <f t="shared" si="1321"/>
        <v>331.12</v>
      </c>
      <c r="BV346" s="2098">
        <f t="shared" si="1321"/>
        <v>277.28999999999996</v>
      </c>
      <c r="BW346" s="2098">
        <f t="shared" si="1321"/>
        <v>273.24</v>
      </c>
      <c r="BX346" s="2098">
        <f t="shared" si="1321"/>
        <v>321.40000000000003</v>
      </c>
      <c r="BY346" s="2099">
        <f t="shared" si="1321"/>
        <v>282.10000000000002</v>
      </c>
      <c r="BZ346" s="2098">
        <f t="shared" si="1321"/>
        <v>309.20999999999998</v>
      </c>
      <c r="CA346" s="2098">
        <f t="shared" si="1321"/>
        <v>271.7</v>
      </c>
      <c r="CB346" s="2098">
        <f t="shared" si="1321"/>
        <v>304.3</v>
      </c>
      <c r="CC346" s="2099">
        <f t="shared" si="1321"/>
        <v>326.88</v>
      </c>
      <c r="CD346" s="2098">
        <f t="shared" si="1321"/>
        <v>267.93</v>
      </c>
      <c r="CE346" s="2098">
        <f t="shared" si="1321"/>
        <v>259.11</v>
      </c>
      <c r="CF346" s="2098">
        <f t="shared" si="1321"/>
        <v>309</v>
      </c>
      <c r="CG346" s="2099">
        <f t="shared" si="1321"/>
        <v>286.16000000000003</v>
      </c>
      <c r="CH346" s="2098">
        <f t="shared" si="1321"/>
        <v>186.79600000000002</v>
      </c>
      <c r="CI346" s="2098">
        <f t="shared" si="1321"/>
        <v>246.95999999999998</v>
      </c>
      <c r="CJ346" s="2098">
        <f t="shared" si="1321"/>
        <v>215.60000000000002</v>
      </c>
      <c r="CK346" s="2099">
        <f t="shared" si="1321"/>
        <v>249.66</v>
      </c>
      <c r="CL346" s="2098">
        <f t="shared" si="1321"/>
        <v>77.550000000000011</v>
      </c>
      <c r="CM346" s="2098">
        <f t="shared" si="1321"/>
        <v>76.800000000000011</v>
      </c>
      <c r="CN346" s="2098">
        <f t="shared" si="1321"/>
        <v>85.4</v>
      </c>
      <c r="CO346" s="2099">
        <f t="shared" si="1321"/>
        <v>96.08</v>
      </c>
      <c r="CP346" s="2098">
        <f t="shared" si="1321"/>
        <v>49.1</v>
      </c>
      <c r="CQ346" s="2098">
        <f t="shared" si="1321"/>
        <v>47.95</v>
      </c>
      <c r="CR346" s="2098">
        <f t="shared" si="1321"/>
        <v>55.6</v>
      </c>
      <c r="CS346" s="2099">
        <f t="shared" si="1321"/>
        <v>69.08</v>
      </c>
      <c r="CT346" s="2098">
        <f t="shared" ref="CT346:CY346" si="1322">CT363*CT$354</f>
        <v>42.900000000000006</v>
      </c>
      <c r="CU346" s="2098">
        <f t="shared" si="1322"/>
        <v>34.96</v>
      </c>
      <c r="CV346" s="2098">
        <f t="shared" si="1322"/>
        <v>52</v>
      </c>
      <c r="CW346" s="2099">
        <f t="shared" si="1322"/>
        <v>75.600000000000009</v>
      </c>
      <c r="CX346" s="789">
        <f t="shared" si="1322"/>
        <v>46.760000000000005</v>
      </c>
      <c r="CY346" s="789">
        <f t="shared" si="1322"/>
        <v>39</v>
      </c>
      <c r="CZ346" s="789">
        <f t="shared" ref="CZ346:DE346" si="1323">CZ363*CZ$325</f>
        <v>36.450000000000003</v>
      </c>
      <c r="DA346" s="875">
        <f t="shared" si="1323"/>
        <v>44.64</v>
      </c>
      <c r="DB346" s="789">
        <f>DB363*DB$325</f>
        <v>49.120000000000005</v>
      </c>
      <c r="DC346" s="789">
        <f t="shared" si="1323"/>
        <v>51.52</v>
      </c>
      <c r="DD346" s="789">
        <f>DD363*DD$325</f>
        <v>45.18</v>
      </c>
      <c r="DE346" s="875">
        <f t="shared" si="1323"/>
        <v>57.2</v>
      </c>
      <c r="DF346" s="789">
        <f t="shared" ref="DF346:DM346" si="1324">DF363*DF$325</f>
        <v>43.120000000000005</v>
      </c>
      <c r="DG346" s="880">
        <f t="shared" si="1324"/>
        <v>40.08</v>
      </c>
      <c r="DH346" s="880">
        <f t="shared" si="1324"/>
        <v>41.45</v>
      </c>
      <c r="DI346" s="875">
        <f t="shared" si="1324"/>
        <v>55.04</v>
      </c>
      <c r="DJ346" s="2782">
        <f t="shared" si="1324"/>
        <v>28.221848780487807</v>
      </c>
      <c r="DK346" s="880">
        <f t="shared" si="1324"/>
        <v>30.118228807947016</v>
      </c>
      <c r="DL346" s="880">
        <f t="shared" si="1324"/>
        <v>37.678049999999999</v>
      </c>
      <c r="DM346" s="875">
        <f t="shared" si="1324"/>
        <v>63.468000000000004</v>
      </c>
      <c r="DN346" s="2100"/>
      <c r="DO346" s="1941"/>
      <c r="DP346" s="2101"/>
      <c r="DQ346" s="2101"/>
      <c r="DR346" s="2101"/>
      <c r="DS346" s="2101"/>
      <c r="DT346" s="2101"/>
      <c r="DU346" s="2101"/>
      <c r="DV346" s="2101"/>
      <c r="DW346" s="2101"/>
      <c r="DX346" s="2101"/>
      <c r="DY346" s="2101"/>
      <c r="DZ346" s="2101"/>
      <c r="EA346" s="2101"/>
      <c r="EB346" s="2101"/>
      <c r="EC346" s="2101"/>
      <c r="ED346" s="2101"/>
      <c r="EE346" s="257"/>
      <c r="EJ346" s="71"/>
      <c r="EK346" s="269"/>
      <c r="EL346" s="2098">
        <f>EL363*EL$354</f>
        <v>334.75</v>
      </c>
      <c r="EM346" s="2098">
        <f>EM363*EM$354</f>
        <v>994.5</v>
      </c>
      <c r="EN346" s="2098">
        <f>SUM(BN346:BQ346)</f>
        <v>1510.8000000000002</v>
      </c>
      <c r="EO346" s="2098">
        <f>SUM(BR346:BU346)</f>
        <v>1222.6599999999999</v>
      </c>
      <c r="EP346" s="2098">
        <f>SUM(BV346:BY346)</f>
        <v>1154.0300000000002</v>
      </c>
      <c r="EQ346" s="2098">
        <f>SUM(BZ346:CC346)</f>
        <v>1212.0900000000001</v>
      </c>
      <c r="ER346" s="2098">
        <f>SUM(CD346:CG346)</f>
        <v>1122.2</v>
      </c>
      <c r="ES346" s="2098">
        <f>SUM(CH346:CK346)</f>
        <v>899.01599999999996</v>
      </c>
      <c r="ET346" s="2098">
        <f>SUM(CL346:CO346)</f>
        <v>335.83000000000004</v>
      </c>
      <c r="EU346" s="2098">
        <f>SUM(CP346:CS346)</f>
        <v>221.73000000000002</v>
      </c>
      <c r="EV346" s="789">
        <f>SUM(CT346:CW346)</f>
        <v>205.46000000000004</v>
      </c>
      <c r="EW346" s="789">
        <f>SUM(CX346:DA346)</f>
        <v>166.85000000000002</v>
      </c>
      <c r="EX346" s="789">
        <f>SUM(DB346:DE346)</f>
        <v>203.02000000000004</v>
      </c>
      <c r="EY346" s="789">
        <f>+SUM(DF346:DI346)</f>
        <v>179.69</v>
      </c>
      <c r="EZ346" s="1737">
        <f>SUM(DJ346:DM346)</f>
        <v>159.48612758843484</v>
      </c>
      <c r="FA346" s="789">
        <f t="shared" ref="FA346:FH346" si="1325">EZ346*(1+FA347)</f>
        <v>164.27071141608789</v>
      </c>
      <c r="FB346" s="2098">
        <f t="shared" si="1325"/>
        <v>169.19883275857055</v>
      </c>
      <c r="FC346" s="2098">
        <f t="shared" si="1325"/>
        <v>174.27479774132766</v>
      </c>
      <c r="FD346" s="2098">
        <f t="shared" si="1325"/>
        <v>179.50304167356748</v>
      </c>
      <c r="FE346" s="2098">
        <f t="shared" si="1325"/>
        <v>184.88813292377452</v>
      </c>
      <c r="FF346" s="2098">
        <f t="shared" si="1325"/>
        <v>190.43477691148777</v>
      </c>
      <c r="FG346" s="2098">
        <f t="shared" si="1325"/>
        <v>196.14782021883241</v>
      </c>
      <c r="FH346" s="2098">
        <f t="shared" si="1325"/>
        <v>202.03225482539739</v>
      </c>
      <c r="FI346" s="2102"/>
      <c r="FP346" s="190"/>
      <c r="FS346" s="2103"/>
      <c r="FT346" s="2103"/>
      <c r="FW346" s="880"/>
      <c r="FX346" s="880"/>
      <c r="FY346" s="2103"/>
    </row>
    <row r="347" spans="1:260" ht="12.75" hidden="1" outlineLevel="1" x14ac:dyDescent="0.2">
      <c r="A347" s="99" t="s">
        <v>482</v>
      </c>
      <c r="E347" s="1486"/>
      <c r="I347" s="1486"/>
      <c r="M347" s="1486"/>
      <c r="Q347" s="1486"/>
      <c r="U347" s="1486"/>
      <c r="Y347" s="1486"/>
      <c r="AC347" s="1486"/>
      <c r="AG347" s="1486"/>
      <c r="AK347" s="1486"/>
      <c r="AO347" s="1486"/>
      <c r="AS347" s="1486"/>
      <c r="AW347" s="1486"/>
      <c r="BA347" s="1486"/>
      <c r="BB347" s="256"/>
      <c r="BC347" s="256"/>
      <c r="BE347" s="1939"/>
      <c r="BF347" s="2104" t="s">
        <v>483</v>
      </c>
      <c r="BG347" s="2104" t="s">
        <v>483</v>
      </c>
      <c r="BH347" s="2104" t="s">
        <v>483</v>
      </c>
      <c r="BI347" s="2105" t="s">
        <v>483</v>
      </c>
      <c r="BJ347" s="258">
        <f t="shared" ref="BJ347:BY347" si="1326">BJ346/BF346-1</f>
        <v>0.25674570727718726</v>
      </c>
      <c r="BK347" s="258">
        <f t="shared" si="1326"/>
        <v>0.10026385224274414</v>
      </c>
      <c r="BL347" s="258">
        <f t="shared" si="1326"/>
        <v>4.3723577235772355</v>
      </c>
      <c r="BM347" s="1940">
        <f t="shared" si="1326"/>
        <v>2.3275738585496866</v>
      </c>
      <c r="BN347" s="258">
        <f t="shared" si="1326"/>
        <v>4.01626545217957</v>
      </c>
      <c r="BO347" s="258">
        <f t="shared" si="1326"/>
        <v>3.2834532374100718</v>
      </c>
      <c r="BP347" s="258">
        <f t="shared" si="1326"/>
        <v>-0.19759598754756158</v>
      </c>
      <c r="BQ347" s="1940">
        <f t="shared" si="1326"/>
        <v>6.7825338319567718E-2</v>
      </c>
      <c r="BR347" s="258">
        <f t="shared" si="1326"/>
        <v>-0.18277561608300907</v>
      </c>
      <c r="BS347" s="258">
        <f t="shared" si="1326"/>
        <v>-0.18738103235919834</v>
      </c>
      <c r="BT347" s="258">
        <f t="shared" si="1326"/>
        <v>-0.22890397672162943</v>
      </c>
      <c r="BU347" s="1940">
        <f t="shared" si="1326"/>
        <v>-0.16573444192491815</v>
      </c>
      <c r="BV347" s="258">
        <f t="shared" si="1326"/>
        <v>-0.1198260538344339</v>
      </c>
      <c r="BW347" s="258">
        <f t="shared" si="1326"/>
        <v>-5.8766792972786752E-2</v>
      </c>
      <c r="BX347" s="258">
        <f t="shared" si="1326"/>
        <v>0.12299091544374585</v>
      </c>
      <c r="BY347" s="1940">
        <f t="shared" si="1326"/>
        <v>-0.14804300555689776</v>
      </c>
      <c r="BZ347" s="187">
        <f t="shared" ref="BZ347:CC348" si="1327">BZ346/BN346-1</f>
        <v>-0.197898832684825</v>
      </c>
      <c r="CA347" s="187">
        <f t="shared" si="1327"/>
        <v>-0.23944687045123736</v>
      </c>
      <c r="CB347" s="187">
        <f t="shared" si="1327"/>
        <v>-0.18013794589934251</v>
      </c>
      <c r="CC347" s="1568">
        <f t="shared" si="1327"/>
        <v>-0.17641723356009076</v>
      </c>
      <c r="CD347" s="258">
        <f t="shared" ref="CD347:CK347" si="1328">CD346/BZ346-1</f>
        <v>-0.13350150383234682</v>
      </c>
      <c r="CE347" s="258">
        <f t="shared" si="1328"/>
        <v>-4.6337872653662071E-2</v>
      </c>
      <c r="CF347" s="258">
        <f t="shared" si="1328"/>
        <v>1.5445284258954972E-2</v>
      </c>
      <c r="CG347" s="1940">
        <f t="shared" si="1328"/>
        <v>-0.1245717082721487</v>
      </c>
      <c r="CH347" s="258">
        <f t="shared" si="1328"/>
        <v>-0.30281790019781285</v>
      </c>
      <c r="CI347" s="258">
        <f t="shared" si="1328"/>
        <v>-4.6891281695033094E-2</v>
      </c>
      <c r="CJ347" s="258">
        <f t="shared" si="1328"/>
        <v>-0.30226537216828475</v>
      </c>
      <c r="CK347" s="1940">
        <f t="shared" si="1328"/>
        <v>-0.12755102040816335</v>
      </c>
      <c r="CL347" s="258">
        <f>CL346/CD346-1</f>
        <v>-0.71055872802597686</v>
      </c>
      <c r="CM347" s="258">
        <f>CM346/CE346-1</f>
        <v>-0.70360078731040865</v>
      </c>
      <c r="CN347" s="258">
        <f>CN346/CF346-1</f>
        <v>-0.72362459546925573</v>
      </c>
      <c r="CO347" s="1940">
        <f>CO346/CG346-1</f>
        <v>-0.66424377970366233</v>
      </c>
      <c r="CP347" s="258">
        <f>CP346/CL346-1</f>
        <v>-0.36686009026434563</v>
      </c>
      <c r="CQ347" s="258">
        <f>CQ346/CI346-1</f>
        <v>-0.80583900226757366</v>
      </c>
      <c r="CR347" s="258">
        <f>CR346/CJ346-1</f>
        <v>-0.7421150278293136</v>
      </c>
      <c r="CS347" s="1940">
        <f>CS346/CK346-1</f>
        <v>-0.72330369302251063</v>
      </c>
      <c r="CT347" s="258">
        <f t="shared" ref="CT347:DD347" si="1329">CT346/CP346-1</f>
        <v>-0.12627291242362515</v>
      </c>
      <c r="CU347" s="258">
        <f t="shared" si="1329"/>
        <v>-0.27090719499478622</v>
      </c>
      <c r="CV347" s="258">
        <f t="shared" si="1329"/>
        <v>-6.4748201438848962E-2</v>
      </c>
      <c r="CW347" s="1940">
        <f t="shared" si="1329"/>
        <v>9.4383323682686981E-2</v>
      </c>
      <c r="CX347" s="77">
        <f t="shared" si="1329"/>
        <v>8.9976689976690061E-2</v>
      </c>
      <c r="CY347" s="77">
        <f t="shared" si="1329"/>
        <v>0.11556064073226535</v>
      </c>
      <c r="CZ347" s="77">
        <f t="shared" si="1329"/>
        <v>-0.29903846153846148</v>
      </c>
      <c r="DA347" s="487">
        <f t="shared" si="1329"/>
        <v>-0.40952380952380962</v>
      </c>
      <c r="DB347" s="77">
        <f t="shared" si="1329"/>
        <v>5.0470487596236069E-2</v>
      </c>
      <c r="DC347" s="77">
        <f t="shared" si="1329"/>
        <v>0.32102564102564113</v>
      </c>
      <c r="DD347" s="77">
        <f t="shared" si="1329"/>
        <v>0.23950617283950604</v>
      </c>
      <c r="DE347" s="70">
        <v>0.16700000000000001</v>
      </c>
      <c r="DF347" s="580">
        <v>0.59599999999999997</v>
      </c>
      <c r="DG347" s="70">
        <v>-1.2999999999999999E-2</v>
      </c>
      <c r="DH347" s="70">
        <v>-0.151</v>
      </c>
      <c r="DI347" s="70">
        <v>-9.8000000000000004E-2</v>
      </c>
      <c r="DJ347" s="2779">
        <v>0.59599999999999997</v>
      </c>
      <c r="DK347" s="2382">
        <v>0.59599999999999997</v>
      </c>
      <c r="DL347" s="2382">
        <v>0.59599999999999997</v>
      </c>
      <c r="DM347" s="2428">
        <v>0.59599999999999997</v>
      </c>
      <c r="DN347" s="2107"/>
      <c r="DO347" s="2108"/>
      <c r="DP347" s="261"/>
      <c r="DQ347" s="261"/>
      <c r="DR347" s="261"/>
      <c r="DS347" s="261"/>
      <c r="DT347" s="261"/>
      <c r="DU347" s="261"/>
      <c r="DV347" s="261"/>
      <c r="DW347" s="261"/>
      <c r="DX347" s="261"/>
      <c r="DY347" s="261"/>
      <c r="DZ347" s="261"/>
      <c r="EA347" s="261"/>
      <c r="EB347" s="261"/>
      <c r="EC347" s="261"/>
      <c r="ED347" s="261"/>
      <c r="EE347" s="187"/>
      <c r="EJ347" s="71"/>
      <c r="EK347" s="269"/>
      <c r="EL347" s="2109" t="s">
        <v>483</v>
      </c>
      <c r="EM347" s="258">
        <f>EM346/EL346-1</f>
        <v>1.970873786407767</v>
      </c>
      <c r="EN347" s="258">
        <f>EN346/EM346-1</f>
        <v>0.51915535444947225</v>
      </c>
      <c r="EO347" s="258">
        <f>EO346/EN346-1</f>
        <v>-0.19072014826581962</v>
      </c>
      <c r="EP347" s="258">
        <f>EP346/EO346-1</f>
        <v>-5.6131712822861335E-2</v>
      </c>
      <c r="EQ347" s="187">
        <f>EQ346/EN346-1</f>
        <v>-0.19771644162033364</v>
      </c>
      <c r="ER347" s="258">
        <f>ER346/EQ346-1</f>
        <v>-7.416115964986103E-2</v>
      </c>
      <c r="ES347" s="258">
        <f>ES346/ER346-1</f>
        <v>-0.19888076991623604</v>
      </c>
      <c r="ET347" s="258">
        <f>ET346/ER346-1</f>
        <v>-0.70073961860630907</v>
      </c>
      <c r="EU347" s="258">
        <f t="shared" ref="EU347:EZ347" si="1330">EU346/ET346-1</f>
        <v>-0.33975523330256385</v>
      </c>
      <c r="EV347" s="77">
        <f t="shared" si="1330"/>
        <v>-7.3377531231678117E-2</v>
      </c>
      <c r="EW347" s="77">
        <f t="shared" si="1330"/>
        <v>-0.18791978974009538</v>
      </c>
      <c r="EX347" s="77">
        <f t="shared" si="1330"/>
        <v>0.21678154030566388</v>
      </c>
      <c r="EY347" s="77">
        <f t="shared" si="1330"/>
        <v>-0.11491478672052036</v>
      </c>
      <c r="EZ347" s="1680">
        <f t="shared" si="1330"/>
        <v>-0.11243737777041107</v>
      </c>
      <c r="FA347" s="1610">
        <v>0.03</v>
      </c>
      <c r="FB347" s="1938">
        <v>0.03</v>
      </c>
      <c r="FC347" s="1938">
        <v>0.03</v>
      </c>
      <c r="FD347" s="1938">
        <v>0.03</v>
      </c>
      <c r="FE347" s="1938">
        <v>0.03</v>
      </c>
      <c r="FF347" s="1938">
        <v>0.03</v>
      </c>
      <c r="FG347" s="1938">
        <v>0.03</v>
      </c>
      <c r="FH347" s="1938">
        <v>0.03</v>
      </c>
      <c r="FI347" s="2110"/>
      <c r="FP347" s="190"/>
      <c r="FS347" s="2111"/>
      <c r="FT347" s="2111"/>
      <c r="FW347" s="1606"/>
      <c r="FX347" s="1606"/>
      <c r="FY347" s="2649"/>
    </row>
    <row r="348" spans="1:260" ht="12.75" hidden="1" outlineLevel="1" x14ac:dyDescent="0.2">
      <c r="A348" s="99" t="s">
        <v>4</v>
      </c>
      <c r="E348" s="1486"/>
      <c r="I348" s="1486"/>
      <c r="M348" s="1486"/>
      <c r="Q348" s="1486"/>
      <c r="U348" s="1486"/>
      <c r="Y348" s="1486"/>
      <c r="AC348" s="1486"/>
      <c r="AG348" s="1486"/>
      <c r="AK348" s="1486"/>
      <c r="AO348" s="1486"/>
      <c r="AS348" s="1486"/>
      <c r="AW348" s="1486"/>
      <c r="BA348" s="1486"/>
      <c r="BB348" s="256"/>
      <c r="BC348" s="256"/>
      <c r="BE348" s="1939"/>
      <c r="BF348" s="256"/>
      <c r="BG348" s="256"/>
      <c r="BH348" s="256"/>
      <c r="BI348" s="1939"/>
      <c r="BJ348" s="258"/>
      <c r="BK348" s="258"/>
      <c r="BL348" s="258"/>
      <c r="BM348" s="1940"/>
      <c r="BN348" s="258">
        <f t="shared" ref="BN348:BY348" si="1331">BN347/BJ347-1</f>
        <v>14.642970216610236</v>
      </c>
      <c r="BO348" s="258">
        <f t="shared" si="1331"/>
        <v>31.748125709958323</v>
      </c>
      <c r="BP348" s="258">
        <f t="shared" si="1331"/>
        <v>-1.0451920908671442</v>
      </c>
      <c r="BQ348" s="1940">
        <f t="shared" si="1331"/>
        <v>-0.97086007042464817</v>
      </c>
      <c r="BR348" s="258">
        <f t="shared" si="1331"/>
        <v>-1.0455088485209112</v>
      </c>
      <c r="BS348" s="258">
        <f t="shared" si="1331"/>
        <v>-1.0570682811085201</v>
      </c>
      <c r="BT348" s="258">
        <f t="shared" si="1331"/>
        <v>0.15844445812206587</v>
      </c>
      <c r="BU348" s="1940">
        <f t="shared" si="1331"/>
        <v>-3.4435475890151732</v>
      </c>
      <c r="BV348" s="258">
        <f t="shared" si="1331"/>
        <v>-0.34440897313121954</v>
      </c>
      <c r="BW348" s="258">
        <f t="shared" si="1331"/>
        <v>-0.68637811291308137</v>
      </c>
      <c r="BX348" s="258">
        <f t="shared" si="1331"/>
        <v>-1.5373035331461948</v>
      </c>
      <c r="BY348" s="1940">
        <f t="shared" si="1331"/>
        <v>-0.10674568401440099</v>
      </c>
      <c r="BZ348" s="187">
        <f t="shared" si="1327"/>
        <v>-1.0492743408126641</v>
      </c>
      <c r="CA348" s="187">
        <f t="shared" si="1327"/>
        <v>-1.0729253176878222</v>
      </c>
      <c r="CB348" s="187">
        <f t="shared" si="1327"/>
        <v>-8.8352207273525218E-2</v>
      </c>
      <c r="CC348" s="1568">
        <f t="shared" si="1327"/>
        <v>-3.601052024670758</v>
      </c>
      <c r="CD348" s="258">
        <f t="shared" ref="CD348:CK348" si="1332">AVERAGE(CD347,BZ347)</f>
        <v>-0.16570016825858591</v>
      </c>
      <c r="CE348" s="258">
        <f t="shared" si="1332"/>
        <v>-0.14289237155244972</v>
      </c>
      <c r="CF348" s="258">
        <f t="shared" si="1332"/>
        <v>-8.2346330820193769E-2</v>
      </c>
      <c r="CG348" s="1940">
        <f t="shared" si="1332"/>
        <v>-0.15049447091611973</v>
      </c>
      <c r="CH348" s="258">
        <f t="shared" si="1332"/>
        <v>-0.21815970201507984</v>
      </c>
      <c r="CI348" s="258">
        <f t="shared" si="1332"/>
        <v>-4.6614577174347582E-2</v>
      </c>
      <c r="CJ348" s="258">
        <f t="shared" si="1332"/>
        <v>-0.14341004395466489</v>
      </c>
      <c r="CK348" s="1940">
        <f t="shared" si="1332"/>
        <v>-0.12606136434015602</v>
      </c>
      <c r="CL348" s="258">
        <f>AVERAGE(CL347,CD347)</f>
        <v>-0.42203011592916184</v>
      </c>
      <c r="CM348" s="258">
        <f>AVERAGE(CM347,CE347)</f>
        <v>-0.37496932998203536</v>
      </c>
      <c r="CN348" s="258">
        <f>AVERAGE(CN347,CF347)</f>
        <v>-0.35408965560515038</v>
      </c>
      <c r="CO348" s="1940">
        <f>AVERAGE(CO347,CG347)</f>
        <v>-0.39440774398790551</v>
      </c>
      <c r="CP348" s="258">
        <f>AVERAGE(CP347,CL347)</f>
        <v>-0.53870940914516119</v>
      </c>
      <c r="CQ348" s="258">
        <f>AVERAGE(CQ347,CI347)</f>
        <v>-0.42636514198130337</v>
      </c>
      <c r="CR348" s="258">
        <f>AVERAGE(CR347,CJ347)</f>
        <v>-0.52219019999879923</v>
      </c>
      <c r="CS348" s="1940">
        <f t="shared" ref="CS348:DB348" si="1333">AVERAGE(CS347,CO347)</f>
        <v>-0.69377373636308648</v>
      </c>
      <c r="CT348" s="258">
        <f t="shared" si="1333"/>
        <v>-0.24656650134398539</v>
      </c>
      <c r="CU348" s="258">
        <f t="shared" si="1333"/>
        <v>-0.53837309863117988</v>
      </c>
      <c r="CV348" s="258">
        <f t="shared" si="1333"/>
        <v>-0.40343161463408128</v>
      </c>
      <c r="CW348" s="1940">
        <f t="shared" si="1333"/>
        <v>-0.31446018466991182</v>
      </c>
      <c r="CX348" s="77">
        <f t="shared" si="1333"/>
        <v>-1.8148111223467545E-2</v>
      </c>
      <c r="CY348" s="77">
        <f t="shared" si="1333"/>
        <v>-7.7673277131260432E-2</v>
      </c>
      <c r="CZ348" s="77">
        <f t="shared" si="1333"/>
        <v>-0.18189333148865522</v>
      </c>
      <c r="DA348" s="487">
        <f t="shared" si="1333"/>
        <v>-0.15757024292056132</v>
      </c>
      <c r="DB348" s="77">
        <f t="shared" si="1333"/>
        <v>7.0223588786463065E-2</v>
      </c>
      <c r="DC348" s="77">
        <f t="shared" ref="DC348:DM348" si="1334">AVERAGE(DC347,CY347)</f>
        <v>0.21829314087895324</v>
      </c>
      <c r="DD348" s="77">
        <f t="shared" si="1334"/>
        <v>-2.9766144349477719E-2</v>
      </c>
      <c r="DE348" s="70">
        <f t="shared" si="1334"/>
        <v>-0.12126190476190481</v>
      </c>
      <c r="DF348" s="580">
        <f t="shared" si="1334"/>
        <v>0.32323524379811802</v>
      </c>
      <c r="DG348" s="70">
        <f t="shared" si="1334"/>
        <v>0.15401282051282056</v>
      </c>
      <c r="DH348" s="70">
        <f t="shared" si="1334"/>
        <v>4.4253086419753021E-2</v>
      </c>
      <c r="DI348" s="70">
        <f t="shared" si="1334"/>
        <v>3.4500000000000003E-2</v>
      </c>
      <c r="DJ348" s="2780">
        <f t="shared" si="1334"/>
        <v>0.59599999999999997</v>
      </c>
      <c r="DK348" s="70">
        <f t="shared" si="1334"/>
        <v>0.29149999999999998</v>
      </c>
      <c r="DL348" s="70">
        <f t="shared" si="1334"/>
        <v>0.22249999999999998</v>
      </c>
      <c r="DM348" s="487">
        <f t="shared" si="1334"/>
        <v>0.249</v>
      </c>
      <c r="DN348" s="2112"/>
      <c r="DO348" s="1940"/>
      <c r="DP348" s="258"/>
      <c r="DQ348" s="258"/>
      <c r="DR348" s="258"/>
      <c r="DS348" s="258"/>
      <c r="DT348" s="258"/>
      <c r="DU348" s="258"/>
      <c r="DV348" s="258"/>
      <c r="DW348" s="258"/>
      <c r="DX348" s="258"/>
      <c r="DY348" s="258"/>
      <c r="DZ348" s="258"/>
      <c r="EA348" s="258"/>
      <c r="EB348" s="258"/>
      <c r="EC348" s="258"/>
      <c r="ED348" s="258"/>
      <c r="EE348" s="187"/>
      <c r="EJ348" s="71"/>
      <c r="EK348" s="269"/>
      <c r="EL348" s="269"/>
      <c r="EM348" s="258"/>
      <c r="EN348" s="258">
        <f>EN347/EM347-1</f>
        <v>-0.73658619946652393</v>
      </c>
      <c r="EO348" s="258">
        <f>EO347/EN347-1</f>
        <v>-1.3673662356195189</v>
      </c>
      <c r="EP348" s="258">
        <f>EP347/EO347-1</f>
        <v>-0.70568545938509475</v>
      </c>
      <c r="EQ348" s="187">
        <f>EQ347/EN347-1</f>
        <v>-1.3808425357184229</v>
      </c>
      <c r="ER348" s="258">
        <f>AVERAGE(ER347,EQ347)</f>
        <v>-0.13593880063509733</v>
      </c>
      <c r="ES348" s="258">
        <f>AVERAGE(ES347,ER347)</f>
        <v>-0.13652096478304854</v>
      </c>
      <c r="ET348" s="258">
        <f>AVERAGE(ET347,ER347)</f>
        <v>-0.38745038912808505</v>
      </c>
      <c r="EU348" s="258">
        <f t="shared" ref="EU348:EZ348" si="1335">AVERAGE(EU347,ET347)</f>
        <v>-0.52024742595443652</v>
      </c>
      <c r="EV348" s="77">
        <f t="shared" si="1335"/>
        <v>-0.20656638226712098</v>
      </c>
      <c r="EW348" s="77">
        <f t="shared" si="1335"/>
        <v>-0.13064866048588675</v>
      </c>
      <c r="EX348" s="77">
        <f t="shared" si="1335"/>
        <v>1.443087528278425E-2</v>
      </c>
      <c r="EY348" s="77">
        <f t="shared" si="1335"/>
        <v>5.0933376792571761E-2</v>
      </c>
      <c r="EZ348" s="1680">
        <f t="shared" si="1335"/>
        <v>-0.11367608224546571</v>
      </c>
      <c r="FA348" s="77">
        <f t="shared" ref="FA348:FH348" si="1336">FA347+EZ347</f>
        <v>-8.2437377770411074E-2</v>
      </c>
      <c r="FB348" s="258">
        <f t="shared" si="1336"/>
        <v>0.06</v>
      </c>
      <c r="FC348" s="258">
        <f t="shared" si="1336"/>
        <v>0.06</v>
      </c>
      <c r="FD348" s="258">
        <f t="shared" si="1336"/>
        <v>0.06</v>
      </c>
      <c r="FE348" s="258">
        <f t="shared" si="1336"/>
        <v>0.06</v>
      </c>
      <c r="FF348" s="258">
        <f t="shared" si="1336"/>
        <v>0.06</v>
      </c>
      <c r="FG348" s="258">
        <f t="shared" si="1336"/>
        <v>0.06</v>
      </c>
      <c r="FH348" s="258">
        <f t="shared" si="1336"/>
        <v>0.06</v>
      </c>
      <c r="FI348" s="2112"/>
      <c r="FP348" s="190"/>
      <c r="FS348" s="266"/>
      <c r="FT348" s="266"/>
      <c r="FW348" s="70"/>
      <c r="FX348" s="70"/>
      <c r="FY348" s="266"/>
    </row>
    <row r="349" spans="1:260" ht="12.75" hidden="1" outlineLevel="1" x14ac:dyDescent="0.2">
      <c r="E349" s="1486"/>
      <c r="I349" s="1486"/>
      <c r="M349" s="1486"/>
      <c r="Q349" s="1486"/>
      <c r="U349" s="1486"/>
      <c r="Y349" s="1486"/>
      <c r="AC349" s="1486"/>
      <c r="AG349" s="1486"/>
      <c r="AK349" s="1486"/>
      <c r="AO349" s="1486"/>
      <c r="AS349" s="1486"/>
      <c r="AW349" s="1486"/>
      <c r="BA349" s="1486"/>
      <c r="BB349" s="256"/>
      <c r="BC349" s="256"/>
      <c r="BE349" s="1939"/>
      <c r="BF349" s="256"/>
      <c r="BG349" s="256"/>
      <c r="BH349" s="256"/>
      <c r="BI349" s="1939"/>
      <c r="BJ349" s="256"/>
      <c r="BK349" s="256"/>
      <c r="BL349" s="256"/>
      <c r="BM349" s="1939"/>
      <c r="BN349" s="256"/>
      <c r="BO349" s="256"/>
      <c r="BP349" s="256"/>
      <c r="BQ349" s="1939"/>
      <c r="BR349" s="256"/>
      <c r="BS349" s="256"/>
      <c r="BT349" s="256"/>
      <c r="BU349" s="2095"/>
      <c r="BV349" s="256"/>
      <c r="BW349" s="256"/>
      <c r="BX349" s="256"/>
      <c r="BY349" s="1939"/>
      <c r="BZ349" s="256"/>
      <c r="CA349" s="256"/>
      <c r="CB349" s="256"/>
      <c r="CC349" s="2095"/>
      <c r="CD349" s="256"/>
      <c r="CE349" s="256"/>
      <c r="CF349" s="256"/>
      <c r="CG349" s="1939"/>
      <c r="CH349" s="256"/>
      <c r="CI349" s="256"/>
      <c r="CJ349" s="256"/>
      <c r="CK349" s="1939"/>
      <c r="CL349" s="256"/>
      <c r="CM349" s="256"/>
      <c r="CN349" s="256"/>
      <c r="CO349" s="1939"/>
      <c r="CP349" s="256"/>
      <c r="CQ349" s="256"/>
      <c r="CR349" s="256"/>
      <c r="CS349" s="2095"/>
      <c r="CT349" s="269"/>
      <c r="CU349" s="256"/>
      <c r="CV349" s="269"/>
      <c r="CW349" s="2095"/>
      <c r="CX349" s="256"/>
      <c r="CY349" s="269"/>
      <c r="CZ349" s="269"/>
      <c r="DA349" s="2095"/>
      <c r="DB349" s="269"/>
      <c r="DC349" s="269"/>
      <c r="DD349" s="260"/>
      <c r="DE349" s="2095"/>
      <c r="DF349" s="269"/>
      <c r="DG349" s="260"/>
      <c r="DH349" s="260"/>
      <c r="DI349" s="2095"/>
      <c r="DJ349" s="2783"/>
      <c r="DK349" s="260"/>
      <c r="DL349" s="260"/>
      <c r="DM349" s="2095"/>
      <c r="DN349" s="2096"/>
      <c r="DO349" s="2095"/>
      <c r="DP349" s="269"/>
      <c r="DQ349" s="269"/>
      <c r="DR349" s="269"/>
      <c r="DS349" s="269"/>
      <c r="DT349" s="269"/>
      <c r="DU349" s="269"/>
      <c r="DV349" s="269"/>
      <c r="DW349" s="269"/>
      <c r="DX349" s="269"/>
      <c r="DY349" s="269"/>
      <c r="DZ349" s="269"/>
      <c r="EA349" s="269"/>
      <c r="EB349" s="269"/>
      <c r="EC349" s="269"/>
      <c r="ED349" s="269"/>
      <c r="EJ349" s="71"/>
      <c r="EK349" s="269"/>
      <c r="EL349" s="269"/>
      <c r="EM349" s="269"/>
      <c r="EN349" s="269"/>
      <c r="EO349" s="269"/>
      <c r="EP349" s="269"/>
      <c r="EQ349" s="269"/>
      <c r="ER349" s="269"/>
      <c r="ES349" s="269"/>
      <c r="ET349" s="269"/>
      <c r="EU349" s="269"/>
      <c r="EV349" s="269"/>
      <c r="EW349" s="269"/>
      <c r="EX349" s="269"/>
      <c r="EY349" s="269"/>
      <c r="EZ349" s="2151"/>
      <c r="FA349" s="269"/>
      <c r="FB349" s="269"/>
      <c r="FC349" s="269"/>
      <c r="FD349" s="269"/>
      <c r="FE349" s="269"/>
      <c r="FF349" s="269"/>
      <c r="FG349" s="269"/>
      <c r="FH349" s="269"/>
      <c r="FI349" s="2096"/>
      <c r="FP349" s="190"/>
      <c r="FS349" s="260"/>
      <c r="FT349" s="260"/>
      <c r="FW349" s="260"/>
      <c r="FX349" s="260"/>
      <c r="FY349" s="260"/>
    </row>
    <row r="350" spans="1:260" ht="12.75" hidden="1" outlineLevel="1" x14ac:dyDescent="0.2">
      <c r="A350" s="99" t="s">
        <v>479</v>
      </c>
      <c r="E350" s="1486"/>
      <c r="I350" s="1486"/>
      <c r="M350" s="1486"/>
      <c r="Q350" s="1486"/>
      <c r="U350" s="1486"/>
      <c r="Y350" s="1486"/>
      <c r="AC350" s="1486"/>
      <c r="AG350" s="1486"/>
      <c r="AK350" s="1486"/>
      <c r="AO350" s="1486"/>
      <c r="AS350" s="1486"/>
      <c r="AW350" s="1486"/>
      <c r="BA350" s="1486"/>
      <c r="BB350" s="256"/>
      <c r="BC350" s="256"/>
      <c r="BE350" s="1939"/>
      <c r="BF350" s="2098">
        <f>BF354-BF346-BF342-BF338-BF334-BF330</f>
        <v>0</v>
      </c>
      <c r="BG350" s="2098">
        <f>BG354-BG346-BG342-BG338-BG334-BG330</f>
        <v>0</v>
      </c>
      <c r="BH350" s="2098">
        <f>BH354-BH346-BH342-BH338-BH334-BH330</f>
        <v>0</v>
      </c>
      <c r="BI350" s="2099">
        <f>EL350-SUM(BF350:BH350)</f>
        <v>0</v>
      </c>
      <c r="BJ350" s="2098">
        <f>BJ354-BJ346-BJ342-BJ338-BJ334-BJ330</f>
        <v>0</v>
      </c>
      <c r="BK350" s="2098">
        <f>BK354-BK346-BK342-BK338-BK334-BK330</f>
        <v>0</v>
      </c>
      <c r="BL350" s="2098">
        <f>BL354-BL346-BL342-BL338-BL334-BL330</f>
        <v>0</v>
      </c>
      <c r="BM350" s="2099">
        <f>EM350-SUM(BJ350:BL350)</f>
        <v>0</v>
      </c>
      <c r="BN350" s="2098">
        <f t="shared" ref="BN350:CV350" si="1337">BN354-BN346-BN342-BN338-BN334-BN330</f>
        <v>0</v>
      </c>
      <c r="BO350" s="2098">
        <f t="shared" si="1337"/>
        <v>0</v>
      </c>
      <c r="BP350" s="2098">
        <f t="shared" si="1337"/>
        <v>0</v>
      </c>
      <c r="BQ350" s="2099">
        <f t="shared" si="1337"/>
        <v>0</v>
      </c>
      <c r="BR350" s="2098">
        <f t="shared" si="1337"/>
        <v>0</v>
      </c>
      <c r="BS350" s="2098">
        <f t="shared" si="1337"/>
        <v>0</v>
      </c>
      <c r="BT350" s="2098">
        <f t="shared" si="1337"/>
        <v>0</v>
      </c>
      <c r="BU350" s="2099">
        <f t="shared" si="1337"/>
        <v>0</v>
      </c>
      <c r="BV350" s="2098">
        <f t="shared" si="1337"/>
        <v>0</v>
      </c>
      <c r="BW350" s="2098">
        <f t="shared" si="1337"/>
        <v>0</v>
      </c>
      <c r="BX350" s="2098">
        <f t="shared" si="1337"/>
        <v>0</v>
      </c>
      <c r="BY350" s="2099">
        <f t="shared" si="1337"/>
        <v>0</v>
      </c>
      <c r="BZ350" s="2098">
        <f t="shared" si="1337"/>
        <v>0</v>
      </c>
      <c r="CA350" s="2098">
        <f t="shared" si="1337"/>
        <v>0</v>
      </c>
      <c r="CB350" s="2098">
        <f t="shared" si="1337"/>
        <v>0</v>
      </c>
      <c r="CC350" s="2099">
        <f t="shared" si="1337"/>
        <v>0</v>
      </c>
      <c r="CD350" s="2098">
        <f t="shared" si="1337"/>
        <v>0</v>
      </c>
      <c r="CE350" s="2098">
        <f t="shared" si="1337"/>
        <v>0</v>
      </c>
      <c r="CF350" s="2098">
        <f t="shared" si="1337"/>
        <v>0</v>
      </c>
      <c r="CG350" s="2099">
        <f t="shared" si="1337"/>
        <v>0</v>
      </c>
      <c r="CH350" s="2098">
        <f t="shared" si="1337"/>
        <v>2.7879999999997267</v>
      </c>
      <c r="CI350" s="2098">
        <f t="shared" si="1337"/>
        <v>0</v>
      </c>
      <c r="CJ350" s="2098">
        <f t="shared" si="1337"/>
        <v>0</v>
      </c>
      <c r="CK350" s="2099">
        <f t="shared" si="1337"/>
        <v>0</v>
      </c>
      <c r="CL350" s="2098">
        <f t="shared" si="1337"/>
        <v>0</v>
      </c>
      <c r="CM350" s="2098">
        <f t="shared" si="1337"/>
        <v>0</v>
      </c>
      <c r="CN350" s="2098">
        <f t="shared" si="1337"/>
        <v>0</v>
      </c>
      <c r="CO350" s="2099">
        <f t="shared" si="1337"/>
        <v>0</v>
      </c>
      <c r="CP350" s="2098">
        <f t="shared" si="1337"/>
        <v>0</v>
      </c>
      <c r="CQ350" s="2098">
        <f t="shared" si="1337"/>
        <v>0</v>
      </c>
      <c r="CR350" s="2098">
        <f t="shared" si="1337"/>
        <v>0</v>
      </c>
      <c r="CS350" s="2099">
        <f t="shared" si="1337"/>
        <v>0</v>
      </c>
      <c r="CT350" s="2098">
        <f>CT354-CT346-CT342-CT338-CT334-CT330</f>
        <v>8.5799999999999841</v>
      </c>
      <c r="CU350" s="2098">
        <f>CU354-CU346-CU342-CU338-CU334-CU330</f>
        <v>8.7399999999998954</v>
      </c>
      <c r="CV350" s="2098">
        <f t="shared" si="1337"/>
        <v>10.399999999999977</v>
      </c>
      <c r="CW350" s="2099">
        <f>CW354-CW346-CW342-CW338-CW334-CW330</f>
        <v>15.120000000000232</v>
      </c>
      <c r="CX350" s="789">
        <f>CX354-CX346-CX342-CX338-CX334-CX330</f>
        <v>6.6800000000000921</v>
      </c>
      <c r="CY350" s="789">
        <f>CY354-CY346-CY342-CY338-CY334-CY330</f>
        <v>6.5</v>
      </c>
      <c r="CZ350" s="789">
        <f t="shared" ref="CZ350:DE350" si="1338">CZ364*CZ$325</f>
        <v>7.29</v>
      </c>
      <c r="DA350" s="875">
        <f t="shared" si="1338"/>
        <v>11.16</v>
      </c>
      <c r="DB350" s="789">
        <f>DB364*DB$325</f>
        <v>12.280000000000001</v>
      </c>
      <c r="DC350" s="789">
        <f t="shared" si="1338"/>
        <v>12.88</v>
      </c>
      <c r="DD350" s="789">
        <f>DD364*DD$325</f>
        <v>7.53</v>
      </c>
      <c r="DE350" s="875">
        <f t="shared" si="1338"/>
        <v>22.88</v>
      </c>
      <c r="DF350" s="789">
        <f t="shared" ref="DF350:DM350" si="1339">DF364*DF$325</f>
        <v>12.32</v>
      </c>
      <c r="DG350" s="880">
        <f t="shared" si="1339"/>
        <v>13.36</v>
      </c>
      <c r="DH350" s="880">
        <f t="shared" si="1339"/>
        <v>16.580000000000002</v>
      </c>
      <c r="DI350" s="875">
        <f t="shared" si="1339"/>
        <v>27.52</v>
      </c>
      <c r="DJ350" s="2782">
        <f t="shared" si="1339"/>
        <v>9.4072829268292697</v>
      </c>
      <c r="DK350" s="880">
        <f t="shared" si="1339"/>
        <v>10.039409602649005</v>
      </c>
      <c r="DL350" s="880">
        <f t="shared" si="1339"/>
        <v>12.559349999999998</v>
      </c>
      <c r="DM350" s="875">
        <f t="shared" si="1339"/>
        <v>21.155999999999999</v>
      </c>
      <c r="DN350" s="2113"/>
      <c r="DO350" s="2114"/>
      <c r="DP350" s="2115"/>
      <c r="DQ350" s="2115"/>
      <c r="DR350" s="2115"/>
      <c r="DS350" s="2115"/>
      <c r="DT350" s="2115"/>
      <c r="DU350" s="2115"/>
      <c r="DV350" s="2115"/>
      <c r="DW350" s="2115"/>
      <c r="DX350" s="2115"/>
      <c r="DY350" s="2115"/>
      <c r="DZ350" s="2115"/>
      <c r="EA350" s="2115"/>
      <c r="EB350" s="2115"/>
      <c r="EC350" s="2115"/>
      <c r="ED350" s="2115"/>
      <c r="EJ350" s="71"/>
      <c r="EK350" s="269"/>
      <c r="EL350" s="2098">
        <f>EL354-EL346-EL342-EL338-EL334-EL330</f>
        <v>0</v>
      </c>
      <c r="EM350" s="2098">
        <f>EM354-EM346-EM342-EM338-EM334-EM330</f>
        <v>0</v>
      </c>
      <c r="EN350" s="2098">
        <f>SUM(BN350:BQ350)</f>
        <v>0</v>
      </c>
      <c r="EO350" s="2098">
        <f>SUM(BR350:BU350)</f>
        <v>0</v>
      </c>
      <c r="EP350" s="2098">
        <f>SUM(BV350:BY350)</f>
        <v>0</v>
      </c>
      <c r="EQ350" s="2098">
        <f>SUM(BZ350:CC350)</f>
        <v>0</v>
      </c>
      <c r="ER350" s="2098">
        <f>SUM(CD350:CG350)</f>
        <v>0</v>
      </c>
      <c r="ES350" s="2098">
        <f>SUM(CH350:CK350)</f>
        <v>2.7879999999997267</v>
      </c>
      <c r="ET350" s="2098">
        <f>SUM(CL350:CO350)</f>
        <v>0</v>
      </c>
      <c r="EU350" s="2098">
        <f>SUM(CP350:CS350)</f>
        <v>0</v>
      </c>
      <c r="EV350" s="789">
        <f>SUM(CT350:CW350)</f>
        <v>42.840000000000089</v>
      </c>
      <c r="EW350" s="789">
        <f>SUM(CX350:DA350)</f>
        <v>31.630000000000091</v>
      </c>
      <c r="EX350" s="789">
        <f>SUM(DB350:DE350)</f>
        <v>55.570000000000007</v>
      </c>
      <c r="EY350" s="789">
        <f>+SUM(DF350:DI350)</f>
        <v>69.78</v>
      </c>
      <c r="EZ350" s="1737">
        <f>SUM(DJ350:DM350)</f>
        <v>53.162042529478278</v>
      </c>
      <c r="FA350" s="789">
        <f t="shared" ref="FA350:FF350" si="1340">FA354-FA346-FA342-FA338-FA334-FA330</f>
        <v>-138.13877133114556</v>
      </c>
      <c r="FB350" s="789">
        <f t="shared" si="1340"/>
        <v>-399.65748852053252</v>
      </c>
      <c r="FC350" s="2098">
        <f t="shared" si="1340"/>
        <v>-825.39254226484604</v>
      </c>
      <c r="FD350" s="2098">
        <f t="shared" si="1340"/>
        <v>-1448.1049365620818</v>
      </c>
      <c r="FE350" s="2098">
        <f t="shared" si="1340"/>
        <v>-2363.539308143213</v>
      </c>
      <c r="FF350" s="2098">
        <f t="shared" si="1340"/>
        <v>-3714.1446469195739</v>
      </c>
      <c r="FG350" s="2098">
        <f>FG354-FG346-FG342-FG338-FG334-FG330</f>
        <v>-5711.86270621108</v>
      </c>
      <c r="FH350" s="2098">
        <f>FH354-FH346-FH342-FH338-FH334-FH330</f>
        <v>-8672.0358070744296</v>
      </c>
      <c r="FI350" s="2102"/>
      <c r="FP350" s="190"/>
      <c r="FS350" s="2103"/>
      <c r="FT350" s="2103"/>
      <c r="FW350" s="880"/>
      <c r="FX350" s="880"/>
      <c r="FY350" s="2103"/>
    </row>
    <row r="351" spans="1:260" ht="12.75" hidden="1" outlineLevel="1" x14ac:dyDescent="0.2">
      <c r="A351" s="99" t="s">
        <v>482</v>
      </c>
      <c r="E351" s="1486"/>
      <c r="I351" s="1486"/>
      <c r="M351" s="1486"/>
      <c r="Q351" s="1486"/>
      <c r="U351" s="1486"/>
      <c r="Y351" s="1486"/>
      <c r="AC351" s="1486"/>
      <c r="AG351" s="1486"/>
      <c r="AK351" s="1486"/>
      <c r="AO351" s="1486"/>
      <c r="AS351" s="1486"/>
      <c r="AW351" s="1486"/>
      <c r="BA351" s="1486"/>
      <c r="BB351" s="256"/>
      <c r="BC351" s="256"/>
      <c r="BE351" s="1939"/>
      <c r="BF351" s="2116" t="s">
        <v>483</v>
      </c>
      <c r="BG351" s="2116" t="s">
        <v>483</v>
      </c>
      <c r="BH351" s="2116" t="s">
        <v>483</v>
      </c>
      <c r="BI351" s="2117" t="s">
        <v>483</v>
      </c>
      <c r="BJ351" s="2116" t="s">
        <v>483</v>
      </c>
      <c r="BK351" s="2116" t="s">
        <v>483</v>
      </c>
      <c r="BL351" s="2116" t="s">
        <v>483</v>
      </c>
      <c r="BM351" s="2117" t="s">
        <v>483</v>
      </c>
      <c r="BN351" s="2116" t="s">
        <v>483</v>
      </c>
      <c r="BO351" s="2116" t="s">
        <v>483</v>
      </c>
      <c r="BP351" s="2116" t="s">
        <v>483</v>
      </c>
      <c r="BQ351" s="2117" t="s">
        <v>483</v>
      </c>
      <c r="BR351" s="2116" t="s">
        <v>483</v>
      </c>
      <c r="BS351" s="2116" t="s">
        <v>483</v>
      </c>
      <c r="BT351" s="2116" t="s">
        <v>483</v>
      </c>
      <c r="BU351" s="2117" t="s">
        <v>483</v>
      </c>
      <c r="BV351" s="2116" t="s">
        <v>483</v>
      </c>
      <c r="BW351" s="2116" t="s">
        <v>483</v>
      </c>
      <c r="BX351" s="2116" t="s">
        <v>483</v>
      </c>
      <c r="BY351" s="2117" t="s">
        <v>483</v>
      </c>
      <c r="BZ351" s="2116" t="s">
        <v>483</v>
      </c>
      <c r="CA351" s="2116" t="s">
        <v>483</v>
      </c>
      <c r="CB351" s="2116" t="s">
        <v>483</v>
      </c>
      <c r="CC351" s="2117" t="s">
        <v>483</v>
      </c>
      <c r="CD351" s="2116" t="s">
        <v>483</v>
      </c>
      <c r="CE351" s="2116" t="s">
        <v>483</v>
      </c>
      <c r="CF351" s="2116" t="s">
        <v>483</v>
      </c>
      <c r="CG351" s="2117" t="s">
        <v>483</v>
      </c>
      <c r="CH351" s="2116" t="s">
        <v>483</v>
      </c>
      <c r="CI351" s="2116" t="s">
        <v>483</v>
      </c>
      <c r="CJ351" s="2116" t="s">
        <v>483</v>
      </c>
      <c r="CK351" s="2117" t="s">
        <v>483</v>
      </c>
      <c r="CL351" s="2116" t="s">
        <v>483</v>
      </c>
      <c r="CM351" s="2116" t="s">
        <v>483</v>
      </c>
      <c r="CN351" s="2116" t="s">
        <v>483</v>
      </c>
      <c r="CO351" s="2117" t="s">
        <v>483</v>
      </c>
      <c r="CP351" s="2116" t="s">
        <v>483</v>
      </c>
      <c r="CQ351" s="2116" t="s">
        <v>483</v>
      </c>
      <c r="CR351" s="2116" t="s">
        <v>483</v>
      </c>
      <c r="CS351" s="2117" t="s">
        <v>483</v>
      </c>
      <c r="CT351" s="2116" t="s">
        <v>483</v>
      </c>
      <c r="CU351" s="2116" t="s">
        <v>483</v>
      </c>
      <c r="CV351" s="2116" t="s">
        <v>483</v>
      </c>
      <c r="CW351" s="2117" t="s">
        <v>483</v>
      </c>
      <c r="CX351" s="77" t="s">
        <v>483</v>
      </c>
      <c r="CY351" s="77" t="s">
        <v>483</v>
      </c>
      <c r="CZ351" s="77" t="s">
        <v>483</v>
      </c>
      <c r="DA351" s="487" t="s">
        <v>483</v>
      </c>
      <c r="DB351" s="77" t="s">
        <v>483</v>
      </c>
      <c r="DC351" s="77" t="s">
        <v>483</v>
      </c>
      <c r="DD351" s="77" t="s">
        <v>483</v>
      </c>
      <c r="DE351" s="70">
        <v>0.40699999999999997</v>
      </c>
      <c r="DF351" s="580" t="s">
        <v>483</v>
      </c>
      <c r="DG351" s="70" t="s">
        <v>483</v>
      </c>
      <c r="DH351" s="70" t="s">
        <v>483</v>
      </c>
      <c r="DI351" s="70">
        <v>0.128</v>
      </c>
      <c r="DJ351" s="2780" t="s">
        <v>483</v>
      </c>
      <c r="DK351" s="70" t="s">
        <v>483</v>
      </c>
      <c r="DL351" s="70" t="s">
        <v>483</v>
      </c>
      <c r="DM351" s="487" t="s">
        <v>483</v>
      </c>
      <c r="DN351" s="2118"/>
      <c r="DO351" s="2117"/>
      <c r="DP351" s="2116"/>
      <c r="DQ351" s="2116"/>
      <c r="DR351" s="2116"/>
      <c r="DS351" s="2116"/>
      <c r="DT351" s="2116"/>
      <c r="DU351" s="2116"/>
      <c r="DV351" s="2116"/>
      <c r="DW351" s="2116"/>
      <c r="DX351" s="2116"/>
      <c r="DY351" s="2116"/>
      <c r="DZ351" s="2116"/>
      <c r="EA351" s="2116"/>
      <c r="EB351" s="2116"/>
      <c r="EC351" s="2116"/>
      <c r="ED351" s="2116"/>
      <c r="EJ351" s="71"/>
      <c r="EK351" s="269"/>
      <c r="EL351" s="2116" t="s">
        <v>483</v>
      </c>
      <c r="EM351" s="2116" t="s">
        <v>483</v>
      </c>
      <c r="EN351" s="2116" t="s">
        <v>483</v>
      </c>
      <c r="EO351" s="2116" t="s">
        <v>483</v>
      </c>
      <c r="EP351" s="2116" t="s">
        <v>483</v>
      </c>
      <c r="EQ351" s="2116" t="s">
        <v>483</v>
      </c>
      <c r="ER351" s="2116" t="s">
        <v>483</v>
      </c>
      <c r="ES351" s="2116" t="s">
        <v>483</v>
      </c>
      <c r="ET351" s="2116" t="s">
        <v>483</v>
      </c>
      <c r="EU351" s="2116" t="s">
        <v>483</v>
      </c>
      <c r="EV351" s="77" t="s">
        <v>483</v>
      </c>
      <c r="EW351" s="77" t="s">
        <v>483</v>
      </c>
      <c r="EX351" s="77" t="s">
        <v>483</v>
      </c>
      <c r="EY351" s="77" t="s">
        <v>483</v>
      </c>
      <c r="EZ351" s="1680" t="s">
        <v>483</v>
      </c>
      <c r="FA351" s="52">
        <f t="shared" ref="FA351:FH351" si="1341">FA350/EZ350-1</f>
        <v>-3.598447402666062</v>
      </c>
      <c r="FB351" s="52">
        <f t="shared" si="1341"/>
        <v>1.8931594270697225</v>
      </c>
      <c r="FC351" s="187">
        <f t="shared" si="1341"/>
        <v>1.0652497850604923</v>
      </c>
      <c r="FD351" s="187">
        <f t="shared" si="1341"/>
        <v>0.75444393111250596</v>
      </c>
      <c r="FE351" s="187">
        <f t="shared" si="1341"/>
        <v>0.63216024506790669</v>
      </c>
      <c r="FF351" s="187">
        <f t="shared" si="1341"/>
        <v>0.5714334151850391</v>
      </c>
      <c r="FG351" s="187">
        <f t="shared" si="1341"/>
        <v>0.5378675978460794</v>
      </c>
      <c r="FH351" s="187">
        <f t="shared" si="1341"/>
        <v>0.51825004435846411</v>
      </c>
      <c r="FI351" s="2112"/>
      <c r="FP351" s="190"/>
      <c r="FS351" s="266"/>
      <c r="FT351" s="266"/>
      <c r="FW351" s="1506"/>
      <c r="FX351" s="1506"/>
      <c r="FY351" s="266"/>
    </row>
    <row r="352" spans="1:260" ht="12.75" hidden="1" outlineLevel="1" x14ac:dyDescent="0.2">
      <c r="A352" s="99" t="s">
        <v>4</v>
      </c>
      <c r="E352" s="1486"/>
      <c r="I352" s="1486"/>
      <c r="M352" s="1486"/>
      <c r="Q352" s="1486"/>
      <c r="U352" s="1486"/>
      <c r="Y352" s="1486"/>
      <c r="AC352" s="1486"/>
      <c r="AG352" s="1486"/>
      <c r="AK352" s="1486"/>
      <c r="AO352" s="1486"/>
      <c r="AS352" s="1486"/>
      <c r="AW352" s="1486"/>
      <c r="BA352" s="1486"/>
      <c r="BB352" s="256"/>
      <c r="BC352" s="256"/>
      <c r="BE352" s="1939"/>
      <c r="BF352" s="256"/>
      <c r="BG352" s="256"/>
      <c r="BH352" s="256"/>
      <c r="BI352" s="1939"/>
      <c r="BJ352" s="258"/>
      <c r="BK352" s="258"/>
      <c r="BL352" s="258"/>
      <c r="BM352" s="1940"/>
      <c r="BN352" s="258"/>
      <c r="BO352" s="258"/>
      <c r="BP352" s="258"/>
      <c r="BQ352" s="1940"/>
      <c r="BR352" s="258"/>
      <c r="BS352" s="258"/>
      <c r="BT352" s="258"/>
      <c r="BU352" s="1940"/>
      <c r="BV352" s="258"/>
      <c r="BW352" s="258"/>
      <c r="BX352" s="258"/>
      <c r="BY352" s="1940"/>
      <c r="BZ352" s="187"/>
      <c r="CA352" s="187"/>
      <c r="CB352" s="187"/>
      <c r="CC352" s="1568"/>
      <c r="CD352" s="258"/>
      <c r="CE352" s="258"/>
      <c r="CF352" s="258"/>
      <c r="CG352" s="1940"/>
      <c r="CH352" s="258"/>
      <c r="CI352" s="258"/>
      <c r="CJ352" s="258"/>
      <c r="CK352" s="1940"/>
      <c r="CL352" s="258"/>
      <c r="CM352" s="258"/>
      <c r="CN352" s="258"/>
      <c r="CO352" s="1940"/>
      <c r="CP352" s="258"/>
      <c r="CQ352" s="258"/>
      <c r="CR352" s="258"/>
      <c r="CS352" s="1940"/>
      <c r="CT352" s="258"/>
      <c r="CU352" s="258"/>
      <c r="CV352" s="258"/>
      <c r="CW352" s="1940"/>
      <c r="CX352" s="77"/>
      <c r="CY352" s="77"/>
      <c r="CZ352" s="77"/>
      <c r="DA352" s="487"/>
      <c r="DB352" s="77"/>
      <c r="DC352" s="77"/>
      <c r="DD352" s="77"/>
      <c r="DE352" s="70"/>
      <c r="DF352" s="580"/>
      <c r="DG352" s="70"/>
      <c r="DH352" s="70"/>
      <c r="DI352" s="70"/>
      <c r="DJ352" s="2780"/>
      <c r="DK352" s="70"/>
      <c r="DL352" s="70"/>
      <c r="DM352" s="487"/>
      <c r="DN352" s="2112"/>
      <c r="DO352" s="1940"/>
      <c r="DP352" s="258"/>
      <c r="DQ352" s="258"/>
      <c r="DR352" s="258"/>
      <c r="DS352" s="258"/>
      <c r="DT352" s="258"/>
      <c r="DU352" s="258"/>
      <c r="DV352" s="258"/>
      <c r="DW352" s="258"/>
      <c r="DX352" s="258"/>
      <c r="DY352" s="258"/>
      <c r="DZ352" s="258"/>
      <c r="EA352" s="258"/>
      <c r="EB352" s="258"/>
      <c r="EC352" s="258"/>
      <c r="ED352" s="258"/>
      <c r="EE352" s="187"/>
      <c r="EJ352" s="71"/>
      <c r="EK352" s="269"/>
      <c r="EL352" s="256"/>
      <c r="EM352" s="258"/>
      <c r="EN352" s="258"/>
      <c r="EO352" s="258"/>
      <c r="EP352" s="258"/>
      <c r="EQ352" s="187"/>
      <c r="ER352" s="258"/>
      <c r="ES352" s="258"/>
      <c r="ET352" s="258"/>
      <c r="EU352" s="258"/>
      <c r="EV352" s="77"/>
      <c r="EW352" s="77"/>
      <c r="EX352" s="77"/>
      <c r="EY352" s="77"/>
      <c r="EZ352" s="1680"/>
      <c r="FA352" s="77"/>
      <c r="FB352" s="258"/>
      <c r="FC352" s="258"/>
      <c r="FD352" s="258"/>
      <c r="FE352" s="258"/>
      <c r="FF352" s="258"/>
      <c r="FG352" s="258"/>
      <c r="FH352" s="258"/>
      <c r="FI352" s="2112"/>
      <c r="FP352" s="190"/>
      <c r="FS352" s="266"/>
      <c r="FT352" s="266"/>
      <c r="FW352" s="70"/>
      <c r="FX352" s="70"/>
      <c r="FY352" s="266"/>
    </row>
    <row r="353" spans="1:260" ht="12.75" hidden="1" outlineLevel="1" x14ac:dyDescent="0.2">
      <c r="E353" s="1486"/>
      <c r="I353" s="1486"/>
      <c r="M353" s="1486"/>
      <c r="Q353" s="1486"/>
      <c r="U353" s="1486"/>
      <c r="Y353" s="1486"/>
      <c r="AC353" s="1486"/>
      <c r="AG353" s="1486"/>
      <c r="AK353" s="1486"/>
      <c r="AO353" s="1486"/>
      <c r="AS353" s="1486"/>
      <c r="AW353" s="1486"/>
      <c r="BA353" s="1486"/>
      <c r="BB353" s="256"/>
      <c r="BC353" s="256"/>
      <c r="BE353" s="1939"/>
      <c r="BF353" s="256"/>
      <c r="BG353" s="256"/>
      <c r="BH353" s="256"/>
      <c r="BI353" s="1939"/>
      <c r="BJ353" s="256"/>
      <c r="BK353" s="256"/>
      <c r="BL353" s="256"/>
      <c r="BM353" s="1939"/>
      <c r="BN353" s="256"/>
      <c r="BO353" s="256"/>
      <c r="BP353" s="256"/>
      <c r="BQ353" s="1939"/>
      <c r="BR353" s="256"/>
      <c r="BS353" s="256"/>
      <c r="BT353" s="256"/>
      <c r="BU353" s="2095"/>
      <c r="BV353" s="256"/>
      <c r="BW353" s="256"/>
      <c r="BX353" s="256"/>
      <c r="BY353" s="1939"/>
      <c r="BZ353" s="256"/>
      <c r="CA353" s="256"/>
      <c r="CB353" s="256"/>
      <c r="CC353" s="2095"/>
      <c r="CD353" s="256"/>
      <c r="CE353" s="256"/>
      <c r="CF353" s="256"/>
      <c r="CG353" s="1939"/>
      <c r="CH353" s="256"/>
      <c r="CI353" s="256"/>
      <c r="CJ353" s="256"/>
      <c r="CK353" s="2095"/>
      <c r="CL353" s="256"/>
      <c r="CM353" s="256"/>
      <c r="CN353" s="256"/>
      <c r="CO353" s="2095"/>
      <c r="CP353" s="256"/>
      <c r="CQ353" s="256"/>
      <c r="CR353" s="256"/>
      <c r="CS353" s="2095"/>
      <c r="CT353" s="269"/>
      <c r="CU353" s="269"/>
      <c r="CV353" s="269"/>
      <c r="CW353" s="2095"/>
      <c r="CX353" s="269"/>
      <c r="CY353" s="269"/>
      <c r="CZ353" s="269"/>
      <c r="DA353" s="2095"/>
      <c r="DB353" s="269"/>
      <c r="DC353" s="269"/>
      <c r="DD353" s="260"/>
      <c r="DE353" s="2095"/>
      <c r="DF353" s="260"/>
      <c r="DG353" s="260"/>
      <c r="DH353" s="260"/>
      <c r="DI353" s="260"/>
      <c r="DJ353" s="2783"/>
      <c r="DK353" s="260"/>
      <c r="DL353" s="260"/>
      <c r="DM353" s="2095"/>
      <c r="DN353" s="2096"/>
      <c r="DO353" s="2095"/>
      <c r="DP353" s="269"/>
      <c r="DQ353" s="269"/>
      <c r="DR353" s="269"/>
      <c r="DS353" s="269"/>
      <c r="DT353" s="269"/>
      <c r="DU353" s="269"/>
      <c r="DV353" s="269"/>
      <c r="DW353" s="269"/>
      <c r="DX353" s="269"/>
      <c r="DY353" s="269"/>
      <c r="DZ353" s="269"/>
      <c r="EA353" s="269"/>
      <c r="EB353" s="269"/>
      <c r="EC353" s="269"/>
      <c r="ED353" s="269"/>
      <c r="EJ353" s="71"/>
      <c r="EK353" s="269"/>
      <c r="EL353" s="256"/>
      <c r="EM353" s="269"/>
      <c r="EN353" s="269"/>
      <c r="EO353" s="269"/>
      <c r="EP353" s="269"/>
      <c r="EQ353" s="269"/>
      <c r="ER353" s="269"/>
      <c r="ES353" s="269"/>
      <c r="ET353" s="269"/>
      <c r="EU353" s="269"/>
      <c r="EV353" s="269"/>
      <c r="EW353" s="269"/>
      <c r="EX353" s="269"/>
      <c r="EY353" s="269"/>
      <c r="EZ353" s="2106"/>
      <c r="FI353" s="2120"/>
      <c r="FP353" s="190"/>
    </row>
    <row r="354" spans="1:260" ht="12.75" hidden="1" outlineLevel="1" x14ac:dyDescent="0.2">
      <c r="A354" s="71" t="s">
        <v>457</v>
      </c>
      <c r="B354" s="71"/>
      <c r="C354" s="71"/>
      <c r="D354" s="71"/>
      <c r="E354" s="2121"/>
      <c r="F354" s="71"/>
      <c r="G354" s="71"/>
      <c r="H354" s="71"/>
      <c r="I354" s="2121"/>
      <c r="J354" s="71"/>
      <c r="K354" s="71"/>
      <c r="L354" s="71"/>
      <c r="M354" s="2121"/>
      <c r="N354" s="71"/>
      <c r="O354" s="71"/>
      <c r="P354" s="71"/>
      <c r="Q354" s="2121"/>
      <c r="R354" s="71"/>
      <c r="S354" s="71"/>
      <c r="T354" s="71"/>
      <c r="U354" s="2121"/>
      <c r="V354" s="71"/>
      <c r="W354" s="71"/>
      <c r="X354" s="71"/>
      <c r="Y354" s="2121"/>
      <c r="Z354" s="71"/>
      <c r="AA354" s="71"/>
      <c r="AB354" s="71"/>
      <c r="AC354" s="2121"/>
      <c r="AD354" s="71"/>
      <c r="AE354" s="71"/>
      <c r="AF354" s="71"/>
      <c r="AG354" s="2121"/>
      <c r="AK354" s="1486"/>
      <c r="AO354" s="1486"/>
      <c r="AS354" s="1486"/>
      <c r="AW354" s="1486"/>
      <c r="BA354" s="1486"/>
      <c r="BB354" s="256"/>
      <c r="BC354" s="256"/>
      <c r="BE354" s="1939"/>
      <c r="BF354" s="2098">
        <f>BF325</f>
        <v>1223</v>
      </c>
      <c r="BG354" s="2098">
        <f>BG325</f>
        <v>1516</v>
      </c>
      <c r="BH354" s="2098">
        <f>BH325</f>
        <v>1722</v>
      </c>
      <c r="BI354" s="2099">
        <f>EL354-SUM(BF354:BH354)</f>
        <v>2234</v>
      </c>
      <c r="BJ354" s="2098">
        <f t="shared" ref="BJ354:CV354" si="1342">BJ325</f>
        <v>1537</v>
      </c>
      <c r="BK354" s="2098">
        <f t="shared" si="1342"/>
        <v>1668</v>
      </c>
      <c r="BL354" s="2098">
        <f t="shared" si="1342"/>
        <v>3304</v>
      </c>
      <c r="BM354" s="2099">
        <f t="shared" si="1342"/>
        <v>3436</v>
      </c>
      <c r="BN354" s="2098">
        <f t="shared" si="1342"/>
        <v>2570</v>
      </c>
      <c r="BO354" s="2098">
        <f t="shared" si="1342"/>
        <v>2748</v>
      </c>
      <c r="BP354" s="2098">
        <f t="shared" si="1342"/>
        <v>3093</v>
      </c>
      <c r="BQ354" s="2099">
        <f t="shared" si="1342"/>
        <v>3969</v>
      </c>
      <c r="BR354" s="2098">
        <f t="shared" si="1342"/>
        <v>2864</v>
      </c>
      <c r="BS354" s="2098">
        <f t="shared" si="1342"/>
        <v>2903</v>
      </c>
      <c r="BT354" s="2098">
        <f t="shared" si="1342"/>
        <v>3180</v>
      </c>
      <c r="BU354" s="2099">
        <f t="shared" si="1342"/>
        <v>4139</v>
      </c>
      <c r="BV354" s="2098">
        <f t="shared" si="1342"/>
        <v>3081</v>
      </c>
      <c r="BW354" s="2098">
        <f t="shared" si="1342"/>
        <v>3036</v>
      </c>
      <c r="BX354" s="2098">
        <f t="shared" si="1342"/>
        <v>3214</v>
      </c>
      <c r="BY354" s="2099">
        <f t="shared" si="1342"/>
        <v>4030</v>
      </c>
      <c r="BZ354" s="2098">
        <f t="shared" si="1342"/>
        <v>2811</v>
      </c>
      <c r="CA354" s="2098">
        <f t="shared" si="1342"/>
        <v>2717</v>
      </c>
      <c r="CB354" s="2098">
        <f t="shared" si="1342"/>
        <v>3043</v>
      </c>
      <c r="CC354" s="2099">
        <f t="shared" si="1342"/>
        <v>4086</v>
      </c>
      <c r="CD354" s="2098">
        <f t="shared" si="1342"/>
        <v>2977</v>
      </c>
      <c r="CE354" s="2098">
        <f t="shared" si="1342"/>
        <v>2879</v>
      </c>
      <c r="CF354" s="2098">
        <f t="shared" si="1342"/>
        <v>3090</v>
      </c>
      <c r="CG354" s="2099">
        <f t="shared" si="1342"/>
        <v>4088</v>
      </c>
      <c r="CH354" s="2098">
        <f t="shared" si="1342"/>
        <v>2788</v>
      </c>
      <c r="CI354" s="2098">
        <f t="shared" si="1342"/>
        <v>2744</v>
      </c>
      <c r="CJ354" s="2098">
        <f t="shared" si="1342"/>
        <v>3080</v>
      </c>
      <c r="CK354" s="2099">
        <f t="shared" si="1342"/>
        <v>4161</v>
      </c>
      <c r="CL354" s="2098">
        <f t="shared" si="1342"/>
        <v>1551</v>
      </c>
      <c r="CM354" s="2098">
        <f t="shared" si="1342"/>
        <v>1536</v>
      </c>
      <c r="CN354" s="2098">
        <f t="shared" si="1342"/>
        <v>1708</v>
      </c>
      <c r="CO354" s="2099">
        <f t="shared" si="1342"/>
        <v>2402</v>
      </c>
      <c r="CP354" s="2098">
        <f t="shared" si="1342"/>
        <v>982</v>
      </c>
      <c r="CQ354" s="2098">
        <f t="shared" si="1342"/>
        <v>959</v>
      </c>
      <c r="CR354" s="2098">
        <f t="shared" si="1342"/>
        <v>1112</v>
      </c>
      <c r="CS354" s="2099">
        <f t="shared" si="1342"/>
        <v>1727</v>
      </c>
      <c r="CT354" s="2098">
        <f>CT325</f>
        <v>858</v>
      </c>
      <c r="CU354" s="2098">
        <f t="shared" si="1342"/>
        <v>874</v>
      </c>
      <c r="CV354" s="2098">
        <f t="shared" si="1342"/>
        <v>1040</v>
      </c>
      <c r="CW354" s="2099">
        <f t="shared" ref="CW354:DE354" si="1343">CW325</f>
        <v>1512</v>
      </c>
      <c r="CX354" s="2122">
        <f t="shared" si="1343"/>
        <v>668</v>
      </c>
      <c r="CY354" s="2122">
        <f t="shared" si="1343"/>
        <v>650</v>
      </c>
      <c r="CZ354" s="2122">
        <f t="shared" si="1343"/>
        <v>729</v>
      </c>
      <c r="DA354" s="2123">
        <f>DA325</f>
        <v>1116</v>
      </c>
      <c r="DB354" s="2122">
        <f>DB325</f>
        <v>614</v>
      </c>
      <c r="DC354" s="2122">
        <f t="shared" si="1343"/>
        <v>644</v>
      </c>
      <c r="DD354" s="268">
        <f t="shared" si="1343"/>
        <v>753</v>
      </c>
      <c r="DE354" s="2123">
        <f t="shared" si="1343"/>
        <v>1144</v>
      </c>
      <c r="DF354" s="268">
        <f>DF325</f>
        <v>616</v>
      </c>
      <c r="DG354" s="268">
        <f t="shared" ref="DG354" si="1344">DG325</f>
        <v>668</v>
      </c>
      <c r="DH354" s="268">
        <f t="shared" ref="DH354:DM354" si="1345">DH325</f>
        <v>829</v>
      </c>
      <c r="DI354" s="268">
        <f t="shared" si="1345"/>
        <v>1376</v>
      </c>
      <c r="DJ354" s="2784">
        <f t="shared" si="1345"/>
        <v>627.15219512195131</v>
      </c>
      <c r="DK354" s="268">
        <f t="shared" si="1345"/>
        <v>669.29397350993372</v>
      </c>
      <c r="DL354" s="268">
        <f t="shared" si="1345"/>
        <v>837.29</v>
      </c>
      <c r="DM354" s="2123">
        <f t="shared" si="1345"/>
        <v>1410.4</v>
      </c>
      <c r="DN354" s="2100"/>
      <c r="DO354" s="1941"/>
      <c r="DP354" s="2101"/>
      <c r="DQ354" s="2101"/>
      <c r="DR354" s="2101"/>
      <c r="DS354" s="2101"/>
      <c r="DT354" s="2101"/>
      <c r="DU354" s="2101"/>
      <c r="DV354" s="2101"/>
      <c r="DW354" s="2101"/>
      <c r="DX354" s="2101"/>
      <c r="DY354" s="2101"/>
      <c r="DZ354" s="2101"/>
      <c r="EA354" s="2101"/>
      <c r="EB354" s="2101"/>
      <c r="EC354" s="2101"/>
      <c r="ED354" s="2101"/>
      <c r="EE354" s="188"/>
      <c r="EJ354" s="71"/>
      <c r="EK354" s="269"/>
      <c r="EL354" s="2124">
        <f>EL325</f>
        <v>6695</v>
      </c>
      <c r="EM354" s="2124">
        <f>SUM(BJ354:BM354)</f>
        <v>9945</v>
      </c>
      <c r="EN354" s="2124">
        <f>SUM(BN354:BQ354)</f>
        <v>12380</v>
      </c>
      <c r="EO354" s="2124">
        <f>SUM(BR354:BU354)</f>
        <v>13086</v>
      </c>
      <c r="EP354" s="2124">
        <f>SUM(BV354:BY354)</f>
        <v>13361</v>
      </c>
      <c r="EQ354" s="2124">
        <f>SUM(BZ354:CC354)</f>
        <v>12657</v>
      </c>
      <c r="ER354" s="2124">
        <f>SUM(CD354:CG354)</f>
        <v>13034</v>
      </c>
      <c r="ES354" s="2124">
        <f>SUM(CH354:CK354)</f>
        <v>12773</v>
      </c>
      <c r="ET354" s="2124">
        <f>SUM(CL354:CO354)</f>
        <v>7197</v>
      </c>
      <c r="EU354" s="2125">
        <f>SUM(CP354:CS354)</f>
        <v>4780</v>
      </c>
      <c r="EV354" s="2125">
        <f>SUM(CT354:CW354)</f>
        <v>4284</v>
      </c>
      <c r="EW354" s="2125">
        <f>SUM(CX354:DA354)</f>
        <v>3163</v>
      </c>
      <c r="EX354" s="2125">
        <f>SUM(DB354:DE354)</f>
        <v>3155</v>
      </c>
      <c r="EY354" s="2125">
        <f>+SUM(DF354:DI354)</f>
        <v>3489</v>
      </c>
      <c r="EZ354" s="2126">
        <f>+SUM(DJ354:DM354)</f>
        <v>3544.1361686318851</v>
      </c>
      <c r="FA354" s="2125">
        <f t="shared" ref="FA354:FF354" si="1346">FA325</f>
        <v>3578.8942223962649</v>
      </c>
      <c r="FB354" s="2125">
        <f t="shared" si="1346"/>
        <v>3617.5127656388509</v>
      </c>
      <c r="FC354" s="2125">
        <f t="shared" si="1346"/>
        <v>3624.5176298222304</v>
      </c>
      <c r="FD354" s="2125">
        <f t="shared" si="1346"/>
        <v>3631.5036403727427</v>
      </c>
      <c r="FE354" s="2125">
        <f t="shared" si="1346"/>
        <v>3638.4709344851121</v>
      </c>
      <c r="FF354" s="2125">
        <f t="shared" si="1346"/>
        <v>3645.4196477323953</v>
      </c>
      <c r="FG354" s="2125">
        <f>FG325</f>
        <v>3652.3499140924496</v>
      </c>
      <c r="FH354" s="2125">
        <f>FH325</f>
        <v>3659.2618659738537</v>
      </c>
      <c r="FI354" s="2127"/>
      <c r="FP354" s="190"/>
      <c r="FS354" s="2128"/>
      <c r="FT354" s="2128"/>
      <c r="FW354" s="2125"/>
      <c r="FX354" s="2125"/>
      <c r="FY354" s="2125"/>
    </row>
    <row r="355" spans="1:260" ht="12.75" hidden="1" outlineLevel="1" x14ac:dyDescent="0.2">
      <c r="A355" s="99" t="s">
        <v>482</v>
      </c>
      <c r="E355" s="1486"/>
      <c r="I355" s="1486"/>
      <c r="M355" s="1486"/>
      <c r="Q355" s="1486"/>
      <c r="U355" s="1486"/>
      <c r="Y355" s="1486"/>
      <c r="AC355" s="1486"/>
      <c r="AG355" s="1486"/>
      <c r="AK355" s="1486"/>
      <c r="AO355" s="1486"/>
      <c r="AS355" s="1486"/>
      <c r="AW355" s="1486"/>
      <c r="BA355" s="1486"/>
      <c r="BB355" s="256"/>
      <c r="BC355" s="256"/>
      <c r="BE355" s="1939"/>
      <c r="BF355" s="2116" t="s">
        <v>483</v>
      </c>
      <c r="BG355" s="2116" t="s">
        <v>483</v>
      </c>
      <c r="BH355" s="2116" t="s">
        <v>483</v>
      </c>
      <c r="BI355" s="2117" t="s">
        <v>483</v>
      </c>
      <c r="BJ355" s="258">
        <f t="shared" ref="BJ355:BY355" si="1347">BJ354/BF354-1</f>
        <v>0.25674570727718726</v>
      </c>
      <c r="BK355" s="258">
        <f t="shared" si="1347"/>
        <v>0.10026385224274414</v>
      </c>
      <c r="BL355" s="258">
        <f t="shared" si="1347"/>
        <v>0.91869918699186992</v>
      </c>
      <c r="BM355" s="1940">
        <f t="shared" si="1347"/>
        <v>0.53804834377797683</v>
      </c>
      <c r="BN355" s="258">
        <f t="shared" si="1347"/>
        <v>0.67208848405985688</v>
      </c>
      <c r="BO355" s="258">
        <f t="shared" si="1347"/>
        <v>0.64748201438848918</v>
      </c>
      <c r="BP355" s="258">
        <f t="shared" si="1347"/>
        <v>-6.3861985472154936E-2</v>
      </c>
      <c r="BQ355" s="1940">
        <f t="shared" si="1347"/>
        <v>0.1551222351571595</v>
      </c>
      <c r="BR355" s="258">
        <f t="shared" si="1347"/>
        <v>0.11439688715953311</v>
      </c>
      <c r="BS355" s="258">
        <f t="shared" si="1347"/>
        <v>5.6404657933042168E-2</v>
      </c>
      <c r="BT355" s="258">
        <f t="shared" si="1347"/>
        <v>2.812803103782735E-2</v>
      </c>
      <c r="BU355" s="1940">
        <f t="shared" si="1347"/>
        <v>4.2831947593852338E-2</v>
      </c>
      <c r="BV355" s="258">
        <f t="shared" si="1347"/>
        <v>7.5768156424580901E-2</v>
      </c>
      <c r="BW355" s="258">
        <f t="shared" si="1347"/>
        <v>4.581467447468146E-2</v>
      </c>
      <c r="BX355" s="258">
        <f t="shared" si="1347"/>
        <v>1.0691823899371178E-2</v>
      </c>
      <c r="BY355" s="1940">
        <f t="shared" si="1347"/>
        <v>-2.6334863493597482E-2</v>
      </c>
      <c r="BZ355" s="187">
        <f t="shared" ref="BZ355:CC356" si="1348">BZ354/BN354-1</f>
        <v>9.3774319066147971E-2</v>
      </c>
      <c r="CA355" s="187">
        <f t="shared" si="1348"/>
        <v>-1.1280931586608478E-2</v>
      </c>
      <c r="CB355" s="187">
        <f t="shared" si="1348"/>
        <v>-1.6165535079211146E-2</v>
      </c>
      <c r="CC355" s="1568">
        <f t="shared" si="1348"/>
        <v>2.947845804988658E-2</v>
      </c>
      <c r="CD355" s="258">
        <f t="shared" ref="CD355:CK355" si="1349">CD354/BZ354-1</f>
        <v>5.9053717538242623E-2</v>
      </c>
      <c r="CE355" s="258">
        <f t="shared" si="1349"/>
        <v>5.9624585940375452E-2</v>
      </c>
      <c r="CF355" s="258">
        <f t="shared" si="1349"/>
        <v>1.5445284258954972E-2</v>
      </c>
      <c r="CG355" s="1940">
        <f t="shared" si="1349"/>
        <v>4.8947626040130032E-4</v>
      </c>
      <c r="CH355" s="258">
        <f t="shared" si="1349"/>
        <v>-6.3486731609002311E-2</v>
      </c>
      <c r="CI355" s="258">
        <f t="shared" si="1349"/>
        <v>-4.6891281695032982E-2</v>
      </c>
      <c r="CJ355" s="258">
        <f t="shared" si="1349"/>
        <v>-3.2362459546925182E-3</v>
      </c>
      <c r="CK355" s="1940">
        <f t="shared" si="1349"/>
        <v>1.7857142857142794E-2</v>
      </c>
      <c r="CL355" s="258">
        <f>CL354/CD354-1</f>
        <v>-0.47900571044675844</v>
      </c>
      <c r="CM355" s="258">
        <f>CM354/CE354-1</f>
        <v>-0.4664814171587357</v>
      </c>
      <c r="CN355" s="258">
        <f>CN354/CF354-1</f>
        <v>-0.44724919093851134</v>
      </c>
      <c r="CO355" s="1940">
        <f>CO354/CG354-1</f>
        <v>-0.41242661448140905</v>
      </c>
      <c r="CP355" s="258">
        <f>CP354/CL354-1</f>
        <v>-0.36686009026434563</v>
      </c>
      <c r="CQ355" s="258">
        <f>CQ354/CI354-1</f>
        <v>-0.65051020408163263</v>
      </c>
      <c r="CR355" s="258">
        <f>CR354/CJ354-1</f>
        <v>-0.63896103896103895</v>
      </c>
      <c r="CS355" s="1940">
        <f t="shared" ref="CS355:DB355" si="1350">CS354/CO354-1</f>
        <v>-0.28101582014987514</v>
      </c>
      <c r="CT355" s="258">
        <f t="shared" si="1350"/>
        <v>-0.12627291242362526</v>
      </c>
      <c r="CU355" s="258">
        <f t="shared" si="1350"/>
        <v>-8.8633993743482797E-2</v>
      </c>
      <c r="CV355" s="258">
        <f t="shared" si="1350"/>
        <v>-6.4748201438848962E-2</v>
      </c>
      <c r="CW355" s="1940">
        <f t="shared" si="1350"/>
        <v>-0.12449334105385057</v>
      </c>
      <c r="CX355" s="1810">
        <f t="shared" si="1350"/>
        <v>-0.2214452214452215</v>
      </c>
      <c r="CY355" s="1810">
        <f t="shared" si="1350"/>
        <v>-0.25629290617848965</v>
      </c>
      <c r="CZ355" s="1810">
        <f t="shared" si="1350"/>
        <v>-0.29903846153846159</v>
      </c>
      <c r="DA355" s="1916">
        <f t="shared" si="1350"/>
        <v>-0.26190476190476186</v>
      </c>
      <c r="DB355" s="1810">
        <f t="shared" si="1350"/>
        <v>-8.083832335329344E-2</v>
      </c>
      <c r="DC355" s="1810">
        <f t="shared" ref="DC355:DM355" si="1351">DC354/CY354-1</f>
        <v>-9.2307692307692646E-3</v>
      </c>
      <c r="DD355" s="267">
        <f t="shared" si="1351"/>
        <v>3.292181069958855E-2</v>
      </c>
      <c r="DE355" s="1916">
        <f t="shared" si="1351"/>
        <v>2.5089605734766929E-2</v>
      </c>
      <c r="DF355" s="267">
        <f t="shared" si="1351"/>
        <v>3.2573289902280145E-3</v>
      </c>
      <c r="DG355" s="267">
        <f t="shared" si="1351"/>
        <v>3.7267080745341685E-2</v>
      </c>
      <c r="DH355" s="267">
        <f t="shared" si="1351"/>
        <v>0.10092961487383789</v>
      </c>
      <c r="DI355" s="1916">
        <f t="shared" si="1351"/>
        <v>0.2027972027972027</v>
      </c>
      <c r="DJ355" s="2760">
        <f t="shared" si="1351"/>
        <v>1.8104212860310609E-2</v>
      </c>
      <c r="DK355" s="267">
        <f t="shared" si="1351"/>
        <v>1.9370860927152567E-3</v>
      </c>
      <c r="DL355" s="267">
        <f t="shared" si="1351"/>
        <v>1.0000000000000009E-2</v>
      </c>
      <c r="DM355" s="1916">
        <f t="shared" si="1351"/>
        <v>2.5000000000000133E-2</v>
      </c>
      <c r="DN355" s="2182"/>
      <c r="DO355" s="1916"/>
      <c r="DP355" s="1810"/>
      <c r="DQ355" s="1810"/>
      <c r="DR355" s="1810"/>
      <c r="DS355" s="1810"/>
      <c r="DT355" s="1810"/>
      <c r="DU355" s="1810"/>
      <c r="DV355" s="1810"/>
      <c r="DW355" s="1810"/>
      <c r="DX355" s="1810"/>
      <c r="DY355" s="1810"/>
      <c r="DZ355" s="1810"/>
      <c r="EA355" s="1810"/>
      <c r="EB355" s="1810"/>
      <c r="EC355" s="1810"/>
      <c r="ED355" s="1810"/>
      <c r="EE355" s="1485"/>
      <c r="EF355" s="1485"/>
      <c r="EG355" s="1485"/>
      <c r="EH355" s="1485"/>
      <c r="EI355" s="1485"/>
      <c r="EJ355" s="2183"/>
      <c r="EK355" s="2184"/>
      <c r="EL355" s="2104" t="s">
        <v>483</v>
      </c>
      <c r="EM355" s="1810">
        <f>EM354/EL354-1</f>
        <v>0.4854368932038835</v>
      </c>
      <c r="EN355" s="1810">
        <f>EN354/EM354-1</f>
        <v>0.24484665661136251</v>
      </c>
      <c r="EO355" s="1810">
        <f>EO354/EN354-1</f>
        <v>5.7027463651050159E-2</v>
      </c>
      <c r="EP355" s="1810">
        <f>EP354/EO354-1</f>
        <v>2.1014825003820903E-2</v>
      </c>
      <c r="EQ355" s="1810">
        <f>EQ354/EN354-1</f>
        <v>2.2374798061389312E-2</v>
      </c>
      <c r="ER355" s="1810">
        <f>ER354/EQ354-1</f>
        <v>2.9785889231255469E-2</v>
      </c>
      <c r="ES355" s="1810">
        <f>ES354/ER354-1</f>
        <v>-2.0024551173853045E-2</v>
      </c>
      <c r="ET355" s="1810">
        <f>ET354/ER354-1</f>
        <v>-0.44782875556237534</v>
      </c>
      <c r="EU355" s="1810">
        <f t="shared" ref="EU355:FC355" si="1352">EU354/ET354-1</f>
        <v>-0.33583437543420869</v>
      </c>
      <c r="EV355" s="1810">
        <f t="shared" si="1352"/>
        <v>-0.10376569037656902</v>
      </c>
      <c r="EW355" s="1810">
        <f t="shared" si="1352"/>
        <v>-0.26167133520074692</v>
      </c>
      <c r="EX355" s="1810">
        <f t="shared" si="1352"/>
        <v>-2.5292443882389826E-3</v>
      </c>
      <c r="EY355" s="1810">
        <f t="shared" si="1352"/>
        <v>0.1058637083993661</v>
      </c>
      <c r="EZ355" s="1803">
        <f t="shared" si="1352"/>
        <v>1.5802857160184924E-2</v>
      </c>
      <c r="FA355" s="1485">
        <f t="shared" si="1352"/>
        <v>9.8072004320863826E-3</v>
      </c>
      <c r="FB355" s="1485">
        <f t="shared" si="1352"/>
        <v>1.0790635554668304E-2</v>
      </c>
      <c r="FC355" s="1485">
        <f t="shared" si="1352"/>
        <v>1.9363758021577748E-3</v>
      </c>
      <c r="FD355" s="1485">
        <f>FD354/FC354-1</f>
        <v>1.9274318030713111E-3</v>
      </c>
      <c r="FE355" s="1485">
        <f>FE354/FD354-1</f>
        <v>1.9185700476551659E-3</v>
      </c>
      <c r="FF355" s="1485">
        <f>FF354/FE354-1</f>
        <v>1.9097894067048315E-3</v>
      </c>
      <c r="FG355" s="1485">
        <f>FG354/FF354-1</f>
        <v>1.9010887715944502E-3</v>
      </c>
      <c r="FH355" s="1485">
        <f>FH354/FG354-1</f>
        <v>1.8924670538096322E-3</v>
      </c>
      <c r="FI355" s="2182"/>
      <c r="FP355" s="2153"/>
      <c r="FQ355" s="2152"/>
      <c r="FR355" s="2152"/>
      <c r="FS355" s="2154"/>
      <c r="FT355" s="2154"/>
      <c r="FW355" s="267"/>
      <c r="FX355" s="267"/>
      <c r="FY355" s="267"/>
    </row>
    <row r="356" spans="1:260" ht="12.75" hidden="1" outlineLevel="1" x14ac:dyDescent="0.2">
      <c r="A356" s="99" t="s">
        <v>4</v>
      </c>
      <c r="E356" s="1486"/>
      <c r="I356" s="1486"/>
      <c r="M356" s="1486"/>
      <c r="Q356" s="1486"/>
      <c r="U356" s="1486"/>
      <c r="Y356" s="1486"/>
      <c r="AC356" s="1486"/>
      <c r="AG356" s="1486"/>
      <c r="AK356" s="1486"/>
      <c r="AO356" s="1486"/>
      <c r="AS356" s="1486"/>
      <c r="AW356" s="1486"/>
      <c r="BA356" s="1486"/>
      <c r="BB356" s="256"/>
      <c r="BC356" s="256"/>
      <c r="BE356" s="1939"/>
      <c r="BF356" s="256"/>
      <c r="BG356" s="256"/>
      <c r="BH356" s="256"/>
      <c r="BI356" s="1939"/>
      <c r="BJ356" s="258"/>
      <c r="BK356" s="258"/>
      <c r="BL356" s="258"/>
      <c r="BM356" s="1940"/>
      <c r="BN356" s="258">
        <f t="shared" ref="BN356:BY356" si="1353">BN355/BJ355-1</f>
        <v>1.6177204331375954</v>
      </c>
      <c r="BO356" s="258">
        <f t="shared" si="1353"/>
        <v>5.4577811435062422</v>
      </c>
      <c r="BP356" s="258">
        <f t="shared" si="1353"/>
        <v>-1.0695134886112836</v>
      </c>
      <c r="BQ356" s="1940">
        <f t="shared" si="1353"/>
        <v>-0.71169461452487992</v>
      </c>
      <c r="BR356" s="258">
        <f t="shared" si="1353"/>
        <v>-0.82978894911500256</v>
      </c>
      <c r="BS356" s="258">
        <f t="shared" si="1353"/>
        <v>-0.91288613941452379</v>
      </c>
      <c r="BT356" s="258">
        <f t="shared" si="1353"/>
        <v>-1.4404503059193441</v>
      </c>
      <c r="BU356" s="1940">
        <f t="shared" si="1353"/>
        <v>-0.72388260425426521</v>
      </c>
      <c r="BV356" s="258">
        <f t="shared" si="1353"/>
        <v>-0.33767291832934399</v>
      </c>
      <c r="BW356" s="258">
        <f t="shared" si="1353"/>
        <v>-0.18775015834564679</v>
      </c>
      <c r="BX356" s="258">
        <f t="shared" si="1353"/>
        <v>-0.61988722619821779</v>
      </c>
      <c r="BY356" s="1940">
        <f t="shared" si="1353"/>
        <v>-1.6148416070946379</v>
      </c>
      <c r="BZ356" s="187">
        <f t="shared" si="1348"/>
        <v>-0.86047325420651555</v>
      </c>
      <c r="CA356" s="187">
        <f t="shared" si="1348"/>
        <v>-1.0174227721170954</v>
      </c>
      <c r="CB356" s="187">
        <f t="shared" si="1348"/>
        <v>-0.74686764027623864</v>
      </c>
      <c r="CC356" s="1568">
        <f t="shared" si="1348"/>
        <v>-0.80996626292793572</v>
      </c>
      <c r="CD356" s="258">
        <f t="shared" ref="CD356:CK356" si="1354">AVERAGE(CD355,BZ355)</f>
        <v>7.6414018302195297E-2</v>
      </c>
      <c r="CE356" s="258">
        <f t="shared" si="1354"/>
        <v>2.4171827176883487E-2</v>
      </c>
      <c r="CF356" s="258">
        <f t="shared" si="1354"/>
        <v>-3.6012541012808708E-4</v>
      </c>
      <c r="CG356" s="1940">
        <f t="shared" si="1354"/>
        <v>1.498396715514394E-2</v>
      </c>
      <c r="CH356" s="258">
        <f t="shared" si="1354"/>
        <v>-2.2165070353798444E-3</v>
      </c>
      <c r="CI356" s="258">
        <f t="shared" si="1354"/>
        <v>6.3666521226712347E-3</v>
      </c>
      <c r="CJ356" s="258">
        <f t="shared" si="1354"/>
        <v>6.104519152131227E-3</v>
      </c>
      <c r="CK356" s="1940">
        <f t="shared" si="1354"/>
        <v>9.173309558772047E-3</v>
      </c>
      <c r="CL356" s="258">
        <f>AVERAGE(CL355,CD355)</f>
        <v>-0.20997599645425791</v>
      </c>
      <c r="CM356" s="258">
        <f>AVERAGE(CM355,CE355)</f>
        <v>-0.20342841560918012</v>
      </c>
      <c r="CN356" s="258">
        <f>AVERAGE(CN355,CF355)</f>
        <v>-0.21590195333977819</v>
      </c>
      <c r="CO356" s="1940">
        <f>AVERAGE(CO355,CG355)</f>
        <v>-0.20596856911050387</v>
      </c>
      <c r="CP356" s="258">
        <f>AVERAGE(CP355,CL355)</f>
        <v>-0.42293290035555203</v>
      </c>
      <c r="CQ356" s="258">
        <f>AVERAGE(CQ355,CI355)</f>
        <v>-0.3487007428883328</v>
      </c>
      <c r="CR356" s="258">
        <f>AVERAGE(CR355,CJ355)</f>
        <v>-0.32109864245786574</v>
      </c>
      <c r="CS356" s="1940">
        <f t="shared" ref="CS356:DB356" si="1355">AVERAGE(CS355,CO355)</f>
        <v>-0.34672121731564209</v>
      </c>
      <c r="CT356" s="258">
        <f t="shared" si="1355"/>
        <v>-0.24656650134398544</v>
      </c>
      <c r="CU356" s="258">
        <f t="shared" si="1355"/>
        <v>-0.36957209891255771</v>
      </c>
      <c r="CV356" s="258">
        <f t="shared" si="1355"/>
        <v>-0.35185462019994396</v>
      </c>
      <c r="CW356" s="1940">
        <f t="shared" si="1355"/>
        <v>-0.20275458060186285</v>
      </c>
      <c r="CX356" s="1810">
        <f t="shared" si="1355"/>
        <v>-0.17385906693442338</v>
      </c>
      <c r="CY356" s="1810">
        <f t="shared" si="1355"/>
        <v>-0.17246344996098623</v>
      </c>
      <c r="CZ356" s="1810">
        <f t="shared" si="1355"/>
        <v>-0.18189333148865527</v>
      </c>
      <c r="DA356" s="1916">
        <f t="shared" si="1355"/>
        <v>-0.19319905147930622</v>
      </c>
      <c r="DB356" s="1810">
        <f t="shared" si="1355"/>
        <v>-0.15114177239925747</v>
      </c>
      <c r="DC356" s="1810">
        <f t="shared" ref="DC356:DM356" si="1356">AVERAGE(DC355,CY355)</f>
        <v>-0.13276183770462946</v>
      </c>
      <c r="DD356" s="267">
        <f t="shared" si="1356"/>
        <v>-0.13305832541943652</v>
      </c>
      <c r="DE356" s="1916">
        <f t="shared" si="1356"/>
        <v>-0.11840757808499747</v>
      </c>
      <c r="DF356" s="267">
        <f t="shared" si="1356"/>
        <v>-3.8790497181532713E-2</v>
      </c>
      <c r="DG356" s="267">
        <f t="shared" si="1356"/>
        <v>1.401815575728621E-2</v>
      </c>
      <c r="DH356" s="267">
        <f t="shared" si="1356"/>
        <v>6.6925712786713221E-2</v>
      </c>
      <c r="DI356" s="1916">
        <f t="shared" si="1356"/>
        <v>0.11394340426598482</v>
      </c>
      <c r="DJ356" s="2760">
        <f t="shared" si="1356"/>
        <v>1.0680770925269312E-2</v>
      </c>
      <c r="DK356" s="267">
        <f t="shared" si="1356"/>
        <v>1.9602083419028471E-2</v>
      </c>
      <c r="DL356" s="267">
        <f t="shared" si="1356"/>
        <v>5.546480743691895E-2</v>
      </c>
      <c r="DM356" s="1916">
        <f t="shared" si="1356"/>
        <v>0.11389860139860142</v>
      </c>
      <c r="DN356" s="2182"/>
      <c r="DO356" s="1916"/>
      <c r="DP356" s="1810"/>
      <c r="DQ356" s="1810"/>
      <c r="DR356" s="1810"/>
      <c r="DS356" s="1810"/>
      <c r="DT356" s="1810"/>
      <c r="DU356" s="1810"/>
      <c r="DV356" s="1810"/>
      <c r="DW356" s="1810"/>
      <c r="DX356" s="1810"/>
      <c r="DY356" s="1810"/>
      <c r="DZ356" s="1810"/>
      <c r="EA356" s="1810"/>
      <c r="EB356" s="1810"/>
      <c r="EC356" s="1810"/>
      <c r="ED356" s="1810"/>
      <c r="EE356" s="1485"/>
      <c r="EF356" s="1485"/>
      <c r="EG356" s="1485"/>
      <c r="EH356" s="1485"/>
      <c r="EI356" s="1485"/>
      <c r="EJ356" s="2183"/>
      <c r="EK356" s="2184"/>
      <c r="EL356" s="1810"/>
      <c r="EM356" s="1810"/>
      <c r="EN356" s="1810">
        <f>EN355/EM355-1</f>
        <v>-0.49561588738059326</v>
      </c>
      <c r="EO356" s="1810">
        <f>EO355/EN355-1</f>
        <v>-0.76708906529376031</v>
      </c>
      <c r="EP356" s="1810">
        <f>EP355/EO355-1</f>
        <v>-0.63149641140608725</v>
      </c>
      <c r="EQ356" s="1485">
        <f>EQ355/EN355-1</f>
        <v>-0.9086170978560506</v>
      </c>
      <c r="ER356" s="1810">
        <f>AVERAGE(ER355,EQ355)</f>
        <v>2.608034364632239E-2</v>
      </c>
      <c r="ES356" s="1810">
        <f>AVERAGE(ES355,ER355)</f>
        <v>4.8806690287012122E-3</v>
      </c>
      <c r="ET356" s="1810">
        <f>AVERAGE(ET355,ER355)</f>
        <v>-0.20902143316555993</v>
      </c>
      <c r="EU356" s="1810">
        <f t="shared" ref="EU356:EZ356" si="1357">AVERAGE(EU355,ET355)</f>
        <v>-0.39183156549829201</v>
      </c>
      <c r="EV356" s="1810">
        <f t="shared" si="1357"/>
        <v>-0.21980003290538885</v>
      </c>
      <c r="EW356" s="1810">
        <f t="shared" si="1357"/>
        <v>-0.18271851278865797</v>
      </c>
      <c r="EX356" s="1810">
        <f t="shared" si="1357"/>
        <v>-0.13210028979449295</v>
      </c>
      <c r="EY356" s="1810">
        <f t="shared" si="1357"/>
        <v>5.1667232005563557E-2</v>
      </c>
      <c r="EZ356" s="1803">
        <f t="shared" si="1357"/>
        <v>6.083328277977551E-2</v>
      </c>
      <c r="FA356" s="1810">
        <f t="shared" ref="FA356:FH356" si="1358">FA355+EZ355</f>
        <v>2.5610057592271307E-2</v>
      </c>
      <c r="FB356" s="1810">
        <f t="shared" si="1358"/>
        <v>2.0597835986754687E-2</v>
      </c>
      <c r="FC356" s="1810">
        <f t="shared" si="1358"/>
        <v>1.2727011356826079E-2</v>
      </c>
      <c r="FD356" s="1810">
        <f t="shared" si="1358"/>
        <v>3.863807605229086E-3</v>
      </c>
      <c r="FE356" s="1810">
        <f t="shared" si="1358"/>
        <v>3.846001850726477E-3</v>
      </c>
      <c r="FF356" s="1810">
        <f t="shared" si="1358"/>
        <v>3.8283594543599975E-3</v>
      </c>
      <c r="FG356" s="1810">
        <f t="shared" si="1358"/>
        <v>3.8108781782992818E-3</v>
      </c>
      <c r="FH356" s="1810">
        <f t="shared" si="1358"/>
        <v>3.7935558254040824E-3</v>
      </c>
      <c r="FI356" s="2182"/>
      <c r="FP356" s="2153"/>
      <c r="FQ356" s="2152"/>
      <c r="FR356" s="2152"/>
      <c r="FS356" s="2154"/>
      <c r="FT356" s="2154"/>
      <c r="FW356" s="267"/>
      <c r="FX356" s="267"/>
      <c r="FY356" s="267"/>
    </row>
    <row r="357" spans="1:260" ht="12.75" hidden="1" outlineLevel="1" x14ac:dyDescent="0.2">
      <c r="E357" s="1486"/>
      <c r="I357" s="1486"/>
      <c r="M357" s="1486"/>
      <c r="Q357" s="1486"/>
      <c r="U357" s="1486"/>
      <c r="Y357" s="1486"/>
      <c r="AC357" s="1486"/>
      <c r="AG357" s="1486"/>
      <c r="AK357" s="1486"/>
      <c r="AO357" s="1486"/>
      <c r="AS357" s="1486"/>
      <c r="AW357" s="1486"/>
      <c r="BA357" s="1486"/>
      <c r="BB357" s="256"/>
      <c r="BC357" s="256"/>
      <c r="BE357" s="1939"/>
      <c r="BF357" s="256"/>
      <c r="BG357" s="256"/>
      <c r="BH357" s="256"/>
      <c r="BI357" s="1939"/>
      <c r="BJ357" s="256"/>
      <c r="BK357" s="256"/>
      <c r="BL357" s="256"/>
      <c r="BM357" s="1939"/>
      <c r="BN357" s="256"/>
      <c r="BO357" s="256"/>
      <c r="BP357" s="256"/>
      <c r="BQ357" s="1939"/>
      <c r="BR357" s="256"/>
      <c r="BS357" s="256"/>
      <c r="BT357" s="256"/>
      <c r="BU357" s="2095"/>
      <c r="BV357" s="256"/>
      <c r="BW357" s="256"/>
      <c r="BX357" s="256"/>
      <c r="BY357" s="1939"/>
      <c r="BZ357" s="256"/>
      <c r="CA357" s="256"/>
      <c r="CB357" s="256"/>
      <c r="CC357" s="2095"/>
      <c r="CD357" s="256"/>
      <c r="CE357" s="256"/>
      <c r="CF357" s="256"/>
      <c r="CG357" s="1939"/>
      <c r="CH357" s="269"/>
      <c r="CI357" s="256"/>
      <c r="CJ357" s="256"/>
      <c r="CK357" s="2095"/>
      <c r="CL357" s="269"/>
      <c r="CM357" s="256"/>
      <c r="CN357" s="256"/>
      <c r="CO357" s="2095"/>
      <c r="CP357" s="256"/>
      <c r="CQ357" s="256"/>
      <c r="CR357" s="256"/>
      <c r="CS357" s="2095"/>
      <c r="CT357" s="269"/>
      <c r="CU357" s="269"/>
      <c r="CV357" s="269"/>
      <c r="CW357" s="2095"/>
      <c r="CX357" s="269"/>
      <c r="CY357" s="269"/>
      <c r="CZ357" s="269"/>
      <c r="DA357" s="2095"/>
      <c r="DB357" s="269"/>
      <c r="DC357" s="269"/>
      <c r="DD357" s="260"/>
      <c r="DE357" s="2095"/>
      <c r="DF357" s="260"/>
      <c r="DG357" s="260"/>
      <c r="DH357" s="260"/>
      <c r="DI357" s="2095"/>
      <c r="DJ357" s="2119"/>
      <c r="DK357" s="260"/>
      <c r="DL357" s="260"/>
      <c r="DM357" s="2095"/>
      <c r="DN357" s="2096"/>
      <c r="DO357" s="2095"/>
      <c r="DP357" s="269"/>
      <c r="DQ357" s="269"/>
      <c r="DR357" s="269"/>
      <c r="DS357" s="269"/>
      <c r="DT357" s="269"/>
      <c r="DU357" s="269"/>
      <c r="DV357" s="269"/>
      <c r="DW357" s="269"/>
      <c r="DX357" s="269"/>
      <c r="DY357" s="269"/>
      <c r="DZ357" s="269"/>
      <c r="EA357" s="269"/>
      <c r="EB357" s="269"/>
      <c r="EC357" s="269"/>
      <c r="ED357" s="269"/>
      <c r="EJ357" s="71"/>
      <c r="EK357" s="269"/>
      <c r="EL357" s="269"/>
      <c r="EM357" s="269"/>
      <c r="EN357" s="269"/>
      <c r="EO357" s="256"/>
      <c r="EP357" s="256"/>
      <c r="EQ357" s="256"/>
      <c r="ER357" s="269"/>
      <c r="ES357" s="256"/>
      <c r="ET357" s="256"/>
      <c r="EU357" s="256"/>
      <c r="EV357" s="256"/>
      <c r="EW357" s="256"/>
      <c r="EX357" s="256"/>
      <c r="EY357" s="256"/>
      <c r="EZ357" s="1804"/>
      <c r="FI357" s="2120"/>
      <c r="FP357" s="190"/>
    </row>
    <row r="358" spans="1:260" ht="12.75" hidden="1" outlineLevel="1" x14ac:dyDescent="0.2">
      <c r="A358" s="189" t="s">
        <v>26</v>
      </c>
      <c r="B358" s="189"/>
      <c r="C358" s="189"/>
      <c r="D358" s="189"/>
      <c r="E358" s="2129"/>
      <c r="F358" s="189"/>
      <c r="G358" s="189"/>
      <c r="H358" s="189"/>
      <c r="I358" s="2129"/>
      <c r="J358" s="189"/>
      <c r="K358" s="189"/>
      <c r="L358" s="189"/>
      <c r="M358" s="2129"/>
      <c r="N358" s="189"/>
      <c r="O358" s="189"/>
      <c r="P358" s="189"/>
      <c r="Q358" s="2129"/>
      <c r="R358" s="189"/>
      <c r="S358" s="189"/>
      <c r="T358" s="189"/>
      <c r="U358" s="2129"/>
      <c r="V358" s="189"/>
      <c r="W358" s="189"/>
      <c r="X358" s="189"/>
      <c r="Y358" s="2129"/>
      <c r="Z358" s="189"/>
      <c r="AA358" s="189"/>
      <c r="AB358" s="189"/>
      <c r="AC358" s="2129"/>
      <c r="AD358" s="189"/>
      <c r="AE358" s="189"/>
      <c r="AF358" s="189"/>
      <c r="AG358" s="2129"/>
      <c r="AK358" s="1486"/>
      <c r="AO358" s="1486"/>
      <c r="AS358" s="1486"/>
      <c r="AW358" s="1486"/>
      <c r="BA358" s="1486"/>
      <c r="BB358" s="256"/>
      <c r="BC358" s="256"/>
      <c r="BE358" s="1939"/>
      <c r="BF358" s="256"/>
      <c r="BG358" s="256"/>
      <c r="BH358" s="256"/>
      <c r="BI358" s="1939"/>
      <c r="BJ358" s="256"/>
      <c r="BK358" s="256"/>
      <c r="BL358" s="256"/>
      <c r="BM358" s="1939"/>
      <c r="BN358" s="256"/>
      <c r="BO358" s="256"/>
      <c r="BP358" s="256"/>
      <c r="BQ358" s="1939"/>
      <c r="BR358" s="256"/>
      <c r="BS358" s="256"/>
      <c r="BT358" s="256"/>
      <c r="BU358" s="2095"/>
      <c r="BV358" s="256"/>
      <c r="BW358" s="256"/>
      <c r="BX358" s="256"/>
      <c r="BY358" s="1939"/>
      <c r="BZ358" s="256"/>
      <c r="CA358" s="256"/>
      <c r="CB358" s="256"/>
      <c r="CC358" s="2095"/>
      <c r="CD358" s="256"/>
      <c r="CE358" s="256"/>
      <c r="CF358" s="256"/>
      <c r="CG358" s="1939"/>
      <c r="CH358" s="269"/>
      <c r="CI358" s="256"/>
      <c r="CJ358" s="256"/>
      <c r="CK358" s="2095"/>
      <c r="CL358" s="269"/>
      <c r="CM358" s="256"/>
      <c r="CN358" s="256"/>
      <c r="CO358" s="2095"/>
      <c r="CP358" s="256"/>
      <c r="CQ358" s="256"/>
      <c r="CR358" s="256"/>
      <c r="CS358" s="2095"/>
      <c r="CT358" s="269"/>
      <c r="CU358" s="269"/>
      <c r="CV358" s="269"/>
      <c r="CW358" s="2095"/>
      <c r="CX358" s="269"/>
      <c r="CY358" s="269"/>
      <c r="CZ358" s="269"/>
      <c r="DA358" s="2095"/>
      <c r="DB358" s="269"/>
      <c r="DC358" s="269"/>
      <c r="DD358" s="260"/>
      <c r="DE358" s="2095"/>
      <c r="DF358" s="260"/>
      <c r="DG358" s="260"/>
      <c r="DH358" s="260"/>
      <c r="DI358" s="2095"/>
      <c r="DJ358" s="2119"/>
      <c r="DK358" s="260"/>
      <c r="DL358" s="260"/>
      <c r="DM358" s="2095"/>
      <c r="DN358" s="2096"/>
      <c r="DO358" s="2095"/>
      <c r="DP358" s="269"/>
      <c r="DQ358" s="269"/>
      <c r="DR358" s="269"/>
      <c r="DS358" s="269"/>
      <c r="DT358" s="269"/>
      <c r="DU358" s="269"/>
      <c r="DV358" s="269"/>
      <c r="DW358" s="269"/>
      <c r="DX358" s="269"/>
      <c r="DY358" s="269"/>
      <c r="DZ358" s="269"/>
      <c r="EA358" s="269"/>
      <c r="EB358" s="269"/>
      <c r="EC358" s="269"/>
      <c r="ED358" s="269"/>
      <c r="EJ358" s="71"/>
      <c r="EK358" s="269"/>
      <c r="EL358" s="269"/>
      <c r="EM358" s="269"/>
      <c r="EN358" s="269"/>
      <c r="EO358" s="269"/>
      <c r="EP358" s="256"/>
      <c r="EQ358" s="269"/>
      <c r="ER358" s="269"/>
      <c r="ES358" s="256"/>
      <c r="ET358" s="256"/>
      <c r="EU358" s="256"/>
      <c r="EV358" s="256"/>
      <c r="EW358" s="256"/>
      <c r="EX358" s="256"/>
      <c r="EY358" s="256"/>
      <c r="EZ358" s="2150"/>
      <c r="FI358" s="2120"/>
      <c r="FP358" s="190"/>
    </row>
    <row r="359" spans="1:260" s="187" customFormat="1" ht="12.75" hidden="1" outlineLevel="1" x14ac:dyDescent="0.2">
      <c r="A359" s="187" t="s">
        <v>86</v>
      </c>
      <c r="E359" s="1568"/>
      <c r="I359" s="1568"/>
      <c r="M359" s="1568"/>
      <c r="Q359" s="1568"/>
      <c r="U359" s="1568"/>
      <c r="Y359" s="1568"/>
      <c r="AC359" s="1568"/>
      <c r="AG359" s="1568"/>
      <c r="AK359" s="1568"/>
      <c r="AO359" s="1568"/>
      <c r="AS359" s="1568"/>
      <c r="AW359" s="1568"/>
      <c r="BA359" s="1568"/>
      <c r="BB359" s="258"/>
      <c r="BC359" s="258">
        <v>0.4</v>
      </c>
      <c r="BD359" s="258"/>
      <c r="BE359" s="1940"/>
      <c r="BF359" s="258">
        <v>0.39</v>
      </c>
      <c r="BG359" s="258">
        <v>0.35</v>
      </c>
      <c r="BH359" s="258">
        <v>0.37</v>
      </c>
      <c r="BI359" s="1940">
        <f>BI330/BI325</f>
        <v>0.432560429722471</v>
      </c>
      <c r="BJ359" s="258">
        <v>0.38</v>
      </c>
      <c r="BK359" s="258">
        <v>0.36</v>
      </c>
      <c r="BL359" s="258">
        <v>0.18</v>
      </c>
      <c r="BM359" s="1940">
        <f>BM330/BM325</f>
        <v>0.2347031431897556</v>
      </c>
      <c r="BN359" s="258">
        <v>0.18</v>
      </c>
      <c r="BO359" s="258">
        <v>0.19</v>
      </c>
      <c r="BP359" s="258">
        <v>0.18</v>
      </c>
      <c r="BQ359" s="1940">
        <v>0.23</v>
      </c>
      <c r="BR359" s="258">
        <v>0.19</v>
      </c>
      <c r="BS359" s="258">
        <v>0.19</v>
      </c>
      <c r="BT359" s="258">
        <v>0.19</v>
      </c>
      <c r="BU359" s="1940">
        <v>0.23</v>
      </c>
      <c r="BV359" s="258">
        <v>0.18</v>
      </c>
      <c r="BW359" s="258">
        <v>0.19</v>
      </c>
      <c r="BX359" s="258">
        <v>0.19</v>
      </c>
      <c r="BY359" s="1940">
        <v>0.24</v>
      </c>
      <c r="BZ359" s="258">
        <v>0.19</v>
      </c>
      <c r="CA359" s="258">
        <v>0.2</v>
      </c>
      <c r="CB359" s="258">
        <v>0.17</v>
      </c>
      <c r="CC359" s="1940">
        <v>0.24</v>
      </c>
      <c r="CD359" s="258">
        <v>0.18</v>
      </c>
      <c r="CE359" s="258">
        <v>0.19</v>
      </c>
      <c r="CF359" s="258">
        <v>0.19</v>
      </c>
      <c r="CG359" s="1940">
        <v>0.24</v>
      </c>
      <c r="CH359" s="258">
        <v>0.16200000000000001</v>
      </c>
      <c r="CI359" s="258">
        <v>0.19</v>
      </c>
      <c r="CJ359" s="258">
        <v>0.16</v>
      </c>
      <c r="CK359" s="1940">
        <v>0.2</v>
      </c>
      <c r="CL359" s="258">
        <v>0.32</v>
      </c>
      <c r="CM359" s="258">
        <v>0.3</v>
      </c>
      <c r="CN359" s="258">
        <v>0.28999999999999998</v>
      </c>
      <c r="CO359" s="1940">
        <v>0.35</v>
      </c>
      <c r="CP359" s="258">
        <v>0.3</v>
      </c>
      <c r="CQ359" s="258">
        <v>0.28000000000000003</v>
      </c>
      <c r="CR359" s="258">
        <v>0.26</v>
      </c>
      <c r="CS359" s="1940">
        <v>0.31</v>
      </c>
      <c r="CT359" s="258">
        <v>0.27</v>
      </c>
      <c r="CU359" s="258">
        <v>0.26</v>
      </c>
      <c r="CV359" s="258">
        <v>0.25</v>
      </c>
      <c r="CW359" s="1940">
        <v>0.33</v>
      </c>
      <c r="CX359" s="1810">
        <v>0.3</v>
      </c>
      <c r="CY359" s="1810">
        <v>0.31</v>
      </c>
      <c r="CZ359" s="1810">
        <v>0.27</v>
      </c>
      <c r="DA359" s="1916">
        <v>0.35</v>
      </c>
      <c r="DB359" s="1810">
        <v>0.28999999999999998</v>
      </c>
      <c r="DC359" s="1810">
        <v>0.28999999999999998</v>
      </c>
      <c r="DD359" s="267">
        <v>0.28000000000000003</v>
      </c>
      <c r="DE359" s="1916">
        <v>0.35</v>
      </c>
      <c r="DF359" s="267">
        <v>0.28999999999999998</v>
      </c>
      <c r="DG359" s="267">
        <v>0.31</v>
      </c>
      <c r="DH359" s="267">
        <v>0.27</v>
      </c>
      <c r="DI359" s="1916">
        <v>0.35</v>
      </c>
      <c r="DJ359" s="2761">
        <v>0.35</v>
      </c>
      <c r="DK359" s="2185">
        <v>0.35</v>
      </c>
      <c r="DL359" s="2185">
        <v>0.35</v>
      </c>
      <c r="DM359" s="2611">
        <v>0.35</v>
      </c>
      <c r="DN359" s="2182"/>
      <c r="DO359" s="1916"/>
      <c r="DP359" s="1810"/>
      <c r="DQ359" s="1810"/>
      <c r="DR359" s="1810"/>
      <c r="DS359" s="1810"/>
      <c r="DT359" s="1810"/>
      <c r="DU359" s="1810"/>
      <c r="DV359" s="1810"/>
      <c r="DW359" s="1810"/>
      <c r="DX359" s="1810"/>
      <c r="DY359" s="1810"/>
      <c r="DZ359" s="1810"/>
      <c r="EA359" s="1810"/>
      <c r="EB359" s="1810"/>
      <c r="EC359" s="1810"/>
      <c r="ED359" s="1810"/>
      <c r="EE359" s="1485"/>
      <c r="EF359" s="1485"/>
      <c r="EG359" s="1485"/>
      <c r="EH359" s="1485"/>
      <c r="EI359" s="1485"/>
      <c r="EJ359" s="1810">
        <v>0.41</v>
      </c>
      <c r="EK359" s="1810">
        <v>0.41</v>
      </c>
      <c r="EL359" s="1810">
        <v>0.39</v>
      </c>
      <c r="EM359" s="1810">
        <v>0.26</v>
      </c>
      <c r="EN359" s="1810">
        <f>EN330/EN$354</f>
        <v>0.19824959612277868</v>
      </c>
      <c r="EO359" s="1810">
        <f>EO330/EO325</f>
        <v>0.20265168882775486</v>
      </c>
      <c r="EP359" s="1810">
        <f>EP330/EP$354</f>
        <v>0.20277524137414862</v>
      </c>
      <c r="EQ359" s="1810">
        <f>EQ330/EQ325</f>
        <v>0.2034794975112586</v>
      </c>
      <c r="ER359" s="1810">
        <f>ER330/ER325</f>
        <v>0.20339803590609173</v>
      </c>
      <c r="ES359" s="1810">
        <f t="shared" ref="ES359:FC359" si="1359">ES330/ES$354</f>
        <v>0.17991200187896345</v>
      </c>
      <c r="ET359" s="1810">
        <f t="shared" si="1359"/>
        <v>0.31862442684451853</v>
      </c>
      <c r="EU359" s="1810">
        <f t="shared" si="1359"/>
        <v>0.29029497907949792</v>
      </c>
      <c r="EV359" s="1810">
        <f t="shared" si="1359"/>
        <v>0.28428104575163404</v>
      </c>
      <c r="EW359" s="1810">
        <f>EW330/EW$354</f>
        <v>0.31278216882706289</v>
      </c>
      <c r="EX359" s="1810">
        <f>EX330/EX$354</f>
        <v>0.30936925515055463</v>
      </c>
      <c r="EY359" s="1810">
        <f>EY330/EY$354</f>
        <v>0.31274004012611067</v>
      </c>
      <c r="EZ359" s="1803">
        <f>EZ330/EZ$354</f>
        <v>0.35</v>
      </c>
      <c r="FA359" s="1810">
        <f t="shared" si="1359"/>
        <v>0.346600816324382</v>
      </c>
      <c r="FB359" s="1810">
        <f t="shared" si="1359"/>
        <v>0.34290069984095756</v>
      </c>
      <c r="FC359" s="1810">
        <f t="shared" si="1359"/>
        <v>0.34223799846215652</v>
      </c>
      <c r="FD359" s="1810">
        <f>FD330/FD$354</f>
        <v>0.34157962702574585</v>
      </c>
      <c r="FE359" s="1810">
        <f>FE330/FE$354</f>
        <v>0.34092553750101573</v>
      </c>
      <c r="FF359" s="1810">
        <f>FF330/FF$354</f>
        <v>0.34027568260701357</v>
      </c>
      <c r="FG359" s="1810">
        <f>FG330/FG$354</f>
        <v>0.33963001579748447</v>
      </c>
      <c r="FH359" s="1810">
        <f>FH330/FH$354</f>
        <v>0.33898849124618047</v>
      </c>
      <c r="FI359" s="2182"/>
      <c r="FJ359"/>
      <c r="FK359"/>
      <c r="FL359"/>
      <c r="FM359"/>
      <c r="FN359"/>
      <c r="FO359"/>
      <c r="FP359" s="265"/>
      <c r="FS359" s="266"/>
      <c r="FT359" s="266"/>
      <c r="FU359" s="99"/>
      <c r="FV359" s="99"/>
      <c r="FW359" s="267"/>
      <c r="FX359" s="267"/>
      <c r="FY359" s="267"/>
      <c r="FZ359" s="99"/>
      <c r="GA359" s="99"/>
      <c r="GB359" s="99"/>
      <c r="GC359" s="99"/>
      <c r="GD359" s="99"/>
      <c r="GE359" s="99"/>
      <c r="GF359" s="99"/>
      <c r="GG359" s="99"/>
      <c r="GH359" s="99"/>
      <c r="GI359" s="99"/>
      <c r="GJ359" s="99"/>
      <c r="GK359" s="99"/>
      <c r="GL359" s="99"/>
      <c r="GM359" s="99"/>
      <c r="GN359" s="99"/>
      <c r="GO359" s="99"/>
      <c r="GP359" s="99"/>
      <c r="GQ359" s="99"/>
      <c r="GR359" s="99"/>
      <c r="GS359" s="99"/>
      <c r="GT359" s="99"/>
      <c r="GU359" s="99"/>
      <c r="GV359" s="99"/>
      <c r="GW359" s="99"/>
      <c r="GX359" s="99"/>
      <c r="GY359" s="99"/>
      <c r="GZ359" s="99"/>
      <c r="HA359" s="99"/>
      <c r="HB359" s="99"/>
      <c r="HC359" s="99"/>
      <c r="HD359" s="99"/>
      <c r="HE359" s="99"/>
      <c r="HF359" s="99"/>
      <c r="HG359" s="99"/>
      <c r="HH359" s="99"/>
      <c r="HI359" s="99"/>
      <c r="HJ359" s="99"/>
      <c r="HK359" s="99"/>
      <c r="HL359" s="99"/>
      <c r="HM359" s="99"/>
      <c r="HN359" s="99"/>
      <c r="HO359" s="99"/>
      <c r="HP359" s="99"/>
      <c r="HQ359" s="99"/>
      <c r="HR359" s="99"/>
      <c r="HS359" s="99"/>
      <c r="HT359" s="99"/>
      <c r="HU359" s="99"/>
      <c r="HV359" s="99"/>
      <c r="HW359" s="99"/>
      <c r="HX359" s="99"/>
      <c r="HY359" s="99"/>
      <c r="HZ359" s="99"/>
      <c r="IA359" s="99"/>
      <c r="IB359" s="99"/>
      <c r="IC359" s="99"/>
      <c r="ID359" s="99"/>
      <c r="IE359" s="99"/>
      <c r="IF359" s="99"/>
      <c r="IG359" s="99"/>
      <c r="IH359" s="99"/>
      <c r="II359" s="99"/>
      <c r="IJ359" s="99"/>
      <c r="IK359" s="99"/>
      <c r="IL359" s="99"/>
      <c r="IM359" s="99"/>
      <c r="IN359" s="99"/>
      <c r="IO359" s="99"/>
      <c r="IP359" s="99"/>
      <c r="IQ359" s="99"/>
      <c r="IR359" s="99"/>
      <c r="IS359" s="99"/>
      <c r="IT359" s="99"/>
      <c r="IU359" s="99"/>
      <c r="IV359" s="99"/>
      <c r="IW359" s="99"/>
      <c r="IX359" s="99"/>
      <c r="IY359" s="99"/>
      <c r="IZ359" s="99"/>
    </row>
    <row r="360" spans="1:260" s="187" customFormat="1" ht="12.75" hidden="1" outlineLevel="1" x14ac:dyDescent="0.2">
      <c r="A360" s="187" t="s">
        <v>305</v>
      </c>
      <c r="E360" s="1568"/>
      <c r="I360" s="1568"/>
      <c r="M360" s="1568"/>
      <c r="Q360" s="1568"/>
      <c r="U360" s="1568"/>
      <c r="Y360" s="1568"/>
      <c r="AC360" s="1568"/>
      <c r="AG360" s="1568"/>
      <c r="AK360" s="1568"/>
      <c r="AO360" s="1568"/>
      <c r="AS360" s="1568"/>
      <c r="AW360" s="1568"/>
      <c r="BA360" s="1568"/>
      <c r="BB360" s="258"/>
      <c r="BC360" s="258">
        <v>0.34</v>
      </c>
      <c r="BD360" s="258"/>
      <c r="BE360" s="1940"/>
      <c r="BF360" s="258">
        <v>0.31</v>
      </c>
      <c r="BG360" s="258">
        <v>0.32</v>
      </c>
      <c r="BH360" s="258">
        <v>0.31</v>
      </c>
      <c r="BI360" s="1940">
        <f>BI334/BI$325</f>
        <v>0.27324529991047442</v>
      </c>
      <c r="BJ360" s="258">
        <v>0.3</v>
      </c>
      <c r="BK360" s="258">
        <v>0.3</v>
      </c>
      <c r="BL360" s="258">
        <v>0.54</v>
      </c>
      <c r="BM360" s="1940">
        <f>BM334/BM$325</f>
        <v>0.50337310826542492</v>
      </c>
      <c r="BN360" s="258">
        <v>0.54</v>
      </c>
      <c r="BO360" s="258">
        <v>0.52</v>
      </c>
      <c r="BP360" s="258">
        <v>0.55000000000000004</v>
      </c>
      <c r="BQ360" s="1940">
        <v>0.51</v>
      </c>
      <c r="BR360" s="258">
        <v>0.56000000000000005</v>
      </c>
      <c r="BS360" s="258">
        <v>0.54</v>
      </c>
      <c r="BT360" s="258">
        <v>0.56999999999999995</v>
      </c>
      <c r="BU360" s="1940">
        <v>0.54</v>
      </c>
      <c r="BV360" s="258">
        <v>0.59</v>
      </c>
      <c r="BW360" s="258">
        <v>0.55000000000000004</v>
      </c>
      <c r="BX360" s="258">
        <v>0.56000000000000005</v>
      </c>
      <c r="BY360" s="1940">
        <v>0.54</v>
      </c>
      <c r="BZ360" s="258">
        <v>0.56000000000000005</v>
      </c>
      <c r="CA360" s="258">
        <v>0.53</v>
      </c>
      <c r="CB360" s="258">
        <v>0.59</v>
      </c>
      <c r="CC360" s="1940">
        <v>0.52</v>
      </c>
      <c r="CD360" s="258">
        <v>0.59</v>
      </c>
      <c r="CE360" s="258">
        <v>0.54</v>
      </c>
      <c r="CF360" s="258">
        <v>0.56999999999999995</v>
      </c>
      <c r="CG360" s="1940">
        <v>0.53</v>
      </c>
      <c r="CH360" s="258">
        <v>0.65</v>
      </c>
      <c r="CI360" s="258">
        <v>0.54</v>
      </c>
      <c r="CJ360" s="258">
        <v>0.65</v>
      </c>
      <c r="CK360" s="1940">
        <v>0.6</v>
      </c>
      <c r="CL360" s="258">
        <v>0.4</v>
      </c>
      <c r="CM360" s="258">
        <v>0.36</v>
      </c>
      <c r="CN360" s="258">
        <v>0.43</v>
      </c>
      <c r="CO360" s="1940">
        <v>0.37</v>
      </c>
      <c r="CP360" s="258">
        <v>0.4</v>
      </c>
      <c r="CQ360" s="258">
        <v>0.36</v>
      </c>
      <c r="CR360" s="258">
        <v>0.43</v>
      </c>
      <c r="CS360" s="1940">
        <v>0.39</v>
      </c>
      <c r="CT360" s="258">
        <v>0.41</v>
      </c>
      <c r="CU360" s="258">
        <v>0.37</v>
      </c>
      <c r="CV360" s="258">
        <v>0.44</v>
      </c>
      <c r="CW360" s="1940">
        <v>0.45</v>
      </c>
      <c r="CX360" s="1810">
        <v>0.49</v>
      </c>
      <c r="CY360" s="1810">
        <v>0.48</v>
      </c>
      <c r="CZ360" s="1810">
        <v>0.55000000000000004</v>
      </c>
      <c r="DA360" s="1916">
        <v>0.44</v>
      </c>
      <c r="DB360" s="1810">
        <v>0.5</v>
      </c>
      <c r="DC360" s="1810">
        <v>0.48</v>
      </c>
      <c r="DD360" s="267">
        <v>0.54</v>
      </c>
      <c r="DE360" s="1916">
        <v>0.43</v>
      </c>
      <c r="DF360" s="267">
        <v>0.48</v>
      </c>
      <c r="DG360" s="267">
        <v>0.47</v>
      </c>
      <c r="DH360" s="267">
        <v>0.52</v>
      </c>
      <c r="DI360" s="1916">
        <v>0.42</v>
      </c>
      <c r="DJ360" s="2761">
        <v>0.435</v>
      </c>
      <c r="DK360" s="2185">
        <v>0.435</v>
      </c>
      <c r="DL360" s="2185">
        <v>0.435</v>
      </c>
      <c r="DM360" s="2611">
        <v>0.435</v>
      </c>
      <c r="DN360" s="2182"/>
      <c r="DO360" s="1916"/>
      <c r="DP360" s="1810"/>
      <c r="DQ360" s="1810"/>
      <c r="DR360" s="1810"/>
      <c r="DS360" s="1810"/>
      <c r="DT360" s="1810"/>
      <c r="DU360" s="1810"/>
      <c r="DV360" s="1810"/>
      <c r="DW360" s="1810"/>
      <c r="DX360" s="1810"/>
      <c r="DY360" s="1810"/>
      <c r="DZ360" s="1810"/>
      <c r="EA360" s="1810"/>
      <c r="EB360" s="1810"/>
      <c r="EC360" s="1810"/>
      <c r="ED360" s="1810"/>
      <c r="EE360" s="1485"/>
      <c r="EF360" s="1485"/>
      <c r="EG360" s="1485"/>
      <c r="EH360" s="1485"/>
      <c r="EI360" s="1485"/>
      <c r="EJ360" s="1810">
        <v>0.36</v>
      </c>
      <c r="EK360" s="1810">
        <v>0.32</v>
      </c>
      <c r="EL360" s="1810">
        <v>0.3</v>
      </c>
      <c r="EM360" s="1810">
        <v>0.45</v>
      </c>
      <c r="EN360" s="1810">
        <f>EN334/EN$354</f>
        <v>0.52844103392568664</v>
      </c>
      <c r="EO360" s="1810">
        <f>EO334/EO$325</f>
        <v>0.55166743084212122</v>
      </c>
      <c r="EP360" s="1810">
        <f>EP334/EP$354</f>
        <v>0.55861312775989824</v>
      </c>
      <c r="EQ360" s="1810">
        <f>EQ334/EQ$325</f>
        <v>0.5478596823891918</v>
      </c>
      <c r="ER360" s="1810">
        <f>ER334/ER$325</f>
        <v>0.55539588767837966</v>
      </c>
      <c r="ES360" s="1810">
        <f t="shared" ref="ES360:FC360" si="1360">ES334/ES$354</f>
        <v>0.61008063884756902</v>
      </c>
      <c r="ET360" s="1810">
        <f t="shared" si="1360"/>
        <v>0.38857023759899956</v>
      </c>
      <c r="EU360" s="1810">
        <f t="shared" si="1360"/>
        <v>0.3953410041841004</v>
      </c>
      <c r="EV360" s="1810">
        <f t="shared" si="1360"/>
        <v>0.42323996265172731</v>
      </c>
      <c r="EW360" s="1810">
        <f>EW334/EW$354</f>
        <v>0.48413215301928547</v>
      </c>
      <c r="EX360" s="1810">
        <f>EX334/EX$354</f>
        <v>0.48008240887480191</v>
      </c>
      <c r="EY360" s="1810">
        <f>EY334/EY$354</f>
        <v>0.463926626540556</v>
      </c>
      <c r="EZ360" s="1803">
        <f>EZ334/EZ$354</f>
        <v>0.43500000000000005</v>
      </c>
      <c r="FA360" s="1810">
        <f t="shared" si="1360"/>
        <v>0.43939080629465233</v>
      </c>
      <c r="FB360" s="1810">
        <f t="shared" si="1360"/>
        <v>0.43904711692750631</v>
      </c>
      <c r="FC360" s="1810">
        <f t="shared" si="1360"/>
        <v>0.44258058576001091</v>
      </c>
      <c r="FD360" s="1810">
        <f>FD334/FD$354</f>
        <v>0.44614647471342017</v>
      </c>
      <c r="FE360" s="1810">
        <f>FE334/FE$354</f>
        <v>0.44974507203626513</v>
      </c>
      <c r="FF360" s="1810">
        <f>FF334/FF$354</f>
        <v>0.45337666879731153</v>
      </c>
      <c r="FG360" s="1810">
        <f>FG334/FG$354</f>
        <v>0.45704155890948978</v>
      </c>
      <c r="FH360" s="1810">
        <f>FH334/FH$354</f>
        <v>0.4607400391541146</v>
      </c>
      <c r="FI360" s="2182"/>
      <c r="FJ360"/>
      <c r="FK360"/>
      <c r="FL360"/>
      <c r="FM360"/>
      <c r="FN360"/>
      <c r="FO360"/>
      <c r="FP360" s="265"/>
      <c r="FS360" s="266"/>
      <c r="FT360" s="266"/>
      <c r="FU360" s="99"/>
      <c r="FV360" s="99"/>
      <c r="FW360" s="267"/>
      <c r="FX360" s="267"/>
      <c r="FY360" s="267"/>
      <c r="FZ360" s="99"/>
      <c r="GA360" s="99"/>
      <c r="GB360" s="99"/>
      <c r="GC360" s="99"/>
      <c r="GD360" s="99"/>
      <c r="GE360" s="99"/>
      <c r="GF360" s="99"/>
      <c r="GG360" s="99"/>
      <c r="GH360" s="99"/>
      <c r="GI360" s="99"/>
      <c r="GJ360" s="99"/>
      <c r="GK360" s="99"/>
      <c r="GL360" s="99"/>
      <c r="GM360" s="99"/>
      <c r="GN360" s="99"/>
      <c r="GO360" s="99"/>
      <c r="GP360" s="99"/>
      <c r="GQ360" s="99"/>
      <c r="GR360" s="99"/>
      <c r="GS360" s="99"/>
      <c r="GT360" s="99"/>
      <c r="GU360" s="99"/>
      <c r="GV360" s="99"/>
      <c r="GW360" s="99"/>
      <c r="GX360" s="99"/>
      <c r="GY360" s="99"/>
      <c r="GZ360" s="99"/>
      <c r="HA360" s="99"/>
      <c r="HB360" s="99"/>
      <c r="HC360" s="99"/>
      <c r="HD360" s="99"/>
      <c r="HE360" s="99"/>
      <c r="HF360" s="99"/>
      <c r="HG360" s="99"/>
      <c r="HH360" s="99"/>
      <c r="HI360" s="99"/>
      <c r="HJ360" s="99"/>
      <c r="HK360" s="99"/>
      <c r="HL360" s="99"/>
      <c r="HM360" s="99"/>
      <c r="HN360" s="99"/>
      <c r="HO360" s="99"/>
      <c r="HP360" s="99"/>
      <c r="HQ360" s="99"/>
      <c r="HR360" s="99"/>
      <c r="HS360" s="99"/>
      <c r="HT360" s="99"/>
      <c r="HU360" s="99"/>
      <c r="HV360" s="99"/>
      <c r="HW360" s="99"/>
      <c r="HX360" s="99"/>
      <c r="HY360" s="99"/>
      <c r="HZ360" s="99"/>
      <c r="IA360" s="99"/>
      <c r="IB360" s="99"/>
      <c r="IC360" s="99"/>
      <c r="ID360" s="99"/>
      <c r="IE360" s="99"/>
      <c r="IF360" s="99"/>
      <c r="IG360" s="99"/>
      <c r="IH360" s="99"/>
      <c r="II360" s="99"/>
      <c r="IJ360" s="99"/>
      <c r="IK360" s="99"/>
      <c r="IL360" s="99"/>
      <c r="IM360" s="99"/>
      <c r="IN360" s="99"/>
      <c r="IO360" s="99"/>
      <c r="IP360" s="99"/>
      <c r="IQ360" s="99"/>
      <c r="IR360" s="99"/>
      <c r="IS360" s="99"/>
      <c r="IT360" s="99"/>
      <c r="IU360" s="99"/>
      <c r="IV360" s="99"/>
      <c r="IW360" s="99"/>
      <c r="IX360" s="99"/>
      <c r="IY360" s="99"/>
      <c r="IZ360" s="99"/>
    </row>
    <row r="361" spans="1:260" s="187" customFormat="1" ht="12.75" hidden="1" outlineLevel="1" x14ac:dyDescent="0.2">
      <c r="A361" s="187" t="s">
        <v>303</v>
      </c>
      <c r="E361" s="1568"/>
      <c r="I361" s="1568"/>
      <c r="M361" s="1568"/>
      <c r="Q361" s="1568"/>
      <c r="U361" s="1568"/>
      <c r="Y361" s="1568"/>
      <c r="AC361" s="1568"/>
      <c r="AG361" s="1568"/>
      <c r="AK361" s="1568"/>
      <c r="AO361" s="1568"/>
      <c r="AS361" s="1568"/>
      <c r="AW361" s="1568"/>
      <c r="BA361" s="1568"/>
      <c r="BB361" s="258"/>
      <c r="BC361" s="258">
        <v>0.1</v>
      </c>
      <c r="BD361" s="258"/>
      <c r="BE361" s="1940"/>
      <c r="BF361" s="258">
        <v>0.11</v>
      </c>
      <c r="BG361" s="258">
        <v>0.1</v>
      </c>
      <c r="BH361" s="258">
        <v>0.14000000000000001</v>
      </c>
      <c r="BI361" s="1940">
        <f>BI338/BI$325</f>
        <v>0.15359892569382275</v>
      </c>
      <c r="BJ361" s="258">
        <v>0.12</v>
      </c>
      <c r="BK361" s="258">
        <v>0.11</v>
      </c>
      <c r="BL361" s="258">
        <v>0.06</v>
      </c>
      <c r="BM361" s="1940">
        <f>BM338/BM$325</f>
        <v>9.5718859138533174E-2</v>
      </c>
      <c r="BN361" s="258">
        <v>0.05</v>
      </c>
      <c r="BO361" s="258">
        <v>0.05</v>
      </c>
      <c r="BP361" s="258">
        <v>7.0000000000000007E-2</v>
      </c>
      <c r="BQ361" s="1940">
        <v>0.08</v>
      </c>
      <c r="BR361" s="258">
        <v>0.05</v>
      </c>
      <c r="BS361" s="258">
        <v>0.05</v>
      </c>
      <c r="BT361" s="258">
        <v>0.06</v>
      </c>
      <c r="BU361" s="1940">
        <v>7.0000000000000007E-2</v>
      </c>
      <c r="BV361" s="258">
        <v>0.04</v>
      </c>
      <c r="BW361" s="258">
        <v>0.03</v>
      </c>
      <c r="BX361" s="258">
        <v>0.05</v>
      </c>
      <c r="BY361" s="1940">
        <v>0.06</v>
      </c>
      <c r="BZ361" s="258">
        <v>0.05</v>
      </c>
      <c r="CA361" s="258">
        <v>0.04</v>
      </c>
      <c r="CB361" s="258">
        <v>0.04</v>
      </c>
      <c r="CC361" s="1940">
        <v>0.08</v>
      </c>
      <c r="CD361" s="258">
        <v>0.04</v>
      </c>
      <c r="CE361" s="258">
        <v>0.04</v>
      </c>
      <c r="CF361" s="258">
        <v>0.04</v>
      </c>
      <c r="CG361" s="1940">
        <v>7.0000000000000007E-2</v>
      </c>
      <c r="CH361" s="258">
        <v>0.02</v>
      </c>
      <c r="CI361" s="258">
        <v>0.04</v>
      </c>
      <c r="CJ361" s="258">
        <v>0.03</v>
      </c>
      <c r="CK361" s="1940">
        <v>0.06</v>
      </c>
      <c r="CL361" s="258">
        <v>7.0000000000000007E-2</v>
      </c>
      <c r="CM361" s="258">
        <v>0.06</v>
      </c>
      <c r="CN361" s="258">
        <v>0.06</v>
      </c>
      <c r="CO361" s="1940">
        <v>0.1</v>
      </c>
      <c r="CP361" s="258">
        <v>0.06</v>
      </c>
      <c r="CQ361" s="258">
        <v>0.04</v>
      </c>
      <c r="CR361" s="258">
        <v>0.06</v>
      </c>
      <c r="CS361" s="1940">
        <v>0.11</v>
      </c>
      <c r="CT361" s="258">
        <v>0.06</v>
      </c>
      <c r="CU361" s="258">
        <v>0.05</v>
      </c>
      <c r="CV361" s="258">
        <v>0.06</v>
      </c>
      <c r="CW361" s="1940">
        <v>0.11</v>
      </c>
      <c r="CX361" s="1810">
        <v>0.08</v>
      </c>
      <c r="CY361" s="1810">
        <v>7.0000000000000007E-2</v>
      </c>
      <c r="CZ361" s="1810">
        <v>0.08</v>
      </c>
      <c r="DA361" s="1916">
        <v>0.12</v>
      </c>
      <c r="DB361" s="1810">
        <v>0.06</v>
      </c>
      <c r="DC361" s="1810">
        <v>0.06</v>
      </c>
      <c r="DD361" s="267">
        <v>0.06</v>
      </c>
      <c r="DE361" s="1916">
        <v>0.09</v>
      </c>
      <c r="DF361" s="267">
        <v>7.0000000000000007E-2</v>
      </c>
      <c r="DG361" s="267">
        <v>0.05</v>
      </c>
      <c r="DH361" s="267">
        <v>0.06</v>
      </c>
      <c r="DI361" s="1916">
        <v>0.09</v>
      </c>
      <c r="DJ361" s="2761">
        <v>0.105</v>
      </c>
      <c r="DK361" s="2185">
        <v>0.105</v>
      </c>
      <c r="DL361" s="2185">
        <v>0.105</v>
      </c>
      <c r="DM361" s="2611">
        <v>0.105</v>
      </c>
      <c r="DN361" s="2182"/>
      <c r="DO361" s="1916"/>
      <c r="DP361" s="1810"/>
      <c r="DQ361" s="1810"/>
      <c r="DR361" s="1810"/>
      <c r="DS361" s="1810"/>
      <c r="DT361" s="1810"/>
      <c r="DU361" s="1810"/>
      <c r="DV361" s="1810"/>
      <c r="DW361" s="1810"/>
      <c r="DX361" s="1810"/>
      <c r="DY361" s="1810"/>
      <c r="DZ361" s="1810"/>
      <c r="EA361" s="1810"/>
      <c r="EB361" s="1810"/>
      <c r="EC361" s="1810"/>
      <c r="ED361" s="1810"/>
      <c r="EE361" s="1485"/>
      <c r="EF361" s="1485"/>
      <c r="EG361" s="1485"/>
      <c r="EH361" s="1485"/>
      <c r="EI361" s="1485"/>
      <c r="EJ361" s="1810">
        <v>0.14000000000000001</v>
      </c>
      <c r="EK361" s="1810">
        <v>0.12</v>
      </c>
      <c r="EL361" s="1810">
        <v>0.13</v>
      </c>
      <c r="EM361" s="1810">
        <v>0.09</v>
      </c>
      <c r="EN361" s="1810">
        <f>EN338/EN$354</f>
        <v>6.4614701130856211E-2</v>
      </c>
      <c r="EO361" s="1810">
        <f>EO338/EO$325</f>
        <v>5.8755922359773803E-2</v>
      </c>
      <c r="EP361" s="1810">
        <f>EP338/EP$354</f>
        <v>4.6165706159718579E-2</v>
      </c>
      <c r="EQ361" s="1810">
        <f>EQ338/EQ$325</f>
        <v>5.5133917990045037E-2</v>
      </c>
      <c r="ER361" s="1810">
        <f>ER338/ER$325</f>
        <v>4.9409237379162189E-2</v>
      </c>
      <c r="ES361" s="1810">
        <f t="shared" ref="ES361:FC361" si="1361">ES338/ES$354</f>
        <v>3.9738510921474991E-2</v>
      </c>
      <c r="ET361" s="1810">
        <f t="shared" si="1361"/>
        <v>7.5505071557593451E-2</v>
      </c>
      <c r="EU361" s="1810">
        <f t="shared" si="1361"/>
        <v>7.405230125523013E-2</v>
      </c>
      <c r="EV361" s="1810">
        <f t="shared" si="1361"/>
        <v>7.5606909430438837E-2</v>
      </c>
      <c r="EW361" s="1810">
        <f>EW338/EW$354</f>
        <v>9.2058172620929482E-2</v>
      </c>
      <c r="EX361" s="1810">
        <f>EX338/EX$354</f>
        <v>7.0877971473851026E-2</v>
      </c>
      <c r="EY361" s="1810">
        <f>EY338/EY$354</f>
        <v>7.1682430495844079E-2</v>
      </c>
      <c r="EZ361" s="1803">
        <f>EZ338/EZ$354</f>
        <v>0.105</v>
      </c>
      <c r="FA361" s="1810">
        <f t="shared" si="1361"/>
        <v>0.15471657501078065</v>
      </c>
      <c r="FB361" s="1810">
        <f t="shared" si="1361"/>
        <v>0.22775170656132687</v>
      </c>
      <c r="FC361" s="1810">
        <f t="shared" si="1361"/>
        <v>0.33822639954158029</v>
      </c>
      <c r="FD361" s="1810">
        <f>FD338/FD$354</f>
        <v>0.50229313436691592</v>
      </c>
      <c r="FE361" s="1810">
        <f>FE338/FE$354</f>
        <v>0.74595189701162068</v>
      </c>
      <c r="FF361" s="1810">
        <f>FF338/FF$354</f>
        <v>1.1078174699327092</v>
      </c>
      <c r="FG361" s="1810">
        <f>FG338/FG$354</f>
        <v>1.6452404093092652</v>
      </c>
      <c r="FH361" s="1810">
        <f>FH338/FH$354</f>
        <v>2.4433982774349809</v>
      </c>
      <c r="FI361" s="2182"/>
      <c r="FJ361"/>
      <c r="FK361"/>
      <c r="FL361"/>
      <c r="FM361"/>
      <c r="FN361"/>
      <c r="FO361"/>
      <c r="FP361" s="2157"/>
      <c r="FQ361" s="2156"/>
      <c r="FR361" s="2156"/>
      <c r="FS361" s="266"/>
      <c r="FT361" s="266"/>
      <c r="FU361" s="99"/>
      <c r="FV361" s="99"/>
      <c r="FW361" s="267"/>
      <c r="FX361" s="267"/>
      <c r="FY361" s="267"/>
      <c r="FZ361" s="99"/>
      <c r="GA361" s="99"/>
      <c r="GB361" s="99"/>
      <c r="GC361" s="99"/>
      <c r="GD361" s="99"/>
      <c r="GE361" s="99"/>
      <c r="GF361" s="99"/>
      <c r="GG361" s="99"/>
      <c r="GH361" s="99"/>
      <c r="GI361" s="99"/>
      <c r="GJ361" s="99"/>
      <c r="GK361" s="99"/>
      <c r="GL361" s="99"/>
      <c r="GM361" s="99"/>
      <c r="GN361" s="99"/>
      <c r="GO361" s="99"/>
      <c r="GP361" s="99"/>
      <c r="GQ361" s="99"/>
      <c r="GR361" s="99"/>
      <c r="GS361" s="99"/>
      <c r="GT361" s="99"/>
      <c r="GU361" s="99"/>
      <c r="GV361" s="99"/>
      <c r="GW361" s="99"/>
      <c r="GX361" s="99"/>
      <c r="GY361" s="99"/>
      <c r="GZ361" s="99"/>
      <c r="HA361" s="99"/>
      <c r="HB361" s="99"/>
      <c r="HC361" s="99"/>
      <c r="HD361" s="99"/>
      <c r="HE361" s="99"/>
      <c r="HF361" s="99"/>
      <c r="HG361" s="99"/>
      <c r="HH361" s="99"/>
      <c r="HI361" s="99"/>
      <c r="HJ361" s="99"/>
      <c r="HK361" s="99"/>
      <c r="HL361" s="99"/>
      <c r="HM361" s="99"/>
      <c r="HN361" s="99"/>
      <c r="HO361" s="99"/>
      <c r="HP361" s="99"/>
      <c r="HQ361" s="99"/>
      <c r="HR361" s="99"/>
      <c r="HS361" s="99"/>
      <c r="HT361" s="99"/>
      <c r="HU361" s="99"/>
      <c r="HV361" s="99"/>
      <c r="HW361" s="99"/>
      <c r="HX361" s="99"/>
      <c r="HY361" s="99"/>
      <c r="HZ361" s="99"/>
      <c r="IA361" s="99"/>
      <c r="IB361" s="99"/>
      <c r="IC361" s="99"/>
      <c r="ID361" s="99"/>
      <c r="IE361" s="99"/>
      <c r="IF361" s="99"/>
      <c r="IG361" s="99"/>
      <c r="IH361" s="99"/>
      <c r="II361" s="99"/>
      <c r="IJ361" s="99"/>
      <c r="IK361" s="99"/>
      <c r="IL361" s="99"/>
      <c r="IM361" s="99"/>
      <c r="IN361" s="99"/>
      <c r="IO361" s="99"/>
      <c r="IP361" s="99"/>
      <c r="IQ361" s="99"/>
      <c r="IR361" s="99"/>
      <c r="IS361" s="99"/>
      <c r="IT361" s="99"/>
      <c r="IU361" s="99"/>
      <c r="IV361" s="99"/>
      <c r="IW361" s="99"/>
      <c r="IX361" s="99"/>
      <c r="IY361" s="99"/>
      <c r="IZ361" s="99"/>
    </row>
    <row r="362" spans="1:260" s="187" customFormat="1" ht="12.75" hidden="1" outlineLevel="1" x14ac:dyDescent="0.2">
      <c r="A362" s="187" t="s">
        <v>87</v>
      </c>
      <c r="E362" s="1568"/>
      <c r="I362" s="1568"/>
      <c r="M362" s="1568"/>
      <c r="Q362" s="1568"/>
      <c r="U362" s="1568"/>
      <c r="Y362" s="1568"/>
      <c r="AC362" s="1568"/>
      <c r="AG362" s="1568"/>
      <c r="AK362" s="1568"/>
      <c r="AO362" s="1568"/>
      <c r="AS362" s="1568"/>
      <c r="AW362" s="1568"/>
      <c r="BA362" s="1568"/>
      <c r="BB362" s="258"/>
      <c r="BC362" s="258">
        <v>0.1</v>
      </c>
      <c r="BD362" s="258"/>
      <c r="BE362" s="1940"/>
      <c r="BF362" s="258">
        <v>0.14000000000000001</v>
      </c>
      <c r="BG362" s="258">
        <v>0.18</v>
      </c>
      <c r="BH362" s="258">
        <v>0.13</v>
      </c>
      <c r="BI362" s="1940">
        <f>BI342/BI$325</f>
        <v>9.0595344673231867E-2</v>
      </c>
      <c r="BJ362" s="258">
        <v>0.15</v>
      </c>
      <c r="BK362" s="258">
        <v>0.18</v>
      </c>
      <c r="BL362" s="258">
        <v>0.08</v>
      </c>
      <c r="BM362" s="1940">
        <f>BM342/BM$325</f>
        <v>5.8029685681024477E-2</v>
      </c>
      <c r="BN362" s="258">
        <v>0.08</v>
      </c>
      <c r="BO362" s="258">
        <v>0.11</v>
      </c>
      <c r="BP362" s="258">
        <v>0.08</v>
      </c>
      <c r="BQ362" s="1940">
        <v>0.08</v>
      </c>
      <c r="BR362" s="258">
        <v>0.09</v>
      </c>
      <c r="BS362" s="258">
        <v>0.12</v>
      </c>
      <c r="BT362" s="258">
        <v>0.09</v>
      </c>
      <c r="BU362" s="1940">
        <v>0.08</v>
      </c>
      <c r="BV362" s="258">
        <v>0.1</v>
      </c>
      <c r="BW362" s="258">
        <v>0.14000000000000001</v>
      </c>
      <c r="BX362" s="258">
        <v>0.1</v>
      </c>
      <c r="BY362" s="1940">
        <v>0.09</v>
      </c>
      <c r="BZ362" s="258">
        <v>0.09</v>
      </c>
      <c r="CA362" s="258">
        <v>0.13</v>
      </c>
      <c r="CB362" s="258">
        <v>0.1</v>
      </c>
      <c r="CC362" s="1940">
        <v>0.08</v>
      </c>
      <c r="CD362" s="258">
        <v>0.1</v>
      </c>
      <c r="CE362" s="258">
        <v>0.14000000000000001</v>
      </c>
      <c r="CF362" s="258">
        <v>0.1</v>
      </c>
      <c r="CG362" s="1940">
        <v>0.09</v>
      </c>
      <c r="CH362" s="258">
        <v>0.1</v>
      </c>
      <c r="CI362" s="258">
        <v>0.14000000000000001</v>
      </c>
      <c r="CJ362" s="258">
        <v>0.09</v>
      </c>
      <c r="CK362" s="1940">
        <v>0.08</v>
      </c>
      <c r="CL362" s="258">
        <v>0.16</v>
      </c>
      <c r="CM362" s="258">
        <v>0.23</v>
      </c>
      <c r="CN362" s="258">
        <v>0.17</v>
      </c>
      <c r="CO362" s="1940">
        <v>0.14000000000000001</v>
      </c>
      <c r="CP362" s="258">
        <v>0.19</v>
      </c>
      <c r="CQ362" s="258">
        <v>0.27</v>
      </c>
      <c r="CR362" s="258">
        <v>0.2</v>
      </c>
      <c r="CS362" s="1940">
        <v>0.15</v>
      </c>
      <c r="CT362" s="258">
        <v>0.2</v>
      </c>
      <c r="CU362" s="258">
        <v>0.27</v>
      </c>
      <c r="CV362" s="258">
        <v>0.19</v>
      </c>
      <c r="CW362" s="1940">
        <v>0.05</v>
      </c>
      <c r="CX362" s="1810">
        <v>0.05</v>
      </c>
      <c r="CY362" s="1810">
        <v>7.0000000000000007E-2</v>
      </c>
      <c r="CZ362" s="1810">
        <v>0.04</v>
      </c>
      <c r="DA362" s="1916">
        <v>0.04</v>
      </c>
      <c r="DB362" s="1810">
        <v>0.05</v>
      </c>
      <c r="DC362" s="1810">
        <v>7.0000000000000007E-2</v>
      </c>
      <c r="DD362" s="267">
        <v>0.05</v>
      </c>
      <c r="DE362" s="1916">
        <v>0.06</v>
      </c>
      <c r="DF362" s="267">
        <v>7.0000000000000007E-2</v>
      </c>
      <c r="DG362" s="267">
        <v>0.09</v>
      </c>
      <c r="DH362" s="267">
        <v>0.08</v>
      </c>
      <c r="DI362" s="1916">
        <v>0.08</v>
      </c>
      <c r="DJ362" s="2761">
        <v>0.05</v>
      </c>
      <c r="DK362" s="2185">
        <v>0.05</v>
      </c>
      <c r="DL362" s="2185">
        <v>0.05</v>
      </c>
      <c r="DM362" s="2611">
        <v>0.05</v>
      </c>
      <c r="DN362" s="2182"/>
      <c r="DO362" s="1916"/>
      <c r="DP362" s="1810"/>
      <c r="DQ362" s="1810"/>
      <c r="DR362" s="1810"/>
      <c r="DS362" s="1810"/>
      <c r="DT362" s="1810"/>
      <c r="DU362" s="1810"/>
      <c r="DV362" s="1810"/>
      <c r="DW362" s="1810"/>
      <c r="DX362" s="1810"/>
      <c r="DY362" s="1810"/>
      <c r="DZ362" s="1810"/>
      <c r="EA362" s="1810"/>
      <c r="EB362" s="1810"/>
      <c r="EC362" s="1810"/>
      <c r="ED362" s="1810"/>
      <c r="EE362" s="1485"/>
      <c r="EF362" s="1485"/>
      <c r="EG362" s="1485"/>
      <c r="EH362" s="1485"/>
      <c r="EI362" s="1485"/>
      <c r="EJ362" s="1810">
        <v>0.04</v>
      </c>
      <c r="EK362" s="1810">
        <v>0.1</v>
      </c>
      <c r="EL362" s="1810">
        <v>0.13</v>
      </c>
      <c r="EM362" s="1810">
        <v>0.1</v>
      </c>
      <c r="EN362" s="1810">
        <f>EN342/EN$354</f>
        <v>8.6659127625201934E-2</v>
      </c>
      <c r="EO362" s="1810">
        <f>EO342/EO$325</f>
        <v>9.3492281827907697E-2</v>
      </c>
      <c r="EP362" s="1810">
        <f>EP342/EP$354</f>
        <v>0.10607289873512464</v>
      </c>
      <c r="EQ362" s="1810">
        <f>EQ342/EQ$325</f>
        <v>9.7762502962787393E-2</v>
      </c>
      <c r="ER362" s="1810">
        <f>ER342/ER$325</f>
        <v>0.10569894123062758</v>
      </c>
      <c r="ES362" s="1810">
        <f t="shared" ref="ES362:FC362" si="1362">ES342/ES$354</f>
        <v>9.9666483989665697E-2</v>
      </c>
      <c r="ET362" s="1810">
        <f t="shared" si="1362"/>
        <v>0.17063776573572323</v>
      </c>
      <c r="EU362" s="1810">
        <f t="shared" si="1362"/>
        <v>0.19392468619246864</v>
      </c>
      <c r="EV362" s="1810">
        <f t="shared" si="1362"/>
        <v>0.15891223155929041</v>
      </c>
      <c r="EW362" s="1810">
        <f>EW342/EW$354</f>
        <v>4.8276952260512165E-2</v>
      </c>
      <c r="EX362" s="1810">
        <f>EX342/EX$354</f>
        <v>5.7708399366085579E-2</v>
      </c>
      <c r="EY362" s="1810">
        <f>EY342/EY$354</f>
        <v>8.0149039839495548E-2</v>
      </c>
      <c r="EZ362" s="1803">
        <f>EZ342/EZ$354</f>
        <v>0.05</v>
      </c>
      <c r="FA362" s="1810">
        <f t="shared" si="1362"/>
        <v>5.1990122448657299E-2</v>
      </c>
      <c r="FB362" s="1810">
        <f t="shared" si="1362"/>
        <v>5.4006860224950812E-2</v>
      </c>
      <c r="FC362" s="1810">
        <f t="shared" si="1362"/>
        <v>5.6597608995679137E-2</v>
      </c>
      <c r="FD362" s="1810">
        <f>FD342/FD$354</f>
        <v>5.9313167360351859E-2</v>
      </c>
      <c r="FE362" s="1810">
        <f>FE342/FE$354</f>
        <v>6.2159568242564099E-2</v>
      </c>
      <c r="FF362" s="1810">
        <f>FF342/FF$354</f>
        <v>6.5143136981765007E-2</v>
      </c>
      <c r="FG362" s="1810">
        <f>FG342/FG$354</f>
        <v>6.8270505539341331E-2</v>
      </c>
      <c r="FH362" s="1810">
        <f>FH342/FH$354</f>
        <v>7.1548627396215786E-2</v>
      </c>
      <c r="FI362" s="2182"/>
      <c r="FJ362"/>
      <c r="FK362"/>
      <c r="FL362"/>
      <c r="FM362"/>
      <c r="FN362"/>
      <c r="FO362"/>
      <c r="FP362" s="2157"/>
      <c r="FQ362" s="2156"/>
      <c r="FR362" s="2156"/>
      <c r="FS362" s="266"/>
      <c r="FT362" s="266"/>
      <c r="FU362" s="99"/>
      <c r="FV362" s="99"/>
      <c r="FW362" s="267"/>
      <c r="FX362" s="267"/>
      <c r="FY362" s="267"/>
      <c r="FZ362" s="99"/>
      <c r="GA362" s="99"/>
      <c r="GB362" s="99"/>
      <c r="GC362" s="99"/>
      <c r="GD362" s="99"/>
      <c r="GE362" s="99"/>
      <c r="GF362" s="99"/>
      <c r="GG362" s="99"/>
      <c r="GH362" s="99"/>
      <c r="GI362" s="99"/>
      <c r="GJ362" s="99"/>
      <c r="GK362" s="99"/>
      <c r="GL362" s="99"/>
      <c r="GM362" s="99"/>
      <c r="GN362" s="99"/>
      <c r="GO362" s="99"/>
      <c r="GP362" s="99"/>
      <c r="GQ362" s="99"/>
      <c r="GR362" s="99"/>
      <c r="GS362" s="99"/>
      <c r="GT362" s="99"/>
      <c r="GU362" s="99"/>
      <c r="GV362" s="99"/>
      <c r="GW362" s="99"/>
      <c r="GX362" s="99"/>
      <c r="GY362" s="99"/>
      <c r="GZ362" s="99"/>
      <c r="HA362" s="99"/>
      <c r="HB362" s="99"/>
      <c r="HC362" s="99"/>
      <c r="HD362" s="99"/>
      <c r="HE362" s="99"/>
      <c r="HF362" s="99"/>
      <c r="HG362" s="99"/>
      <c r="HH362" s="99"/>
      <c r="HI362" s="99"/>
      <c r="HJ362" s="99"/>
      <c r="HK362" s="99"/>
      <c r="HL362" s="99"/>
      <c r="HM362" s="99"/>
      <c r="HN362" s="99"/>
      <c r="HO362" s="99"/>
      <c r="HP362" s="99"/>
      <c r="HQ362" s="99"/>
      <c r="HR362" s="99"/>
      <c r="HS362" s="99"/>
      <c r="HT362" s="99"/>
      <c r="HU362" s="99"/>
      <c r="HV362" s="99"/>
      <c r="HW362" s="99"/>
      <c r="HX362" s="99"/>
      <c r="HY362" s="99"/>
      <c r="HZ362" s="99"/>
      <c r="IA362" s="99"/>
      <c r="IB362" s="99"/>
      <c r="IC362" s="99"/>
      <c r="ID362" s="99"/>
      <c r="IE362" s="99"/>
      <c r="IF362" s="99"/>
      <c r="IG362" s="99"/>
      <c r="IH362" s="99"/>
      <c r="II362" s="99"/>
      <c r="IJ362" s="99"/>
      <c r="IK362" s="99"/>
      <c r="IL362" s="99"/>
      <c r="IM362" s="99"/>
      <c r="IN362" s="99"/>
      <c r="IO362" s="99"/>
      <c r="IP362" s="99"/>
      <c r="IQ362" s="99"/>
      <c r="IR362" s="99"/>
      <c r="IS362" s="99"/>
      <c r="IT362" s="99"/>
      <c r="IU362" s="99"/>
      <c r="IV362" s="99"/>
      <c r="IW362" s="99"/>
      <c r="IX362" s="99"/>
      <c r="IY362" s="99"/>
      <c r="IZ362" s="99"/>
    </row>
    <row r="363" spans="1:260" s="187" customFormat="1" ht="12.75" hidden="1" outlineLevel="1" x14ac:dyDescent="0.2">
      <c r="A363" s="187" t="s">
        <v>376</v>
      </c>
      <c r="E363" s="1568"/>
      <c r="I363" s="1568"/>
      <c r="M363" s="1568"/>
      <c r="Q363" s="1568"/>
      <c r="U363" s="1568"/>
      <c r="Y363" s="1568"/>
      <c r="AC363" s="1568"/>
      <c r="AG363" s="1568"/>
      <c r="AK363" s="1568"/>
      <c r="AO363" s="1568"/>
      <c r="AS363" s="1568"/>
      <c r="AW363" s="1568"/>
      <c r="BA363" s="1568"/>
      <c r="BB363" s="258"/>
      <c r="BC363" s="258">
        <v>0.06</v>
      </c>
      <c r="BD363" s="258"/>
      <c r="BE363" s="1940"/>
      <c r="BF363" s="258">
        <v>0.05</v>
      </c>
      <c r="BG363" s="258">
        <v>0.05</v>
      </c>
      <c r="BH363" s="258">
        <v>0.05</v>
      </c>
      <c r="BI363" s="1940">
        <f>BI346/BI$325</f>
        <v>4.9999999999999996E-2</v>
      </c>
      <c r="BJ363" s="258">
        <v>0.05</v>
      </c>
      <c r="BK363" s="258">
        <v>0.05</v>
      </c>
      <c r="BL363" s="258">
        <v>0.14000000000000001</v>
      </c>
      <c r="BM363" s="1940">
        <f>BM346/BM$325</f>
        <v>0.10817520372526192</v>
      </c>
      <c r="BN363" s="258">
        <v>0.15</v>
      </c>
      <c r="BO363" s="258">
        <v>0.13</v>
      </c>
      <c r="BP363" s="258">
        <v>0.12</v>
      </c>
      <c r="BQ363" s="1940">
        <v>0.1</v>
      </c>
      <c r="BR363" s="258">
        <v>0.11</v>
      </c>
      <c r="BS363" s="258">
        <v>0.1</v>
      </c>
      <c r="BT363" s="258">
        <v>0.09</v>
      </c>
      <c r="BU363" s="1940">
        <v>0.08</v>
      </c>
      <c r="BV363" s="258">
        <v>0.09</v>
      </c>
      <c r="BW363" s="258">
        <v>0.09</v>
      </c>
      <c r="BX363" s="258">
        <v>0.1</v>
      </c>
      <c r="BY363" s="1940">
        <v>7.0000000000000007E-2</v>
      </c>
      <c r="BZ363" s="258">
        <v>0.11</v>
      </c>
      <c r="CA363" s="258">
        <v>0.1</v>
      </c>
      <c r="CB363" s="258">
        <v>0.1</v>
      </c>
      <c r="CC363" s="1940">
        <v>0.08</v>
      </c>
      <c r="CD363" s="258">
        <v>0.09</v>
      </c>
      <c r="CE363" s="258">
        <v>0.09</v>
      </c>
      <c r="CF363" s="258">
        <v>0.1</v>
      </c>
      <c r="CG363" s="1940">
        <v>7.0000000000000007E-2</v>
      </c>
      <c r="CH363" s="258">
        <v>6.7000000000000004E-2</v>
      </c>
      <c r="CI363" s="258">
        <v>0.09</v>
      </c>
      <c r="CJ363" s="258">
        <v>7.0000000000000007E-2</v>
      </c>
      <c r="CK363" s="1940">
        <v>0.06</v>
      </c>
      <c r="CL363" s="258">
        <v>0.05</v>
      </c>
      <c r="CM363" s="258">
        <v>0.05</v>
      </c>
      <c r="CN363" s="258">
        <v>0.05</v>
      </c>
      <c r="CO363" s="1940">
        <v>0.04</v>
      </c>
      <c r="CP363" s="258">
        <v>0.05</v>
      </c>
      <c r="CQ363" s="258">
        <v>0.05</v>
      </c>
      <c r="CR363" s="258">
        <v>0.05</v>
      </c>
      <c r="CS363" s="1940">
        <v>0.04</v>
      </c>
      <c r="CT363" s="258">
        <v>0.05</v>
      </c>
      <c r="CU363" s="258">
        <v>0.04</v>
      </c>
      <c r="CV363" s="258">
        <v>0.05</v>
      </c>
      <c r="CW363" s="1940">
        <v>0.05</v>
      </c>
      <c r="CX363" s="1810">
        <v>7.0000000000000007E-2</v>
      </c>
      <c r="CY363" s="1810">
        <v>0.06</v>
      </c>
      <c r="CZ363" s="1810">
        <v>0.05</v>
      </c>
      <c r="DA363" s="1916">
        <v>0.04</v>
      </c>
      <c r="DB363" s="1810">
        <v>0.08</v>
      </c>
      <c r="DC363" s="1810">
        <v>0.08</v>
      </c>
      <c r="DD363" s="267">
        <v>0.06</v>
      </c>
      <c r="DE363" s="1916">
        <v>0.05</v>
      </c>
      <c r="DF363" s="267">
        <v>7.0000000000000007E-2</v>
      </c>
      <c r="DG363" s="267">
        <v>0.06</v>
      </c>
      <c r="DH363" s="267">
        <v>0.05</v>
      </c>
      <c r="DI363" s="1916">
        <v>0.04</v>
      </c>
      <c r="DJ363" s="2761">
        <v>4.4999999999999998E-2</v>
      </c>
      <c r="DK363" s="2185">
        <v>4.4999999999999998E-2</v>
      </c>
      <c r="DL363" s="2185">
        <v>4.4999999999999998E-2</v>
      </c>
      <c r="DM363" s="2611">
        <v>4.4999999999999998E-2</v>
      </c>
      <c r="DN363" s="2182"/>
      <c r="DO363" s="1916"/>
      <c r="DP363" s="1810"/>
      <c r="DQ363" s="1810"/>
      <c r="DR363" s="1810"/>
      <c r="DS363" s="1810"/>
      <c r="DT363" s="1810"/>
      <c r="DU363" s="1810"/>
      <c r="DV363" s="1810"/>
      <c r="DW363" s="1810"/>
      <c r="DX363" s="1810"/>
      <c r="DY363" s="1810"/>
      <c r="DZ363" s="1810"/>
      <c r="EA363" s="1810"/>
      <c r="EB363" s="1810"/>
      <c r="EC363" s="1810"/>
      <c r="ED363" s="1810"/>
      <c r="EE363" s="1485"/>
      <c r="EF363" s="1485"/>
      <c r="EG363" s="1485"/>
      <c r="EH363" s="1485"/>
      <c r="EI363" s="1485"/>
      <c r="EJ363" s="1810">
        <v>0.05</v>
      </c>
      <c r="EK363" s="1810">
        <v>0.05</v>
      </c>
      <c r="EL363" s="1810">
        <v>0.05</v>
      </c>
      <c r="EM363" s="1810">
        <v>0.1</v>
      </c>
      <c r="EN363" s="1810">
        <f>EN346/EN$354</f>
        <v>0.12203554119547659</v>
      </c>
      <c r="EO363" s="1810">
        <f>EO346/EO$325</f>
        <v>9.34326761424423E-2</v>
      </c>
      <c r="EP363" s="1810">
        <f>EP346/EP$354</f>
        <v>8.6373025971109962E-2</v>
      </c>
      <c r="EQ363" s="1810">
        <f>EQ346/EQ$325</f>
        <v>9.576439914671725E-2</v>
      </c>
      <c r="ER363" s="1810">
        <f>ER346/ER$325</f>
        <v>8.6097897805738843E-2</v>
      </c>
      <c r="ES363" s="1810">
        <f t="shared" ref="ES363:FC363" si="1363">ES346/ES$354</f>
        <v>7.0384091442887334E-2</v>
      </c>
      <c r="ET363" s="1810">
        <f t="shared" si="1363"/>
        <v>4.6662498263165215E-2</v>
      </c>
      <c r="EU363" s="1810">
        <f t="shared" si="1363"/>
        <v>4.6387029288702933E-2</v>
      </c>
      <c r="EV363" s="1810">
        <f t="shared" si="1363"/>
        <v>4.7959850606909438E-2</v>
      </c>
      <c r="EW363" s="1810">
        <f>EW346/EW$354</f>
        <v>5.2750553272209934E-2</v>
      </c>
      <c r="EX363" s="1810">
        <f>EX346/EX$354</f>
        <v>6.4348652931854211E-2</v>
      </c>
      <c r="EY363" s="1810">
        <f>EY346/EY$354</f>
        <v>5.1501862997993697E-2</v>
      </c>
      <c r="EZ363" s="1803">
        <f>EZ346/EZ$354</f>
        <v>4.5000000000000005E-2</v>
      </c>
      <c r="FA363" s="1810">
        <f t="shared" si="1363"/>
        <v>4.5899850961814592E-2</v>
      </c>
      <c r="FB363" s="1810">
        <f t="shared" si="1363"/>
        <v>4.677214531644925E-2</v>
      </c>
      <c r="FC363" s="1810">
        <f t="shared" si="1363"/>
        <v>4.8082204458714473E-2</v>
      </c>
      <c r="FD363" s="1810">
        <f>FD346/FD$354</f>
        <v>4.9429398797227429E-2</v>
      </c>
      <c r="FE363" s="1810">
        <f>FE346/FE$354</f>
        <v>5.081478902893543E-2</v>
      </c>
      <c r="FF363" s="1810">
        <f>FF346/FF$354</f>
        <v>5.2239466320412861E-2</v>
      </c>
      <c r="FG363" s="1810">
        <f>FG346/FG$354</f>
        <v>5.3704553186977977E-2</v>
      </c>
      <c r="FH363" s="1810">
        <f>FH346/FH$354</f>
        <v>5.5211204397264353E-2</v>
      </c>
      <c r="FI363" s="2182"/>
      <c r="FJ363"/>
      <c r="FK363"/>
      <c r="FL363"/>
      <c r="FM363"/>
      <c r="FN363"/>
      <c r="FO363"/>
      <c r="FP363" s="265"/>
      <c r="FS363" s="266"/>
      <c r="FT363" s="266"/>
      <c r="FU363" s="99"/>
      <c r="FV363" s="99"/>
      <c r="FW363" s="267"/>
      <c r="FX363" s="267"/>
      <c r="FY363" s="267"/>
      <c r="FZ363" s="99"/>
      <c r="GA363" s="99"/>
      <c r="GB363" s="99"/>
      <c r="GC363" s="99"/>
      <c r="GD363" s="99"/>
      <c r="GE363" s="99"/>
      <c r="GF363" s="99"/>
      <c r="GG363" s="99"/>
      <c r="GH363" s="99"/>
      <c r="GI363" s="99"/>
      <c r="GJ363" s="99"/>
      <c r="GK363" s="99"/>
      <c r="GL363" s="99"/>
      <c r="GM363" s="99"/>
      <c r="GN363" s="99"/>
      <c r="GO363" s="99"/>
      <c r="GP363" s="99"/>
      <c r="GQ363" s="99"/>
      <c r="GR363" s="99"/>
      <c r="GS363" s="99"/>
      <c r="GT363" s="99"/>
      <c r="GU363" s="99"/>
      <c r="GV363" s="99"/>
      <c r="GW363" s="99"/>
      <c r="GX363" s="99"/>
      <c r="GY363" s="99"/>
      <c r="GZ363" s="99"/>
      <c r="HA363" s="99"/>
      <c r="HB363" s="99"/>
      <c r="HC363" s="99"/>
      <c r="HD363" s="99"/>
      <c r="HE363" s="99"/>
      <c r="HF363" s="99"/>
      <c r="HG363" s="99"/>
      <c r="HH363" s="99"/>
      <c r="HI363" s="99"/>
      <c r="HJ363" s="99"/>
      <c r="HK363" s="99"/>
      <c r="HL363" s="99"/>
      <c r="HM363" s="99"/>
      <c r="HN363" s="99"/>
      <c r="HO363" s="99"/>
      <c r="HP363" s="99"/>
      <c r="HQ363" s="99"/>
      <c r="HR363" s="99"/>
      <c r="HS363" s="99"/>
      <c r="HT363" s="99"/>
      <c r="HU363" s="99"/>
      <c r="HV363" s="99"/>
      <c r="HW363" s="99"/>
      <c r="HX363" s="99"/>
      <c r="HY363" s="99"/>
      <c r="HZ363" s="99"/>
      <c r="IA363" s="99"/>
      <c r="IB363" s="99"/>
      <c r="IC363" s="99"/>
      <c r="ID363" s="99"/>
      <c r="IE363" s="99"/>
      <c r="IF363" s="99"/>
      <c r="IG363" s="99"/>
      <c r="IH363" s="99"/>
      <c r="II363" s="99"/>
      <c r="IJ363" s="99"/>
      <c r="IK363" s="99"/>
      <c r="IL363" s="99"/>
      <c r="IM363" s="99"/>
      <c r="IN363" s="99"/>
      <c r="IO363" s="99"/>
      <c r="IP363" s="99"/>
      <c r="IQ363" s="99"/>
      <c r="IR363" s="99"/>
      <c r="IS363" s="99"/>
      <c r="IT363" s="99"/>
      <c r="IU363" s="99"/>
      <c r="IV363" s="99"/>
      <c r="IW363" s="99"/>
      <c r="IX363" s="99"/>
      <c r="IY363" s="99"/>
      <c r="IZ363" s="99"/>
    </row>
    <row r="364" spans="1:260" s="187" customFormat="1" ht="12.75" hidden="1" outlineLevel="1" x14ac:dyDescent="0.2">
      <c r="A364" s="187" t="s">
        <v>479</v>
      </c>
      <c r="E364" s="1568"/>
      <c r="I364" s="1568"/>
      <c r="M364" s="1568"/>
      <c r="Q364" s="1568"/>
      <c r="U364" s="1568"/>
      <c r="Y364" s="1568"/>
      <c r="AC364" s="1568"/>
      <c r="AG364" s="1568"/>
      <c r="AK364" s="1568"/>
      <c r="AO364" s="1568"/>
      <c r="AS364" s="1568"/>
      <c r="AW364" s="1568"/>
      <c r="BA364" s="1568"/>
      <c r="BB364" s="258"/>
      <c r="BC364" s="1810" t="s">
        <v>384</v>
      </c>
      <c r="BD364" s="258"/>
      <c r="BE364" s="1940"/>
      <c r="BF364" s="1810" t="s">
        <v>384</v>
      </c>
      <c r="BG364" s="1810" t="s">
        <v>384</v>
      </c>
      <c r="BH364" s="1810" t="s">
        <v>384</v>
      </c>
      <c r="BI364" s="99" t="s">
        <v>384</v>
      </c>
      <c r="BJ364" s="1810" t="s">
        <v>384</v>
      </c>
      <c r="BK364" s="1810" t="s">
        <v>384</v>
      </c>
      <c r="BL364" s="1810" t="s">
        <v>384</v>
      </c>
      <c r="BM364" s="99" t="s">
        <v>384</v>
      </c>
      <c r="BN364" s="1810" t="s">
        <v>384</v>
      </c>
      <c r="BO364" s="1810" t="s">
        <v>384</v>
      </c>
      <c r="BP364" s="1810" t="s">
        <v>384</v>
      </c>
      <c r="BQ364" s="99" t="s">
        <v>384</v>
      </c>
      <c r="BR364" s="1810" t="s">
        <v>384</v>
      </c>
      <c r="BS364" s="1810" t="s">
        <v>384</v>
      </c>
      <c r="BT364" s="1810" t="s">
        <v>384</v>
      </c>
      <c r="BU364" s="99" t="s">
        <v>384</v>
      </c>
      <c r="BV364" s="1810" t="s">
        <v>384</v>
      </c>
      <c r="BW364" s="1810" t="s">
        <v>384</v>
      </c>
      <c r="BX364" s="1810" t="s">
        <v>384</v>
      </c>
      <c r="BY364" s="99" t="s">
        <v>384</v>
      </c>
      <c r="BZ364" s="1810" t="s">
        <v>384</v>
      </c>
      <c r="CA364" s="1810" t="s">
        <v>384</v>
      </c>
      <c r="CB364" s="1810" t="s">
        <v>384</v>
      </c>
      <c r="CC364" s="99" t="s">
        <v>384</v>
      </c>
      <c r="CD364" s="1810" t="s">
        <v>384</v>
      </c>
      <c r="CE364" s="1810" t="s">
        <v>384</v>
      </c>
      <c r="CF364" s="1810" t="s">
        <v>384</v>
      </c>
      <c r="CG364" s="99" t="s">
        <v>384</v>
      </c>
      <c r="CH364" s="1810" t="s">
        <v>384</v>
      </c>
      <c r="CI364" s="1810" t="s">
        <v>384</v>
      </c>
      <c r="CJ364" s="1810" t="s">
        <v>384</v>
      </c>
      <c r="CK364" s="99" t="s">
        <v>384</v>
      </c>
      <c r="CL364" s="1810" t="s">
        <v>384</v>
      </c>
      <c r="CM364" s="1810" t="s">
        <v>384</v>
      </c>
      <c r="CN364" s="1810" t="s">
        <v>384</v>
      </c>
      <c r="CO364" s="99" t="s">
        <v>384</v>
      </c>
      <c r="CP364" s="1810" t="s">
        <v>384</v>
      </c>
      <c r="CQ364" s="1810" t="s">
        <v>384</v>
      </c>
      <c r="CR364" s="1810" t="s">
        <v>384</v>
      </c>
      <c r="CS364" s="1486" t="s">
        <v>384</v>
      </c>
      <c r="CT364" s="258">
        <v>0.01</v>
      </c>
      <c r="CU364" s="258">
        <v>0.01</v>
      </c>
      <c r="CV364" s="258">
        <v>0.01</v>
      </c>
      <c r="CW364" s="1940">
        <v>0.01</v>
      </c>
      <c r="CX364" s="1810">
        <v>0.01</v>
      </c>
      <c r="CY364" s="1810">
        <v>0.01</v>
      </c>
      <c r="CZ364" s="1810">
        <v>0.01</v>
      </c>
      <c r="DA364" s="1916">
        <v>0.01</v>
      </c>
      <c r="DB364" s="1810">
        <v>0.02</v>
      </c>
      <c r="DC364" s="1810">
        <v>0.02</v>
      </c>
      <c r="DD364" s="267">
        <v>0.01</v>
      </c>
      <c r="DE364" s="1916">
        <v>0.02</v>
      </c>
      <c r="DF364" s="267">
        <v>0.02</v>
      </c>
      <c r="DG364" s="267">
        <v>0.02</v>
      </c>
      <c r="DH364" s="267">
        <v>0.02</v>
      </c>
      <c r="DI364" s="1916">
        <v>0.02</v>
      </c>
      <c r="DJ364" s="2761">
        <v>1.4999999999999999E-2</v>
      </c>
      <c r="DK364" s="2185">
        <v>1.4999999999999999E-2</v>
      </c>
      <c r="DL364" s="2185">
        <v>1.4999999999999999E-2</v>
      </c>
      <c r="DM364" s="2611">
        <v>1.4999999999999999E-2</v>
      </c>
      <c r="DN364" s="2182"/>
      <c r="DO364" s="1916"/>
      <c r="DP364" s="1810"/>
      <c r="DQ364" s="1810"/>
      <c r="DR364" s="1810"/>
      <c r="DS364" s="1810"/>
      <c r="DT364" s="1810"/>
      <c r="DU364" s="1810"/>
      <c r="DV364" s="1810"/>
      <c r="DW364" s="1810"/>
      <c r="DX364" s="1810"/>
      <c r="DY364" s="1810"/>
      <c r="DZ364" s="1810"/>
      <c r="EA364" s="1810"/>
      <c r="EB364" s="1810"/>
      <c r="EC364" s="1810"/>
      <c r="ED364" s="1810"/>
      <c r="EE364" s="1485"/>
      <c r="EF364" s="1485"/>
      <c r="EG364" s="1485"/>
      <c r="EH364" s="1485"/>
      <c r="EI364" s="1485"/>
      <c r="EJ364" s="1810" t="s">
        <v>384</v>
      </c>
      <c r="EK364" s="1810" t="s">
        <v>384</v>
      </c>
      <c r="EL364" s="1810" t="s">
        <v>384</v>
      </c>
      <c r="EM364" s="1810" t="s">
        <v>384</v>
      </c>
      <c r="EN364" s="1810">
        <f>EN350/EN$354</f>
        <v>0</v>
      </c>
      <c r="EO364" s="1810">
        <f>EO350/EO$325</f>
        <v>0</v>
      </c>
      <c r="EP364" s="1810">
        <f>EP350/EP$354</f>
        <v>0</v>
      </c>
      <c r="EQ364" s="1810">
        <f>EQ350/EQ$325</f>
        <v>0</v>
      </c>
      <c r="ER364" s="1810">
        <f>ER350/ER$325</f>
        <v>0</v>
      </c>
      <c r="ES364" s="1810">
        <f t="shared" ref="ES364:FC364" si="1364">ES350/ES$354</f>
        <v>2.1827291943942118E-4</v>
      </c>
      <c r="ET364" s="1810">
        <f t="shared" si="1364"/>
        <v>0</v>
      </c>
      <c r="EU364" s="1810">
        <f t="shared" si="1364"/>
        <v>0</v>
      </c>
      <c r="EV364" s="1810">
        <f t="shared" si="1364"/>
        <v>1.0000000000000021E-2</v>
      </c>
      <c r="EW364" s="1810">
        <f>EW350/EW$354</f>
        <v>1.000000000000003E-2</v>
      </c>
      <c r="EX364" s="1810">
        <f>EX350/EX$354</f>
        <v>1.7613312202852616E-2</v>
      </c>
      <c r="EY364" s="1810">
        <f>EY350/EY$354</f>
        <v>0.02</v>
      </c>
      <c r="EZ364" s="1803">
        <f>EZ350/EZ$354</f>
        <v>1.5000000000000001E-2</v>
      </c>
      <c r="FA364" s="1810">
        <f t="shared" si="1364"/>
        <v>-3.8598171040286886E-2</v>
      </c>
      <c r="FB364" s="1810">
        <f t="shared" si="1364"/>
        <v>-0.11047852887119065</v>
      </c>
      <c r="FC364" s="1810">
        <f t="shared" si="1364"/>
        <v>-0.22772479721814143</v>
      </c>
      <c r="FD364" s="1810">
        <f>FD350/FD$354</f>
        <v>-0.39876180226366131</v>
      </c>
      <c r="FE364" s="1810">
        <f>FE350/FE$354</f>
        <v>-0.64959686382040116</v>
      </c>
      <c r="FF364" s="1810">
        <f>FF350/FF$354</f>
        <v>-1.0188524246392123</v>
      </c>
      <c r="FG364" s="1810">
        <f>FG350/FG$354</f>
        <v>-1.5638870427425589</v>
      </c>
      <c r="FH364" s="1810">
        <f>FH350/FH$354</f>
        <v>-2.3698866396287568</v>
      </c>
      <c r="FI364" s="2182"/>
      <c r="FJ364"/>
      <c r="FK364"/>
      <c r="FL364"/>
      <c r="FM364"/>
      <c r="FN364"/>
      <c r="FO364"/>
      <c r="FP364" s="265"/>
      <c r="FS364" s="266"/>
      <c r="FT364" s="266"/>
      <c r="FU364" s="99"/>
      <c r="FV364" s="99"/>
      <c r="FW364" s="267"/>
      <c r="FX364" s="267"/>
      <c r="FY364" s="267"/>
      <c r="FZ364" s="99"/>
      <c r="GA364" s="99"/>
      <c r="GB364" s="99"/>
      <c r="GC364" s="99"/>
      <c r="GD364" s="99"/>
      <c r="GE364" s="99"/>
      <c r="GF364" s="99"/>
      <c r="GG364" s="99"/>
      <c r="GH364" s="99"/>
      <c r="GI364" s="99"/>
      <c r="GJ364" s="99"/>
      <c r="GK364" s="99"/>
      <c r="GL364" s="99"/>
      <c r="GM364" s="99"/>
      <c r="GN364" s="99"/>
      <c r="GO364" s="99"/>
      <c r="GP364" s="99"/>
      <c r="GQ364" s="99"/>
      <c r="GR364" s="99"/>
      <c r="GS364" s="99"/>
      <c r="GT364" s="99"/>
      <c r="GU364" s="99"/>
      <c r="GV364" s="99"/>
      <c r="GW364" s="99"/>
      <c r="GX364" s="99"/>
      <c r="GY364" s="99"/>
      <c r="GZ364" s="99"/>
      <c r="HA364" s="99"/>
      <c r="HB364" s="99"/>
      <c r="HC364" s="99"/>
      <c r="HD364" s="99"/>
      <c r="HE364" s="99"/>
      <c r="HF364" s="99"/>
      <c r="HG364" s="99"/>
      <c r="HH364" s="99"/>
      <c r="HI364" s="99"/>
      <c r="HJ364" s="99"/>
      <c r="HK364" s="99"/>
      <c r="HL364" s="99"/>
      <c r="HM364" s="99"/>
      <c r="HN364" s="99"/>
      <c r="HO364" s="99"/>
      <c r="HP364" s="99"/>
      <c r="HQ364" s="99"/>
      <c r="HR364" s="99"/>
      <c r="HS364" s="99"/>
      <c r="HT364" s="99"/>
      <c r="HU364" s="99"/>
      <c r="HV364" s="99"/>
      <c r="HW364" s="99"/>
      <c r="HX364" s="99"/>
      <c r="HY364" s="99"/>
      <c r="HZ364" s="99"/>
      <c r="IA364" s="99"/>
      <c r="IB364" s="99"/>
      <c r="IC364" s="99"/>
      <c r="ID364" s="99"/>
      <c r="IE364" s="99"/>
      <c r="IF364" s="99"/>
      <c r="IG364" s="99"/>
      <c r="IH364" s="99"/>
      <c r="II364" s="99"/>
      <c r="IJ364" s="99"/>
      <c r="IK364" s="99"/>
      <c r="IL364" s="99"/>
      <c r="IM364" s="99"/>
      <c r="IN364" s="99"/>
      <c r="IO364" s="99"/>
      <c r="IP364" s="99"/>
      <c r="IQ364" s="99"/>
      <c r="IR364" s="99"/>
      <c r="IS364" s="99"/>
      <c r="IT364" s="99"/>
      <c r="IU364" s="99"/>
      <c r="IV364" s="99"/>
      <c r="IW364" s="99"/>
      <c r="IX364" s="99"/>
      <c r="IY364" s="99"/>
      <c r="IZ364" s="99"/>
    </row>
    <row r="365" spans="1:260" s="187" customFormat="1" ht="12.75" hidden="1" outlineLevel="1" x14ac:dyDescent="0.2">
      <c r="A365" s="195" t="s">
        <v>457</v>
      </c>
      <c r="B365" s="195"/>
      <c r="C365" s="195"/>
      <c r="D365" s="195"/>
      <c r="E365" s="2130"/>
      <c r="F365" s="195"/>
      <c r="G365" s="195"/>
      <c r="H365" s="195"/>
      <c r="I365" s="2130"/>
      <c r="J365" s="195"/>
      <c r="K365" s="195"/>
      <c r="L365" s="195"/>
      <c r="M365" s="2130"/>
      <c r="N365" s="195"/>
      <c r="O365" s="195"/>
      <c r="P365" s="195"/>
      <c r="Q365" s="2130"/>
      <c r="R365" s="195"/>
      <c r="S365" s="195"/>
      <c r="T365" s="195"/>
      <c r="U365" s="2130"/>
      <c r="V365" s="195"/>
      <c r="W365" s="195"/>
      <c r="X365" s="195"/>
      <c r="Y365" s="2130"/>
      <c r="Z365" s="195"/>
      <c r="AA365" s="195"/>
      <c r="AB365" s="195"/>
      <c r="AC365" s="2130"/>
      <c r="AD365" s="195"/>
      <c r="AE365" s="195"/>
      <c r="AF365" s="195"/>
      <c r="AG365" s="2130"/>
      <c r="AK365" s="1568"/>
      <c r="AO365" s="1568"/>
      <c r="AS365" s="1568"/>
      <c r="AW365" s="1568"/>
      <c r="BA365" s="1568"/>
      <c r="BB365" s="2131"/>
      <c r="BC365" s="258">
        <v>1</v>
      </c>
      <c r="BD365" s="2131"/>
      <c r="BE365" s="2132"/>
      <c r="BF365" s="2131">
        <v>1</v>
      </c>
      <c r="BG365" s="2131">
        <v>1</v>
      </c>
      <c r="BH365" s="2131">
        <v>1</v>
      </c>
      <c r="BI365" s="2132">
        <v>1</v>
      </c>
      <c r="BJ365" s="2131">
        <f t="shared" ref="BJ365:BU365" si="1365">SUM(BJ359:BJ364)</f>
        <v>1</v>
      </c>
      <c r="BK365" s="2131">
        <f t="shared" si="1365"/>
        <v>1</v>
      </c>
      <c r="BL365" s="2131">
        <f t="shared" si="1365"/>
        <v>1</v>
      </c>
      <c r="BM365" s="2132">
        <f t="shared" si="1365"/>
        <v>1.0000000000000002</v>
      </c>
      <c r="BN365" s="2131">
        <f t="shared" si="1365"/>
        <v>1</v>
      </c>
      <c r="BO365" s="2131">
        <f t="shared" si="1365"/>
        <v>1</v>
      </c>
      <c r="BP365" s="2131">
        <f t="shared" si="1365"/>
        <v>1</v>
      </c>
      <c r="BQ365" s="2132">
        <f t="shared" si="1365"/>
        <v>0.99999999999999989</v>
      </c>
      <c r="BR365" s="2131">
        <f t="shared" si="1365"/>
        <v>1</v>
      </c>
      <c r="BS365" s="2131">
        <f t="shared" si="1365"/>
        <v>1</v>
      </c>
      <c r="BT365" s="2131">
        <f t="shared" si="1365"/>
        <v>1</v>
      </c>
      <c r="BU365" s="2132">
        <f t="shared" si="1365"/>
        <v>1</v>
      </c>
      <c r="BV365" s="195">
        <f>BV354/BV325</f>
        <v>1</v>
      </c>
      <c r="BW365" s="195">
        <f>BW354/BW325</f>
        <v>1</v>
      </c>
      <c r="BX365" s="195">
        <f>BX354/BX325</f>
        <v>1</v>
      </c>
      <c r="BY365" s="2130">
        <f>BY354/BY325</f>
        <v>1</v>
      </c>
      <c r="BZ365" s="2131">
        <f t="shared" ref="BZ365:CJ365" si="1366">SUM(BZ359:BZ364)</f>
        <v>1</v>
      </c>
      <c r="CA365" s="2131">
        <f t="shared" si="1366"/>
        <v>1</v>
      </c>
      <c r="CB365" s="2131">
        <f t="shared" si="1366"/>
        <v>1</v>
      </c>
      <c r="CC365" s="2132">
        <f t="shared" si="1366"/>
        <v>0.99999999999999989</v>
      </c>
      <c r="CD365" s="2131">
        <f t="shared" si="1366"/>
        <v>1</v>
      </c>
      <c r="CE365" s="2131">
        <f t="shared" si="1366"/>
        <v>1</v>
      </c>
      <c r="CF365" s="2131">
        <f t="shared" si="1366"/>
        <v>1</v>
      </c>
      <c r="CG365" s="2132">
        <f t="shared" si="1366"/>
        <v>1</v>
      </c>
      <c r="CH365" s="2131">
        <f t="shared" si="1366"/>
        <v>0.99900000000000011</v>
      </c>
      <c r="CI365" s="2131">
        <f t="shared" si="1366"/>
        <v>1</v>
      </c>
      <c r="CJ365" s="2131">
        <f t="shared" si="1366"/>
        <v>1</v>
      </c>
      <c r="CK365" s="2130">
        <f>CK354/CK325</f>
        <v>1</v>
      </c>
      <c r="CL365" s="2131">
        <f>SUM(CL359:CL364)</f>
        <v>1</v>
      </c>
      <c r="CM365" s="2131">
        <f>SUM(CM359:CM364)</f>
        <v>1</v>
      </c>
      <c r="CN365" s="2131">
        <f>SUM(CN359:CN364)</f>
        <v>1</v>
      </c>
      <c r="CO365" s="2130">
        <f>CO354/CO325</f>
        <v>1</v>
      </c>
      <c r="CP365" s="2131">
        <f>SUM(CP359:CP364)</f>
        <v>1</v>
      </c>
      <c r="CQ365" s="2131">
        <f>CQ354/CQ325</f>
        <v>1</v>
      </c>
      <c r="CR365" s="2131">
        <f>SUM(CR359:CR364)</f>
        <v>1</v>
      </c>
      <c r="CS365" s="2132">
        <f>CS354/CS325</f>
        <v>1</v>
      </c>
      <c r="CT365" s="2131">
        <f t="shared" ref="CT365:DA365" si="1367">SUM(CT359:CT364)</f>
        <v>1</v>
      </c>
      <c r="CU365" s="2131">
        <f t="shared" si="1367"/>
        <v>1</v>
      </c>
      <c r="CV365" s="2131">
        <f t="shared" si="1367"/>
        <v>1</v>
      </c>
      <c r="CW365" s="2132">
        <f t="shared" si="1367"/>
        <v>1</v>
      </c>
      <c r="CX365" s="2184">
        <f t="shared" si="1367"/>
        <v>1</v>
      </c>
      <c r="CY365" s="2184">
        <f t="shared" si="1367"/>
        <v>1.0000000000000002</v>
      </c>
      <c r="CZ365" s="2184">
        <f t="shared" si="1367"/>
        <v>1</v>
      </c>
      <c r="DA365" s="2186">
        <f t="shared" si="1367"/>
        <v>1</v>
      </c>
      <c r="DB365" s="2184">
        <f t="shared" ref="DB365:DI365" si="1368">SUM(DB359:DB364)</f>
        <v>1</v>
      </c>
      <c r="DC365" s="2184">
        <f t="shared" si="1368"/>
        <v>1</v>
      </c>
      <c r="DD365" s="2187">
        <f t="shared" si="1368"/>
        <v>1.0000000000000002</v>
      </c>
      <c r="DE365" s="2186">
        <f t="shared" si="1368"/>
        <v>1</v>
      </c>
      <c r="DF365" s="2187">
        <f t="shared" si="1368"/>
        <v>1.0000000000000002</v>
      </c>
      <c r="DG365" s="2187">
        <f t="shared" ref="DG365" si="1369">SUM(DG359:DG364)</f>
        <v>1</v>
      </c>
      <c r="DH365" s="2187">
        <f t="shared" si="1368"/>
        <v>1</v>
      </c>
      <c r="DI365" s="2186">
        <f t="shared" si="1368"/>
        <v>1</v>
      </c>
      <c r="DJ365" s="2762">
        <f t="shared" ref="DJ365:DK365" si="1370">SUM(DJ359:DJ364)</f>
        <v>1</v>
      </c>
      <c r="DK365" s="2187">
        <f t="shared" si="1370"/>
        <v>1</v>
      </c>
      <c r="DL365" s="2187">
        <f t="shared" ref="DL365:DM365" si="1371">SUM(DL359:DL364)</f>
        <v>1</v>
      </c>
      <c r="DM365" s="2186">
        <f t="shared" si="1371"/>
        <v>1</v>
      </c>
      <c r="DN365" s="2188"/>
      <c r="DO365" s="2186"/>
      <c r="DP365" s="2184"/>
      <c r="DQ365" s="2184"/>
      <c r="DR365" s="2184"/>
      <c r="DS365" s="2184"/>
      <c r="DT365" s="2184"/>
      <c r="DU365" s="2184"/>
      <c r="DV365" s="2184"/>
      <c r="DW365" s="2184"/>
      <c r="DX365" s="2184"/>
      <c r="DY365" s="2184"/>
      <c r="DZ365" s="2184"/>
      <c r="EA365" s="2184"/>
      <c r="EB365" s="2184"/>
      <c r="EC365" s="2184"/>
      <c r="ED365" s="2184"/>
      <c r="EE365" s="1485"/>
      <c r="EF365" s="1485"/>
      <c r="EG365" s="1485"/>
      <c r="EH365" s="1485"/>
      <c r="EI365" s="1485"/>
      <c r="EJ365" s="2184">
        <f>SUM(EJ359:EJ364)</f>
        <v>1</v>
      </c>
      <c r="EK365" s="2184">
        <f>SUM(EK359:EK364)</f>
        <v>1</v>
      </c>
      <c r="EL365" s="2184">
        <f>SUM(EL359:EL364)</f>
        <v>1</v>
      </c>
      <c r="EM365" s="2184">
        <f>SUM(EM359:EM364)</f>
        <v>0.99999999999999989</v>
      </c>
      <c r="EN365" s="2183">
        <f>EN354/EN325</f>
        <v>1</v>
      </c>
      <c r="EO365" s="2184">
        <f t="shared" ref="EO365:EV365" si="1372">SUM(EO359:EO364)</f>
        <v>0.99999999999999989</v>
      </c>
      <c r="EP365" s="2184">
        <f t="shared" si="1372"/>
        <v>1</v>
      </c>
      <c r="EQ365" s="2184">
        <f t="shared" si="1372"/>
        <v>1.0000000000000002</v>
      </c>
      <c r="ER365" s="2184">
        <f t="shared" si="1372"/>
        <v>1</v>
      </c>
      <c r="ES365" s="2184">
        <f t="shared" si="1372"/>
        <v>1</v>
      </c>
      <c r="ET365" s="2184">
        <f t="shared" si="1372"/>
        <v>1</v>
      </c>
      <c r="EU365" s="2184">
        <f t="shared" si="1372"/>
        <v>1</v>
      </c>
      <c r="EV365" s="2184">
        <f t="shared" si="1372"/>
        <v>1</v>
      </c>
      <c r="EW365" s="2184">
        <f>SUM(EW359:EW364)</f>
        <v>1</v>
      </c>
      <c r="EX365" s="2184">
        <f>SUM(EX359:EX364)</f>
        <v>1</v>
      </c>
      <c r="EY365" s="2184">
        <f>SUM(EY359:EY364)</f>
        <v>1</v>
      </c>
      <c r="EZ365" s="2189">
        <f>SUM(EZ359:EZ364)</f>
        <v>1</v>
      </c>
      <c r="FA365" s="2183">
        <f t="shared" ref="FA365:FF365" si="1373">FA354/FA325</f>
        <v>1</v>
      </c>
      <c r="FB365" s="2183">
        <f t="shared" si="1373"/>
        <v>1</v>
      </c>
      <c r="FC365" s="2183">
        <f t="shared" si="1373"/>
        <v>1</v>
      </c>
      <c r="FD365" s="2183">
        <f t="shared" si="1373"/>
        <v>1</v>
      </c>
      <c r="FE365" s="2183">
        <f t="shared" si="1373"/>
        <v>1</v>
      </c>
      <c r="FF365" s="2183">
        <f t="shared" si="1373"/>
        <v>1</v>
      </c>
      <c r="FG365" s="2183">
        <f>FG354/FG325</f>
        <v>1</v>
      </c>
      <c r="FH365" s="2183">
        <f>FH354/FH325</f>
        <v>1</v>
      </c>
      <c r="FI365" s="2188"/>
      <c r="FJ365"/>
      <c r="FK365"/>
      <c r="FL365"/>
      <c r="FM365"/>
      <c r="FN365"/>
      <c r="FO365"/>
      <c r="FP365" s="265"/>
      <c r="FS365" s="391"/>
      <c r="FT365" s="391"/>
      <c r="FU365" s="99"/>
      <c r="FV365" s="99"/>
      <c r="FW365" s="2187"/>
      <c r="FX365" s="2187"/>
      <c r="FY365" s="2187"/>
      <c r="FZ365" s="99"/>
      <c r="GA365" s="99"/>
      <c r="GB365" s="99"/>
      <c r="GC365" s="99"/>
      <c r="GD365" s="99"/>
      <c r="GE365" s="99"/>
      <c r="GF365" s="99"/>
      <c r="GG365" s="99"/>
      <c r="GH365" s="99"/>
      <c r="GI365" s="99"/>
      <c r="GJ365" s="99"/>
      <c r="GK365" s="99"/>
      <c r="GL365" s="99"/>
      <c r="GM365" s="99"/>
      <c r="GN365" s="99"/>
      <c r="GO365" s="99"/>
      <c r="GP365" s="99"/>
      <c r="GQ365" s="99"/>
      <c r="GR365" s="99"/>
      <c r="GS365" s="99"/>
      <c r="GT365" s="99"/>
      <c r="GU365" s="99"/>
      <c r="GV365" s="99"/>
      <c r="GW365" s="99"/>
      <c r="GX365" s="99"/>
      <c r="GY365" s="99"/>
      <c r="GZ365" s="99"/>
      <c r="HA365" s="99"/>
      <c r="HB365" s="99"/>
      <c r="HC365" s="99"/>
      <c r="HD365" s="99"/>
      <c r="HE365" s="99"/>
      <c r="HF365" s="99"/>
      <c r="HG365" s="99"/>
      <c r="HH365" s="99"/>
      <c r="HI365" s="99"/>
      <c r="HJ365" s="99"/>
      <c r="HK365" s="99"/>
      <c r="HL365" s="99"/>
      <c r="HM365" s="99"/>
      <c r="HN365" s="99"/>
      <c r="HO365" s="99"/>
      <c r="HP365" s="99"/>
      <c r="HQ365" s="99"/>
      <c r="HR365" s="99"/>
      <c r="HS365" s="99"/>
      <c r="HT365" s="99"/>
      <c r="HU365" s="99"/>
      <c r="HV365" s="99"/>
      <c r="HW365" s="99"/>
      <c r="HX365" s="99"/>
      <c r="HY365" s="99"/>
      <c r="HZ365" s="99"/>
      <c r="IA365" s="99"/>
      <c r="IB365" s="99"/>
      <c r="IC365" s="99"/>
      <c r="ID365" s="99"/>
      <c r="IE365" s="99"/>
      <c r="IF365" s="99"/>
      <c r="IG365" s="99"/>
      <c r="IH365" s="99"/>
      <c r="II365" s="99"/>
      <c r="IJ365" s="99"/>
      <c r="IK365" s="99"/>
      <c r="IL365" s="99"/>
      <c r="IM365" s="99"/>
      <c r="IN365" s="99"/>
      <c r="IO365" s="99"/>
      <c r="IP365" s="99"/>
      <c r="IQ365" s="99"/>
      <c r="IR365" s="99"/>
      <c r="IS365" s="99"/>
      <c r="IT365" s="99"/>
      <c r="IU365" s="99"/>
      <c r="IV365" s="99"/>
      <c r="IW365" s="99"/>
      <c r="IX365" s="99"/>
      <c r="IY365" s="99"/>
      <c r="IZ365" s="99"/>
    </row>
    <row r="366" spans="1:260" ht="12.75" hidden="1" outlineLevel="1" x14ac:dyDescent="0.2">
      <c r="A366" s="99" t="s">
        <v>707</v>
      </c>
      <c r="E366" s="1486"/>
      <c r="I366" s="1486"/>
      <c r="M366" s="1486"/>
      <c r="Q366" s="1486"/>
      <c r="U366" s="1486"/>
      <c r="Y366" s="1486"/>
      <c r="AC366" s="1486"/>
      <c r="AG366" s="1486"/>
      <c r="AK366" s="1486"/>
      <c r="AO366" s="1486"/>
      <c r="AS366" s="1486"/>
      <c r="AW366" s="1486"/>
      <c r="BA366" s="1486"/>
      <c r="BE366" s="1486"/>
      <c r="BI366" s="1486"/>
      <c r="BM366" s="1486"/>
      <c r="BQ366" s="1486"/>
      <c r="BU366" s="1486"/>
      <c r="BY366" s="1486"/>
      <c r="CC366" s="1486"/>
      <c r="CG366" s="1486"/>
      <c r="CK366" s="1486"/>
      <c r="CO366" s="1486"/>
      <c r="CP366" s="256"/>
      <c r="CQ366" s="256"/>
      <c r="CR366" s="256"/>
      <c r="CS366" s="1939"/>
      <c r="CT366" s="256"/>
      <c r="CU366" s="256"/>
      <c r="CV366" s="256"/>
      <c r="CW366" s="1939"/>
      <c r="CX366" s="256"/>
      <c r="CY366" s="1809"/>
      <c r="CZ366" s="256"/>
      <c r="DA366" s="1939"/>
      <c r="DB366" s="256"/>
      <c r="DC366" s="256"/>
      <c r="DD366" s="259"/>
      <c r="DE366" s="1939"/>
      <c r="DF366" s="259"/>
      <c r="DG366" s="259"/>
      <c r="DH366" s="259"/>
      <c r="DI366" s="1939"/>
      <c r="DJ366" s="2133"/>
      <c r="DK366" s="259"/>
      <c r="DL366" s="259"/>
      <c r="DM366" s="1939"/>
      <c r="DN366" s="2120"/>
      <c r="DO366" s="1939"/>
      <c r="DP366" s="256"/>
      <c r="DQ366" s="256"/>
      <c r="DR366" s="256"/>
      <c r="DS366" s="256"/>
      <c r="DT366" s="256"/>
      <c r="DU366" s="256"/>
      <c r="DV366" s="256"/>
      <c r="DW366" s="256"/>
      <c r="DX366" s="256"/>
      <c r="DY366" s="256"/>
      <c r="DZ366" s="256"/>
      <c r="EA366" s="256"/>
      <c r="EB366" s="256"/>
      <c r="EC366" s="256"/>
      <c r="ED366" s="256"/>
      <c r="EX366" s="256"/>
      <c r="EY366" s="256"/>
      <c r="EZ366" s="1803"/>
      <c r="FI366" s="2120"/>
      <c r="FP366" s="190"/>
    </row>
    <row r="367" spans="1:260" s="256" customFormat="1" ht="12.75" hidden="1" outlineLevel="1" x14ac:dyDescent="0.2">
      <c r="A367" s="99" t="s">
        <v>708</v>
      </c>
      <c r="B367" s="99"/>
      <c r="C367" s="99"/>
      <c r="D367" s="99"/>
      <c r="E367" s="99"/>
      <c r="F367" s="99"/>
      <c r="G367" s="99"/>
      <c r="H367" s="99"/>
      <c r="I367" s="99"/>
      <c r="J367" s="99"/>
      <c r="K367" s="99"/>
      <c r="L367" s="99"/>
      <c r="M367" s="99"/>
      <c r="N367" s="99"/>
      <c r="O367" s="99"/>
      <c r="P367" s="99"/>
      <c r="Q367" s="99"/>
      <c r="R367" s="99"/>
      <c r="S367" s="99"/>
      <c r="T367" s="99"/>
      <c r="U367" s="99"/>
      <c r="V367" s="99"/>
      <c r="W367" s="99"/>
      <c r="X367" s="99"/>
      <c r="Y367" s="99"/>
      <c r="Z367" s="99"/>
      <c r="AA367" s="99"/>
      <c r="AB367" s="99"/>
      <c r="AC367" s="99"/>
      <c r="AD367" s="99"/>
      <c r="AE367" s="99"/>
      <c r="AF367" s="99"/>
      <c r="AG367" s="99"/>
      <c r="AH367" s="99"/>
      <c r="AI367" s="99"/>
      <c r="AJ367" s="99"/>
      <c r="AK367" s="99"/>
      <c r="AL367" s="99"/>
      <c r="AM367" s="99"/>
      <c r="AN367" s="99"/>
      <c r="AO367" s="99"/>
      <c r="AP367" s="99"/>
      <c r="AQ367" s="99"/>
      <c r="AR367" s="99"/>
      <c r="AS367" s="99"/>
      <c r="AT367" s="99"/>
      <c r="AU367" s="99"/>
      <c r="AV367" s="99"/>
      <c r="AW367" s="99"/>
      <c r="AX367" s="99"/>
      <c r="AY367" s="99"/>
      <c r="AZ367" s="99"/>
      <c r="BA367" s="99"/>
      <c r="BB367" s="99"/>
      <c r="BC367" s="99"/>
      <c r="BD367" s="99"/>
      <c r="BE367" s="99"/>
      <c r="BF367" s="99"/>
      <c r="BG367" s="99"/>
      <c r="BH367" s="99"/>
      <c r="BI367" s="99"/>
      <c r="BJ367" s="99"/>
      <c r="BK367" s="99"/>
      <c r="BL367" s="99"/>
      <c r="BM367" s="99"/>
      <c r="BN367" s="99"/>
      <c r="BO367" s="99"/>
      <c r="BP367" s="99"/>
      <c r="BQ367" s="99"/>
      <c r="BR367" s="99"/>
      <c r="BS367" s="99"/>
      <c r="BT367" s="99"/>
      <c r="BU367" s="99"/>
      <c r="BV367" s="99"/>
      <c r="BW367" s="99"/>
      <c r="BX367" s="99"/>
      <c r="BY367" s="99"/>
      <c r="BZ367" s="99"/>
      <c r="CA367" s="99"/>
      <c r="CB367" s="99"/>
      <c r="CC367" s="99"/>
      <c r="CD367" s="99"/>
      <c r="CE367" s="99"/>
      <c r="CF367" s="99"/>
      <c r="CG367" s="99"/>
      <c r="CH367" s="99"/>
      <c r="CI367" s="99"/>
      <c r="CJ367" s="99"/>
      <c r="CK367" s="99"/>
      <c r="CL367" s="99"/>
      <c r="CM367" s="99"/>
      <c r="CN367" s="99"/>
      <c r="CO367" s="99"/>
      <c r="CP367" s="99"/>
      <c r="CQ367" s="99"/>
      <c r="CR367" s="99"/>
      <c r="CS367" s="99"/>
      <c r="CT367" s="99"/>
      <c r="CU367" s="99"/>
      <c r="CV367" s="99"/>
      <c r="CW367" s="99"/>
      <c r="CX367" s="99"/>
      <c r="CY367" s="99"/>
      <c r="CZ367" s="99"/>
      <c r="DA367" s="1486"/>
      <c r="DB367" s="99"/>
      <c r="DE367" s="1939"/>
      <c r="DI367" s="1939"/>
      <c r="DJ367" s="2133"/>
      <c r="DK367" s="99"/>
      <c r="DL367" s="99"/>
      <c r="DM367" s="1486"/>
      <c r="DN367" s="2134"/>
      <c r="DO367" s="2135"/>
      <c r="DP367" s="2136"/>
      <c r="DQ367" s="2137"/>
      <c r="DR367" s="2137"/>
      <c r="DS367" s="2137"/>
      <c r="DT367" s="2137"/>
      <c r="DU367" s="2137"/>
      <c r="DV367" s="2137"/>
      <c r="DW367" s="2137"/>
      <c r="DX367" s="2137"/>
      <c r="DY367" s="2137"/>
      <c r="DZ367" s="2137"/>
      <c r="EA367" s="2137"/>
      <c r="EB367" s="2137"/>
      <c r="EC367" s="2137"/>
      <c r="ED367" s="2137"/>
      <c r="EE367" s="262"/>
      <c r="EF367" s="2137"/>
      <c r="EG367" s="2137"/>
      <c r="EH367" s="2137"/>
      <c r="EI367" s="2137"/>
      <c r="EJ367" s="2137"/>
      <c r="EK367" s="2137"/>
      <c r="EL367" s="2137"/>
      <c r="EM367" s="2137"/>
      <c r="EN367" s="2137"/>
      <c r="EO367" s="2137"/>
      <c r="EP367" s="2137"/>
      <c r="EQ367" s="2137"/>
      <c r="ER367" s="2137"/>
      <c r="ES367" s="2137"/>
      <c r="ET367" s="2137"/>
      <c r="EU367" s="99"/>
      <c r="EV367" s="99"/>
      <c r="EW367" s="99"/>
      <c r="EZ367" s="2155"/>
      <c r="FA367" s="99"/>
      <c r="FB367" s="99"/>
      <c r="FC367" s="99"/>
      <c r="FD367" s="99"/>
      <c r="FE367" s="99"/>
      <c r="FF367" s="99"/>
      <c r="FG367" s="99"/>
      <c r="FH367" s="99"/>
      <c r="FI367" s="2134"/>
      <c r="FJ367"/>
      <c r="FK367"/>
      <c r="FL367"/>
      <c r="FM367"/>
      <c r="FN367"/>
      <c r="FO367"/>
      <c r="FP367" s="259"/>
      <c r="FS367" s="2138"/>
      <c r="FT367" s="2138"/>
      <c r="FU367" s="99"/>
      <c r="FV367" s="99"/>
      <c r="FW367" s="259"/>
      <c r="FX367" s="259"/>
      <c r="FY367" s="259"/>
      <c r="FZ367" s="99"/>
      <c r="GA367" s="99"/>
      <c r="GB367" s="99"/>
      <c r="GC367" s="99"/>
      <c r="GD367" s="99"/>
      <c r="GE367" s="99"/>
      <c r="GF367" s="99"/>
      <c r="GG367" s="99"/>
      <c r="GH367" s="99"/>
      <c r="GI367" s="99"/>
      <c r="GJ367" s="99"/>
      <c r="GK367" s="99"/>
      <c r="GL367" s="99"/>
      <c r="GM367" s="99"/>
      <c r="GN367" s="99"/>
      <c r="GO367" s="99"/>
      <c r="GP367" s="99"/>
      <c r="GQ367" s="99"/>
      <c r="GR367" s="99"/>
      <c r="GS367" s="99"/>
      <c r="GT367" s="99"/>
      <c r="GU367" s="99"/>
      <c r="GV367" s="99"/>
      <c r="GW367" s="99"/>
      <c r="GX367" s="99"/>
      <c r="GY367" s="99"/>
      <c r="GZ367" s="99"/>
      <c r="HA367" s="99"/>
      <c r="HB367" s="99"/>
      <c r="HC367" s="99"/>
      <c r="HD367" s="99"/>
      <c r="HE367" s="99"/>
      <c r="HF367" s="99"/>
      <c r="HG367" s="99"/>
      <c r="HH367" s="99"/>
      <c r="HI367" s="99"/>
      <c r="HJ367" s="99"/>
      <c r="HK367" s="99"/>
      <c r="HL367" s="99"/>
      <c r="HM367" s="99"/>
      <c r="HN367" s="99"/>
      <c r="HO367" s="99"/>
      <c r="HP367" s="99"/>
      <c r="HQ367" s="99"/>
      <c r="HR367" s="99"/>
      <c r="HS367" s="99"/>
      <c r="HT367" s="99"/>
      <c r="HU367" s="99"/>
      <c r="HV367" s="99"/>
      <c r="HW367" s="99"/>
      <c r="HX367" s="99"/>
      <c r="HY367" s="99"/>
      <c r="HZ367" s="99"/>
      <c r="IA367" s="99"/>
      <c r="IB367" s="99"/>
      <c r="IC367" s="99"/>
      <c r="ID367" s="99"/>
      <c r="IE367" s="99"/>
      <c r="IF367" s="99"/>
      <c r="IG367" s="99"/>
      <c r="IH367" s="99"/>
      <c r="II367" s="99"/>
      <c r="IJ367" s="99"/>
      <c r="IK367" s="99"/>
      <c r="IL367" s="99"/>
      <c r="IM367" s="99"/>
      <c r="IN367" s="99"/>
      <c r="IO367" s="99"/>
      <c r="IP367" s="99"/>
      <c r="IQ367" s="99"/>
      <c r="IR367" s="99"/>
      <c r="IS367" s="99"/>
      <c r="IT367" s="99"/>
      <c r="IU367" s="99"/>
      <c r="IV367" s="99"/>
      <c r="IW367" s="99"/>
      <c r="IX367" s="99"/>
      <c r="IY367" s="99"/>
      <c r="IZ367" s="99"/>
    </row>
    <row r="368" spans="1:260" ht="12.75" collapsed="1" x14ac:dyDescent="0.2">
      <c r="E368" s="2139"/>
      <c r="I368" s="2139"/>
      <c r="M368" s="2139"/>
      <c r="Q368" s="2139"/>
      <c r="U368" s="2139"/>
      <c r="Y368" s="2139"/>
      <c r="AC368" s="2139"/>
      <c r="AG368" s="2139"/>
      <c r="AK368" s="1486"/>
      <c r="AO368" s="1486"/>
      <c r="AS368" s="1486"/>
      <c r="AW368" s="1486"/>
      <c r="BA368" s="1486"/>
      <c r="BE368" s="1486"/>
      <c r="BI368" s="1486"/>
      <c r="BM368" s="1486"/>
      <c r="BQ368" s="1486"/>
      <c r="BR368" s="2140"/>
      <c r="BS368" s="2140"/>
      <c r="BT368" s="2140"/>
      <c r="BU368" s="2141"/>
      <c r="BV368" s="2140"/>
      <c r="BW368" s="2140"/>
      <c r="BX368" s="2140"/>
      <c r="BY368" s="2141"/>
      <c r="BZ368" s="2140"/>
      <c r="CA368" s="2140"/>
      <c r="CB368" s="2140"/>
      <c r="CC368" s="2141"/>
      <c r="CD368" s="2142"/>
      <c r="CE368" s="2142"/>
      <c r="CF368" s="2142"/>
      <c r="CG368" s="2143"/>
      <c r="CH368" s="2144"/>
      <c r="CI368" s="2144"/>
      <c r="CJ368" s="2144"/>
      <c r="CK368" s="2145"/>
      <c r="CL368" s="2144"/>
      <c r="CM368" s="2144"/>
      <c r="CN368" s="2144"/>
      <c r="CO368" s="2145"/>
      <c r="CP368" s="2144"/>
      <c r="CQ368" s="2144"/>
      <c r="CR368" s="2144"/>
      <c r="CS368" s="2145"/>
      <c r="CT368" s="2144"/>
      <c r="CU368" s="2144"/>
      <c r="CV368" s="2144"/>
      <c r="CW368" s="1486"/>
      <c r="CY368" s="2144"/>
      <c r="CZ368" s="2144"/>
      <c r="DA368" s="1486"/>
      <c r="DB368" s="190"/>
      <c r="DC368" s="2144"/>
      <c r="DD368" s="259"/>
      <c r="DE368" s="2145"/>
      <c r="DF368" s="2146"/>
      <c r="DG368" s="259"/>
      <c r="DH368" s="259"/>
      <c r="DI368" s="2145"/>
      <c r="DJ368" s="2763"/>
      <c r="DK368" s="2146"/>
      <c r="DL368" s="2146"/>
      <c r="DM368" s="2145"/>
      <c r="DN368" s="2147"/>
      <c r="DO368" s="2145"/>
      <c r="DP368" s="2144"/>
      <c r="DQ368" s="2144"/>
      <c r="DR368" s="2144"/>
      <c r="DS368" s="2144"/>
      <c r="DT368" s="2144"/>
      <c r="DU368" s="2144"/>
      <c r="DV368" s="2144"/>
      <c r="DW368" s="2144"/>
      <c r="DX368" s="2144"/>
      <c r="DY368" s="2144"/>
      <c r="DZ368" s="2144"/>
      <c r="EA368" s="2144"/>
      <c r="EB368" s="2144"/>
      <c r="EC368" s="2144"/>
      <c r="ED368" s="2144"/>
      <c r="EE368" s="256"/>
      <c r="ER368" s="2142"/>
      <c r="ES368" s="2144"/>
      <c r="ET368" s="2144"/>
      <c r="EU368" s="2144"/>
      <c r="EV368" s="2144"/>
      <c r="EW368" s="2144"/>
      <c r="EX368" s="2144"/>
      <c r="EY368" s="2144"/>
      <c r="EZ368" s="2148"/>
      <c r="FI368" s="2120"/>
      <c r="FP368" s="190"/>
    </row>
    <row r="369" spans="1:260" ht="11.25" customHeight="1" x14ac:dyDescent="0.2">
      <c r="A369" s="328" t="s">
        <v>577</v>
      </c>
      <c r="B369" s="328"/>
      <c r="C369" s="328"/>
      <c r="D369" s="328"/>
      <c r="E369" s="2245"/>
      <c r="F369" s="104"/>
      <c r="G369" s="104"/>
      <c r="H369" s="104"/>
      <c r="I369" s="453"/>
      <c r="J369" s="104"/>
      <c r="K369" s="104"/>
      <c r="L369" s="104"/>
      <c r="M369" s="453"/>
      <c r="N369" s="104"/>
      <c r="O369" s="104"/>
      <c r="P369" s="104"/>
      <c r="Q369" s="453"/>
      <c r="R369" s="104"/>
      <c r="S369" s="104"/>
      <c r="T369" s="104"/>
      <c r="U369" s="453"/>
      <c r="V369" s="104"/>
      <c r="W369" s="104"/>
      <c r="X369" s="104"/>
      <c r="Y369" s="453"/>
      <c r="Z369" s="104"/>
      <c r="AA369" s="104"/>
      <c r="AB369" s="104"/>
      <c r="AC369" s="453"/>
      <c r="AD369" s="104"/>
      <c r="AE369" s="104"/>
      <c r="AF369" s="104"/>
      <c r="AG369" s="453"/>
      <c r="AH369" s="104"/>
      <c r="AI369" s="104"/>
      <c r="AJ369" s="104"/>
      <c r="AK369" s="453"/>
      <c r="AL369" s="104"/>
      <c r="AM369" s="104"/>
      <c r="AN369" s="104"/>
      <c r="AO369" s="453"/>
      <c r="AP369" s="104"/>
      <c r="AQ369" s="104"/>
      <c r="AR369" s="104"/>
      <c r="AS369" s="453"/>
      <c r="AT369" s="104"/>
      <c r="AU369" s="104"/>
      <c r="AV369" s="104"/>
      <c r="AW369" s="453"/>
      <c r="AX369" s="104"/>
      <c r="AY369" s="104"/>
      <c r="AZ369" s="785"/>
      <c r="BA369" s="784"/>
      <c r="BB369" s="785"/>
      <c r="BC369" s="785"/>
      <c r="BD369" s="785"/>
      <c r="BE369" s="784"/>
      <c r="BF369" s="785"/>
      <c r="BG369" s="785"/>
      <c r="BH369" s="785"/>
      <c r="BI369" s="784"/>
      <c r="BJ369" s="785"/>
      <c r="BK369" s="785"/>
      <c r="BL369" s="785"/>
      <c r="BM369" s="784"/>
      <c r="BN369" s="785"/>
      <c r="BO369" s="785"/>
      <c r="BP369" s="785"/>
      <c r="BQ369" s="784"/>
      <c r="BR369" s="785"/>
      <c r="BS369" s="785"/>
      <c r="BT369" s="785"/>
      <c r="BU369" s="784"/>
      <c r="BV369" s="785"/>
      <c r="BW369" s="785"/>
      <c r="BX369" s="785"/>
      <c r="BY369" s="784"/>
      <c r="BZ369" s="785"/>
      <c r="CA369" s="785"/>
      <c r="CB369" s="785"/>
      <c r="CC369" s="784"/>
      <c r="CD369" s="785"/>
      <c r="CE369" s="785"/>
      <c r="CF369" s="785"/>
      <c r="CG369" s="784"/>
      <c r="CH369" s="785"/>
      <c r="CI369" s="785"/>
      <c r="CJ369" s="785"/>
      <c r="CK369" s="784"/>
      <c r="CL369" s="785"/>
      <c r="CM369" s="785"/>
      <c r="CN369" s="785"/>
      <c r="CO369" s="784"/>
      <c r="CP369" s="785"/>
      <c r="CQ369" s="785"/>
      <c r="CR369" s="785"/>
      <c r="CS369" s="784"/>
      <c r="CT369" s="104"/>
      <c r="CU369" s="104"/>
      <c r="CV369" s="104"/>
      <c r="CW369" s="453"/>
      <c r="CX369" s="104"/>
      <c r="CY369" s="104"/>
      <c r="CZ369" s="104"/>
      <c r="DA369" s="453"/>
      <c r="DB369" s="104"/>
      <c r="DC369" s="104"/>
      <c r="DD369" s="104"/>
      <c r="DE369" s="453"/>
      <c r="DF369" s="104"/>
      <c r="DG369" s="104"/>
      <c r="DH369" s="104"/>
      <c r="DI369" s="453"/>
      <c r="DJ369" s="104"/>
      <c r="DK369" s="104"/>
      <c r="DL369" s="104"/>
      <c r="DM369" s="453"/>
      <c r="DN369" s="587"/>
      <c r="DO369" s="465"/>
      <c r="DP369" s="2246"/>
      <c r="DQ369" s="2246"/>
      <c r="DR369" s="2246"/>
      <c r="DS369" s="2246"/>
      <c r="DT369" s="2246"/>
      <c r="DU369" s="2246"/>
      <c r="DV369" s="2246"/>
      <c r="DW369" s="2246"/>
      <c r="DX369" s="2246"/>
      <c r="DY369" s="104"/>
      <c r="DZ369" s="104"/>
      <c r="EA369" s="104"/>
      <c r="EB369" s="104"/>
      <c r="EC369" s="104"/>
      <c r="ED369" s="104"/>
      <c r="EE369" s="104"/>
      <c r="EF369" s="104"/>
      <c r="EG369" s="104"/>
      <c r="EH369" s="104"/>
      <c r="EI369" s="104"/>
      <c r="EJ369" s="104"/>
      <c r="EK369" s="104"/>
      <c r="EL369" s="104"/>
      <c r="EM369" s="104"/>
      <c r="EN369" s="104"/>
      <c r="EO369" s="104"/>
      <c r="EP369" s="104"/>
      <c r="EQ369" s="104"/>
      <c r="ER369" s="104"/>
      <c r="ES369" s="104"/>
      <c r="ET369" s="104"/>
      <c r="EU369" s="104"/>
      <c r="EV369" s="104"/>
      <c r="EW369" s="104"/>
      <c r="EX369" s="104"/>
      <c r="EY369" s="104"/>
      <c r="EZ369" s="104"/>
      <c r="FA369" s="2247"/>
      <c r="FB369" s="2247"/>
      <c r="FC369" s="2247"/>
      <c r="FD369" s="2247"/>
      <c r="FE369" s="2247"/>
      <c r="FF369" s="2247"/>
      <c r="FG369" s="2247"/>
      <c r="FH369" s="2247"/>
      <c r="FI369" s="2248"/>
      <c r="FP369" s="1474"/>
      <c r="FQ369" s="1388"/>
      <c r="FR369" s="1388"/>
      <c r="FS369" s="2249"/>
      <c r="FT369" s="2249"/>
      <c r="FU369" s="1388"/>
      <c r="FV369" s="1388"/>
      <c r="FW369" s="2249"/>
      <c r="FX369" s="2249"/>
      <c r="FY369" s="2249"/>
    </row>
    <row r="370" spans="1:260" s="259" customFormat="1" ht="12.75" customHeight="1" x14ac:dyDescent="0.2">
      <c r="A370" s="2250"/>
      <c r="B370" s="2250"/>
      <c r="C370" s="2250"/>
      <c r="D370" s="2250"/>
      <c r="E370" s="2251"/>
      <c r="F370" s="2252"/>
      <c r="G370" s="2252"/>
      <c r="H370" s="2252"/>
      <c r="I370" s="2253"/>
      <c r="J370" s="2252"/>
      <c r="K370" s="2252"/>
      <c r="L370" s="2252"/>
      <c r="M370" s="2253"/>
      <c r="N370" s="2252"/>
      <c r="O370" s="2252"/>
      <c r="P370" s="2252"/>
      <c r="Q370" s="2253"/>
      <c r="R370" s="2252"/>
      <c r="S370" s="2252"/>
      <c r="T370" s="2252"/>
      <c r="U370" s="2253"/>
      <c r="V370" s="2252"/>
      <c r="W370" s="2252"/>
      <c r="X370" s="2252"/>
      <c r="Y370" s="2253"/>
      <c r="Z370" s="2252"/>
      <c r="AA370" s="2252"/>
      <c r="AB370" s="2252"/>
      <c r="AC370" s="2253"/>
      <c r="AD370" s="2252"/>
      <c r="AE370" s="2252"/>
      <c r="AF370" s="2252"/>
      <c r="AG370" s="2253"/>
      <c r="AH370" s="2252"/>
      <c r="AI370" s="2252"/>
      <c r="AJ370" s="2252"/>
      <c r="AK370" s="2253"/>
      <c r="AL370" s="2252"/>
      <c r="AM370" s="2252"/>
      <c r="AN370" s="2252"/>
      <c r="AO370" s="2253"/>
      <c r="AP370" s="2252"/>
      <c r="AQ370" s="2252"/>
      <c r="AR370" s="2252"/>
      <c r="AS370" s="2253"/>
      <c r="AT370" s="2252"/>
      <c r="AU370" s="2252"/>
      <c r="AV370" s="2252"/>
      <c r="AW370" s="2253"/>
      <c r="AX370" s="2252"/>
      <c r="AY370" s="2252"/>
      <c r="AZ370" s="2254"/>
      <c r="BA370" s="2255"/>
      <c r="BB370" s="2254"/>
      <c r="BC370" s="2254"/>
      <c r="BD370" s="2254"/>
      <c r="BE370" s="2255"/>
      <c r="BF370" s="2254"/>
      <c r="BG370" s="2254"/>
      <c r="BH370" s="2254"/>
      <c r="BI370" s="2255"/>
      <c r="BJ370" s="2254"/>
      <c r="BK370" s="2254"/>
      <c r="BL370" s="2254"/>
      <c r="BM370" s="2255"/>
      <c r="BN370" s="2254"/>
      <c r="BO370" s="2254"/>
      <c r="BP370" s="2254"/>
      <c r="BQ370" s="2255"/>
      <c r="BR370" s="2254"/>
      <c r="BS370" s="2254"/>
      <c r="BT370" s="2254"/>
      <c r="BU370" s="2255"/>
      <c r="BV370" s="2254"/>
      <c r="BW370" s="2254"/>
      <c r="BX370" s="2254"/>
      <c r="BY370" s="2255"/>
      <c r="BZ370" s="2254"/>
      <c r="CA370" s="2254"/>
      <c r="CB370" s="2254"/>
      <c r="CC370" s="2255"/>
      <c r="CD370" s="2254"/>
      <c r="CE370" s="2254"/>
      <c r="CF370" s="2254"/>
      <c r="CG370" s="2255"/>
      <c r="CH370" s="2254"/>
      <c r="CI370" s="2254"/>
      <c r="CJ370" s="2254"/>
      <c r="CK370" s="2255"/>
      <c r="CL370" s="2254"/>
      <c r="CM370" s="2254"/>
      <c r="CN370" s="2254"/>
      <c r="CO370" s="2255"/>
      <c r="CP370" s="2254"/>
      <c r="CQ370" s="2254"/>
      <c r="CR370" s="2254"/>
      <c r="CS370" s="2255"/>
      <c r="CT370" s="2252"/>
      <c r="CU370" s="2252"/>
      <c r="CV370" s="2252"/>
      <c r="CW370" s="2253"/>
      <c r="CX370" s="2252"/>
      <c r="CY370" s="2252"/>
      <c r="CZ370" s="2252"/>
      <c r="DA370" s="2253"/>
      <c r="DB370" s="2252"/>
      <c r="DC370" s="2252"/>
      <c r="DD370" s="1435"/>
      <c r="DE370" s="2253"/>
      <c r="DF370" s="51"/>
      <c r="DG370" s="1435"/>
      <c r="DH370" s="1435"/>
      <c r="DI370" s="2253"/>
      <c r="DJ370" s="2257"/>
      <c r="DK370" s="335"/>
      <c r="DL370" s="335"/>
      <c r="DM370" s="2253"/>
      <c r="DN370" s="587"/>
      <c r="DO370" s="465"/>
      <c r="DP370" s="2256"/>
      <c r="DQ370" s="2256"/>
      <c r="DR370" s="2256"/>
      <c r="DS370" s="2256"/>
      <c r="DT370" s="2256"/>
      <c r="DU370" s="2256"/>
      <c r="DV370" s="2256"/>
      <c r="DW370" s="2256"/>
      <c r="DX370" s="2256"/>
      <c r="DY370" s="2252"/>
      <c r="DZ370" s="2252"/>
      <c r="EA370" s="2252"/>
      <c r="EB370" s="2252"/>
      <c r="EC370" s="2252"/>
      <c r="ED370" s="2252"/>
      <c r="EE370" s="2252"/>
      <c r="EF370" s="2252"/>
      <c r="EG370" s="2252"/>
      <c r="EH370" s="2252"/>
      <c r="EI370" s="2252"/>
      <c r="EJ370" s="2252"/>
      <c r="EK370" s="2252"/>
      <c r="EL370" s="2252"/>
      <c r="EM370" s="2252"/>
      <c r="EN370" s="2252"/>
      <c r="EO370" s="2252"/>
      <c r="EP370" s="2252"/>
      <c r="EQ370" s="2252"/>
      <c r="ER370" s="2252"/>
      <c r="ES370" s="2252"/>
      <c r="ET370" s="2252"/>
      <c r="EU370" s="2252"/>
      <c r="EV370" s="2252"/>
      <c r="EW370" s="2252"/>
      <c r="EX370" s="2252"/>
      <c r="EY370" s="2252"/>
      <c r="EZ370" s="2257"/>
      <c r="FA370" s="2258"/>
      <c r="FB370" s="2258"/>
      <c r="FC370" s="2258"/>
      <c r="FD370" s="2258"/>
      <c r="FE370" s="2258"/>
      <c r="FF370" s="2258"/>
      <c r="FG370" s="2258"/>
      <c r="FH370" s="2258"/>
      <c r="FI370" s="2248"/>
      <c r="FJ370"/>
      <c r="FK370"/>
      <c r="FL370"/>
      <c r="FM370"/>
      <c r="FN370"/>
      <c r="FO370"/>
      <c r="FP370" s="1435"/>
      <c r="FQ370" s="1435"/>
      <c r="FR370" s="1435"/>
      <c r="FS370" s="2249"/>
      <c r="FT370" s="2249"/>
      <c r="FU370" s="1388"/>
      <c r="FV370" s="1388"/>
      <c r="FW370" s="2249"/>
      <c r="FX370" s="2249"/>
      <c r="FY370" s="2249"/>
      <c r="FZ370" s="99"/>
      <c r="GA370" s="99"/>
      <c r="GB370" s="99"/>
      <c r="GC370" s="99"/>
      <c r="GD370" s="99"/>
      <c r="GE370" s="99"/>
      <c r="GF370" s="99"/>
      <c r="GG370" s="99"/>
      <c r="GH370" s="99"/>
      <c r="GI370" s="99"/>
      <c r="GJ370" s="99"/>
      <c r="GK370" s="99"/>
      <c r="GL370" s="99"/>
      <c r="GM370" s="99"/>
      <c r="GN370" s="99"/>
      <c r="GO370" s="99"/>
      <c r="GP370" s="99"/>
      <c r="GQ370" s="99"/>
      <c r="GR370" s="99"/>
      <c r="GS370" s="99"/>
      <c r="GT370" s="99"/>
      <c r="GU370" s="99"/>
      <c r="GV370" s="99"/>
      <c r="GW370" s="99"/>
      <c r="GX370" s="99"/>
      <c r="GY370" s="99"/>
      <c r="GZ370" s="99"/>
      <c r="HA370" s="99"/>
      <c r="HB370" s="99"/>
      <c r="HC370" s="99"/>
      <c r="HD370" s="99"/>
      <c r="HE370" s="99"/>
      <c r="HF370" s="99"/>
      <c r="HG370" s="99"/>
      <c r="HH370" s="99"/>
      <c r="HI370" s="99"/>
      <c r="HJ370" s="99"/>
      <c r="HK370" s="99"/>
      <c r="HL370" s="99"/>
      <c r="HM370" s="99"/>
      <c r="HN370" s="99"/>
      <c r="HO370" s="99"/>
      <c r="HP370" s="99"/>
      <c r="HQ370" s="99"/>
      <c r="HR370" s="99"/>
      <c r="HS370" s="99"/>
      <c r="HT370" s="99"/>
      <c r="HU370" s="99"/>
      <c r="HV370" s="99"/>
      <c r="HW370" s="99"/>
      <c r="HX370" s="99"/>
      <c r="HY370" s="99"/>
      <c r="HZ370" s="99"/>
      <c r="IA370" s="99"/>
      <c r="IB370" s="99"/>
      <c r="IC370" s="99"/>
      <c r="ID370" s="99"/>
      <c r="IE370" s="99"/>
      <c r="IF370" s="99"/>
      <c r="IG370" s="99"/>
      <c r="IH370" s="99"/>
      <c r="II370" s="99"/>
      <c r="IJ370" s="99"/>
      <c r="IK370" s="99"/>
      <c r="IL370" s="99"/>
      <c r="IM370" s="99"/>
      <c r="IN370" s="99"/>
      <c r="IO370" s="99"/>
      <c r="IP370" s="99"/>
      <c r="IQ370" s="99"/>
      <c r="IR370" s="99"/>
      <c r="IS370" s="99"/>
      <c r="IT370" s="99"/>
      <c r="IU370" s="99"/>
      <c r="IV370" s="99"/>
      <c r="IW370" s="99"/>
      <c r="IX370" s="99"/>
      <c r="IY370" s="99"/>
      <c r="IZ370" s="99"/>
    </row>
    <row r="371" spans="1:260" s="259" customFormat="1" ht="12.75" customHeight="1" x14ac:dyDescent="0.2">
      <c r="A371" s="53" t="s">
        <v>35</v>
      </c>
      <c r="B371" s="151">
        <f>B48+B56+B63+B70+B77+B242</f>
        <v>116</v>
      </c>
      <c r="C371" s="151">
        <f>C48+C56+C63+C70+C77+C242</f>
        <v>124</v>
      </c>
      <c r="D371" s="151">
        <f>D48+D56+D63+D70+D77+D242</f>
        <v>149</v>
      </c>
      <c r="E371" s="724">
        <f>E48+E56+E63+E70+E77+E242</f>
        <v>151</v>
      </c>
      <c r="F371" s="151">
        <f>F48+F56+F63+F70+F77+F242</f>
        <v>153</v>
      </c>
      <c r="G371" s="151">
        <f>G48+G56+G63+G70+G77+G242</f>
        <v>168</v>
      </c>
      <c r="H371" s="151">
        <f>H48+H56+H63+H70+H77+H242</f>
        <v>202</v>
      </c>
      <c r="I371" s="724">
        <f>I48+I56+I63+I70+I77+I242</f>
        <v>204</v>
      </c>
      <c r="J371" s="151">
        <f>J48+J56+J63+J70+J77+J242</f>
        <v>213</v>
      </c>
      <c r="K371" s="151">
        <f>K48+K56+K63+K70+K77+K242</f>
        <v>224</v>
      </c>
      <c r="L371" s="151">
        <f>L48+L56+L63+L70+L77+L242</f>
        <v>251</v>
      </c>
      <c r="M371" s="724">
        <f>M48+M56+M63+M70+M77+M242</f>
        <v>251</v>
      </c>
      <c r="N371" s="151">
        <f>N48+N56+N63+N70+N77+N242</f>
        <v>259</v>
      </c>
      <c r="O371" s="151">
        <f>O48+O56+O63+O70+O77+O242</f>
        <v>262</v>
      </c>
      <c r="P371" s="151">
        <f>P48+P56+P63+P70+P77+P242</f>
        <v>272</v>
      </c>
      <c r="Q371" s="724">
        <f>Q48+Q56+Q63+Q70+Q77+Q242</f>
        <v>272</v>
      </c>
      <c r="R371" s="151">
        <f>R48+R56+R63+R70+R77+R242</f>
        <v>274</v>
      </c>
      <c r="S371" s="151">
        <f>S48+S56+S63+S70+S77+S242</f>
        <v>280</v>
      </c>
      <c r="T371" s="151">
        <f>T48+T56+T63+T70+T77+T242</f>
        <v>285</v>
      </c>
      <c r="U371" s="724">
        <f>U48+U56+U63+U70+U77+U242</f>
        <v>284</v>
      </c>
      <c r="V371" s="151">
        <f>V48+V56+V63+V70+V77+V242</f>
        <v>289</v>
      </c>
      <c r="W371" s="151">
        <f>W48+W56+W63+W70+W77+W242</f>
        <v>289</v>
      </c>
      <c r="X371" s="151">
        <f>X48+X56+X63+X70+X77+X242</f>
        <v>312</v>
      </c>
      <c r="Y371" s="724">
        <f>Y48+Y56+Y63+Y70+Y77+Y242</f>
        <v>311</v>
      </c>
      <c r="Z371" s="151">
        <f>Z48+Z56+Z63+Z70+Z77+Z242</f>
        <v>313</v>
      </c>
      <c r="AA371" s="151">
        <f>AA48+AA56+AA63+AA70+AA77+AA242</f>
        <v>332</v>
      </c>
      <c r="AB371" s="151">
        <f>AB48+AB56+AB63+AB70+AB77+AB242</f>
        <v>354</v>
      </c>
      <c r="AC371" s="724">
        <f>AC48+AC56+AC63+AC70+AC77+AC242</f>
        <v>357</v>
      </c>
      <c r="AD371" s="151">
        <f>AD48+AD56+AD63+AD70+AD77+AD242</f>
        <v>361</v>
      </c>
      <c r="AE371" s="151">
        <f>AE48+AE56+AE63+AE70+AE77+AE242</f>
        <v>373</v>
      </c>
      <c r="AF371" s="151">
        <f>AF48+AF56+AF63+AF70+AF77+AF242</f>
        <v>413</v>
      </c>
      <c r="AG371" s="724">
        <f>AG48+AG56+AG63+AG70+AG77+AG242</f>
        <v>432</v>
      </c>
      <c r="AH371" s="151">
        <f>AH48+AH56+AH63+AH70+AH77+AH242</f>
        <v>534</v>
      </c>
      <c r="AI371" s="151">
        <f>AI48+AI56+AI63+AI70+AI77+AI242</f>
        <v>543</v>
      </c>
      <c r="AJ371" s="151">
        <f>AJ48+AJ56+AJ63+AJ70+AJ77+AJ242</f>
        <v>586</v>
      </c>
      <c r="AK371" s="724">
        <f>AK48+AK56+AK63+AK70+AK77+AK242</f>
        <v>589</v>
      </c>
      <c r="AL371" s="151">
        <f>AL48+AL56+AL63+AL70+AL77+AL242</f>
        <v>606</v>
      </c>
      <c r="AM371" s="151">
        <f>AM48+AM56+AM63+AM70+AM77+AM242</f>
        <v>632</v>
      </c>
      <c r="AN371" s="151">
        <f>AN48+AN56+AN63+AN70+AN77+AN242</f>
        <v>677</v>
      </c>
      <c r="AO371" s="724">
        <f>AO48+AO56+AO63+AO70+AO77+AO242</f>
        <v>679</v>
      </c>
      <c r="AP371" s="151">
        <f>AP48+AP56+AP63+AP70+AP77+AP242</f>
        <v>685</v>
      </c>
      <c r="AQ371" s="151">
        <f>AQ48+AQ56+AQ63+AQ70+AQ77+AQ242</f>
        <v>706</v>
      </c>
      <c r="AR371" s="151">
        <f>AR48+AR56+AR63+AR70+AR77+AR242</f>
        <v>749</v>
      </c>
      <c r="AS371" s="724">
        <f>AS48+AS56+AS63+AS70+AS77+AS242</f>
        <v>758</v>
      </c>
      <c r="AT371" s="151">
        <f>AT48+AT56+AT63+AT70+AT77+AT242</f>
        <v>770</v>
      </c>
      <c r="AU371" s="151">
        <f>AU48+AU56+AU63+AU70+AU77+AU242</f>
        <v>782</v>
      </c>
      <c r="AV371" s="151">
        <f>AV48+AV56+AV63+AV70+AV77+AV242</f>
        <v>827</v>
      </c>
      <c r="AW371" s="724">
        <f>AW48+AW56+AW63+AW70+AW77+AW242</f>
        <v>838</v>
      </c>
      <c r="AX371" s="151">
        <f>AX82+AX259</f>
        <v>852</v>
      </c>
      <c r="AY371" s="151">
        <f>AY82+AY259</f>
        <v>874</v>
      </c>
      <c r="AZ371" s="151">
        <f>AZ82+AZ259</f>
        <v>932</v>
      </c>
      <c r="BA371" s="724">
        <f>BA82+BA259</f>
        <v>941</v>
      </c>
      <c r="BB371" s="151">
        <f>BB82+BB259</f>
        <v>969</v>
      </c>
      <c r="BC371" s="151">
        <f>BC82+BC259</f>
        <v>1111</v>
      </c>
      <c r="BD371" s="151">
        <f>BD82+BD259</f>
        <v>1164</v>
      </c>
      <c r="BE371" s="724">
        <f>BE82+BE259</f>
        <v>1177</v>
      </c>
      <c r="BF371" s="151">
        <f>BF82+BF259</f>
        <v>1204</v>
      </c>
      <c r="BG371" s="151">
        <f>BG82+BG259</f>
        <v>1229</v>
      </c>
      <c r="BH371" s="151">
        <f>BH82+BH259</f>
        <v>1293</v>
      </c>
      <c r="BI371" s="724">
        <f>BI82+BI259</f>
        <v>1314</v>
      </c>
      <c r="BJ371" s="151">
        <f>BJ82+BJ259</f>
        <v>1349</v>
      </c>
      <c r="BK371" s="151">
        <f>BK82+BK259</f>
        <v>1383</v>
      </c>
      <c r="BL371" s="151">
        <f>BL82+BL259</f>
        <v>3889</v>
      </c>
      <c r="BM371" s="724">
        <f>BM82+BM259</f>
        <v>3942</v>
      </c>
      <c r="BN371" s="151">
        <f>BN82+BN259</f>
        <v>3947</v>
      </c>
      <c r="BO371" s="151">
        <f>BO82+BO259</f>
        <v>3966</v>
      </c>
      <c r="BP371" s="151">
        <f>BP82+BP259</f>
        <v>4015</v>
      </c>
      <c r="BQ371" s="724">
        <f>BQ82+BQ259</f>
        <v>4025</v>
      </c>
      <c r="BR371" s="151">
        <f>BR82+BR259</f>
        <v>4022</v>
      </c>
      <c r="BS371" s="151">
        <f>BS82+BS259</f>
        <v>4080</v>
      </c>
      <c r="BT371" s="151">
        <f>BT82+BT259</f>
        <v>4127</v>
      </c>
      <c r="BU371" s="724">
        <f>BU82+BU259</f>
        <v>4172</v>
      </c>
      <c r="BV371" s="151">
        <f>BV82+BV259</f>
        <v>4186</v>
      </c>
      <c r="BW371" s="151">
        <f>BW82+BW259</f>
        <v>4245</v>
      </c>
      <c r="BX371" s="151">
        <f>BX82+BX259</f>
        <v>4336</v>
      </c>
      <c r="BY371" s="724">
        <f>BY82+BY259</f>
        <v>4308</v>
      </c>
      <c r="BZ371" s="151"/>
      <c r="CA371" s="151"/>
      <c r="CB371" s="151"/>
      <c r="CC371" s="724"/>
      <c r="CD371" s="151"/>
      <c r="CE371" s="151"/>
      <c r="CF371" s="151"/>
      <c r="CG371" s="724"/>
      <c r="CH371" s="151">
        <f>CH82+CH259</f>
        <v>4335</v>
      </c>
      <c r="CI371" s="151">
        <f>CI82+CI259</f>
        <v>4316</v>
      </c>
      <c r="CJ371" s="151">
        <f>CJ82+CJ259</f>
        <v>4379</v>
      </c>
      <c r="CK371" s="724">
        <f>CK82+CK259</f>
        <v>4380</v>
      </c>
      <c r="CL371" s="151"/>
      <c r="CM371" s="151"/>
      <c r="CN371" s="151"/>
      <c r="CO371" s="724"/>
      <c r="CP371" s="151">
        <f>CP82+CP259</f>
        <v>1793</v>
      </c>
      <c r="CQ371" s="151">
        <f>CQ82+CQ259</f>
        <v>1791</v>
      </c>
      <c r="CR371" s="151">
        <f>CR82+CR259</f>
        <v>1790</v>
      </c>
      <c r="CS371" s="724">
        <f>CS82+CS259</f>
        <v>1779</v>
      </c>
      <c r="CT371" s="151">
        <f>CT82+CT290</f>
        <v>1777</v>
      </c>
      <c r="CU371" s="151">
        <f>CU82+CU290</f>
        <v>1759</v>
      </c>
      <c r="CV371" s="151">
        <f>CV82+CV290</f>
        <v>1757</v>
      </c>
      <c r="CW371" s="724">
        <f>CW82+CW290</f>
        <v>1729</v>
      </c>
      <c r="CX371" s="151">
        <f>CX82+CX290</f>
        <v>1657</v>
      </c>
      <c r="CY371" s="151">
        <f>CY82+CY290</f>
        <v>1648</v>
      </c>
      <c r="CZ371" s="151">
        <f>CZ82+CZ290</f>
        <v>1646</v>
      </c>
      <c r="DA371" s="724">
        <f>DA82+DA290</f>
        <v>1631</v>
      </c>
      <c r="DB371" s="151">
        <f>DB82+DB290</f>
        <v>1617</v>
      </c>
      <c r="DC371" s="151">
        <f>DC82+DC290</f>
        <v>1610</v>
      </c>
      <c r="DD371" s="151">
        <f>DD82+DD290</f>
        <v>1596</v>
      </c>
      <c r="DE371" s="724">
        <f>DE82+DE290</f>
        <v>1575</v>
      </c>
      <c r="DF371" s="151">
        <f>DF82+DF290</f>
        <v>1562</v>
      </c>
      <c r="DG371" s="151">
        <f>DG82+DG290</f>
        <v>1557</v>
      </c>
      <c r="DH371" s="151">
        <f>DH82+DH290</f>
        <v>1537</v>
      </c>
      <c r="DI371" s="724">
        <f>DI82+DI290</f>
        <v>1508</v>
      </c>
      <c r="DJ371" s="1700">
        <f>DJ82+DJ290</f>
        <v>1251</v>
      </c>
      <c r="DK371" s="151">
        <f>DK82+DK290</f>
        <v>1250</v>
      </c>
      <c r="DL371" s="151">
        <f>DL82+DL290</f>
        <v>1249</v>
      </c>
      <c r="DM371" s="724">
        <f>DM82+DM290</f>
        <v>1247</v>
      </c>
      <c r="DN371" s="1625"/>
      <c r="DO371" s="1627"/>
      <c r="DP371" s="151"/>
      <c r="DQ371" s="151"/>
      <c r="DR371" s="151"/>
      <c r="DS371" s="151"/>
      <c r="DT371" s="151"/>
      <c r="DU371" s="151">
        <f>DU82+DU259</f>
        <v>56</v>
      </c>
      <c r="DV371" s="151">
        <f>DV82+DV259</f>
        <v>73</v>
      </c>
      <c r="DW371" s="151">
        <f>DW82+DW259</f>
        <v>111</v>
      </c>
      <c r="DX371" s="151">
        <f>DX82+DX259</f>
        <v>151</v>
      </c>
      <c r="DY371" s="151">
        <f>DY82+DY259</f>
        <v>204</v>
      </c>
      <c r="DZ371" s="151">
        <f>DZ82+DZ259</f>
        <v>251</v>
      </c>
      <c r="EA371" s="151">
        <f>EA82+EA259</f>
        <v>272</v>
      </c>
      <c r="EB371" s="151">
        <f>EB82+EB259</f>
        <v>284</v>
      </c>
      <c r="EC371" s="151">
        <f>EC82+EC259</f>
        <v>311</v>
      </c>
      <c r="ED371" s="151">
        <f>ED82+ED259</f>
        <v>357</v>
      </c>
      <c r="EE371" s="151">
        <f>EE82+EE259</f>
        <v>432</v>
      </c>
      <c r="EF371" s="151">
        <f>EF82+EF259</f>
        <v>589</v>
      </c>
      <c r="EG371" s="151">
        <f>EG82+EG259</f>
        <v>679</v>
      </c>
      <c r="EH371" s="151">
        <f>EH82+EH259</f>
        <v>758</v>
      </c>
      <c r="EI371" s="151">
        <f>EI82+EI259</f>
        <v>838</v>
      </c>
      <c r="EJ371" s="151">
        <f>EJ82+EJ259</f>
        <v>941</v>
      </c>
      <c r="EK371" s="151">
        <f>EK82+EK259</f>
        <v>1172</v>
      </c>
      <c r="EL371" s="151">
        <f>EL82+EL259</f>
        <v>1314</v>
      </c>
      <c r="EM371" s="151">
        <f>EM82+EM259</f>
        <v>3942</v>
      </c>
      <c r="EN371" s="151">
        <f>EN82+EN259</f>
        <v>4025</v>
      </c>
      <c r="EO371" s="151">
        <f>EO82+EO259</f>
        <v>4172</v>
      </c>
      <c r="EP371" s="151">
        <f>EP82+EP259</f>
        <v>4308</v>
      </c>
      <c r="EQ371" s="151">
        <f>+EQ82+EQ290</f>
        <v>4172</v>
      </c>
      <c r="ER371" s="151">
        <f>+ER82+ER290</f>
        <v>4308</v>
      </c>
      <c r="ES371" s="151">
        <f>ES82+ES259</f>
        <v>4379</v>
      </c>
      <c r="ET371" s="151">
        <f>+ET82+ET290</f>
        <v>1787</v>
      </c>
      <c r="EU371" s="151">
        <f>EU82+EU259</f>
        <v>1779</v>
      </c>
      <c r="EV371" s="151">
        <f>CW371</f>
        <v>1729</v>
      </c>
      <c r="EW371" s="151">
        <f>DA371</f>
        <v>1631</v>
      </c>
      <c r="EX371" s="151">
        <f>DE371</f>
        <v>1575</v>
      </c>
      <c r="EY371" s="151">
        <f>DI371</f>
        <v>1508</v>
      </c>
      <c r="EZ371" s="1700">
        <f>DM371</f>
        <v>1247</v>
      </c>
      <c r="FA371" s="151">
        <f>FA82+FA290</f>
        <v>1249</v>
      </c>
      <c r="FB371" s="151">
        <f>FB82+FB290</f>
        <v>1252</v>
      </c>
      <c r="FC371" s="151">
        <f>FC82+FC290</f>
        <v>1258</v>
      </c>
      <c r="FD371" s="151">
        <f>FD82+FD290</f>
        <v>1264</v>
      </c>
      <c r="FE371" s="151">
        <f>FE82+FE290</f>
        <v>1270</v>
      </c>
      <c r="FF371" s="151">
        <f>FF82+FF290</f>
        <v>1276</v>
      </c>
      <c r="FG371" s="151">
        <f>FG82+FG290</f>
        <v>1282</v>
      </c>
      <c r="FH371" s="151">
        <f>FH82+FH290</f>
        <v>1288</v>
      </c>
      <c r="FI371" s="734"/>
      <c r="FJ371"/>
      <c r="FK371"/>
      <c r="FL371"/>
      <c r="FM371"/>
      <c r="FN371"/>
      <c r="FO371"/>
      <c r="FP371" s="1435"/>
      <c r="FQ371" s="1435"/>
      <c r="FR371" s="1435"/>
      <c r="FS371" s="151"/>
      <c r="FT371" s="151"/>
      <c r="FU371" s="1388"/>
      <c r="FV371" s="1388"/>
      <c r="FW371" s="151"/>
      <c r="FX371" s="151"/>
      <c r="FY371" s="151"/>
      <c r="FZ371" s="99"/>
      <c r="GA371" s="99"/>
      <c r="GB371" s="99"/>
      <c r="GC371" s="99"/>
      <c r="GD371" s="99"/>
      <c r="GE371" s="99"/>
      <c r="GF371" s="99"/>
      <c r="GG371" s="99"/>
      <c r="GH371" s="99"/>
      <c r="GI371" s="99"/>
      <c r="GJ371" s="99"/>
      <c r="GK371" s="99"/>
      <c r="GL371" s="99"/>
      <c r="GM371" s="99"/>
      <c r="GN371" s="99"/>
      <c r="GO371" s="99"/>
      <c r="GP371" s="99"/>
      <c r="GQ371" s="99"/>
      <c r="GR371" s="99"/>
      <c r="GS371" s="99"/>
      <c r="GT371" s="99"/>
      <c r="GU371" s="99"/>
      <c r="GV371" s="99"/>
      <c r="GW371" s="99"/>
      <c r="GX371" s="99"/>
      <c r="GY371" s="99"/>
      <c r="GZ371" s="99"/>
      <c r="HA371" s="99"/>
      <c r="HB371" s="99"/>
      <c r="HC371" s="99"/>
      <c r="HD371" s="99"/>
      <c r="HE371" s="99"/>
      <c r="HF371" s="99"/>
      <c r="HG371" s="99"/>
      <c r="HH371" s="99"/>
      <c r="HI371" s="99"/>
      <c r="HJ371" s="99"/>
      <c r="HK371" s="99"/>
      <c r="HL371" s="99"/>
      <c r="HM371" s="99"/>
      <c r="HN371" s="99"/>
      <c r="HO371" s="99"/>
      <c r="HP371" s="99"/>
      <c r="HQ371" s="99"/>
      <c r="HR371" s="99"/>
      <c r="HS371" s="99"/>
      <c r="HT371" s="99"/>
      <c r="HU371" s="99"/>
      <c r="HV371" s="99"/>
      <c r="HW371" s="99"/>
      <c r="HX371" s="99"/>
      <c r="HY371" s="99"/>
      <c r="HZ371" s="99"/>
      <c r="IA371" s="99"/>
      <c r="IB371" s="99"/>
      <c r="IC371" s="99"/>
      <c r="ID371" s="99"/>
      <c r="IE371" s="99"/>
      <c r="IF371" s="99"/>
      <c r="IG371" s="99"/>
      <c r="IH371" s="99"/>
      <c r="II371" s="99"/>
      <c r="IJ371" s="99"/>
      <c r="IK371" s="99"/>
      <c r="IL371" s="99"/>
      <c r="IM371" s="99"/>
      <c r="IN371" s="99"/>
      <c r="IO371" s="99"/>
      <c r="IP371" s="99"/>
      <c r="IQ371" s="99"/>
      <c r="IR371" s="99"/>
      <c r="IS371" s="99"/>
      <c r="IT371" s="99"/>
      <c r="IU371" s="99"/>
      <c r="IV371" s="99"/>
      <c r="IW371" s="99"/>
      <c r="IX371" s="99"/>
      <c r="IY371" s="99"/>
      <c r="IZ371" s="99"/>
    </row>
    <row r="372" spans="1:260" s="190" customFormat="1" ht="12.75" customHeight="1" x14ac:dyDescent="0.2">
      <c r="A372" s="2259" t="s">
        <v>88</v>
      </c>
      <c r="B372" s="2260"/>
      <c r="C372" s="2260"/>
      <c r="D372" s="2260"/>
      <c r="E372" s="2261"/>
      <c r="F372" s="2260">
        <f t="shared" ref="F372:AK372" si="1374">1*(F371/B371-1)</f>
        <v>0.31896551724137923</v>
      </c>
      <c r="G372" s="2260">
        <f t="shared" si="1374"/>
        <v>0.35483870967741926</v>
      </c>
      <c r="H372" s="2260">
        <f t="shared" si="1374"/>
        <v>0.35570469798657722</v>
      </c>
      <c r="I372" s="2261">
        <f t="shared" si="1374"/>
        <v>0.35099337748344372</v>
      </c>
      <c r="J372" s="2260">
        <f t="shared" si="1374"/>
        <v>0.39215686274509798</v>
      </c>
      <c r="K372" s="2260">
        <f t="shared" si="1374"/>
        <v>0.33333333333333326</v>
      </c>
      <c r="L372" s="2260">
        <f t="shared" si="1374"/>
        <v>0.24257425742574257</v>
      </c>
      <c r="M372" s="2261">
        <f t="shared" si="1374"/>
        <v>0.23039215686274517</v>
      </c>
      <c r="N372" s="2260">
        <f t="shared" si="1374"/>
        <v>0.215962441314554</v>
      </c>
      <c r="O372" s="2260">
        <f t="shared" si="1374"/>
        <v>0.16964285714285721</v>
      </c>
      <c r="P372" s="2260">
        <f t="shared" si="1374"/>
        <v>8.3665338645418252E-2</v>
      </c>
      <c r="Q372" s="2261">
        <f t="shared" si="1374"/>
        <v>8.3665338645418252E-2</v>
      </c>
      <c r="R372" s="2260">
        <f t="shared" si="1374"/>
        <v>5.7915057915058021E-2</v>
      </c>
      <c r="S372" s="2260">
        <f t="shared" si="1374"/>
        <v>6.8702290076335881E-2</v>
      </c>
      <c r="T372" s="2260">
        <f t="shared" si="1374"/>
        <v>4.7794117647058876E-2</v>
      </c>
      <c r="U372" s="2261">
        <f t="shared" si="1374"/>
        <v>4.4117647058823595E-2</v>
      </c>
      <c r="V372" s="2260">
        <f t="shared" si="1374"/>
        <v>5.4744525547445244E-2</v>
      </c>
      <c r="W372" s="2260">
        <f t="shared" si="1374"/>
        <v>3.2142857142857251E-2</v>
      </c>
      <c r="X372" s="2260">
        <f t="shared" si="1374"/>
        <v>9.473684210526323E-2</v>
      </c>
      <c r="Y372" s="2261">
        <f t="shared" si="1374"/>
        <v>9.5070422535211252E-2</v>
      </c>
      <c r="Z372" s="2260">
        <f t="shared" si="1374"/>
        <v>8.3044982698961878E-2</v>
      </c>
      <c r="AA372" s="2260">
        <f t="shared" si="1374"/>
        <v>0.1487889273356402</v>
      </c>
      <c r="AB372" s="2260">
        <f t="shared" si="1374"/>
        <v>0.13461538461538458</v>
      </c>
      <c r="AC372" s="2261">
        <f t="shared" si="1374"/>
        <v>0.14790996784565924</v>
      </c>
      <c r="AD372" s="2260">
        <f t="shared" si="1374"/>
        <v>0.15335463258785942</v>
      </c>
      <c r="AE372" s="2260">
        <f t="shared" si="1374"/>
        <v>0.12349397590361444</v>
      </c>
      <c r="AF372" s="2260">
        <f t="shared" si="1374"/>
        <v>0.16666666666666674</v>
      </c>
      <c r="AG372" s="2261">
        <f t="shared" si="1374"/>
        <v>0.2100840336134453</v>
      </c>
      <c r="AH372" s="2260">
        <f t="shared" si="1374"/>
        <v>0.47922437673130203</v>
      </c>
      <c r="AI372" s="2260">
        <f t="shared" si="1374"/>
        <v>0.45576407506702421</v>
      </c>
      <c r="AJ372" s="2260">
        <f t="shared" si="1374"/>
        <v>0.41888619854721543</v>
      </c>
      <c r="AK372" s="2261">
        <f t="shared" si="1374"/>
        <v>0.36342592592592582</v>
      </c>
      <c r="AL372" s="2260">
        <f t="shared" ref="AL372:BM372" si="1375">1*(AL371/AH371-1)</f>
        <v>0.13483146067415741</v>
      </c>
      <c r="AM372" s="2260">
        <f t="shared" si="1375"/>
        <v>0.16390423572744006</v>
      </c>
      <c r="AN372" s="2260">
        <f t="shared" si="1375"/>
        <v>0.15529010238907848</v>
      </c>
      <c r="AO372" s="2261">
        <f t="shared" si="1375"/>
        <v>0.15280135823429553</v>
      </c>
      <c r="AP372" s="2260">
        <f t="shared" si="1375"/>
        <v>0.13036303630363033</v>
      </c>
      <c r="AQ372" s="2260">
        <f t="shared" si="1375"/>
        <v>0.11708860759493667</v>
      </c>
      <c r="AR372" s="2260">
        <f t="shared" si="1375"/>
        <v>0.10635155096011806</v>
      </c>
      <c r="AS372" s="2261">
        <f t="shared" si="1375"/>
        <v>0.11634756995581741</v>
      </c>
      <c r="AT372" s="2260">
        <f t="shared" si="1375"/>
        <v>0.12408759124087587</v>
      </c>
      <c r="AU372" s="2260">
        <f t="shared" si="1375"/>
        <v>0.10764872521246449</v>
      </c>
      <c r="AV372" s="2260">
        <f t="shared" si="1375"/>
        <v>0.10413885180240312</v>
      </c>
      <c r="AW372" s="2261">
        <f t="shared" si="1375"/>
        <v>0.10554089709762526</v>
      </c>
      <c r="AX372" s="2260">
        <f t="shared" si="1375"/>
        <v>0.10649350649350642</v>
      </c>
      <c r="AY372" s="2260">
        <f t="shared" si="1375"/>
        <v>0.11764705882352944</v>
      </c>
      <c r="AZ372" s="2260">
        <f t="shared" si="1375"/>
        <v>0.12696493349455862</v>
      </c>
      <c r="BA372" s="2261">
        <f t="shared" si="1375"/>
        <v>0.1229116945107398</v>
      </c>
      <c r="BB372" s="2260">
        <f t="shared" si="1375"/>
        <v>0.13732394366197176</v>
      </c>
      <c r="BC372" s="2260">
        <f t="shared" si="1375"/>
        <v>0.27116704805491998</v>
      </c>
      <c r="BD372" s="2260">
        <f t="shared" si="1375"/>
        <v>0.24892703862660936</v>
      </c>
      <c r="BE372" s="2261">
        <f t="shared" si="1375"/>
        <v>0.25079702444208296</v>
      </c>
      <c r="BF372" s="2260">
        <f t="shared" si="1375"/>
        <v>0.24251805985552122</v>
      </c>
      <c r="BG372" s="2262">
        <f t="shared" si="1375"/>
        <v>0.1062106210621061</v>
      </c>
      <c r="BH372" s="2262">
        <f t="shared" si="1375"/>
        <v>0.11082474226804129</v>
      </c>
      <c r="BI372" s="2263">
        <f t="shared" si="1375"/>
        <v>0.11639762107051821</v>
      </c>
      <c r="BJ372" s="2260">
        <f t="shared" si="1375"/>
        <v>0.12043189368770757</v>
      </c>
      <c r="BK372" s="2262">
        <f t="shared" si="1375"/>
        <v>0.12530512611879585</v>
      </c>
      <c r="BL372" s="2262">
        <f t="shared" si="1375"/>
        <v>2.0077339520494975</v>
      </c>
      <c r="BM372" s="2263">
        <f t="shared" si="1375"/>
        <v>2</v>
      </c>
      <c r="BN372" s="2260">
        <f t="shared" ref="BN372:BY372" si="1376">BN371/BJ371-1</f>
        <v>1.9258710155670866</v>
      </c>
      <c r="BO372" s="2260">
        <f t="shared" si="1376"/>
        <v>1.8676789587852496</v>
      </c>
      <c r="BP372" s="2260">
        <f t="shared" si="1376"/>
        <v>3.239907431216249E-2</v>
      </c>
      <c r="BQ372" s="2261">
        <f t="shared" si="1376"/>
        <v>2.1055301877219712E-2</v>
      </c>
      <c r="BR372" s="2260">
        <f t="shared" si="1376"/>
        <v>1.9001773498859897E-2</v>
      </c>
      <c r="BS372" s="2260">
        <f t="shared" si="1376"/>
        <v>2.8744326777609741E-2</v>
      </c>
      <c r="BT372" s="2260">
        <f t="shared" si="1376"/>
        <v>2.789539227895399E-2</v>
      </c>
      <c r="BU372" s="2261">
        <f t="shared" si="1376"/>
        <v>3.6521739130434883E-2</v>
      </c>
      <c r="BV372" s="2260">
        <f t="shared" si="1376"/>
        <v>4.0775733465937325E-2</v>
      </c>
      <c r="BW372" s="2260">
        <f t="shared" si="1376"/>
        <v>4.0441176470588314E-2</v>
      </c>
      <c r="BX372" s="2260">
        <f t="shared" si="1376"/>
        <v>5.0642112914950355E-2</v>
      </c>
      <c r="BY372" s="2261">
        <f t="shared" si="1376"/>
        <v>3.2598274209012512E-2</v>
      </c>
      <c r="BZ372" s="2260"/>
      <c r="CA372" s="2260"/>
      <c r="CB372" s="2260"/>
      <c r="CC372" s="2261"/>
      <c r="CD372" s="2260"/>
      <c r="CE372" s="2260"/>
      <c r="CF372" s="2260"/>
      <c r="CG372" s="2261"/>
      <c r="CH372" s="2260">
        <f>CH371/BV371-1</f>
        <v>3.559483994266599E-2</v>
      </c>
      <c r="CI372" s="2260">
        <f>CI371/BW371-1</f>
        <v>1.6725559481743257E-2</v>
      </c>
      <c r="CJ372" s="2260">
        <f>CJ371/BX371-1</f>
        <v>9.916974169741799E-3</v>
      </c>
      <c r="CK372" s="2261">
        <f>CK371/BY371-1</f>
        <v>1.6713091922005541E-2</v>
      </c>
      <c r="CL372" s="2260"/>
      <c r="CM372" s="2260"/>
      <c r="CN372" s="2260"/>
      <c r="CO372" s="2261"/>
      <c r="CP372" s="2260">
        <f>CP371/CH371-1</f>
        <v>-0.58638985005767008</v>
      </c>
      <c r="CQ372" s="2260">
        <f>CQ371/CI371-1</f>
        <v>-0.585032437442076</v>
      </c>
      <c r="CR372" s="2262">
        <f>CR371/CJ371-1</f>
        <v>-0.59123087462891077</v>
      </c>
      <c r="CS372" s="2261">
        <f>CS371/CK371-1</f>
        <v>-0.59383561643835614</v>
      </c>
      <c r="CT372" s="2260">
        <f t="shared" ref="CT372:DB372" si="1377">CT371/CP371-1</f>
        <v>-8.9235917456775837E-3</v>
      </c>
      <c r="CU372" s="2262">
        <f t="shared" si="1377"/>
        <v>-1.7867113344500307E-2</v>
      </c>
      <c r="CV372" s="2262">
        <f t="shared" si="1377"/>
        <v>-1.8435754189944142E-2</v>
      </c>
      <c r="CW372" s="2263">
        <f t="shared" si="1377"/>
        <v>-2.810567734682401E-2</v>
      </c>
      <c r="CX372" s="2262">
        <f t="shared" si="1377"/>
        <v>-6.7529544175576772E-2</v>
      </c>
      <c r="CY372" s="2262">
        <f t="shared" si="1377"/>
        <v>-6.3104036384309281E-2</v>
      </c>
      <c r="CZ372" s="2262">
        <f t="shared" si="1377"/>
        <v>-6.3175867956744458E-2</v>
      </c>
      <c r="DA372" s="2263">
        <f t="shared" si="1377"/>
        <v>-5.6680161943319818E-2</v>
      </c>
      <c r="DB372" s="2262">
        <f t="shared" si="1377"/>
        <v>-2.4140012070006045E-2</v>
      </c>
      <c r="DC372" s="2262">
        <f t="shared" ref="DC372:DM372" si="1378">DC371/CY371-1</f>
        <v>-2.3058252427184511E-2</v>
      </c>
      <c r="DD372" s="2262">
        <f t="shared" si="1378"/>
        <v>-3.0376670716889431E-2</v>
      </c>
      <c r="DE372" s="2263">
        <f t="shared" si="1378"/>
        <v>-3.4334763948497882E-2</v>
      </c>
      <c r="DF372" s="2262">
        <f t="shared" si="1378"/>
        <v>-3.4013605442176909E-2</v>
      </c>
      <c r="DG372" s="2262">
        <f t="shared" si="1378"/>
        <v>-3.2919254658385078E-2</v>
      </c>
      <c r="DH372" s="2262">
        <f t="shared" si="1378"/>
        <v>-3.6967418546365871E-2</v>
      </c>
      <c r="DI372" s="2263">
        <f t="shared" si="1378"/>
        <v>-4.2539682539682544E-2</v>
      </c>
      <c r="DJ372" s="2264">
        <f t="shared" si="1378"/>
        <v>-0.19910371318822018</v>
      </c>
      <c r="DK372" s="2260">
        <f t="shared" si="1378"/>
        <v>-0.19717405266538213</v>
      </c>
      <c r="DL372" s="2260">
        <f t="shared" si="1378"/>
        <v>-0.18737800910865321</v>
      </c>
      <c r="DM372" s="2261">
        <f t="shared" si="1378"/>
        <v>-0.17307692307692313</v>
      </c>
      <c r="DN372" s="2265"/>
      <c r="DO372" s="408"/>
      <c r="DP372" s="2260"/>
      <c r="DQ372" s="2260"/>
      <c r="DR372" s="2260"/>
      <c r="DS372" s="2260"/>
      <c r="DT372" s="2260"/>
      <c r="DU372" s="2260"/>
      <c r="DV372" s="2260">
        <f t="shared" ref="DV372:EM372" si="1379">1*(DV371/DU371-1)</f>
        <v>0.3035714285714286</v>
      </c>
      <c r="DW372" s="2260">
        <f t="shared" si="1379"/>
        <v>0.52054794520547953</v>
      </c>
      <c r="DX372" s="2260">
        <f t="shared" si="1379"/>
        <v>0.36036036036036045</v>
      </c>
      <c r="DY372" s="2260">
        <f t="shared" si="1379"/>
        <v>0.35099337748344372</v>
      </c>
      <c r="DZ372" s="2260">
        <f t="shared" si="1379"/>
        <v>0.23039215686274517</v>
      </c>
      <c r="EA372" s="2260">
        <f t="shared" si="1379"/>
        <v>8.3665338645418252E-2</v>
      </c>
      <c r="EB372" s="2260">
        <f t="shared" si="1379"/>
        <v>4.4117647058823595E-2</v>
      </c>
      <c r="EC372" s="2260">
        <f t="shared" si="1379"/>
        <v>9.5070422535211252E-2</v>
      </c>
      <c r="ED372" s="2260">
        <f t="shared" si="1379"/>
        <v>0.14790996784565924</v>
      </c>
      <c r="EE372" s="2260">
        <f t="shared" si="1379"/>
        <v>0.2100840336134453</v>
      </c>
      <c r="EF372" s="2260">
        <f t="shared" si="1379"/>
        <v>0.36342592592592582</v>
      </c>
      <c r="EG372" s="2260">
        <f t="shared" si="1379"/>
        <v>0.15280135823429553</v>
      </c>
      <c r="EH372" s="2260">
        <f t="shared" si="1379"/>
        <v>0.11634756995581741</v>
      </c>
      <c r="EI372" s="2260">
        <f t="shared" si="1379"/>
        <v>0.10554089709762526</v>
      </c>
      <c r="EJ372" s="2260">
        <f t="shared" si="1379"/>
        <v>0.1229116945107398</v>
      </c>
      <c r="EK372" s="2260">
        <f t="shared" si="1379"/>
        <v>0.24548352816153018</v>
      </c>
      <c r="EL372" s="2260">
        <f t="shared" si="1379"/>
        <v>0.12116040955631391</v>
      </c>
      <c r="EM372" s="2260">
        <f t="shared" si="1379"/>
        <v>2</v>
      </c>
      <c r="EN372" s="2260">
        <f>EN371/EM371-1</f>
        <v>2.1055301877219712E-2</v>
      </c>
      <c r="EO372" s="2260">
        <f>EO371/EN371-1</f>
        <v>3.6521739130434883E-2</v>
      </c>
      <c r="EP372" s="2260">
        <f>EP371/EO371-1</f>
        <v>3.2598274209012512E-2</v>
      </c>
      <c r="EQ372" s="2260">
        <f>+EQ371/EN371-1</f>
        <v>3.6521739130434883E-2</v>
      </c>
      <c r="ER372" s="2260">
        <f>+ER371/EQ371-1</f>
        <v>3.2598274209012512E-2</v>
      </c>
      <c r="ES372" s="2260">
        <f>ES371/EP371-1</f>
        <v>1.6480965645311096E-2</v>
      </c>
      <c r="ET372" s="2260">
        <f>+ET371/ER371-1</f>
        <v>-0.58519034354688948</v>
      </c>
      <c r="EU372" s="2260">
        <f>+EU371/ET371-1</f>
        <v>-4.4767767207610776E-3</v>
      </c>
      <c r="EV372" s="2260">
        <f t="shared" ref="EV372:FC372" si="1380">EV371/EU371-1</f>
        <v>-2.810567734682401E-2</v>
      </c>
      <c r="EW372" s="2260">
        <f t="shared" si="1380"/>
        <v>-5.6680161943319818E-2</v>
      </c>
      <c r="EX372" s="2262">
        <f t="shared" si="1380"/>
        <v>-3.4334763948497882E-2</v>
      </c>
      <c r="EY372" s="2262">
        <f t="shared" si="1380"/>
        <v>-4.2539682539682544E-2</v>
      </c>
      <c r="EZ372" s="2264">
        <f t="shared" si="1380"/>
        <v>-0.17307692307692313</v>
      </c>
      <c r="FA372" s="2260">
        <f t="shared" si="1380"/>
        <v>1.6038492381715841E-3</v>
      </c>
      <c r="FB372" s="2260">
        <f t="shared" si="1380"/>
        <v>2.4019215372297342E-3</v>
      </c>
      <c r="FC372" s="2260">
        <f t="shared" si="1380"/>
        <v>4.7923322683705027E-3</v>
      </c>
      <c r="FD372" s="2260">
        <f>FD371/FC371-1</f>
        <v>4.7694753577105509E-3</v>
      </c>
      <c r="FE372" s="2260">
        <f>FE371/FD371-1</f>
        <v>4.746835443038E-3</v>
      </c>
      <c r="FF372" s="2260">
        <f>FF371/FE371-1</f>
        <v>4.7244094488188004E-3</v>
      </c>
      <c r="FG372" s="2260">
        <f>FG371/FF371-1</f>
        <v>4.7021943573668512E-3</v>
      </c>
      <c r="FH372" s="2260">
        <f>FH371/FG371-1</f>
        <v>4.6801872074881956E-3</v>
      </c>
      <c r="FI372" s="2266"/>
      <c r="FJ372"/>
      <c r="FK372"/>
      <c r="FL372"/>
      <c r="FM372"/>
      <c r="FN372"/>
      <c r="FO372"/>
      <c r="FP372" s="1474"/>
      <c r="FQ372" s="1474"/>
      <c r="FR372" s="1474"/>
      <c r="FS372" s="2262"/>
      <c r="FT372" s="2262"/>
      <c r="FU372" s="1388"/>
      <c r="FV372" s="1388"/>
      <c r="FW372" s="2262"/>
      <c r="FX372" s="2262"/>
      <c r="FY372" s="2262"/>
      <c r="FZ372" s="99"/>
      <c r="GA372" s="99"/>
      <c r="GB372" s="99"/>
      <c r="GC372" s="99"/>
      <c r="GD372" s="99"/>
      <c r="GE372" s="99"/>
      <c r="GF372" s="99"/>
      <c r="GG372" s="99"/>
      <c r="GH372" s="99"/>
      <c r="GI372" s="99"/>
      <c r="GJ372" s="99"/>
      <c r="GK372" s="99"/>
      <c r="GL372" s="99"/>
      <c r="GM372" s="99"/>
      <c r="GN372" s="99"/>
      <c r="GO372" s="99"/>
      <c r="GP372" s="99"/>
      <c r="GQ372" s="99"/>
      <c r="GR372" s="99"/>
      <c r="GS372" s="99"/>
      <c r="GT372" s="99"/>
      <c r="GU372" s="99"/>
      <c r="GV372" s="99"/>
      <c r="GW372" s="99"/>
      <c r="GX372" s="99"/>
      <c r="GY372" s="99"/>
      <c r="GZ372" s="99"/>
      <c r="HA372" s="99"/>
      <c r="HB372" s="99"/>
      <c r="HC372" s="99"/>
      <c r="HD372" s="99"/>
      <c r="HE372" s="99"/>
      <c r="HF372" s="99"/>
      <c r="HG372" s="99"/>
      <c r="HH372" s="99"/>
      <c r="HI372" s="99"/>
      <c r="HJ372" s="99"/>
      <c r="HK372" s="99"/>
      <c r="HL372" s="99"/>
      <c r="HM372" s="99"/>
      <c r="HN372" s="99"/>
      <c r="HO372" s="99"/>
      <c r="HP372" s="99"/>
      <c r="HQ372" s="99"/>
      <c r="HR372" s="99"/>
      <c r="HS372" s="99"/>
      <c r="HT372" s="99"/>
      <c r="HU372" s="99"/>
      <c r="HV372" s="99"/>
      <c r="HW372" s="99"/>
      <c r="HX372" s="99"/>
      <c r="HY372" s="99"/>
      <c r="HZ372" s="99"/>
      <c r="IA372" s="99"/>
      <c r="IB372" s="99"/>
      <c r="IC372" s="99"/>
      <c r="ID372" s="99"/>
      <c r="IE372" s="99"/>
      <c r="IF372" s="99"/>
      <c r="IG372" s="99"/>
      <c r="IH372" s="99"/>
      <c r="II372" s="99"/>
      <c r="IJ372" s="99"/>
      <c r="IK372" s="99"/>
      <c r="IL372" s="99"/>
      <c r="IM372" s="99"/>
      <c r="IN372" s="99"/>
      <c r="IO372" s="99"/>
      <c r="IP372" s="99"/>
      <c r="IQ372" s="99"/>
      <c r="IR372" s="99"/>
      <c r="IS372" s="99"/>
      <c r="IT372" s="99"/>
      <c r="IU372" s="99"/>
      <c r="IV372" s="99"/>
      <c r="IW372" s="99"/>
      <c r="IX372" s="99"/>
      <c r="IY372" s="99"/>
      <c r="IZ372" s="99"/>
    </row>
    <row r="373" spans="1:260" s="190" customFormat="1" ht="12.75" customHeight="1" x14ac:dyDescent="0.2">
      <c r="A373" s="2259"/>
      <c r="B373" s="2260"/>
      <c r="C373" s="2260"/>
      <c r="D373" s="2260"/>
      <c r="E373" s="2261"/>
      <c r="F373" s="2260"/>
      <c r="G373" s="2260"/>
      <c r="H373" s="2260"/>
      <c r="I373" s="2261"/>
      <c r="J373" s="2260"/>
      <c r="K373" s="2260"/>
      <c r="L373" s="2260"/>
      <c r="M373" s="2261"/>
      <c r="N373" s="2260"/>
      <c r="O373" s="2260"/>
      <c r="P373" s="2260"/>
      <c r="Q373" s="2261"/>
      <c r="R373" s="2260"/>
      <c r="S373" s="2260"/>
      <c r="T373" s="2260"/>
      <c r="U373" s="2261"/>
      <c r="V373" s="2260"/>
      <c r="W373" s="2260"/>
      <c r="X373" s="2260"/>
      <c r="Y373" s="2261"/>
      <c r="Z373" s="2260"/>
      <c r="AA373" s="2260"/>
      <c r="AB373" s="2260"/>
      <c r="AC373" s="2261"/>
      <c r="AD373" s="2260"/>
      <c r="AE373" s="2260"/>
      <c r="AF373" s="2260"/>
      <c r="AG373" s="2261"/>
      <c r="AH373" s="2260"/>
      <c r="AI373" s="2260"/>
      <c r="AJ373" s="2260"/>
      <c r="AK373" s="2261"/>
      <c r="AL373" s="2260"/>
      <c r="AM373" s="2260"/>
      <c r="AN373" s="2260"/>
      <c r="AO373" s="2261"/>
      <c r="AP373" s="2260"/>
      <c r="AQ373" s="2260"/>
      <c r="AR373" s="2260"/>
      <c r="AS373" s="2261"/>
      <c r="AT373" s="2260"/>
      <c r="AU373" s="2260"/>
      <c r="AV373" s="2260"/>
      <c r="AW373" s="2261"/>
      <c r="AX373" s="2260"/>
      <c r="AY373" s="2260"/>
      <c r="AZ373" s="2260"/>
      <c r="BA373" s="2261"/>
      <c r="BB373" s="2260"/>
      <c r="BC373" s="2260"/>
      <c r="BD373" s="2260"/>
      <c r="BE373" s="2261"/>
      <c r="BF373" s="2260"/>
      <c r="BG373" s="2262"/>
      <c r="BH373" s="2262"/>
      <c r="BI373" s="2263"/>
      <c r="BJ373" s="2260"/>
      <c r="BK373" s="2262"/>
      <c r="BL373" s="2262"/>
      <c r="BM373" s="2263"/>
      <c r="BN373" s="2260"/>
      <c r="BO373" s="2260"/>
      <c r="BP373" s="2260"/>
      <c r="BQ373" s="2261"/>
      <c r="BR373" s="2260"/>
      <c r="BS373" s="2260"/>
      <c r="BT373" s="2260"/>
      <c r="BU373" s="2261"/>
      <c r="BV373" s="2260"/>
      <c r="BW373" s="2260"/>
      <c r="BX373" s="2260"/>
      <c r="BY373" s="2261"/>
      <c r="BZ373" s="2260"/>
      <c r="CA373" s="2260"/>
      <c r="CB373" s="2260"/>
      <c r="CC373" s="2261"/>
      <c r="CD373" s="2260"/>
      <c r="CE373" s="2260"/>
      <c r="CF373" s="2260"/>
      <c r="CG373" s="2261"/>
      <c r="CH373" s="2260"/>
      <c r="CI373" s="2260"/>
      <c r="CJ373" s="2260"/>
      <c r="CK373" s="2261"/>
      <c r="CL373" s="2260"/>
      <c r="CM373" s="2260"/>
      <c r="CN373" s="2260"/>
      <c r="CO373" s="2261"/>
      <c r="CP373" s="2260"/>
      <c r="CQ373" s="2260"/>
      <c r="CR373" s="2262"/>
      <c r="CS373" s="2261"/>
      <c r="CT373" s="2260"/>
      <c r="CU373" s="2262"/>
      <c r="CV373" s="2262"/>
      <c r="CW373" s="2263"/>
      <c r="CX373" s="2262"/>
      <c r="CY373" s="2262"/>
      <c r="CZ373" s="2262"/>
      <c r="DA373" s="2263"/>
      <c r="DB373" s="2262"/>
      <c r="DC373" s="2262"/>
      <c r="DD373" s="2262"/>
      <c r="DE373" s="2263"/>
      <c r="DF373" s="2262"/>
      <c r="DG373" s="2262"/>
      <c r="DH373" s="2262"/>
      <c r="DI373" s="2263"/>
      <c r="DJ373" s="2264"/>
      <c r="DK373" s="2260"/>
      <c r="DL373" s="2260"/>
      <c r="DM373" s="2261"/>
      <c r="DN373" s="2265"/>
      <c r="DO373" s="408"/>
      <c r="DP373" s="2260"/>
      <c r="DQ373" s="2260"/>
      <c r="DR373" s="2260"/>
      <c r="DS373" s="2260"/>
      <c r="DT373" s="2260"/>
      <c r="DU373" s="2260"/>
      <c r="DV373" s="2260"/>
      <c r="DW373" s="2260"/>
      <c r="DX373" s="2260"/>
      <c r="DY373" s="2260"/>
      <c r="DZ373" s="2260"/>
      <c r="EA373" s="2260"/>
      <c r="EB373" s="2260"/>
      <c r="EC373" s="2260"/>
      <c r="ED373" s="2260"/>
      <c r="EE373" s="2260"/>
      <c r="EF373" s="2260"/>
      <c r="EG373" s="2260"/>
      <c r="EH373" s="2260"/>
      <c r="EI373" s="2260"/>
      <c r="EJ373" s="2260"/>
      <c r="EK373" s="2260"/>
      <c r="EL373" s="2260"/>
      <c r="EM373" s="2260"/>
      <c r="EN373" s="2260"/>
      <c r="EO373" s="2260"/>
      <c r="EP373" s="2260"/>
      <c r="EQ373" s="2260"/>
      <c r="ER373" s="2260"/>
      <c r="ES373" s="2260"/>
      <c r="ET373" s="2260"/>
      <c r="EU373" s="2260"/>
      <c r="EV373" s="2260"/>
      <c r="EW373" s="2260"/>
      <c r="EX373" s="2262"/>
      <c r="EY373" s="2262"/>
      <c r="EZ373" s="2264"/>
      <c r="FA373" s="2260"/>
      <c r="FB373" s="2260"/>
      <c r="FC373" s="2260"/>
      <c r="FD373" s="2260"/>
      <c r="FE373" s="2260"/>
      <c r="FF373" s="2260"/>
      <c r="FG373" s="2260"/>
      <c r="FH373" s="2260"/>
      <c r="FI373" s="2266"/>
      <c r="FJ373"/>
      <c r="FK373"/>
      <c r="FL373"/>
      <c r="FM373"/>
      <c r="FN373"/>
      <c r="FO373"/>
      <c r="FP373" s="1474"/>
      <c r="FQ373" s="1474"/>
      <c r="FR373" s="1474"/>
      <c r="FS373" s="2262"/>
      <c r="FT373" s="2262"/>
      <c r="FU373" s="1388"/>
      <c r="FV373" s="1388"/>
      <c r="FW373" s="2262"/>
      <c r="FX373" s="2262"/>
      <c r="FY373" s="2262"/>
      <c r="FZ373" s="99"/>
      <c r="GA373" s="99"/>
      <c r="GB373" s="99"/>
      <c r="GC373" s="99"/>
      <c r="GD373" s="99"/>
      <c r="GE373" s="99"/>
      <c r="GF373" s="99"/>
      <c r="GG373" s="99"/>
      <c r="GH373" s="99"/>
      <c r="GI373" s="99"/>
      <c r="GJ373" s="99"/>
      <c r="GK373" s="99"/>
      <c r="GL373" s="99"/>
      <c r="GM373" s="99"/>
      <c r="GN373" s="99"/>
      <c r="GO373" s="99"/>
      <c r="GP373" s="99"/>
      <c r="GQ373" s="99"/>
      <c r="GR373" s="99"/>
      <c r="GS373" s="99"/>
      <c r="GT373" s="99"/>
      <c r="GU373" s="99"/>
      <c r="GV373" s="99"/>
      <c r="GW373" s="99"/>
      <c r="GX373" s="99"/>
      <c r="GY373" s="99"/>
      <c r="GZ373" s="99"/>
      <c r="HA373" s="99"/>
      <c r="HB373" s="99"/>
      <c r="HC373" s="99"/>
      <c r="HD373" s="99"/>
      <c r="HE373" s="99"/>
      <c r="HF373" s="99"/>
      <c r="HG373" s="99"/>
      <c r="HH373" s="99"/>
      <c r="HI373" s="99"/>
      <c r="HJ373" s="99"/>
      <c r="HK373" s="99"/>
      <c r="HL373" s="99"/>
      <c r="HM373" s="99"/>
      <c r="HN373" s="99"/>
      <c r="HO373" s="99"/>
      <c r="HP373" s="99"/>
      <c r="HQ373" s="99"/>
      <c r="HR373" s="99"/>
      <c r="HS373" s="99"/>
      <c r="HT373" s="99"/>
      <c r="HU373" s="99"/>
      <c r="HV373" s="99"/>
      <c r="HW373" s="99"/>
      <c r="HX373" s="99"/>
      <c r="HY373" s="99"/>
      <c r="HZ373" s="99"/>
      <c r="IA373" s="99"/>
      <c r="IB373" s="99"/>
      <c r="IC373" s="99"/>
      <c r="ID373" s="99"/>
      <c r="IE373" s="99"/>
      <c r="IF373" s="99"/>
      <c r="IG373" s="99"/>
      <c r="IH373" s="99"/>
      <c r="II373" s="99"/>
      <c r="IJ373" s="99"/>
      <c r="IK373" s="99"/>
      <c r="IL373" s="99"/>
      <c r="IM373" s="99"/>
      <c r="IN373" s="99"/>
      <c r="IO373" s="99"/>
      <c r="IP373" s="99"/>
      <c r="IQ373" s="99"/>
      <c r="IR373" s="99"/>
      <c r="IS373" s="99"/>
      <c r="IT373" s="99"/>
      <c r="IU373" s="99"/>
      <c r="IV373" s="99"/>
      <c r="IW373" s="99"/>
      <c r="IX373" s="99"/>
      <c r="IY373" s="99"/>
      <c r="IZ373" s="99"/>
    </row>
    <row r="374" spans="1:260" s="190" customFormat="1" ht="12.75" customHeight="1" x14ac:dyDescent="0.2">
      <c r="A374" s="2267" t="s">
        <v>51</v>
      </c>
      <c r="B374" s="2268"/>
      <c r="C374" s="2268"/>
      <c r="D374" s="2268"/>
      <c r="E374" s="2269"/>
      <c r="F374" s="2268"/>
      <c r="G374" s="2268"/>
      <c r="H374" s="2268"/>
      <c r="I374" s="2269"/>
      <c r="J374" s="2268">
        <f>J44+J66+J80+J73+J244</f>
        <v>0</v>
      </c>
      <c r="K374" s="2268">
        <f>K44+K66+K80+K73+K244</f>
        <v>0</v>
      </c>
      <c r="L374" s="2268">
        <f>L44+L66+L80+L73+L244</f>
        <v>0</v>
      </c>
      <c r="M374" s="2269">
        <f>M44+M66+M80+M73+M244</f>
        <v>0</v>
      </c>
      <c r="N374" s="2268">
        <f>N44+N66+N80+N73+N244</f>
        <v>10940</v>
      </c>
      <c r="O374" s="2268">
        <f>O44+O66+O80+O73+O244</f>
        <v>11118</v>
      </c>
      <c r="P374" s="2268">
        <f>P44+P66+P80+P73+P244</f>
        <v>11683</v>
      </c>
      <c r="Q374" s="2269">
        <f>Q44+Q66+Q80+Q73+Q244</f>
        <v>11692</v>
      </c>
      <c r="R374" s="2268">
        <f>R44+R66+R80+R73+R244</f>
        <v>11816</v>
      </c>
      <c r="S374" s="2268">
        <f>S44+S66+S80+S73+S244</f>
        <v>12103</v>
      </c>
      <c r="T374" s="2268">
        <f>T44+T66+T80+T73+T244</f>
        <v>12362</v>
      </c>
      <c r="U374" s="2269">
        <f>U44+U66+U80+U73+U244</f>
        <v>12334</v>
      </c>
      <c r="V374" s="2268">
        <f>V44+V66+V80+V73+V244</f>
        <v>12559</v>
      </c>
      <c r="W374" s="2268">
        <f>W44+W66+W80+W73+W244</f>
        <v>12567</v>
      </c>
      <c r="X374" s="2268">
        <f>X44+X66+X80+X73+X244</f>
        <v>13662</v>
      </c>
      <c r="Y374" s="2269">
        <f>Y44+Y66+Y80+Y73+Y244</f>
        <v>13634</v>
      </c>
      <c r="Z374" s="2268">
        <f>Z44+Z66+Z80+Z73+Z244</f>
        <v>13749</v>
      </c>
      <c r="AA374" s="2268">
        <f>AA44+AA66+AA80+AA73+AA244</f>
        <v>14576</v>
      </c>
      <c r="AB374" s="2268">
        <f>AB44+AB66+AB80+AB73+AB244</f>
        <v>15683</v>
      </c>
      <c r="AC374" s="2269">
        <f>AC44+AC66+AC80+AC73+AC244</f>
        <v>15773</v>
      </c>
      <c r="AD374" s="2268">
        <f>AD44+AD66+AD80+AD73+AD244</f>
        <v>15961</v>
      </c>
      <c r="AE374" s="2268">
        <f>AE44+AE66+AE80+AE73+AE244</f>
        <v>16411</v>
      </c>
      <c r="AF374" s="2268">
        <f>AF44+AF66+AF80+AF73+AF244</f>
        <v>18247</v>
      </c>
      <c r="AG374" s="2269">
        <f>AG44+AG66+AG80+AG73+AG244</f>
        <v>18628.599999999999</v>
      </c>
      <c r="AH374" s="2268">
        <f>AH85+AH244</f>
        <v>19557</v>
      </c>
      <c r="AI374" s="2268">
        <f>AI85+AI244</f>
        <v>19980</v>
      </c>
      <c r="AJ374" s="2268">
        <f>AJ85+AJ244</f>
        <v>24052</v>
      </c>
      <c r="AK374" s="2269">
        <f>AK85+AK244</f>
        <v>24235</v>
      </c>
      <c r="AL374" s="2268">
        <f>AL85+AL244</f>
        <v>24776</v>
      </c>
      <c r="AM374" s="2268">
        <f>AM85+AM244</f>
        <v>25846</v>
      </c>
      <c r="AN374" s="2268">
        <f>AN85+AN244</f>
        <v>27472</v>
      </c>
      <c r="AO374" s="2269">
        <v>27547</v>
      </c>
      <c r="AP374" s="2268">
        <f>AP85+AP244</f>
        <v>27785</v>
      </c>
      <c r="AQ374" s="2268">
        <f>AQ85+AQ244</f>
        <v>28480</v>
      </c>
      <c r="AR374" s="2268">
        <f>AR85+AR244</f>
        <v>29995</v>
      </c>
      <c r="AS374" s="2269">
        <f>AS85+AS244</f>
        <v>30286</v>
      </c>
      <c r="AT374" s="2268">
        <f>AT85+AT244</f>
        <v>30666</v>
      </c>
      <c r="AU374" s="2268">
        <f>AU85+AU244</f>
        <v>31034</v>
      </c>
      <c r="AV374" s="2268">
        <f>AV85+AV244</f>
        <v>32222</v>
      </c>
      <c r="AW374" s="2269">
        <f>AW85+AW244</f>
        <v>32570</v>
      </c>
      <c r="AX374" s="2268">
        <f>AX85+AX244</f>
        <v>32996</v>
      </c>
      <c r="AY374" s="2268">
        <f>AY85+AY244</f>
        <v>33573</v>
      </c>
      <c r="AZ374" s="2268">
        <f>AZ85+AZ244</f>
        <v>35240</v>
      </c>
      <c r="BA374" s="2269">
        <f>BA85+BA244</f>
        <v>35525.75</v>
      </c>
      <c r="BB374" s="2268">
        <f>BB85+BB244</f>
        <v>36443.979999999996</v>
      </c>
      <c r="BC374" s="2268">
        <f>BC85+BC244</f>
        <v>41331</v>
      </c>
      <c r="BD374" s="2268">
        <f>BD85+BD244</f>
        <v>43002</v>
      </c>
      <c r="BE374" s="2269">
        <f>BE85+BE244</f>
        <v>43511</v>
      </c>
      <c r="BF374" s="2268">
        <f>BF85+BF244</f>
        <v>44517</v>
      </c>
      <c r="BG374" s="2268">
        <f>BG85+BG244</f>
        <v>45520</v>
      </c>
      <c r="BH374" s="2268">
        <f>BH85+BH244</f>
        <v>47785</v>
      </c>
      <c r="BI374" s="2269">
        <f>BI85+BI244</f>
        <v>48580</v>
      </c>
      <c r="BJ374" s="2268">
        <f>BJ85+BJ244</f>
        <v>49812</v>
      </c>
      <c r="BK374" s="2268">
        <f>BK85+BK244</f>
        <v>50699</v>
      </c>
      <c r="BL374" s="2268">
        <f>BL85+BL244</f>
        <v>53340</v>
      </c>
      <c r="BM374" s="2269">
        <f>BM85+BM244</f>
        <v>54255</v>
      </c>
      <c r="BN374" s="2268">
        <f>BN85+BN244</f>
        <v>54506</v>
      </c>
      <c r="BO374" s="2268">
        <f>BO85+BO244</f>
        <v>55128</v>
      </c>
      <c r="BP374" s="2268">
        <f>BP85+BP244</f>
        <v>56038</v>
      </c>
      <c r="BQ374" s="2269">
        <f>BQ85+BQ244</f>
        <v>56103.044836100002</v>
      </c>
      <c r="BR374" s="2268">
        <f>BR85+BR244</f>
        <v>56583</v>
      </c>
      <c r="BS374" s="2268">
        <f>BS85+BS244</f>
        <v>57338</v>
      </c>
      <c r="BT374" s="2268">
        <f>BT85+BT244</f>
        <v>57881</v>
      </c>
      <c r="BU374" s="2269">
        <f>BU85+BU244</f>
        <v>58105</v>
      </c>
      <c r="BV374" s="2268">
        <f>BV85+BV244</f>
        <v>58181</v>
      </c>
      <c r="BW374" s="2268">
        <f>BW85+BW244</f>
        <v>58855</v>
      </c>
      <c r="BX374" s="2268">
        <f>BX85+BX244</f>
        <v>59357</v>
      </c>
      <c r="BY374" s="2269">
        <f>BY85+BY244</f>
        <v>59637</v>
      </c>
      <c r="BZ374" s="2268"/>
      <c r="CA374" s="2268"/>
      <c r="CB374" s="2268"/>
      <c r="CC374" s="2269"/>
      <c r="CD374" s="2268"/>
      <c r="CE374" s="2268"/>
      <c r="CF374" s="2268"/>
      <c r="CG374" s="2269"/>
      <c r="CH374" s="2268">
        <f>CH85+CH244</f>
        <v>59695</v>
      </c>
      <c r="CI374" s="2268">
        <f>CI85+CI244</f>
        <v>58503</v>
      </c>
      <c r="CJ374" s="2268">
        <f>CJ85+CJ244</f>
        <v>58605</v>
      </c>
      <c r="CK374" s="2269">
        <f>CK85+CK244</f>
        <v>57281</v>
      </c>
      <c r="CL374" s="2268"/>
      <c r="CM374" s="2268"/>
      <c r="CN374" s="2268"/>
      <c r="CO374" s="2269"/>
      <c r="CP374" s="2268">
        <f>CP85+CP244</f>
        <v>48825</v>
      </c>
      <c r="CQ374" s="2268">
        <f>CQ85+CQ244</f>
        <v>48847</v>
      </c>
      <c r="CR374" s="2268">
        <f>CR85+CR244</f>
        <v>48793</v>
      </c>
      <c r="CS374" s="2269">
        <f>CS85+CS244</f>
        <v>48687</v>
      </c>
      <c r="CT374" s="2268">
        <f>CT85+CT244</f>
        <v>48586</v>
      </c>
      <c r="CU374" s="2268">
        <f>CU92+CU244</f>
        <v>48409</v>
      </c>
      <c r="CV374" s="2268">
        <f>CV92+CV244</f>
        <v>48386</v>
      </c>
      <c r="CW374" s="2269">
        <f>CW92+CW244</f>
        <v>48186</v>
      </c>
      <c r="CX374" s="2268">
        <f>CX92+CX244</f>
        <v>46221</v>
      </c>
      <c r="CY374" s="2268">
        <f>CY92+CY244</f>
        <v>46149</v>
      </c>
      <c r="CZ374" s="2268">
        <f>CZ92+CZ244</f>
        <v>46144</v>
      </c>
      <c r="DA374" s="2269">
        <f>DA92+DA244</f>
        <v>45759</v>
      </c>
      <c r="DB374" s="2268">
        <f>DB92+DB244</f>
        <v>45668</v>
      </c>
      <c r="DC374" s="2268">
        <f>DC92+DC244</f>
        <v>45624</v>
      </c>
      <c r="DD374" s="2268">
        <f>DD92+DD244</f>
        <v>45361</v>
      </c>
      <c r="DE374" s="2269">
        <f>DE92+DE244</f>
        <v>45338</v>
      </c>
      <c r="DF374" s="2268">
        <f>DF92+DF244</f>
        <v>45267</v>
      </c>
      <c r="DG374" s="2268">
        <f>DG92+DG244</f>
        <v>45301</v>
      </c>
      <c r="DH374" s="2268">
        <f>DH92+DH244</f>
        <v>44779</v>
      </c>
      <c r="DI374" s="2269">
        <f>DI92+DI244</f>
        <v>44746</v>
      </c>
      <c r="DJ374" s="2270">
        <f>DJ92+DJ244</f>
        <v>43935</v>
      </c>
      <c r="DK374" s="2268">
        <f>DK92+DK244</f>
        <v>43818.34</v>
      </c>
      <c r="DL374" s="2268">
        <f>DL92+DL244</f>
        <v>43701.989168000007</v>
      </c>
      <c r="DM374" s="2269">
        <f>DM92+DM244</f>
        <v>43761.883868540004</v>
      </c>
      <c r="DN374" s="1381"/>
      <c r="DO374" s="2271"/>
      <c r="DP374" s="2272"/>
      <c r="DQ374" s="2272"/>
      <c r="DR374" s="2272"/>
      <c r="DS374" s="2272"/>
      <c r="DT374" s="2272"/>
      <c r="DU374" s="2268">
        <f>DU44+DU66+DU80+DU73+DU244</f>
        <v>1568</v>
      </c>
      <c r="DV374" s="2268">
        <f>DV44+DV66+DV80+DV73+DV244</f>
        <v>2044</v>
      </c>
      <c r="DW374" s="2268">
        <f>DW44+DW66+DW80+DW73+DW244</f>
        <v>3420</v>
      </c>
      <c r="DX374" s="2268">
        <f>DX44+DX66+DX80+DX73+DX244</f>
        <v>5155</v>
      </c>
      <c r="DY374" s="2268">
        <f>DY44+DY66+DY80+DY73+DY244</f>
        <v>7791</v>
      </c>
      <c r="DZ374" s="2268">
        <f>DZ44+DZ66+DZ80+DZ73+DZ244</f>
        <v>10480</v>
      </c>
      <c r="EA374" s="2268">
        <f>EA44+EA66+EA80+EA73+EA244</f>
        <v>11692</v>
      </c>
      <c r="EB374" s="2268">
        <f>EB44+EB66+EB80+EB73+EB244</f>
        <v>12334</v>
      </c>
      <c r="EC374" s="2268">
        <f>EC44+EC66+EC80+EC73+EC244</f>
        <v>13634</v>
      </c>
      <c r="ED374" s="2268">
        <f>ED44+ED66+ED80+ED73+ED244</f>
        <v>15773</v>
      </c>
      <c r="EE374" s="2268">
        <f>EE44+EE66+EE80+EE73+EE244</f>
        <v>18628.599999999999</v>
      </c>
      <c r="EF374" s="2268">
        <f>EF44+EF66+EF80+EF73+EF244</f>
        <v>23759</v>
      </c>
      <c r="EG374" s="2268">
        <f>EG44+EG66+EG80+EG73+EG244</f>
        <v>26962</v>
      </c>
      <c r="EH374" s="2268">
        <f>EH44+EH66+EH80+EH73+EH244</f>
        <v>29638</v>
      </c>
      <c r="EI374" s="2268">
        <f>EI44+EI66+EI80+EI73+EI244</f>
        <v>31846.998</v>
      </c>
      <c r="EJ374" s="2268">
        <f>EJ44+EJ66+EJ80+EJ73+EJ244</f>
        <v>34752.75</v>
      </c>
      <c r="EK374" s="2268">
        <f>EK44+EK66+EK80+EK73+EK244</f>
        <v>42649</v>
      </c>
      <c r="EL374" s="2268">
        <f>EL44+EL66+EL80+EL73+EL244</f>
        <v>47665</v>
      </c>
      <c r="EM374" s="2268">
        <f>EM85+EM244</f>
        <v>54255</v>
      </c>
      <c r="EN374" s="2268">
        <f>EN85+EN244</f>
        <v>56103.044836100002</v>
      </c>
      <c r="EO374" s="2268">
        <f>EO85+EO244</f>
        <v>58105</v>
      </c>
      <c r="EP374" s="2268">
        <f>EP85+EP244</f>
        <v>59637</v>
      </c>
      <c r="EQ374" s="2268">
        <f>+EQ92+EQ295</f>
        <v>58105</v>
      </c>
      <c r="ER374" s="2268">
        <f>+ER92+ER295</f>
        <v>59692</v>
      </c>
      <c r="ES374" s="2268">
        <f>ES85+ES244</f>
        <v>57399</v>
      </c>
      <c r="ET374" s="2268">
        <f>+ET92+ET295</f>
        <v>48986</v>
      </c>
      <c r="EU374" s="2268">
        <f>EU85+EU244</f>
        <v>48687</v>
      </c>
      <c r="EV374" s="2268">
        <f>EV85+EV244</f>
        <v>48310</v>
      </c>
      <c r="EW374" s="2268">
        <f>EW85+EW244</f>
        <v>46310</v>
      </c>
      <c r="EX374" s="2268">
        <f>EX85+EX244</f>
        <v>45338</v>
      </c>
      <c r="EY374" s="2268">
        <f>EY85+EY244</f>
        <v>44746</v>
      </c>
      <c r="EZ374" s="2270">
        <f>EZ85+EZ244</f>
        <v>43761.883868540004</v>
      </c>
      <c r="FA374" s="2268">
        <f>FA92+FA244</f>
        <v>43418.144062156491</v>
      </c>
      <c r="FB374" s="2268">
        <f>FB92+FB244</f>
        <v>43125.405876122029</v>
      </c>
      <c r="FC374" s="2268">
        <f>FC92+FC244</f>
        <v>42945.511733769265</v>
      </c>
      <c r="FD374" s="2268">
        <f>FD92+FD244</f>
        <v>42765.788654888063</v>
      </c>
      <c r="FE374" s="2268">
        <f>FE92+FE244</f>
        <v>42586.253336760768</v>
      </c>
      <c r="FF374" s="2268">
        <f>FF92+FF244</f>
        <v>42406.92212561769</v>
      </c>
      <c r="FG374" s="2268">
        <f>FG92+FG244</f>
        <v>42227.81102198852</v>
      </c>
      <c r="FH374" s="2268">
        <f>FH92+FH244</f>
        <v>42048.935685981603</v>
      </c>
      <c r="FI374" s="2273"/>
      <c r="FJ374"/>
      <c r="FK374"/>
      <c r="FL374"/>
      <c r="FM374"/>
      <c r="FN374"/>
      <c r="FO374"/>
      <c r="FP374" s="1474"/>
      <c r="FQ374" s="1474"/>
      <c r="FR374" s="1474"/>
      <c r="FS374" s="2268"/>
      <c r="FT374" s="2268"/>
      <c r="FU374" s="1388"/>
      <c r="FV374" s="1388"/>
      <c r="FW374" s="2268"/>
      <c r="FX374" s="2268"/>
      <c r="FY374" s="2268"/>
      <c r="FZ374" s="99"/>
      <c r="GA374" s="99"/>
      <c r="GB374" s="99"/>
      <c r="GC374" s="99"/>
      <c r="GD374" s="99"/>
      <c r="GE374" s="99"/>
      <c r="GF374" s="99"/>
      <c r="GG374" s="99"/>
      <c r="GH374" s="99"/>
      <c r="GI374" s="99"/>
      <c r="GJ374" s="99"/>
      <c r="GK374" s="99"/>
      <c r="GL374" s="99"/>
      <c r="GM374" s="99"/>
      <c r="GN374" s="99"/>
      <c r="GO374" s="99"/>
      <c r="GP374" s="99"/>
      <c r="GQ374" s="99"/>
      <c r="GR374" s="99"/>
      <c r="GS374" s="99"/>
      <c r="GT374" s="99"/>
      <c r="GU374" s="99"/>
      <c r="GV374" s="99"/>
      <c r="GW374" s="99"/>
      <c r="GX374" s="99"/>
      <c r="GY374" s="99"/>
      <c r="GZ374" s="99"/>
      <c r="HA374" s="99"/>
      <c r="HB374" s="99"/>
      <c r="HC374" s="99"/>
      <c r="HD374" s="99"/>
      <c r="HE374" s="99"/>
      <c r="HF374" s="99"/>
      <c r="HG374" s="99"/>
      <c r="HH374" s="99"/>
      <c r="HI374" s="99"/>
      <c r="HJ374" s="99"/>
      <c r="HK374" s="99"/>
      <c r="HL374" s="99"/>
      <c r="HM374" s="99"/>
      <c r="HN374" s="99"/>
      <c r="HO374" s="99"/>
      <c r="HP374" s="99"/>
      <c r="HQ374" s="99"/>
      <c r="HR374" s="99"/>
      <c r="HS374" s="99"/>
      <c r="HT374" s="99"/>
      <c r="HU374" s="99"/>
      <c r="HV374" s="99"/>
      <c r="HW374" s="99"/>
      <c r="HX374" s="99"/>
      <c r="HY374" s="99"/>
      <c r="HZ374" s="99"/>
      <c r="IA374" s="99"/>
      <c r="IB374" s="99"/>
      <c r="IC374" s="99"/>
      <c r="ID374" s="99"/>
      <c r="IE374" s="99"/>
      <c r="IF374" s="99"/>
      <c r="IG374" s="99"/>
      <c r="IH374" s="99"/>
      <c r="II374" s="99"/>
      <c r="IJ374" s="99"/>
      <c r="IK374" s="99"/>
      <c r="IL374" s="99"/>
      <c r="IM374" s="99"/>
      <c r="IN374" s="99"/>
      <c r="IO374" s="99"/>
      <c r="IP374" s="99"/>
      <c r="IQ374" s="99"/>
      <c r="IR374" s="99"/>
      <c r="IS374" s="99"/>
      <c r="IT374" s="99"/>
      <c r="IU374" s="99"/>
      <c r="IV374" s="99"/>
      <c r="IW374" s="99"/>
      <c r="IX374" s="99"/>
      <c r="IY374" s="99"/>
      <c r="IZ374" s="99"/>
    </row>
    <row r="375" spans="1:260" s="190" customFormat="1" ht="12.75" customHeight="1" x14ac:dyDescent="0.2">
      <c r="A375" s="2259" t="s">
        <v>88</v>
      </c>
      <c r="B375" s="2260"/>
      <c r="C375" s="2260"/>
      <c r="D375" s="2260"/>
      <c r="E375" s="2261"/>
      <c r="F375" s="2260"/>
      <c r="G375" s="2260"/>
      <c r="H375" s="2260"/>
      <c r="I375" s="2261"/>
      <c r="J375" s="2260"/>
      <c r="K375" s="2260"/>
      <c r="L375" s="2260"/>
      <c r="M375" s="2261"/>
      <c r="N375" s="2260"/>
      <c r="O375" s="2260"/>
      <c r="P375" s="2260"/>
      <c r="Q375" s="2261"/>
      <c r="R375" s="2260">
        <f t="shared" ref="R375:BE375" si="1381">R374/N374-1</f>
        <v>8.0073126142595985E-2</v>
      </c>
      <c r="S375" s="2260">
        <f t="shared" si="1381"/>
        <v>8.8595071055945329E-2</v>
      </c>
      <c r="T375" s="2260">
        <f t="shared" si="1381"/>
        <v>5.8118633912522366E-2</v>
      </c>
      <c r="U375" s="2261">
        <f t="shared" si="1381"/>
        <v>5.490933971946621E-2</v>
      </c>
      <c r="V375" s="2260">
        <f t="shared" si="1381"/>
        <v>6.2880839539607214E-2</v>
      </c>
      <c r="W375" s="2260">
        <f t="shared" si="1381"/>
        <v>3.8337602247376701E-2</v>
      </c>
      <c r="X375" s="2260">
        <f t="shared" si="1381"/>
        <v>0.1051609771881572</v>
      </c>
      <c r="Y375" s="2261">
        <f t="shared" si="1381"/>
        <v>0.10539970812388511</v>
      </c>
      <c r="Z375" s="2260">
        <f t="shared" si="1381"/>
        <v>9.4752766940042976E-2</v>
      </c>
      <c r="AA375" s="2260">
        <f t="shared" si="1381"/>
        <v>0.15986313360388316</v>
      </c>
      <c r="AB375" s="2260">
        <f t="shared" si="1381"/>
        <v>0.14792856097203932</v>
      </c>
      <c r="AC375" s="2261">
        <f t="shared" si="1381"/>
        <v>0.15688719378025517</v>
      </c>
      <c r="AD375" s="2260">
        <f t="shared" si="1381"/>
        <v>0.16088442795839697</v>
      </c>
      <c r="AE375" s="2260">
        <f t="shared" si="1381"/>
        <v>0.12589187705817784</v>
      </c>
      <c r="AF375" s="2260">
        <f t="shared" si="1381"/>
        <v>0.16348912835554419</v>
      </c>
      <c r="AG375" s="2261">
        <f t="shared" si="1381"/>
        <v>0.18104355544284534</v>
      </c>
      <c r="AH375" s="2260">
        <f t="shared" si="1381"/>
        <v>0.22529916671887729</v>
      </c>
      <c r="AI375" s="2260">
        <f t="shared" si="1381"/>
        <v>0.21747608311498379</v>
      </c>
      <c r="AJ375" s="2260">
        <f t="shared" si="1381"/>
        <v>0.31813448786101817</v>
      </c>
      <c r="AK375" s="2261">
        <f t="shared" si="1381"/>
        <v>0.30095659362485661</v>
      </c>
      <c r="AL375" s="2260">
        <f t="shared" si="1381"/>
        <v>0.26686097049649748</v>
      </c>
      <c r="AM375" s="2260">
        <f t="shared" si="1381"/>
        <v>0.2935935935935936</v>
      </c>
      <c r="AN375" s="2260">
        <f t="shared" si="1381"/>
        <v>0.14219191751205718</v>
      </c>
      <c r="AO375" s="2261">
        <f t="shared" si="1381"/>
        <v>0.13666185269238706</v>
      </c>
      <c r="AP375" s="2260">
        <f t="shared" si="1381"/>
        <v>0.12144817565385857</v>
      </c>
      <c r="AQ375" s="2260">
        <f t="shared" si="1381"/>
        <v>0.10191132090071964</v>
      </c>
      <c r="AR375" s="2260">
        <f t="shared" si="1381"/>
        <v>9.18389633080956E-2</v>
      </c>
      <c r="AS375" s="2261">
        <f t="shared" si="1381"/>
        <v>9.9430064979852517E-2</v>
      </c>
      <c r="AT375" s="2260">
        <f t="shared" si="1381"/>
        <v>0.10368904084937913</v>
      </c>
      <c r="AU375" s="2260">
        <f t="shared" si="1381"/>
        <v>8.9676966292134841E-2</v>
      </c>
      <c r="AV375" s="2260">
        <f t="shared" si="1381"/>
        <v>7.4245707617936363E-2</v>
      </c>
      <c r="AW375" s="2261">
        <f t="shared" si="1381"/>
        <v>7.5414382883180364E-2</v>
      </c>
      <c r="AX375" s="2260">
        <f t="shared" si="1381"/>
        <v>7.5979912606795708E-2</v>
      </c>
      <c r="AY375" s="2260">
        <f t="shared" si="1381"/>
        <v>8.1813494876586956E-2</v>
      </c>
      <c r="AZ375" s="2260">
        <f t="shared" si="1381"/>
        <v>9.3662714915275336E-2</v>
      </c>
      <c r="BA375" s="2261">
        <f t="shared" si="1381"/>
        <v>9.0750690819772828E-2</v>
      </c>
      <c r="BB375" s="2260">
        <f t="shared" si="1381"/>
        <v>0.10449690871620798</v>
      </c>
      <c r="BC375" s="2260">
        <f t="shared" si="1381"/>
        <v>0.2310785452595836</v>
      </c>
      <c r="BD375" s="2260">
        <f t="shared" si="1381"/>
        <v>0.22026106696935299</v>
      </c>
      <c r="BE375" s="2261">
        <f t="shared" si="1381"/>
        <v>0.22477357972738088</v>
      </c>
      <c r="BF375" s="2260">
        <f>(BF374/BB374-1)*(BF374/BB374-1)</f>
        <v>4.9070497099231454E-2</v>
      </c>
      <c r="BG375" s="2262">
        <f>BG374/BC374-1</f>
        <v>0.10135249570540283</v>
      </c>
      <c r="BH375" s="2262">
        <f>BH374/BD374-1</f>
        <v>0.11122738477280136</v>
      </c>
      <c r="BI375" s="2263">
        <f>BI374/BE374-1</f>
        <v>0.11649927604513799</v>
      </c>
      <c r="BJ375" s="2260">
        <f>(BJ374/BF374-1)*(BJ374/BF374-1)</f>
        <v>1.4147514567265733E-2</v>
      </c>
      <c r="BK375" s="2262">
        <f>BK374/BG374-1</f>
        <v>0.11377416520210892</v>
      </c>
      <c r="BL375" s="2262">
        <f>BL374/BH374-1</f>
        <v>0.11624986920581781</v>
      </c>
      <c r="BM375" s="2263">
        <f>BM374/BI374-1</f>
        <v>0.11681762041992583</v>
      </c>
      <c r="BN375" s="2260">
        <f>(BN374/BJ374-1)*(BN374/BJ374-1)</f>
        <v>8.8801072632149342E-3</v>
      </c>
      <c r="BO375" s="2262">
        <f t="shared" ref="BO375:BY375" si="1382">BO374/BK374-1</f>
        <v>8.7358725024162309E-2</v>
      </c>
      <c r="BP375" s="2262">
        <f t="shared" si="1382"/>
        <v>5.0581177352830853E-2</v>
      </c>
      <c r="BQ375" s="2263">
        <f t="shared" si="1382"/>
        <v>3.4062203227352317E-2</v>
      </c>
      <c r="BR375" s="2262">
        <f t="shared" si="1382"/>
        <v>3.810589659853969E-2</v>
      </c>
      <c r="BS375" s="2262">
        <f t="shared" si="1382"/>
        <v>4.0088521259614041E-2</v>
      </c>
      <c r="BT375" s="2262">
        <f t="shared" si="1382"/>
        <v>3.2888397159070548E-2</v>
      </c>
      <c r="BU375" s="2263">
        <f t="shared" si="1382"/>
        <v>3.5683538562809369E-2</v>
      </c>
      <c r="BV375" s="2262">
        <f t="shared" si="1382"/>
        <v>2.8241698036512775E-2</v>
      </c>
      <c r="BW375" s="2262">
        <f t="shared" si="1382"/>
        <v>2.6457148836722677E-2</v>
      </c>
      <c r="BX375" s="2262">
        <f t="shared" si="1382"/>
        <v>2.5500596050517466E-2</v>
      </c>
      <c r="BY375" s="2263">
        <f t="shared" si="1382"/>
        <v>2.6366061440495692E-2</v>
      </c>
      <c r="BZ375" s="2262"/>
      <c r="CA375" s="2262"/>
      <c r="CB375" s="2262"/>
      <c r="CC375" s="2263"/>
      <c r="CD375" s="2262"/>
      <c r="CE375" s="2262"/>
      <c r="CF375" s="2262"/>
      <c r="CG375" s="2263"/>
      <c r="CH375" s="2262">
        <f>CH374/BV374-1</f>
        <v>2.6022240937763286E-2</v>
      </c>
      <c r="CI375" s="2262">
        <f>CI374/BW374-1</f>
        <v>-5.9808002718545472E-3</v>
      </c>
      <c r="CJ375" s="2262">
        <f>CJ374/BX374-1</f>
        <v>-1.2669103896760237E-2</v>
      </c>
      <c r="CK375" s="2263">
        <f>CK374/BY374-1</f>
        <v>-3.9505676006506008E-2</v>
      </c>
      <c r="CL375" s="2262"/>
      <c r="CM375" s="2262"/>
      <c r="CN375" s="2262"/>
      <c r="CO375" s="2263"/>
      <c r="CP375" s="2262">
        <f>CP374/CH374-1</f>
        <v>-0.18209230253790099</v>
      </c>
      <c r="CQ375" s="2262">
        <f>CQ374/CI374-1</f>
        <v>-0.16505136488727079</v>
      </c>
      <c r="CR375" s="2262">
        <f>CR374/CJ374-1</f>
        <v>-0.16742598754372495</v>
      </c>
      <c r="CS375" s="2263">
        <f>CS374/CK374-1</f>
        <v>-0.15003229692219056</v>
      </c>
      <c r="CT375" s="2262">
        <f t="shared" ref="CT375:DB375" si="1383">CT374/CP374-1</f>
        <v>-4.8950332821300346E-3</v>
      </c>
      <c r="CU375" s="2262">
        <f t="shared" si="1383"/>
        <v>-8.9667738039183043E-3</v>
      </c>
      <c r="CV375" s="2262">
        <f t="shared" si="1383"/>
        <v>-8.3413604410468301E-3</v>
      </c>
      <c r="CW375" s="2263">
        <f t="shared" si="1383"/>
        <v>-1.0290221208946959E-2</v>
      </c>
      <c r="CX375" s="2262">
        <f t="shared" si="1383"/>
        <v>-4.8676573498538711E-2</v>
      </c>
      <c r="CY375" s="2262">
        <f t="shared" si="1383"/>
        <v>-4.6685533681753433E-2</v>
      </c>
      <c r="CZ375" s="2262">
        <f t="shared" si="1383"/>
        <v>-4.6335716942917382E-2</v>
      </c>
      <c r="DA375" s="2263">
        <f t="shared" si="1383"/>
        <v>-5.0367326609388585E-2</v>
      </c>
      <c r="DB375" s="2262">
        <f t="shared" si="1383"/>
        <v>-1.1964258670301375E-2</v>
      </c>
      <c r="DC375" s="2262">
        <f t="shared" ref="DC375:DM375" si="1384">DC374/CY374-1</f>
        <v>-1.1376194500422598E-2</v>
      </c>
      <c r="DD375" s="2262">
        <f t="shared" si="1384"/>
        <v>-1.6968619972260734E-2</v>
      </c>
      <c r="DE375" s="2263">
        <f t="shared" si="1384"/>
        <v>-9.2003758823401283E-3</v>
      </c>
      <c r="DF375" s="2262">
        <f t="shared" si="1384"/>
        <v>-8.780765525094103E-3</v>
      </c>
      <c r="DG375" s="2262">
        <f t="shared" si="1384"/>
        <v>-7.0796072242679253E-3</v>
      </c>
      <c r="DH375" s="2262">
        <f t="shared" si="1384"/>
        <v>-1.283040497343535E-2</v>
      </c>
      <c r="DI375" s="2263">
        <f t="shared" si="1384"/>
        <v>-1.3057479377122982E-2</v>
      </c>
      <c r="DJ375" s="2264">
        <f t="shared" si="1384"/>
        <v>-2.9425409238518108E-2</v>
      </c>
      <c r="DK375" s="2262">
        <f t="shared" si="1384"/>
        <v>-3.2729078828282021E-2</v>
      </c>
      <c r="DL375" s="2262">
        <f t="shared" si="1384"/>
        <v>-2.4051694588981265E-2</v>
      </c>
      <c r="DM375" s="2263">
        <f t="shared" si="1384"/>
        <v>-2.1993387821481192E-2</v>
      </c>
      <c r="DN375" s="2265"/>
      <c r="DO375" s="408"/>
      <c r="DP375" s="2274"/>
      <c r="DQ375" s="2274"/>
      <c r="DR375" s="2274"/>
      <c r="DS375" s="2274"/>
      <c r="DT375" s="2274"/>
      <c r="DU375" s="2274"/>
      <c r="DV375" s="2260">
        <f t="shared" ref="DV375:ED375" si="1385">DV374/DU374-1</f>
        <v>0.3035714285714286</v>
      </c>
      <c r="DW375" s="2260">
        <f t="shared" si="1385"/>
        <v>0.67318982387475534</v>
      </c>
      <c r="DX375" s="2260">
        <f t="shared" si="1385"/>
        <v>0.50730994152046782</v>
      </c>
      <c r="DY375" s="2260">
        <f t="shared" si="1385"/>
        <v>0.51134820562560623</v>
      </c>
      <c r="DZ375" s="2260">
        <f t="shared" si="1385"/>
        <v>0.34514183031703238</v>
      </c>
      <c r="EA375" s="2260">
        <f t="shared" si="1385"/>
        <v>0.11564885496183197</v>
      </c>
      <c r="EB375" s="2260">
        <f t="shared" si="1385"/>
        <v>5.490933971946621E-2</v>
      </c>
      <c r="EC375" s="2260">
        <f t="shared" si="1385"/>
        <v>0.10539970812388511</v>
      </c>
      <c r="ED375" s="2260">
        <f t="shared" si="1385"/>
        <v>0.15688719378025517</v>
      </c>
      <c r="EE375" s="2260">
        <f t="shared" ref="EE375:EP375" si="1386">EE374/ED374-1</f>
        <v>0.18104355544284534</v>
      </c>
      <c r="EF375" s="2260">
        <f t="shared" si="1386"/>
        <v>0.27540448557594255</v>
      </c>
      <c r="EG375" s="2260">
        <f t="shared" si="1386"/>
        <v>0.1348120712151184</v>
      </c>
      <c r="EH375" s="2260">
        <f t="shared" si="1386"/>
        <v>9.9250797418589221E-2</v>
      </c>
      <c r="EI375" s="2260">
        <f t="shared" si="1386"/>
        <v>7.453262703286323E-2</v>
      </c>
      <c r="EJ375" s="2260">
        <f t="shared" si="1386"/>
        <v>9.1241001742142336E-2</v>
      </c>
      <c r="EK375" s="2262">
        <f t="shared" si="1386"/>
        <v>0.22721223500298549</v>
      </c>
      <c r="EL375" s="2262">
        <f t="shared" si="1386"/>
        <v>0.11761119838683198</v>
      </c>
      <c r="EM375" s="2262">
        <f t="shared" si="1386"/>
        <v>0.13825658239798599</v>
      </c>
      <c r="EN375" s="2262">
        <f t="shared" si="1386"/>
        <v>3.4062203227352317E-2</v>
      </c>
      <c r="EO375" s="2262">
        <f t="shared" si="1386"/>
        <v>3.5683538562809369E-2</v>
      </c>
      <c r="EP375" s="2262">
        <f t="shared" si="1386"/>
        <v>2.6366061440495692E-2</v>
      </c>
      <c r="EQ375" s="2260">
        <f>+EQ374/EN374-1</f>
        <v>3.5683538562809369E-2</v>
      </c>
      <c r="ER375" s="2260">
        <f>+ER374/EQ374-1</f>
        <v>2.7312623698476868E-2</v>
      </c>
      <c r="ES375" s="2260">
        <f>ES374/EP374-1</f>
        <v>-3.7527038583429762E-2</v>
      </c>
      <c r="ET375" s="2260">
        <f>+ET374/ER374-1</f>
        <v>-0.17935401728874889</v>
      </c>
      <c r="EU375" s="2260">
        <f>+EU374/ET374-1</f>
        <v>-6.1037847548278679E-3</v>
      </c>
      <c r="EV375" s="2262">
        <f t="shared" ref="EV375:FC375" si="1387">EV374/EU374-1</f>
        <v>-7.7433401113233824E-3</v>
      </c>
      <c r="EW375" s="2262">
        <f t="shared" si="1387"/>
        <v>-4.1399296211964365E-2</v>
      </c>
      <c r="EX375" s="2262">
        <f t="shared" si="1387"/>
        <v>-2.0988987259771053E-2</v>
      </c>
      <c r="EY375" s="2262">
        <f t="shared" si="1387"/>
        <v>-1.3057479377122982E-2</v>
      </c>
      <c r="EZ375" s="2264">
        <f t="shared" si="1387"/>
        <v>-2.1993387821481192E-2</v>
      </c>
      <c r="FA375" s="2262">
        <f t="shared" si="1387"/>
        <v>-7.8547762572585E-3</v>
      </c>
      <c r="FB375" s="2262">
        <f t="shared" si="1387"/>
        <v>-6.7423007675174729E-3</v>
      </c>
      <c r="FC375" s="2262">
        <f t="shared" si="1387"/>
        <v>-4.1714191135849843E-3</v>
      </c>
      <c r="FD375" s="2262">
        <f>FD374/FC374-1</f>
        <v>-4.1849094730865843E-3</v>
      </c>
      <c r="FE375" s="2262">
        <f>FE374/FD374-1</f>
        <v>-4.1981060977528406E-3</v>
      </c>
      <c r="FF375" s="2262">
        <f>FF374/FE374-1</f>
        <v>-4.2110117019446003E-3</v>
      </c>
      <c r="FG375" s="2262">
        <f>FG374/FF374-1</f>
        <v>-4.2236289419592676E-3</v>
      </c>
      <c r="FH375" s="2262">
        <f>FH374/FG374-1</f>
        <v>-4.2359604175024046E-3</v>
      </c>
      <c r="FI375" s="2266"/>
      <c r="FJ375"/>
      <c r="FK375"/>
      <c r="FL375"/>
      <c r="FM375"/>
      <c r="FN375"/>
      <c r="FO375"/>
      <c r="FP375" s="1474"/>
      <c r="FQ375" s="1474"/>
      <c r="FR375" s="1474"/>
      <c r="FS375" s="2262"/>
      <c r="FT375" s="2262"/>
      <c r="FU375" s="1388"/>
      <c r="FV375" s="1388"/>
      <c r="FW375" s="2262"/>
      <c r="FX375" s="2262"/>
      <c r="FY375" s="2262"/>
      <c r="FZ375" s="99"/>
      <c r="GA375" s="99"/>
      <c r="GB375" s="99"/>
      <c r="GC375" s="99"/>
      <c r="GD375" s="99"/>
      <c r="GE375" s="99"/>
      <c r="GF375" s="99"/>
      <c r="GG375" s="99"/>
      <c r="GH375" s="99"/>
      <c r="GI375" s="99"/>
      <c r="GJ375" s="99"/>
      <c r="GK375" s="99"/>
      <c r="GL375" s="99"/>
      <c r="GM375" s="99"/>
      <c r="GN375" s="99"/>
      <c r="GO375" s="99"/>
      <c r="GP375" s="99"/>
      <c r="GQ375" s="99"/>
      <c r="GR375" s="99"/>
      <c r="GS375" s="99"/>
      <c r="GT375" s="99"/>
      <c r="GU375" s="99"/>
      <c r="GV375" s="99"/>
      <c r="GW375" s="99"/>
      <c r="GX375" s="99"/>
      <c r="GY375" s="99"/>
      <c r="GZ375" s="99"/>
      <c r="HA375" s="99"/>
      <c r="HB375" s="99"/>
      <c r="HC375" s="99"/>
      <c r="HD375" s="99"/>
      <c r="HE375" s="99"/>
      <c r="HF375" s="99"/>
      <c r="HG375" s="99"/>
      <c r="HH375" s="99"/>
      <c r="HI375" s="99"/>
      <c r="HJ375" s="99"/>
      <c r="HK375" s="99"/>
      <c r="HL375" s="99"/>
      <c r="HM375" s="99"/>
      <c r="HN375" s="99"/>
      <c r="HO375" s="99"/>
      <c r="HP375" s="99"/>
      <c r="HQ375" s="99"/>
      <c r="HR375" s="99"/>
      <c r="HS375" s="99"/>
      <c r="HT375" s="99"/>
      <c r="HU375" s="99"/>
      <c r="HV375" s="99"/>
      <c r="HW375" s="99"/>
      <c r="HX375" s="99"/>
      <c r="HY375" s="99"/>
      <c r="HZ375" s="99"/>
      <c r="IA375" s="99"/>
      <c r="IB375" s="99"/>
      <c r="IC375" s="99"/>
      <c r="ID375" s="99"/>
      <c r="IE375" s="99"/>
      <c r="IF375" s="99"/>
      <c r="IG375" s="99"/>
      <c r="IH375" s="99"/>
      <c r="II375" s="99"/>
      <c r="IJ375" s="99"/>
      <c r="IK375" s="99"/>
      <c r="IL375" s="99"/>
      <c r="IM375" s="99"/>
      <c r="IN375" s="99"/>
      <c r="IO375" s="99"/>
      <c r="IP375" s="99"/>
      <c r="IQ375" s="99"/>
      <c r="IR375" s="99"/>
      <c r="IS375" s="99"/>
      <c r="IT375" s="99"/>
      <c r="IU375" s="99"/>
      <c r="IV375" s="99"/>
      <c r="IW375" s="99"/>
      <c r="IX375" s="99"/>
      <c r="IY375" s="99"/>
      <c r="IZ375" s="99"/>
    </row>
    <row r="376" spans="1:260" ht="12.75" customHeight="1" x14ac:dyDescent="0.2">
      <c r="A376" s="2275"/>
      <c r="B376" s="1474"/>
      <c r="C376" s="1474"/>
      <c r="D376" s="1474"/>
      <c r="E376" s="1587"/>
      <c r="F376" s="1474"/>
      <c r="G376" s="1474"/>
      <c r="H376" s="1474"/>
      <c r="I376" s="1587"/>
      <c r="J376" s="1474"/>
      <c r="K376" s="1474"/>
      <c r="L376" s="1474"/>
      <c r="M376" s="1587"/>
      <c r="N376" s="1474"/>
      <c r="O376" s="1474"/>
      <c r="P376" s="1474"/>
      <c r="Q376" s="1587"/>
      <c r="R376" s="1474"/>
      <c r="S376" s="1474"/>
      <c r="T376" s="1474"/>
      <c r="U376" s="1587"/>
      <c r="V376" s="1474"/>
      <c r="W376" s="1474"/>
      <c r="X376" s="1474"/>
      <c r="Y376" s="1587"/>
      <c r="Z376" s="1474"/>
      <c r="AA376" s="1474"/>
      <c r="AB376" s="1474"/>
      <c r="AC376" s="1587"/>
      <c r="AD376" s="1474"/>
      <c r="AE376" s="1474"/>
      <c r="AF376" s="1474"/>
      <c r="AG376" s="1587"/>
      <c r="AH376" s="2276"/>
      <c r="AI376" s="2276"/>
      <c r="AJ376" s="2276"/>
      <c r="AK376" s="1650"/>
      <c r="AL376" s="2276"/>
      <c r="AM376" s="2276"/>
      <c r="AN376" s="2276"/>
      <c r="AO376" s="1650"/>
      <c r="AP376" s="2276"/>
      <c r="AQ376" s="2276"/>
      <c r="AR376" s="2276"/>
      <c r="AS376" s="1650"/>
      <c r="AT376" s="2276"/>
      <c r="AU376" s="2276"/>
      <c r="AV376" s="2276"/>
      <c r="AW376" s="1650"/>
      <c r="AX376" s="2276"/>
      <c r="AY376" s="2276"/>
      <c r="AZ376" s="2276"/>
      <c r="BA376" s="1650"/>
      <c r="BB376" s="2276"/>
      <c r="BC376" s="2276"/>
      <c r="BD376" s="2276"/>
      <c r="BE376" s="503"/>
      <c r="BF376" s="2276"/>
      <c r="BG376" s="1474"/>
      <c r="BH376" s="1474"/>
      <c r="BI376" s="1587"/>
      <c r="BJ376" s="1435"/>
      <c r="BK376" s="1435"/>
      <c r="BL376" s="1435"/>
      <c r="BM376" s="503"/>
      <c r="BN376" s="1435"/>
      <c r="BO376" s="1435"/>
      <c r="BP376" s="1435"/>
      <c r="BQ376" s="2277"/>
      <c r="BR376" s="1435"/>
      <c r="BS376" s="1435"/>
      <c r="BT376" s="1435"/>
      <c r="BU376" s="1569"/>
      <c r="BV376" s="1435"/>
      <c r="BW376" s="1435"/>
      <c r="BX376" s="1435"/>
      <c r="BY376" s="1569"/>
      <c r="BZ376" s="1506"/>
      <c r="CA376" s="1506"/>
      <c r="CB376" s="1506"/>
      <c r="CC376" s="1569"/>
      <c r="CD376" s="1506"/>
      <c r="CE376" s="1506"/>
      <c r="CF376" s="1506"/>
      <c r="CG376" s="1569"/>
      <c r="CH376" s="1435"/>
      <c r="CI376" s="1435"/>
      <c r="CJ376" s="1435"/>
      <c r="CK376" s="1569"/>
      <c r="CL376" s="1506"/>
      <c r="CM376" s="1506"/>
      <c r="CN376" s="1506"/>
      <c r="CO376" s="1569"/>
      <c r="CP376" s="1506"/>
      <c r="CQ376" s="1506"/>
      <c r="CR376" s="1506"/>
      <c r="CS376" s="1569"/>
      <c r="CT376" s="1506"/>
      <c r="CU376" s="1506"/>
      <c r="CV376" s="1506"/>
      <c r="CW376" s="1569"/>
      <c r="CX376" s="1506"/>
      <c r="CY376" s="1506"/>
      <c r="CZ376" s="1506"/>
      <c r="DA376" s="1569"/>
      <c r="DB376" s="1506"/>
      <c r="DC376" s="1506"/>
      <c r="DD376" s="1506"/>
      <c r="DE376" s="1569"/>
      <c r="DF376" s="1506"/>
      <c r="DG376" s="1506"/>
      <c r="DH376" s="1506"/>
      <c r="DI376" s="1569"/>
      <c r="DJ376" s="1926"/>
      <c r="DK376" s="1506"/>
      <c r="DL376" s="1506"/>
      <c r="DM376" s="1569"/>
      <c r="DN376" s="1522"/>
      <c r="DO376" s="1587"/>
      <c r="DP376" s="1474"/>
      <c r="DQ376" s="1474"/>
      <c r="DR376" s="1474"/>
      <c r="DS376" s="1474"/>
      <c r="DT376" s="1474"/>
      <c r="DU376" s="1474"/>
      <c r="DV376" s="1474"/>
      <c r="DW376" s="1474"/>
      <c r="DX376" s="1474"/>
      <c r="DY376" s="1474"/>
      <c r="DZ376" s="1474"/>
      <c r="EA376" s="1474"/>
      <c r="EB376" s="1474"/>
      <c r="EC376" s="1474"/>
      <c r="ED376" s="1474"/>
      <c r="EE376" s="1474"/>
      <c r="EF376" s="2276"/>
      <c r="EG376" s="2276"/>
      <c r="EH376" s="2276"/>
      <c r="EI376" s="2276"/>
      <c r="EJ376" s="2276"/>
      <c r="EK376" s="1435"/>
      <c r="EL376" s="1435"/>
      <c r="EM376" s="1435"/>
      <c r="EN376" s="1435"/>
      <c r="EO376" s="1506"/>
      <c r="EP376" s="1506"/>
      <c r="EQ376" s="1506"/>
      <c r="ER376" s="1506"/>
      <c r="ES376" s="1506"/>
      <c r="ET376" s="1506"/>
      <c r="EU376" s="1506"/>
      <c r="EV376" s="1506"/>
      <c r="EW376" s="1506"/>
      <c r="EX376" s="1506"/>
      <c r="EY376" s="1506"/>
      <c r="EZ376" s="1926"/>
      <c r="FA376" s="1506"/>
      <c r="FB376" s="1506"/>
      <c r="FC376" s="1506"/>
      <c r="FD376" s="1506"/>
      <c r="FE376" s="1506"/>
      <c r="FF376" s="1506"/>
      <c r="FG376" s="1506"/>
      <c r="FH376" s="1506"/>
      <c r="FI376" s="943"/>
      <c r="FP376" s="1474"/>
      <c r="FQ376" s="1388"/>
      <c r="FR376" s="1388"/>
      <c r="FS376" s="1506"/>
      <c r="FT376" s="1506"/>
      <c r="FU376" s="1388"/>
      <c r="FV376" s="1388"/>
      <c r="FW376" s="1506"/>
      <c r="FX376" s="1506"/>
      <c r="FY376" s="1506"/>
    </row>
    <row r="377" spans="1:260" ht="12.75" customHeight="1" x14ac:dyDescent="0.2">
      <c r="A377" s="439" t="s">
        <v>578</v>
      </c>
      <c r="B377" s="2278"/>
      <c r="C377" s="2278"/>
      <c r="D377" s="2278"/>
      <c r="E377" s="2279"/>
      <c r="F377" s="2280"/>
      <c r="G377" s="2280"/>
      <c r="H377" s="2280"/>
      <c r="I377" s="2281"/>
      <c r="J377" s="2280"/>
      <c r="K377" s="2280"/>
      <c r="L377" s="2280"/>
      <c r="M377" s="2281"/>
      <c r="N377" s="2280"/>
      <c r="O377" s="2280"/>
      <c r="P377" s="2280"/>
      <c r="Q377" s="2281"/>
      <c r="R377" s="2280"/>
      <c r="S377" s="2280"/>
      <c r="T377" s="2280"/>
      <c r="U377" s="2281"/>
      <c r="V377" s="2280"/>
      <c r="W377" s="2280"/>
      <c r="X377" s="2280"/>
      <c r="Y377" s="2281"/>
      <c r="Z377" s="2280"/>
      <c r="AA377" s="2280"/>
      <c r="AB377" s="2280"/>
      <c r="AC377" s="2281"/>
      <c r="AD377" s="2280"/>
      <c r="AE377" s="2280"/>
      <c r="AF377" s="2280"/>
      <c r="AG377" s="2281"/>
      <c r="AH377" s="2280"/>
      <c r="AI377" s="2280"/>
      <c r="AJ377" s="2280"/>
      <c r="AK377" s="2281"/>
      <c r="AL377" s="2280"/>
      <c r="AM377" s="2280"/>
      <c r="AN377" s="2280"/>
      <c r="AO377" s="2281"/>
      <c r="AP377" s="2280"/>
      <c r="AQ377" s="2280"/>
      <c r="AR377" s="2280"/>
      <c r="AS377" s="2281"/>
      <c r="AT377" s="2280"/>
      <c r="AU377" s="2280"/>
      <c r="AV377" s="2280"/>
      <c r="AW377" s="2281"/>
      <c r="AX377" s="2280"/>
      <c r="AY377" s="2280"/>
      <c r="AZ377" s="2282"/>
      <c r="BA377" s="2283"/>
      <c r="BB377" s="2282"/>
      <c r="BC377" s="2282"/>
      <c r="BD377" s="2282"/>
      <c r="BE377" s="2283"/>
      <c r="BF377" s="2282"/>
      <c r="BG377" s="2282"/>
      <c r="BH377" s="2282"/>
      <c r="BI377" s="2283"/>
      <c r="BJ377" s="2282"/>
      <c r="BK377" s="2282"/>
      <c r="BL377" s="2282"/>
      <c r="BM377" s="2283"/>
      <c r="BN377" s="2282"/>
      <c r="BO377" s="2282"/>
      <c r="BP377" s="2282"/>
      <c r="BQ377" s="2283"/>
      <c r="BR377" s="2282"/>
      <c r="BS377" s="2282"/>
      <c r="BT377" s="2282"/>
      <c r="BU377" s="2283"/>
      <c r="BV377" s="2282"/>
      <c r="BW377" s="2282"/>
      <c r="BX377" s="2282"/>
      <c r="BY377" s="2283"/>
      <c r="BZ377" s="2282"/>
      <c r="CA377" s="2282"/>
      <c r="CB377" s="2282"/>
      <c r="CC377" s="2283"/>
      <c r="CD377" s="2282"/>
      <c r="CE377" s="2282"/>
      <c r="CF377" s="2282"/>
      <c r="CG377" s="2283"/>
      <c r="CH377" s="2282"/>
      <c r="CI377" s="2282"/>
      <c r="CJ377" s="2282"/>
      <c r="CK377" s="2283"/>
      <c r="CL377" s="2282"/>
      <c r="CM377" s="2282"/>
      <c r="CN377" s="2282"/>
      <c r="CO377" s="2283"/>
      <c r="CP377" s="2282"/>
      <c r="CQ377" s="2282"/>
      <c r="CR377" s="2282"/>
      <c r="CS377" s="2283"/>
      <c r="CT377" s="2280"/>
      <c r="CU377" s="2280"/>
      <c r="CV377" s="2280"/>
      <c r="CW377" s="2281"/>
      <c r="CX377" s="2280"/>
      <c r="CY377" s="2280"/>
      <c r="CZ377" s="2280"/>
      <c r="DA377" s="2281"/>
      <c r="DB377" s="2280"/>
      <c r="DC377" s="2280"/>
      <c r="DD377" s="2284"/>
      <c r="DE377" s="2281"/>
      <c r="DF377" s="2284"/>
      <c r="DG377" s="2284"/>
      <c r="DH377" s="2284"/>
      <c r="DI377" s="2281"/>
      <c r="DJ377" s="2764"/>
      <c r="DK377" s="2284"/>
      <c r="DL377" s="2284"/>
      <c r="DM377" s="2281"/>
      <c r="DN377" s="592"/>
      <c r="DO377" s="2281"/>
      <c r="DP377" s="2285"/>
      <c r="DQ377" s="2285"/>
      <c r="DR377" s="2286"/>
      <c r="DS377" s="2286"/>
      <c r="DT377" s="2286"/>
      <c r="DU377" s="2286"/>
      <c r="DV377" s="2286"/>
      <c r="DW377" s="2286"/>
      <c r="DX377" s="2286"/>
      <c r="DY377" s="2282"/>
      <c r="DZ377" s="2282"/>
      <c r="EA377" s="2282"/>
      <c r="EB377" s="2282"/>
      <c r="EC377" s="2282"/>
      <c r="ED377" s="2282"/>
      <c r="EE377" s="2282"/>
      <c r="EF377" s="2282"/>
      <c r="EG377" s="2282"/>
      <c r="EH377" s="2280"/>
      <c r="EI377" s="2280"/>
      <c r="EJ377" s="2280"/>
      <c r="EK377" s="2280"/>
      <c r="EL377" s="2280"/>
      <c r="EM377" s="2280"/>
      <c r="EN377" s="2280"/>
      <c r="EO377" s="2280"/>
      <c r="EP377" s="2280"/>
      <c r="EQ377" s="2280"/>
      <c r="ER377" s="2280"/>
      <c r="ES377" s="2280"/>
      <c r="ET377" s="2280"/>
      <c r="EU377" s="2280"/>
      <c r="EV377" s="2280"/>
      <c r="EW377" s="2280"/>
      <c r="EX377" s="2280"/>
      <c r="EY377" s="2280"/>
      <c r="EZ377" s="2287"/>
      <c r="FA377" s="2288"/>
      <c r="FB377" s="2288"/>
      <c r="FC377" s="2288"/>
      <c r="FD377" s="2288"/>
      <c r="FE377" s="2288"/>
      <c r="FF377" s="2288"/>
      <c r="FG377" s="2288"/>
      <c r="FH377" s="2288"/>
      <c r="FI377" s="592"/>
      <c r="FP377" s="1474"/>
      <c r="FQ377" s="1388"/>
      <c r="FR377" s="1388"/>
      <c r="FS377" s="2284"/>
      <c r="FT377" s="2284"/>
      <c r="FU377" s="1388"/>
      <c r="FV377" s="1388"/>
      <c r="FW377" s="2284"/>
      <c r="FX377" s="2284"/>
      <c r="FY377" s="2284"/>
    </row>
    <row r="378" spans="1:260" ht="12.75" customHeight="1" x14ac:dyDescent="0.2">
      <c r="A378" s="2581" t="s">
        <v>692</v>
      </c>
      <c r="B378" s="2289"/>
      <c r="C378" s="2289"/>
      <c r="D378" s="2289"/>
      <c r="E378" s="2290"/>
      <c r="F378" s="2291">
        <f>+F87</f>
        <v>153</v>
      </c>
      <c r="G378" s="2291">
        <f>+G87</f>
        <v>168</v>
      </c>
      <c r="H378" s="2291">
        <f>+H87</f>
        <v>202</v>
      </c>
      <c r="I378" s="2292">
        <f>+I87</f>
        <v>204</v>
      </c>
      <c r="J378" s="2291">
        <f>+J87</f>
        <v>213</v>
      </c>
      <c r="K378" s="2291">
        <f>+K87</f>
        <v>224</v>
      </c>
      <c r="L378" s="2291">
        <f>+L87</f>
        <v>251</v>
      </c>
      <c r="M378" s="2292">
        <f>+M87</f>
        <v>251</v>
      </c>
      <c r="N378" s="2291">
        <f>+N87</f>
        <v>259</v>
      </c>
      <c r="O378" s="2291">
        <f>+O87</f>
        <v>262</v>
      </c>
      <c r="P378" s="2291">
        <f>+P87</f>
        <v>272</v>
      </c>
      <c r="Q378" s="2292">
        <f>+Q87</f>
        <v>272</v>
      </c>
      <c r="R378" s="2291">
        <f>+R87</f>
        <v>274</v>
      </c>
      <c r="S378" s="2291">
        <f>+S87</f>
        <v>280</v>
      </c>
      <c r="T378" s="2291">
        <f>+T87</f>
        <v>285</v>
      </c>
      <c r="U378" s="2292">
        <f>+U87</f>
        <v>285</v>
      </c>
      <c r="V378" s="2291">
        <f>+V87</f>
        <v>290</v>
      </c>
      <c r="W378" s="2291">
        <f>+W87</f>
        <v>289</v>
      </c>
      <c r="X378" s="2291">
        <f>+X87</f>
        <v>312</v>
      </c>
      <c r="Y378" s="2292">
        <f>+Y87</f>
        <v>311</v>
      </c>
      <c r="Z378" s="2291">
        <f>+Z87</f>
        <v>313</v>
      </c>
      <c r="AA378" s="2291">
        <f>+AA87</f>
        <v>332</v>
      </c>
      <c r="AB378" s="2291">
        <f>+AB87</f>
        <v>354</v>
      </c>
      <c r="AC378" s="2292">
        <f>+AC87</f>
        <v>357</v>
      </c>
      <c r="AD378" s="2291">
        <f>+AD87</f>
        <v>361</v>
      </c>
      <c r="AE378" s="2291">
        <f>+AE87</f>
        <v>373</v>
      </c>
      <c r="AF378" s="2291">
        <f>+AF87</f>
        <v>413</v>
      </c>
      <c r="AG378" s="2292">
        <f>+AG87</f>
        <v>419</v>
      </c>
      <c r="AH378" s="2291">
        <f>+AH87+AH290</f>
        <v>521</v>
      </c>
      <c r="AI378" s="2291">
        <f>+AI87+AI290</f>
        <v>530</v>
      </c>
      <c r="AJ378" s="2291">
        <f>+AJ87+AJ290</f>
        <v>569</v>
      </c>
      <c r="AK378" s="2292">
        <f>+AK87+AK290</f>
        <v>572</v>
      </c>
      <c r="AL378" s="2291">
        <f>+AL87+AL290</f>
        <v>589</v>
      </c>
      <c r="AM378" s="2291">
        <f>+AM87+AM290</f>
        <v>615</v>
      </c>
      <c r="AN378" s="2291">
        <f>+AN87+AN290</f>
        <v>660</v>
      </c>
      <c r="AO378" s="2292">
        <f>+AO87+AO290</f>
        <v>662</v>
      </c>
      <c r="AP378" s="2291">
        <f>+AP87+AP290</f>
        <v>685</v>
      </c>
      <c r="AQ378" s="2291">
        <f>+AQ87+AQ290</f>
        <v>706</v>
      </c>
      <c r="AR378" s="2291">
        <f>+AR87+AR290</f>
        <v>749</v>
      </c>
      <c r="AS378" s="2292">
        <f>+AS87+AS290</f>
        <v>758</v>
      </c>
      <c r="AT378" s="2291">
        <f>+AT87+AT290</f>
        <v>770</v>
      </c>
      <c r="AU378" s="2291">
        <f>+AU87+AU290</f>
        <v>782</v>
      </c>
      <c r="AV378" s="2291">
        <f>+AV87+AV290</f>
        <v>827</v>
      </c>
      <c r="AW378" s="2292">
        <f>+AW87+AW290</f>
        <v>838</v>
      </c>
      <c r="AX378" s="2291">
        <f>+AX87+AX290</f>
        <v>852</v>
      </c>
      <c r="AY378" s="2291">
        <f>+AY87+AY290</f>
        <v>874</v>
      </c>
      <c r="AZ378" s="2291">
        <f>+AZ87+AZ290</f>
        <v>932</v>
      </c>
      <c r="BA378" s="2292">
        <f>+BA87+BA290</f>
        <v>941</v>
      </c>
      <c r="BB378" s="2291">
        <f>+BB87+BB290</f>
        <v>969</v>
      </c>
      <c r="BC378" s="2291">
        <f>+BC87+BC290</f>
        <v>1111</v>
      </c>
      <c r="BD378" s="2291">
        <f>+BD87+BD290</f>
        <v>1164</v>
      </c>
      <c r="BE378" s="2292">
        <f>+BE87+BE290</f>
        <v>1177</v>
      </c>
      <c r="BF378" s="2291">
        <f>+BF87+BF290</f>
        <v>1204</v>
      </c>
      <c r="BG378" s="2291">
        <f>+BG87+BG290</f>
        <v>1229</v>
      </c>
      <c r="BH378" s="2291">
        <f>+BH87+BH290</f>
        <v>1293</v>
      </c>
      <c r="BI378" s="2292">
        <f>+BI87+BI290</f>
        <v>1314</v>
      </c>
      <c r="BJ378" s="2291">
        <f>+BJ87+BJ290</f>
        <v>1349</v>
      </c>
      <c r="BK378" s="2291">
        <f>+BK87+BK290</f>
        <v>1383</v>
      </c>
      <c r="BL378" s="2291">
        <f>+BL87+BL290</f>
        <v>3889</v>
      </c>
      <c r="BM378" s="2292">
        <f>+BM87+BM290</f>
        <v>3942</v>
      </c>
      <c r="BN378" s="2291">
        <f>+BN87+BN290</f>
        <v>3947</v>
      </c>
      <c r="BO378" s="2291">
        <f>+BO87+BO290</f>
        <v>3966</v>
      </c>
      <c r="BP378" s="2291">
        <f>+BP87+BP290</f>
        <v>4015</v>
      </c>
      <c r="BQ378" s="2292">
        <f>+BQ87+BQ290</f>
        <v>4025</v>
      </c>
      <c r="BR378" s="2291">
        <f>+BR87+BR290</f>
        <v>4022</v>
      </c>
      <c r="BS378" s="2291">
        <f>+BS87+BS290</f>
        <v>4080</v>
      </c>
      <c r="BT378" s="2291">
        <f>+BT87+BT290</f>
        <v>4127</v>
      </c>
      <c r="BU378" s="2292">
        <f>+BU87+BU290</f>
        <v>4172</v>
      </c>
      <c r="BV378" s="2291">
        <f>+BV87+BV290</f>
        <v>4186</v>
      </c>
      <c r="BW378" s="2291">
        <f>+BW87+BW290</f>
        <v>4245</v>
      </c>
      <c r="BX378" s="2291">
        <f>+BX87+BX290</f>
        <v>4336</v>
      </c>
      <c r="BY378" s="2292">
        <f>+BY87+BY290</f>
        <v>4308</v>
      </c>
      <c r="BZ378" s="2291">
        <f>+BZ87+BZ290</f>
        <v>4022</v>
      </c>
      <c r="CA378" s="2291">
        <f>+CA87+CA290</f>
        <v>4080</v>
      </c>
      <c r="CB378" s="2291">
        <f>+CB87+CB290</f>
        <v>4127</v>
      </c>
      <c r="CC378" s="2292">
        <f>+CC87+CC290</f>
        <v>4172</v>
      </c>
      <c r="CD378" s="2291">
        <f>+CD87+CD290</f>
        <v>4186</v>
      </c>
      <c r="CE378" s="2291">
        <f>+CE87+CE290</f>
        <v>4245</v>
      </c>
      <c r="CF378" s="2291">
        <f>+CF87+CF290</f>
        <v>4336</v>
      </c>
      <c r="CG378" s="2292">
        <f>+CG87+CG290</f>
        <v>4308</v>
      </c>
      <c r="CH378" s="2291">
        <f>+CH87+CH290</f>
        <v>4335</v>
      </c>
      <c r="CI378" s="2291">
        <f>+CI87+CI290</f>
        <v>4316</v>
      </c>
      <c r="CJ378" s="2291">
        <f>+CJ87+CJ290</f>
        <v>4379</v>
      </c>
      <c r="CK378" s="2292">
        <f>CK371</f>
        <v>4380</v>
      </c>
      <c r="CL378" s="2291">
        <f>CH371-CH251</f>
        <v>1942</v>
      </c>
      <c r="CM378" s="2291">
        <f>CI371-CI251</f>
        <v>1944</v>
      </c>
      <c r="CN378" s="2291">
        <f>CJ371-CJ251</f>
        <v>1986</v>
      </c>
      <c r="CO378" s="2292">
        <f>CK371-CK251</f>
        <v>1991</v>
      </c>
      <c r="CP378" s="2291">
        <f t="shared" ref="CP378:CV378" si="1388">CP371</f>
        <v>1793</v>
      </c>
      <c r="CQ378" s="2291">
        <f t="shared" si="1388"/>
        <v>1791</v>
      </c>
      <c r="CR378" s="2291">
        <f t="shared" si="1388"/>
        <v>1790</v>
      </c>
      <c r="CS378" s="2292">
        <f t="shared" si="1388"/>
        <v>1779</v>
      </c>
      <c r="CT378" s="2291">
        <f t="shared" si="1388"/>
        <v>1777</v>
      </c>
      <c r="CU378" s="2291">
        <f t="shared" si="1388"/>
        <v>1759</v>
      </c>
      <c r="CV378" s="2291">
        <f t="shared" si="1388"/>
        <v>1757</v>
      </c>
      <c r="CW378" s="2292">
        <f t="shared" ref="CW378:DE378" si="1389">CW371</f>
        <v>1729</v>
      </c>
      <c r="CX378" s="2291">
        <f t="shared" si="1389"/>
        <v>1657</v>
      </c>
      <c r="CY378" s="2291">
        <f t="shared" si="1389"/>
        <v>1648</v>
      </c>
      <c r="CZ378" s="2291">
        <f t="shared" si="1389"/>
        <v>1646</v>
      </c>
      <c r="DA378" s="2292">
        <f>DA371</f>
        <v>1631</v>
      </c>
      <c r="DB378" s="2291">
        <f>DB371</f>
        <v>1617</v>
      </c>
      <c r="DC378" s="2291">
        <f t="shared" si="1389"/>
        <v>1610</v>
      </c>
      <c r="DD378" s="2293">
        <f t="shared" si="1389"/>
        <v>1596</v>
      </c>
      <c r="DE378" s="2292">
        <f t="shared" si="1389"/>
        <v>1575</v>
      </c>
      <c r="DF378" s="2293">
        <f>DF371</f>
        <v>1562</v>
      </c>
      <c r="DG378" s="2293">
        <f t="shared" ref="DG378" si="1390">DG371</f>
        <v>1557</v>
      </c>
      <c r="DH378" s="2293">
        <f t="shared" ref="DH378:DM378" si="1391">DH371</f>
        <v>1537</v>
      </c>
      <c r="DI378" s="2292">
        <f t="shared" si="1391"/>
        <v>1508</v>
      </c>
      <c r="DJ378" s="2765">
        <f t="shared" si="1391"/>
        <v>1251</v>
      </c>
      <c r="DK378" s="2293">
        <f t="shared" si="1391"/>
        <v>1250</v>
      </c>
      <c r="DL378" s="2293">
        <f t="shared" si="1391"/>
        <v>1249</v>
      </c>
      <c r="DM378" s="2292">
        <f t="shared" si="1391"/>
        <v>1247</v>
      </c>
      <c r="DN378" s="592"/>
      <c r="DO378" s="2281"/>
      <c r="DP378" s="2285"/>
      <c r="DQ378" s="2285"/>
      <c r="DR378" s="2286">
        <f>+DR87</f>
        <v>40</v>
      </c>
      <c r="DS378" s="2286">
        <f>+DS87</f>
        <v>41</v>
      </c>
      <c r="DT378" s="2286">
        <f>+DT87</f>
        <v>49</v>
      </c>
      <c r="DU378" s="2286">
        <f>+DU87</f>
        <v>56</v>
      </c>
      <c r="DV378" s="2286">
        <f>+DV87</f>
        <v>73</v>
      </c>
      <c r="DW378" s="2286">
        <f>+DW87</f>
        <v>111</v>
      </c>
      <c r="DX378" s="2286"/>
      <c r="DY378" s="2291">
        <f>+I378</f>
        <v>204</v>
      </c>
      <c r="DZ378" s="2291">
        <f>+M378</f>
        <v>251</v>
      </c>
      <c r="EA378" s="2291">
        <f>+Q378</f>
        <v>272</v>
      </c>
      <c r="EB378" s="2291">
        <f>+U378</f>
        <v>285</v>
      </c>
      <c r="EC378" s="2291">
        <f>+Y378</f>
        <v>311</v>
      </c>
      <c r="ED378" s="2291">
        <f>+AC378</f>
        <v>357</v>
      </c>
      <c r="EE378" s="2291">
        <f>+AG378</f>
        <v>419</v>
      </c>
      <c r="EF378" s="2291">
        <f>+AK378</f>
        <v>572</v>
      </c>
      <c r="EG378" s="2291">
        <f>+AO378</f>
        <v>662</v>
      </c>
      <c r="EH378" s="2291">
        <f>+AS378</f>
        <v>758</v>
      </c>
      <c r="EI378" s="2291">
        <f>+AW378</f>
        <v>838</v>
      </c>
      <c r="EJ378" s="2291">
        <f>+BA378</f>
        <v>941</v>
      </c>
      <c r="EK378" s="2291">
        <f>+EK87+EK290</f>
        <v>1172</v>
      </c>
      <c r="EL378" s="2291">
        <f>+EL87+EL290</f>
        <v>1314</v>
      </c>
      <c r="EM378" s="2291">
        <f>EM371</f>
        <v>3942</v>
      </c>
      <c r="EN378" s="2291">
        <f>EN371</f>
        <v>4025</v>
      </c>
      <c r="EO378" s="2291">
        <f>EO371</f>
        <v>4172</v>
      </c>
      <c r="EP378" s="2291">
        <f>EP371</f>
        <v>4308</v>
      </c>
      <c r="EQ378" s="2291">
        <f>EO371</f>
        <v>4172</v>
      </c>
      <c r="ER378" s="2291">
        <f>EP371</f>
        <v>4308</v>
      </c>
      <c r="ES378" s="2291">
        <f>ES371</f>
        <v>4379</v>
      </c>
      <c r="ET378" s="2291">
        <f>ES371-ES251</f>
        <v>1990</v>
      </c>
      <c r="EU378" s="2291">
        <f t="shared" ref="EU378:FC378" si="1392">EU371</f>
        <v>1779</v>
      </c>
      <c r="EV378" s="2291">
        <f t="shared" si="1392"/>
        <v>1729</v>
      </c>
      <c r="EW378" s="2291">
        <f>EW371</f>
        <v>1631</v>
      </c>
      <c r="EX378" s="2291">
        <f>EX371</f>
        <v>1575</v>
      </c>
      <c r="EY378" s="2291">
        <f>EY371</f>
        <v>1508</v>
      </c>
      <c r="EZ378" s="2294">
        <f>EZ371</f>
        <v>1247</v>
      </c>
      <c r="FA378" s="2295">
        <f t="shared" si="1392"/>
        <v>1249</v>
      </c>
      <c r="FB378" s="2295">
        <f t="shared" si="1392"/>
        <v>1252</v>
      </c>
      <c r="FC378" s="2295">
        <f t="shared" si="1392"/>
        <v>1258</v>
      </c>
      <c r="FD378" s="2295">
        <f>FD371</f>
        <v>1264</v>
      </c>
      <c r="FE378" s="2295">
        <f>FE371</f>
        <v>1270</v>
      </c>
      <c r="FF378" s="2295">
        <f>FF371</f>
        <v>1276</v>
      </c>
      <c r="FG378" s="2295">
        <f>FG371</f>
        <v>1282</v>
      </c>
      <c r="FH378" s="2295">
        <f>FH371</f>
        <v>1288</v>
      </c>
      <c r="FI378" s="2296"/>
      <c r="FP378" s="1474"/>
      <c r="FQ378" s="1388"/>
      <c r="FR378" s="1388"/>
      <c r="FS378" s="2293"/>
      <c r="FT378" s="2293"/>
      <c r="FU378" s="1388"/>
      <c r="FV378" s="1388"/>
      <c r="FW378" s="2293"/>
      <c r="FX378" s="2293"/>
      <c r="FY378" s="2293"/>
    </row>
    <row r="379" spans="1:260" ht="12.75" customHeight="1" x14ac:dyDescent="0.2">
      <c r="A379" s="2581" t="s">
        <v>119</v>
      </c>
      <c r="B379" s="2289"/>
      <c r="C379" s="2289"/>
      <c r="D379" s="2289"/>
      <c r="E379" s="2290"/>
      <c r="F379" s="2291"/>
      <c r="G379" s="2291">
        <f t="shared" ref="G379:AL379" si="1393">(G378+F378)/2</f>
        <v>160.5</v>
      </c>
      <c r="H379" s="2291">
        <f t="shared" si="1393"/>
        <v>185</v>
      </c>
      <c r="I379" s="2292">
        <f t="shared" si="1393"/>
        <v>203</v>
      </c>
      <c r="J379" s="2291">
        <f t="shared" si="1393"/>
        <v>208.5</v>
      </c>
      <c r="K379" s="2291">
        <f t="shared" si="1393"/>
        <v>218.5</v>
      </c>
      <c r="L379" s="2291">
        <f t="shared" si="1393"/>
        <v>237.5</v>
      </c>
      <c r="M379" s="2292">
        <f t="shared" si="1393"/>
        <v>251</v>
      </c>
      <c r="N379" s="2291">
        <f t="shared" si="1393"/>
        <v>255</v>
      </c>
      <c r="O379" s="2291">
        <f t="shared" si="1393"/>
        <v>260.5</v>
      </c>
      <c r="P379" s="2291">
        <f t="shared" si="1393"/>
        <v>267</v>
      </c>
      <c r="Q379" s="2292">
        <f t="shared" si="1393"/>
        <v>272</v>
      </c>
      <c r="R379" s="2291">
        <f t="shared" si="1393"/>
        <v>273</v>
      </c>
      <c r="S379" s="2291">
        <f t="shared" si="1393"/>
        <v>277</v>
      </c>
      <c r="T379" s="2291">
        <f t="shared" si="1393"/>
        <v>282.5</v>
      </c>
      <c r="U379" s="2292">
        <f t="shared" si="1393"/>
        <v>285</v>
      </c>
      <c r="V379" s="2291">
        <f t="shared" si="1393"/>
        <v>287.5</v>
      </c>
      <c r="W379" s="2291">
        <f t="shared" si="1393"/>
        <v>289.5</v>
      </c>
      <c r="X379" s="2291">
        <f t="shared" si="1393"/>
        <v>300.5</v>
      </c>
      <c r="Y379" s="2292">
        <f t="shared" si="1393"/>
        <v>311.5</v>
      </c>
      <c r="Z379" s="2291">
        <f t="shared" si="1393"/>
        <v>312</v>
      </c>
      <c r="AA379" s="2291">
        <f t="shared" si="1393"/>
        <v>322.5</v>
      </c>
      <c r="AB379" s="2291">
        <f t="shared" si="1393"/>
        <v>343</v>
      </c>
      <c r="AC379" s="2292">
        <f t="shared" si="1393"/>
        <v>355.5</v>
      </c>
      <c r="AD379" s="2291">
        <f t="shared" si="1393"/>
        <v>359</v>
      </c>
      <c r="AE379" s="2291">
        <f t="shared" si="1393"/>
        <v>367</v>
      </c>
      <c r="AF379" s="2291">
        <f t="shared" si="1393"/>
        <v>393</v>
      </c>
      <c r="AG379" s="2292">
        <f t="shared" si="1393"/>
        <v>416</v>
      </c>
      <c r="AH379" s="2291">
        <f t="shared" si="1393"/>
        <v>470</v>
      </c>
      <c r="AI379" s="2291">
        <f t="shared" si="1393"/>
        <v>525.5</v>
      </c>
      <c r="AJ379" s="2291">
        <f t="shared" si="1393"/>
        <v>549.5</v>
      </c>
      <c r="AK379" s="2292">
        <f t="shared" si="1393"/>
        <v>570.5</v>
      </c>
      <c r="AL379" s="2291">
        <f t="shared" si="1393"/>
        <v>580.5</v>
      </c>
      <c r="AM379" s="2291">
        <f t="shared" ref="AM379:BR379" si="1394">(AM378+AL378)/2</f>
        <v>602</v>
      </c>
      <c r="AN379" s="2291">
        <f t="shared" si="1394"/>
        <v>637.5</v>
      </c>
      <c r="AO379" s="2292">
        <f t="shared" si="1394"/>
        <v>661</v>
      </c>
      <c r="AP379" s="2291">
        <f t="shared" si="1394"/>
        <v>673.5</v>
      </c>
      <c r="AQ379" s="2291">
        <f t="shared" si="1394"/>
        <v>695.5</v>
      </c>
      <c r="AR379" s="2291">
        <f t="shared" si="1394"/>
        <v>727.5</v>
      </c>
      <c r="AS379" s="2292">
        <f t="shared" si="1394"/>
        <v>753.5</v>
      </c>
      <c r="AT379" s="2291">
        <f t="shared" si="1394"/>
        <v>764</v>
      </c>
      <c r="AU379" s="2291">
        <f t="shared" si="1394"/>
        <v>776</v>
      </c>
      <c r="AV379" s="2291">
        <f t="shared" si="1394"/>
        <v>804.5</v>
      </c>
      <c r="AW379" s="2292">
        <f t="shared" si="1394"/>
        <v>832.5</v>
      </c>
      <c r="AX379" s="2291">
        <f t="shared" si="1394"/>
        <v>845</v>
      </c>
      <c r="AY379" s="2291">
        <f t="shared" si="1394"/>
        <v>863</v>
      </c>
      <c r="AZ379" s="2291">
        <f t="shared" si="1394"/>
        <v>903</v>
      </c>
      <c r="BA379" s="2292">
        <f t="shared" si="1394"/>
        <v>936.5</v>
      </c>
      <c r="BB379" s="2291">
        <f t="shared" si="1394"/>
        <v>955</v>
      </c>
      <c r="BC379" s="2291">
        <f t="shared" si="1394"/>
        <v>1040</v>
      </c>
      <c r="BD379" s="2291">
        <f t="shared" si="1394"/>
        <v>1137.5</v>
      </c>
      <c r="BE379" s="2292">
        <f t="shared" si="1394"/>
        <v>1170.5</v>
      </c>
      <c r="BF379" s="2291">
        <f t="shared" si="1394"/>
        <v>1190.5</v>
      </c>
      <c r="BG379" s="2291">
        <f t="shared" si="1394"/>
        <v>1216.5</v>
      </c>
      <c r="BH379" s="2291">
        <f t="shared" si="1394"/>
        <v>1261</v>
      </c>
      <c r="BI379" s="2292">
        <f t="shared" si="1394"/>
        <v>1303.5</v>
      </c>
      <c r="BJ379" s="2291">
        <f t="shared" si="1394"/>
        <v>1331.5</v>
      </c>
      <c r="BK379" s="2291">
        <f t="shared" si="1394"/>
        <v>1366</v>
      </c>
      <c r="BL379" s="2291">
        <f t="shared" si="1394"/>
        <v>2636</v>
      </c>
      <c r="BM379" s="2292">
        <f t="shared" si="1394"/>
        <v>3915.5</v>
      </c>
      <c r="BN379" s="2291">
        <f t="shared" si="1394"/>
        <v>3944.5</v>
      </c>
      <c r="BO379" s="2291">
        <f t="shared" si="1394"/>
        <v>3956.5</v>
      </c>
      <c r="BP379" s="2291">
        <f t="shared" si="1394"/>
        <v>3990.5</v>
      </c>
      <c r="BQ379" s="2292">
        <f t="shared" si="1394"/>
        <v>4020</v>
      </c>
      <c r="BR379" s="2291">
        <f t="shared" si="1394"/>
        <v>4023.5</v>
      </c>
      <c r="BS379" s="2291">
        <f t="shared" ref="BS379:BY379" si="1395">(BS378+BR378)/2</f>
        <v>4051</v>
      </c>
      <c r="BT379" s="2291">
        <f t="shared" si="1395"/>
        <v>4103.5</v>
      </c>
      <c r="BU379" s="2292">
        <f t="shared" si="1395"/>
        <v>4149.5</v>
      </c>
      <c r="BV379" s="2291">
        <f t="shared" si="1395"/>
        <v>4179</v>
      </c>
      <c r="BW379" s="2291">
        <f t="shared" si="1395"/>
        <v>4215.5</v>
      </c>
      <c r="BX379" s="2291">
        <f t="shared" si="1395"/>
        <v>4290.5</v>
      </c>
      <c r="BY379" s="2292">
        <f t="shared" si="1395"/>
        <v>4322</v>
      </c>
      <c r="BZ379" s="2291">
        <f>(BZ378+BQ378)/2</f>
        <v>4023.5</v>
      </c>
      <c r="CA379" s="2291">
        <f t="shared" ref="CA379:CG379" si="1396">(CA378+BZ378)/2</f>
        <v>4051</v>
      </c>
      <c r="CB379" s="2291">
        <f t="shared" si="1396"/>
        <v>4103.5</v>
      </c>
      <c r="CC379" s="2292">
        <f t="shared" si="1396"/>
        <v>4149.5</v>
      </c>
      <c r="CD379" s="2291">
        <f t="shared" si="1396"/>
        <v>4179</v>
      </c>
      <c r="CE379" s="2291">
        <f t="shared" si="1396"/>
        <v>4215.5</v>
      </c>
      <c r="CF379" s="2291">
        <f t="shared" si="1396"/>
        <v>4290.5</v>
      </c>
      <c r="CG379" s="2292">
        <f t="shared" si="1396"/>
        <v>4322</v>
      </c>
      <c r="CH379" s="2291">
        <f>AVERAGE(CH378,CG378)</f>
        <v>4321.5</v>
      </c>
      <c r="CI379" s="2291">
        <f>AVERAGE(CH378:CI378)</f>
        <v>4325.5</v>
      </c>
      <c r="CJ379" s="2291">
        <f>AVERAGE(CI378:CJ378)</f>
        <v>4347.5</v>
      </c>
      <c r="CK379" s="2292">
        <f>AVERAGE(CJ378:CK378)</f>
        <v>4379.5</v>
      </c>
      <c r="CL379" s="2291">
        <f>AVERAGE(CL378,CG378-BY251)</f>
        <v>1928.5</v>
      </c>
      <c r="CM379" s="2291">
        <f>AVERAGE(CL378:CM378)</f>
        <v>1943</v>
      </c>
      <c r="CN379" s="2291">
        <f>AVERAGE(CM378:CN378)</f>
        <v>1965</v>
      </c>
      <c r="CO379" s="2292">
        <f>AVERAGE(CN378:CO378)</f>
        <v>1988.5</v>
      </c>
      <c r="CP379" s="2291">
        <f>AVERAGE(CP378,CK378)</f>
        <v>3086.5</v>
      </c>
      <c r="CQ379" s="2291">
        <f>AVERAGE(CP378:CQ378)</f>
        <v>1792</v>
      </c>
      <c r="CR379" s="2291">
        <f>AVERAGE(CQ378:CR378)</f>
        <v>1790.5</v>
      </c>
      <c r="CS379" s="2292">
        <f>AVERAGE(CR378:CS378)</f>
        <v>1784.5</v>
      </c>
      <c r="CT379" s="2291">
        <f>AVERAGE(CT378,CO378)</f>
        <v>1884</v>
      </c>
      <c r="CU379" s="2291">
        <f t="shared" ref="CU379:DB379" si="1397">AVERAGE(CT378:CU378)</f>
        <v>1768</v>
      </c>
      <c r="CV379" s="2291">
        <f t="shared" si="1397"/>
        <v>1758</v>
      </c>
      <c r="CW379" s="2292">
        <f t="shared" si="1397"/>
        <v>1743</v>
      </c>
      <c r="CX379" s="2291">
        <f t="shared" si="1397"/>
        <v>1693</v>
      </c>
      <c r="CY379" s="2291">
        <f t="shared" si="1397"/>
        <v>1652.5</v>
      </c>
      <c r="CZ379" s="2291">
        <f t="shared" si="1397"/>
        <v>1647</v>
      </c>
      <c r="DA379" s="2292">
        <f t="shared" si="1397"/>
        <v>1638.5</v>
      </c>
      <c r="DB379" s="2291">
        <f t="shared" si="1397"/>
        <v>1624</v>
      </c>
      <c r="DC379" s="2291">
        <f t="shared" ref="DC379:DM379" si="1398">AVERAGE(DB378:DC378)</f>
        <v>1613.5</v>
      </c>
      <c r="DD379" s="2293">
        <f t="shared" si="1398"/>
        <v>1603</v>
      </c>
      <c r="DE379" s="2292">
        <f t="shared" si="1398"/>
        <v>1585.5</v>
      </c>
      <c r="DF379" s="2293">
        <f t="shared" si="1398"/>
        <v>1568.5</v>
      </c>
      <c r="DG379" s="2293">
        <f t="shared" si="1398"/>
        <v>1559.5</v>
      </c>
      <c r="DH379" s="2293">
        <f t="shared" si="1398"/>
        <v>1547</v>
      </c>
      <c r="DI379" s="2292">
        <f t="shared" si="1398"/>
        <v>1522.5</v>
      </c>
      <c r="DJ379" s="2765">
        <f t="shared" si="1398"/>
        <v>1379.5</v>
      </c>
      <c r="DK379" s="2293">
        <f t="shared" si="1398"/>
        <v>1250.5</v>
      </c>
      <c r="DL379" s="2293">
        <f t="shared" si="1398"/>
        <v>1249.5</v>
      </c>
      <c r="DM379" s="2292">
        <f t="shared" si="1398"/>
        <v>1248</v>
      </c>
      <c r="DN379" s="2297"/>
      <c r="DO379" s="2283"/>
      <c r="DP379" s="2286"/>
      <c r="DQ379" s="2286"/>
      <c r="DR379" s="2286"/>
      <c r="DS379" s="2286">
        <f>(DS378+DR378)/2</f>
        <v>40.5</v>
      </c>
      <c r="DT379" s="2286">
        <f>(DT378+DS378)/2</f>
        <v>45</v>
      </c>
      <c r="DU379" s="2286">
        <f>(DU378+DT378)/2</f>
        <v>52.5</v>
      </c>
      <c r="DV379" s="2286">
        <f>(DV378+DU378)/2</f>
        <v>64.5</v>
      </c>
      <c r="DW379" s="2286">
        <f>(DW378+DV378)/2</f>
        <v>92</v>
      </c>
      <c r="DX379" s="2286"/>
      <c r="DY379" s="2291"/>
      <c r="DZ379" s="2291">
        <f t="shared" ref="DZ379:EP379" si="1399">(DZ378+DY378)/2</f>
        <v>227.5</v>
      </c>
      <c r="EA379" s="2291">
        <f t="shared" si="1399"/>
        <v>261.5</v>
      </c>
      <c r="EB379" s="2291">
        <f t="shared" si="1399"/>
        <v>278.5</v>
      </c>
      <c r="EC379" s="2291">
        <f t="shared" si="1399"/>
        <v>298</v>
      </c>
      <c r="ED379" s="2291">
        <f t="shared" si="1399"/>
        <v>334</v>
      </c>
      <c r="EE379" s="2291">
        <f t="shared" si="1399"/>
        <v>388</v>
      </c>
      <c r="EF379" s="2291">
        <f t="shared" si="1399"/>
        <v>495.5</v>
      </c>
      <c r="EG379" s="2291">
        <f t="shared" si="1399"/>
        <v>617</v>
      </c>
      <c r="EH379" s="2291">
        <f t="shared" si="1399"/>
        <v>710</v>
      </c>
      <c r="EI379" s="2291">
        <f t="shared" si="1399"/>
        <v>798</v>
      </c>
      <c r="EJ379" s="2291">
        <f t="shared" si="1399"/>
        <v>889.5</v>
      </c>
      <c r="EK379" s="2291">
        <f t="shared" si="1399"/>
        <v>1056.5</v>
      </c>
      <c r="EL379" s="2291">
        <f t="shared" si="1399"/>
        <v>1243</v>
      </c>
      <c r="EM379" s="2291">
        <f t="shared" si="1399"/>
        <v>2628</v>
      </c>
      <c r="EN379" s="2291">
        <f t="shared" si="1399"/>
        <v>3983.5</v>
      </c>
      <c r="EO379" s="2291">
        <f t="shared" si="1399"/>
        <v>4098.5</v>
      </c>
      <c r="EP379" s="2291">
        <f t="shared" si="1399"/>
        <v>4240</v>
      </c>
      <c r="EQ379" s="2291">
        <f>(EQ378+EN378)/2</f>
        <v>4098.5</v>
      </c>
      <c r="ER379" s="2291">
        <f>(ER378+EQ378)/2</f>
        <v>4240</v>
      </c>
      <c r="ES379" s="2291">
        <f>(ES378+ER378)/2</f>
        <v>4343.5</v>
      </c>
      <c r="ET379" s="2291">
        <f>AVERAGE(ET378,(CG378-BY251))</f>
        <v>1952.5</v>
      </c>
      <c r="EU379" s="2291">
        <f>(EU378+ES378)/2</f>
        <v>3079</v>
      </c>
      <c r="EV379" s="2291">
        <f t="shared" ref="EV379:FC379" si="1400">(EV378+EU378)/2</f>
        <v>1754</v>
      </c>
      <c r="EW379" s="2291">
        <f t="shared" si="1400"/>
        <v>1680</v>
      </c>
      <c r="EX379" s="2291">
        <f t="shared" si="1400"/>
        <v>1603</v>
      </c>
      <c r="EY379" s="2291">
        <f t="shared" si="1400"/>
        <v>1541.5</v>
      </c>
      <c r="EZ379" s="2294">
        <f t="shared" si="1400"/>
        <v>1377.5</v>
      </c>
      <c r="FA379" s="2291">
        <f t="shared" si="1400"/>
        <v>1248</v>
      </c>
      <c r="FB379" s="2291">
        <f t="shared" si="1400"/>
        <v>1250.5</v>
      </c>
      <c r="FC379" s="2291">
        <f t="shared" si="1400"/>
        <v>1255</v>
      </c>
      <c r="FD379" s="2291">
        <f>(FD378+FC378)/2</f>
        <v>1261</v>
      </c>
      <c r="FE379" s="2291">
        <f>(FE378+FD378)/2</f>
        <v>1267</v>
      </c>
      <c r="FF379" s="2291">
        <f>(FF378+FE378)/2</f>
        <v>1273</v>
      </c>
      <c r="FG379" s="2291">
        <f>(FG378+FF378)/2</f>
        <v>1279</v>
      </c>
      <c r="FH379" s="2291">
        <f>(FH378+FG378)/2</f>
        <v>1285</v>
      </c>
      <c r="FI379" s="2296"/>
      <c r="FP379" s="1474"/>
      <c r="FQ379" s="1388"/>
      <c r="FR379" s="1388"/>
      <c r="FS379" s="2293"/>
      <c r="FT379" s="2293"/>
      <c r="FU379" s="1388"/>
      <c r="FV379" s="1388"/>
      <c r="FW379" s="2293"/>
      <c r="FX379" s="2293"/>
      <c r="FY379" s="2293"/>
    </row>
    <row r="380" spans="1:260" ht="12.75" customHeight="1" x14ac:dyDescent="0.2">
      <c r="A380" s="51" t="s">
        <v>341</v>
      </c>
      <c r="B380" s="1388"/>
      <c r="C380" s="1388"/>
      <c r="D380" s="1388"/>
      <c r="E380" s="1587"/>
      <c r="F380" s="1388"/>
      <c r="G380" s="1388">
        <f t="shared" ref="G380:AL380" si="1401">+G378-F378</f>
        <v>15</v>
      </c>
      <c r="H380" s="1388">
        <f t="shared" si="1401"/>
        <v>34</v>
      </c>
      <c r="I380" s="1587">
        <f t="shared" si="1401"/>
        <v>2</v>
      </c>
      <c r="J380" s="1388">
        <f t="shared" si="1401"/>
        <v>9</v>
      </c>
      <c r="K380" s="1388">
        <f t="shared" si="1401"/>
        <v>11</v>
      </c>
      <c r="L380" s="1388">
        <f t="shared" si="1401"/>
        <v>27</v>
      </c>
      <c r="M380" s="1587">
        <f t="shared" si="1401"/>
        <v>0</v>
      </c>
      <c r="N380" s="1388">
        <f t="shared" si="1401"/>
        <v>8</v>
      </c>
      <c r="O380" s="1388">
        <f t="shared" si="1401"/>
        <v>3</v>
      </c>
      <c r="P380" s="1388">
        <f t="shared" si="1401"/>
        <v>10</v>
      </c>
      <c r="Q380" s="1587">
        <f t="shared" si="1401"/>
        <v>0</v>
      </c>
      <c r="R380" s="1388">
        <f t="shared" si="1401"/>
        <v>2</v>
      </c>
      <c r="S380" s="1388">
        <f t="shared" si="1401"/>
        <v>6</v>
      </c>
      <c r="T380" s="1388">
        <f t="shared" si="1401"/>
        <v>5</v>
      </c>
      <c r="U380" s="1587">
        <f t="shared" si="1401"/>
        <v>0</v>
      </c>
      <c r="V380" s="1388">
        <f t="shared" si="1401"/>
        <v>5</v>
      </c>
      <c r="W380" s="1388">
        <f t="shared" si="1401"/>
        <v>-1</v>
      </c>
      <c r="X380" s="1388">
        <f t="shared" si="1401"/>
        <v>23</v>
      </c>
      <c r="Y380" s="1587">
        <f t="shared" si="1401"/>
        <v>-1</v>
      </c>
      <c r="Z380" s="1388">
        <f t="shared" si="1401"/>
        <v>2</v>
      </c>
      <c r="AA380" s="1388">
        <f t="shared" si="1401"/>
        <v>19</v>
      </c>
      <c r="AB380" s="1388">
        <f t="shared" si="1401"/>
        <v>22</v>
      </c>
      <c r="AC380" s="1587">
        <f t="shared" si="1401"/>
        <v>3</v>
      </c>
      <c r="AD380" s="1388">
        <f t="shared" si="1401"/>
        <v>4</v>
      </c>
      <c r="AE380" s="1388">
        <f t="shared" si="1401"/>
        <v>12</v>
      </c>
      <c r="AF380" s="1388">
        <f t="shared" si="1401"/>
        <v>40</v>
      </c>
      <c r="AG380" s="1587">
        <f t="shared" si="1401"/>
        <v>6</v>
      </c>
      <c r="AH380" s="1388">
        <f t="shared" si="1401"/>
        <v>102</v>
      </c>
      <c r="AI380" s="1388">
        <f t="shared" si="1401"/>
        <v>9</v>
      </c>
      <c r="AJ380" s="1388">
        <f t="shared" si="1401"/>
        <v>39</v>
      </c>
      <c r="AK380" s="1587">
        <f t="shared" si="1401"/>
        <v>3</v>
      </c>
      <c r="AL380" s="1388">
        <f t="shared" si="1401"/>
        <v>17</v>
      </c>
      <c r="AM380" s="1388">
        <f t="shared" ref="AM380:BR380" si="1402">+AM378-AL378</f>
        <v>26</v>
      </c>
      <c r="AN380" s="1388">
        <f t="shared" si="1402"/>
        <v>45</v>
      </c>
      <c r="AO380" s="1587">
        <f t="shared" si="1402"/>
        <v>2</v>
      </c>
      <c r="AP380" s="1388">
        <f t="shared" si="1402"/>
        <v>23</v>
      </c>
      <c r="AQ380" s="1388">
        <f t="shared" si="1402"/>
        <v>21</v>
      </c>
      <c r="AR380" s="1388">
        <f t="shared" si="1402"/>
        <v>43</v>
      </c>
      <c r="AS380" s="1587">
        <f t="shared" si="1402"/>
        <v>9</v>
      </c>
      <c r="AT380" s="1388">
        <f t="shared" si="1402"/>
        <v>12</v>
      </c>
      <c r="AU380" s="1388">
        <f t="shared" si="1402"/>
        <v>12</v>
      </c>
      <c r="AV380" s="1388">
        <f t="shared" si="1402"/>
        <v>45</v>
      </c>
      <c r="AW380" s="1587">
        <f t="shared" si="1402"/>
        <v>11</v>
      </c>
      <c r="AX380" s="1388">
        <f t="shared" si="1402"/>
        <v>14</v>
      </c>
      <c r="AY380" s="1388">
        <f t="shared" si="1402"/>
        <v>22</v>
      </c>
      <c r="AZ380" s="1388">
        <f t="shared" si="1402"/>
        <v>58</v>
      </c>
      <c r="BA380" s="1587">
        <f t="shared" si="1402"/>
        <v>9</v>
      </c>
      <c r="BB380" s="1388">
        <f t="shared" si="1402"/>
        <v>28</v>
      </c>
      <c r="BC380" s="1388">
        <f t="shared" si="1402"/>
        <v>142</v>
      </c>
      <c r="BD380" s="1388">
        <f t="shared" si="1402"/>
        <v>53</v>
      </c>
      <c r="BE380" s="1587">
        <f t="shared" si="1402"/>
        <v>13</v>
      </c>
      <c r="BF380" s="1388">
        <f t="shared" si="1402"/>
        <v>27</v>
      </c>
      <c r="BG380" s="1388">
        <f t="shared" si="1402"/>
        <v>25</v>
      </c>
      <c r="BH380" s="1388">
        <f t="shared" si="1402"/>
        <v>64</v>
      </c>
      <c r="BI380" s="1587">
        <f t="shared" si="1402"/>
        <v>21</v>
      </c>
      <c r="BJ380" s="1388">
        <f t="shared" si="1402"/>
        <v>35</v>
      </c>
      <c r="BK380" s="1474">
        <f t="shared" si="1402"/>
        <v>34</v>
      </c>
      <c r="BL380" s="1474">
        <f t="shared" si="1402"/>
        <v>2506</v>
      </c>
      <c r="BM380" s="1587">
        <f t="shared" si="1402"/>
        <v>53</v>
      </c>
      <c r="BN380" s="1474">
        <f t="shared" si="1402"/>
        <v>5</v>
      </c>
      <c r="BO380" s="1474">
        <f t="shared" si="1402"/>
        <v>19</v>
      </c>
      <c r="BP380" s="1474">
        <f t="shared" si="1402"/>
        <v>49</v>
      </c>
      <c r="BQ380" s="1587">
        <f t="shared" si="1402"/>
        <v>10</v>
      </c>
      <c r="BR380" s="1474">
        <f t="shared" si="1402"/>
        <v>-3</v>
      </c>
      <c r="BS380" s="1474">
        <f t="shared" ref="BS380:BY380" si="1403">+BS378-BR378</f>
        <v>58</v>
      </c>
      <c r="BT380" s="1474">
        <f t="shared" si="1403"/>
        <v>47</v>
      </c>
      <c r="BU380" s="1587">
        <f t="shared" si="1403"/>
        <v>45</v>
      </c>
      <c r="BV380" s="1474">
        <f t="shared" si="1403"/>
        <v>14</v>
      </c>
      <c r="BW380" s="1474">
        <f t="shared" si="1403"/>
        <v>59</v>
      </c>
      <c r="BX380" s="1474">
        <f t="shared" si="1403"/>
        <v>91</v>
      </c>
      <c r="BY380" s="1587">
        <f t="shared" si="1403"/>
        <v>-28</v>
      </c>
      <c r="BZ380" s="1587">
        <f>+BZ378-BQ378</f>
        <v>-3</v>
      </c>
      <c r="CA380" s="1587">
        <f t="shared" ref="CA380:CK380" si="1404">+CA378-BZ378</f>
        <v>58</v>
      </c>
      <c r="CB380" s="1587">
        <f t="shared" si="1404"/>
        <v>47</v>
      </c>
      <c r="CC380" s="1587">
        <f t="shared" si="1404"/>
        <v>45</v>
      </c>
      <c r="CD380" s="1388">
        <f t="shared" si="1404"/>
        <v>14</v>
      </c>
      <c r="CE380" s="1388">
        <f t="shared" si="1404"/>
        <v>59</v>
      </c>
      <c r="CF380" s="1388">
        <f t="shared" si="1404"/>
        <v>91</v>
      </c>
      <c r="CG380" s="1587">
        <f t="shared" si="1404"/>
        <v>-28</v>
      </c>
      <c r="CH380" s="1388">
        <f t="shared" si="1404"/>
        <v>27</v>
      </c>
      <c r="CI380" s="1388">
        <f t="shared" si="1404"/>
        <v>-19</v>
      </c>
      <c r="CJ380" s="1388">
        <f t="shared" si="1404"/>
        <v>63</v>
      </c>
      <c r="CK380" s="1587">
        <f t="shared" si="1404"/>
        <v>1</v>
      </c>
      <c r="CL380" s="1388">
        <f>+CL378-(CG378-BY251)</f>
        <v>27</v>
      </c>
      <c r="CM380" s="1388">
        <f>+CM378-CL378</f>
        <v>2</v>
      </c>
      <c r="CN380" s="1388">
        <f>+CN378-CM378</f>
        <v>42</v>
      </c>
      <c r="CO380" s="1587">
        <f>+CO378-CN378</f>
        <v>5</v>
      </c>
      <c r="CP380" s="1388">
        <f>+CP378-CK378</f>
        <v>-2587</v>
      </c>
      <c r="CQ380" s="1388">
        <f>+CQ378-CP378</f>
        <v>-2</v>
      </c>
      <c r="CR380" s="1388">
        <f>+CR378-CQ378</f>
        <v>-1</v>
      </c>
      <c r="CS380" s="1587">
        <f>+CS378-CR378</f>
        <v>-11</v>
      </c>
      <c r="CT380" s="1388">
        <f>+CT378-CO378</f>
        <v>-214</v>
      </c>
      <c r="CU380" s="1388">
        <f t="shared" ref="CU380:DB380" si="1405">+CU378-CT378</f>
        <v>-18</v>
      </c>
      <c r="CV380" s="1388">
        <f t="shared" si="1405"/>
        <v>-2</v>
      </c>
      <c r="CW380" s="1587">
        <f t="shared" si="1405"/>
        <v>-28</v>
      </c>
      <c r="CX380" s="1388">
        <f t="shared" si="1405"/>
        <v>-72</v>
      </c>
      <c r="CY380" s="1388">
        <f t="shared" si="1405"/>
        <v>-9</v>
      </c>
      <c r="CZ380" s="1388">
        <f t="shared" si="1405"/>
        <v>-2</v>
      </c>
      <c r="DA380" s="1587">
        <f t="shared" si="1405"/>
        <v>-15</v>
      </c>
      <c r="DB380" s="1388">
        <f t="shared" si="1405"/>
        <v>-14</v>
      </c>
      <c r="DC380" s="51">
        <f t="shared" ref="DC380:DM380" si="1406">+DC378-DB378</f>
        <v>-7</v>
      </c>
      <c r="DD380" s="1435">
        <f t="shared" si="1406"/>
        <v>-14</v>
      </c>
      <c r="DE380" s="503">
        <f t="shared" si="1406"/>
        <v>-21</v>
      </c>
      <c r="DF380" s="1435">
        <f t="shared" si="1406"/>
        <v>-13</v>
      </c>
      <c r="DG380" s="1435">
        <f t="shared" si="1406"/>
        <v>-5</v>
      </c>
      <c r="DH380" s="1435">
        <f t="shared" si="1406"/>
        <v>-20</v>
      </c>
      <c r="DI380" s="503">
        <f t="shared" si="1406"/>
        <v>-29</v>
      </c>
      <c r="DJ380" s="2766">
        <f t="shared" si="1406"/>
        <v>-257</v>
      </c>
      <c r="DK380" s="1474">
        <f t="shared" si="1406"/>
        <v>-1</v>
      </c>
      <c r="DL380" s="1474">
        <f t="shared" si="1406"/>
        <v>-1</v>
      </c>
      <c r="DM380" s="1587">
        <f t="shared" si="1406"/>
        <v>-2</v>
      </c>
      <c r="DN380" s="1522"/>
      <c r="DO380" s="1587"/>
      <c r="DP380" s="1388"/>
      <c r="DQ380" s="1388"/>
      <c r="DR380" s="1388"/>
      <c r="DS380" s="1388">
        <f>+DS378-DR378</f>
        <v>1</v>
      </c>
      <c r="DT380" s="1388">
        <f>+DT378-DS378</f>
        <v>8</v>
      </c>
      <c r="DU380" s="1388">
        <f>+DU378-DT378</f>
        <v>7</v>
      </c>
      <c r="DV380" s="1388">
        <f>+DV378-DU378</f>
        <v>17</v>
      </c>
      <c r="DW380" s="1388">
        <f>+DW378-DV378</f>
        <v>38</v>
      </c>
      <c r="DX380" s="1388"/>
      <c r="DY380" s="1388"/>
      <c r="DZ380" s="1388">
        <f>+J380+K380+L380+M380</f>
        <v>47</v>
      </c>
      <c r="EA380" s="1388">
        <f>+N380+O380+P380+Q380</f>
        <v>21</v>
      </c>
      <c r="EB380" s="1388">
        <f>+R380+S380+T380+U380</f>
        <v>13</v>
      </c>
      <c r="EC380" s="1388">
        <f>+V380+W380+X380+Y380</f>
        <v>26</v>
      </c>
      <c r="ED380" s="1388">
        <f>+Z380+AA380+AB380+AC380</f>
        <v>46</v>
      </c>
      <c r="EE380" s="1388">
        <f>+AD380+AE380+AF380+AG380</f>
        <v>62</v>
      </c>
      <c r="EF380" s="1388">
        <f>+AH380+AI380+AJ380+AK380</f>
        <v>153</v>
      </c>
      <c r="EG380" s="1388">
        <f>+AL380+AM380+AN380+AO380</f>
        <v>90</v>
      </c>
      <c r="EH380" s="1388">
        <f>+AP380+AQ380+AR380+AS380</f>
        <v>96</v>
      </c>
      <c r="EI380" s="1388">
        <f>+AT380+AU380+AV380+AW380</f>
        <v>80</v>
      </c>
      <c r="EJ380" s="1388">
        <f>+AX380+AY380+AZ380+BA380</f>
        <v>103</v>
      </c>
      <c r="EK380" s="1388">
        <f t="shared" ref="EK380:EP380" si="1407">+EK378-EJ378</f>
        <v>231</v>
      </c>
      <c r="EL380" s="1388">
        <f t="shared" si="1407"/>
        <v>142</v>
      </c>
      <c r="EM380" s="1388">
        <f t="shared" si="1407"/>
        <v>2628</v>
      </c>
      <c r="EN380" s="1388">
        <f t="shared" si="1407"/>
        <v>83</v>
      </c>
      <c r="EO380" s="1388">
        <f t="shared" si="1407"/>
        <v>147</v>
      </c>
      <c r="EP380" s="1388">
        <f t="shared" si="1407"/>
        <v>136</v>
      </c>
      <c r="EQ380" s="1388">
        <f>+EQ378-EN378</f>
        <v>147</v>
      </c>
      <c r="ER380" s="1388">
        <f>+ER378-EQ378</f>
        <v>136</v>
      </c>
      <c r="ES380" s="1388">
        <f>+ES378-ER378</f>
        <v>71</v>
      </c>
      <c r="ET380" s="1388">
        <f>SUM(CL380:CO380)</f>
        <v>76</v>
      </c>
      <c r="EU380" s="1388">
        <f>+EU378-ES378</f>
        <v>-2600</v>
      </c>
      <c r="EV380" s="1388">
        <f t="shared" ref="EV380:FC380" si="1408">+EV378-EU378</f>
        <v>-50</v>
      </c>
      <c r="EW380" s="1388">
        <f t="shared" si="1408"/>
        <v>-98</v>
      </c>
      <c r="EX380" s="51">
        <f t="shared" si="1408"/>
        <v>-56</v>
      </c>
      <c r="EY380" s="51">
        <f t="shared" si="1408"/>
        <v>-67</v>
      </c>
      <c r="EZ380" s="1942">
        <f t="shared" si="1408"/>
        <v>-261</v>
      </c>
      <c r="FA380" s="1388">
        <f t="shared" si="1408"/>
        <v>2</v>
      </c>
      <c r="FB380" s="1388">
        <f t="shared" si="1408"/>
        <v>3</v>
      </c>
      <c r="FC380" s="1388">
        <f t="shared" si="1408"/>
        <v>6</v>
      </c>
      <c r="FD380" s="1388">
        <f>+FD378-FC378</f>
        <v>6</v>
      </c>
      <c r="FE380" s="1474">
        <f>+FE378-FD378</f>
        <v>6</v>
      </c>
      <c r="FF380" s="1474">
        <f>+FF378-FE378</f>
        <v>6</v>
      </c>
      <c r="FG380" s="1474">
        <f>+FG378-FF378</f>
        <v>6</v>
      </c>
      <c r="FH380" s="1474">
        <f>+FH378-FG378</f>
        <v>6</v>
      </c>
      <c r="FI380" s="1648"/>
      <c r="FP380" s="1474"/>
      <c r="FQ380" s="1388"/>
      <c r="FR380" s="1388"/>
      <c r="FS380" s="1447"/>
      <c r="FT380" s="1447"/>
      <c r="FU380" s="1388"/>
      <c r="FV380" s="1388"/>
      <c r="FW380" s="1435"/>
      <c r="FX380" s="1435"/>
      <c r="FY380" s="1435"/>
    </row>
    <row r="381" spans="1:260" s="256" customFormat="1" ht="12.75" customHeight="1" x14ac:dyDescent="0.2">
      <c r="A381" s="2298"/>
      <c r="B381" s="2298"/>
      <c r="C381" s="2298"/>
      <c r="D381" s="2298"/>
      <c r="E381" s="2299"/>
      <c r="F381" s="2300"/>
      <c r="G381" s="2300"/>
      <c r="H381" s="2300"/>
      <c r="I381" s="2301"/>
      <c r="J381" s="2300"/>
      <c r="K381" s="2300"/>
      <c r="L381" s="2300"/>
      <c r="M381" s="2301"/>
      <c r="N381" s="2300"/>
      <c r="O381" s="2300"/>
      <c r="P381" s="2300"/>
      <c r="Q381" s="2301"/>
      <c r="R381" s="2300"/>
      <c r="S381" s="2300"/>
      <c r="T381" s="2300"/>
      <c r="U381" s="2301"/>
      <c r="V381" s="2300"/>
      <c r="W381" s="2300"/>
      <c r="X381" s="2300"/>
      <c r="Y381" s="2301"/>
      <c r="Z381" s="2300"/>
      <c r="AA381" s="2300"/>
      <c r="AB381" s="2300"/>
      <c r="AC381" s="2301"/>
      <c r="AD381" s="2300"/>
      <c r="AE381" s="2300"/>
      <c r="AF381" s="2300"/>
      <c r="AG381" s="2301"/>
      <c r="AH381" s="2300"/>
      <c r="AI381" s="2300"/>
      <c r="AJ381" s="2300"/>
      <c r="AK381" s="2301"/>
      <c r="AL381" s="2300"/>
      <c r="AM381" s="2300"/>
      <c r="AN381" s="2300"/>
      <c r="AO381" s="2301"/>
      <c r="AP381" s="2300"/>
      <c r="AQ381" s="2300"/>
      <c r="AR381" s="2300"/>
      <c r="AS381" s="2301"/>
      <c r="AT381" s="2300"/>
      <c r="AU381" s="2300"/>
      <c r="AV381" s="2300"/>
      <c r="AW381" s="2301"/>
      <c r="AX381" s="2300"/>
      <c r="AY381" s="2300"/>
      <c r="AZ381" s="2300"/>
      <c r="BA381" s="2301"/>
      <c r="BB381" s="2300"/>
      <c r="BC381" s="2300"/>
      <c r="BD381" s="2300"/>
      <c r="BE381" s="2301"/>
      <c r="BF381" s="2300"/>
      <c r="BG381" s="2300"/>
      <c r="BH381" s="52"/>
      <c r="BI381" s="2301"/>
      <c r="BJ381" s="2300"/>
      <c r="BK381" s="2300"/>
      <c r="BL381" s="2300"/>
      <c r="BM381" s="2301"/>
      <c r="BN381" s="2300"/>
      <c r="BO381" s="2300"/>
      <c r="BP381" s="2300"/>
      <c r="BQ381" s="2301"/>
      <c r="BR381" s="2300"/>
      <c r="BS381" s="2300"/>
      <c r="BT381" s="2300"/>
      <c r="BU381" s="2301"/>
      <c r="BV381" s="2300"/>
      <c r="BW381" s="2300"/>
      <c r="BX381" s="2300"/>
      <c r="BY381" s="2301"/>
      <c r="BZ381" s="2300"/>
      <c r="CA381" s="2300"/>
      <c r="CB381" s="2300"/>
      <c r="CC381" s="2301"/>
      <c r="CD381" s="2300"/>
      <c r="CE381" s="2300"/>
      <c r="CF381" s="2300"/>
      <c r="CG381" s="2301"/>
      <c r="CH381" s="2300"/>
      <c r="CI381" s="2300"/>
      <c r="CJ381" s="2300"/>
      <c r="CK381" s="2301"/>
      <c r="CL381" s="2300"/>
      <c r="CM381" s="2300"/>
      <c r="CN381" s="2300"/>
      <c r="CO381" s="2301"/>
      <c r="CP381" s="2300"/>
      <c r="CQ381" s="2300"/>
      <c r="CR381" s="2300"/>
      <c r="CS381" s="2301"/>
      <c r="CT381" s="2300"/>
      <c r="CU381" s="2300"/>
      <c r="CV381" s="2300"/>
      <c r="CW381" s="2301"/>
      <c r="CX381" s="2300"/>
      <c r="CY381" s="2300"/>
      <c r="CZ381" s="2300"/>
      <c r="DA381" s="2301"/>
      <c r="DB381" s="2300"/>
      <c r="DC381" s="2300"/>
      <c r="DD381" s="2302"/>
      <c r="DE381" s="2301"/>
      <c r="DF381" s="2302"/>
      <c r="DG381" s="2302"/>
      <c r="DH381" s="2302"/>
      <c r="DI381" s="2301"/>
      <c r="DJ381" s="2767"/>
      <c r="DK381" s="2302"/>
      <c r="DL381" s="2302"/>
      <c r="DM381" s="2301"/>
      <c r="DN381" s="2303"/>
      <c r="DO381" s="2301"/>
      <c r="DP381" s="2300"/>
      <c r="DQ381" s="2300"/>
      <c r="DR381" s="2300"/>
      <c r="DS381" s="2300"/>
      <c r="DT381" s="2300"/>
      <c r="DU381" s="2300"/>
      <c r="DV381" s="2300"/>
      <c r="DW381" s="2300"/>
      <c r="DX381" s="2300"/>
      <c r="DY381" s="2304"/>
      <c r="DZ381" s="2304"/>
      <c r="EA381" s="2304"/>
      <c r="EB381" s="2304"/>
      <c r="EC381" s="2304"/>
      <c r="ED381" s="2304"/>
      <c r="EE381" s="2304"/>
      <c r="EF381" s="2304"/>
      <c r="EG381" s="2304"/>
      <c r="EH381" s="2304"/>
      <c r="EI381" s="2304"/>
      <c r="EJ381" s="2304"/>
      <c r="EK381" s="2304"/>
      <c r="EL381" s="2304"/>
      <c r="EM381" s="2304"/>
      <c r="EN381" s="2304"/>
      <c r="EO381" s="2304"/>
      <c r="EP381" s="2304"/>
      <c r="EQ381" s="2304"/>
      <c r="ER381" s="2304"/>
      <c r="ES381" s="2304"/>
      <c r="ET381" s="2304"/>
      <c r="EU381" s="2304"/>
      <c r="EV381" s="2304"/>
      <c r="EW381" s="2304"/>
      <c r="EX381" s="2304"/>
      <c r="EY381" s="2304"/>
      <c r="EZ381" s="2305"/>
      <c r="FA381" s="2304"/>
      <c r="FB381" s="2304"/>
      <c r="FC381" s="2304"/>
      <c r="FD381" s="2304"/>
      <c r="FE381" s="2304"/>
      <c r="FF381" s="2304"/>
      <c r="FG381" s="2304"/>
      <c r="FH381" s="2304"/>
      <c r="FI381" s="2306"/>
      <c r="FJ381"/>
      <c r="FK381"/>
      <c r="FL381"/>
      <c r="FM381"/>
      <c r="FN381"/>
      <c r="FO381"/>
      <c r="FP381" s="1435"/>
      <c r="FQ381" s="51"/>
      <c r="FR381" s="51"/>
      <c r="FS381" s="2307"/>
      <c r="FT381" s="2307"/>
      <c r="FU381" s="1388"/>
      <c r="FV381" s="1388"/>
      <c r="FW381" s="2307"/>
      <c r="FX381" s="2307"/>
      <c r="FY381" s="2307"/>
      <c r="FZ381" s="99"/>
      <c r="GA381" s="99"/>
      <c r="GB381" s="99"/>
      <c r="GC381" s="99"/>
      <c r="GD381" s="99"/>
      <c r="GE381" s="99"/>
      <c r="GF381" s="99"/>
      <c r="GG381" s="99"/>
      <c r="GH381" s="99"/>
      <c r="GI381" s="99"/>
      <c r="GJ381" s="99"/>
      <c r="GK381" s="99"/>
      <c r="GL381" s="99"/>
      <c r="GM381" s="99"/>
      <c r="GN381" s="99"/>
      <c r="GO381" s="99"/>
      <c r="GP381" s="99"/>
      <c r="GQ381" s="99"/>
      <c r="GR381" s="99"/>
      <c r="GS381" s="99"/>
      <c r="GT381" s="99"/>
      <c r="GU381" s="99"/>
      <c r="GV381" s="99"/>
      <c r="GW381" s="99"/>
      <c r="GX381" s="99"/>
      <c r="GY381" s="99"/>
      <c r="GZ381" s="99"/>
      <c r="HA381" s="99"/>
      <c r="HB381" s="99"/>
      <c r="HC381" s="99"/>
      <c r="HD381" s="99"/>
      <c r="HE381" s="99"/>
      <c r="HF381" s="99"/>
      <c r="HG381" s="99"/>
      <c r="HH381" s="99"/>
      <c r="HI381" s="99"/>
      <c r="HJ381" s="99"/>
      <c r="HK381" s="99"/>
      <c r="HL381" s="99"/>
      <c r="HM381" s="99"/>
      <c r="HN381" s="99"/>
      <c r="HO381" s="99"/>
      <c r="HP381" s="99"/>
      <c r="HQ381" s="99"/>
      <c r="HR381" s="99"/>
      <c r="HS381" s="99"/>
      <c r="HT381" s="99"/>
      <c r="HU381" s="99"/>
      <c r="HV381" s="99"/>
      <c r="HW381" s="99"/>
      <c r="HX381" s="99"/>
      <c r="HY381" s="99"/>
      <c r="HZ381" s="99"/>
      <c r="IA381" s="99"/>
      <c r="IB381" s="99"/>
      <c r="IC381" s="99"/>
      <c r="ID381" s="99"/>
      <c r="IE381" s="99"/>
      <c r="IF381" s="99"/>
      <c r="IG381" s="99"/>
      <c r="IH381" s="99"/>
      <c r="II381" s="99"/>
      <c r="IJ381" s="99"/>
      <c r="IK381" s="99"/>
      <c r="IL381" s="99"/>
      <c r="IM381" s="99"/>
      <c r="IN381" s="99"/>
      <c r="IO381" s="99"/>
      <c r="IP381" s="99"/>
      <c r="IQ381" s="99"/>
      <c r="IR381" s="99"/>
      <c r="IS381" s="99"/>
      <c r="IT381" s="99"/>
      <c r="IU381" s="99"/>
      <c r="IV381" s="99"/>
      <c r="IW381" s="99"/>
      <c r="IX381" s="99"/>
      <c r="IY381" s="99"/>
      <c r="IZ381" s="99"/>
    </row>
    <row r="382" spans="1:260" ht="12.75" customHeight="1" x14ac:dyDescent="0.2">
      <c r="A382" s="2298" t="s">
        <v>552</v>
      </c>
      <c r="B382" s="2308"/>
      <c r="C382" s="2308"/>
      <c r="D382" s="2308"/>
      <c r="E382" s="2309"/>
      <c r="F382" s="2310">
        <f>+F92</f>
        <v>5245</v>
      </c>
      <c r="G382" s="2310">
        <f>+G92</f>
        <v>5920</v>
      </c>
      <c r="H382" s="2310">
        <f>+H92</f>
        <v>7450</v>
      </c>
      <c r="I382" s="1448">
        <f>+I92</f>
        <v>7791</v>
      </c>
      <c r="J382" s="2310">
        <f>+J92</f>
        <v>8196</v>
      </c>
      <c r="K382" s="2310">
        <f>+K92</f>
        <v>8691</v>
      </c>
      <c r="L382" s="2310">
        <f>+L92</f>
        <v>9906</v>
      </c>
      <c r="M382" s="1448">
        <f>+M92</f>
        <v>10400</v>
      </c>
      <c r="N382" s="2310">
        <f>+N92</f>
        <v>10940</v>
      </c>
      <c r="O382" s="2310">
        <f>+O92</f>
        <v>11118</v>
      </c>
      <c r="P382" s="2310">
        <f>+P92</f>
        <v>11683</v>
      </c>
      <c r="Q382" s="1448">
        <f>+Q92</f>
        <v>11692</v>
      </c>
      <c r="R382" s="2310">
        <f>+R92</f>
        <v>11816</v>
      </c>
      <c r="S382" s="2310">
        <f>+S92</f>
        <v>12103</v>
      </c>
      <c r="T382" s="2310">
        <f>+T92</f>
        <v>12362</v>
      </c>
      <c r="U382" s="1448">
        <f>+U92</f>
        <v>12334</v>
      </c>
      <c r="V382" s="2310">
        <f>+V92</f>
        <v>12559</v>
      </c>
      <c r="W382" s="2310">
        <f>+W92</f>
        <v>12567</v>
      </c>
      <c r="X382" s="2310">
        <f>+X92</f>
        <v>13662</v>
      </c>
      <c r="Y382" s="1448">
        <f>+Y92</f>
        <v>13634</v>
      </c>
      <c r="Z382" s="2310">
        <f t="shared" ref="Z382:BQ382" si="1409">+Z374</f>
        <v>13749</v>
      </c>
      <c r="AA382" s="2310">
        <f t="shared" si="1409"/>
        <v>14576</v>
      </c>
      <c r="AB382" s="2310">
        <f t="shared" si="1409"/>
        <v>15683</v>
      </c>
      <c r="AC382" s="1448">
        <f t="shared" si="1409"/>
        <v>15773</v>
      </c>
      <c r="AD382" s="2310">
        <f t="shared" si="1409"/>
        <v>15961</v>
      </c>
      <c r="AE382" s="2310">
        <f t="shared" si="1409"/>
        <v>16411</v>
      </c>
      <c r="AF382" s="2310">
        <f t="shared" si="1409"/>
        <v>18247</v>
      </c>
      <c r="AG382" s="1448">
        <f t="shared" si="1409"/>
        <v>18628.599999999999</v>
      </c>
      <c r="AH382" s="2310">
        <f t="shared" si="1409"/>
        <v>19557</v>
      </c>
      <c r="AI382" s="2310">
        <f t="shared" si="1409"/>
        <v>19980</v>
      </c>
      <c r="AJ382" s="2310">
        <f t="shared" si="1409"/>
        <v>24052</v>
      </c>
      <c r="AK382" s="1448">
        <f t="shared" si="1409"/>
        <v>24235</v>
      </c>
      <c r="AL382" s="2310">
        <f t="shared" si="1409"/>
        <v>24776</v>
      </c>
      <c r="AM382" s="2310">
        <f t="shared" si="1409"/>
        <v>25846</v>
      </c>
      <c r="AN382" s="2310">
        <f t="shared" si="1409"/>
        <v>27472</v>
      </c>
      <c r="AO382" s="1448">
        <f t="shared" si="1409"/>
        <v>27547</v>
      </c>
      <c r="AP382" s="2310">
        <f t="shared" si="1409"/>
        <v>27785</v>
      </c>
      <c r="AQ382" s="2310">
        <f t="shared" si="1409"/>
        <v>28480</v>
      </c>
      <c r="AR382" s="2310">
        <f t="shared" si="1409"/>
        <v>29995</v>
      </c>
      <c r="AS382" s="1448">
        <f t="shared" si="1409"/>
        <v>30286</v>
      </c>
      <c r="AT382" s="2310">
        <f t="shared" si="1409"/>
        <v>30666</v>
      </c>
      <c r="AU382" s="2310">
        <f t="shared" si="1409"/>
        <v>31034</v>
      </c>
      <c r="AV382" s="2310">
        <f t="shared" si="1409"/>
        <v>32222</v>
      </c>
      <c r="AW382" s="1448">
        <f t="shared" si="1409"/>
        <v>32570</v>
      </c>
      <c r="AX382" s="2310">
        <f t="shared" si="1409"/>
        <v>32996</v>
      </c>
      <c r="AY382" s="2310">
        <f t="shared" si="1409"/>
        <v>33573</v>
      </c>
      <c r="AZ382" s="2310">
        <f t="shared" si="1409"/>
        <v>35240</v>
      </c>
      <c r="BA382" s="1448">
        <f t="shared" si="1409"/>
        <v>35525.75</v>
      </c>
      <c r="BB382" s="2310">
        <f t="shared" si="1409"/>
        <v>36443.979999999996</v>
      </c>
      <c r="BC382" s="2310">
        <f t="shared" si="1409"/>
        <v>41331</v>
      </c>
      <c r="BD382" s="2310">
        <f t="shared" si="1409"/>
        <v>43002</v>
      </c>
      <c r="BE382" s="1448">
        <f t="shared" si="1409"/>
        <v>43511</v>
      </c>
      <c r="BF382" s="2310">
        <f t="shared" si="1409"/>
        <v>44517</v>
      </c>
      <c r="BG382" s="2310">
        <f t="shared" si="1409"/>
        <v>45520</v>
      </c>
      <c r="BH382" s="2310">
        <f t="shared" si="1409"/>
        <v>47785</v>
      </c>
      <c r="BI382" s="1448">
        <f t="shared" si="1409"/>
        <v>48580</v>
      </c>
      <c r="BJ382" s="2310">
        <f t="shared" si="1409"/>
        <v>49812</v>
      </c>
      <c r="BK382" s="2310">
        <f t="shared" si="1409"/>
        <v>50699</v>
      </c>
      <c r="BL382" s="2310">
        <f t="shared" si="1409"/>
        <v>53340</v>
      </c>
      <c r="BM382" s="1448">
        <f t="shared" si="1409"/>
        <v>54255</v>
      </c>
      <c r="BN382" s="2310">
        <f t="shared" si="1409"/>
        <v>54506</v>
      </c>
      <c r="BO382" s="2310">
        <f t="shared" si="1409"/>
        <v>55128</v>
      </c>
      <c r="BP382" s="2310">
        <f t="shared" si="1409"/>
        <v>56038</v>
      </c>
      <c r="BQ382" s="1448">
        <f t="shared" si="1409"/>
        <v>56103.044836100002</v>
      </c>
      <c r="BR382" s="2291">
        <f t="shared" ref="BR382:BY382" si="1410">BR374</f>
        <v>56583</v>
      </c>
      <c r="BS382" s="2291">
        <f t="shared" si="1410"/>
        <v>57338</v>
      </c>
      <c r="BT382" s="2291">
        <f t="shared" si="1410"/>
        <v>57881</v>
      </c>
      <c r="BU382" s="2292">
        <f t="shared" si="1410"/>
        <v>58105</v>
      </c>
      <c r="BV382" s="2291">
        <f t="shared" si="1410"/>
        <v>58181</v>
      </c>
      <c r="BW382" s="2291">
        <f t="shared" si="1410"/>
        <v>58855</v>
      </c>
      <c r="BX382" s="2291">
        <f t="shared" si="1410"/>
        <v>59357</v>
      </c>
      <c r="BY382" s="2292">
        <f t="shared" si="1410"/>
        <v>59637</v>
      </c>
      <c r="BZ382" s="2291">
        <f t="shared" ref="BZ382:CG382" si="1411">BR374</f>
        <v>56583</v>
      </c>
      <c r="CA382" s="2291">
        <f t="shared" si="1411"/>
        <v>57338</v>
      </c>
      <c r="CB382" s="2291">
        <f t="shared" si="1411"/>
        <v>57881</v>
      </c>
      <c r="CC382" s="2292">
        <f t="shared" si="1411"/>
        <v>58105</v>
      </c>
      <c r="CD382" s="2291">
        <f t="shared" si="1411"/>
        <v>58181</v>
      </c>
      <c r="CE382" s="2291">
        <f t="shared" si="1411"/>
        <v>58855</v>
      </c>
      <c r="CF382" s="2291">
        <f t="shared" si="1411"/>
        <v>59357</v>
      </c>
      <c r="CG382" s="2292">
        <f t="shared" si="1411"/>
        <v>59637</v>
      </c>
      <c r="CH382" s="2291">
        <f>CH374</f>
        <v>59695</v>
      </c>
      <c r="CI382" s="2291">
        <f>CI374</f>
        <v>58503</v>
      </c>
      <c r="CJ382" s="2291">
        <f>CJ374</f>
        <v>58605</v>
      </c>
      <c r="CK382" s="2292">
        <f>CK374</f>
        <v>57281</v>
      </c>
      <c r="CL382" s="2291">
        <f>CP374-CP279</f>
        <v>48825</v>
      </c>
      <c r="CM382" s="2291">
        <f>CQ374-CQ279</f>
        <v>48847</v>
      </c>
      <c r="CN382" s="2291">
        <f>CR374-CR279</f>
        <v>48793</v>
      </c>
      <c r="CO382" s="2292">
        <f>CS374-CS279</f>
        <v>48687</v>
      </c>
      <c r="CP382" s="2291">
        <f t="shared" ref="CP382:CV382" si="1412">CP374</f>
        <v>48825</v>
      </c>
      <c r="CQ382" s="2291">
        <f t="shared" si="1412"/>
        <v>48847</v>
      </c>
      <c r="CR382" s="2291">
        <f t="shared" si="1412"/>
        <v>48793</v>
      </c>
      <c r="CS382" s="2292">
        <f t="shared" si="1412"/>
        <v>48687</v>
      </c>
      <c r="CT382" s="2291">
        <f t="shared" si="1412"/>
        <v>48586</v>
      </c>
      <c r="CU382" s="2291">
        <f t="shared" si="1412"/>
        <v>48409</v>
      </c>
      <c r="CV382" s="2291">
        <f t="shared" si="1412"/>
        <v>48386</v>
      </c>
      <c r="CW382" s="2292">
        <f t="shared" ref="CW382:DE382" si="1413">CW374</f>
        <v>48186</v>
      </c>
      <c r="CX382" s="2291">
        <f t="shared" si="1413"/>
        <v>46221</v>
      </c>
      <c r="CY382" s="2291">
        <f t="shared" si="1413"/>
        <v>46149</v>
      </c>
      <c r="CZ382" s="2291">
        <f t="shared" si="1413"/>
        <v>46144</v>
      </c>
      <c r="DA382" s="2292">
        <f>DA374</f>
        <v>45759</v>
      </c>
      <c r="DB382" s="2291">
        <f>DB374</f>
        <v>45668</v>
      </c>
      <c r="DC382" s="2291">
        <f t="shared" si="1413"/>
        <v>45624</v>
      </c>
      <c r="DD382" s="2293">
        <f t="shared" si="1413"/>
        <v>45361</v>
      </c>
      <c r="DE382" s="2292">
        <f t="shared" si="1413"/>
        <v>45338</v>
      </c>
      <c r="DF382" s="2293">
        <f>DF374</f>
        <v>45267</v>
      </c>
      <c r="DG382" s="2293">
        <f t="shared" ref="DG382" si="1414">DG374</f>
        <v>45301</v>
      </c>
      <c r="DH382" s="2293">
        <f t="shared" ref="DH382:DM382" si="1415">DH374</f>
        <v>44779</v>
      </c>
      <c r="DI382" s="2292">
        <f t="shared" si="1415"/>
        <v>44746</v>
      </c>
      <c r="DJ382" s="2765">
        <f t="shared" si="1415"/>
        <v>43935</v>
      </c>
      <c r="DK382" s="2293">
        <f t="shared" si="1415"/>
        <v>43818.34</v>
      </c>
      <c r="DL382" s="2293">
        <f t="shared" si="1415"/>
        <v>43701.989168000007</v>
      </c>
      <c r="DM382" s="2292">
        <f t="shared" si="1415"/>
        <v>43761.883868540004</v>
      </c>
      <c r="DN382" s="592"/>
      <c r="DO382" s="2281"/>
      <c r="DP382" s="2285"/>
      <c r="DQ382" s="2285"/>
      <c r="DR382" s="2311"/>
      <c r="DS382" s="2311"/>
      <c r="DT382" s="2311"/>
      <c r="DU382" s="2311"/>
      <c r="DV382" s="2311">
        <f>+DV92</f>
        <v>2044</v>
      </c>
      <c r="DW382" s="2311">
        <f>+DW92</f>
        <v>3420</v>
      </c>
      <c r="DX382" s="2286"/>
      <c r="DY382" s="2310">
        <f>+DY92</f>
        <v>7791</v>
      </c>
      <c r="DZ382" s="2310">
        <f>+DZ92</f>
        <v>10400</v>
      </c>
      <c r="EA382" s="2310">
        <f>+EA92</f>
        <v>11692</v>
      </c>
      <c r="EB382" s="2310">
        <f>+EB92</f>
        <v>12334</v>
      </c>
      <c r="EC382" s="2310">
        <f>+EC92</f>
        <v>13634</v>
      </c>
      <c r="ED382" s="2310">
        <f t="shared" ref="ED382:EO382" si="1416">+ED374</f>
        <v>15773</v>
      </c>
      <c r="EE382" s="2310">
        <f t="shared" si="1416"/>
        <v>18628.599999999999</v>
      </c>
      <c r="EF382" s="2310">
        <f t="shared" si="1416"/>
        <v>23759</v>
      </c>
      <c r="EG382" s="2310">
        <f t="shared" si="1416"/>
        <v>26962</v>
      </c>
      <c r="EH382" s="2310">
        <f t="shared" si="1416"/>
        <v>29638</v>
      </c>
      <c r="EI382" s="2310">
        <f t="shared" si="1416"/>
        <v>31846.998</v>
      </c>
      <c r="EJ382" s="2310">
        <f t="shared" si="1416"/>
        <v>34752.75</v>
      </c>
      <c r="EK382" s="2310">
        <f t="shared" si="1416"/>
        <v>42649</v>
      </c>
      <c r="EL382" s="2310">
        <f t="shared" si="1416"/>
        <v>47665</v>
      </c>
      <c r="EM382" s="2310">
        <f t="shared" si="1416"/>
        <v>54255</v>
      </c>
      <c r="EN382" s="2310">
        <f t="shared" si="1416"/>
        <v>56103.044836100002</v>
      </c>
      <c r="EO382" s="2310">
        <f t="shared" si="1416"/>
        <v>58105</v>
      </c>
      <c r="EP382" s="2291">
        <f>EP374</f>
        <v>59637</v>
      </c>
      <c r="EQ382" s="2291">
        <f>EO374</f>
        <v>58105</v>
      </c>
      <c r="ER382" s="2291">
        <f>EP374</f>
        <v>59637</v>
      </c>
      <c r="ES382" s="2291">
        <f>ES374</f>
        <v>57399</v>
      </c>
      <c r="ET382" s="2291">
        <f>EU374-EU279</f>
        <v>48687</v>
      </c>
      <c r="EU382" s="2291">
        <f t="shared" ref="EU382:FC382" si="1417">EU374</f>
        <v>48687</v>
      </c>
      <c r="EV382" s="2291">
        <f t="shared" si="1417"/>
        <v>48310</v>
      </c>
      <c r="EW382" s="2291">
        <f>EW374</f>
        <v>46310</v>
      </c>
      <c r="EX382" s="2291">
        <f>EX374</f>
        <v>45338</v>
      </c>
      <c r="EY382" s="2291">
        <f>EY374</f>
        <v>44746</v>
      </c>
      <c r="EZ382" s="2294">
        <f>EZ374</f>
        <v>43761.883868540004</v>
      </c>
      <c r="FA382" s="2310">
        <f t="shared" si="1417"/>
        <v>43418.144062156491</v>
      </c>
      <c r="FB382" s="2310">
        <f t="shared" si="1417"/>
        <v>43125.405876122029</v>
      </c>
      <c r="FC382" s="2310">
        <f t="shared" si="1417"/>
        <v>42945.511733769265</v>
      </c>
      <c r="FD382" s="2310">
        <f>FD374</f>
        <v>42765.788654888063</v>
      </c>
      <c r="FE382" s="2310">
        <f>FE374</f>
        <v>42586.253336760768</v>
      </c>
      <c r="FF382" s="2310">
        <f>FF374</f>
        <v>42406.92212561769</v>
      </c>
      <c r="FG382" s="2310">
        <f>FG374</f>
        <v>42227.81102198852</v>
      </c>
      <c r="FH382" s="2310">
        <f>FH374</f>
        <v>42048.935685981603</v>
      </c>
      <c r="FI382" s="1631"/>
      <c r="FP382" s="1474"/>
      <c r="FQ382" s="1388"/>
      <c r="FR382" s="1388"/>
      <c r="FS382" s="1447"/>
      <c r="FT382" s="1447"/>
      <c r="FU382" s="1388"/>
      <c r="FV382" s="1388"/>
      <c r="FW382" s="1447"/>
      <c r="FX382" s="1447"/>
      <c r="FY382" s="1447"/>
    </row>
    <row r="383" spans="1:260" ht="12.75" customHeight="1" x14ac:dyDescent="0.2">
      <c r="A383" s="2298" t="s">
        <v>336</v>
      </c>
      <c r="B383" s="2308"/>
      <c r="C383" s="2308"/>
      <c r="D383" s="2308"/>
      <c r="E383" s="2309"/>
      <c r="F383" s="2291"/>
      <c r="G383" s="2291">
        <f t="shared" ref="G383:Q383" si="1418">(G382+F382)/2</f>
        <v>5582.5</v>
      </c>
      <c r="H383" s="2291">
        <f t="shared" si="1418"/>
        <v>6685</v>
      </c>
      <c r="I383" s="2292">
        <f t="shared" si="1418"/>
        <v>7620.5</v>
      </c>
      <c r="J383" s="2291">
        <f t="shared" si="1418"/>
        <v>7993.5</v>
      </c>
      <c r="K383" s="2291">
        <f t="shared" si="1418"/>
        <v>8443.5</v>
      </c>
      <c r="L383" s="2291">
        <f t="shared" si="1418"/>
        <v>9298.5</v>
      </c>
      <c r="M383" s="2292">
        <f t="shared" si="1418"/>
        <v>10153</v>
      </c>
      <c r="N383" s="2291">
        <f t="shared" si="1418"/>
        <v>10670</v>
      </c>
      <c r="O383" s="2291">
        <f t="shared" si="1418"/>
        <v>11029</v>
      </c>
      <c r="P383" s="2291">
        <f t="shared" si="1418"/>
        <v>11400.5</v>
      </c>
      <c r="Q383" s="2292">
        <f t="shared" si="1418"/>
        <v>11687.5</v>
      </c>
      <c r="R383" s="2291">
        <f>(11600+R382)/2</f>
        <v>11708</v>
      </c>
      <c r="S383" s="2291">
        <f t="shared" ref="S383:AX383" si="1419">(S382+R382)/2</f>
        <v>11959.5</v>
      </c>
      <c r="T383" s="2291">
        <f t="shared" si="1419"/>
        <v>12232.5</v>
      </c>
      <c r="U383" s="2292">
        <f t="shared" si="1419"/>
        <v>12348</v>
      </c>
      <c r="V383" s="2291">
        <f t="shared" si="1419"/>
        <v>12446.5</v>
      </c>
      <c r="W383" s="2291">
        <f t="shared" si="1419"/>
        <v>12563</v>
      </c>
      <c r="X383" s="2291">
        <f t="shared" si="1419"/>
        <v>13114.5</v>
      </c>
      <c r="Y383" s="2292">
        <f t="shared" si="1419"/>
        <v>13648</v>
      </c>
      <c r="Z383" s="2291">
        <f t="shared" si="1419"/>
        <v>13691.5</v>
      </c>
      <c r="AA383" s="2291">
        <f t="shared" si="1419"/>
        <v>14162.5</v>
      </c>
      <c r="AB383" s="2291">
        <f t="shared" si="1419"/>
        <v>15129.5</v>
      </c>
      <c r="AC383" s="2292">
        <f t="shared" si="1419"/>
        <v>15728</v>
      </c>
      <c r="AD383" s="2291">
        <f t="shared" si="1419"/>
        <v>15867</v>
      </c>
      <c r="AE383" s="2291">
        <f t="shared" si="1419"/>
        <v>16186</v>
      </c>
      <c r="AF383" s="2291">
        <f t="shared" si="1419"/>
        <v>17329</v>
      </c>
      <c r="AG383" s="2292">
        <f t="shared" si="1419"/>
        <v>18437.8</v>
      </c>
      <c r="AH383" s="2291">
        <f t="shared" si="1419"/>
        <v>19092.8</v>
      </c>
      <c r="AI383" s="2291">
        <f t="shared" si="1419"/>
        <v>19768.5</v>
      </c>
      <c r="AJ383" s="2291">
        <f t="shared" si="1419"/>
        <v>22016</v>
      </c>
      <c r="AK383" s="2292">
        <f t="shared" si="1419"/>
        <v>24143.5</v>
      </c>
      <c r="AL383" s="2291">
        <f t="shared" si="1419"/>
        <v>24505.5</v>
      </c>
      <c r="AM383" s="2291">
        <f t="shared" si="1419"/>
        <v>25311</v>
      </c>
      <c r="AN383" s="2291">
        <f t="shared" si="1419"/>
        <v>26659</v>
      </c>
      <c r="AO383" s="2292">
        <f t="shared" si="1419"/>
        <v>27509.5</v>
      </c>
      <c r="AP383" s="2291">
        <f t="shared" si="1419"/>
        <v>27666</v>
      </c>
      <c r="AQ383" s="2291">
        <f t="shared" si="1419"/>
        <v>28132.5</v>
      </c>
      <c r="AR383" s="2291">
        <f t="shared" si="1419"/>
        <v>29237.5</v>
      </c>
      <c r="AS383" s="2292">
        <f t="shared" si="1419"/>
        <v>30140.5</v>
      </c>
      <c r="AT383" s="2291">
        <f t="shared" si="1419"/>
        <v>30476</v>
      </c>
      <c r="AU383" s="2291">
        <f t="shared" si="1419"/>
        <v>30850</v>
      </c>
      <c r="AV383" s="2291">
        <f t="shared" si="1419"/>
        <v>31628</v>
      </c>
      <c r="AW383" s="2292">
        <f t="shared" si="1419"/>
        <v>32396</v>
      </c>
      <c r="AX383" s="2291">
        <f t="shared" si="1419"/>
        <v>32783</v>
      </c>
      <c r="AY383" s="2291">
        <f t="shared" ref="AY383:BY383" si="1420">(AY382+AX382)/2</f>
        <v>33284.5</v>
      </c>
      <c r="AZ383" s="2291">
        <f t="shared" si="1420"/>
        <v>34406.5</v>
      </c>
      <c r="BA383" s="2292">
        <f t="shared" si="1420"/>
        <v>35382.875</v>
      </c>
      <c r="BB383" s="2291">
        <f t="shared" si="1420"/>
        <v>35984.864999999998</v>
      </c>
      <c r="BC383" s="2291">
        <f t="shared" si="1420"/>
        <v>38887.49</v>
      </c>
      <c r="BD383" s="2291">
        <f t="shared" si="1420"/>
        <v>42166.5</v>
      </c>
      <c r="BE383" s="2292">
        <f t="shared" si="1420"/>
        <v>43256.5</v>
      </c>
      <c r="BF383" s="2291">
        <f t="shared" si="1420"/>
        <v>44014</v>
      </c>
      <c r="BG383" s="2291">
        <f t="shared" si="1420"/>
        <v>45018.5</v>
      </c>
      <c r="BH383" s="2291">
        <f t="shared" si="1420"/>
        <v>46652.5</v>
      </c>
      <c r="BI383" s="2292">
        <f t="shared" si="1420"/>
        <v>48182.5</v>
      </c>
      <c r="BJ383" s="2291">
        <f t="shared" si="1420"/>
        <v>49196</v>
      </c>
      <c r="BK383" s="2291">
        <f t="shared" si="1420"/>
        <v>50255.5</v>
      </c>
      <c r="BL383" s="2291">
        <f t="shared" si="1420"/>
        <v>52019.5</v>
      </c>
      <c r="BM383" s="2292">
        <f t="shared" si="1420"/>
        <v>53797.5</v>
      </c>
      <c r="BN383" s="2291">
        <f t="shared" si="1420"/>
        <v>54380.5</v>
      </c>
      <c r="BO383" s="2291">
        <f t="shared" si="1420"/>
        <v>54817</v>
      </c>
      <c r="BP383" s="2291">
        <f t="shared" si="1420"/>
        <v>55583</v>
      </c>
      <c r="BQ383" s="2292">
        <f t="shared" si="1420"/>
        <v>56070.522418050001</v>
      </c>
      <c r="BR383" s="2291">
        <f t="shared" si="1420"/>
        <v>56343.022418050001</v>
      </c>
      <c r="BS383" s="2291">
        <f t="shared" si="1420"/>
        <v>56960.5</v>
      </c>
      <c r="BT383" s="2291">
        <f t="shared" si="1420"/>
        <v>57609.5</v>
      </c>
      <c r="BU383" s="2292">
        <f t="shared" si="1420"/>
        <v>57993</v>
      </c>
      <c r="BV383" s="2291">
        <f t="shared" si="1420"/>
        <v>58143</v>
      </c>
      <c r="BW383" s="2291">
        <f t="shared" si="1420"/>
        <v>58518</v>
      </c>
      <c r="BX383" s="2291">
        <f t="shared" si="1420"/>
        <v>59106</v>
      </c>
      <c r="BY383" s="2292">
        <f t="shared" si="1420"/>
        <v>59497</v>
      </c>
      <c r="BZ383" s="2291">
        <f>(BZ382+BQ382)/2</f>
        <v>56343.022418050001</v>
      </c>
      <c r="CA383" s="2291">
        <f t="shared" ref="CA383:CK383" si="1421">(CA382+BZ382)/2</f>
        <v>56960.5</v>
      </c>
      <c r="CB383" s="2291">
        <f t="shared" si="1421"/>
        <v>57609.5</v>
      </c>
      <c r="CC383" s="2292">
        <f t="shared" si="1421"/>
        <v>57993</v>
      </c>
      <c r="CD383" s="2291">
        <f t="shared" si="1421"/>
        <v>58143</v>
      </c>
      <c r="CE383" s="2291">
        <f t="shared" si="1421"/>
        <v>58518</v>
      </c>
      <c r="CF383" s="2291">
        <f t="shared" si="1421"/>
        <v>59106</v>
      </c>
      <c r="CG383" s="2292">
        <f t="shared" si="1421"/>
        <v>59497</v>
      </c>
      <c r="CH383" s="2291">
        <f t="shared" si="1421"/>
        <v>59666</v>
      </c>
      <c r="CI383" s="2291">
        <f t="shared" si="1421"/>
        <v>59099</v>
      </c>
      <c r="CJ383" s="2291">
        <f t="shared" si="1421"/>
        <v>58554</v>
      </c>
      <c r="CK383" s="2292">
        <f t="shared" si="1421"/>
        <v>57943</v>
      </c>
      <c r="CL383" s="2291">
        <f>AVERAGE(CL382,(CG382-BY279))</f>
        <v>53481.5</v>
      </c>
      <c r="CM383" s="2291">
        <f>(CM382+CL382)/2</f>
        <v>48836</v>
      </c>
      <c r="CN383" s="2291">
        <f>(CN382+CM382)/2</f>
        <v>48820</v>
      </c>
      <c r="CO383" s="2292">
        <f>(CO382+CN382)/2</f>
        <v>48740</v>
      </c>
      <c r="CP383" s="2291">
        <f>(CP382+CK382)/2</f>
        <v>53053</v>
      </c>
      <c r="CQ383" s="2291">
        <f>(CQ382+CP382)/2</f>
        <v>48836</v>
      </c>
      <c r="CR383" s="2291">
        <f>(CR382+CQ382)/2</f>
        <v>48820</v>
      </c>
      <c r="CS383" s="2292">
        <f>(CS382+CR382)/2</f>
        <v>48740</v>
      </c>
      <c r="CT383" s="2291">
        <f>(CT382+CO382)/2</f>
        <v>48636.5</v>
      </c>
      <c r="CU383" s="2291">
        <f t="shared" ref="CU383:DB383" si="1422">(CU382+CT382)/2</f>
        <v>48497.5</v>
      </c>
      <c r="CV383" s="2291">
        <f t="shared" si="1422"/>
        <v>48397.5</v>
      </c>
      <c r="CW383" s="2292">
        <f t="shared" si="1422"/>
        <v>48286</v>
      </c>
      <c r="CX383" s="2291">
        <f t="shared" si="1422"/>
        <v>47203.5</v>
      </c>
      <c r="CY383" s="2291">
        <f t="shared" si="1422"/>
        <v>46185</v>
      </c>
      <c r="CZ383" s="2291">
        <f t="shared" si="1422"/>
        <v>46146.5</v>
      </c>
      <c r="DA383" s="2292">
        <f t="shared" si="1422"/>
        <v>45951.5</v>
      </c>
      <c r="DB383" s="2291">
        <f t="shared" si="1422"/>
        <v>45713.5</v>
      </c>
      <c r="DC383" s="2291">
        <f t="shared" ref="DC383:DM383" si="1423">(DC382+DB382)/2</f>
        <v>45646</v>
      </c>
      <c r="DD383" s="2293">
        <f t="shared" si="1423"/>
        <v>45492.5</v>
      </c>
      <c r="DE383" s="2292">
        <f t="shared" si="1423"/>
        <v>45349.5</v>
      </c>
      <c r="DF383" s="2293">
        <f t="shared" si="1423"/>
        <v>45302.5</v>
      </c>
      <c r="DG383" s="2293">
        <f t="shared" si="1423"/>
        <v>45284</v>
      </c>
      <c r="DH383" s="2293">
        <f t="shared" si="1423"/>
        <v>45040</v>
      </c>
      <c r="DI383" s="2292">
        <f t="shared" si="1423"/>
        <v>44762.5</v>
      </c>
      <c r="DJ383" s="2765">
        <f t="shared" si="1423"/>
        <v>44340.5</v>
      </c>
      <c r="DK383" s="2293">
        <f t="shared" si="1423"/>
        <v>43876.67</v>
      </c>
      <c r="DL383" s="2293">
        <f t="shared" si="1423"/>
        <v>43760.164583999998</v>
      </c>
      <c r="DM383" s="2292">
        <f t="shared" si="1423"/>
        <v>43731.936518270006</v>
      </c>
      <c r="DN383" s="2297"/>
      <c r="DO383" s="2283"/>
      <c r="DP383" s="2311"/>
      <c r="DQ383" s="2311"/>
      <c r="DR383" s="2286"/>
      <c r="DS383" s="2286"/>
      <c r="DT383" s="2286"/>
      <c r="DU383" s="2286"/>
      <c r="DV383" s="2286">
        <f>(DV382+DU382)/2</f>
        <v>1022</v>
      </c>
      <c r="DW383" s="2286">
        <f>(DW382+DV382)/2</f>
        <v>2732</v>
      </c>
      <c r="DX383" s="2286"/>
      <c r="DY383" s="2291"/>
      <c r="DZ383" s="2291">
        <f>(DZ382+DY382)/2</f>
        <v>9095.5</v>
      </c>
      <c r="EA383" s="2291">
        <f>(EA382+DZ382)/2</f>
        <v>11046</v>
      </c>
      <c r="EB383" s="2291">
        <f>(11600+EB382)/2</f>
        <v>11967</v>
      </c>
      <c r="EC383" s="2291">
        <f t="shared" ref="EC383:EP383" si="1424">(EC382+EB382)/2</f>
        <v>12984</v>
      </c>
      <c r="ED383" s="2291">
        <f t="shared" si="1424"/>
        <v>14703.5</v>
      </c>
      <c r="EE383" s="2291">
        <f t="shared" si="1424"/>
        <v>17200.8</v>
      </c>
      <c r="EF383" s="2291">
        <f t="shared" si="1424"/>
        <v>21193.8</v>
      </c>
      <c r="EG383" s="2291">
        <f t="shared" si="1424"/>
        <v>25360.5</v>
      </c>
      <c r="EH383" s="2291">
        <f t="shared" si="1424"/>
        <v>28300</v>
      </c>
      <c r="EI383" s="2291">
        <f t="shared" si="1424"/>
        <v>30742.499</v>
      </c>
      <c r="EJ383" s="2291">
        <f t="shared" si="1424"/>
        <v>33299.873999999996</v>
      </c>
      <c r="EK383" s="2291">
        <f t="shared" si="1424"/>
        <v>38700.875</v>
      </c>
      <c r="EL383" s="2291">
        <f t="shared" si="1424"/>
        <v>45157</v>
      </c>
      <c r="EM383" s="2291">
        <f t="shared" si="1424"/>
        <v>50960</v>
      </c>
      <c r="EN383" s="2291">
        <f t="shared" si="1424"/>
        <v>55179.022418050001</v>
      </c>
      <c r="EO383" s="2291">
        <f t="shared" si="1424"/>
        <v>57104.022418050001</v>
      </c>
      <c r="EP383" s="2291">
        <f t="shared" si="1424"/>
        <v>58871</v>
      </c>
      <c r="EQ383" s="2291">
        <f>(EQ382+EN382)/2</f>
        <v>57104.022418050001</v>
      </c>
      <c r="ER383" s="2291">
        <f>(ER382+EQ382)/2</f>
        <v>58871</v>
      </c>
      <c r="ES383" s="2291">
        <f>(ES382+ER382)/2</f>
        <v>58518</v>
      </c>
      <c r="ET383" s="2291">
        <f>(ET382+ES382)/2</f>
        <v>53043</v>
      </c>
      <c r="EU383" s="2291">
        <f>(EU382+ES382)/2</f>
        <v>53043</v>
      </c>
      <c r="EV383" s="2291">
        <f t="shared" ref="EV383:FC383" si="1425">(EV382+EU382)/2</f>
        <v>48498.5</v>
      </c>
      <c r="EW383" s="2291">
        <f t="shared" si="1425"/>
        <v>47310</v>
      </c>
      <c r="EX383" s="2291">
        <f t="shared" si="1425"/>
        <v>45824</v>
      </c>
      <c r="EY383" s="2291">
        <f t="shared" si="1425"/>
        <v>45042</v>
      </c>
      <c r="EZ383" s="2294">
        <f t="shared" si="1425"/>
        <v>44253.941934269998</v>
      </c>
      <c r="FA383" s="2291">
        <f t="shared" si="1425"/>
        <v>43590.013965348247</v>
      </c>
      <c r="FB383" s="2291">
        <f t="shared" si="1425"/>
        <v>43271.77496913926</v>
      </c>
      <c r="FC383" s="2291">
        <f t="shared" si="1425"/>
        <v>43035.458804945651</v>
      </c>
      <c r="FD383" s="2291">
        <f>(FD382+FC382)/2</f>
        <v>42855.650194328664</v>
      </c>
      <c r="FE383" s="2291">
        <f>(FE382+FD382)/2</f>
        <v>42676.020995824416</v>
      </c>
      <c r="FF383" s="2291">
        <f>(FF382+FE382)/2</f>
        <v>42496.587731189225</v>
      </c>
      <c r="FG383" s="2291">
        <f>(FG382+FF382)/2</f>
        <v>42317.366573803105</v>
      </c>
      <c r="FH383" s="2291">
        <f>(FH382+FG382)/2</f>
        <v>42138.373353985065</v>
      </c>
      <c r="FI383" s="2296"/>
      <c r="FP383" s="1474"/>
      <c r="FQ383" s="1388"/>
      <c r="FR383" s="1388"/>
      <c r="FS383" s="2293"/>
      <c r="FT383" s="2293"/>
      <c r="FU383" s="1388"/>
      <c r="FV383" s="1388"/>
      <c r="FW383" s="2293"/>
      <c r="FX383" s="2293"/>
      <c r="FY383" s="2293"/>
    </row>
    <row r="384" spans="1:260" s="190" customFormat="1" ht="12.75" customHeight="1" x14ac:dyDescent="0.2">
      <c r="A384" s="2582" t="s">
        <v>691</v>
      </c>
      <c r="B384" s="2260"/>
      <c r="C384" s="2260"/>
      <c r="D384" s="2260"/>
      <c r="E384" s="2261"/>
      <c r="F384" s="2260" t="e">
        <f t="shared" ref="F384:AK384" si="1426">1*(F383/B383-1)</f>
        <v>#DIV/0!</v>
      </c>
      <c r="G384" s="2260" t="e">
        <f t="shared" si="1426"/>
        <v>#DIV/0!</v>
      </c>
      <c r="H384" s="2260" t="e">
        <f t="shared" si="1426"/>
        <v>#DIV/0!</v>
      </c>
      <c r="I384" s="2261" t="e">
        <f t="shared" si="1426"/>
        <v>#DIV/0!</v>
      </c>
      <c r="J384" s="2260" t="e">
        <f t="shared" si="1426"/>
        <v>#DIV/0!</v>
      </c>
      <c r="K384" s="2260">
        <f t="shared" si="1426"/>
        <v>0.51249440214957453</v>
      </c>
      <c r="L384" s="2260">
        <f t="shared" si="1426"/>
        <v>0.39094988780852646</v>
      </c>
      <c r="M384" s="2261">
        <f t="shared" si="1426"/>
        <v>0.33232727511318161</v>
      </c>
      <c r="N384" s="2260">
        <f t="shared" si="1426"/>
        <v>0.33483455307437282</v>
      </c>
      <c r="O384" s="2260">
        <f t="shared" si="1426"/>
        <v>0.3062118789601469</v>
      </c>
      <c r="P384" s="2260">
        <f t="shared" si="1426"/>
        <v>0.22605796633865682</v>
      </c>
      <c r="Q384" s="2261">
        <f t="shared" si="1426"/>
        <v>0.15113759479956657</v>
      </c>
      <c r="R384" s="2260">
        <f t="shared" si="1426"/>
        <v>9.7282099343954931E-2</v>
      </c>
      <c r="S384" s="2260">
        <f t="shared" si="1426"/>
        <v>8.4368483090035307E-2</v>
      </c>
      <c r="T384" s="2260">
        <f t="shared" si="1426"/>
        <v>7.2979255295820389E-2</v>
      </c>
      <c r="U384" s="2261">
        <f t="shared" si="1426"/>
        <v>5.6513368983957202E-2</v>
      </c>
      <c r="V384" s="2260">
        <f t="shared" si="1426"/>
        <v>6.3076528869149273E-2</v>
      </c>
      <c r="W384" s="2260">
        <f t="shared" si="1426"/>
        <v>5.046197583511014E-2</v>
      </c>
      <c r="X384" s="2260">
        <f t="shared" si="1426"/>
        <v>7.2103004291845574E-2</v>
      </c>
      <c r="Y384" s="2261">
        <f t="shared" si="1426"/>
        <v>0.10528020732102372</v>
      </c>
      <c r="Z384" s="2260">
        <f t="shared" si="1426"/>
        <v>0.10002812035511988</v>
      </c>
      <c r="AA384" s="2260">
        <f t="shared" si="1426"/>
        <v>0.12731831568892771</v>
      </c>
      <c r="AB384" s="2260">
        <f t="shared" si="1426"/>
        <v>0.15364672690533387</v>
      </c>
      <c r="AC384" s="2261">
        <f t="shared" si="1426"/>
        <v>0.15240328253223923</v>
      </c>
      <c r="AD384" s="2260">
        <f t="shared" si="1426"/>
        <v>0.15889420443340763</v>
      </c>
      <c r="AE384" s="2260">
        <f t="shared" si="1426"/>
        <v>0.14287731685789939</v>
      </c>
      <c r="AF384" s="2260">
        <f t="shared" si="1426"/>
        <v>0.14537823457483734</v>
      </c>
      <c r="AG384" s="2261">
        <f t="shared" si="1426"/>
        <v>0.17229145473041707</v>
      </c>
      <c r="AH384" s="2260">
        <f t="shared" si="1426"/>
        <v>0.20330245162916749</v>
      </c>
      <c r="AI384" s="2260">
        <f t="shared" si="1426"/>
        <v>0.2213332509576178</v>
      </c>
      <c r="AJ384" s="2260">
        <f t="shared" si="1426"/>
        <v>0.27047146401985112</v>
      </c>
      <c r="AK384" s="2261">
        <f t="shared" si="1426"/>
        <v>0.30945665968824909</v>
      </c>
      <c r="AL384" s="2260">
        <f t="shared" ref="AL384:BM384" si="1427">1*(AL383/AH383-1)</f>
        <v>0.28349430151680211</v>
      </c>
      <c r="AM384" s="2260">
        <f t="shared" si="1427"/>
        <v>0.28037028606115788</v>
      </c>
      <c r="AN384" s="2260">
        <f t="shared" si="1427"/>
        <v>0.2108920784883721</v>
      </c>
      <c r="AO384" s="2261">
        <f t="shared" si="1427"/>
        <v>0.13941640607202777</v>
      </c>
      <c r="AP384" s="2260">
        <f t="shared" si="1427"/>
        <v>0.12897104731590869</v>
      </c>
      <c r="AQ384" s="2260">
        <f t="shared" si="1427"/>
        <v>0.11147327249022165</v>
      </c>
      <c r="AR384" s="2260">
        <f t="shared" si="1427"/>
        <v>9.6721557447766227E-2</v>
      </c>
      <c r="AS384" s="2261">
        <f t="shared" si="1427"/>
        <v>9.5639688107744592E-2</v>
      </c>
      <c r="AT384" s="2260">
        <f t="shared" si="1427"/>
        <v>0.10156871249909627</v>
      </c>
      <c r="AU384" s="2260">
        <f t="shared" si="1427"/>
        <v>9.6596463165378177E-2</v>
      </c>
      <c r="AV384" s="2260">
        <f t="shared" si="1427"/>
        <v>8.1761436511329721E-2</v>
      </c>
      <c r="AW384" s="2261">
        <f t="shared" si="1427"/>
        <v>7.4832866077205074E-2</v>
      </c>
      <c r="AX384" s="2260">
        <f t="shared" si="1427"/>
        <v>7.569891061819134E-2</v>
      </c>
      <c r="AY384" s="2260">
        <f t="shared" si="1427"/>
        <v>7.8914100486223715E-2</v>
      </c>
      <c r="AZ384" s="2260">
        <f t="shared" si="1427"/>
        <v>8.7849373972429534E-2</v>
      </c>
      <c r="BA384" s="2261">
        <f t="shared" si="1427"/>
        <v>9.2198882578096164E-2</v>
      </c>
      <c r="BB384" s="2260">
        <f t="shared" si="1427"/>
        <v>9.7668456212061106E-2</v>
      </c>
      <c r="BC384" s="2260">
        <f t="shared" si="1427"/>
        <v>0.16833631269810256</v>
      </c>
      <c r="BD384" s="2260">
        <f t="shared" si="1427"/>
        <v>0.22553877900978003</v>
      </c>
      <c r="BE384" s="2261">
        <f t="shared" si="1427"/>
        <v>0.22252643404471795</v>
      </c>
      <c r="BF384" s="2260">
        <f t="shared" si="1427"/>
        <v>0.22312533338668916</v>
      </c>
      <c r="BG384" s="2262">
        <f t="shared" si="1427"/>
        <v>0.15766021412027365</v>
      </c>
      <c r="BH384" s="2262">
        <f t="shared" si="1427"/>
        <v>0.10638777228368501</v>
      </c>
      <c r="BI384" s="2263">
        <f t="shared" si="1427"/>
        <v>0.11387883901841334</v>
      </c>
      <c r="BJ384" s="2260">
        <f t="shared" si="1427"/>
        <v>0.11773526605171081</v>
      </c>
      <c r="BK384" s="2262">
        <f t="shared" si="1427"/>
        <v>0.11632995324144524</v>
      </c>
      <c r="BL384" s="2262">
        <f t="shared" si="1427"/>
        <v>0.11504206634156788</v>
      </c>
      <c r="BM384" s="2263">
        <f t="shared" si="1427"/>
        <v>0.11653608675348925</v>
      </c>
      <c r="BN384" s="2260">
        <f t="shared" ref="BN384:BY384" si="1428">BN383/BJ383-1</f>
        <v>0.10538458411252938</v>
      </c>
      <c r="BO384" s="2260">
        <f t="shared" si="1428"/>
        <v>9.0766184795693983E-2</v>
      </c>
      <c r="BP384" s="2260">
        <f t="shared" si="1428"/>
        <v>6.8503157469794962E-2</v>
      </c>
      <c r="BQ384" s="2261">
        <f t="shared" si="1428"/>
        <v>4.2251450681723091E-2</v>
      </c>
      <c r="BR384" s="2260">
        <f t="shared" si="1428"/>
        <v>3.6088715956087203E-2</v>
      </c>
      <c r="BS384" s="2260">
        <f t="shared" si="1428"/>
        <v>3.9102833062736098E-2</v>
      </c>
      <c r="BT384" s="2260">
        <f t="shared" si="1428"/>
        <v>3.6458989259305907E-2</v>
      </c>
      <c r="BU384" s="2261">
        <f t="shared" si="1428"/>
        <v>3.4286778489710068E-2</v>
      </c>
      <c r="BV384" s="2260">
        <f t="shared" si="1428"/>
        <v>3.1946770064883223E-2</v>
      </c>
      <c r="BW384" s="2260">
        <f t="shared" si="1428"/>
        <v>2.73435099762116E-2</v>
      </c>
      <c r="BX384" s="2260">
        <f t="shared" si="1428"/>
        <v>2.5976618439667032E-2</v>
      </c>
      <c r="BY384" s="2261">
        <f t="shared" si="1428"/>
        <v>2.5934164468125465E-2</v>
      </c>
      <c r="BZ384" s="2260"/>
      <c r="CA384" s="2260"/>
      <c r="CB384" s="2260"/>
      <c r="CC384" s="2261"/>
      <c r="CD384" s="2260"/>
      <c r="CE384" s="2260"/>
      <c r="CF384" s="2260"/>
      <c r="CG384" s="2261"/>
      <c r="CH384" s="2260">
        <f>CH383/BV383-1</f>
        <v>2.6194038835285482E-2</v>
      </c>
      <c r="CI384" s="2260">
        <f>CI383/BW383-1</f>
        <v>9.9285689873200855E-3</v>
      </c>
      <c r="CJ384" s="2260">
        <f>CJ383/BX383-1</f>
        <v>-9.3391533854431108E-3</v>
      </c>
      <c r="CK384" s="2261">
        <f>CK383/BY383-1</f>
        <v>-2.6118963981377252E-2</v>
      </c>
      <c r="CL384" s="2260"/>
      <c r="CM384" s="2260"/>
      <c r="CN384" s="2260"/>
      <c r="CO384" s="2261"/>
      <c r="CP384" s="2260">
        <f>CP383/CH383-1</f>
        <v>-0.11083364059933631</v>
      </c>
      <c r="CQ384" s="2260">
        <f>CQ383/CI383-1</f>
        <v>-0.17365776070661099</v>
      </c>
      <c r="CR384" s="2262">
        <f>CR383/CJ383-1</f>
        <v>-0.16623971035283669</v>
      </c>
      <c r="CS384" s="2261">
        <f>CS383/CK383-1</f>
        <v>-0.15882850387449732</v>
      </c>
      <c r="CT384" s="2260">
        <f t="shared" ref="CT384:DG384" si="1429">CT383/CP383-1</f>
        <v>-8.3246941737507796E-2</v>
      </c>
      <c r="CU384" s="2262">
        <f t="shared" si="1429"/>
        <v>-6.9313621099189593E-3</v>
      </c>
      <c r="CV384" s="2262">
        <f t="shared" si="1429"/>
        <v>-8.6542400655469365E-3</v>
      </c>
      <c r="CW384" s="2263">
        <f t="shared" si="1429"/>
        <v>-9.3147312269183935E-3</v>
      </c>
      <c r="CX384" s="2262">
        <f t="shared" si="1429"/>
        <v>-2.9463468794012737E-2</v>
      </c>
      <c r="CY384" s="2262">
        <f t="shared" si="1429"/>
        <v>-4.7682870251043896E-2</v>
      </c>
      <c r="CZ384" s="2262">
        <f t="shared" si="1429"/>
        <v>-4.6510666873288864E-2</v>
      </c>
      <c r="DA384" s="2263">
        <f t="shared" si="1429"/>
        <v>-4.8347347057117962E-2</v>
      </c>
      <c r="DB384" s="2262">
        <f t="shared" si="1429"/>
        <v>-3.1565455951359511E-2</v>
      </c>
      <c r="DC384" s="2262">
        <f t="shared" si="1429"/>
        <v>-1.1670455775684707E-2</v>
      </c>
      <c r="DD384" s="2262">
        <f t="shared" si="1429"/>
        <v>-1.4172255750707019E-2</v>
      </c>
      <c r="DE384" s="2263">
        <f t="shared" si="1429"/>
        <v>-1.3100769289359437E-2</v>
      </c>
      <c r="DF384" s="2262">
        <f>DF383/DB383-1</f>
        <v>-8.9907795290231629E-3</v>
      </c>
      <c r="DG384" s="2262">
        <f t="shared" si="1429"/>
        <v>-7.9305963282653158E-3</v>
      </c>
      <c r="DH384" s="2262">
        <f t="shared" ref="DH384:DM384" si="1430">DH383/DD383-1</f>
        <v>-9.9466945100841198E-3</v>
      </c>
      <c r="DI384" s="2263">
        <f t="shared" si="1430"/>
        <v>-1.2943913383830052E-2</v>
      </c>
      <c r="DJ384" s="2264">
        <f t="shared" si="1430"/>
        <v>-2.1235031179294706E-2</v>
      </c>
      <c r="DK384" s="2260">
        <f t="shared" si="1430"/>
        <v>-3.107786414627689E-2</v>
      </c>
      <c r="DL384" s="2260">
        <f t="shared" si="1430"/>
        <v>-2.8415528774422771E-2</v>
      </c>
      <c r="DM384" s="2261">
        <f t="shared" si="1430"/>
        <v>-2.3022920563641303E-2</v>
      </c>
      <c r="DN384" s="2265"/>
      <c r="DO384" s="408"/>
      <c r="DP384" s="2260"/>
      <c r="DQ384" s="2260"/>
      <c r="DR384" s="2260"/>
      <c r="DS384" s="2260"/>
      <c r="DT384" s="2260"/>
      <c r="DU384" s="2260"/>
      <c r="DV384" s="2260" t="e">
        <f t="shared" ref="DV384:EM384" si="1431">1*(DV383/DU383-1)</f>
        <v>#DIV/0!</v>
      </c>
      <c r="DW384" s="2260">
        <f t="shared" si="1431"/>
        <v>1.6731898238747553</v>
      </c>
      <c r="DX384" s="2260">
        <f t="shared" si="1431"/>
        <v>-1</v>
      </c>
      <c r="DY384" s="2260" t="e">
        <f t="shared" si="1431"/>
        <v>#DIV/0!</v>
      </c>
      <c r="DZ384" s="2260" t="e">
        <f t="shared" si="1431"/>
        <v>#DIV/0!</v>
      </c>
      <c r="EA384" s="2260">
        <f t="shared" si="1431"/>
        <v>0.21444670441427083</v>
      </c>
      <c r="EB384" s="2260">
        <f t="shared" si="1431"/>
        <v>8.3378598587724007E-2</v>
      </c>
      <c r="EC384" s="2260">
        <f t="shared" si="1431"/>
        <v>8.4983705189270564E-2</v>
      </c>
      <c r="ED384" s="2260">
        <f t="shared" si="1431"/>
        <v>0.13243222427603207</v>
      </c>
      <c r="EE384" s="2260">
        <f t="shared" si="1431"/>
        <v>0.1698439147141837</v>
      </c>
      <c r="EF384" s="2260">
        <f t="shared" si="1431"/>
        <v>0.23214036556439233</v>
      </c>
      <c r="EG384" s="2260">
        <f t="shared" si="1431"/>
        <v>0.19659994904170097</v>
      </c>
      <c r="EH384" s="2260">
        <f t="shared" si="1431"/>
        <v>0.11590859801660058</v>
      </c>
      <c r="EI384" s="2260">
        <f t="shared" si="1431"/>
        <v>8.6307385159010597E-2</v>
      </c>
      <c r="EJ384" s="2260">
        <f t="shared" si="1431"/>
        <v>8.3186958874097883E-2</v>
      </c>
      <c r="EK384" s="2260">
        <f t="shared" si="1431"/>
        <v>0.16219283592484479</v>
      </c>
      <c r="EL384" s="2260">
        <f t="shared" si="1431"/>
        <v>0.16682116360418209</v>
      </c>
      <c r="EM384" s="2260">
        <f t="shared" si="1431"/>
        <v>0.12850720818477757</v>
      </c>
      <c r="EN384" s="2260">
        <f>EN383/EM383-1</f>
        <v>8.2790863776491364E-2</v>
      </c>
      <c r="EO384" s="2260">
        <f>EO383/EN383-1</f>
        <v>3.488644625516768E-2</v>
      </c>
      <c r="EP384" s="2260">
        <f>EP383/EO383-1</f>
        <v>3.0943136877717992E-2</v>
      </c>
      <c r="EQ384" s="2260">
        <f>EQ383/EN383-1</f>
        <v>3.488644625516768E-2</v>
      </c>
      <c r="ER384" s="2260">
        <f>ER383/EQ383-1</f>
        <v>3.0943136877717992E-2</v>
      </c>
      <c r="ES384" s="2260">
        <f>ES383/EP383-1</f>
        <v>-5.9961610979939461E-3</v>
      </c>
      <c r="ET384" s="2260">
        <f>ET383/ER383-1</f>
        <v>-9.8996110139117688E-2</v>
      </c>
      <c r="EU384" s="2260">
        <f>EU383/ES383-1</f>
        <v>-9.356095560340405E-2</v>
      </c>
      <c r="EV384" s="2260">
        <f t="shared" ref="EV384:FH384" si="1432">EV383/EU383-1</f>
        <v>-8.5675772486473289E-2</v>
      </c>
      <c r="EW384" s="2260">
        <f t="shared" si="1432"/>
        <v>-2.4505912553996478E-2</v>
      </c>
      <c r="EX384" s="2262">
        <f t="shared" si="1432"/>
        <v>-3.1409849926019917E-2</v>
      </c>
      <c r="EY384" s="2262">
        <f t="shared" si="1432"/>
        <v>-1.7065293296089412E-2</v>
      </c>
      <c r="EZ384" s="2264">
        <f t="shared" si="1432"/>
        <v>-1.7496071793659307E-2</v>
      </c>
      <c r="FA384" s="2260">
        <f t="shared" si="1432"/>
        <v>-1.5002685408406768E-2</v>
      </c>
      <c r="FB384" s="2260">
        <f t="shared" si="1432"/>
        <v>-7.3007316873532346E-3</v>
      </c>
      <c r="FC384" s="2260">
        <f t="shared" si="1432"/>
        <v>-5.4612080128939589E-3</v>
      </c>
      <c r="FD384" s="2260">
        <f t="shared" si="1432"/>
        <v>-4.1781501954458733E-3</v>
      </c>
      <c r="FE384" s="2260">
        <f t="shared" si="1432"/>
        <v>-4.1914939497994519E-3</v>
      </c>
      <c r="FF384" s="2260">
        <f t="shared" si="1432"/>
        <v>-4.204545326583875E-3</v>
      </c>
      <c r="FG384" s="2260">
        <f t="shared" si="1432"/>
        <v>-4.2173070110893551E-3</v>
      </c>
      <c r="FH384" s="2260">
        <f t="shared" si="1432"/>
        <v>-4.2297816312806269E-3</v>
      </c>
      <c r="FI384" s="2266"/>
      <c r="FJ384"/>
      <c r="FK384"/>
      <c r="FL384"/>
      <c r="FM384"/>
      <c r="FN384"/>
      <c r="FO384"/>
      <c r="FP384" s="1474"/>
      <c r="FQ384" s="1474"/>
      <c r="FR384" s="1474"/>
      <c r="FS384" s="2262"/>
      <c r="FT384" s="2262"/>
      <c r="FU384" s="1388"/>
      <c r="FV384" s="1388"/>
      <c r="FW384" s="2262"/>
      <c r="FX384" s="2262"/>
      <c r="FY384" s="2262"/>
      <c r="FZ384" s="99"/>
      <c r="GA384" s="99"/>
      <c r="GB384" s="99"/>
      <c r="GC384" s="99"/>
      <c r="GD384" s="99"/>
      <c r="GE384" s="99"/>
      <c r="GF384" s="99"/>
      <c r="GG384" s="99"/>
      <c r="GH384" s="99"/>
      <c r="GI384" s="99"/>
      <c r="GJ384" s="99"/>
      <c r="GK384" s="99"/>
      <c r="GL384" s="99"/>
      <c r="GM384" s="99"/>
      <c r="GN384" s="99"/>
      <c r="GO384" s="99"/>
      <c r="GP384" s="99"/>
      <c r="GQ384" s="99"/>
      <c r="GR384" s="99"/>
      <c r="GS384" s="99"/>
      <c r="GT384" s="99"/>
      <c r="GU384" s="99"/>
      <c r="GV384" s="99"/>
      <c r="GW384" s="99"/>
      <c r="GX384" s="99"/>
      <c r="GY384" s="99"/>
      <c r="GZ384" s="99"/>
      <c r="HA384" s="99"/>
      <c r="HB384" s="99"/>
      <c r="HC384" s="99"/>
      <c r="HD384" s="99"/>
      <c r="HE384" s="99"/>
      <c r="HF384" s="99"/>
      <c r="HG384" s="99"/>
      <c r="HH384" s="99"/>
      <c r="HI384" s="99"/>
      <c r="HJ384" s="99"/>
      <c r="HK384" s="99"/>
      <c r="HL384" s="99"/>
      <c r="HM384" s="99"/>
      <c r="HN384" s="99"/>
      <c r="HO384" s="99"/>
      <c r="HP384" s="99"/>
      <c r="HQ384" s="99"/>
      <c r="HR384" s="99"/>
      <c r="HS384" s="99"/>
      <c r="HT384" s="99"/>
      <c r="HU384" s="99"/>
      <c r="HV384" s="99"/>
      <c r="HW384" s="99"/>
      <c r="HX384" s="99"/>
      <c r="HY384" s="99"/>
      <c r="HZ384" s="99"/>
      <c r="IA384" s="99"/>
      <c r="IB384" s="99"/>
      <c r="IC384" s="99"/>
      <c r="ID384" s="99"/>
      <c r="IE384" s="99"/>
      <c r="IF384" s="99"/>
      <c r="IG384" s="99"/>
      <c r="IH384" s="99"/>
      <c r="II384" s="99"/>
      <c r="IJ384" s="99"/>
      <c r="IK384" s="99"/>
      <c r="IL384" s="99"/>
      <c r="IM384" s="99"/>
      <c r="IN384" s="99"/>
      <c r="IO384" s="99"/>
      <c r="IP384" s="99"/>
      <c r="IQ384" s="99"/>
      <c r="IR384" s="99"/>
      <c r="IS384" s="99"/>
      <c r="IT384" s="99"/>
      <c r="IU384" s="99"/>
      <c r="IV384" s="99"/>
      <c r="IW384" s="99"/>
      <c r="IX384" s="99"/>
      <c r="IY384" s="99"/>
      <c r="IZ384" s="99"/>
    </row>
    <row r="385" spans="1:260" ht="12.75" customHeight="1" x14ac:dyDescent="0.2">
      <c r="A385" s="2298" t="s">
        <v>337</v>
      </c>
      <c r="B385" s="2308"/>
      <c r="C385" s="2308"/>
      <c r="D385" s="2308"/>
      <c r="E385" s="2309"/>
      <c r="F385" s="2310">
        <f t="shared" ref="F385:AK385" si="1433">F382/F378*1000</f>
        <v>34281.045751633988</v>
      </c>
      <c r="G385" s="2310">
        <f t="shared" si="1433"/>
        <v>35238.095238095244</v>
      </c>
      <c r="H385" s="2310">
        <f t="shared" si="1433"/>
        <v>36881.188118811886</v>
      </c>
      <c r="I385" s="1448">
        <f t="shared" si="1433"/>
        <v>38191.176470588231</v>
      </c>
      <c r="J385" s="2310">
        <f t="shared" si="1433"/>
        <v>38478.873239436616</v>
      </c>
      <c r="K385" s="2310">
        <f t="shared" si="1433"/>
        <v>38799.107142857145</v>
      </c>
      <c r="L385" s="2310">
        <f t="shared" si="1433"/>
        <v>39466.135458167329</v>
      </c>
      <c r="M385" s="1448">
        <f t="shared" si="1433"/>
        <v>41434.262948207172</v>
      </c>
      <c r="N385" s="2310">
        <f t="shared" si="1433"/>
        <v>42239.382239382241</v>
      </c>
      <c r="O385" s="2310">
        <f t="shared" si="1433"/>
        <v>42435.114503816789</v>
      </c>
      <c r="P385" s="2310">
        <f t="shared" si="1433"/>
        <v>42952.205882352944</v>
      </c>
      <c r="Q385" s="1448">
        <f t="shared" si="1433"/>
        <v>42985.294117647056</v>
      </c>
      <c r="R385" s="2310">
        <f t="shared" si="1433"/>
        <v>43124.087591240874</v>
      </c>
      <c r="S385" s="2310">
        <f t="shared" si="1433"/>
        <v>43225</v>
      </c>
      <c r="T385" s="2310">
        <f t="shared" si="1433"/>
        <v>43375.438596491229</v>
      </c>
      <c r="U385" s="1448">
        <f t="shared" si="1433"/>
        <v>43277.192982456145</v>
      </c>
      <c r="V385" s="2310">
        <f t="shared" si="1433"/>
        <v>43306.896551724138</v>
      </c>
      <c r="W385" s="2310">
        <f t="shared" si="1433"/>
        <v>43484.429065743949</v>
      </c>
      <c r="X385" s="2310">
        <f t="shared" si="1433"/>
        <v>43788.461538461539</v>
      </c>
      <c r="Y385" s="1448">
        <f t="shared" si="1433"/>
        <v>43839.228295819936</v>
      </c>
      <c r="Z385" s="2310">
        <f t="shared" si="1433"/>
        <v>43926.517571884986</v>
      </c>
      <c r="AA385" s="2310">
        <f t="shared" si="1433"/>
        <v>43903.614457831325</v>
      </c>
      <c r="AB385" s="2310">
        <f t="shared" si="1433"/>
        <v>44302.259887005646</v>
      </c>
      <c r="AC385" s="1448">
        <f t="shared" si="1433"/>
        <v>44182.072829131655</v>
      </c>
      <c r="AD385" s="2310">
        <f t="shared" si="1433"/>
        <v>44213.296398891973</v>
      </c>
      <c r="AE385" s="2310">
        <f t="shared" si="1433"/>
        <v>43997.319034852546</v>
      </c>
      <c r="AF385" s="2310">
        <f t="shared" si="1433"/>
        <v>44181.598062953992</v>
      </c>
      <c r="AG385" s="1448">
        <f t="shared" si="1433"/>
        <v>44459.665871121717</v>
      </c>
      <c r="AH385" s="2310">
        <f t="shared" si="1433"/>
        <v>37537.428023032633</v>
      </c>
      <c r="AI385" s="2310">
        <f t="shared" si="1433"/>
        <v>37698.113207547169</v>
      </c>
      <c r="AJ385" s="2310">
        <f t="shared" si="1433"/>
        <v>42270.650263620388</v>
      </c>
      <c r="AK385" s="1448">
        <f t="shared" si="1433"/>
        <v>42368.881118881123</v>
      </c>
      <c r="AL385" s="2310">
        <f t="shared" ref="AL385:BQ385" si="1434">AL382/AL378*1000</f>
        <v>42064.516129032258</v>
      </c>
      <c r="AM385" s="2310">
        <f t="shared" si="1434"/>
        <v>42026.0162601626</v>
      </c>
      <c r="AN385" s="2310">
        <f t="shared" si="1434"/>
        <v>41624.242424242424</v>
      </c>
      <c r="AO385" s="1448">
        <f t="shared" si="1434"/>
        <v>41611.782477341396</v>
      </c>
      <c r="AP385" s="2310">
        <f t="shared" si="1434"/>
        <v>40562.043795620441</v>
      </c>
      <c r="AQ385" s="2310">
        <f t="shared" si="1434"/>
        <v>40339.943342776205</v>
      </c>
      <c r="AR385" s="2310">
        <f t="shared" si="1434"/>
        <v>40046.728971962613</v>
      </c>
      <c r="AS385" s="1448">
        <f t="shared" si="1434"/>
        <v>39955.145118733511</v>
      </c>
      <c r="AT385" s="2310">
        <f t="shared" si="1434"/>
        <v>39825.974025974028</v>
      </c>
      <c r="AU385" s="2310">
        <f t="shared" si="1434"/>
        <v>39685.421994884913</v>
      </c>
      <c r="AV385" s="2310">
        <f t="shared" si="1434"/>
        <v>38962.515114873037</v>
      </c>
      <c r="AW385" s="1448">
        <f t="shared" si="1434"/>
        <v>38866.348448687357</v>
      </c>
      <c r="AX385" s="2310">
        <f t="shared" si="1434"/>
        <v>38727.699530516431</v>
      </c>
      <c r="AY385" s="2310">
        <f t="shared" si="1434"/>
        <v>38413.043478260865</v>
      </c>
      <c r="AZ385" s="2310">
        <f t="shared" si="1434"/>
        <v>37811.158798283257</v>
      </c>
      <c r="BA385" s="1448">
        <f t="shared" si="1434"/>
        <v>37753.188097768332</v>
      </c>
      <c r="BB385" s="2310">
        <f t="shared" si="1434"/>
        <v>37609.88648090815</v>
      </c>
      <c r="BC385" s="2310">
        <f t="shared" si="1434"/>
        <v>37201.620162016203</v>
      </c>
      <c r="BD385" s="2310">
        <f t="shared" si="1434"/>
        <v>36943.298969072166</v>
      </c>
      <c r="BE385" s="1448">
        <f t="shared" si="1434"/>
        <v>36967.714528462187</v>
      </c>
      <c r="BF385" s="2310">
        <f t="shared" si="1434"/>
        <v>36974.252491694351</v>
      </c>
      <c r="BG385" s="2310">
        <f t="shared" si="1434"/>
        <v>37038.242473555736</v>
      </c>
      <c r="BH385" s="2310">
        <f t="shared" si="1434"/>
        <v>36956.689868522815</v>
      </c>
      <c r="BI385" s="1448">
        <f t="shared" si="1434"/>
        <v>36971.080669710806</v>
      </c>
      <c r="BJ385" s="2310">
        <f t="shared" si="1434"/>
        <v>36925.129725722756</v>
      </c>
      <c r="BK385" s="2310">
        <f t="shared" si="1434"/>
        <v>36658.712942877799</v>
      </c>
      <c r="BL385" s="2310">
        <f t="shared" si="1434"/>
        <v>13715.608125482129</v>
      </c>
      <c r="BM385" s="1448">
        <f t="shared" si="1434"/>
        <v>13763.31811263318</v>
      </c>
      <c r="BN385" s="2310">
        <f t="shared" si="1434"/>
        <v>13809.475551051431</v>
      </c>
      <c r="BO385" s="2310">
        <f t="shared" si="1434"/>
        <v>13900.151285930409</v>
      </c>
      <c r="BP385" s="2310">
        <f t="shared" si="1434"/>
        <v>13957.160647571607</v>
      </c>
      <c r="BQ385" s="1448">
        <f t="shared" si="1434"/>
        <v>13938.644679776398</v>
      </c>
      <c r="BR385" s="2310">
        <f t="shared" ref="BR385:CV385" si="1435">BR382/BR378*1000</f>
        <v>14068.373943311786</v>
      </c>
      <c r="BS385" s="2310">
        <f t="shared" si="1435"/>
        <v>14053.431372549019</v>
      </c>
      <c r="BT385" s="2310">
        <f t="shared" si="1435"/>
        <v>14024.957596316937</v>
      </c>
      <c r="BU385" s="1448">
        <f t="shared" si="1435"/>
        <v>13927.372962607862</v>
      </c>
      <c r="BV385" s="2310">
        <f t="shared" si="1435"/>
        <v>13898.948877209747</v>
      </c>
      <c r="BW385" s="2310">
        <f t="shared" si="1435"/>
        <v>13864.546525323911</v>
      </c>
      <c r="BX385" s="2310">
        <f t="shared" si="1435"/>
        <v>13689.345018450185</v>
      </c>
      <c r="BY385" s="1448">
        <f t="shared" si="1435"/>
        <v>13843.314763231199</v>
      </c>
      <c r="BZ385" s="2310">
        <f t="shared" si="1435"/>
        <v>14068.373943311786</v>
      </c>
      <c r="CA385" s="2310">
        <f t="shared" si="1435"/>
        <v>14053.431372549019</v>
      </c>
      <c r="CB385" s="2310">
        <f t="shared" si="1435"/>
        <v>14024.957596316937</v>
      </c>
      <c r="CC385" s="1448">
        <f t="shared" si="1435"/>
        <v>13927.372962607862</v>
      </c>
      <c r="CD385" s="2310">
        <f t="shared" si="1435"/>
        <v>13898.948877209747</v>
      </c>
      <c r="CE385" s="2310">
        <f t="shared" si="1435"/>
        <v>13864.546525323911</v>
      </c>
      <c r="CF385" s="2310">
        <f t="shared" si="1435"/>
        <v>13689.345018450185</v>
      </c>
      <c r="CG385" s="1448">
        <f t="shared" si="1435"/>
        <v>13843.314763231199</v>
      </c>
      <c r="CH385" s="2310">
        <f t="shared" si="1435"/>
        <v>13770.47289504037</v>
      </c>
      <c r="CI385" s="2310">
        <f t="shared" si="1435"/>
        <v>13554.911955514364</v>
      </c>
      <c r="CJ385" s="2310">
        <f t="shared" si="1435"/>
        <v>13383.192509705412</v>
      </c>
      <c r="CK385" s="1448">
        <f t="shared" si="1435"/>
        <v>13077.853881278539</v>
      </c>
      <c r="CL385" s="2310">
        <f t="shared" si="1435"/>
        <v>25141.606591143151</v>
      </c>
      <c r="CM385" s="2310">
        <f t="shared" si="1435"/>
        <v>25127.057613168723</v>
      </c>
      <c r="CN385" s="2310">
        <f t="shared" si="1435"/>
        <v>24568.479355488416</v>
      </c>
      <c r="CO385" s="1448">
        <f t="shared" si="1435"/>
        <v>24453.540934203917</v>
      </c>
      <c r="CP385" s="2310">
        <f t="shared" si="1435"/>
        <v>27230.897936419409</v>
      </c>
      <c r="CQ385" s="2310">
        <f t="shared" si="1435"/>
        <v>27273.590173087661</v>
      </c>
      <c r="CR385" s="2310">
        <f t="shared" si="1435"/>
        <v>27258.659217877095</v>
      </c>
      <c r="CS385" s="1448">
        <f t="shared" si="1435"/>
        <v>27367.622259696458</v>
      </c>
      <c r="CT385" s="2310">
        <f t="shared" si="1435"/>
        <v>27341.586944288123</v>
      </c>
      <c r="CU385" s="2310">
        <f t="shared" si="1435"/>
        <v>27520.750426378621</v>
      </c>
      <c r="CV385" s="2310">
        <f t="shared" si="1435"/>
        <v>27538.986909504838</v>
      </c>
      <c r="CW385" s="1448">
        <f t="shared" ref="CW385:DE385" si="1436">CW382/CW378*1000</f>
        <v>27869.288606130714</v>
      </c>
      <c r="CX385" s="2310">
        <f t="shared" si="1436"/>
        <v>27894.387447193723</v>
      </c>
      <c r="CY385" s="2310">
        <f t="shared" si="1436"/>
        <v>28003.033980582524</v>
      </c>
      <c r="CZ385" s="2310">
        <f t="shared" si="1436"/>
        <v>28034.021871202916</v>
      </c>
      <c r="DA385" s="1448">
        <f>DA382/DA378*1000</f>
        <v>28055.793991416307</v>
      </c>
      <c r="DB385" s="2310">
        <f>DB382/DB378*1000</f>
        <v>28242.424242424244</v>
      </c>
      <c r="DC385" s="2310">
        <f t="shared" si="1436"/>
        <v>28337.888198757762</v>
      </c>
      <c r="DD385" s="1447">
        <f t="shared" si="1436"/>
        <v>28421.679197994988</v>
      </c>
      <c r="DE385" s="1448">
        <f t="shared" si="1436"/>
        <v>28786.031746031746</v>
      </c>
      <c r="DF385" s="1447">
        <f>DF382/DF378*1000</f>
        <v>28980.153649167733</v>
      </c>
      <c r="DG385" s="1447">
        <f t="shared" ref="DG385" si="1437">DG382/DG378*1000</f>
        <v>29095.054592164419</v>
      </c>
      <c r="DH385" s="1447">
        <f t="shared" ref="DH385:DM385" si="1438">DH382/DH378*1000</f>
        <v>29134.027325959662</v>
      </c>
      <c r="DI385" s="1448">
        <f t="shared" si="1438"/>
        <v>29672.413793103449</v>
      </c>
      <c r="DJ385" s="2768">
        <f t="shared" si="1438"/>
        <v>35119.904076738603</v>
      </c>
      <c r="DK385" s="1447">
        <f t="shared" si="1438"/>
        <v>35054.671999999999</v>
      </c>
      <c r="DL385" s="1447">
        <f t="shared" si="1438"/>
        <v>34989.583000800652</v>
      </c>
      <c r="DM385" s="1448">
        <f t="shared" si="1438"/>
        <v>35093.732051756218</v>
      </c>
      <c r="DN385" s="2313"/>
      <c r="DO385" s="1956"/>
      <c r="DP385" s="2311"/>
      <c r="DQ385" s="2311"/>
      <c r="DR385" s="2311"/>
      <c r="DS385" s="2311"/>
      <c r="DT385" s="2311"/>
      <c r="DU385" s="2311"/>
      <c r="DV385" s="2311">
        <f>DV382/DV378*1000</f>
        <v>28000</v>
      </c>
      <c r="DW385" s="2311">
        <f>DW382/DW378*1000</f>
        <v>30810.81081081081</v>
      </c>
      <c r="DX385" s="2286"/>
      <c r="DY385" s="2310">
        <f t="shared" ref="DY385:FC385" si="1439">DY382/DY378*1000</f>
        <v>38191.176470588231</v>
      </c>
      <c r="DZ385" s="2310">
        <f t="shared" si="1439"/>
        <v>41434.262948207172</v>
      </c>
      <c r="EA385" s="2310">
        <f t="shared" si="1439"/>
        <v>42985.294117647056</v>
      </c>
      <c r="EB385" s="2310">
        <f t="shared" si="1439"/>
        <v>43277.192982456145</v>
      </c>
      <c r="EC385" s="2310">
        <f t="shared" si="1439"/>
        <v>43839.228295819936</v>
      </c>
      <c r="ED385" s="2310">
        <f t="shared" si="1439"/>
        <v>44182.072829131655</v>
      </c>
      <c r="EE385" s="2310">
        <f t="shared" si="1439"/>
        <v>44459.665871121717</v>
      </c>
      <c r="EF385" s="2310">
        <f t="shared" si="1439"/>
        <v>41536.71328671329</v>
      </c>
      <c r="EG385" s="2310">
        <f t="shared" si="1439"/>
        <v>40728.096676737157</v>
      </c>
      <c r="EH385" s="2310">
        <f t="shared" si="1439"/>
        <v>39100.263852242744</v>
      </c>
      <c r="EI385" s="2310">
        <f t="shared" si="1439"/>
        <v>38003.577565632455</v>
      </c>
      <c r="EJ385" s="2310">
        <f t="shared" si="1439"/>
        <v>36931.721572794901</v>
      </c>
      <c r="EK385" s="2310">
        <f t="shared" si="1439"/>
        <v>36389.931740614338</v>
      </c>
      <c r="EL385" s="2310">
        <f t="shared" si="1439"/>
        <v>36274.73363774734</v>
      </c>
      <c r="EM385" s="2310">
        <f t="shared" si="1439"/>
        <v>13763.31811263318</v>
      </c>
      <c r="EN385" s="2310">
        <f t="shared" si="1439"/>
        <v>13938.644679776398</v>
      </c>
      <c r="EO385" s="2310">
        <f t="shared" si="1439"/>
        <v>13927.372962607862</v>
      </c>
      <c r="EP385" s="2310">
        <f t="shared" si="1439"/>
        <v>13843.314763231199</v>
      </c>
      <c r="EQ385" s="2310">
        <f t="shared" si="1439"/>
        <v>13927.372962607862</v>
      </c>
      <c r="ER385" s="2310">
        <f t="shared" si="1439"/>
        <v>13843.314763231199</v>
      </c>
      <c r="ES385" s="2310">
        <f t="shared" si="1439"/>
        <v>13107.78716601964</v>
      </c>
      <c r="ET385" s="2310">
        <f t="shared" si="1439"/>
        <v>24465.829145728643</v>
      </c>
      <c r="EU385" s="2310">
        <f t="shared" si="1439"/>
        <v>27367.622259696458</v>
      </c>
      <c r="EV385" s="2310">
        <f t="shared" si="1439"/>
        <v>27941.006362058994</v>
      </c>
      <c r="EW385" s="2310">
        <f>EW382/EW378*1000</f>
        <v>28393.623543838134</v>
      </c>
      <c r="EX385" s="2310">
        <f>EX382/EX378*1000</f>
        <v>28786.031746031746</v>
      </c>
      <c r="EY385" s="2310">
        <f>EY382/EY378*1000</f>
        <v>29672.413793103449</v>
      </c>
      <c r="EZ385" s="2314">
        <f>EZ382/EZ378*1000</f>
        <v>35093.732051756218</v>
      </c>
      <c r="FA385" s="2310">
        <f t="shared" si="1439"/>
        <v>34762.325109813042</v>
      </c>
      <c r="FB385" s="2310">
        <f t="shared" si="1439"/>
        <v>34445.212361119826</v>
      </c>
      <c r="FC385" s="2310">
        <f t="shared" si="1439"/>
        <v>34137.926656414355</v>
      </c>
      <c r="FD385" s="2310">
        <f>FD382/FD378*1000</f>
        <v>33833.693556082333</v>
      </c>
      <c r="FE385" s="2310">
        <f>FE382/FE378*1000</f>
        <v>33532.482942331313</v>
      </c>
      <c r="FF385" s="2310">
        <f>FF382/FF378*1000</f>
        <v>33234.264988728595</v>
      </c>
      <c r="FG385" s="2310">
        <f>FG382/FG378*1000</f>
        <v>32939.01015755735</v>
      </c>
      <c r="FH385" s="2310">
        <f>FH382/FH378*1000</f>
        <v>32646.689197190688</v>
      </c>
      <c r="FI385" s="1631"/>
      <c r="FP385" s="1474"/>
      <c r="FQ385" s="1388"/>
      <c r="FR385" s="1388"/>
      <c r="FS385" s="1447"/>
      <c r="FT385" s="1447"/>
      <c r="FU385" s="1388"/>
      <c r="FV385" s="1388"/>
      <c r="FW385" s="1447"/>
      <c r="FX385" s="1447"/>
      <c r="FY385" s="1447"/>
    </row>
    <row r="386" spans="1:260" ht="12.75" customHeight="1" x14ac:dyDescent="0.2">
      <c r="A386" s="2298" t="s">
        <v>693</v>
      </c>
      <c r="B386" s="2308"/>
      <c r="C386" s="2308"/>
      <c r="D386" s="2308"/>
      <c r="E386" s="2309"/>
      <c r="F386" s="2310"/>
      <c r="G386" s="2310">
        <f t="shared" ref="G386:AL386" si="1440">+G383/G379*1000</f>
        <v>34781.931464174457</v>
      </c>
      <c r="H386" s="2310">
        <f t="shared" si="1440"/>
        <v>36135.13513513514</v>
      </c>
      <c r="I386" s="1448">
        <f t="shared" si="1440"/>
        <v>37539.408866995072</v>
      </c>
      <c r="J386" s="2310">
        <f t="shared" si="1440"/>
        <v>38338.129496402878</v>
      </c>
      <c r="K386" s="2310">
        <f t="shared" si="1440"/>
        <v>38643.020594965674</v>
      </c>
      <c r="L386" s="2310">
        <f t="shared" si="1440"/>
        <v>39151.57894736842</v>
      </c>
      <c r="M386" s="1448">
        <f t="shared" si="1440"/>
        <v>40450.199203187251</v>
      </c>
      <c r="N386" s="2310">
        <f t="shared" si="1440"/>
        <v>41843.137254901958</v>
      </c>
      <c r="O386" s="2310">
        <f t="shared" si="1440"/>
        <v>42337.81190019194</v>
      </c>
      <c r="P386" s="2310">
        <f t="shared" si="1440"/>
        <v>42698.501872659181</v>
      </c>
      <c r="Q386" s="1448">
        <f t="shared" si="1440"/>
        <v>42968.75</v>
      </c>
      <c r="R386" s="2310">
        <f t="shared" si="1440"/>
        <v>42886.44688644688</v>
      </c>
      <c r="S386" s="2310">
        <f t="shared" si="1440"/>
        <v>43175.090252707581</v>
      </c>
      <c r="T386" s="2310">
        <f t="shared" si="1440"/>
        <v>43300.884955752212</v>
      </c>
      <c r="U386" s="1448">
        <f t="shared" si="1440"/>
        <v>43326.31578947368</v>
      </c>
      <c r="V386" s="2310">
        <f t="shared" si="1440"/>
        <v>43292.17391304348</v>
      </c>
      <c r="W386" s="2310">
        <f t="shared" si="1440"/>
        <v>43395.509499136446</v>
      </c>
      <c r="X386" s="2310">
        <f t="shared" si="1440"/>
        <v>43642.26289517471</v>
      </c>
      <c r="Y386" s="1448">
        <f t="shared" si="1440"/>
        <v>43813.804173354736</v>
      </c>
      <c r="Z386" s="2310">
        <f t="shared" si="1440"/>
        <v>43883.01282051282</v>
      </c>
      <c r="AA386" s="2310">
        <f t="shared" si="1440"/>
        <v>43914.728682170542</v>
      </c>
      <c r="AB386" s="2310">
        <f t="shared" si="1440"/>
        <v>44109.329446064141</v>
      </c>
      <c r="AC386" s="1448">
        <f t="shared" si="1440"/>
        <v>44241.912798874822</v>
      </c>
      <c r="AD386" s="2310">
        <f t="shared" si="1440"/>
        <v>44197.771587743729</v>
      </c>
      <c r="AE386" s="2310">
        <f t="shared" si="1440"/>
        <v>44103.542234332424</v>
      </c>
      <c r="AF386" s="2310">
        <f t="shared" si="1440"/>
        <v>44094.147582697202</v>
      </c>
      <c r="AG386" s="1448">
        <f t="shared" si="1440"/>
        <v>44321.63461538461</v>
      </c>
      <c r="AH386" s="2310">
        <f t="shared" si="1440"/>
        <v>40622.978723404252</v>
      </c>
      <c r="AI386" s="2310">
        <f t="shared" si="1440"/>
        <v>37618.458610846814</v>
      </c>
      <c r="AJ386" s="2310">
        <f t="shared" si="1440"/>
        <v>40065.51410373066</v>
      </c>
      <c r="AK386" s="1448">
        <f t="shared" si="1440"/>
        <v>42319.894829097284</v>
      </c>
      <c r="AL386" s="2310">
        <f t="shared" si="1440"/>
        <v>42214.47028423773</v>
      </c>
      <c r="AM386" s="2310">
        <f t="shared" ref="AM386:BR386" si="1441">+AM383/AM379*1000</f>
        <v>42044.85049833887</v>
      </c>
      <c r="AN386" s="2310">
        <f t="shared" si="1441"/>
        <v>41818.03921568628</v>
      </c>
      <c r="AO386" s="1448">
        <f t="shared" si="1441"/>
        <v>41618.003025718608</v>
      </c>
      <c r="AP386" s="2310">
        <f t="shared" si="1441"/>
        <v>41077.951002227172</v>
      </c>
      <c r="AQ386" s="2310">
        <f t="shared" si="1441"/>
        <v>40449.31703810209</v>
      </c>
      <c r="AR386" s="2310">
        <f t="shared" si="1441"/>
        <v>40189.003436426123</v>
      </c>
      <c r="AS386" s="1448">
        <f t="shared" si="1441"/>
        <v>40000.66357000664</v>
      </c>
      <c r="AT386" s="2310">
        <f t="shared" si="1441"/>
        <v>39890.052356020948</v>
      </c>
      <c r="AU386" s="2310">
        <f t="shared" si="1441"/>
        <v>39755.154639175256</v>
      </c>
      <c r="AV386" s="2310">
        <f t="shared" si="1441"/>
        <v>39313.859540087011</v>
      </c>
      <c r="AW386" s="1448">
        <f t="shared" si="1441"/>
        <v>38914.114114114112</v>
      </c>
      <c r="AX386" s="2310">
        <f t="shared" si="1441"/>
        <v>38796.449704142011</v>
      </c>
      <c r="AY386" s="2310">
        <f t="shared" si="1441"/>
        <v>38568.366164542298</v>
      </c>
      <c r="AZ386" s="2310">
        <f t="shared" si="1441"/>
        <v>38102.436323366557</v>
      </c>
      <c r="BA386" s="1448">
        <f t="shared" si="1441"/>
        <v>37782.034169781102</v>
      </c>
      <c r="BB386" s="2310">
        <f t="shared" si="1441"/>
        <v>37680.486910994761</v>
      </c>
      <c r="BC386" s="2310">
        <f t="shared" si="1441"/>
        <v>37391.817307692305</v>
      </c>
      <c r="BD386" s="2310">
        <f t="shared" si="1441"/>
        <v>37069.45054945055</v>
      </c>
      <c r="BE386" s="1448">
        <f t="shared" si="1441"/>
        <v>36955.574540794529</v>
      </c>
      <c r="BF386" s="2310">
        <f t="shared" si="1441"/>
        <v>36971.020579588403</v>
      </c>
      <c r="BG386" s="2310">
        <f t="shared" si="1441"/>
        <v>37006.576243320997</v>
      </c>
      <c r="BH386" s="2310">
        <f t="shared" si="1441"/>
        <v>36996.431403647897</v>
      </c>
      <c r="BI386" s="1448">
        <f t="shared" si="1441"/>
        <v>36963.943229766017</v>
      </c>
      <c r="BJ386" s="2310">
        <f t="shared" si="1441"/>
        <v>36947.803229440484</v>
      </c>
      <c r="BK386" s="2310">
        <f t="shared" si="1441"/>
        <v>36790.263543191795</v>
      </c>
      <c r="BL386" s="2310">
        <f t="shared" si="1441"/>
        <v>19734.256449165405</v>
      </c>
      <c r="BM386" s="1448">
        <f t="shared" si="1441"/>
        <v>13739.62456902056</v>
      </c>
      <c r="BN386" s="2310">
        <f t="shared" si="1441"/>
        <v>13786.411458993536</v>
      </c>
      <c r="BO386" s="2310">
        <f t="shared" si="1441"/>
        <v>13854.922279792745</v>
      </c>
      <c r="BP386" s="2310">
        <f t="shared" si="1441"/>
        <v>13928.83097356221</v>
      </c>
      <c r="BQ386" s="1448">
        <f t="shared" si="1441"/>
        <v>13947.891148768656</v>
      </c>
      <c r="BR386" s="2310">
        <f t="shared" si="1441"/>
        <v>14003.485129377408</v>
      </c>
      <c r="BS386" s="2310">
        <f t="shared" ref="BS386:CV386" si="1442">+BS383/BS379*1000</f>
        <v>14060.849173043693</v>
      </c>
      <c r="BT386" s="2310">
        <f t="shared" si="1442"/>
        <v>14039.112952357744</v>
      </c>
      <c r="BU386" s="1448">
        <f t="shared" si="1442"/>
        <v>13975.900710929027</v>
      </c>
      <c r="BV386" s="2310">
        <f t="shared" si="1442"/>
        <v>13913.13711414214</v>
      </c>
      <c r="BW386" s="2310">
        <f t="shared" si="1442"/>
        <v>13881.627327719132</v>
      </c>
      <c r="BX386" s="2310">
        <f t="shared" si="1442"/>
        <v>13776.016781260925</v>
      </c>
      <c r="BY386" s="1448">
        <f t="shared" si="1442"/>
        <v>13766.080518278575</v>
      </c>
      <c r="BZ386" s="2310">
        <f t="shared" si="1442"/>
        <v>14003.485129377408</v>
      </c>
      <c r="CA386" s="2310">
        <f t="shared" si="1442"/>
        <v>14060.849173043693</v>
      </c>
      <c r="CB386" s="2310">
        <f t="shared" si="1442"/>
        <v>14039.112952357744</v>
      </c>
      <c r="CC386" s="1448">
        <f t="shared" si="1442"/>
        <v>13975.900710929027</v>
      </c>
      <c r="CD386" s="2310">
        <f t="shared" si="1442"/>
        <v>13913.13711414214</v>
      </c>
      <c r="CE386" s="2310">
        <f t="shared" si="1442"/>
        <v>13881.627327719132</v>
      </c>
      <c r="CF386" s="2310">
        <f t="shared" si="1442"/>
        <v>13776.016781260925</v>
      </c>
      <c r="CG386" s="1448">
        <f t="shared" si="1442"/>
        <v>13766.080518278575</v>
      </c>
      <c r="CH386" s="2310">
        <f t="shared" si="1442"/>
        <v>13806.780053222261</v>
      </c>
      <c r="CI386" s="2310">
        <f t="shared" si="1442"/>
        <v>13662.929141139752</v>
      </c>
      <c r="CJ386" s="2310">
        <f t="shared" si="1442"/>
        <v>13468.43013225992</v>
      </c>
      <c r="CK386" s="1448">
        <f t="shared" si="1442"/>
        <v>13230.505765498345</v>
      </c>
      <c r="CL386" s="2310">
        <f t="shared" si="1442"/>
        <v>27732.175265750586</v>
      </c>
      <c r="CM386" s="2310">
        <f t="shared" si="1442"/>
        <v>25134.328358208953</v>
      </c>
      <c r="CN386" s="2310">
        <f t="shared" si="1442"/>
        <v>24844.783715012723</v>
      </c>
      <c r="CO386" s="1448">
        <f t="shared" si="1442"/>
        <v>24510.937892884082</v>
      </c>
      <c r="CP386" s="2310">
        <f t="shared" si="1442"/>
        <v>17188.725093147579</v>
      </c>
      <c r="CQ386" s="2310">
        <f t="shared" si="1442"/>
        <v>27252.232142857141</v>
      </c>
      <c r="CR386" s="2310">
        <f t="shared" si="1442"/>
        <v>27266.126780228988</v>
      </c>
      <c r="CS386" s="1448">
        <f t="shared" si="1442"/>
        <v>27312.97282151863</v>
      </c>
      <c r="CT386" s="2310">
        <f t="shared" si="1442"/>
        <v>25815.552016985137</v>
      </c>
      <c r="CU386" s="2310">
        <f t="shared" si="1442"/>
        <v>27430.712669683257</v>
      </c>
      <c r="CV386" s="2310">
        <f t="shared" si="1442"/>
        <v>27529.863481228669</v>
      </c>
      <c r="CW386" s="1448">
        <f t="shared" ref="CW386:DE386" si="1443">+CW383/CW379*1000</f>
        <v>27702.811244979919</v>
      </c>
      <c r="CX386" s="2310">
        <f t="shared" si="1443"/>
        <v>27881.571175428235</v>
      </c>
      <c r="CY386" s="2310">
        <f t="shared" si="1443"/>
        <v>27948.56278366112</v>
      </c>
      <c r="CZ386" s="2310">
        <f t="shared" si="1443"/>
        <v>28018.518518518518</v>
      </c>
      <c r="DA386" s="1448">
        <f>+DA383/DA379*1000</f>
        <v>28044.858101922491</v>
      </c>
      <c r="DB386" s="2310">
        <f>+DB383/DB379*1000</f>
        <v>28148.706896551721</v>
      </c>
      <c r="DC386" s="2310">
        <f t="shared" si="1443"/>
        <v>28290.052680508212</v>
      </c>
      <c r="DD386" s="1447">
        <f t="shared" si="1443"/>
        <v>28379.600748596382</v>
      </c>
      <c r="DE386" s="1448">
        <f t="shared" si="1443"/>
        <v>28602.649006622516</v>
      </c>
      <c r="DF386" s="1447">
        <f>+DF383/DF379*1000</f>
        <v>28882.690468600576</v>
      </c>
      <c r="DG386" s="1447">
        <f t="shared" ref="DG386" si="1444">+DG383/DG379*1000</f>
        <v>29037.51202308432</v>
      </c>
      <c r="DH386" s="1447">
        <f t="shared" ref="DH386:DM386" si="1445">+DH383/DH379*1000</f>
        <v>29114.414996767937</v>
      </c>
      <c r="DI386" s="1448">
        <f t="shared" si="1445"/>
        <v>29400.656814449918</v>
      </c>
      <c r="DJ386" s="2768">
        <f t="shared" si="1445"/>
        <v>32142.442914099312</v>
      </c>
      <c r="DK386" s="1447">
        <f t="shared" si="1445"/>
        <v>35087.301079568169</v>
      </c>
      <c r="DL386" s="1447">
        <f t="shared" si="1445"/>
        <v>35022.140523409362</v>
      </c>
      <c r="DM386" s="1448">
        <f t="shared" si="1445"/>
        <v>35041.615799895837</v>
      </c>
      <c r="DN386" s="2313"/>
      <c r="DO386" s="1956"/>
      <c r="DP386" s="2311"/>
      <c r="DQ386" s="2311"/>
      <c r="DR386" s="2311"/>
      <c r="DS386" s="2311"/>
      <c r="DT386" s="2311"/>
      <c r="DU386" s="2311"/>
      <c r="DV386" s="2311">
        <f>+DV383/DV379*1000</f>
        <v>15844.961240310076</v>
      </c>
      <c r="DW386" s="2311">
        <f>+DW383/DW379*1000</f>
        <v>29695.652173913044</v>
      </c>
      <c r="DX386" s="2286"/>
      <c r="DY386" s="2310"/>
      <c r="DZ386" s="2310">
        <f t="shared" ref="DZ386:FC386" si="1446">+DZ383/DZ379*1000</f>
        <v>39980.219780219777</v>
      </c>
      <c r="EA386" s="2310">
        <f t="shared" si="1446"/>
        <v>42240.917782026772</v>
      </c>
      <c r="EB386" s="2310">
        <f t="shared" si="1446"/>
        <v>42969.479353680435</v>
      </c>
      <c r="EC386" s="2310">
        <f t="shared" si="1446"/>
        <v>43570.469798657716</v>
      </c>
      <c r="ED386" s="2310">
        <f t="shared" si="1446"/>
        <v>44022.45508982036</v>
      </c>
      <c r="EE386" s="2310">
        <f t="shared" si="1446"/>
        <v>44331.958762886592</v>
      </c>
      <c r="EF386" s="2310">
        <f t="shared" si="1446"/>
        <v>42772.552976791121</v>
      </c>
      <c r="EG386" s="2310">
        <f t="shared" si="1446"/>
        <v>41102.917341977307</v>
      </c>
      <c r="EH386" s="2310">
        <f t="shared" si="1446"/>
        <v>39859.154929577468</v>
      </c>
      <c r="EI386" s="2310">
        <f t="shared" si="1446"/>
        <v>38524.434837092733</v>
      </c>
      <c r="EJ386" s="2310">
        <f t="shared" si="1446"/>
        <v>37436.620573355809</v>
      </c>
      <c r="EK386" s="2310">
        <f t="shared" si="1446"/>
        <v>36631.211547562707</v>
      </c>
      <c r="EL386" s="2310">
        <f t="shared" si="1446"/>
        <v>36329.042638777151</v>
      </c>
      <c r="EM386" s="2310">
        <f t="shared" si="1446"/>
        <v>19391.171993911717</v>
      </c>
      <c r="EN386" s="2310">
        <f t="shared" si="1446"/>
        <v>13851.894670026359</v>
      </c>
      <c r="EO386" s="2310">
        <f t="shared" si="1446"/>
        <v>13932.907751140661</v>
      </c>
      <c r="EP386" s="2310">
        <f t="shared" si="1446"/>
        <v>13884.669811320755</v>
      </c>
      <c r="EQ386" s="2310">
        <f t="shared" si="1446"/>
        <v>13932.907751140661</v>
      </c>
      <c r="ER386" s="2310">
        <f t="shared" si="1446"/>
        <v>13884.669811320755</v>
      </c>
      <c r="ES386" s="2310">
        <f t="shared" si="1446"/>
        <v>13472.545182456544</v>
      </c>
      <c r="ET386" s="2310">
        <f t="shared" si="1446"/>
        <v>27166.709346991036</v>
      </c>
      <c r="EU386" s="2310">
        <f t="shared" si="1446"/>
        <v>17227.346541084768</v>
      </c>
      <c r="EV386" s="2310">
        <f t="shared" si="1446"/>
        <v>27650.228050171037</v>
      </c>
      <c r="EW386" s="2310">
        <f>+EW383/EW379*1000</f>
        <v>28160.714285714286</v>
      </c>
      <c r="EX386" s="2310">
        <f>+EX383/EX379*1000</f>
        <v>28586.400499064253</v>
      </c>
      <c r="EY386" s="2310">
        <f>+EY383/EY379*1000</f>
        <v>29219.591307168343</v>
      </c>
      <c r="EZ386" s="2314">
        <f>+EZ383/EZ379*1000</f>
        <v>32126.27363649365</v>
      </c>
      <c r="FA386" s="2310">
        <f t="shared" si="1446"/>
        <v>34927.89580556751</v>
      </c>
      <c r="FB386" s="2310">
        <f t="shared" si="1446"/>
        <v>34603.578543893855</v>
      </c>
      <c r="FC386" s="2310">
        <f t="shared" si="1446"/>
        <v>34291.202235016455</v>
      </c>
      <c r="FD386" s="2310">
        <f>+FD383/FD379*1000</f>
        <v>33985.448211204333</v>
      </c>
      <c r="FE386" s="2310">
        <f>+FE383/FE379*1000</f>
        <v>33682.731646270258</v>
      </c>
      <c r="FF386" s="2310">
        <f>+FF383/FF379*1000</f>
        <v>33383.022569669462</v>
      </c>
      <c r="FG386" s="2310">
        <f>+FG383/FG379*1000</f>
        <v>33086.291300862475</v>
      </c>
      <c r="FH386" s="2310">
        <f>+FH383/FH379*1000</f>
        <v>32792.508446680986</v>
      </c>
      <c r="FI386" s="1631"/>
      <c r="FP386" s="1474"/>
      <c r="FQ386" s="1388"/>
      <c r="FR386" s="1388"/>
      <c r="FS386" s="1447"/>
      <c r="FT386" s="1447"/>
      <c r="FU386" s="1388"/>
      <c r="FV386" s="1388"/>
      <c r="FW386" s="1447"/>
      <c r="FX386" s="1447"/>
      <c r="FY386" s="1447"/>
    </row>
    <row r="387" spans="1:260" s="256" customFormat="1" ht="12.75" customHeight="1" x14ac:dyDescent="0.2">
      <c r="A387" s="2298"/>
      <c r="B387" s="2298"/>
      <c r="C387" s="2298"/>
      <c r="D387" s="2298"/>
      <c r="E387" s="2299"/>
      <c r="F387" s="2300"/>
      <c r="G387" s="2300"/>
      <c r="H387" s="2300"/>
      <c r="I387" s="2301"/>
      <c r="J387" s="2300"/>
      <c r="K387" s="2300"/>
      <c r="L387" s="2300"/>
      <c r="M387" s="2301"/>
      <c r="N387" s="2300"/>
      <c r="O387" s="2300"/>
      <c r="P387" s="2300"/>
      <c r="Q387" s="2301"/>
      <c r="R387" s="2300"/>
      <c r="S387" s="2300"/>
      <c r="T387" s="2300"/>
      <c r="U387" s="2301"/>
      <c r="V387" s="2300"/>
      <c r="W387" s="2300"/>
      <c r="X387" s="2300"/>
      <c r="Y387" s="2301"/>
      <c r="Z387" s="2300"/>
      <c r="AA387" s="2300"/>
      <c r="AB387" s="2300"/>
      <c r="AC387" s="2301"/>
      <c r="AD387" s="2300"/>
      <c r="AE387" s="2300"/>
      <c r="AF387" s="2300"/>
      <c r="AG387" s="2301"/>
      <c r="AH387" s="2300"/>
      <c r="AI387" s="2300"/>
      <c r="AJ387" s="2300"/>
      <c r="AK387" s="2301"/>
      <c r="AL387" s="2300"/>
      <c r="AM387" s="2300"/>
      <c r="AN387" s="2300"/>
      <c r="AO387" s="2301"/>
      <c r="AP387" s="2300"/>
      <c r="AQ387" s="2300"/>
      <c r="AR387" s="2300"/>
      <c r="AS387" s="2301"/>
      <c r="AT387" s="2300"/>
      <c r="AU387" s="2300"/>
      <c r="AV387" s="2300"/>
      <c r="AW387" s="2301"/>
      <c r="AX387" s="2300"/>
      <c r="AY387" s="2300"/>
      <c r="AZ387" s="2300"/>
      <c r="BA387" s="2301"/>
      <c r="BB387" s="2300"/>
      <c r="BC387" s="2300"/>
      <c r="BD387" s="2300"/>
      <c r="BE387" s="2301"/>
      <c r="BF387" s="2300"/>
      <c r="BG387" s="2300"/>
      <c r="BH387" s="2300"/>
      <c r="BI387" s="2301"/>
      <c r="BJ387" s="2300"/>
      <c r="BK387" s="2300"/>
      <c r="BL387" s="2300"/>
      <c r="BM387" s="2301"/>
      <c r="BN387" s="2300"/>
      <c r="BO387" s="2300"/>
      <c r="BP387" s="2300"/>
      <c r="BQ387" s="2301"/>
      <c r="BR387" s="2300"/>
      <c r="BS387" s="2300"/>
      <c r="BT387" s="2300"/>
      <c r="BU387" s="2301"/>
      <c r="BV387" s="2300"/>
      <c r="BW387" s="2300"/>
      <c r="BX387" s="2300"/>
      <c r="BY387" s="2301"/>
      <c r="BZ387" s="2300"/>
      <c r="CA387" s="2300"/>
      <c r="CB387" s="2300"/>
      <c r="CC387" s="2301"/>
      <c r="CD387" s="2300"/>
      <c r="CE387" s="2300"/>
      <c r="CF387" s="2300"/>
      <c r="CG387" s="2301"/>
      <c r="CH387" s="2300"/>
      <c r="CI387" s="2300"/>
      <c r="CJ387" s="2300"/>
      <c r="CK387" s="2301"/>
      <c r="CL387" s="2300"/>
      <c r="CM387" s="2300"/>
      <c r="CN387" s="2300"/>
      <c r="CO387" s="2301"/>
      <c r="CP387" s="2300"/>
      <c r="CQ387" s="2300"/>
      <c r="CR387" s="2300"/>
      <c r="CS387" s="2301"/>
      <c r="CT387" s="2300"/>
      <c r="CU387" s="2300"/>
      <c r="CV387" s="2300"/>
      <c r="CW387" s="2301"/>
      <c r="CX387" s="2300"/>
      <c r="CY387" s="2300"/>
      <c r="CZ387" s="2300"/>
      <c r="DA387" s="2301"/>
      <c r="DB387" s="2300"/>
      <c r="DC387" s="2300"/>
      <c r="DD387" s="2302"/>
      <c r="DE387" s="2301"/>
      <c r="DF387" s="2302"/>
      <c r="DG387" s="2302"/>
      <c r="DH387" s="2302"/>
      <c r="DI387" s="2301"/>
      <c r="DJ387" s="2767"/>
      <c r="DK387" s="2302"/>
      <c r="DL387" s="2302"/>
      <c r="DM387" s="2301"/>
      <c r="DN387" s="2303"/>
      <c r="DO387" s="2301"/>
      <c r="DP387" s="2300"/>
      <c r="DQ387" s="2300"/>
      <c r="DR387" s="2300"/>
      <c r="DS387" s="2300"/>
      <c r="DT387" s="2300"/>
      <c r="DU387" s="2300"/>
      <c r="DV387" s="2300"/>
      <c r="DW387" s="2300"/>
      <c r="DX387" s="2300"/>
      <c r="DY387" s="2300"/>
      <c r="DZ387" s="2300"/>
      <c r="EA387" s="2300"/>
      <c r="EB387" s="2300"/>
      <c r="EC387" s="2300"/>
      <c r="ED387" s="2300"/>
      <c r="EE387" s="2300"/>
      <c r="EF387" s="2300"/>
      <c r="EG387" s="2300"/>
      <c r="EH387" s="2300"/>
      <c r="EI387" s="2300"/>
      <c r="EJ387" s="2300"/>
      <c r="EK387" s="2300"/>
      <c r="EL387" s="2300"/>
      <c r="EM387" s="2300"/>
      <c r="EN387" s="2300"/>
      <c r="EO387" s="2300"/>
      <c r="EP387" s="2300"/>
      <c r="EQ387" s="2300"/>
      <c r="ER387" s="2300"/>
      <c r="ES387" s="2300"/>
      <c r="ET387" s="2300"/>
      <c r="EU387" s="2300"/>
      <c r="EV387" s="2300"/>
      <c r="EW387" s="2300"/>
      <c r="EX387" s="2300"/>
      <c r="EY387" s="2300"/>
      <c r="EZ387" s="2315"/>
      <c r="FA387" s="2300"/>
      <c r="FB387" s="2300"/>
      <c r="FC387" s="2300"/>
      <c r="FD387" s="2300"/>
      <c r="FE387" s="2300"/>
      <c r="FF387" s="2300"/>
      <c r="FG387" s="2300"/>
      <c r="FH387" s="2300"/>
      <c r="FI387" s="2303"/>
      <c r="FJ387"/>
      <c r="FK387"/>
      <c r="FL387"/>
      <c r="FM387"/>
      <c r="FN387"/>
      <c r="FO387"/>
      <c r="FP387" s="1435"/>
      <c r="FQ387" s="51"/>
      <c r="FR387" s="51"/>
      <c r="FS387" s="2302"/>
      <c r="FT387" s="2302"/>
      <c r="FU387" s="1388"/>
      <c r="FV387" s="1388"/>
      <c r="FW387" s="2302"/>
      <c r="FX387" s="2302"/>
      <c r="FY387" s="2302"/>
      <c r="FZ387" s="99"/>
      <c r="GA387" s="99"/>
      <c r="GB387" s="99"/>
      <c r="GC387" s="99"/>
      <c r="GD387" s="99"/>
      <c r="GE387" s="99"/>
      <c r="GF387" s="99"/>
      <c r="GG387" s="99"/>
      <c r="GH387" s="99"/>
      <c r="GI387" s="99"/>
      <c r="GJ387" s="99"/>
      <c r="GK387" s="99"/>
      <c r="GL387" s="99"/>
      <c r="GM387" s="99"/>
      <c r="GN387" s="99"/>
      <c r="GO387" s="99"/>
      <c r="GP387" s="99"/>
      <c r="GQ387" s="99"/>
      <c r="GR387" s="99"/>
      <c r="GS387" s="99"/>
      <c r="GT387" s="99"/>
      <c r="GU387" s="99"/>
      <c r="GV387" s="99"/>
      <c r="GW387" s="99"/>
      <c r="GX387" s="99"/>
      <c r="GY387" s="99"/>
      <c r="GZ387" s="99"/>
      <c r="HA387" s="99"/>
      <c r="HB387" s="99"/>
      <c r="HC387" s="99"/>
      <c r="HD387" s="99"/>
      <c r="HE387" s="99"/>
      <c r="HF387" s="99"/>
      <c r="HG387" s="99"/>
      <c r="HH387" s="99"/>
      <c r="HI387" s="99"/>
      <c r="HJ387" s="99"/>
      <c r="HK387" s="99"/>
      <c r="HL387" s="99"/>
      <c r="HM387" s="99"/>
      <c r="HN387" s="99"/>
      <c r="HO387" s="99"/>
      <c r="HP387" s="99"/>
      <c r="HQ387" s="99"/>
      <c r="HR387" s="99"/>
      <c r="HS387" s="99"/>
      <c r="HT387" s="99"/>
      <c r="HU387" s="99"/>
      <c r="HV387" s="99"/>
      <c r="HW387" s="99"/>
      <c r="HX387" s="99"/>
      <c r="HY387" s="99"/>
      <c r="HZ387" s="99"/>
      <c r="IA387" s="99"/>
      <c r="IB387" s="99"/>
      <c r="IC387" s="99"/>
      <c r="ID387" s="99"/>
      <c r="IE387" s="99"/>
      <c r="IF387" s="99"/>
      <c r="IG387" s="99"/>
      <c r="IH387" s="99"/>
      <c r="II387" s="99"/>
      <c r="IJ387" s="99"/>
      <c r="IK387" s="99"/>
      <c r="IL387" s="99"/>
      <c r="IM387" s="99"/>
      <c r="IN387" s="99"/>
      <c r="IO387" s="99"/>
      <c r="IP387" s="99"/>
      <c r="IQ387" s="99"/>
      <c r="IR387" s="99"/>
      <c r="IS387" s="99"/>
      <c r="IT387" s="99"/>
      <c r="IU387" s="99"/>
      <c r="IV387" s="99"/>
      <c r="IW387" s="99"/>
      <c r="IX387" s="99"/>
      <c r="IY387" s="99"/>
      <c r="IZ387" s="99"/>
    </row>
    <row r="388" spans="1:260" ht="12.75" customHeight="1" x14ac:dyDescent="0.2">
      <c r="A388" s="2298" t="s">
        <v>185</v>
      </c>
      <c r="B388" s="2312"/>
      <c r="C388" s="2312"/>
      <c r="D388" s="2312"/>
      <c r="E388" s="2316"/>
      <c r="F388" s="2317">
        <f t="shared" ref="F388:AK388" si="1447">+F404/F378</f>
        <v>5.5516339869281044</v>
      </c>
      <c r="G388" s="2317">
        <f t="shared" si="1447"/>
        <v>5.5545952380952386</v>
      </c>
      <c r="H388" s="2317">
        <f t="shared" si="1447"/>
        <v>6.6825297029702977</v>
      </c>
      <c r="I388" s="2318">
        <f t="shared" si="1447"/>
        <v>9.5446617647058822</v>
      </c>
      <c r="J388" s="2317">
        <f t="shared" si="1447"/>
        <v>5.9843615023474186</v>
      </c>
      <c r="K388" s="2317">
        <f t="shared" si="1447"/>
        <v>6.4192455357142864</v>
      </c>
      <c r="L388" s="2317">
        <f t="shared" si="1447"/>
        <v>7.6863625498007968</v>
      </c>
      <c r="M388" s="2318">
        <f t="shared" si="1447"/>
        <v>10.261211155378485</v>
      </c>
      <c r="N388" s="2317">
        <f t="shared" si="1447"/>
        <v>6.3211737451737449</v>
      </c>
      <c r="O388" s="2317">
        <f t="shared" si="1447"/>
        <v>6.7887022900763361</v>
      </c>
      <c r="P388" s="2317">
        <f t="shared" si="1447"/>
        <v>7.3798676470588234</v>
      </c>
      <c r="Q388" s="2318">
        <f t="shared" si="1447"/>
        <v>8.6306433823529414</v>
      </c>
      <c r="R388" s="2317">
        <f t="shared" si="1447"/>
        <v>5.8633248175182482</v>
      </c>
      <c r="S388" s="2317">
        <f t="shared" si="1447"/>
        <v>6.4043000000000001</v>
      </c>
      <c r="T388" s="2317">
        <f t="shared" si="1447"/>
        <v>7.3906701754385962</v>
      </c>
      <c r="U388" s="2318">
        <f t="shared" si="1447"/>
        <v>10.007354385964913</v>
      </c>
      <c r="V388" s="2317">
        <f t="shared" si="1447"/>
        <v>6.6840793103448277</v>
      </c>
      <c r="W388" s="2317">
        <f t="shared" si="1447"/>
        <v>7.5355224913494814</v>
      </c>
      <c r="X388" s="2317">
        <f t="shared" si="1447"/>
        <v>7.9886762820512827</v>
      </c>
      <c r="Y388" s="2318">
        <f t="shared" si="1447"/>
        <v>11.112636655948554</v>
      </c>
      <c r="Z388" s="2317">
        <f t="shared" si="1447"/>
        <v>7.6211853035143768</v>
      </c>
      <c r="AA388" s="2317">
        <f t="shared" si="1447"/>
        <v>8.0922891566265065</v>
      </c>
      <c r="AB388" s="2317">
        <f t="shared" si="1447"/>
        <v>8.7777881355932195</v>
      </c>
      <c r="AC388" s="2318">
        <f t="shared" si="1447"/>
        <v>12.085756302521007</v>
      </c>
      <c r="AD388" s="2317">
        <f t="shared" si="1447"/>
        <v>8.2097451523545697</v>
      </c>
      <c r="AE388" s="2317">
        <f t="shared" si="1447"/>
        <v>8.4964369973190337</v>
      </c>
      <c r="AF388" s="2317">
        <f t="shared" si="1447"/>
        <v>9.0365133171912824</v>
      </c>
      <c r="AG388" s="2318">
        <f t="shared" si="1447"/>
        <v>13.03480429594272</v>
      </c>
      <c r="AH388" s="2317">
        <f t="shared" si="1447"/>
        <v>6.9063819577735126</v>
      </c>
      <c r="AI388" s="2317">
        <f t="shared" si="1447"/>
        <v>7.7161811320754721</v>
      </c>
      <c r="AJ388" s="2317">
        <f t="shared" si="1447"/>
        <v>8.0504481546572926</v>
      </c>
      <c r="AK388" s="2318">
        <f t="shared" si="1447"/>
        <v>11.075174825174825</v>
      </c>
      <c r="AL388" s="2317">
        <f t="shared" ref="AL388:BQ388" si="1448">+AL404/AL378</f>
        <v>7.1341256366723256</v>
      </c>
      <c r="AM388" s="2317">
        <f t="shared" si="1448"/>
        <v>7.5186991869918698</v>
      </c>
      <c r="AN388" s="2317">
        <f t="shared" si="1448"/>
        <v>7.7742424242424244</v>
      </c>
      <c r="AO388" s="2318">
        <f t="shared" si="1448"/>
        <v>10.557401812688822</v>
      </c>
      <c r="AP388" s="2317">
        <f t="shared" si="1448"/>
        <v>6.814598540145985</v>
      </c>
      <c r="AQ388" s="2317">
        <f t="shared" si="1448"/>
        <v>7.643059490084986</v>
      </c>
      <c r="AR388" s="2317">
        <f t="shared" si="1448"/>
        <v>8.0534045393858484</v>
      </c>
      <c r="AS388" s="2318">
        <f t="shared" si="1448"/>
        <v>11.146437994722955</v>
      </c>
      <c r="AT388" s="2317">
        <f t="shared" si="1448"/>
        <v>7.1155844155844159</v>
      </c>
      <c r="AU388" s="2317">
        <f t="shared" si="1448"/>
        <v>7.7749360613810738</v>
      </c>
      <c r="AV388" s="2317">
        <f t="shared" si="1448"/>
        <v>8.036275695284159</v>
      </c>
      <c r="AW388" s="2318">
        <f t="shared" si="1448"/>
        <v>11.010739856801909</v>
      </c>
      <c r="AX388" s="2317">
        <f t="shared" si="1448"/>
        <v>7.18075117370892</v>
      </c>
      <c r="AY388" s="2317">
        <f t="shared" si="1448"/>
        <v>7.6681922196796339</v>
      </c>
      <c r="AZ388" s="2317">
        <f t="shared" si="1448"/>
        <v>7.8701716738197423</v>
      </c>
      <c r="BA388" s="2318">
        <f t="shared" si="1448"/>
        <v>11.363443145589798</v>
      </c>
      <c r="BB388" s="2317">
        <f t="shared" si="1448"/>
        <v>7.1816305469556241</v>
      </c>
      <c r="BC388" s="2317">
        <f t="shared" si="1448"/>
        <v>6.8433843384338431</v>
      </c>
      <c r="BD388" s="2317">
        <f t="shared" si="1448"/>
        <v>7.279209621993127</v>
      </c>
      <c r="BE388" s="2318">
        <f t="shared" si="1448"/>
        <v>10.959218351741717</v>
      </c>
      <c r="BF388" s="2317">
        <f t="shared" si="1448"/>
        <v>6.5838870431893683</v>
      </c>
      <c r="BG388" s="2317">
        <f t="shared" si="1448"/>
        <v>7.1196094385679416</v>
      </c>
      <c r="BH388" s="2317">
        <f t="shared" si="1448"/>
        <v>7.6782675947409125</v>
      </c>
      <c r="BI388" s="2318">
        <f t="shared" si="1448"/>
        <v>10.211567732115677</v>
      </c>
      <c r="BJ388" s="2317">
        <f t="shared" si="1448"/>
        <v>6.6641957005189028</v>
      </c>
      <c r="BK388" s="2317">
        <f t="shared" si="1448"/>
        <v>7.0867678958785252</v>
      </c>
      <c r="BL388" s="2317">
        <f t="shared" si="1448"/>
        <v>2.9570583697608641</v>
      </c>
      <c r="BM388" s="2318">
        <f t="shared" si="1448"/>
        <v>3.7351598173515983</v>
      </c>
      <c r="BN388" s="2317">
        <f t="shared" si="1448"/>
        <v>2.5576387129465417</v>
      </c>
      <c r="BO388" s="2317">
        <f t="shared" si="1448"/>
        <v>2.7791225416036309</v>
      </c>
      <c r="BP388" s="2317">
        <f t="shared" si="1448"/>
        <v>2.994769613947696</v>
      </c>
      <c r="BQ388" s="2318">
        <f t="shared" si="1448"/>
        <v>4.1125465838509321</v>
      </c>
      <c r="BR388" s="2317">
        <f t="shared" ref="BR388:CV388" si="1449">+BR404/BR378</f>
        <v>2.6819990054699154</v>
      </c>
      <c r="BS388" s="2317">
        <f t="shared" si="1449"/>
        <v>2.7791666666666668</v>
      </c>
      <c r="BT388" s="2317">
        <f t="shared" si="1449"/>
        <v>2.8810273806639204</v>
      </c>
      <c r="BU388" s="2318">
        <f t="shared" si="1449"/>
        <v>3.896452540747843</v>
      </c>
      <c r="BV388" s="2317">
        <f t="shared" si="1449"/>
        <v>2.6134734830387005</v>
      </c>
      <c r="BW388" s="2317">
        <f t="shared" si="1449"/>
        <v>2.6730270906949354</v>
      </c>
      <c r="BX388" s="2317">
        <f t="shared" si="1449"/>
        <v>2.7903597785977858</v>
      </c>
      <c r="BY388" s="2318">
        <f t="shared" si="1449"/>
        <v>3.8602599814298979</v>
      </c>
      <c r="BZ388" s="2317">
        <f t="shared" si="1449"/>
        <v>2.8150174042764795</v>
      </c>
      <c r="CA388" s="2317">
        <f t="shared" si="1449"/>
        <v>2.6720588235294116</v>
      </c>
      <c r="CB388" s="2317">
        <f t="shared" si="1449"/>
        <v>2.6607705354979405</v>
      </c>
      <c r="CC388" s="2318">
        <f t="shared" si="1449"/>
        <v>4.0021572387344202</v>
      </c>
      <c r="CD388" s="2317">
        <f t="shared" si="1449"/>
        <v>2.7159579550883897</v>
      </c>
      <c r="CE388" s="2317">
        <f t="shared" si="1449"/>
        <v>2.55736160188457</v>
      </c>
      <c r="CF388" s="2317">
        <f t="shared" si="1449"/>
        <v>2.5703413284132841</v>
      </c>
      <c r="CG388" s="2318">
        <f t="shared" si="1449"/>
        <v>3.8697771587743732</v>
      </c>
      <c r="CH388" s="2317">
        <f t="shared" si="1449"/>
        <v>2.6782006920415227</v>
      </c>
      <c r="CI388" s="2317">
        <f t="shared" si="1449"/>
        <v>2.4436978683966637</v>
      </c>
      <c r="CJ388" s="2317">
        <f t="shared" si="1449"/>
        <v>2.4555834665448733</v>
      </c>
      <c r="CK388" s="2318">
        <f t="shared" si="1449"/>
        <v>3.8152968036529682</v>
      </c>
      <c r="CL388" s="2319">
        <f t="shared" si="1449"/>
        <v>5.3414006179196702</v>
      </c>
      <c r="CM388" s="2319">
        <f t="shared" si="1449"/>
        <v>4.8040123456790127</v>
      </c>
      <c r="CN388" s="2319">
        <f t="shared" si="1449"/>
        <v>4.7235649546827796</v>
      </c>
      <c r="CO388" s="2320">
        <f t="shared" si="1449"/>
        <v>7.5097940733299851</v>
      </c>
      <c r="CP388" s="2319">
        <f t="shared" si="1449"/>
        <v>4.9793641940881201</v>
      </c>
      <c r="CQ388" s="2319">
        <f t="shared" si="1449"/>
        <v>4.8766052484645446</v>
      </c>
      <c r="CR388" s="2319">
        <f t="shared" si="1449"/>
        <v>4.9854748603351959</v>
      </c>
      <c r="CS388" s="2320">
        <f t="shared" si="1449"/>
        <v>7.883642495784148</v>
      </c>
      <c r="CT388" s="2319">
        <f t="shared" si="1449"/>
        <v>4.8615644344400675</v>
      </c>
      <c r="CU388" s="2319">
        <f t="shared" si="1449"/>
        <v>4.8089823763501993</v>
      </c>
      <c r="CV388" s="2319">
        <f t="shared" si="1449"/>
        <v>5.1405805350028455</v>
      </c>
      <c r="CW388" s="2320">
        <f t="shared" ref="CW388:DE388" si="1450">+CW404/CW378</f>
        <v>8.2180451127819545</v>
      </c>
      <c r="CX388" s="2319">
        <f t="shared" si="1450"/>
        <v>5.1647555823777909</v>
      </c>
      <c r="CY388" s="2319">
        <f t="shared" si="1450"/>
        <v>5.174757281553398</v>
      </c>
      <c r="CZ388" s="2319">
        <f t="shared" si="1450"/>
        <v>5.3578371810449577</v>
      </c>
      <c r="DA388" s="2320">
        <f>+DA404/DA378</f>
        <v>8.3525444512568985</v>
      </c>
      <c r="DB388" s="2319">
        <f>+DB404/DB378</f>
        <v>5.2213976499690782</v>
      </c>
      <c r="DC388" s="2319">
        <f t="shared" si="1450"/>
        <v>5.3</v>
      </c>
      <c r="DD388" s="2321">
        <f t="shared" si="1450"/>
        <v>5.6046365914786964</v>
      </c>
      <c r="DE388" s="2320">
        <f t="shared" si="1450"/>
        <v>8.56</v>
      </c>
      <c r="DF388" s="2321">
        <f>+DF404/DF378</f>
        <v>5.4596670934699105</v>
      </c>
      <c r="DG388" s="2321">
        <f t="shared" ref="DG388" si="1451">+DG404/DG378</f>
        <v>5.7418111753371868</v>
      </c>
      <c r="DH388" s="2321">
        <f t="shared" ref="DH388:DM388" si="1452">+DH404/DH378</f>
        <v>6.0637605725439165</v>
      </c>
      <c r="DI388" s="2320">
        <f t="shared" si="1452"/>
        <v>10.187665782493369</v>
      </c>
      <c r="DJ388" s="2769">
        <f t="shared" si="1452"/>
        <v>6.9634133860261098</v>
      </c>
      <c r="DK388" s="2321">
        <f t="shared" si="1452"/>
        <v>7.1911749757620029</v>
      </c>
      <c r="DL388" s="2321">
        <f t="shared" si="1452"/>
        <v>7.5243809909879227</v>
      </c>
      <c r="DM388" s="2320">
        <f t="shared" si="1452"/>
        <v>12.202771878335044</v>
      </c>
      <c r="DN388" s="2322"/>
      <c r="DO388" s="2320"/>
      <c r="DP388" s="2323"/>
      <c r="DQ388" s="2323"/>
      <c r="DR388" s="2324"/>
      <c r="DS388" s="2324"/>
      <c r="DT388" s="2324"/>
      <c r="DU388" s="2317">
        <f>+DU404/DU378</f>
        <v>0</v>
      </c>
      <c r="DV388" s="2317">
        <f>+DV404/DV378</f>
        <v>0</v>
      </c>
      <c r="DW388" s="2317">
        <f>+DW404/DW378</f>
        <v>0</v>
      </c>
      <c r="DX388" s="2317"/>
      <c r="DY388" s="2325">
        <f t="shared" ref="DY388:FC388" si="1453">+DY404/DY378</f>
        <v>24.899774509803922</v>
      </c>
      <c r="DZ388" s="2325">
        <f t="shared" si="1453"/>
        <v>28.75466533864542</v>
      </c>
      <c r="EA388" s="2325">
        <f t="shared" si="1453"/>
        <v>28.568687499999999</v>
      </c>
      <c r="EB388" s="2325">
        <f t="shared" si="1453"/>
        <v>29.326989473684208</v>
      </c>
      <c r="EC388" s="2325">
        <f t="shared" si="1453"/>
        <v>32.362205787781356</v>
      </c>
      <c r="ED388" s="2325">
        <f t="shared" si="1453"/>
        <v>34.997263305322129</v>
      </c>
      <c r="EE388" s="2325">
        <f t="shared" si="1453"/>
        <v>36.5788830548926</v>
      </c>
      <c r="EF388" s="2325">
        <f t="shared" si="1453"/>
        <v>32.523611888111887</v>
      </c>
      <c r="EG388" s="2325">
        <f t="shared" si="1453"/>
        <v>31.640483383685801</v>
      </c>
      <c r="EH388" s="2325">
        <f t="shared" si="1453"/>
        <v>32.381266490765171</v>
      </c>
      <c r="EI388" s="2325">
        <f t="shared" si="1453"/>
        <v>32.735083532219569</v>
      </c>
      <c r="EJ388" s="2325">
        <f t="shared" si="1453"/>
        <v>32.782146652497346</v>
      </c>
      <c r="EK388" s="2325">
        <f t="shared" si="1453"/>
        <v>30.660409556313994</v>
      </c>
      <c r="EL388" s="2325">
        <f t="shared" si="1453"/>
        <v>30.458904109589042</v>
      </c>
      <c r="EM388" s="2325">
        <f t="shared" si="1453"/>
        <v>11.419330289193303</v>
      </c>
      <c r="EN388" s="2325">
        <f t="shared" si="1453"/>
        <v>12.346335403726709</v>
      </c>
      <c r="EO388" s="2325">
        <f t="shared" si="1453"/>
        <v>12.049856184084373</v>
      </c>
      <c r="EP388" s="2325">
        <f t="shared" si="1453"/>
        <v>11.842154131847725</v>
      </c>
      <c r="EQ388" s="2325">
        <f t="shared" si="1453"/>
        <v>11.961169702780442</v>
      </c>
      <c r="ER388" s="2325">
        <f t="shared" si="1453"/>
        <v>11.615831012070567</v>
      </c>
      <c r="ES388" s="2325">
        <f t="shared" si="1453"/>
        <v>11.331582553094314</v>
      </c>
      <c r="ET388" s="2326">
        <f t="shared" si="1453"/>
        <v>22.133165829145728</v>
      </c>
      <c r="EU388" s="2325">
        <f t="shared" si="1453"/>
        <v>22.827993254637438</v>
      </c>
      <c r="EV388" s="2325">
        <f t="shared" si="1453"/>
        <v>23.330827067669173</v>
      </c>
      <c r="EW388" s="2325">
        <f>+EW404/EW378</f>
        <v>24.235438381361128</v>
      </c>
      <c r="EX388" s="2326">
        <f>+EX404/EX378</f>
        <v>25.017777777777777</v>
      </c>
      <c r="EY388" s="2326">
        <f>+EY404/EY378</f>
        <v>27.951591511936339</v>
      </c>
      <c r="EZ388" s="2327">
        <f>+EZ404/EZ378</f>
        <v>33.933446075099347</v>
      </c>
      <c r="FA388" s="2325">
        <f t="shared" si="1453"/>
        <v>34.220581055698936</v>
      </c>
      <c r="FB388" s="2325">
        <f t="shared" si="1453"/>
        <v>34.477702885758923</v>
      </c>
      <c r="FC388" s="2325">
        <f t="shared" si="1453"/>
        <v>34.612145429164023</v>
      </c>
      <c r="FD388" s="2325">
        <f>+FD404/FD378</f>
        <v>34.88506046121622</v>
      </c>
      <c r="FE388" s="2325">
        <f>+FE404/FE378</f>
        <v>35.172515108664776</v>
      </c>
      <c r="FF388" s="2325">
        <f>+FF404/FF378</f>
        <v>35.475148349984728</v>
      </c>
      <c r="FG388" s="2325">
        <f>+FG404/FG378</f>
        <v>35.793629146788611</v>
      </c>
      <c r="FH388" s="2325">
        <f>+FH404/FH378</f>
        <v>36.12865783333951</v>
      </c>
      <c r="FI388" s="2328"/>
      <c r="FP388" s="1474"/>
      <c r="FQ388" s="1388"/>
      <c r="FR388" s="1388"/>
      <c r="FS388" s="2329"/>
      <c r="FT388" s="2329"/>
      <c r="FU388" s="1388"/>
      <c r="FV388" s="1388"/>
      <c r="FW388" s="2329"/>
      <c r="FX388" s="2329"/>
      <c r="FY388" s="2329"/>
    </row>
    <row r="389" spans="1:260" ht="12.75" customHeight="1" x14ac:dyDescent="0.2">
      <c r="A389" s="2312" t="s">
        <v>335</v>
      </c>
      <c r="B389" s="2312"/>
      <c r="C389" s="2312"/>
      <c r="D389" s="2312"/>
      <c r="E389" s="2316"/>
      <c r="F389" s="2317"/>
      <c r="G389" s="2317">
        <f t="shared" ref="G389:AL389" si="1454">+G404/G379</f>
        <v>5.8141557632398753</v>
      </c>
      <c r="H389" s="2317">
        <f t="shared" si="1454"/>
        <v>7.2966000000000006</v>
      </c>
      <c r="I389" s="2318">
        <f t="shared" si="1454"/>
        <v>9.5916798029556656</v>
      </c>
      <c r="J389" s="2317">
        <f t="shared" si="1454"/>
        <v>6.1135203836930456</v>
      </c>
      <c r="K389" s="2317">
        <f t="shared" si="1454"/>
        <v>6.5808283752860417</v>
      </c>
      <c r="L389" s="2317">
        <f t="shared" si="1454"/>
        <v>8.1232715789473691</v>
      </c>
      <c r="M389" s="2318">
        <f t="shared" si="1454"/>
        <v>10.261211155378485</v>
      </c>
      <c r="N389" s="2317">
        <f t="shared" si="1454"/>
        <v>6.4203294117647056</v>
      </c>
      <c r="O389" s="2317">
        <f t="shared" si="1454"/>
        <v>6.8277927063339732</v>
      </c>
      <c r="P389" s="2317">
        <f t="shared" si="1454"/>
        <v>7.5180674157303375</v>
      </c>
      <c r="Q389" s="2318">
        <f t="shared" si="1454"/>
        <v>8.6306433823529414</v>
      </c>
      <c r="R389" s="2317">
        <f t="shared" si="1454"/>
        <v>5.8848021978021974</v>
      </c>
      <c r="S389" s="2317">
        <f t="shared" si="1454"/>
        <v>6.4736606498194949</v>
      </c>
      <c r="T389" s="2317">
        <f t="shared" si="1454"/>
        <v>7.4560743362831854</v>
      </c>
      <c r="U389" s="2318">
        <f t="shared" si="1454"/>
        <v>10.007354385964913</v>
      </c>
      <c r="V389" s="2317">
        <f t="shared" si="1454"/>
        <v>6.7422017391304347</v>
      </c>
      <c r="W389" s="2317">
        <f t="shared" si="1454"/>
        <v>7.5225077720207256</v>
      </c>
      <c r="X389" s="2317">
        <f t="shared" si="1454"/>
        <v>8.2943993344425966</v>
      </c>
      <c r="Y389" s="2318">
        <f t="shared" si="1454"/>
        <v>11.094799357945426</v>
      </c>
      <c r="Z389" s="2317">
        <f t="shared" si="1454"/>
        <v>7.6456121794871796</v>
      </c>
      <c r="AA389" s="2317">
        <f t="shared" si="1454"/>
        <v>8.3306666666666658</v>
      </c>
      <c r="AB389" s="2317">
        <f t="shared" si="1454"/>
        <v>9.0592915451895042</v>
      </c>
      <c r="AC389" s="2318">
        <f t="shared" si="1454"/>
        <v>12.13675105485232</v>
      </c>
      <c r="AD389" s="2317">
        <f t="shared" si="1454"/>
        <v>8.2554818941504173</v>
      </c>
      <c r="AE389" s="2317">
        <f t="shared" si="1454"/>
        <v>8.6353433242506803</v>
      </c>
      <c r="AF389" s="2317">
        <f t="shared" si="1454"/>
        <v>9.4963867684478362</v>
      </c>
      <c r="AG389" s="2318">
        <f t="shared" si="1454"/>
        <v>13.128805288461537</v>
      </c>
      <c r="AH389" s="2317">
        <f t="shared" si="1454"/>
        <v>7.6557978723404254</v>
      </c>
      <c r="AI389" s="2317">
        <f t="shared" si="1454"/>
        <v>7.7822568981921982</v>
      </c>
      <c r="AJ389" s="2317">
        <f t="shared" si="1454"/>
        <v>8.3361328480436754</v>
      </c>
      <c r="AK389" s="2318">
        <f t="shared" si="1454"/>
        <v>11.104294478527608</v>
      </c>
      <c r="AL389" s="2317">
        <f t="shared" si="1454"/>
        <v>7.2385874246339359</v>
      </c>
      <c r="AM389" s="2317">
        <f t="shared" ref="AM389:BR389" si="1455">+AM404/AM379</f>
        <v>7.6810631229235877</v>
      </c>
      <c r="AN389" s="2317">
        <f t="shared" si="1455"/>
        <v>8.0486274509803923</v>
      </c>
      <c r="AO389" s="2318">
        <f t="shared" si="1455"/>
        <v>10.573373676248108</v>
      </c>
      <c r="AP389" s="2317">
        <f t="shared" si="1455"/>
        <v>6.9309576837416484</v>
      </c>
      <c r="AQ389" s="2317">
        <f t="shared" si="1455"/>
        <v>7.7584471603163188</v>
      </c>
      <c r="AR389" s="2317">
        <f t="shared" si="1455"/>
        <v>8.2914089347079045</v>
      </c>
      <c r="AS389" s="2318">
        <f t="shared" si="1455"/>
        <v>11.213005972130059</v>
      </c>
      <c r="AT389" s="2317">
        <f t="shared" si="1455"/>
        <v>7.1714659685863875</v>
      </c>
      <c r="AU389" s="2317">
        <f t="shared" si="1455"/>
        <v>7.8350515463917523</v>
      </c>
      <c r="AV389" s="2317">
        <f t="shared" si="1455"/>
        <v>8.2610316967060289</v>
      </c>
      <c r="AW389" s="2318">
        <f t="shared" si="1455"/>
        <v>11.083483483483484</v>
      </c>
      <c r="AX389" s="2317">
        <f t="shared" si="1455"/>
        <v>7.2402366863905323</v>
      </c>
      <c r="AY389" s="2317">
        <f t="shared" si="1455"/>
        <v>7.7659327925840094</v>
      </c>
      <c r="AZ389" s="2317">
        <f t="shared" si="1455"/>
        <v>8.1229235880398676</v>
      </c>
      <c r="BA389" s="2318">
        <f t="shared" si="1455"/>
        <v>11.418045915643352</v>
      </c>
      <c r="BB389" s="2317">
        <f t="shared" si="1455"/>
        <v>7.2869109947643977</v>
      </c>
      <c r="BC389" s="2317">
        <f t="shared" si="1455"/>
        <v>7.3105769230769226</v>
      </c>
      <c r="BD389" s="2317">
        <f t="shared" si="1455"/>
        <v>7.4487912087912092</v>
      </c>
      <c r="BE389" s="2318">
        <f t="shared" si="1455"/>
        <v>11.020076890217856</v>
      </c>
      <c r="BF389" s="2317">
        <f t="shared" si="1455"/>
        <v>6.6585468290634191</v>
      </c>
      <c r="BG389" s="2317">
        <f t="shared" si="1455"/>
        <v>7.1927661323468968</v>
      </c>
      <c r="BH389" s="2317">
        <f t="shared" si="1455"/>
        <v>7.8731165741475015</v>
      </c>
      <c r="BI389" s="2318">
        <f t="shared" si="1455"/>
        <v>10.293824319140775</v>
      </c>
      <c r="BJ389" s="2317">
        <f t="shared" si="1455"/>
        <v>6.7517837025910623</v>
      </c>
      <c r="BK389" s="2317">
        <f t="shared" si="1455"/>
        <v>7.1749633967789164</v>
      </c>
      <c r="BL389" s="2317">
        <f t="shared" si="1455"/>
        <v>4.3626707132018208</v>
      </c>
      <c r="BM389" s="2318">
        <f t="shared" si="1455"/>
        <v>3.760439279785468</v>
      </c>
      <c r="BN389" s="2317">
        <f t="shared" si="1455"/>
        <v>2.5592597287362149</v>
      </c>
      <c r="BO389" s="2317">
        <f t="shared" si="1455"/>
        <v>2.7857955263490459</v>
      </c>
      <c r="BP389" s="2317">
        <f t="shared" si="1455"/>
        <v>3.0131562460844505</v>
      </c>
      <c r="BQ389" s="2318">
        <f t="shared" si="1455"/>
        <v>4.1176616915422883</v>
      </c>
      <c r="BR389" s="2317">
        <f t="shared" si="1455"/>
        <v>2.6809991301106004</v>
      </c>
      <c r="BS389" s="2317">
        <f t="shared" ref="BS389:CV389" si="1456">+BS404/BS379</f>
        <v>2.7990619600098743</v>
      </c>
      <c r="BT389" s="2317">
        <f t="shared" si="1456"/>
        <v>2.8975265017667846</v>
      </c>
      <c r="BU389" s="2318">
        <f t="shared" si="1456"/>
        <v>3.9175804313772744</v>
      </c>
      <c r="BV389" s="2317">
        <f t="shared" si="1456"/>
        <v>2.6178511605647286</v>
      </c>
      <c r="BW389" s="2317">
        <f t="shared" si="1456"/>
        <v>2.6917328905230695</v>
      </c>
      <c r="BX389" s="2317">
        <f t="shared" si="1456"/>
        <v>2.8199510546556343</v>
      </c>
      <c r="BY389" s="2318">
        <f t="shared" si="1456"/>
        <v>3.847755668671911</v>
      </c>
      <c r="BZ389" s="2317">
        <f t="shared" si="1456"/>
        <v>2.8139679383621226</v>
      </c>
      <c r="CA389" s="2317">
        <f t="shared" si="1456"/>
        <v>2.691187361145396</v>
      </c>
      <c r="CB389" s="2317">
        <f t="shared" si="1456"/>
        <v>2.676008285609845</v>
      </c>
      <c r="CC389" s="2318">
        <f t="shared" si="1456"/>
        <v>4.0238582961802623</v>
      </c>
      <c r="CD389" s="2317">
        <f t="shared" si="1456"/>
        <v>2.7205072983967455</v>
      </c>
      <c r="CE389" s="2317">
        <f t="shared" si="1456"/>
        <v>2.5752579765152412</v>
      </c>
      <c r="CF389" s="2317">
        <f t="shared" si="1456"/>
        <v>2.5975993473954087</v>
      </c>
      <c r="CG389" s="2318">
        <f t="shared" si="1456"/>
        <v>3.8572420175844515</v>
      </c>
      <c r="CH389" s="2317">
        <f t="shared" si="1456"/>
        <v>2.6865671641791047</v>
      </c>
      <c r="CI389" s="2317">
        <f t="shared" si="1456"/>
        <v>2.4383308288059182</v>
      </c>
      <c r="CJ389" s="2317">
        <f t="shared" si="1456"/>
        <v>2.4733755031627371</v>
      </c>
      <c r="CK389" s="2318">
        <f t="shared" si="1456"/>
        <v>3.8157323895421853</v>
      </c>
      <c r="CL389" s="2319">
        <f t="shared" si="1456"/>
        <v>5.3787918071039664</v>
      </c>
      <c r="CM389" s="2319">
        <f t="shared" si="1456"/>
        <v>4.806484817292846</v>
      </c>
      <c r="CN389" s="2319">
        <f t="shared" si="1456"/>
        <v>4.774045801526718</v>
      </c>
      <c r="CO389" s="2320">
        <f t="shared" si="1456"/>
        <v>7.5192356047271813</v>
      </c>
      <c r="CP389" s="2319">
        <f t="shared" si="1456"/>
        <v>2.8925967924833955</v>
      </c>
      <c r="CQ389" s="2319">
        <f t="shared" si="1456"/>
        <v>4.8738839285714288</v>
      </c>
      <c r="CR389" s="2319">
        <f t="shared" si="1456"/>
        <v>4.9840826584752866</v>
      </c>
      <c r="CS389" s="2320">
        <f t="shared" si="1456"/>
        <v>7.8593443541608297</v>
      </c>
      <c r="CT389" s="2319">
        <f t="shared" si="1456"/>
        <v>4.5854564755838645</v>
      </c>
      <c r="CU389" s="2319">
        <f t="shared" si="1456"/>
        <v>4.7845022624434392</v>
      </c>
      <c r="CV389" s="2319">
        <f t="shared" si="1456"/>
        <v>5.1376564277588166</v>
      </c>
      <c r="CW389" s="2320">
        <f t="shared" ref="CW389:DE389" si="1457">+CW404/CW379</f>
        <v>8.1520367183017779</v>
      </c>
      <c r="CX389" s="2319">
        <f t="shared" si="1457"/>
        <v>5.0549320732427647</v>
      </c>
      <c r="CY389" s="2319">
        <f t="shared" si="1457"/>
        <v>5.1606656580937971</v>
      </c>
      <c r="CZ389" s="2319">
        <f t="shared" si="1457"/>
        <v>5.3545840922890102</v>
      </c>
      <c r="DA389" s="2320">
        <f>+DA404/DA379</f>
        <v>8.3143118706133663</v>
      </c>
      <c r="DB389" s="2319">
        <f>+DB404/DB379</f>
        <v>5.1988916256157633</v>
      </c>
      <c r="DC389" s="2319">
        <f t="shared" si="1457"/>
        <v>5.2885032537960956</v>
      </c>
      <c r="DD389" s="2321">
        <f t="shared" si="1457"/>
        <v>5.5801621958827203</v>
      </c>
      <c r="DE389" s="2320">
        <f t="shared" si="1457"/>
        <v>8.5033112582781456</v>
      </c>
      <c r="DF389" s="2321">
        <f>+DF404/DF379</f>
        <v>5.4370417596429714</v>
      </c>
      <c r="DG389" s="2321">
        <f t="shared" ref="DG389" si="1458">+DG404/DG379</f>
        <v>5.7326066046809876</v>
      </c>
      <c r="DH389" s="2321">
        <f t="shared" ref="DH389:DM389" si="1459">+DH404/DH379</f>
        <v>6.0245636716224951</v>
      </c>
      <c r="DI389" s="2320">
        <f t="shared" si="1459"/>
        <v>10.09064039408867</v>
      </c>
      <c r="DJ389" s="2769">
        <f t="shared" si="1459"/>
        <v>6.3147735744245477</v>
      </c>
      <c r="DK389" s="2321">
        <f t="shared" si="1459"/>
        <v>7.1882996558996428</v>
      </c>
      <c r="DL389" s="2321">
        <f t="shared" si="1459"/>
        <v>7.5213700342088163</v>
      </c>
      <c r="DM389" s="2320">
        <f t="shared" si="1459"/>
        <v>12.192994016253046</v>
      </c>
      <c r="DN389" s="2322"/>
      <c r="DO389" s="2320"/>
      <c r="DP389" s="2323"/>
      <c r="DQ389" s="2323"/>
      <c r="DR389" s="2324"/>
      <c r="DS389" s="2324"/>
      <c r="DT389" s="2324"/>
      <c r="DU389" s="2317"/>
      <c r="DV389" s="2317">
        <f>+DV404/DV379</f>
        <v>0</v>
      </c>
      <c r="DW389" s="2317">
        <f>+DW404/DW379</f>
        <v>0</v>
      </c>
      <c r="DX389" s="2317"/>
      <c r="DY389" s="2325"/>
      <c r="DZ389" s="2325">
        <f t="shared" ref="DZ389:FC389" si="1460">+DZ404/DZ379</f>
        <v>31.724927472527472</v>
      </c>
      <c r="EA389" s="2325">
        <f t="shared" si="1460"/>
        <v>29.715804971319312</v>
      </c>
      <c r="EB389" s="2325">
        <f t="shared" si="1460"/>
        <v>30.011461400359064</v>
      </c>
      <c r="EC389" s="2325">
        <f t="shared" si="1460"/>
        <v>33.773979865771814</v>
      </c>
      <c r="ED389" s="2325">
        <f t="shared" si="1460"/>
        <v>37.407254491017959</v>
      </c>
      <c r="EE389" s="2325">
        <f t="shared" si="1460"/>
        <v>39.501422680412368</v>
      </c>
      <c r="EF389" s="2325">
        <f t="shared" si="1460"/>
        <v>37.544916246215948</v>
      </c>
      <c r="EG389" s="2325">
        <f t="shared" si="1460"/>
        <v>33.948136142625607</v>
      </c>
      <c r="EH389" s="2325">
        <f t="shared" si="1460"/>
        <v>34.570422535211264</v>
      </c>
      <c r="EI389" s="2325">
        <f t="shared" si="1460"/>
        <v>34.375939849624061</v>
      </c>
      <c r="EJ389" s="2325">
        <f t="shared" si="1460"/>
        <v>34.680157391793145</v>
      </c>
      <c r="EK389" s="2325">
        <f t="shared" si="1460"/>
        <v>34.012304779933743</v>
      </c>
      <c r="EL389" s="2325">
        <f t="shared" si="1460"/>
        <v>32.198712791633149</v>
      </c>
      <c r="EM389" s="2325">
        <f t="shared" si="1460"/>
        <v>17.128995433789953</v>
      </c>
      <c r="EN389" s="2325">
        <f t="shared" si="1460"/>
        <v>12.474959206727751</v>
      </c>
      <c r="EO389" s="2325">
        <f t="shared" si="1460"/>
        <v>12.265950957667439</v>
      </c>
      <c r="EP389" s="2325">
        <f t="shared" si="1460"/>
        <v>12.032075471698112</v>
      </c>
      <c r="EQ389" s="2325">
        <f t="shared" si="1460"/>
        <v>12.17567402708308</v>
      </c>
      <c r="ER389" s="2325">
        <f t="shared" si="1460"/>
        <v>11.802122641509435</v>
      </c>
      <c r="ES389" s="2325">
        <f t="shared" si="1460"/>
        <v>11.42419707609071</v>
      </c>
      <c r="ET389" s="2326">
        <f t="shared" si="1460"/>
        <v>22.558258642765686</v>
      </c>
      <c r="EU389" s="2325">
        <f t="shared" si="1460"/>
        <v>13.189671971419292</v>
      </c>
      <c r="EV389" s="2325">
        <f t="shared" si="1460"/>
        <v>22.998289623717216</v>
      </c>
      <c r="EW389" s="2325">
        <f>+EW404/EW379</f>
        <v>23.528571428571428</v>
      </c>
      <c r="EX389" s="2326">
        <f>+EX404/EX379</f>
        <v>24.580786026200872</v>
      </c>
      <c r="EY389" s="2326">
        <f>+EY404/EY379</f>
        <v>27.344145313006813</v>
      </c>
      <c r="EZ389" s="2327">
        <f>+EZ404/EZ379</f>
        <v>30.7186985521952</v>
      </c>
      <c r="FA389" s="2325">
        <f t="shared" si="1460"/>
        <v>34.248001393083307</v>
      </c>
      <c r="FB389" s="2325">
        <f t="shared" si="1460"/>
        <v>34.519059586541523</v>
      </c>
      <c r="FC389" s="2325">
        <f t="shared" si="1460"/>
        <v>34.694883625409034</v>
      </c>
      <c r="FD389" s="2325">
        <f>+FD404/FD379</f>
        <v>34.968054260886049</v>
      </c>
      <c r="FE389" s="2325">
        <f>+FE404/FE379</f>
        <v>35.255796517761851</v>
      </c>
      <c r="FF389" s="2325">
        <f>+FF404/FF379</f>
        <v>35.558750427793022</v>
      </c>
      <c r="FG389" s="2325">
        <f>+FG404/FG379</f>
        <v>35.87758605643706</v>
      </c>
      <c r="FH389" s="2325">
        <f>+FH404/FH379</f>
        <v>36.213004894429019</v>
      </c>
      <c r="FI389" s="2328"/>
      <c r="FP389" s="1474"/>
      <c r="FQ389" s="1388"/>
      <c r="FR389" s="1388"/>
      <c r="FS389" s="2329"/>
      <c r="FT389" s="2329"/>
      <c r="FU389" s="1388"/>
      <c r="FV389" s="1388"/>
      <c r="FW389" s="2329"/>
      <c r="FX389" s="2329"/>
      <c r="FY389" s="2329"/>
    </row>
    <row r="390" spans="1:260" ht="12.75" customHeight="1" x14ac:dyDescent="0.2">
      <c r="A390" s="2312" t="s">
        <v>339</v>
      </c>
      <c r="B390" s="2312"/>
      <c r="C390" s="2312"/>
      <c r="D390" s="2312"/>
      <c r="E390" s="2316"/>
      <c r="F390" s="2317">
        <f t="shared" ref="F390:AK390" si="1461">+F404/F382*1000</f>
        <v>161.94470924690179</v>
      </c>
      <c r="G390" s="2317">
        <f t="shared" si="1461"/>
        <v>157.63040540540541</v>
      </c>
      <c r="H390" s="2317">
        <f t="shared" si="1461"/>
        <v>181.19073825503358</v>
      </c>
      <c r="I390" s="2318">
        <f t="shared" si="1461"/>
        <v>249.91798228725455</v>
      </c>
      <c r="J390" s="2317">
        <f t="shared" si="1461"/>
        <v>155.52330405075648</v>
      </c>
      <c r="K390" s="2317">
        <f t="shared" si="1461"/>
        <v>165.44827982970889</v>
      </c>
      <c r="L390" s="2317">
        <f t="shared" si="1461"/>
        <v>194.75842923480718</v>
      </c>
      <c r="M390" s="2318">
        <f t="shared" si="1461"/>
        <v>247.65038461538461</v>
      </c>
      <c r="N390" s="2317">
        <f t="shared" si="1461"/>
        <v>149.65118829981719</v>
      </c>
      <c r="O390" s="2317">
        <f t="shared" si="1461"/>
        <v>159.9784133837021</v>
      </c>
      <c r="P390" s="2317">
        <f t="shared" si="1461"/>
        <v>171.81580073611229</v>
      </c>
      <c r="Q390" s="2318">
        <f t="shared" si="1461"/>
        <v>200.78130345535408</v>
      </c>
      <c r="R390" s="2317">
        <f t="shared" si="1461"/>
        <v>135.96403182125928</v>
      </c>
      <c r="S390" s="2317">
        <f t="shared" si="1461"/>
        <v>148.16194331983806</v>
      </c>
      <c r="T390" s="2317">
        <f t="shared" si="1461"/>
        <v>170.3883675780618</v>
      </c>
      <c r="U390" s="2318">
        <f t="shared" si="1461"/>
        <v>231.23852764715423</v>
      </c>
      <c r="V390" s="2317">
        <f t="shared" si="1461"/>
        <v>154.34214507524484</v>
      </c>
      <c r="W390" s="2317">
        <f t="shared" si="1461"/>
        <v>173.29243256147052</v>
      </c>
      <c r="X390" s="2317">
        <f t="shared" si="1461"/>
        <v>182.43793002488655</v>
      </c>
      <c r="Y390" s="2318">
        <f t="shared" si="1461"/>
        <v>253.48613759718353</v>
      </c>
      <c r="Z390" s="2317">
        <f t="shared" si="1461"/>
        <v>173.49850898247146</v>
      </c>
      <c r="AA390" s="2317">
        <f t="shared" si="1461"/>
        <v>184.31942919868274</v>
      </c>
      <c r="AB390" s="2317">
        <f t="shared" si="1461"/>
        <v>198.13409424217303</v>
      </c>
      <c r="AC390" s="2318">
        <f t="shared" si="1461"/>
        <v>273.54434793634692</v>
      </c>
      <c r="AD390" s="2317">
        <f t="shared" si="1461"/>
        <v>185.68498214397593</v>
      </c>
      <c r="AE390" s="2317">
        <f t="shared" si="1461"/>
        <v>193.11260739747729</v>
      </c>
      <c r="AF390" s="2317">
        <f t="shared" si="1461"/>
        <v>204.53115580643393</v>
      </c>
      <c r="AG390" s="2318">
        <f t="shared" si="1461"/>
        <v>293.1826868363699</v>
      </c>
      <c r="AH390" s="2317">
        <f t="shared" si="1461"/>
        <v>183.98655212967225</v>
      </c>
      <c r="AI390" s="2317">
        <f t="shared" si="1461"/>
        <v>204.68348348348349</v>
      </c>
      <c r="AJ390" s="2317">
        <f t="shared" si="1461"/>
        <v>190.45006652253451</v>
      </c>
      <c r="AK390" s="2318">
        <f t="shared" si="1461"/>
        <v>261.39880338353623</v>
      </c>
      <c r="AL390" s="2317">
        <f t="shared" ref="AL390:BQ390" si="1462">+AL404/AL382*1000</f>
        <v>169.59961252825315</v>
      </c>
      <c r="AM390" s="2317">
        <f t="shared" si="1462"/>
        <v>178.90582682039775</v>
      </c>
      <c r="AN390" s="2317">
        <f t="shared" si="1462"/>
        <v>186.77198602213164</v>
      </c>
      <c r="AO390" s="2318">
        <f t="shared" si="1462"/>
        <v>253.71183794968599</v>
      </c>
      <c r="AP390" s="2317">
        <f t="shared" si="1462"/>
        <v>168.00431887709198</v>
      </c>
      <c r="AQ390" s="2317">
        <f t="shared" si="1462"/>
        <v>189.46629213483146</v>
      </c>
      <c r="AR390" s="2317">
        <f t="shared" si="1462"/>
        <v>201.10018336389399</v>
      </c>
      <c r="AS390" s="2318">
        <f t="shared" si="1462"/>
        <v>278.9737832661956</v>
      </c>
      <c r="AT390" s="2317">
        <f t="shared" si="1462"/>
        <v>178.66692754190308</v>
      </c>
      <c r="AU390" s="2317">
        <f t="shared" si="1462"/>
        <v>195.91415866469035</v>
      </c>
      <c r="AV390" s="2317">
        <f t="shared" si="1462"/>
        <v>206.25659487306808</v>
      </c>
      <c r="AW390" s="2318">
        <f t="shared" si="1462"/>
        <v>283.29751304881796</v>
      </c>
      <c r="AX390" s="2317">
        <f t="shared" si="1462"/>
        <v>185.41641411080133</v>
      </c>
      <c r="AY390" s="2317">
        <f t="shared" si="1462"/>
        <v>199.62469841837191</v>
      </c>
      <c r="AZ390" s="2317">
        <f t="shared" si="1462"/>
        <v>208.14415437003404</v>
      </c>
      <c r="BA390" s="2318">
        <f t="shared" si="1462"/>
        <v>300.99294173944253</v>
      </c>
      <c r="BB390" s="2317">
        <f t="shared" si="1462"/>
        <v>190.9506041875778</v>
      </c>
      <c r="BC390" s="2317">
        <f t="shared" si="1462"/>
        <v>183.95393288330794</v>
      </c>
      <c r="BD390" s="2317">
        <f t="shared" si="1462"/>
        <v>197.03734710013487</v>
      </c>
      <c r="BE390" s="2318">
        <f t="shared" si="1462"/>
        <v>296.45377031095586</v>
      </c>
      <c r="BF390" s="2317">
        <f t="shared" si="1462"/>
        <v>178.06680593930406</v>
      </c>
      <c r="BG390" s="2317">
        <f t="shared" si="1462"/>
        <v>192.22319859402458</v>
      </c>
      <c r="BH390" s="2317">
        <f t="shared" si="1462"/>
        <v>207.76394265983049</v>
      </c>
      <c r="BI390" s="2318">
        <f t="shared" si="1462"/>
        <v>276.2041992589543</v>
      </c>
      <c r="BJ390" s="2317">
        <f t="shared" si="1462"/>
        <v>180.47859953424879</v>
      </c>
      <c r="BK390" s="2317">
        <f t="shared" si="1462"/>
        <v>193.31742243436753</v>
      </c>
      <c r="BL390" s="2317">
        <f t="shared" si="1462"/>
        <v>215.59805024371954</v>
      </c>
      <c r="BM390" s="2318">
        <f t="shared" si="1462"/>
        <v>271.38512579485763</v>
      </c>
      <c r="BN390" s="2317">
        <f t="shared" si="1462"/>
        <v>185.2089678200565</v>
      </c>
      <c r="BO390" s="2317">
        <f t="shared" si="1462"/>
        <v>199.93469743143231</v>
      </c>
      <c r="BP390" s="2317">
        <f t="shared" si="1462"/>
        <v>214.56868553481567</v>
      </c>
      <c r="BQ390" s="2318">
        <f t="shared" si="1462"/>
        <v>295.04637490457247</v>
      </c>
      <c r="BR390" s="2317">
        <f t="shared" ref="BR390:CV390" si="1463">+BR404/BR382*1000</f>
        <v>190.64029832281781</v>
      </c>
      <c r="BS390" s="2317">
        <f t="shared" si="1463"/>
        <v>197.75715930098713</v>
      </c>
      <c r="BT390" s="2317">
        <f t="shared" si="1463"/>
        <v>205.42146818472384</v>
      </c>
      <c r="BU390" s="2318">
        <f t="shared" si="1463"/>
        <v>279.76938301351004</v>
      </c>
      <c r="BV390" s="2317">
        <f t="shared" si="1463"/>
        <v>188.03389422663756</v>
      </c>
      <c r="BW390" s="2317">
        <f t="shared" si="1463"/>
        <v>192.79585421799337</v>
      </c>
      <c r="BX390" s="2317">
        <f t="shared" si="1463"/>
        <v>203.83442559428542</v>
      </c>
      <c r="BY390" s="2318">
        <f t="shared" si="1463"/>
        <v>278.85373174371614</v>
      </c>
      <c r="BZ390" s="2317">
        <f t="shared" si="1463"/>
        <v>200.09543502465405</v>
      </c>
      <c r="CA390" s="2317">
        <f t="shared" si="1463"/>
        <v>190.13568663015801</v>
      </c>
      <c r="CB390" s="2317">
        <f t="shared" si="1463"/>
        <v>189.71683281214908</v>
      </c>
      <c r="CC390" s="2318">
        <f t="shared" si="1463"/>
        <v>287.35909130023236</v>
      </c>
      <c r="CD390" s="2317">
        <f t="shared" si="1463"/>
        <v>195.40743541706055</v>
      </c>
      <c r="CE390" s="2317">
        <f t="shared" si="1463"/>
        <v>184.45331747515078</v>
      </c>
      <c r="CF390" s="2317">
        <f t="shared" si="1463"/>
        <v>187.76218474653371</v>
      </c>
      <c r="CG390" s="2318">
        <f t="shared" si="1463"/>
        <v>279.54122440766639</v>
      </c>
      <c r="CH390" s="2317">
        <f t="shared" si="1463"/>
        <v>194.48865064075719</v>
      </c>
      <c r="CI390" s="2317">
        <f t="shared" si="1463"/>
        <v>180.28135309300379</v>
      </c>
      <c r="CJ390" s="2317">
        <f t="shared" si="1463"/>
        <v>183.48263800017065</v>
      </c>
      <c r="CK390" s="2318">
        <f t="shared" si="1463"/>
        <v>291.73722525793892</v>
      </c>
      <c r="CL390" s="2319">
        <f t="shared" si="1463"/>
        <v>212.452636968766</v>
      </c>
      <c r="CM390" s="2319">
        <f t="shared" si="1463"/>
        <v>191.18881405204004</v>
      </c>
      <c r="CN390" s="2319">
        <f t="shared" si="1463"/>
        <v>192.26118500604593</v>
      </c>
      <c r="CO390" s="2320">
        <f t="shared" si="1463"/>
        <v>307.10456590054844</v>
      </c>
      <c r="CP390" s="2319">
        <f t="shared" si="1463"/>
        <v>182.85714285714286</v>
      </c>
      <c r="CQ390" s="2319">
        <f t="shared" si="1463"/>
        <v>178.80320183429893</v>
      </c>
      <c r="CR390" s="2319">
        <f t="shared" si="1463"/>
        <v>182.89508741007933</v>
      </c>
      <c r="CS390" s="2320">
        <f t="shared" si="1463"/>
        <v>288.06457575944302</v>
      </c>
      <c r="CT390" s="2319">
        <f t="shared" si="1463"/>
        <v>177.80842217922859</v>
      </c>
      <c r="CU390" s="2319">
        <f t="shared" si="1463"/>
        <v>174.74023425396103</v>
      </c>
      <c r="CV390" s="2319">
        <f t="shared" si="1463"/>
        <v>186.66556441946017</v>
      </c>
      <c r="CW390" s="2320">
        <f t="shared" ref="CW390:DE390" si="1464">+CW404/CW382*1000</f>
        <v>294.87818038434398</v>
      </c>
      <c r="CX390" s="2319">
        <f t="shared" si="1464"/>
        <v>185.15393435884124</v>
      </c>
      <c r="CY390" s="2319">
        <f t="shared" si="1464"/>
        <v>184.79273657067324</v>
      </c>
      <c r="CZ390" s="2319">
        <f t="shared" si="1464"/>
        <v>191.11910540915395</v>
      </c>
      <c r="DA390" s="2320">
        <f>+DA404/DA382*1000</f>
        <v>297.71192552284799</v>
      </c>
      <c r="DB390" s="2319">
        <f>+DB404/DB382*1000</f>
        <v>184.8778137864588</v>
      </c>
      <c r="DC390" s="2319">
        <f t="shared" si="1464"/>
        <v>187.02875679466945</v>
      </c>
      <c r="DD390" s="2321">
        <f t="shared" si="1464"/>
        <v>197.19582901611514</v>
      </c>
      <c r="DE390" s="2320">
        <f t="shared" si="1464"/>
        <v>297.36644757157347</v>
      </c>
      <c r="DF390" s="2321">
        <f>+DF404/DF382*1000</f>
        <v>188.39331080036229</v>
      </c>
      <c r="DG390" s="2321">
        <f t="shared" ref="DG390" si="1465">+DG404/DG382*1000</f>
        <v>197.34663693958191</v>
      </c>
      <c r="DH390" s="2321">
        <f t="shared" ref="DH390:DM390" si="1466">+DH404/DH382*1000</f>
        <v>208.13327675919516</v>
      </c>
      <c r="DI390" s="2320">
        <f t="shared" si="1466"/>
        <v>343.33795199570909</v>
      </c>
      <c r="DJ390" s="2769">
        <f t="shared" si="1466"/>
        <v>198.27541017226957</v>
      </c>
      <c r="DK390" s="2321">
        <f t="shared" si="1466"/>
        <v>205.14169910823878</v>
      </c>
      <c r="DL390" s="2321">
        <f t="shared" si="1466"/>
        <v>215.04631795170999</v>
      </c>
      <c r="DM390" s="2320">
        <f t="shared" si="1466"/>
        <v>347.71941212574376</v>
      </c>
      <c r="DN390" s="2322"/>
      <c r="DO390" s="2320"/>
      <c r="DP390" s="2323"/>
      <c r="DQ390" s="2323"/>
      <c r="DR390" s="2323"/>
      <c r="DS390" s="2323"/>
      <c r="DT390" s="2323"/>
      <c r="DU390" s="2317"/>
      <c r="DV390" s="2317"/>
      <c r="DW390" s="2317"/>
      <c r="DX390" s="2317"/>
      <c r="DY390" s="2325">
        <f t="shared" ref="DY390:FC390" si="1467">+DY404/DY382*1000</f>
        <v>651.97715312540117</v>
      </c>
      <c r="DZ390" s="2325">
        <f t="shared" si="1467"/>
        <v>693.98278846153846</v>
      </c>
      <c r="EA390" s="2325">
        <f t="shared" si="1467"/>
        <v>664.61537803626413</v>
      </c>
      <c r="EB390" s="2325">
        <f t="shared" si="1467"/>
        <v>677.65461326414777</v>
      </c>
      <c r="EC390" s="2325">
        <f t="shared" si="1467"/>
        <v>738.20199501246884</v>
      </c>
      <c r="ED390" s="2325">
        <f t="shared" si="1467"/>
        <v>792.11456286058444</v>
      </c>
      <c r="EE390" s="2325">
        <f t="shared" si="1467"/>
        <v>822.74309395230989</v>
      </c>
      <c r="EF390" s="2325">
        <f t="shared" si="1467"/>
        <v>783.00879666652645</v>
      </c>
      <c r="EG390" s="2325">
        <f t="shared" si="1467"/>
        <v>776.87115199169193</v>
      </c>
      <c r="EH390" s="2325">
        <f t="shared" si="1467"/>
        <v>828.15979485795265</v>
      </c>
      <c r="EI390" s="2325">
        <f t="shared" si="1467"/>
        <v>861.3684718415218</v>
      </c>
      <c r="EJ390" s="2325">
        <f t="shared" si="1467"/>
        <v>887.64198516664146</v>
      </c>
      <c r="EK390" s="2325">
        <f t="shared" si="1467"/>
        <v>842.55199418509233</v>
      </c>
      <c r="EL390" s="2325">
        <f t="shared" si="1467"/>
        <v>839.67271582922479</v>
      </c>
      <c r="EM390" s="2325">
        <f t="shared" si="1467"/>
        <v>829.69311584185789</v>
      </c>
      <c r="EN390" s="2325">
        <f t="shared" si="1467"/>
        <v>885.7629767720548</v>
      </c>
      <c r="EO390" s="2325">
        <f t="shared" si="1467"/>
        <v>865.19232424059885</v>
      </c>
      <c r="EP390" s="2325">
        <f t="shared" si="1467"/>
        <v>855.44209131914749</v>
      </c>
      <c r="EQ390" s="2325">
        <f t="shared" si="1467"/>
        <v>858.82454177781597</v>
      </c>
      <c r="ER390" s="2325">
        <f t="shared" si="1467"/>
        <v>839.09318040813582</v>
      </c>
      <c r="ES390" s="2325">
        <f t="shared" si="1467"/>
        <v>864.4924127598041</v>
      </c>
      <c r="ET390" s="2326">
        <f t="shared" si="1467"/>
        <v>904.65627374863925</v>
      </c>
      <c r="EU390" s="2325">
        <f t="shared" si="1467"/>
        <v>834.12409883541807</v>
      </c>
      <c r="EV390" s="2325">
        <f t="shared" si="1467"/>
        <v>835.00310494721589</v>
      </c>
      <c r="EW390" s="2325">
        <f>+EW404/EW382*1000</f>
        <v>853.55214856402506</v>
      </c>
      <c r="EX390" s="2326">
        <f>+EX404/EX382*1000</f>
        <v>869.09435793374212</v>
      </c>
      <c r="EY390" s="2326">
        <f>+EY404/EY382*1000</f>
        <v>942.00598936217762</v>
      </c>
      <c r="EZ390" s="2327">
        <f>+EZ404/EZ382*1000</f>
        <v>966.93751536753973</v>
      </c>
      <c r="FA390" s="2325">
        <f t="shared" si="1467"/>
        <v>984.41577045255872</v>
      </c>
      <c r="FB390" s="2325">
        <f t="shared" si="1467"/>
        <v>1000.9432522667727</v>
      </c>
      <c r="FC390" s="2325">
        <f t="shared" si="1467"/>
        <v>1013.89125876104</v>
      </c>
      <c r="FD390" s="2325">
        <f>+FD404/FD382*1000</f>
        <v>1031.0745530455065</v>
      </c>
      <c r="FE390" s="2325">
        <f>+FE404/FE382*1000</f>
        <v>1048.908760176035</v>
      </c>
      <c r="FF390" s="2325">
        <f>+FF404/FF382*1000</f>
        <v>1067.4268969696222</v>
      </c>
      <c r="FG390" s="2325">
        <f>+FG404/FG382*1000</f>
        <v>1086.6637757351161</v>
      </c>
      <c r="FH390" s="2325">
        <f>+FH404/FH382*1000</f>
        <v>1106.6561027097491</v>
      </c>
      <c r="FI390" s="2328"/>
      <c r="FP390" s="1474"/>
      <c r="FQ390" s="1388"/>
      <c r="FR390" s="1388"/>
      <c r="FS390" s="2329"/>
      <c r="FT390" s="2329"/>
      <c r="FU390" s="1388"/>
      <c r="FV390" s="1388"/>
      <c r="FW390" s="2329"/>
      <c r="FX390" s="2329"/>
      <c r="FY390" s="2329"/>
    </row>
    <row r="391" spans="1:260" ht="12.75" customHeight="1" x14ac:dyDescent="0.2">
      <c r="A391" s="2312" t="s">
        <v>628</v>
      </c>
      <c r="B391" s="2312"/>
      <c r="C391" s="2312"/>
      <c r="D391" s="2312"/>
      <c r="E391" s="2316"/>
      <c r="F391" s="2317"/>
      <c r="G391" s="2317">
        <f t="shared" ref="G391:AL391" si="1468">+G404/G383*1000</f>
        <v>167.16023287057772</v>
      </c>
      <c r="H391" s="2317">
        <f t="shared" si="1468"/>
        <v>201.92535527299927</v>
      </c>
      <c r="I391" s="2318">
        <f t="shared" si="1468"/>
        <v>255.50961223016867</v>
      </c>
      <c r="J391" s="2317">
        <f t="shared" si="1468"/>
        <v>159.46318884093327</v>
      </c>
      <c r="K391" s="2317">
        <f t="shared" si="1468"/>
        <v>170.29798069520936</v>
      </c>
      <c r="L391" s="2317">
        <f t="shared" si="1468"/>
        <v>207.48260472119159</v>
      </c>
      <c r="M391" s="2318">
        <f t="shared" si="1468"/>
        <v>253.67516990052204</v>
      </c>
      <c r="N391" s="2317">
        <f t="shared" si="1468"/>
        <v>153.43805060918464</v>
      </c>
      <c r="O391" s="2317">
        <f t="shared" si="1468"/>
        <v>161.26938072354702</v>
      </c>
      <c r="P391" s="2317">
        <f t="shared" si="1468"/>
        <v>176.07333011710014</v>
      </c>
      <c r="Q391" s="2318">
        <f t="shared" si="1468"/>
        <v>200.85860962566844</v>
      </c>
      <c r="R391" s="2317">
        <f t="shared" si="1468"/>
        <v>137.21822685343355</v>
      </c>
      <c r="S391" s="2317">
        <f t="shared" si="1468"/>
        <v>149.93971319871233</v>
      </c>
      <c r="T391" s="2317">
        <f t="shared" si="1468"/>
        <v>172.19219292867359</v>
      </c>
      <c r="U391" s="2318">
        <f t="shared" si="1468"/>
        <v>230.97635244574019</v>
      </c>
      <c r="V391" s="2317">
        <f t="shared" si="1468"/>
        <v>155.73719519543647</v>
      </c>
      <c r="W391" s="2317">
        <f t="shared" si="1468"/>
        <v>173.34760805540077</v>
      </c>
      <c r="X391" s="2317">
        <f t="shared" si="1468"/>
        <v>190.05429105188915</v>
      </c>
      <c r="Y391" s="2318">
        <f t="shared" si="1468"/>
        <v>253.22611371629543</v>
      </c>
      <c r="Z391" s="2317">
        <f t="shared" si="1468"/>
        <v>174.22714823065405</v>
      </c>
      <c r="AA391" s="2317">
        <f t="shared" si="1468"/>
        <v>189.70097087378639</v>
      </c>
      <c r="AB391" s="2317">
        <f t="shared" si="1468"/>
        <v>205.3826630093526</v>
      </c>
      <c r="AC391" s="2318">
        <f t="shared" si="1468"/>
        <v>274.32699643947103</v>
      </c>
      <c r="AD391" s="2317">
        <f t="shared" si="1468"/>
        <v>186.78502552467384</v>
      </c>
      <c r="AE391" s="2317">
        <f t="shared" si="1468"/>
        <v>195.79704683059433</v>
      </c>
      <c r="AF391" s="2317">
        <f t="shared" si="1468"/>
        <v>215.36614922961508</v>
      </c>
      <c r="AG391" s="2318">
        <f t="shared" si="1468"/>
        <v>296.21663105142693</v>
      </c>
      <c r="AH391" s="2317">
        <f t="shared" si="1468"/>
        <v>188.45978588787395</v>
      </c>
      <c r="AI391" s="2317">
        <f t="shared" si="1468"/>
        <v>206.87335913195236</v>
      </c>
      <c r="AJ391" s="2317">
        <f t="shared" si="1468"/>
        <v>208.06254542151163</v>
      </c>
      <c r="AK391" s="2318">
        <f t="shared" si="1468"/>
        <v>262.38946300246442</v>
      </c>
      <c r="AL391" s="2317">
        <f t="shared" si="1468"/>
        <v>171.47171043235193</v>
      </c>
      <c r="AM391" s="2317">
        <f t="shared" ref="AM391:BR391" si="1469">+AM404/AM383*1000</f>
        <v>182.6873691280471</v>
      </c>
      <c r="AN391" s="2317">
        <f t="shared" si="1469"/>
        <v>192.46783450241944</v>
      </c>
      <c r="AO391" s="2318">
        <f t="shared" si="1469"/>
        <v>254.05768916192588</v>
      </c>
      <c r="AP391" s="2317">
        <f t="shared" si="1469"/>
        <v>168.72695727607893</v>
      </c>
      <c r="AQ391" s="2317">
        <f t="shared" si="1469"/>
        <v>191.80662934328623</v>
      </c>
      <c r="AR391" s="2317">
        <f t="shared" si="1469"/>
        <v>206.31038905515177</v>
      </c>
      <c r="AS391" s="2318">
        <f t="shared" si="1469"/>
        <v>280.32049899636701</v>
      </c>
      <c r="AT391" s="2317">
        <f t="shared" si="1469"/>
        <v>179.78081113006954</v>
      </c>
      <c r="AU391" s="2317">
        <f t="shared" si="1469"/>
        <v>197.08265802269042</v>
      </c>
      <c r="AV391" s="2317">
        <f t="shared" si="1469"/>
        <v>210.130264322752</v>
      </c>
      <c r="AW391" s="2318">
        <f t="shared" si="1469"/>
        <v>284.81911347079887</v>
      </c>
      <c r="AX391" s="2317">
        <f t="shared" si="1469"/>
        <v>186.62111460208033</v>
      </c>
      <c r="AY391" s="2317">
        <f t="shared" si="1469"/>
        <v>201.35498505310278</v>
      </c>
      <c r="AZ391" s="2317">
        <f t="shared" si="1469"/>
        <v>213.18646186040431</v>
      </c>
      <c r="BA391" s="2318">
        <f t="shared" si="1469"/>
        <v>302.2083423124887</v>
      </c>
      <c r="BB391" s="2317">
        <f t="shared" si="1469"/>
        <v>193.38685861403121</v>
      </c>
      <c r="BC391" s="2317">
        <f t="shared" si="1469"/>
        <v>195.5127471585335</v>
      </c>
      <c r="BD391" s="2317">
        <f t="shared" si="1469"/>
        <v>200.941505697651</v>
      </c>
      <c r="BE391" s="2318">
        <f t="shared" si="1469"/>
        <v>298.19795868828965</v>
      </c>
      <c r="BF391" s="2317">
        <f t="shared" si="1469"/>
        <v>180.10178579542873</v>
      </c>
      <c r="BG391" s="2317">
        <f t="shared" si="1469"/>
        <v>194.36453902284617</v>
      </c>
      <c r="BH391" s="2317">
        <f t="shared" si="1469"/>
        <v>212.80745940732007</v>
      </c>
      <c r="BI391" s="2318">
        <f t="shared" si="1469"/>
        <v>278.48285165775957</v>
      </c>
      <c r="BJ391" s="2317">
        <f t="shared" si="1469"/>
        <v>182.73843401902593</v>
      </c>
      <c r="BK391" s="2317">
        <f t="shared" si="1469"/>
        <v>195.02343027131357</v>
      </c>
      <c r="BL391" s="2317">
        <f t="shared" si="1469"/>
        <v>221.07094454964005</v>
      </c>
      <c r="BM391" s="2318">
        <f t="shared" si="1469"/>
        <v>273.69301547469678</v>
      </c>
      <c r="BN391" s="2317">
        <f t="shared" si="1469"/>
        <v>185.63639539908607</v>
      </c>
      <c r="BO391" s="2317">
        <f t="shared" si="1469"/>
        <v>201.06901143805752</v>
      </c>
      <c r="BP391" s="2317">
        <f t="shared" si="1469"/>
        <v>216.32513538312074</v>
      </c>
      <c r="BQ391" s="2318">
        <f t="shared" si="1469"/>
        <v>295.21750977428599</v>
      </c>
      <c r="BR391" s="2317">
        <f t="shared" si="1469"/>
        <v>191.45227815368824</v>
      </c>
      <c r="BS391" s="2317">
        <f t="shared" ref="BS391:CV391" si="1470">+BS404/BS383*1000</f>
        <v>199.0677750370871</v>
      </c>
      <c r="BT391" s="2317">
        <f t="shared" si="1470"/>
        <v>206.3895711644781</v>
      </c>
      <c r="BU391" s="2318">
        <f t="shared" si="1470"/>
        <v>280.30969254910076</v>
      </c>
      <c r="BV391" s="2317">
        <f t="shared" si="1470"/>
        <v>188.15678585556302</v>
      </c>
      <c r="BW391" s="2317">
        <f t="shared" si="1470"/>
        <v>193.90614853549334</v>
      </c>
      <c r="BX391" s="2317">
        <f t="shared" si="1470"/>
        <v>204.70003045376103</v>
      </c>
      <c r="BY391" s="2318">
        <f t="shared" si="1470"/>
        <v>279.50989125502122</v>
      </c>
      <c r="BZ391" s="2317">
        <f t="shared" si="1470"/>
        <v>200.94768640549347</v>
      </c>
      <c r="CA391" s="2317">
        <f t="shared" si="1470"/>
        <v>191.39579182064764</v>
      </c>
      <c r="CB391" s="2317">
        <f t="shared" si="1470"/>
        <v>190.61092354559577</v>
      </c>
      <c r="CC391" s="2318">
        <f t="shared" si="1470"/>
        <v>287.91405859327853</v>
      </c>
      <c r="CD391" s="2317">
        <f t="shared" si="1470"/>
        <v>195.53514610529214</v>
      </c>
      <c r="CE391" s="2317">
        <f t="shared" si="1470"/>
        <v>185.51556785946204</v>
      </c>
      <c r="CF391" s="2317">
        <f t="shared" si="1470"/>
        <v>188.55953710283219</v>
      </c>
      <c r="CG391" s="2318">
        <f t="shared" si="1470"/>
        <v>280.19900163033429</v>
      </c>
      <c r="CH391" s="2317">
        <f t="shared" si="1470"/>
        <v>194.58317970033184</v>
      </c>
      <c r="CI391" s="2317">
        <f t="shared" si="1470"/>
        <v>178.46325656948511</v>
      </c>
      <c r="CJ391" s="2317">
        <f t="shared" si="1470"/>
        <v>183.64244970454624</v>
      </c>
      <c r="CK391" s="2318">
        <f t="shared" si="1470"/>
        <v>288.40412129161422</v>
      </c>
      <c r="CL391" s="2319">
        <f t="shared" si="1470"/>
        <v>193.954918990679</v>
      </c>
      <c r="CM391" s="2319">
        <f t="shared" si="1470"/>
        <v>191.23187812269637</v>
      </c>
      <c r="CN391" s="2319">
        <f t="shared" si="1470"/>
        <v>192.15485456780007</v>
      </c>
      <c r="CO391" s="2320">
        <f t="shared" si="1470"/>
        <v>306.77061961427989</v>
      </c>
      <c r="CP391" s="2319">
        <f t="shared" si="1470"/>
        <v>168.28454564303621</v>
      </c>
      <c r="CQ391" s="2319">
        <f t="shared" si="1470"/>
        <v>178.84347612417071</v>
      </c>
      <c r="CR391" s="2319">
        <f t="shared" si="1470"/>
        <v>182.79393691110201</v>
      </c>
      <c r="CS391" s="2320">
        <f t="shared" si="1470"/>
        <v>287.7513336068937</v>
      </c>
      <c r="CT391" s="2319">
        <f t="shared" si="1470"/>
        <v>177.62380105476339</v>
      </c>
      <c r="CU391" s="2319">
        <f t="shared" si="1470"/>
        <v>174.42136192587245</v>
      </c>
      <c r="CV391" s="2319">
        <f t="shared" si="1470"/>
        <v>186.6212097732321</v>
      </c>
      <c r="CW391" s="2320">
        <f t="shared" ref="CW391:DE391" si="1471">+CW404/CW383*1000</f>
        <v>294.26748954148201</v>
      </c>
      <c r="CX391" s="2319">
        <f t="shared" si="1471"/>
        <v>181.30011545754022</v>
      </c>
      <c r="CY391" s="2319">
        <f t="shared" si="1471"/>
        <v>184.64869546389519</v>
      </c>
      <c r="CZ391" s="2319">
        <f t="shared" si="1471"/>
        <v>191.10875147627664</v>
      </c>
      <c r="DA391" s="2320">
        <f>+DA404/DA383*1000</f>
        <v>296.46475087864377</v>
      </c>
      <c r="DB391" s="2319">
        <f>+DB404/DB383*1000</f>
        <v>184.69379942467762</v>
      </c>
      <c r="DC391" s="2319">
        <f t="shared" si="1471"/>
        <v>186.93861455549228</v>
      </c>
      <c r="DD391" s="2321">
        <f t="shared" si="1471"/>
        <v>196.62581744243556</v>
      </c>
      <c r="DE391" s="2320">
        <f t="shared" si="1471"/>
        <v>297.29103959249824</v>
      </c>
      <c r="DF391" s="2321">
        <f>+DF404/DF383*1000</f>
        <v>188.24568180563986</v>
      </c>
      <c r="DG391" s="2321">
        <f t="shared" ref="DG391" si="1472">+DG404/DG383*1000</f>
        <v>197.42072255101141</v>
      </c>
      <c r="DH391" s="2321">
        <f t="shared" ref="DH391:DM391" si="1473">+DH404/DH383*1000</f>
        <v>206.9271758436945</v>
      </c>
      <c r="DI391" s="2320">
        <f t="shared" si="1473"/>
        <v>343.21139346551246</v>
      </c>
      <c r="DJ391" s="2769">
        <f t="shared" si="1473"/>
        <v>196.46215414617933</v>
      </c>
      <c r="DK391" s="2321">
        <f t="shared" si="1473"/>
        <v>204.86898207412969</v>
      </c>
      <c r="DL391" s="2321">
        <f t="shared" si="1473"/>
        <v>214.76043216665789</v>
      </c>
      <c r="DM391" s="2320">
        <f t="shared" si="1473"/>
        <v>347.95752815397543</v>
      </c>
      <c r="DN391" s="2322"/>
      <c r="DO391" s="2320"/>
      <c r="DP391" s="2323"/>
      <c r="DQ391" s="2323"/>
      <c r="DR391" s="2324"/>
      <c r="DS391" s="2324"/>
      <c r="DT391" s="2324"/>
      <c r="DU391" s="2317"/>
      <c r="DV391" s="2317"/>
      <c r="DW391" s="2317"/>
      <c r="DX391" s="2317"/>
      <c r="DY391" s="2325"/>
      <c r="DZ391" s="2325">
        <f t="shared" ref="DZ391:FC391" si="1474">+DZ404/DZ383*1000</f>
        <v>793.51558462976197</v>
      </c>
      <c r="EA391" s="2325">
        <f t="shared" si="1474"/>
        <v>703.48388556943689</v>
      </c>
      <c r="EB391" s="2325">
        <f t="shared" si="1474"/>
        <v>698.43670092755076</v>
      </c>
      <c r="EC391" s="2325">
        <f t="shared" si="1474"/>
        <v>775.15757855822551</v>
      </c>
      <c r="ED391" s="2325">
        <f t="shared" si="1474"/>
        <v>849.73122045771413</v>
      </c>
      <c r="EE391" s="2325">
        <f t="shared" si="1474"/>
        <v>891.03716106227614</v>
      </c>
      <c r="EF391" s="2325">
        <f t="shared" si="1474"/>
        <v>877.7805773386558</v>
      </c>
      <c r="EG391" s="2325">
        <f t="shared" si="1474"/>
        <v>825.93008812917719</v>
      </c>
      <c r="EH391" s="2325">
        <f t="shared" si="1474"/>
        <v>867.31448763250887</v>
      </c>
      <c r="EI391" s="2325">
        <f t="shared" si="1474"/>
        <v>892.31522785444349</v>
      </c>
      <c r="EJ391" s="2325">
        <f t="shared" si="1474"/>
        <v>926.36987154966425</v>
      </c>
      <c r="EK391" s="2325">
        <f t="shared" si="1474"/>
        <v>928.50613842710277</v>
      </c>
      <c r="EL391" s="2325">
        <f t="shared" si="1474"/>
        <v>886.30777066678479</v>
      </c>
      <c r="EM391" s="2325">
        <f t="shared" si="1474"/>
        <v>883.33987441130307</v>
      </c>
      <c r="EN391" s="2325">
        <f t="shared" si="1474"/>
        <v>900.59587543080943</v>
      </c>
      <c r="EO391" s="2325">
        <f t="shared" si="1474"/>
        <v>880.35829826428358</v>
      </c>
      <c r="EP391" s="2325">
        <f t="shared" si="1474"/>
        <v>866.57267585058867</v>
      </c>
      <c r="EQ391" s="2325">
        <f t="shared" si="1474"/>
        <v>873.87889481190882</v>
      </c>
      <c r="ER391" s="2325">
        <f t="shared" si="1474"/>
        <v>850.01104108984055</v>
      </c>
      <c r="ES391" s="2325">
        <f t="shared" si="1474"/>
        <v>847.96131104959159</v>
      </c>
      <c r="ET391" s="2326">
        <f t="shared" si="1474"/>
        <v>830.36404426597289</v>
      </c>
      <c r="EU391" s="2325">
        <f t="shared" si="1474"/>
        <v>765.62411628301561</v>
      </c>
      <c r="EV391" s="2325">
        <f t="shared" si="1474"/>
        <v>831.75768322731631</v>
      </c>
      <c r="EW391" s="2325">
        <f>+EW404/EW383*1000</f>
        <v>835.51046290424858</v>
      </c>
      <c r="EX391" s="2326">
        <f>+EX404/EX383*1000</f>
        <v>859.8769203910615</v>
      </c>
      <c r="EY391" s="2326">
        <f>+EY404/EY383*1000</f>
        <v>935.81546112517208</v>
      </c>
      <c r="EZ391" s="2327">
        <f>+EZ404/EZ383*1000</f>
        <v>956.1861702286094</v>
      </c>
      <c r="FA391" s="2325">
        <f t="shared" si="1474"/>
        <v>980.53434377298447</v>
      </c>
      <c r="FB391" s="2325">
        <f t="shared" si="1474"/>
        <v>997.5575081853134</v>
      </c>
      <c r="FC391" s="2325">
        <f t="shared" si="1474"/>
        <v>1011.7721562407154</v>
      </c>
      <c r="FD391" s="2325">
        <f>+FD404/FD383*1000</f>
        <v>1028.9125523246082</v>
      </c>
      <c r="FE391" s="2325">
        <f>+FE404/FE383*1000</f>
        <v>1046.7024138069212</v>
      </c>
      <c r="FF391" s="2325">
        <f>+FF404/FF383*1000</f>
        <v>1065.1746813393806</v>
      </c>
      <c r="FG391" s="2325">
        <f>+FG404/FG383*1000</f>
        <v>1084.3640869323369</v>
      </c>
      <c r="FH391" s="2325">
        <f>+FH404/FH383*1000</f>
        <v>1104.3072521673539</v>
      </c>
      <c r="FI391" s="2328"/>
      <c r="FP391" s="1474"/>
      <c r="FQ391" s="1388"/>
      <c r="FR391" s="1388"/>
      <c r="FS391" s="2329"/>
      <c r="FT391" s="2329"/>
      <c r="FU391" s="1388"/>
      <c r="FV391" s="1388"/>
      <c r="FW391" s="2329"/>
      <c r="FX391" s="2329"/>
      <c r="FY391" s="2329"/>
    </row>
    <row r="392" spans="1:260" ht="12.75" customHeight="1" x14ac:dyDescent="0.2">
      <c r="A392" s="2312"/>
      <c r="B392" s="2312"/>
      <c r="C392" s="2312"/>
      <c r="D392" s="2312"/>
      <c r="E392" s="2316"/>
      <c r="F392" s="2330"/>
      <c r="G392" s="2330"/>
      <c r="H392" s="2330"/>
      <c r="I392" s="2331"/>
      <c r="J392" s="2330"/>
      <c r="K392" s="2330"/>
      <c r="L392" s="2330"/>
      <c r="M392" s="2331"/>
      <c r="N392" s="2330"/>
      <c r="O392" s="2330"/>
      <c r="P392" s="2330"/>
      <c r="Q392" s="2331"/>
      <c r="R392" s="2330"/>
      <c r="S392" s="2330"/>
      <c r="T392" s="2330"/>
      <c r="U392" s="2331"/>
      <c r="V392" s="2330"/>
      <c r="W392" s="2330"/>
      <c r="X392" s="2330"/>
      <c r="Y392" s="2331"/>
      <c r="Z392" s="2330"/>
      <c r="AA392" s="2330"/>
      <c r="AB392" s="2330"/>
      <c r="AC392" s="2331"/>
      <c r="AD392" s="2330"/>
      <c r="AE392" s="2330"/>
      <c r="AF392" s="2330"/>
      <c r="AG392" s="2331"/>
      <c r="AH392" s="2330"/>
      <c r="AI392" s="2330"/>
      <c r="AJ392" s="2330"/>
      <c r="AK392" s="2331"/>
      <c r="AL392" s="2330"/>
      <c r="AM392" s="2330"/>
      <c r="AN392" s="2330"/>
      <c r="AO392" s="2331"/>
      <c r="AP392" s="2330"/>
      <c r="AQ392" s="2330"/>
      <c r="AR392" s="2330"/>
      <c r="AS392" s="2331"/>
      <c r="AT392" s="2330"/>
      <c r="AU392" s="2330"/>
      <c r="AV392" s="2330"/>
      <c r="AW392" s="2331"/>
      <c r="AX392" s="2330"/>
      <c r="AY392" s="2330"/>
      <c r="AZ392" s="2330"/>
      <c r="BA392" s="2331"/>
      <c r="BB392" s="2330"/>
      <c r="BC392" s="2330"/>
      <c r="BD392" s="2330"/>
      <c r="BE392" s="2331"/>
      <c r="BF392" s="2330"/>
      <c r="BG392" s="2330"/>
      <c r="BH392" s="2330"/>
      <c r="BI392" s="2331"/>
      <c r="BJ392" s="2330"/>
      <c r="BK392" s="2330"/>
      <c r="BL392" s="2330"/>
      <c r="BM392" s="2331"/>
      <c r="BN392" s="2330"/>
      <c r="BO392" s="2330"/>
      <c r="BP392" s="2330"/>
      <c r="BQ392" s="2331"/>
      <c r="BR392" s="2330"/>
      <c r="BS392" s="2330"/>
      <c r="BT392" s="2330"/>
      <c r="BU392" s="2331"/>
      <c r="BV392" s="2330"/>
      <c r="BW392" s="2330"/>
      <c r="BX392" s="2330"/>
      <c r="BY392" s="2331"/>
      <c r="BZ392" s="2330"/>
      <c r="CA392" s="2330"/>
      <c r="CB392" s="2330"/>
      <c r="CC392" s="2331"/>
      <c r="CD392" s="2330"/>
      <c r="CE392" s="2330"/>
      <c r="CF392" s="2330"/>
      <c r="CG392" s="2331"/>
      <c r="CH392" s="2330"/>
      <c r="CI392" s="2330"/>
      <c r="CJ392" s="2330"/>
      <c r="CK392" s="2331"/>
      <c r="CL392" s="2330"/>
      <c r="CM392" s="2330"/>
      <c r="CN392" s="2330"/>
      <c r="CO392" s="2331"/>
      <c r="CP392" s="2330"/>
      <c r="CQ392" s="2330"/>
      <c r="CR392" s="2330"/>
      <c r="CS392" s="2331"/>
      <c r="CT392" s="2330"/>
      <c r="CU392" s="2330"/>
      <c r="CV392" s="2330"/>
      <c r="CW392" s="2331"/>
      <c r="CX392" s="2330"/>
      <c r="CY392" s="2330"/>
      <c r="CZ392" s="2330"/>
      <c r="DA392" s="2331"/>
      <c r="DB392" s="2330"/>
      <c r="DC392" s="2330"/>
      <c r="DD392" s="2332"/>
      <c r="DE392" s="2331"/>
      <c r="DF392" s="2332"/>
      <c r="DG392" s="2332"/>
      <c r="DH392" s="2332"/>
      <c r="DI392" s="2331"/>
      <c r="DJ392" s="2770"/>
      <c r="DK392" s="2332"/>
      <c r="DL392" s="2332"/>
      <c r="DM392" s="2331"/>
      <c r="DN392" s="2333"/>
      <c r="DO392" s="2331"/>
      <c r="DP392" s="2323"/>
      <c r="DQ392" s="2323"/>
      <c r="DR392" s="2324"/>
      <c r="DS392" s="2324"/>
      <c r="DT392" s="2324"/>
      <c r="DU392" s="2324"/>
      <c r="DV392" s="2324"/>
      <c r="DW392" s="2324"/>
      <c r="DX392" s="2334"/>
      <c r="DY392" s="2330"/>
      <c r="DZ392" s="2330"/>
      <c r="EA392" s="2330"/>
      <c r="EB392" s="2330"/>
      <c r="EC392" s="2330"/>
      <c r="ED392" s="2330"/>
      <c r="EE392" s="2330"/>
      <c r="EF392" s="2330"/>
      <c r="EG392" s="2330"/>
      <c r="EH392" s="2330"/>
      <c r="EI392" s="2330"/>
      <c r="EJ392" s="2330"/>
      <c r="EK392" s="2330"/>
      <c r="EL392" s="2330"/>
      <c r="EM392" s="2330"/>
      <c r="EN392" s="2330"/>
      <c r="EO392" s="2330"/>
      <c r="EP392" s="2330"/>
      <c r="EQ392" s="2330"/>
      <c r="ER392" s="2330"/>
      <c r="ES392" s="2330"/>
      <c r="ET392" s="2330"/>
      <c r="EU392" s="2330"/>
      <c r="EV392" s="2330"/>
      <c r="EW392" s="2330"/>
      <c r="EX392" s="2330"/>
      <c r="EY392" s="2330"/>
      <c r="EZ392" s="2335"/>
      <c r="FA392" s="2330"/>
      <c r="FB392" s="2330"/>
      <c r="FC392" s="2330"/>
      <c r="FD392" s="2330"/>
      <c r="FE392" s="2330"/>
      <c r="FF392" s="2330"/>
      <c r="FG392" s="2330"/>
      <c r="FH392" s="2330"/>
      <c r="FI392" s="2333"/>
      <c r="FP392" s="1474"/>
      <c r="FQ392" s="1388"/>
      <c r="FR392" s="1388"/>
      <c r="FS392" s="2332"/>
      <c r="FT392" s="2332"/>
      <c r="FU392" s="1388"/>
      <c r="FV392" s="1388"/>
      <c r="FW392" s="2332"/>
      <c r="FX392" s="2332"/>
      <c r="FY392" s="2332"/>
    </row>
    <row r="393" spans="1:260" s="71" customFormat="1" ht="12.75" customHeight="1" x14ac:dyDescent="0.2">
      <c r="A393" s="122" t="s">
        <v>28</v>
      </c>
      <c r="B393" s="122"/>
      <c r="C393" s="122"/>
      <c r="D393" s="122"/>
      <c r="E393" s="474"/>
      <c r="F393" s="2336">
        <v>849.4</v>
      </c>
      <c r="G393" s="2336">
        <v>933.17200000000003</v>
      </c>
      <c r="H393" s="2336">
        <v>1349.8710000000001</v>
      </c>
      <c r="I393" s="766">
        <v>1947.1110000000001</v>
      </c>
      <c r="J393" s="2336">
        <v>1274.6690000000001</v>
      </c>
      <c r="K393" s="2336">
        <v>1437.9110000000001</v>
      </c>
      <c r="L393" s="2336">
        <v>1929.277</v>
      </c>
      <c r="M393" s="766">
        <v>2575.5639999999999</v>
      </c>
      <c r="N393" s="2336">
        <v>1637.184</v>
      </c>
      <c r="O393" s="2336">
        <v>1778.64</v>
      </c>
      <c r="P393" s="2336">
        <v>2007.3240000000001</v>
      </c>
      <c r="Q393" s="766">
        <v>2347.5349999999999</v>
      </c>
      <c r="R393" s="2336">
        <v>1606.5509999999999</v>
      </c>
      <c r="S393" s="2336">
        <v>1793.204</v>
      </c>
      <c r="T393" s="2336">
        <v>2106.3409999999999</v>
      </c>
      <c r="U393" s="766">
        <v>2852.096</v>
      </c>
      <c r="V393" s="2336">
        <v>1938.383</v>
      </c>
      <c r="W393" s="2336">
        <v>2177.7660000000001</v>
      </c>
      <c r="X393" s="2336">
        <v>2492.4670000000001</v>
      </c>
      <c r="Y393" s="766">
        <v>3456.03</v>
      </c>
      <c r="Z393" s="2336">
        <v>2385.431</v>
      </c>
      <c r="AA393" s="2336">
        <v>2686.64</v>
      </c>
      <c r="AB393" s="2336">
        <v>3107.337</v>
      </c>
      <c r="AC393" s="766">
        <v>4314.6149999999998</v>
      </c>
      <c r="AD393" s="2336">
        <v>2963.7179999999998</v>
      </c>
      <c r="AE393" s="2336">
        <v>3169.1709999999998</v>
      </c>
      <c r="AF393" s="2336">
        <v>3732.08</v>
      </c>
      <c r="AG393" s="766">
        <v>5461.5829999999996</v>
      </c>
      <c r="AH393" s="2336">
        <v>3334</v>
      </c>
      <c r="AI393" s="2336">
        <v>3788</v>
      </c>
      <c r="AJ393" s="2336">
        <v>4228</v>
      </c>
      <c r="AK393" s="766">
        <v>5862</v>
      </c>
      <c r="AL393" s="2336">
        <v>3899</v>
      </c>
      <c r="AM393" s="2336">
        <v>4290</v>
      </c>
      <c r="AN393" s="2336">
        <v>4710</v>
      </c>
      <c r="AO393" s="766">
        <v>6411</v>
      </c>
      <c r="AP393" s="2336">
        <v>4280</v>
      </c>
      <c r="AQ393" s="2336">
        <v>4910</v>
      </c>
      <c r="AR393" s="2336">
        <v>5430</v>
      </c>
      <c r="AS393" s="766">
        <v>7605</v>
      </c>
      <c r="AT393" s="2336">
        <v>4980</v>
      </c>
      <c r="AU393" s="2336">
        <v>5506</v>
      </c>
      <c r="AV393" s="2336">
        <v>5918</v>
      </c>
      <c r="AW393" s="766">
        <v>8212</v>
      </c>
      <c r="AX393" s="2336">
        <v>5492</v>
      </c>
      <c r="AY393" s="2336">
        <v>5997</v>
      </c>
      <c r="AZ393" s="2336">
        <v>6466</v>
      </c>
      <c r="BA393" s="766">
        <v>9425</v>
      </c>
      <c r="BB393" s="2336">
        <v>6162</v>
      </c>
      <c r="BC393" s="2336">
        <v>6621</v>
      </c>
      <c r="BD393" s="2336">
        <v>7164</v>
      </c>
      <c r="BE393" s="766">
        <v>11084</v>
      </c>
      <c r="BF393" s="2336">
        <v>6704</v>
      </c>
      <c r="BG393" s="2336">
        <v>7234</v>
      </c>
      <c r="BH393" s="2336">
        <v>8206</v>
      </c>
      <c r="BI393" s="766">
        <v>11184</v>
      </c>
      <c r="BJ393" s="2336">
        <v>7453</v>
      </c>
      <c r="BK393" s="2336">
        <v>8133</v>
      </c>
      <c r="BL393" s="2336">
        <v>8196</v>
      </c>
      <c r="BM393" s="766">
        <v>11288</v>
      </c>
      <c r="BN393" s="2336">
        <v>7525</v>
      </c>
      <c r="BO393" s="2336">
        <v>8274</v>
      </c>
      <c r="BP393" s="2336">
        <v>8931</v>
      </c>
      <c r="BQ393" s="766">
        <v>12584</v>
      </c>
      <c r="BR393" s="2336">
        <v>7923</v>
      </c>
      <c r="BS393" s="2336">
        <v>8436</v>
      </c>
      <c r="BT393" s="2336">
        <v>8710</v>
      </c>
      <c r="BU393" s="766">
        <v>12117</v>
      </c>
      <c r="BV393" s="2336">
        <v>7859</v>
      </c>
      <c r="BW393" s="2336">
        <v>8311</v>
      </c>
      <c r="BX393" s="2336">
        <v>8885</v>
      </c>
      <c r="BY393" s="766">
        <v>12600</v>
      </c>
      <c r="BZ393" s="2336">
        <v>8511</v>
      </c>
      <c r="CA393" s="2336">
        <v>8185</v>
      </c>
      <c r="CB393" s="2336">
        <v>7938</v>
      </c>
      <c r="CC393" s="766">
        <v>12611</v>
      </c>
      <c r="CD393" s="2336">
        <v>8392</v>
      </c>
      <c r="CE393" s="2336">
        <v>7977</v>
      </c>
      <c r="CF393" s="2336">
        <v>8055</v>
      </c>
      <c r="CG393" s="766">
        <v>12583</v>
      </c>
      <c r="CH393" s="2336">
        <v>8822</v>
      </c>
      <c r="CI393" s="2336">
        <v>7803</v>
      </c>
      <c r="CJ393" s="2336">
        <v>7673</v>
      </c>
      <c r="CK393" s="766">
        <v>12550</v>
      </c>
      <c r="CL393" s="2336">
        <v>8822</v>
      </c>
      <c r="CM393" s="2336">
        <v>7803</v>
      </c>
      <c r="CN393" s="2336">
        <v>7673</v>
      </c>
      <c r="CO393" s="766">
        <v>12550</v>
      </c>
      <c r="CP393" s="2336">
        <v>7946</v>
      </c>
      <c r="CQ393" s="2336">
        <v>7775</v>
      </c>
      <c r="CR393" s="2336">
        <v>7812</v>
      </c>
      <c r="CS393" s="766">
        <v>12298</v>
      </c>
      <c r="CT393" s="2336">
        <v>7781</v>
      </c>
      <c r="CU393" s="2336">
        <v>7585</v>
      </c>
      <c r="CV393" s="2336">
        <v>7992</v>
      </c>
      <c r="CW393" s="766">
        <v>12697</v>
      </c>
      <c r="CX393" s="2337">
        <v>7890</v>
      </c>
      <c r="CY393" s="2337">
        <v>7878</v>
      </c>
      <c r="CZ393" s="2337">
        <v>8090</v>
      </c>
      <c r="DA393" s="2338">
        <v>12507</v>
      </c>
      <c r="DB393" s="2337">
        <v>7829</v>
      </c>
      <c r="DC393" s="2337">
        <v>7889</v>
      </c>
      <c r="DD393" s="2339">
        <v>8192</v>
      </c>
      <c r="DE393" s="2338">
        <v>12338</v>
      </c>
      <c r="DF393" s="2483">
        <v>7912</v>
      </c>
      <c r="DG393" s="2483">
        <v>8272</v>
      </c>
      <c r="DH393" s="2483">
        <v>8491</v>
      </c>
      <c r="DI393" s="2338">
        <v>13987</v>
      </c>
      <c r="DJ393" s="1736">
        <f>+DJ147</f>
        <v>8084.0779507967127</v>
      </c>
      <c r="DK393" s="198">
        <f>+DK147</f>
        <v>8319.6747461925697</v>
      </c>
      <c r="DL393" s="198">
        <f>+DL147</f>
        <v>8560.6618577439167</v>
      </c>
      <c r="DM393" s="766">
        <f>+DM147</f>
        <v>13806.456532283801</v>
      </c>
      <c r="DN393" s="2340"/>
      <c r="DO393" s="766"/>
      <c r="DP393" s="2341"/>
      <c r="DQ393" s="2341"/>
      <c r="DR393" s="2342"/>
      <c r="DS393" s="2342"/>
      <c r="DT393" s="2342"/>
      <c r="DU393" s="2343">
        <f>+DU147</f>
        <v>664.82299999999998</v>
      </c>
      <c r="DV393" s="2343">
        <f>+DV147</f>
        <v>929.69200000000001</v>
      </c>
      <c r="DW393" s="2343">
        <f>+DW147</f>
        <v>1619.9780000000001</v>
      </c>
      <c r="DX393" s="26"/>
      <c r="DY393" s="198">
        <f>SUM(F393:I393)</f>
        <v>5079.5540000000001</v>
      </c>
      <c r="DZ393" s="198">
        <f>SUM(J393:M393)</f>
        <v>7217.4210000000003</v>
      </c>
      <c r="EA393" s="198">
        <f>SUM(N393:Q393)</f>
        <v>7770.683</v>
      </c>
      <c r="EB393" s="198">
        <f>SUM(R393:U393)</f>
        <v>8358.1919999999991</v>
      </c>
      <c r="EC393" s="198">
        <f>SUM(V393:Y393)</f>
        <v>10064.646000000001</v>
      </c>
      <c r="ED393" s="198">
        <f>SUM(Z393:AC393)</f>
        <v>12494.022999999999</v>
      </c>
      <c r="EE393" s="198">
        <f>SUM(AD393:AG393)</f>
        <v>15326.552</v>
      </c>
      <c r="EF393" s="198">
        <f>SUM(AH393:AK393)</f>
        <v>17212</v>
      </c>
      <c r="EG393" s="198">
        <f>SUM(AL393:AO393)</f>
        <v>19310</v>
      </c>
      <c r="EH393" s="198">
        <f>SUM(AP393:AS393)</f>
        <v>22225</v>
      </c>
      <c r="EI393" s="198">
        <f>SUM(AT393:AW393)</f>
        <v>24616</v>
      </c>
      <c r="EJ393" s="198">
        <f>SUM(AX393:BA393)</f>
        <v>27380</v>
      </c>
      <c r="EK393" s="198">
        <f>SUM(BB393:BE393)</f>
        <v>31031</v>
      </c>
      <c r="EL393" s="198">
        <f>SUM(BF393:BI393)</f>
        <v>33328</v>
      </c>
      <c r="EM393" s="198">
        <f>SUM(BJ393:BM393)</f>
        <v>35070</v>
      </c>
      <c r="EN393" s="198">
        <f>SUM(BN393:BQ393)</f>
        <v>37314</v>
      </c>
      <c r="EO393" s="198">
        <f>SUM(BR393:BU393)</f>
        <v>37186</v>
      </c>
      <c r="EP393" s="198">
        <f>SUM(BV393:BY393)</f>
        <v>37655</v>
      </c>
      <c r="EQ393" s="198">
        <f>SUM(BZ393:CC393)</f>
        <v>37245</v>
      </c>
      <c r="ER393" s="198">
        <f>SUM(CD393:CG393)</f>
        <v>37007</v>
      </c>
      <c r="ES393" s="198">
        <f>SUM(CH393:CK393)</f>
        <v>36848</v>
      </c>
      <c r="ET393" s="198">
        <f>SUM(CL393:CO393)</f>
        <v>36848</v>
      </c>
      <c r="EU393" s="198">
        <f>SUM(CP393:CS393)</f>
        <v>35831</v>
      </c>
      <c r="EV393" s="198">
        <f>SUM(CT393:CW393)</f>
        <v>36055</v>
      </c>
      <c r="EW393" s="198">
        <f>SUM(CX393:DA393)</f>
        <v>36365</v>
      </c>
      <c r="EX393" s="198">
        <f>SUM(DB393:DE393)</f>
        <v>36248</v>
      </c>
      <c r="EY393" s="198">
        <f>SUM(DF393:DI393)</f>
        <v>38662</v>
      </c>
      <c r="EZ393" s="1736">
        <f>SUM(DJ393:DM393)</f>
        <v>38770.871087017003</v>
      </c>
      <c r="FA393" s="198">
        <f>FA147</f>
        <v>39162.611516171703</v>
      </c>
      <c r="FB393" s="198">
        <f>FB147</f>
        <v>39548.571247331325</v>
      </c>
      <c r="FC393" s="198">
        <f>FC147</f>
        <v>39917.56132006611</v>
      </c>
      <c r="FD393" s="198">
        <f>FD147</f>
        <v>40463.212782604562</v>
      </c>
      <c r="FE393" s="198">
        <f>FE147</f>
        <v>41030.623253519152</v>
      </c>
      <c r="FF393" s="198">
        <f>FF147</f>
        <v>41620.869646848121</v>
      </c>
      <c r="FG393" s="198">
        <f>FG147</f>
        <v>42235.082652090554</v>
      </c>
      <c r="FH393" s="198">
        <f>FH147</f>
        <v>42874.449423367441</v>
      </c>
      <c r="FI393" s="2344"/>
      <c r="FJ393"/>
      <c r="FK393"/>
      <c r="FL393"/>
      <c r="FM393"/>
      <c r="FN393"/>
      <c r="FO393"/>
      <c r="FP393" s="401"/>
      <c r="FQ393" s="19"/>
      <c r="FR393" s="19"/>
      <c r="FS393" s="290"/>
      <c r="FT393" s="290"/>
      <c r="FU393" s="1388"/>
      <c r="FV393" s="1388"/>
      <c r="FW393" s="198"/>
      <c r="FX393" s="198"/>
      <c r="FY393" s="198"/>
      <c r="FZ393" s="99"/>
      <c r="GA393" s="99"/>
      <c r="GB393" s="99"/>
      <c r="GC393" s="99"/>
      <c r="GD393" s="99"/>
      <c r="GE393" s="99"/>
      <c r="GF393" s="99"/>
      <c r="GG393" s="99"/>
      <c r="GH393" s="99"/>
      <c r="GI393" s="99"/>
      <c r="GJ393" s="99"/>
      <c r="GK393" s="99"/>
      <c r="GL393" s="99"/>
      <c r="GM393" s="99"/>
      <c r="GN393" s="99"/>
      <c r="GO393" s="99"/>
      <c r="GP393" s="99"/>
      <c r="GQ393" s="99"/>
      <c r="GR393" s="99"/>
      <c r="GS393" s="99"/>
      <c r="GT393" s="99"/>
      <c r="GU393" s="99"/>
      <c r="GV393" s="99"/>
      <c r="GW393" s="99"/>
      <c r="GX393" s="99"/>
      <c r="GY393" s="99"/>
      <c r="GZ393" s="99"/>
      <c r="HA393" s="99"/>
      <c r="HB393" s="99"/>
      <c r="HC393" s="99"/>
      <c r="HD393" s="99"/>
      <c r="HE393" s="99"/>
      <c r="HF393" s="99"/>
      <c r="HG393" s="99"/>
      <c r="HH393" s="99"/>
      <c r="HI393" s="99"/>
      <c r="HJ393" s="99"/>
      <c r="HK393" s="99"/>
      <c r="HL393" s="99"/>
      <c r="HM393" s="99"/>
      <c r="HN393" s="99"/>
      <c r="HO393" s="99"/>
      <c r="HP393" s="99"/>
      <c r="HQ393" s="99"/>
      <c r="HR393" s="99"/>
      <c r="HS393" s="99"/>
      <c r="HT393" s="99"/>
      <c r="HU393" s="99"/>
      <c r="HV393" s="99"/>
      <c r="HW393" s="99"/>
      <c r="HX393" s="99"/>
      <c r="HY393" s="99"/>
      <c r="HZ393" s="99"/>
      <c r="IA393" s="99"/>
      <c r="IB393" s="99"/>
      <c r="IC393" s="99"/>
      <c r="ID393" s="99"/>
      <c r="IE393" s="99"/>
      <c r="IF393" s="99"/>
      <c r="IG393" s="99"/>
      <c r="IH393" s="99"/>
      <c r="II393" s="99"/>
      <c r="IJ393" s="99"/>
      <c r="IK393" s="99"/>
      <c r="IL393" s="99"/>
      <c r="IM393" s="99"/>
      <c r="IN393" s="99"/>
      <c r="IO393" s="99"/>
      <c r="IP393" s="99"/>
      <c r="IQ393" s="99"/>
      <c r="IR393" s="99"/>
      <c r="IS393" s="99"/>
      <c r="IT393" s="99"/>
      <c r="IU393" s="99"/>
      <c r="IV393" s="99"/>
      <c r="IW393" s="99"/>
      <c r="IX393" s="99"/>
      <c r="IY393" s="99"/>
      <c r="IZ393" s="99"/>
    </row>
    <row r="394" spans="1:260" ht="12.75" customHeight="1" x14ac:dyDescent="0.2">
      <c r="A394" s="2345" t="s">
        <v>453</v>
      </c>
      <c r="B394" s="2345"/>
      <c r="C394" s="2345"/>
      <c r="D394" s="2345"/>
      <c r="E394" s="2346"/>
      <c r="F394" s="396">
        <f>F140</f>
        <v>0.37</v>
      </c>
      <c r="G394" s="396">
        <f>G140</f>
        <v>0.18</v>
      </c>
      <c r="H394" s="396">
        <f>H140</f>
        <v>0.2</v>
      </c>
      <c r="I394" s="408">
        <f>I140</f>
        <v>0.14000000000000001</v>
      </c>
      <c r="J394" s="396">
        <f>J140</f>
        <v>6.2E-2</v>
      </c>
      <c r="K394" s="396">
        <f>K140</f>
        <v>6.9000000000000006E-2</v>
      </c>
      <c r="L394" s="396">
        <f>L140</f>
        <v>0.11</v>
      </c>
      <c r="M394" s="408">
        <f>M140</f>
        <v>1.4E-2</v>
      </c>
      <c r="N394" s="396">
        <f>N140</f>
        <v>3.5999999999999997E-2</v>
      </c>
      <c r="O394" s="396">
        <f>O140</f>
        <v>3.6999999999999998E-2</v>
      </c>
      <c r="P394" s="396">
        <f>P140</f>
        <v>-8.1000000000000003E-2</v>
      </c>
      <c r="Q394" s="408">
        <f>Q140</f>
        <v>-0.112</v>
      </c>
      <c r="R394" s="396">
        <f>R140</f>
        <v>-8.2000000000000003E-2</v>
      </c>
      <c r="S394" s="396">
        <f>S140</f>
        <v>-5.6000000000000001E-2</v>
      </c>
      <c r="T394" s="396">
        <f>T140</f>
        <v>-4.0000000000000001E-3</v>
      </c>
      <c r="U394" s="408">
        <f>U140</f>
        <v>0.16900000000000001</v>
      </c>
      <c r="V394" s="396">
        <f>V140</f>
        <v>0.153</v>
      </c>
      <c r="W394" s="396">
        <f>W140</f>
        <v>0.17899999999999999</v>
      </c>
      <c r="X394" s="396">
        <f>X140</f>
        <v>0.122</v>
      </c>
      <c r="Y394" s="408">
        <f>Y140</f>
        <v>0.108</v>
      </c>
      <c r="Z394" s="396">
        <f>Z140</f>
        <v>0.13300000000000001</v>
      </c>
      <c r="AA394" s="396">
        <f>AA140</f>
        <v>0.111</v>
      </c>
      <c r="AB394" s="396">
        <f>AB140</f>
        <v>1.2E-2</v>
      </c>
      <c r="AC394" s="408">
        <f>AC140</f>
        <v>0.11</v>
      </c>
      <c r="AD394" s="396">
        <f>AD140</f>
        <v>9.5000000000000001E-2</v>
      </c>
      <c r="AE394" s="396">
        <f>AE140</f>
        <v>5.0999999999999997E-2</v>
      </c>
      <c r="AF394" s="396">
        <f>AF140</f>
        <v>5.8999999999999997E-2</v>
      </c>
      <c r="AG394" s="408">
        <f>AG140</f>
        <v>1.7999999999999999E-2</v>
      </c>
      <c r="AH394" s="396">
        <f>AH140</f>
        <v>-3.1E-2</v>
      </c>
      <c r="AI394" s="396">
        <f>AI140</f>
        <v>2.8000000000000001E-2</v>
      </c>
      <c r="AJ394" s="396">
        <f>AJ140</f>
        <v>1.6E-2</v>
      </c>
      <c r="AK394" s="408">
        <f>AK140</f>
        <v>4.4999999999999998E-2</v>
      </c>
      <c r="AL394" s="396">
        <f>AL140</f>
        <v>6.6000000000000003E-2</v>
      </c>
      <c r="AM394" s="396">
        <f>AM140</f>
        <v>2.7E-2</v>
      </c>
      <c r="AN394" s="396">
        <f>AN140</f>
        <v>7.0000000000000001E-3</v>
      </c>
      <c r="AO394" s="408">
        <f>AO140</f>
        <v>1.2999999999999999E-2</v>
      </c>
      <c r="AP394" s="396">
        <f>AP140</f>
        <v>2.3E-2</v>
      </c>
      <c r="AQ394" s="396">
        <f>AQ140</f>
        <v>7.8E-2</v>
      </c>
      <c r="AR394" s="396">
        <f>AR140</f>
        <v>0.09</v>
      </c>
      <c r="AS394" s="1569">
        <f>AS140</f>
        <v>9.9000000000000005E-2</v>
      </c>
      <c r="AT394" s="396">
        <f>AT140</f>
        <v>8.4000000000000005E-2</v>
      </c>
      <c r="AU394" s="396">
        <f>AU140</f>
        <v>4.3999999999999997E-2</v>
      </c>
      <c r="AV394" s="396">
        <f>AV140</f>
        <v>0.03</v>
      </c>
      <c r="AW394" s="1569">
        <f>AW140</f>
        <v>3.1E-2</v>
      </c>
      <c r="AX394" s="396">
        <f>AX140</f>
        <v>4.4999999999999998E-2</v>
      </c>
      <c r="AY394" s="396">
        <f>AY140</f>
        <v>3.7999999999999999E-2</v>
      </c>
      <c r="AZ394" s="396">
        <f>AZ140</f>
        <v>3.7999999999999999E-2</v>
      </c>
      <c r="BA394" s="1569">
        <f>BA140</f>
        <v>7.3999999999999996E-2</v>
      </c>
      <c r="BB394" s="1506">
        <f>BB140</f>
        <v>4.5999999999999999E-2</v>
      </c>
      <c r="BC394" s="1506">
        <f>BC140</f>
        <v>0.03</v>
      </c>
      <c r="BD394" s="396">
        <f>BD140</f>
        <v>3.5999999999999997E-2</v>
      </c>
      <c r="BE394" s="1569">
        <f>BE140</f>
        <v>4.8000000000000001E-2</v>
      </c>
      <c r="BF394" s="1506">
        <f>BF140</f>
        <v>1.7000000000000001E-2</v>
      </c>
      <c r="BG394" s="1506">
        <f>BG140</f>
        <v>1.7000000000000001E-2</v>
      </c>
      <c r="BH394" s="1506">
        <f>BH140</f>
        <v>6.0999999999999999E-2</v>
      </c>
      <c r="BI394" s="1569">
        <f>BI140</f>
        <v>-8.9999999999999993E-3</v>
      </c>
      <c r="BJ394" s="1506">
        <f>BJ140</f>
        <v>3.5000000000000003E-2</v>
      </c>
      <c r="BK394" s="1506">
        <f>BK140</f>
        <v>5.2999999999999999E-2</v>
      </c>
      <c r="BL394" s="1506">
        <f>BL140</f>
        <v>-6.3E-2</v>
      </c>
      <c r="BM394" s="1569">
        <f>BM140</f>
        <v>-4.8000000000000001E-2</v>
      </c>
      <c r="BN394" s="1506">
        <f>BN140</f>
        <v>-4.9000000000000002E-2</v>
      </c>
      <c r="BO394" s="1506">
        <f>BO140</f>
        <v>-3.1E-2</v>
      </c>
      <c r="BP394" s="1506">
        <f>BP140</f>
        <v>4.5999999999999999E-2</v>
      </c>
      <c r="BQ394" s="1569">
        <f>BQ140</f>
        <v>7.3999999999999996E-2</v>
      </c>
      <c r="BR394" s="1506">
        <f>BR140</f>
        <v>1.9E-2</v>
      </c>
      <c r="BS394" s="1506">
        <f>BS140</f>
        <v>-1.4E-2</v>
      </c>
      <c r="BT394" s="1506">
        <f>BT140</f>
        <v>-0.05</v>
      </c>
      <c r="BU394" s="1569">
        <f>BU140</f>
        <v>-5.5E-2</v>
      </c>
      <c r="BV394" s="1506">
        <f>BV140</f>
        <v>-2.4E-2</v>
      </c>
      <c r="BW394" s="1506">
        <f>BW140</f>
        <v>-2.7E-2</v>
      </c>
      <c r="BX394" s="1506">
        <f>BX140</f>
        <v>8.9999999999999993E-3</v>
      </c>
      <c r="BY394" s="1569">
        <f>BY140</f>
        <v>-2.1999999999999999E-2</v>
      </c>
      <c r="BZ394" s="1506">
        <f>BZ140</f>
        <v>4.7E-2</v>
      </c>
      <c r="CA394" s="1506">
        <f>CA140</f>
        <v>0</v>
      </c>
      <c r="CB394" s="1506">
        <f>CB140</f>
        <v>-3.9E-2</v>
      </c>
      <c r="CC394" s="1569">
        <f>CC140</f>
        <v>-5.1999999999999998E-2</v>
      </c>
      <c r="CD394" s="1506">
        <f>CD140</f>
        <v>-3.7999999999999999E-2</v>
      </c>
      <c r="CE394" s="1506">
        <f>CE140</f>
        <v>-4.1000000000000002E-2</v>
      </c>
      <c r="CF394" s="1506">
        <f>CF140</f>
        <v>1E-3</v>
      </c>
      <c r="CG394" s="1569">
        <f>CG140</f>
        <v>-1.0999999999999999E-2</v>
      </c>
      <c r="CH394" s="1506">
        <f>CH140</f>
        <v>-3.6999999999999998E-2</v>
      </c>
      <c r="CI394" s="1506">
        <f>CI140</f>
        <v>-1.6E-2</v>
      </c>
      <c r="CJ394" s="1506">
        <f>CJ140</f>
        <v>-0.04</v>
      </c>
      <c r="CK394" s="1569">
        <f>CK140</f>
        <v>8.9999999999999993E-3</v>
      </c>
      <c r="CL394" s="1506">
        <f>CL140</f>
        <v>-3.6999999999999998E-2</v>
      </c>
      <c r="CM394" s="1506">
        <f>CM140</f>
        <v>-1.6E-2</v>
      </c>
      <c r="CN394" s="1506">
        <f>CN140</f>
        <v>-0.04</v>
      </c>
      <c r="CO394" s="1569">
        <f>CO140</f>
        <v>8.9999999999999993E-3</v>
      </c>
      <c r="CP394" s="1506">
        <f>CP140</f>
        <v>-1.2E-2</v>
      </c>
      <c r="CQ394" s="1506">
        <f>CQ140</f>
        <v>-4.0000000000000001E-3</v>
      </c>
      <c r="CR394" s="1506">
        <f>CR140</f>
        <v>1.7999999999999999E-2</v>
      </c>
      <c r="CS394" s="1569">
        <f>CS140</f>
        <v>-1.2E-2</v>
      </c>
      <c r="CT394" s="1506">
        <f>CT140</f>
        <v>-1.2999999999999999E-2</v>
      </c>
      <c r="CU394" s="1506">
        <f>CU140</f>
        <v>-0.02</v>
      </c>
      <c r="CV394" s="1506">
        <f>CV140</f>
        <v>3.2000000000000001E-2</v>
      </c>
      <c r="CW394" s="1569">
        <f>CW140</f>
        <v>2.8000000000000001E-2</v>
      </c>
      <c r="CX394" s="1506">
        <f>CX140</f>
        <v>6.0000000000000001E-3</v>
      </c>
      <c r="CY394" s="1506">
        <f>CY140</f>
        <v>3.7999999999999999E-2</v>
      </c>
      <c r="CZ394" s="1506">
        <f>CZ140</f>
        <v>8.0000000000000002E-3</v>
      </c>
      <c r="DA394" s="1569">
        <f>DA140</f>
        <v>-1.7000000000000001E-2</v>
      </c>
      <c r="DB394" s="1506">
        <f>DB140</f>
        <v>-1E-3</v>
      </c>
      <c r="DC394" s="1506">
        <f>DC140</f>
        <v>8.0000000000000002E-3</v>
      </c>
      <c r="DD394" s="1506">
        <f>DD140</f>
        <v>1.7999999999999999E-2</v>
      </c>
      <c r="DE394" s="1569">
        <f>DE140</f>
        <v>-8.9999999999999993E-3</v>
      </c>
      <c r="DF394" s="1506">
        <f>DF140</f>
        <v>1.4E-2</v>
      </c>
      <c r="DG394" s="1506">
        <f>DG140</f>
        <v>5.3999999999999999E-2</v>
      </c>
      <c r="DH394" s="1506">
        <f>DH140</f>
        <v>4.4999999999999998E-2</v>
      </c>
      <c r="DI394" s="1569">
        <f>DI140</f>
        <v>0.09</v>
      </c>
      <c r="DJ394" s="1926">
        <f>DJ140</f>
        <v>3.5492354524772493E-2</v>
      </c>
      <c r="DK394" s="1506">
        <f>DK140</f>
        <v>1.8262936943907158E-2</v>
      </c>
      <c r="DL394" s="1506">
        <f>DL140</f>
        <v>1.5417252888211051E-2</v>
      </c>
      <c r="DM394" s="1569">
        <f>DM140</f>
        <v>-1.5540498702366484E-2</v>
      </c>
      <c r="DN394" s="2347"/>
      <c r="DO394" s="2348"/>
      <c r="DP394" s="2324"/>
      <c r="DQ394" s="2324"/>
      <c r="DR394" s="2349"/>
      <c r="DS394" s="2349"/>
      <c r="DT394" s="2349"/>
      <c r="DU394" s="2350"/>
      <c r="DV394" s="2350"/>
      <c r="DW394" s="2350"/>
      <c r="DX394" s="2286"/>
      <c r="DY394" s="396">
        <v>0.19900000000000001</v>
      </c>
      <c r="DZ394" s="396">
        <v>5.5E-2</v>
      </c>
      <c r="EA394" s="396">
        <v>-4.7E-2</v>
      </c>
      <c r="EB394" s="396">
        <v>0.02</v>
      </c>
      <c r="EC394" s="2470">
        <f>SUMPRODUCT(V394:Y394,V393:Y393)/EC393</f>
        <v>0.13549656162770154</v>
      </c>
      <c r="ED394" s="1555">
        <v>0.111</v>
      </c>
      <c r="EE394" s="1555">
        <v>4.9000000000000002E-2</v>
      </c>
      <c r="EF394" s="2470">
        <f>SUMPRODUCT(AH394:AK394,AH393:AK393)/EF393</f>
        <v>1.9413664884963978E-2</v>
      </c>
      <c r="EG394" s="2470">
        <f>SUMPRODUCT(AL394:AO394,AL393:AO393)/EG393</f>
        <v>2.5348368720870013E-2</v>
      </c>
      <c r="EH394" s="2470">
        <f>SUMPRODUCT(AP394:AS394,AP393:AS393)/EH393</f>
        <v>7.7525984251968494E-2</v>
      </c>
      <c r="EI394" s="2470">
        <f>SUMPRODUCT(AT394:AW394,AT393:AW393)/EI393</f>
        <v>4.4389665258368537E-2</v>
      </c>
      <c r="EJ394" s="1555">
        <v>5.0999999999999997E-2</v>
      </c>
      <c r="EK394" s="1606">
        <v>4.1000000000000002E-2</v>
      </c>
      <c r="EL394" s="1606">
        <v>1.9E-2</v>
      </c>
      <c r="EM394" s="1606">
        <v>-1.2999999999999999E-2</v>
      </c>
      <c r="EN394" s="1606">
        <v>1.7000000000000001E-2</v>
      </c>
      <c r="EO394" s="1606">
        <v>-0.03</v>
      </c>
      <c r="EP394" s="1606">
        <f>EP111</f>
        <v>-2.5075394514202581E-2</v>
      </c>
      <c r="EQ394" s="1606">
        <v>-1.7000000000000001E-2</v>
      </c>
      <c r="ER394" s="1606">
        <v>-2.1000000000000001E-2</v>
      </c>
      <c r="ES394" s="1606">
        <v>-1.7000000000000001E-2</v>
      </c>
      <c r="ET394" s="1606">
        <v>-1.7000000000000001E-2</v>
      </c>
      <c r="EU394" s="1506">
        <f>EU140</f>
        <v>-3.4264322289397822E-3</v>
      </c>
      <c r="EV394" s="1506">
        <f>EV140</f>
        <v>8.6212085590945883E-3</v>
      </c>
      <c r="EW394" s="1506">
        <f>EW140</f>
        <v>6.0835629327071232E-3</v>
      </c>
      <c r="EX394" s="1506">
        <f>EX140</f>
        <v>2.9965187658916419E-3</v>
      </c>
      <c r="EY394" s="1506">
        <f>EY140</f>
        <v>5.6000000000000001E-2</v>
      </c>
      <c r="EZ394" s="1926">
        <f>EZ140</f>
        <v>1.0630606375747502E-2</v>
      </c>
      <c r="FA394" s="1506">
        <f>FA140</f>
        <v>1.0185936187522131E-2</v>
      </c>
      <c r="FB394" s="1506">
        <f>FB140</f>
        <v>1.0500646930568611E-2</v>
      </c>
      <c r="FC394" s="1506">
        <f>FC140</f>
        <v>1.0360827496940443E-2</v>
      </c>
      <c r="FD394" s="1506">
        <f>FD140</f>
        <v>1.5778306751168761E-2</v>
      </c>
      <c r="FE394" s="1506">
        <f>FE140</f>
        <v>1.6164607939728102E-2</v>
      </c>
      <c r="FF394" s="1506">
        <f>FF140</f>
        <v>1.6560723781934492E-2</v>
      </c>
      <c r="FG394" s="1506">
        <f>FG140</f>
        <v>1.6966614137626467E-2</v>
      </c>
      <c r="FH394" s="1506">
        <f>FH140</f>
        <v>1.7382216362661941E-2</v>
      </c>
      <c r="FI394" s="943"/>
      <c r="FP394" s="1474"/>
      <c r="FQ394" s="1388"/>
      <c r="FR394" s="1388"/>
      <c r="FS394" s="1506"/>
      <c r="FT394" s="1506"/>
      <c r="FU394" s="1388"/>
      <c r="FV394" s="1388"/>
      <c r="FW394" s="1506"/>
      <c r="FX394" s="1506"/>
      <c r="FY394" s="1506"/>
    </row>
    <row r="395" spans="1:260" ht="12.75" customHeight="1" outlineLevel="1" x14ac:dyDescent="0.2">
      <c r="A395" s="2345" t="s">
        <v>352</v>
      </c>
      <c r="B395" s="2345"/>
      <c r="C395" s="2345"/>
      <c r="D395" s="2345"/>
      <c r="E395" s="2346"/>
      <c r="F395" s="396"/>
      <c r="G395" s="396"/>
      <c r="H395" s="396"/>
      <c r="I395" s="408"/>
      <c r="J395" s="396"/>
      <c r="K395" s="396"/>
      <c r="L395" s="396"/>
      <c r="M395" s="408"/>
      <c r="N395" s="396"/>
      <c r="O395" s="396"/>
      <c r="P395" s="396"/>
      <c r="Q395" s="408"/>
      <c r="R395" s="396"/>
      <c r="S395" s="396"/>
      <c r="T395" s="396"/>
      <c r="U395" s="408"/>
      <c r="V395" s="396"/>
      <c r="W395" s="396"/>
      <c r="X395" s="396"/>
      <c r="Y395" s="408"/>
      <c r="Z395" s="396"/>
      <c r="AA395" s="396"/>
      <c r="AB395" s="396"/>
      <c r="AC395" s="408"/>
      <c r="AD395" s="396"/>
      <c r="AE395" s="396"/>
      <c r="AF395" s="396"/>
      <c r="AG395" s="408"/>
      <c r="AH395" s="396"/>
      <c r="AI395" s="396"/>
      <c r="AJ395" s="396"/>
      <c r="AK395" s="408"/>
      <c r="AL395" s="396"/>
      <c r="AM395" s="2351"/>
      <c r="AN395" s="2351"/>
      <c r="AO395" s="2352"/>
      <c r="AP395" s="2351"/>
      <c r="AQ395" s="2351"/>
      <c r="AR395" s="2351"/>
      <c r="AS395" s="2352"/>
      <c r="AT395" s="2351"/>
      <c r="AU395" s="2351"/>
      <c r="AV395" s="2351"/>
      <c r="AW395" s="2352"/>
      <c r="AX395" s="2351"/>
      <c r="AY395" s="2351"/>
      <c r="AZ395" s="2351"/>
      <c r="BA395" s="2352"/>
      <c r="BB395" s="2351"/>
      <c r="BC395" s="2351"/>
      <c r="BD395" s="2351"/>
      <c r="BE395" s="2352"/>
      <c r="BF395" s="2351"/>
      <c r="BG395" s="2351"/>
      <c r="BH395" s="2351"/>
      <c r="BI395" s="2352"/>
      <c r="BJ395" s="2351"/>
      <c r="BK395" s="2351"/>
      <c r="BL395" s="2351"/>
      <c r="BM395" s="2352"/>
      <c r="BN395" s="2351">
        <v>-170</v>
      </c>
      <c r="BO395" s="2351">
        <v>-86</v>
      </c>
      <c r="BP395" s="2351">
        <v>-73</v>
      </c>
      <c r="BQ395" s="2352">
        <f>EN395-SUM(BN395:BP395)</f>
        <v>370</v>
      </c>
      <c r="BR395" s="2351">
        <v>258</v>
      </c>
      <c r="BS395" s="2351">
        <v>6</v>
      </c>
      <c r="BT395" s="2351">
        <v>-43</v>
      </c>
      <c r="BU395" s="2352">
        <f>EO395-SUM(BR395:BT395)</f>
        <v>76</v>
      </c>
      <c r="BV395" s="2351">
        <v>130</v>
      </c>
      <c r="BW395" s="2351">
        <v>251</v>
      </c>
      <c r="BX395" s="2351">
        <v>110</v>
      </c>
      <c r="BY395" s="2352">
        <f>BY323</f>
        <v>-27.316752026463725</v>
      </c>
      <c r="BZ395" s="2351">
        <v>258</v>
      </c>
      <c r="CA395" s="2351">
        <v>6</v>
      </c>
      <c r="CB395" s="2351">
        <v>-43</v>
      </c>
      <c r="CC395" s="2352">
        <f>EQ395-SUM(BZ395:CB395)</f>
        <v>81</v>
      </c>
      <c r="CD395" s="2351">
        <v>130</v>
      </c>
      <c r="CE395" s="2351">
        <v>251</v>
      </c>
      <c r="CF395" s="2351">
        <v>110</v>
      </c>
      <c r="CG395" s="2352">
        <f>ER395-SUM(CD395:CF395)</f>
        <v>-35</v>
      </c>
      <c r="CH395" s="2351">
        <v>-22</v>
      </c>
      <c r="CI395" s="2351">
        <v>-48</v>
      </c>
      <c r="CJ395" s="2351">
        <v>-52</v>
      </c>
      <c r="CK395" s="2352">
        <f>ES395-SUM(CH395:CJ395)</f>
        <v>243</v>
      </c>
      <c r="CL395" s="2351">
        <v>-22</v>
      </c>
      <c r="CM395" s="2351">
        <v>-48</v>
      </c>
      <c r="CN395" s="2351">
        <v>-52</v>
      </c>
      <c r="CO395" s="2352">
        <f>ET395-SUM(CL395:CN395)</f>
        <v>243</v>
      </c>
      <c r="CP395" s="2351">
        <v>-48</v>
      </c>
      <c r="CQ395" s="2351">
        <v>-50</v>
      </c>
      <c r="CR395" s="2351">
        <v>-52</v>
      </c>
      <c r="CS395" s="2352">
        <f>CS323</f>
        <v>83.523946110471371</v>
      </c>
      <c r="CT395" s="2351">
        <f>CT323</f>
        <v>-2</v>
      </c>
      <c r="CU395" s="2351">
        <f>CU323</f>
        <v>-1</v>
      </c>
      <c r="CV395" s="2351">
        <f>CV323</f>
        <v>0</v>
      </c>
      <c r="CW395" s="2352">
        <f>CW323</f>
        <v>0</v>
      </c>
      <c r="CX395" s="2351">
        <f>CX323</f>
        <v>-1</v>
      </c>
      <c r="CY395" s="2351">
        <f>CY323</f>
        <v>-110.70696</v>
      </c>
      <c r="CZ395" s="2351">
        <f>CZ323</f>
        <v>-149.81976000000003</v>
      </c>
      <c r="DA395" s="2352">
        <f>DA323</f>
        <v>-223.8192</v>
      </c>
      <c r="DB395" s="2351">
        <f>DB323</f>
        <v>-116.52498</v>
      </c>
      <c r="DC395" s="2351">
        <f>DC323</f>
        <v>-114.4503</v>
      </c>
      <c r="DD395" s="2353">
        <f>DD323</f>
        <v>-141.10199999999998</v>
      </c>
      <c r="DE395" s="2352">
        <f>DE323</f>
        <v>0</v>
      </c>
      <c r="DF395" s="2353">
        <f>DF323</f>
        <v>-15</v>
      </c>
      <c r="DG395" s="2353">
        <f>DG323</f>
        <v>-15</v>
      </c>
      <c r="DH395" s="2353">
        <f>DH323</f>
        <v>0</v>
      </c>
      <c r="DI395" s="2352">
        <f>DI323</f>
        <v>0</v>
      </c>
      <c r="DJ395" s="2354">
        <f>DJ323</f>
        <v>0</v>
      </c>
      <c r="DK395" s="2353">
        <f>DK323</f>
        <v>0</v>
      </c>
      <c r="DL395" s="2353">
        <f>DL323</f>
        <v>0</v>
      </c>
      <c r="DM395" s="2352">
        <f>DM323</f>
        <v>0</v>
      </c>
      <c r="DN395" s="2355"/>
      <c r="DO395" s="2352"/>
      <c r="DP395" s="2324"/>
      <c r="DQ395" s="2324"/>
      <c r="DR395" s="2349"/>
      <c r="DS395" s="2349"/>
      <c r="DT395" s="2349"/>
      <c r="DU395" s="2350"/>
      <c r="DV395" s="2350"/>
      <c r="DW395" s="2350"/>
      <c r="DX395" s="2286"/>
      <c r="DY395" s="396"/>
      <c r="DZ395" s="396"/>
      <c r="EA395" s="396"/>
      <c r="EB395" s="396"/>
      <c r="EC395" s="1506"/>
      <c r="ED395" s="396"/>
      <c r="EE395" s="396"/>
      <c r="EF395" s="1506"/>
      <c r="EG395" s="2351"/>
      <c r="EH395" s="2351"/>
      <c r="EI395" s="2351"/>
      <c r="EJ395" s="2351"/>
      <c r="EK395" s="2351"/>
      <c r="EL395" s="2351">
        <v>561</v>
      </c>
      <c r="EM395" s="2351">
        <v>-276</v>
      </c>
      <c r="EN395" s="2351">
        <v>41</v>
      </c>
      <c r="EO395" s="2351">
        <v>297</v>
      </c>
      <c r="EP395" s="2351">
        <f>SUM(BV395:BY395)</f>
        <v>463.68324797353625</v>
      </c>
      <c r="EQ395" s="2351">
        <v>302</v>
      </c>
      <c r="ER395" s="2351">
        <v>456</v>
      </c>
      <c r="ES395" s="2351">
        <v>121</v>
      </c>
      <c r="ET395" s="2351">
        <v>121</v>
      </c>
      <c r="EU395" s="2351">
        <f>SUM(CP395:CS395)</f>
        <v>-66.476053889528629</v>
      </c>
      <c r="EV395" s="2351">
        <f>SUM(CT395:CW395)</f>
        <v>-3</v>
      </c>
      <c r="EW395" s="2351">
        <f>SUM(CX395:DA395)</f>
        <v>-485.34591999999998</v>
      </c>
      <c r="EX395" s="2351">
        <f>SUM(DB395:DE395)</f>
        <v>-372.07727999999997</v>
      </c>
      <c r="EY395" s="2351">
        <f>SUM(DF395:DI395)</f>
        <v>-30</v>
      </c>
      <c r="EZ395" s="2356">
        <f>SUM(DJ395:DM395)</f>
        <v>0</v>
      </c>
      <c r="FA395" s="2357">
        <f t="shared" ref="FA395:FH395" si="1475">EZ395</f>
        <v>0</v>
      </c>
      <c r="FB395" s="2357">
        <f t="shared" si="1475"/>
        <v>0</v>
      </c>
      <c r="FC395" s="2357">
        <f t="shared" si="1475"/>
        <v>0</v>
      </c>
      <c r="FD395" s="2357">
        <f t="shared" si="1475"/>
        <v>0</v>
      </c>
      <c r="FE395" s="2357">
        <f t="shared" si="1475"/>
        <v>0</v>
      </c>
      <c r="FF395" s="2357">
        <f t="shared" si="1475"/>
        <v>0</v>
      </c>
      <c r="FG395" s="2357">
        <f t="shared" si="1475"/>
        <v>0</v>
      </c>
      <c r="FH395" s="2357">
        <f t="shared" si="1475"/>
        <v>0</v>
      </c>
      <c r="FI395" s="2358"/>
      <c r="FP395" s="1474"/>
      <c r="FQ395" s="1388"/>
      <c r="FR395" s="1388"/>
      <c r="FS395" s="2353"/>
      <c r="FT395" s="2353"/>
      <c r="FU395" s="1388"/>
      <c r="FV395" s="1388"/>
      <c r="FW395" s="2353"/>
      <c r="FX395" s="2650"/>
      <c r="FY395" s="2650"/>
    </row>
    <row r="396" spans="1:260" ht="12.75" customHeight="1" outlineLevel="1" x14ac:dyDescent="0.2">
      <c r="A396" s="2345" t="s">
        <v>351</v>
      </c>
      <c r="B396" s="2345"/>
      <c r="C396" s="2345"/>
      <c r="D396" s="2345"/>
      <c r="E396" s="2346"/>
      <c r="F396" s="2265"/>
      <c r="G396" s="396"/>
      <c r="H396" s="396"/>
      <c r="I396" s="408"/>
      <c r="J396" s="396"/>
      <c r="K396" s="396"/>
      <c r="L396" s="396"/>
      <c r="M396" s="408"/>
      <c r="N396" s="396"/>
      <c r="O396" s="396"/>
      <c r="P396" s="396"/>
      <c r="Q396" s="408"/>
      <c r="R396" s="396"/>
      <c r="S396" s="396"/>
      <c r="T396" s="396"/>
      <c r="U396" s="408"/>
      <c r="V396" s="396"/>
      <c r="W396" s="396"/>
      <c r="X396" s="396"/>
      <c r="Y396" s="408"/>
      <c r="Z396" s="396"/>
      <c r="AA396" s="396"/>
      <c r="AB396" s="396"/>
      <c r="AC396" s="408"/>
      <c r="AD396" s="396"/>
      <c r="AE396" s="396"/>
      <c r="AF396" s="396"/>
      <c r="AG396" s="408"/>
      <c r="AH396" s="396"/>
      <c r="AI396" s="396"/>
      <c r="AJ396" s="396"/>
      <c r="AK396" s="408"/>
      <c r="AL396" s="396"/>
      <c r="AM396" s="2353"/>
      <c r="AN396" s="2353"/>
      <c r="AO396" s="2352"/>
      <c r="AP396" s="2353"/>
      <c r="AQ396" s="2353"/>
      <c r="AR396" s="2353"/>
      <c r="AS396" s="2352"/>
      <c r="AT396" s="2353"/>
      <c r="AU396" s="2353"/>
      <c r="AV396" s="2353"/>
      <c r="AW396" s="2352"/>
      <c r="AX396" s="2353"/>
      <c r="AY396" s="2353"/>
      <c r="AZ396" s="2353"/>
      <c r="BA396" s="2352"/>
      <c r="BB396" s="2353"/>
      <c r="BC396" s="2353"/>
      <c r="BD396" s="2353"/>
      <c r="BE396" s="2352"/>
      <c r="BF396" s="2353"/>
      <c r="BG396" s="2353"/>
      <c r="BH396" s="2353"/>
      <c r="BI396" s="2352"/>
      <c r="BJ396" s="2353"/>
      <c r="BK396" s="2353"/>
      <c r="BL396" s="2353"/>
      <c r="BM396" s="2352"/>
      <c r="BN396" s="2353">
        <f t="shared" ref="BN396:CW396" si="1476">BN398-BN395</f>
        <v>2740</v>
      </c>
      <c r="BO396" s="2353">
        <f t="shared" si="1476"/>
        <v>2834</v>
      </c>
      <c r="BP396" s="2353">
        <f t="shared" si="1476"/>
        <v>3166</v>
      </c>
      <c r="BQ396" s="2352">
        <f t="shared" si="1476"/>
        <v>3599</v>
      </c>
      <c r="BR396" s="2353">
        <f t="shared" si="1476"/>
        <v>2606</v>
      </c>
      <c r="BS396" s="2353">
        <f t="shared" si="1476"/>
        <v>2897</v>
      </c>
      <c r="BT396" s="2353">
        <f t="shared" si="1476"/>
        <v>3223</v>
      </c>
      <c r="BU396" s="2352">
        <f t="shared" si="1476"/>
        <v>4063</v>
      </c>
      <c r="BV396" s="2353">
        <f t="shared" si="1476"/>
        <v>2951</v>
      </c>
      <c r="BW396" s="2353">
        <f t="shared" si="1476"/>
        <v>2785</v>
      </c>
      <c r="BX396" s="2353">
        <f t="shared" si="1476"/>
        <v>3104</v>
      </c>
      <c r="BY396" s="2352">
        <f t="shared" si="1476"/>
        <v>4057.3167520264637</v>
      </c>
      <c r="BZ396" s="2353">
        <f t="shared" si="1476"/>
        <v>2553</v>
      </c>
      <c r="CA396" s="2353">
        <f t="shared" si="1476"/>
        <v>2711</v>
      </c>
      <c r="CB396" s="2353">
        <f t="shared" si="1476"/>
        <v>3086</v>
      </c>
      <c r="CC396" s="2352">
        <f t="shared" si="1476"/>
        <v>4005</v>
      </c>
      <c r="CD396" s="2353">
        <f t="shared" si="1476"/>
        <v>2847</v>
      </c>
      <c r="CE396" s="2353">
        <f t="shared" si="1476"/>
        <v>2628</v>
      </c>
      <c r="CF396" s="2353">
        <f t="shared" si="1476"/>
        <v>2980</v>
      </c>
      <c r="CG396" s="2352">
        <f t="shared" si="1476"/>
        <v>4123</v>
      </c>
      <c r="CH396" s="2353">
        <f t="shared" si="1476"/>
        <v>2810</v>
      </c>
      <c r="CI396" s="2353">
        <f t="shared" si="1476"/>
        <v>2792</v>
      </c>
      <c r="CJ396" s="2353">
        <f t="shared" si="1476"/>
        <v>3132</v>
      </c>
      <c r="CK396" s="2352">
        <f t="shared" si="1476"/>
        <v>3918</v>
      </c>
      <c r="CL396" s="2353">
        <f t="shared" si="1476"/>
        <v>1573</v>
      </c>
      <c r="CM396" s="2353">
        <f t="shared" si="1476"/>
        <v>1584</v>
      </c>
      <c r="CN396" s="2353">
        <f t="shared" si="1476"/>
        <v>1760</v>
      </c>
      <c r="CO396" s="2352">
        <f t="shared" si="1476"/>
        <v>2159</v>
      </c>
      <c r="CP396" s="2353">
        <f t="shared" si="1476"/>
        <v>1030</v>
      </c>
      <c r="CQ396" s="2353">
        <f t="shared" si="1476"/>
        <v>1009</v>
      </c>
      <c r="CR396" s="2353">
        <f t="shared" si="1476"/>
        <v>1164</v>
      </c>
      <c r="CS396" s="2352">
        <f t="shared" si="1476"/>
        <v>1643.4760538895287</v>
      </c>
      <c r="CT396" s="2353">
        <f t="shared" si="1476"/>
        <v>860</v>
      </c>
      <c r="CU396" s="2353">
        <f t="shared" si="1476"/>
        <v>875</v>
      </c>
      <c r="CV396" s="2353">
        <f t="shared" si="1476"/>
        <v>1040</v>
      </c>
      <c r="CW396" s="2352">
        <f t="shared" si="1476"/>
        <v>1512</v>
      </c>
      <c r="CX396" s="2353">
        <f t="shared" ref="CX396:DE396" si="1477">CX398-CX395</f>
        <v>669</v>
      </c>
      <c r="CY396" s="2353">
        <f t="shared" si="1477"/>
        <v>760.70695999999998</v>
      </c>
      <c r="CZ396" s="2353">
        <f t="shared" si="1477"/>
        <v>878.81976000000009</v>
      </c>
      <c r="DA396" s="2352">
        <f>DA398-DA395</f>
        <v>1339.8191999999999</v>
      </c>
      <c r="DB396" s="2353">
        <f>DB398-DB395</f>
        <v>730.52498000000003</v>
      </c>
      <c r="DC396" s="2353">
        <f t="shared" si="1477"/>
        <v>758.45029999999997</v>
      </c>
      <c r="DD396" s="2353">
        <f t="shared" si="1477"/>
        <v>894.10199999999998</v>
      </c>
      <c r="DE396" s="2352">
        <f t="shared" si="1477"/>
        <v>1144</v>
      </c>
      <c r="DF396" s="2353">
        <f t="shared" ref="DF396:DM396" si="1478">DF398-DF395</f>
        <v>631</v>
      </c>
      <c r="DG396" s="2353">
        <f t="shared" si="1478"/>
        <v>683</v>
      </c>
      <c r="DH396" s="2353">
        <f t="shared" si="1478"/>
        <v>829</v>
      </c>
      <c r="DI396" s="2352">
        <f t="shared" si="1478"/>
        <v>1376</v>
      </c>
      <c r="DJ396" s="2354">
        <f t="shared" si="1478"/>
        <v>627.15219512195131</v>
      </c>
      <c r="DK396" s="2353">
        <f t="shared" si="1478"/>
        <v>669.29397350993372</v>
      </c>
      <c r="DL396" s="2353">
        <f t="shared" si="1478"/>
        <v>837.29</v>
      </c>
      <c r="DM396" s="2352">
        <f t="shared" si="1478"/>
        <v>1410.4</v>
      </c>
      <c r="DN396" s="2359"/>
      <c r="DO396" s="2360"/>
      <c r="DP396" s="2361"/>
      <c r="DQ396" s="2361"/>
      <c r="DR396" s="2362"/>
      <c r="DS396" s="2362"/>
      <c r="DT396" s="2362"/>
      <c r="DU396" s="2363"/>
      <c r="DV396" s="2363"/>
      <c r="DW396" s="2363"/>
      <c r="DX396" s="2364"/>
      <c r="DY396" s="2365"/>
      <c r="DZ396" s="2365"/>
      <c r="EA396" s="2365"/>
      <c r="EB396" s="2365"/>
      <c r="EC396" s="2366"/>
      <c r="ED396" s="2365"/>
      <c r="EE396" s="2365"/>
      <c r="EF396" s="2366"/>
      <c r="EG396" s="2367"/>
      <c r="EH396" s="2367"/>
      <c r="EI396" s="2367"/>
      <c r="EJ396" s="2367"/>
      <c r="EK396" s="2367"/>
      <c r="EL396" s="2367">
        <f t="shared" ref="EL396:FC396" si="1479">EL398-EL395</f>
        <v>6134</v>
      </c>
      <c r="EM396" s="2367">
        <f t="shared" si="1479"/>
        <v>10221</v>
      </c>
      <c r="EN396" s="2367">
        <f t="shared" si="1479"/>
        <v>12339</v>
      </c>
      <c r="EO396" s="2367">
        <f t="shared" si="1479"/>
        <v>12789</v>
      </c>
      <c r="EP396" s="2367">
        <f t="shared" si="1479"/>
        <v>12897.316752026463</v>
      </c>
      <c r="EQ396" s="2367">
        <f t="shared" si="1479"/>
        <v>12355</v>
      </c>
      <c r="ER396" s="2353">
        <f t="shared" si="1479"/>
        <v>12578</v>
      </c>
      <c r="ES396" s="2353">
        <f t="shared" si="1479"/>
        <v>12652</v>
      </c>
      <c r="ET396" s="2353">
        <f t="shared" si="1479"/>
        <v>7076</v>
      </c>
      <c r="EU396" s="2353">
        <f t="shared" si="1479"/>
        <v>4846.4760538895289</v>
      </c>
      <c r="EV396" s="2353">
        <f t="shared" si="1479"/>
        <v>4287</v>
      </c>
      <c r="EW396" s="2353">
        <f>EW398-EW395</f>
        <v>3648.3459199999998</v>
      </c>
      <c r="EX396" s="2353">
        <f>EX398-EX395</f>
        <v>3527.07728</v>
      </c>
      <c r="EY396" s="2353">
        <f>EY398-EY395</f>
        <v>3519</v>
      </c>
      <c r="EZ396" s="2354">
        <f>EZ398-EZ395</f>
        <v>3544.1361686318851</v>
      </c>
      <c r="FA396" s="2357">
        <f t="shared" si="1479"/>
        <v>3578.8942223962649</v>
      </c>
      <c r="FB396" s="2357">
        <f t="shared" si="1479"/>
        <v>3617.5127656388509</v>
      </c>
      <c r="FC396" s="2367">
        <f t="shared" si="1479"/>
        <v>3624.5176298222304</v>
      </c>
      <c r="FD396" s="2367">
        <f>FD398-FD395</f>
        <v>3631.5036403727427</v>
      </c>
      <c r="FE396" s="2367">
        <f>FE398-FE395</f>
        <v>3638.4709344851121</v>
      </c>
      <c r="FF396" s="2367">
        <f>FF398-FF395</f>
        <v>3645.4196477323953</v>
      </c>
      <c r="FG396" s="2367">
        <f>FG398-FG395</f>
        <v>3652.3499140924496</v>
      </c>
      <c r="FH396" s="2367">
        <f>FH398-FH395</f>
        <v>3659.2618659738537</v>
      </c>
      <c r="FI396" s="2368"/>
      <c r="FP396" s="1474"/>
      <c r="FQ396" s="1388"/>
      <c r="FR396" s="1388"/>
      <c r="FS396" s="2353"/>
      <c r="FT396" s="2353"/>
      <c r="FU396" s="1388"/>
      <c r="FV396" s="1388"/>
      <c r="FW396" s="2353"/>
      <c r="FX396" s="2353"/>
      <c r="FY396" s="2353"/>
    </row>
    <row r="397" spans="1:260" ht="12.75" customHeight="1" outlineLevel="1" x14ac:dyDescent="0.2">
      <c r="A397" s="2345"/>
      <c r="B397" s="2345"/>
      <c r="C397" s="2345"/>
      <c r="D397" s="2345"/>
      <c r="E397" s="2346"/>
      <c r="F397" s="396"/>
      <c r="G397" s="396"/>
      <c r="H397" s="396"/>
      <c r="I397" s="408"/>
      <c r="J397" s="396"/>
      <c r="K397" s="396"/>
      <c r="L397" s="396"/>
      <c r="M397" s="408"/>
      <c r="N397" s="396"/>
      <c r="O397" s="396"/>
      <c r="P397" s="396"/>
      <c r="Q397" s="408"/>
      <c r="R397" s="396"/>
      <c r="S397" s="396"/>
      <c r="T397" s="396"/>
      <c r="U397" s="408"/>
      <c r="V397" s="396"/>
      <c r="W397" s="396"/>
      <c r="X397" s="396"/>
      <c r="Y397" s="408"/>
      <c r="Z397" s="396"/>
      <c r="AA397" s="396"/>
      <c r="AB397" s="396"/>
      <c r="AC397" s="408"/>
      <c r="AD397" s="396"/>
      <c r="AE397" s="396"/>
      <c r="AF397" s="396"/>
      <c r="AG397" s="408"/>
      <c r="AH397" s="396"/>
      <c r="AI397" s="396"/>
      <c r="AJ397" s="396"/>
      <c r="AK397" s="408"/>
      <c r="AL397" s="396"/>
      <c r="AM397" s="2353"/>
      <c r="AN397" s="2353"/>
      <c r="AO397" s="2352"/>
      <c r="AP397" s="2353"/>
      <c r="AQ397" s="2353"/>
      <c r="AR397" s="2353"/>
      <c r="AS397" s="2352"/>
      <c r="AT397" s="2353"/>
      <c r="AU397" s="2353"/>
      <c r="AV397" s="2353"/>
      <c r="AW397" s="2352"/>
      <c r="AX397" s="2353"/>
      <c r="AY397" s="2353"/>
      <c r="AZ397" s="2353"/>
      <c r="BA397" s="2352"/>
      <c r="BB397" s="2353"/>
      <c r="BC397" s="2353"/>
      <c r="BD397" s="2353"/>
      <c r="BE397" s="2352"/>
      <c r="BF397" s="2353"/>
      <c r="BG397" s="2353"/>
      <c r="BH397" s="2353"/>
      <c r="BI397" s="2352"/>
      <c r="BJ397" s="2353"/>
      <c r="BK397" s="2353"/>
      <c r="BL397" s="2353"/>
      <c r="BM397" s="2352"/>
      <c r="BN397" s="2353"/>
      <c r="BO397" s="2353"/>
      <c r="BP397" s="2353"/>
      <c r="BQ397" s="2352"/>
      <c r="BR397" s="2353"/>
      <c r="BS397" s="2353"/>
      <c r="BT397" s="2353"/>
      <c r="BU397" s="2352"/>
      <c r="BV397" s="2353"/>
      <c r="BW397" s="2353"/>
      <c r="BX397" s="2353"/>
      <c r="BY397" s="2352"/>
      <c r="BZ397" s="2353"/>
      <c r="CA397" s="2353"/>
      <c r="CB397" s="2353"/>
      <c r="CC397" s="2352"/>
      <c r="CD397" s="2353"/>
      <c r="CE397" s="2353"/>
      <c r="CF397" s="2353"/>
      <c r="CG397" s="2352"/>
      <c r="CH397" s="2353"/>
      <c r="CI397" s="2353"/>
      <c r="CJ397" s="2353"/>
      <c r="CK397" s="2352"/>
      <c r="CL397" s="2353"/>
      <c r="CM397" s="2353"/>
      <c r="CN397" s="2353"/>
      <c r="CO397" s="2352"/>
      <c r="CP397" s="2353"/>
      <c r="CQ397" s="2353"/>
      <c r="CR397" s="2353"/>
      <c r="CS397" s="2352"/>
      <c r="CT397" s="2353"/>
      <c r="CU397" s="2353"/>
      <c r="CV397" s="2353"/>
      <c r="CW397" s="2352"/>
      <c r="CX397" s="2353"/>
      <c r="CY397" s="2353"/>
      <c r="CZ397" s="2353"/>
      <c r="DA397" s="2352"/>
      <c r="DB397" s="2353"/>
      <c r="DC397" s="2353"/>
      <c r="DD397" s="2353"/>
      <c r="DE397" s="2352"/>
      <c r="DF397" s="2353"/>
      <c r="DG397" s="2353"/>
      <c r="DH397" s="2353"/>
      <c r="DI397" s="2352"/>
      <c r="DJ397" s="2354"/>
      <c r="DK397" s="2353"/>
      <c r="DL397" s="2353"/>
      <c r="DM397" s="2352"/>
      <c r="DN397" s="2359"/>
      <c r="DO397" s="2360"/>
      <c r="DP397" s="2369"/>
      <c r="DQ397" s="2369"/>
      <c r="DR397" s="2370"/>
      <c r="DS397" s="2370"/>
      <c r="DT397" s="2370"/>
      <c r="DU397" s="2371"/>
      <c r="DV397" s="2371"/>
      <c r="DW397" s="2371"/>
      <c r="DX397" s="2372"/>
      <c r="DY397" s="396"/>
      <c r="DZ397" s="396"/>
      <c r="EA397" s="396"/>
      <c r="EB397" s="396"/>
      <c r="EC397" s="1506"/>
      <c r="ED397" s="396"/>
      <c r="EE397" s="396"/>
      <c r="EF397" s="1506"/>
      <c r="EG397" s="2353"/>
      <c r="EH397" s="2353"/>
      <c r="EI397" s="2353"/>
      <c r="EJ397" s="2353"/>
      <c r="EK397" s="2353"/>
      <c r="EL397" s="2353"/>
      <c r="EM397" s="2353"/>
      <c r="EN397" s="2353"/>
      <c r="EO397" s="2353"/>
      <c r="EP397" s="2353"/>
      <c r="EQ397" s="2353"/>
      <c r="ER397" s="2353"/>
      <c r="ES397" s="2353"/>
      <c r="ET397" s="2353"/>
      <c r="EU397" s="2353"/>
      <c r="EV397" s="2353"/>
      <c r="EW397" s="2353"/>
      <c r="EX397" s="2353"/>
      <c r="EY397" s="2353"/>
      <c r="EZ397" s="2354"/>
      <c r="FA397" s="2353"/>
      <c r="FB397" s="2353"/>
      <c r="FC397" s="2353"/>
      <c r="FD397" s="2353"/>
      <c r="FE397" s="2353"/>
      <c r="FF397" s="2353"/>
      <c r="FG397" s="2353"/>
      <c r="FH397" s="2353"/>
      <c r="FI397" s="2368"/>
      <c r="FP397" s="1474"/>
      <c r="FQ397" s="1388"/>
      <c r="FR397" s="1388"/>
      <c r="FS397" s="2353"/>
      <c r="FT397" s="2353"/>
      <c r="FU397" s="1388"/>
      <c r="FV397" s="1388"/>
      <c r="FW397" s="2353"/>
      <c r="FX397" s="2353"/>
      <c r="FY397" s="2353"/>
    </row>
    <row r="398" spans="1:260" s="269" customFormat="1" ht="12.75" customHeight="1" x14ac:dyDescent="0.2">
      <c r="A398" s="122" t="s">
        <v>27</v>
      </c>
      <c r="B398" s="122"/>
      <c r="C398" s="122"/>
      <c r="D398" s="122"/>
      <c r="E398" s="474"/>
      <c r="F398" s="1038"/>
      <c r="G398" s="1038"/>
      <c r="H398" s="1038"/>
      <c r="I398" s="2373"/>
      <c r="J398" s="1038"/>
      <c r="K398" s="1038"/>
      <c r="L398" s="1038"/>
      <c r="M398" s="2373"/>
      <c r="N398" s="1038"/>
      <c r="O398" s="1038"/>
      <c r="P398" s="1038"/>
      <c r="Q398" s="2373"/>
      <c r="R398" s="1038"/>
      <c r="S398" s="1038"/>
      <c r="T398" s="1038"/>
      <c r="U398" s="2373"/>
      <c r="V398" s="1038"/>
      <c r="W398" s="1038"/>
      <c r="X398" s="1038"/>
      <c r="Y398" s="2373"/>
      <c r="Z398" s="1038"/>
      <c r="AA398" s="1038"/>
      <c r="AB398" s="1038"/>
      <c r="AC398" s="2373"/>
      <c r="AD398" s="1038"/>
      <c r="AE398" s="1038"/>
      <c r="AF398" s="1038"/>
      <c r="AG398" s="2373"/>
      <c r="AH398" s="2336">
        <v>264.22500000000002</v>
      </c>
      <c r="AI398" s="2336">
        <v>301.57600000000002</v>
      </c>
      <c r="AJ398" s="2336">
        <v>352.70499999999998</v>
      </c>
      <c r="AK398" s="766">
        <v>473</v>
      </c>
      <c r="AL398" s="2336">
        <v>303</v>
      </c>
      <c r="AM398" s="2336">
        <v>334</v>
      </c>
      <c r="AN398" s="2336">
        <v>421</v>
      </c>
      <c r="AO398" s="766">
        <v>578</v>
      </c>
      <c r="AP398" s="2336">
        <v>388</v>
      </c>
      <c r="AQ398" s="2336">
        <v>486</v>
      </c>
      <c r="AR398" s="2336">
        <v>602</v>
      </c>
      <c r="AS398" s="766">
        <v>844</v>
      </c>
      <c r="AT398" s="2336">
        <v>499</v>
      </c>
      <c r="AU398" s="2336">
        <v>574</v>
      </c>
      <c r="AV398" s="2336">
        <v>728</v>
      </c>
      <c r="AW398" s="766">
        <v>1015</v>
      </c>
      <c r="AX398" s="2336">
        <v>626</v>
      </c>
      <c r="AY398" s="2336">
        <v>705</v>
      </c>
      <c r="AZ398" s="2336">
        <v>869</v>
      </c>
      <c r="BA398" s="766">
        <v>1268</v>
      </c>
      <c r="BB398" s="2336">
        <v>797</v>
      </c>
      <c r="BC398" s="2336">
        <v>982</v>
      </c>
      <c r="BD398" s="2336">
        <v>1309</v>
      </c>
      <c r="BE398" s="766">
        <v>1815</v>
      </c>
      <c r="BF398" s="2336">
        <v>1223</v>
      </c>
      <c r="BG398" s="2336">
        <v>1516</v>
      </c>
      <c r="BH398" s="2336">
        <v>1722</v>
      </c>
      <c r="BI398" s="766">
        <v>2234</v>
      </c>
      <c r="BJ398" s="2336">
        <v>1537</v>
      </c>
      <c r="BK398" s="2336">
        <v>1668</v>
      </c>
      <c r="BL398" s="2336">
        <v>3304</v>
      </c>
      <c r="BM398" s="766">
        <v>3436</v>
      </c>
      <c r="BN398" s="2336">
        <v>2570</v>
      </c>
      <c r="BO398" s="2336">
        <v>2748</v>
      </c>
      <c r="BP398" s="2336">
        <v>3093</v>
      </c>
      <c r="BQ398" s="766">
        <v>3969</v>
      </c>
      <c r="BR398" s="2336">
        <v>2864</v>
      </c>
      <c r="BS398" s="2336">
        <v>2903</v>
      </c>
      <c r="BT398" s="2336">
        <v>3180</v>
      </c>
      <c r="BU398" s="766">
        <v>4139</v>
      </c>
      <c r="BV398" s="2336">
        <v>3081</v>
      </c>
      <c r="BW398" s="2336">
        <v>3036</v>
      </c>
      <c r="BX398" s="2336">
        <v>3214</v>
      </c>
      <c r="BY398" s="766">
        <v>4030</v>
      </c>
      <c r="BZ398" s="2336">
        <v>2811</v>
      </c>
      <c r="CA398" s="2336">
        <v>2717</v>
      </c>
      <c r="CB398" s="2336">
        <v>3043</v>
      </c>
      <c r="CC398" s="766">
        <v>4086</v>
      </c>
      <c r="CD398" s="2336">
        <v>2977</v>
      </c>
      <c r="CE398" s="2336">
        <v>2879</v>
      </c>
      <c r="CF398" s="2336">
        <v>3090</v>
      </c>
      <c r="CG398" s="766">
        <v>4088</v>
      </c>
      <c r="CH398" s="2336">
        <v>2788</v>
      </c>
      <c r="CI398" s="2336">
        <v>2744</v>
      </c>
      <c r="CJ398" s="2336">
        <v>3080</v>
      </c>
      <c r="CK398" s="766">
        <v>4161</v>
      </c>
      <c r="CL398" s="2336">
        <v>1551</v>
      </c>
      <c r="CM398" s="2336">
        <v>1536</v>
      </c>
      <c r="CN398" s="2336">
        <v>1708</v>
      </c>
      <c r="CO398" s="766">
        <v>2402</v>
      </c>
      <c r="CP398" s="2336">
        <f>1401-419</f>
        <v>982</v>
      </c>
      <c r="CQ398" s="2336">
        <f>1491-532</f>
        <v>959</v>
      </c>
      <c r="CR398" s="2336">
        <f>1515-403</f>
        <v>1112</v>
      </c>
      <c r="CS398" s="766">
        <f>2172-445</f>
        <v>1727</v>
      </c>
      <c r="CT398" s="2336">
        <f>1254-396</f>
        <v>858</v>
      </c>
      <c r="CU398" s="2336">
        <f>1311-437</f>
        <v>874</v>
      </c>
      <c r="CV398" s="2336">
        <f>1388-348</f>
        <v>1040</v>
      </c>
      <c r="CW398" s="766">
        <v>1512</v>
      </c>
      <c r="CX398" s="2337">
        <v>668</v>
      </c>
      <c r="CY398" s="2337">
        <v>650</v>
      </c>
      <c r="CZ398" s="2337">
        <v>729</v>
      </c>
      <c r="DA398" s="2338">
        <v>1116</v>
      </c>
      <c r="DB398" s="2337">
        <v>614</v>
      </c>
      <c r="DC398" s="2337">
        <v>644</v>
      </c>
      <c r="DD398" s="2339">
        <v>753</v>
      </c>
      <c r="DE398" s="2338">
        <v>1144</v>
      </c>
      <c r="DF398" s="2483">
        <v>616</v>
      </c>
      <c r="DG398" s="2483">
        <v>668</v>
      </c>
      <c r="DH398" s="2483">
        <v>829</v>
      </c>
      <c r="DI398" s="2338">
        <v>1376</v>
      </c>
      <c r="DJ398" s="1736">
        <f>DJ325</f>
        <v>627.15219512195131</v>
      </c>
      <c r="DK398" s="198">
        <f>DK325</f>
        <v>669.29397350993372</v>
      </c>
      <c r="DL398" s="198">
        <f>DL325</f>
        <v>837.29</v>
      </c>
      <c r="DM398" s="766">
        <f>DM325</f>
        <v>1410.4</v>
      </c>
      <c r="DN398" s="2340"/>
      <c r="DO398" s="766"/>
      <c r="DP398" s="158"/>
      <c r="DQ398" s="158"/>
      <c r="DR398" s="1038"/>
      <c r="DS398" s="1038"/>
      <c r="DT398" s="1038"/>
      <c r="DU398" s="2374">
        <v>0</v>
      </c>
      <c r="DV398" s="2374">
        <v>0</v>
      </c>
      <c r="DW398" s="2374">
        <v>0</v>
      </c>
      <c r="DX398" s="26"/>
      <c r="DY398" s="1038"/>
      <c r="DZ398" s="1038"/>
      <c r="EA398" s="1038"/>
      <c r="EB398" s="1038"/>
      <c r="EC398" s="1038"/>
      <c r="ED398" s="1038"/>
      <c r="EE398" s="1038"/>
      <c r="EF398" s="198">
        <f>SUM(AH398:AK398)</f>
        <v>1391.5060000000001</v>
      </c>
      <c r="EG398" s="198">
        <f>SUM(AL398:AO398)</f>
        <v>1636</v>
      </c>
      <c r="EH398" s="198">
        <f>SUM(AP398:AS398)</f>
        <v>2320</v>
      </c>
      <c r="EI398" s="198">
        <f>SUM(AT398:AW398)</f>
        <v>2816</v>
      </c>
      <c r="EJ398" s="198">
        <f>SUM(AX398:BA398)</f>
        <v>3468</v>
      </c>
      <c r="EK398" s="198">
        <f>SUM(BB398:BE398)</f>
        <v>4903</v>
      </c>
      <c r="EL398" s="198">
        <f>SUM(BF398:BI398)</f>
        <v>6695</v>
      </c>
      <c r="EM398" s="198">
        <f>SUM(BJ398:BM398)</f>
        <v>9945</v>
      </c>
      <c r="EN398" s="198">
        <f>SUM(BN398:BQ398)</f>
        <v>12380</v>
      </c>
      <c r="EO398" s="198">
        <f>SUM(BR398:BU398)</f>
        <v>13086</v>
      </c>
      <c r="EP398" s="198">
        <f>SUM(BV398:BY398)</f>
        <v>13361</v>
      </c>
      <c r="EQ398" s="198">
        <f>SUM(BZ398:CC398)</f>
        <v>12657</v>
      </c>
      <c r="ER398" s="198">
        <f>SUM(CD398:CG398)</f>
        <v>13034</v>
      </c>
      <c r="ES398" s="198">
        <f>SUM(CH398:CK398)</f>
        <v>12773</v>
      </c>
      <c r="ET398" s="198">
        <f>SUM(CL398:CO398)</f>
        <v>7197</v>
      </c>
      <c r="EU398" s="198">
        <f>SUM(CP398:CS398)</f>
        <v>4780</v>
      </c>
      <c r="EV398" s="198">
        <f>SUM(CT398:CW398)</f>
        <v>4284</v>
      </c>
      <c r="EW398" s="198">
        <f>SUM(CX398:DA398)</f>
        <v>3163</v>
      </c>
      <c r="EX398" s="198">
        <f>SUM(DB398:DE398)</f>
        <v>3155</v>
      </c>
      <c r="EY398" s="198">
        <f>SUM(DF398:DI398)</f>
        <v>3489</v>
      </c>
      <c r="EZ398" s="1736">
        <f>SUM(DJ398:DM398)</f>
        <v>3544.1361686318851</v>
      </c>
      <c r="FA398" s="198">
        <f>FA325</f>
        <v>3578.8942223962649</v>
      </c>
      <c r="FB398" s="198">
        <f>FB325</f>
        <v>3617.5127656388509</v>
      </c>
      <c r="FC398" s="198">
        <f>FC325</f>
        <v>3624.5176298222304</v>
      </c>
      <c r="FD398" s="198">
        <f>FD325</f>
        <v>3631.5036403727427</v>
      </c>
      <c r="FE398" s="198">
        <f>FE325</f>
        <v>3638.4709344851121</v>
      </c>
      <c r="FF398" s="198">
        <f>FF325</f>
        <v>3645.4196477323953</v>
      </c>
      <c r="FG398" s="198">
        <f>FG325</f>
        <v>3652.3499140924496</v>
      </c>
      <c r="FH398" s="198">
        <f>FH325</f>
        <v>3659.2618659738537</v>
      </c>
      <c r="FI398" s="2344"/>
      <c r="FJ398"/>
      <c r="FK398"/>
      <c r="FL398"/>
      <c r="FM398"/>
      <c r="FN398"/>
      <c r="FO398"/>
      <c r="FP398" s="53"/>
      <c r="FQ398" s="88"/>
      <c r="FR398" s="88"/>
      <c r="FS398" s="290"/>
      <c r="FT398" s="290"/>
      <c r="FU398" s="1388"/>
      <c r="FV398" s="1388"/>
      <c r="FW398" s="198"/>
      <c r="FX398" s="198"/>
      <c r="FY398" s="198"/>
      <c r="FZ398" s="99"/>
      <c r="GA398" s="99"/>
      <c r="GB398" s="99"/>
      <c r="GC398" s="99"/>
      <c r="GD398" s="99"/>
      <c r="GE398" s="99"/>
      <c r="GF398" s="99"/>
      <c r="GG398" s="99"/>
      <c r="GH398" s="99"/>
      <c r="GI398" s="99"/>
      <c r="GJ398" s="99"/>
      <c r="GK398" s="99"/>
      <c r="GL398" s="99"/>
      <c r="GM398" s="99"/>
      <c r="GN398" s="99"/>
      <c r="GO398" s="99"/>
      <c r="GP398" s="99"/>
      <c r="GQ398" s="99"/>
      <c r="GR398" s="99"/>
      <c r="GS398" s="99"/>
      <c r="GT398" s="99"/>
      <c r="GU398" s="99"/>
      <c r="GV398" s="99"/>
      <c r="GW398" s="99"/>
      <c r="GX398" s="99"/>
      <c r="GY398" s="99"/>
      <c r="GZ398" s="99"/>
      <c r="HA398" s="99"/>
      <c r="HB398" s="99"/>
      <c r="HC398" s="99"/>
      <c r="HD398" s="99"/>
      <c r="HE398" s="99"/>
      <c r="HF398" s="99"/>
      <c r="HG398" s="99"/>
      <c r="HH398" s="99"/>
      <c r="HI398" s="99"/>
      <c r="HJ398" s="99"/>
      <c r="HK398" s="99"/>
      <c r="HL398" s="99"/>
      <c r="HM398" s="99"/>
      <c r="HN398" s="99"/>
      <c r="HO398" s="99"/>
      <c r="HP398" s="99"/>
      <c r="HQ398" s="99"/>
      <c r="HR398" s="99"/>
      <c r="HS398" s="99"/>
      <c r="HT398" s="99"/>
      <c r="HU398" s="99"/>
      <c r="HV398" s="99"/>
      <c r="HW398" s="99"/>
      <c r="HX398" s="99"/>
      <c r="HY398" s="99"/>
      <c r="HZ398" s="99"/>
      <c r="IA398" s="99"/>
      <c r="IB398" s="99"/>
      <c r="IC398" s="99"/>
      <c r="ID398" s="99"/>
      <c r="IE398" s="99"/>
      <c r="IF398" s="99"/>
      <c r="IG398" s="99"/>
      <c r="IH398" s="99"/>
      <c r="II398" s="99"/>
      <c r="IJ398" s="99"/>
      <c r="IK398" s="99"/>
      <c r="IL398" s="99"/>
      <c r="IM398" s="99"/>
      <c r="IN398" s="99"/>
      <c r="IO398" s="99"/>
      <c r="IP398" s="99"/>
      <c r="IQ398" s="99"/>
      <c r="IR398" s="99"/>
      <c r="IS398" s="99"/>
      <c r="IT398" s="99"/>
      <c r="IU398" s="99"/>
      <c r="IV398" s="99"/>
      <c r="IW398" s="99"/>
      <c r="IX398" s="99"/>
      <c r="IY398" s="99"/>
      <c r="IZ398" s="99"/>
    </row>
    <row r="399" spans="1:260" s="256" customFormat="1" ht="12.75" customHeight="1" x14ac:dyDescent="0.2">
      <c r="A399" s="2345" t="s">
        <v>453</v>
      </c>
      <c r="B399" s="2345"/>
      <c r="C399" s="2345"/>
      <c r="D399" s="2345"/>
      <c r="E399" s="2346"/>
      <c r="F399" s="2375"/>
      <c r="G399" s="2376"/>
      <c r="H399" s="2376"/>
      <c r="I399" s="2377"/>
      <c r="J399" s="2376"/>
      <c r="K399" s="2376"/>
      <c r="L399" s="2376"/>
      <c r="M399" s="2377"/>
      <c r="N399" s="2376"/>
      <c r="O399" s="2376"/>
      <c r="P399" s="2376"/>
      <c r="Q399" s="2377"/>
      <c r="R399" s="2376"/>
      <c r="S399" s="2376"/>
      <c r="T399" s="2376"/>
      <c r="U399" s="2377"/>
      <c r="V399" s="2376"/>
      <c r="W399" s="2376"/>
      <c r="X399" s="2376"/>
      <c r="Y399" s="2377"/>
      <c r="Z399" s="2376"/>
      <c r="AA399" s="2376"/>
      <c r="AB399" s="2376"/>
      <c r="AC399" s="2377"/>
      <c r="AD399" s="2376"/>
      <c r="AE399" s="2376"/>
      <c r="AF399" s="2376"/>
      <c r="AG399" s="2377"/>
      <c r="AH399" s="396">
        <v>6.3E-2</v>
      </c>
      <c r="AI399" s="396">
        <v>0.151</v>
      </c>
      <c r="AJ399" s="396">
        <v>0.11199999999999999</v>
      </c>
      <c r="AK399" s="408">
        <v>0.16500000000000001</v>
      </c>
      <c r="AL399" s="396">
        <v>9.6000000000000002E-2</v>
      </c>
      <c r="AM399" s="396">
        <v>6.9000000000000006E-2</v>
      </c>
      <c r="AN399" s="396">
        <v>3.7999999999999999E-2</v>
      </c>
      <c r="AO399" s="408">
        <v>6.0000000000000001E-3</v>
      </c>
      <c r="AP399" s="396">
        <v>0</v>
      </c>
      <c r="AQ399" s="396">
        <v>4.1000000000000002E-2</v>
      </c>
      <c r="AR399" s="396">
        <v>0.04</v>
      </c>
      <c r="AS399" s="1569">
        <v>7.9000000000000001E-2</v>
      </c>
      <c r="AT399" s="396">
        <v>7.1999999999999995E-2</v>
      </c>
      <c r="AU399" s="396">
        <v>0.03</v>
      </c>
      <c r="AV399" s="396">
        <v>0.05</v>
      </c>
      <c r="AW399" s="1569">
        <v>5.0000000000000001E-3</v>
      </c>
      <c r="AX399" s="396">
        <v>0.03</v>
      </c>
      <c r="AY399" s="396">
        <v>8.9999999999999993E-3</v>
      </c>
      <c r="AZ399" s="396">
        <v>-5.0000000000000001E-3</v>
      </c>
      <c r="BA399" s="1569">
        <v>6.4000000000000001E-2</v>
      </c>
      <c r="BB399" s="1506">
        <v>7.0999999999999994E-2</v>
      </c>
      <c r="BC399" s="1506">
        <v>9.2999999999999999E-2</v>
      </c>
      <c r="BD399" s="396">
        <v>0.13700000000000001</v>
      </c>
      <c r="BE399" s="1569">
        <v>0.14000000000000001</v>
      </c>
      <c r="BF399" s="1506">
        <v>0.128</v>
      </c>
      <c r="BG399" s="1506">
        <v>0.16300000000000001</v>
      </c>
      <c r="BH399" s="1506">
        <v>9.2999999999999999E-2</v>
      </c>
      <c r="BI399" s="1569">
        <v>3.4000000000000002E-2</v>
      </c>
      <c r="BJ399" s="1506">
        <v>4.7E-2</v>
      </c>
      <c r="BK399" s="1506">
        <v>-0.01</v>
      </c>
      <c r="BL399" s="1506">
        <v>3.0000000000000001E-3</v>
      </c>
      <c r="BM399" s="1569">
        <v>-5.2999999999999999E-2</v>
      </c>
      <c r="BN399" s="1506">
        <v>-0.13900000000000001</v>
      </c>
      <c r="BO399" s="1506">
        <v>-8.3000000000000004E-2</v>
      </c>
      <c r="BP399" s="1506">
        <v>-6.7000000000000004E-2</v>
      </c>
      <c r="BQ399" s="1569">
        <v>5.5E-2</v>
      </c>
      <c r="BR399" s="1506">
        <v>6.3E-2</v>
      </c>
      <c r="BS399" s="1506">
        <v>4.2999999999999997E-2</v>
      </c>
      <c r="BT399" s="1506">
        <v>2.3E-2</v>
      </c>
      <c r="BU399" s="1569">
        <v>-1.2999999999999999E-2</v>
      </c>
      <c r="BV399" s="1506">
        <v>4.0000000000000001E-3</v>
      </c>
      <c r="BW399" s="1506">
        <v>-3.2000000000000001E-2</v>
      </c>
      <c r="BX399" s="1506">
        <v>-1.7000000000000001E-2</v>
      </c>
      <c r="BY399" s="1569">
        <v>-2.9000000000000001E-2</v>
      </c>
      <c r="BZ399" s="1506">
        <v>7.0999999999999994E-2</v>
      </c>
      <c r="CA399" s="1506">
        <v>4.9000000000000002E-2</v>
      </c>
      <c r="CB399" s="1506">
        <v>2.5999999999999999E-2</v>
      </c>
      <c r="CC399" s="1569">
        <v>-0.02</v>
      </c>
      <c r="CD399" s="1506">
        <v>-2E-3</v>
      </c>
      <c r="CE399" s="1506">
        <v>-2.8000000000000001E-2</v>
      </c>
      <c r="CF399" s="1506">
        <v>-3.2000000000000001E-2</v>
      </c>
      <c r="CG399" s="1569">
        <v>-1.7999999999999999E-2</v>
      </c>
      <c r="CH399" s="1506">
        <v>-0.105</v>
      </c>
      <c r="CI399" s="1506">
        <v>-8.2000000000000003E-2</v>
      </c>
      <c r="CJ399" s="1506">
        <v>-5.1999999999999998E-2</v>
      </c>
      <c r="CK399" s="1569">
        <v>-6.6000000000000003E-2</v>
      </c>
      <c r="CL399" s="1506">
        <v>-0.13400000000000001</v>
      </c>
      <c r="CM399" s="1506">
        <v>-0.113</v>
      </c>
      <c r="CN399" s="1506">
        <v>-0.10299999999999999</v>
      </c>
      <c r="CO399" s="1569">
        <v>-0.126</v>
      </c>
      <c r="CP399" s="1506">
        <v>-6.4000000000000001E-2</v>
      </c>
      <c r="CQ399" s="1506">
        <v>-7.0999999999999994E-2</v>
      </c>
      <c r="CR399" s="1506">
        <v>-7.0999999999999994E-2</v>
      </c>
      <c r="CS399" s="1569">
        <v>-0.02</v>
      </c>
      <c r="CT399" s="1506">
        <v>-6.6000000000000003E-2</v>
      </c>
      <c r="CU399" s="1506">
        <v>-3.7999999999999999E-2</v>
      </c>
      <c r="CV399" s="1506">
        <v>-2E-3</v>
      </c>
      <c r="CW399" s="1569">
        <v>-0.04</v>
      </c>
      <c r="CX399" s="1506">
        <f>CX314</f>
        <v>6.0000000000000001E-3</v>
      </c>
      <c r="CY399" s="2378">
        <f>IFERROR(CY314,"NA")</f>
        <v>-0.03</v>
      </c>
      <c r="CZ399" s="2378">
        <f>IFERROR(CZ314,"NA")</f>
        <v>5.0000000000000001E-3</v>
      </c>
      <c r="DA399" s="2379">
        <f>IFERROR(DA314,"NA")</f>
        <v>-0.01</v>
      </c>
      <c r="DB399" s="2378">
        <f>IFERROR(DB314,"NA")</f>
        <v>-1.2E-2</v>
      </c>
      <c r="DC399" s="2378">
        <f>IFERROR(DC314,"NA")</f>
        <v>4.1000000000000002E-2</v>
      </c>
      <c r="DD399" s="2378">
        <f>DD314</f>
        <v>1.7999999999999999E-2</v>
      </c>
      <c r="DE399" s="1569">
        <f>DE314</f>
        <v>8.9999999999999993E-3</v>
      </c>
      <c r="DF399" s="1506">
        <f>DF314</f>
        <v>0.04</v>
      </c>
      <c r="DG399" s="1506">
        <f>DG314</f>
        <v>4.7E-2</v>
      </c>
      <c r="DH399" s="1506">
        <f>DH314</f>
        <v>3.7999999999999999E-2</v>
      </c>
      <c r="DI399" s="1569">
        <f>DI314</f>
        <v>9.9000000000000005E-2</v>
      </c>
      <c r="DJ399" s="1926">
        <f>DJ314</f>
        <v>0.02</v>
      </c>
      <c r="DK399" s="1506">
        <f>DK314</f>
        <v>2.5000000000000001E-3</v>
      </c>
      <c r="DL399" s="1506">
        <f>DL314</f>
        <v>0.01</v>
      </c>
      <c r="DM399" s="1569">
        <f>DM314</f>
        <v>2.5000000000000001E-2</v>
      </c>
      <c r="DN399" s="2347"/>
      <c r="DO399" s="2348"/>
      <c r="DP399" s="2282"/>
      <c r="DQ399" s="2282"/>
      <c r="DR399" s="2380"/>
      <c r="DS399" s="2380"/>
      <c r="DT399" s="2380"/>
      <c r="DU399" s="2381"/>
      <c r="DV399" s="2381"/>
      <c r="DW399" s="2381"/>
      <c r="DX399" s="2286"/>
      <c r="DY399" s="2380"/>
      <c r="DZ399" s="2380"/>
      <c r="EA399" s="2380"/>
      <c r="EB399" s="2380"/>
      <c r="EC399" s="2380"/>
      <c r="ED399" s="2380"/>
      <c r="EE399" s="2380"/>
      <c r="EF399" s="2470">
        <f>SUMPRODUCT(AH399:AK399,AH398:AK398)/EF398</f>
        <v>0.12916373411253704</v>
      </c>
      <c r="EG399" s="2470">
        <f>SUMPRODUCT(AL399:AO399,AL398:AO398)/EG398</f>
        <v>4.3765281173594135E-2</v>
      </c>
      <c r="EH399" s="2470">
        <f>SUMPRODUCT(AP399:AS399,AP398:AS398)/EH398</f>
        <v>4.7707758620689655E-2</v>
      </c>
      <c r="EI399" s="2470">
        <f>SUMPRODUCT(AT399:AW399,AT398:AW398)/EI398</f>
        <v>3.3601917613636366E-2</v>
      </c>
      <c r="EJ399" s="1555">
        <v>2.8000000000000001E-2</v>
      </c>
      <c r="EK399" s="1606">
        <v>0.11700000000000001</v>
      </c>
      <c r="EL399" s="1606">
        <v>0.09</v>
      </c>
      <c r="EM399" s="1606">
        <v>-8.9999999999999993E-3</v>
      </c>
      <c r="EN399" s="1606">
        <v>-3.6999999999999998E-2</v>
      </c>
      <c r="EO399" s="1606">
        <v>2.4E-2</v>
      </c>
      <c r="EP399" s="1606">
        <f>EP314</f>
        <v>-1.9337764270347405E-2</v>
      </c>
      <c r="EQ399" s="1606">
        <v>2.5000000000000001E-2</v>
      </c>
      <c r="ER399" s="1606">
        <v>-0.02</v>
      </c>
      <c r="ES399" s="1606">
        <v>-6.4000000000000001E-2</v>
      </c>
      <c r="ET399" s="1606">
        <v>-0.12</v>
      </c>
      <c r="EU399" s="1506">
        <f>EU314</f>
        <v>-5.4912187359463106E-2</v>
      </c>
      <c r="EV399" s="1506">
        <f>EV314</f>
        <v>-3.5622361388379931E-2</v>
      </c>
      <c r="EW399" s="1506">
        <f>IFERROR(EW314,"NA")</f>
        <v>-7.0531990534699208E-3</v>
      </c>
      <c r="EX399" s="1506">
        <f>IFERROR(EX314,"NA")</f>
        <v>1.3515799425861208E-2</v>
      </c>
      <c r="EY399" s="1506">
        <f>IFERROR(EY314,"NA")</f>
        <v>6.3073305530510201E-2</v>
      </c>
      <c r="EZ399" s="1926">
        <f>IFERROR(EZ314,"NA")</f>
        <v>1.632224989282733E-2</v>
      </c>
      <c r="FA399" s="1506">
        <f>FA314</f>
        <v>0.01</v>
      </c>
      <c r="FB399" s="1506">
        <f>FB314</f>
        <v>0.01</v>
      </c>
      <c r="FC399" s="1506">
        <f>FC314</f>
        <v>0</v>
      </c>
      <c r="FD399" s="1506">
        <f>FD314</f>
        <v>0</v>
      </c>
      <c r="FE399" s="1506">
        <f>FE314</f>
        <v>0</v>
      </c>
      <c r="FF399" s="1506">
        <f>FF314</f>
        <v>0</v>
      </c>
      <c r="FG399" s="1506">
        <f>FG314</f>
        <v>0</v>
      </c>
      <c r="FH399" s="1506">
        <f>FH314</f>
        <v>0</v>
      </c>
      <c r="FI399" s="943"/>
      <c r="FJ399"/>
      <c r="FK399"/>
      <c r="FL399"/>
      <c r="FM399"/>
      <c r="FN399"/>
      <c r="FO399"/>
      <c r="FP399" s="1435"/>
      <c r="FQ399" s="51"/>
      <c r="FR399" s="51"/>
      <c r="FS399" s="1506"/>
      <c r="FT399" s="1506"/>
      <c r="FU399" s="1388"/>
      <c r="FV399" s="1388"/>
      <c r="FW399" s="1506"/>
      <c r="FX399" s="1506"/>
      <c r="FY399" s="1506"/>
      <c r="FZ399" s="99"/>
      <c r="GA399" s="99"/>
      <c r="GB399" s="99"/>
      <c r="GC399" s="99"/>
      <c r="GD399" s="99"/>
      <c r="GE399" s="99"/>
      <c r="GF399" s="99"/>
      <c r="GG399" s="99"/>
      <c r="GH399" s="99"/>
      <c r="GI399" s="99"/>
      <c r="GJ399" s="99"/>
      <c r="GK399" s="99"/>
      <c r="GL399" s="99"/>
      <c r="GM399" s="99"/>
      <c r="GN399" s="99"/>
      <c r="GO399" s="99"/>
      <c r="GP399" s="99"/>
      <c r="GQ399" s="99"/>
      <c r="GR399" s="99"/>
      <c r="GS399" s="99"/>
      <c r="GT399" s="99"/>
      <c r="GU399" s="99"/>
      <c r="GV399" s="99"/>
      <c r="GW399" s="99"/>
      <c r="GX399" s="99"/>
      <c r="GY399" s="99"/>
      <c r="GZ399" s="99"/>
      <c r="HA399" s="99"/>
      <c r="HB399" s="99"/>
      <c r="HC399" s="99"/>
      <c r="HD399" s="99"/>
      <c r="HE399" s="99"/>
      <c r="HF399" s="99"/>
      <c r="HG399" s="99"/>
      <c r="HH399" s="99"/>
      <c r="HI399" s="99"/>
      <c r="HJ399" s="99"/>
      <c r="HK399" s="99"/>
      <c r="HL399" s="99"/>
      <c r="HM399" s="99"/>
      <c r="HN399" s="99"/>
      <c r="HO399" s="99"/>
      <c r="HP399" s="99"/>
      <c r="HQ399" s="99"/>
      <c r="HR399" s="99"/>
      <c r="HS399" s="99"/>
      <c r="HT399" s="99"/>
      <c r="HU399" s="99"/>
      <c r="HV399" s="99"/>
      <c r="HW399" s="99"/>
      <c r="HX399" s="99"/>
      <c r="HY399" s="99"/>
      <c r="HZ399" s="99"/>
      <c r="IA399" s="99"/>
      <c r="IB399" s="99"/>
      <c r="IC399" s="99"/>
      <c r="ID399" s="99"/>
      <c r="IE399" s="99"/>
      <c r="IF399" s="99"/>
      <c r="IG399" s="99"/>
      <c r="IH399" s="99"/>
      <c r="II399" s="99"/>
      <c r="IJ399" s="99"/>
      <c r="IK399" s="99"/>
      <c r="IL399" s="99"/>
      <c r="IM399" s="99"/>
      <c r="IN399" s="99"/>
      <c r="IO399" s="99"/>
      <c r="IP399" s="99"/>
      <c r="IQ399" s="99"/>
      <c r="IR399" s="99"/>
      <c r="IS399" s="99"/>
      <c r="IT399" s="99"/>
      <c r="IU399" s="99"/>
      <c r="IV399" s="99"/>
      <c r="IW399" s="99"/>
      <c r="IX399" s="99"/>
      <c r="IY399" s="99"/>
      <c r="IZ399" s="99"/>
    </row>
    <row r="400" spans="1:260" s="256" customFormat="1" ht="12.75" customHeight="1" x14ac:dyDescent="0.2">
      <c r="A400" s="2345" t="s">
        <v>482</v>
      </c>
      <c r="B400" s="2345"/>
      <c r="C400" s="2345"/>
      <c r="D400" s="2345"/>
      <c r="E400" s="2346"/>
      <c r="F400" s="2376"/>
      <c r="G400" s="2376"/>
      <c r="H400" s="2376"/>
      <c r="I400" s="2377"/>
      <c r="J400" s="2376"/>
      <c r="K400" s="2376"/>
      <c r="L400" s="2376"/>
      <c r="M400" s="2377"/>
      <c r="N400" s="2376"/>
      <c r="O400" s="2376"/>
      <c r="P400" s="2376"/>
      <c r="Q400" s="2377"/>
      <c r="R400" s="2376"/>
      <c r="S400" s="2376"/>
      <c r="T400" s="2376"/>
      <c r="U400" s="2377"/>
      <c r="V400" s="2376"/>
      <c r="W400" s="2376"/>
      <c r="X400" s="2376"/>
      <c r="Y400" s="2377"/>
      <c r="Z400" s="2376"/>
      <c r="AA400" s="2376"/>
      <c r="AB400" s="2376"/>
      <c r="AC400" s="2377"/>
      <c r="AD400" s="2376"/>
      <c r="AE400" s="2376"/>
      <c r="AF400" s="2376"/>
      <c r="AG400" s="2377"/>
      <c r="AH400" s="396"/>
      <c r="AI400" s="396"/>
      <c r="AJ400" s="396"/>
      <c r="AK400" s="408"/>
      <c r="AL400" s="1506">
        <f t="shared" ref="AL400:BY400" si="1480">AL398/AH398-1</f>
        <v>0.14674992903775186</v>
      </c>
      <c r="AM400" s="1506">
        <f t="shared" si="1480"/>
        <v>0.10751518688489803</v>
      </c>
      <c r="AN400" s="1506">
        <f t="shared" si="1480"/>
        <v>0.19363207212826583</v>
      </c>
      <c r="AO400" s="1569">
        <f t="shared" si="1480"/>
        <v>0.2219873150105709</v>
      </c>
      <c r="AP400" s="1506">
        <f t="shared" si="1480"/>
        <v>0.28052805280528048</v>
      </c>
      <c r="AQ400" s="1506">
        <f t="shared" si="1480"/>
        <v>0.45508982035928147</v>
      </c>
      <c r="AR400" s="1506">
        <f t="shared" si="1480"/>
        <v>0.42992874109263668</v>
      </c>
      <c r="AS400" s="1569">
        <f t="shared" si="1480"/>
        <v>0.46020761245674735</v>
      </c>
      <c r="AT400" s="1506">
        <f t="shared" si="1480"/>
        <v>0.28608247422680422</v>
      </c>
      <c r="AU400" s="1506">
        <f t="shared" si="1480"/>
        <v>0.18106995884773669</v>
      </c>
      <c r="AV400" s="1506">
        <f t="shared" si="1480"/>
        <v>0.20930232558139528</v>
      </c>
      <c r="AW400" s="1569">
        <f t="shared" si="1480"/>
        <v>0.20260663507109</v>
      </c>
      <c r="AX400" s="1506">
        <f t="shared" si="1480"/>
        <v>0.25450901803607207</v>
      </c>
      <c r="AY400" s="1506">
        <f t="shared" si="1480"/>
        <v>0.22822299651567945</v>
      </c>
      <c r="AZ400" s="1506">
        <f t="shared" si="1480"/>
        <v>0.19368131868131866</v>
      </c>
      <c r="BA400" s="1569">
        <f t="shared" si="1480"/>
        <v>0.24926108374384226</v>
      </c>
      <c r="BB400" s="1506">
        <f t="shared" si="1480"/>
        <v>0.27316293929712465</v>
      </c>
      <c r="BC400" s="1506">
        <f t="shared" si="1480"/>
        <v>0.39290780141843973</v>
      </c>
      <c r="BD400" s="1506">
        <f t="shared" si="1480"/>
        <v>0.50632911392405067</v>
      </c>
      <c r="BE400" s="1569">
        <f t="shared" si="1480"/>
        <v>0.43138801261829651</v>
      </c>
      <c r="BF400" s="1506">
        <f t="shared" si="1480"/>
        <v>0.53450439146800499</v>
      </c>
      <c r="BG400" s="1506">
        <f t="shared" si="1480"/>
        <v>0.54378818737270884</v>
      </c>
      <c r="BH400" s="1506">
        <f t="shared" si="1480"/>
        <v>0.31550802139037426</v>
      </c>
      <c r="BI400" s="1569">
        <f t="shared" si="1480"/>
        <v>0.23085399449035804</v>
      </c>
      <c r="BJ400" s="1506">
        <f t="shared" si="1480"/>
        <v>0.25674570727718726</v>
      </c>
      <c r="BK400" s="1506">
        <f t="shared" si="1480"/>
        <v>0.10026385224274414</v>
      </c>
      <c r="BL400" s="1506">
        <f t="shared" si="1480"/>
        <v>0.91869918699186992</v>
      </c>
      <c r="BM400" s="1569">
        <f t="shared" si="1480"/>
        <v>0.53804834377797683</v>
      </c>
      <c r="BN400" s="1506">
        <f t="shared" si="1480"/>
        <v>0.67208848405985688</v>
      </c>
      <c r="BO400" s="1506">
        <f t="shared" si="1480"/>
        <v>0.64748201438848918</v>
      </c>
      <c r="BP400" s="1506">
        <f t="shared" si="1480"/>
        <v>-6.3861985472154936E-2</v>
      </c>
      <c r="BQ400" s="1569">
        <f t="shared" si="1480"/>
        <v>0.1551222351571595</v>
      </c>
      <c r="BR400" s="1506">
        <f t="shared" si="1480"/>
        <v>0.11439688715953311</v>
      </c>
      <c r="BS400" s="1506">
        <f t="shared" si="1480"/>
        <v>5.6404657933042168E-2</v>
      </c>
      <c r="BT400" s="1506">
        <f t="shared" si="1480"/>
        <v>2.812803103782735E-2</v>
      </c>
      <c r="BU400" s="1569">
        <f t="shared" si="1480"/>
        <v>4.2831947593852338E-2</v>
      </c>
      <c r="BV400" s="1506">
        <f t="shared" si="1480"/>
        <v>7.5768156424580901E-2</v>
      </c>
      <c r="BW400" s="1506">
        <f t="shared" si="1480"/>
        <v>4.581467447468146E-2</v>
      </c>
      <c r="BX400" s="1506">
        <f t="shared" si="1480"/>
        <v>1.0691823899371178E-2</v>
      </c>
      <c r="BY400" s="1569">
        <f t="shared" si="1480"/>
        <v>-2.6334863493597482E-2</v>
      </c>
      <c r="BZ400" s="1506">
        <f>BZ398/BN398-1</f>
        <v>9.3774319066147971E-2</v>
      </c>
      <c r="CA400" s="1506">
        <f>CA398/BO398-1</f>
        <v>-1.1280931586608478E-2</v>
      </c>
      <c r="CB400" s="1506">
        <f>CB398/BP398-1</f>
        <v>-1.6165535079211146E-2</v>
      </c>
      <c r="CC400" s="1569">
        <f>CC398/BQ398-1</f>
        <v>2.947845804988658E-2</v>
      </c>
      <c r="CD400" s="1506">
        <f t="shared" ref="CD400:DB400" si="1481">CD398/BZ398-1</f>
        <v>5.9053717538242623E-2</v>
      </c>
      <c r="CE400" s="1506">
        <f t="shared" si="1481"/>
        <v>5.9624585940375452E-2</v>
      </c>
      <c r="CF400" s="1506">
        <f t="shared" si="1481"/>
        <v>1.5445284258954972E-2</v>
      </c>
      <c r="CG400" s="1569">
        <f t="shared" si="1481"/>
        <v>4.8947626040130032E-4</v>
      </c>
      <c r="CH400" s="1506">
        <f t="shared" si="1481"/>
        <v>-6.3486731609002311E-2</v>
      </c>
      <c r="CI400" s="1506">
        <f t="shared" si="1481"/>
        <v>-4.6891281695032982E-2</v>
      </c>
      <c r="CJ400" s="1506">
        <f t="shared" si="1481"/>
        <v>-3.2362459546925182E-3</v>
      </c>
      <c r="CK400" s="1569">
        <f t="shared" si="1481"/>
        <v>1.7857142857142794E-2</v>
      </c>
      <c r="CL400" s="1506">
        <f t="shared" si="1481"/>
        <v>-0.44368723098995699</v>
      </c>
      <c r="CM400" s="1506">
        <f t="shared" si="1481"/>
        <v>-0.44023323615160348</v>
      </c>
      <c r="CN400" s="1506">
        <f t="shared" si="1481"/>
        <v>-0.44545454545454544</v>
      </c>
      <c r="CO400" s="1569">
        <f t="shared" si="1481"/>
        <v>-0.42273491949050712</v>
      </c>
      <c r="CP400" s="1506">
        <f t="shared" si="1481"/>
        <v>-0.36686009026434563</v>
      </c>
      <c r="CQ400" s="1506">
        <f t="shared" si="1481"/>
        <v>-0.37565104166666663</v>
      </c>
      <c r="CR400" s="1506">
        <f t="shared" si="1481"/>
        <v>-0.34894613583138179</v>
      </c>
      <c r="CS400" s="1569">
        <f t="shared" si="1481"/>
        <v>-0.28101582014987514</v>
      </c>
      <c r="CT400" s="1506">
        <f t="shared" si="1481"/>
        <v>-0.12627291242362526</v>
      </c>
      <c r="CU400" s="1506">
        <f t="shared" si="1481"/>
        <v>-8.8633993743482797E-2</v>
      </c>
      <c r="CV400" s="1506">
        <f t="shared" si="1481"/>
        <v>-6.4748201438848962E-2</v>
      </c>
      <c r="CW400" s="1569">
        <f t="shared" si="1481"/>
        <v>-0.12449334105385057</v>
      </c>
      <c r="CX400" s="1506">
        <f t="shared" si="1481"/>
        <v>-0.2214452214452215</v>
      </c>
      <c r="CY400" s="1506">
        <f t="shared" si="1481"/>
        <v>-0.25629290617848965</v>
      </c>
      <c r="CZ400" s="1506">
        <f t="shared" si="1481"/>
        <v>-0.29903846153846159</v>
      </c>
      <c r="DA400" s="1569">
        <f t="shared" si="1481"/>
        <v>-0.26190476190476186</v>
      </c>
      <c r="DB400" s="1506">
        <f t="shared" si="1481"/>
        <v>-8.083832335329344E-2</v>
      </c>
      <c r="DC400" s="1506">
        <f t="shared" ref="DC400:DM400" si="1482">DC398/CY398-1</f>
        <v>-9.2307692307692646E-3</v>
      </c>
      <c r="DD400" s="2378">
        <f t="shared" si="1482"/>
        <v>3.292181069958855E-2</v>
      </c>
      <c r="DE400" s="1569">
        <f t="shared" si="1482"/>
        <v>2.5089605734766929E-2</v>
      </c>
      <c r="DF400" s="1506">
        <f t="shared" si="1482"/>
        <v>3.2573289902280145E-3</v>
      </c>
      <c r="DG400" s="1506">
        <f t="shared" si="1482"/>
        <v>3.7267080745341685E-2</v>
      </c>
      <c r="DH400" s="1506">
        <f t="shared" si="1482"/>
        <v>0.10092961487383789</v>
      </c>
      <c r="DI400" s="1569">
        <f t="shared" si="1482"/>
        <v>0.2027972027972027</v>
      </c>
      <c r="DJ400" s="1926">
        <f t="shared" si="1482"/>
        <v>1.8104212860310609E-2</v>
      </c>
      <c r="DK400" s="1506">
        <f t="shared" si="1482"/>
        <v>1.9370860927152567E-3</v>
      </c>
      <c r="DL400" s="1506">
        <f t="shared" si="1482"/>
        <v>1.0000000000000009E-2</v>
      </c>
      <c r="DM400" s="1569">
        <f t="shared" si="1482"/>
        <v>2.5000000000000133E-2</v>
      </c>
      <c r="DN400" s="2347"/>
      <c r="DO400" s="2348"/>
      <c r="DP400" s="2282"/>
      <c r="DQ400" s="2282"/>
      <c r="DR400" s="2380"/>
      <c r="DS400" s="2380"/>
      <c r="DT400" s="2380"/>
      <c r="DU400" s="2381"/>
      <c r="DV400" s="2381"/>
      <c r="DW400" s="2381"/>
      <c r="DX400" s="2286"/>
      <c r="DY400" s="2380"/>
      <c r="DZ400" s="2380"/>
      <c r="EA400" s="2380"/>
      <c r="EB400" s="2380"/>
      <c r="EC400" s="2380"/>
      <c r="ED400" s="2380"/>
      <c r="EE400" s="2380"/>
      <c r="EF400" s="396"/>
      <c r="EG400" s="396"/>
      <c r="EH400" s="396"/>
      <c r="EI400" s="396"/>
      <c r="EJ400" s="396"/>
      <c r="EK400" s="1506"/>
      <c r="EL400" s="1506"/>
      <c r="EM400" s="1506"/>
      <c r="EN400" s="1506"/>
      <c r="EO400" s="1506"/>
      <c r="EP400" s="1506"/>
      <c r="EQ400" s="1506"/>
      <c r="ER400" s="1506"/>
      <c r="ES400" s="1506"/>
      <c r="ET400" s="1506"/>
      <c r="EU400" s="1506"/>
      <c r="EV400" s="1506"/>
      <c r="EW400" s="1506"/>
      <c r="EX400" s="1506"/>
      <c r="EY400" s="1506"/>
      <c r="EZ400" s="1926"/>
      <c r="FA400" s="1506"/>
      <c r="FB400" s="1506"/>
      <c r="FC400" s="1506"/>
      <c r="FD400" s="1506"/>
      <c r="FE400" s="1506"/>
      <c r="FF400" s="1506"/>
      <c r="FG400" s="1506"/>
      <c r="FH400" s="1506"/>
      <c r="FI400" s="943"/>
      <c r="FJ400"/>
      <c r="FK400"/>
      <c r="FL400"/>
      <c r="FM400"/>
      <c r="FN400"/>
      <c r="FO400"/>
      <c r="FP400" s="1435"/>
      <c r="FQ400" s="51"/>
      <c r="FR400" s="51"/>
      <c r="FS400" s="1506"/>
      <c r="FT400" s="1506"/>
      <c r="FU400" s="1388"/>
      <c r="FV400" s="1388"/>
      <c r="FW400" s="1506"/>
      <c r="FX400" s="1506"/>
      <c r="FY400" s="1506"/>
      <c r="FZ400" s="99"/>
      <c r="GA400" s="99"/>
      <c r="GB400" s="99"/>
      <c r="GC400" s="99"/>
      <c r="GD400" s="99"/>
      <c r="GE400" s="99"/>
      <c r="GF400" s="99"/>
      <c r="GG400" s="99"/>
      <c r="GH400" s="99"/>
      <c r="GI400" s="99"/>
      <c r="GJ400" s="99"/>
      <c r="GK400" s="99"/>
      <c r="GL400" s="99"/>
      <c r="GM400" s="99"/>
      <c r="GN400" s="99"/>
      <c r="GO400" s="99"/>
      <c r="GP400" s="99"/>
      <c r="GQ400" s="99"/>
      <c r="GR400" s="99"/>
      <c r="GS400" s="99"/>
      <c r="GT400" s="99"/>
      <c r="GU400" s="99"/>
      <c r="GV400" s="99"/>
      <c r="GW400" s="99"/>
      <c r="GX400" s="99"/>
      <c r="GY400" s="99"/>
      <c r="GZ400" s="99"/>
      <c r="HA400" s="99"/>
      <c r="HB400" s="99"/>
      <c r="HC400" s="99"/>
      <c r="HD400" s="99"/>
      <c r="HE400" s="99"/>
      <c r="HF400" s="99"/>
      <c r="HG400" s="99"/>
      <c r="HH400" s="99"/>
      <c r="HI400" s="99"/>
      <c r="HJ400" s="99"/>
      <c r="HK400" s="99"/>
      <c r="HL400" s="99"/>
      <c r="HM400" s="99"/>
      <c r="HN400" s="99"/>
      <c r="HO400" s="99"/>
      <c r="HP400" s="99"/>
      <c r="HQ400" s="99"/>
      <c r="HR400" s="99"/>
      <c r="HS400" s="99"/>
      <c r="HT400" s="99"/>
      <c r="HU400" s="99"/>
      <c r="HV400" s="99"/>
      <c r="HW400" s="99"/>
      <c r="HX400" s="99"/>
      <c r="HY400" s="99"/>
      <c r="HZ400" s="99"/>
      <c r="IA400" s="99"/>
      <c r="IB400" s="99"/>
      <c r="IC400" s="99"/>
      <c r="ID400" s="99"/>
      <c r="IE400" s="99"/>
      <c r="IF400" s="99"/>
      <c r="IG400" s="99"/>
      <c r="IH400" s="99"/>
      <c r="II400" s="99"/>
      <c r="IJ400" s="99"/>
      <c r="IK400" s="99"/>
      <c r="IL400" s="99"/>
      <c r="IM400" s="99"/>
      <c r="IN400" s="99"/>
      <c r="IO400" s="99"/>
      <c r="IP400" s="99"/>
      <c r="IQ400" s="99"/>
      <c r="IR400" s="99"/>
      <c r="IS400" s="99"/>
      <c r="IT400" s="99"/>
      <c r="IU400" s="99"/>
      <c r="IV400" s="99"/>
      <c r="IW400" s="99"/>
      <c r="IX400" s="99"/>
      <c r="IY400" s="99"/>
      <c r="IZ400" s="99"/>
    </row>
    <row r="401" spans="1:260" s="256" customFormat="1" ht="12.75" customHeight="1" x14ac:dyDescent="0.2">
      <c r="A401" s="2345" t="s">
        <v>718</v>
      </c>
      <c r="B401" s="2345"/>
      <c r="C401" s="2345"/>
      <c r="D401" s="2345"/>
      <c r="E401" s="2346"/>
      <c r="F401" s="2376"/>
      <c r="G401" s="2376"/>
      <c r="H401" s="2376"/>
      <c r="I401" s="2377"/>
      <c r="J401" s="2376"/>
      <c r="K401" s="2376"/>
      <c r="L401" s="2376"/>
      <c r="M401" s="2377"/>
      <c r="N401" s="2376"/>
      <c r="O401" s="2376"/>
      <c r="P401" s="2376"/>
      <c r="Q401" s="2377"/>
      <c r="R401" s="2376"/>
      <c r="S401" s="2376"/>
      <c r="T401" s="2376"/>
      <c r="U401" s="2377"/>
      <c r="V401" s="2376"/>
      <c r="W401" s="2376"/>
      <c r="X401" s="2376"/>
      <c r="Y401" s="2377"/>
      <c r="Z401" s="2376"/>
      <c r="AA401" s="2376"/>
      <c r="AB401" s="2376"/>
      <c r="AC401" s="2377"/>
      <c r="AD401" s="2376"/>
      <c r="AE401" s="2376"/>
      <c r="AF401" s="2376"/>
      <c r="AG401" s="2377"/>
      <c r="AH401" s="396"/>
      <c r="AI401" s="396"/>
      <c r="AJ401" s="396"/>
      <c r="AK401" s="408"/>
      <c r="AL401" s="1506"/>
      <c r="AM401" s="1506"/>
      <c r="AN401" s="1506"/>
      <c r="AO401" s="1569"/>
      <c r="AP401" s="1506"/>
      <c r="AQ401" s="1506"/>
      <c r="AR401" s="1506"/>
      <c r="AS401" s="1569"/>
      <c r="AT401" s="1506"/>
      <c r="AU401" s="1506"/>
      <c r="AV401" s="1506"/>
      <c r="AW401" s="1569"/>
      <c r="AX401" s="1506"/>
      <c r="AY401" s="1506"/>
      <c r="AZ401" s="1506"/>
      <c r="BA401" s="1569"/>
      <c r="BB401" s="1506"/>
      <c r="BC401" s="1506"/>
      <c r="BD401" s="1506"/>
      <c r="BE401" s="1569"/>
      <c r="BF401" s="1506"/>
      <c r="BG401" s="1506"/>
      <c r="BH401" s="1506"/>
      <c r="BI401" s="1569"/>
      <c r="BJ401" s="1506"/>
      <c r="BK401" s="1506"/>
      <c r="BL401" s="1506"/>
      <c r="BM401" s="1569"/>
      <c r="BN401" s="1506"/>
      <c r="BO401" s="1506"/>
      <c r="BP401" s="1506"/>
      <c r="BQ401" s="1569"/>
      <c r="BR401" s="1506"/>
      <c r="BS401" s="1506"/>
      <c r="BT401" s="1506"/>
      <c r="BU401" s="1569"/>
      <c r="BV401" s="1506"/>
      <c r="BW401" s="1506"/>
      <c r="BX401" s="1506"/>
      <c r="BY401" s="1569"/>
      <c r="BZ401" s="1506"/>
      <c r="CA401" s="1506"/>
      <c r="CB401" s="1506"/>
      <c r="CC401" s="1569"/>
      <c r="CD401" s="1506"/>
      <c r="CE401" s="1506"/>
      <c r="CF401" s="1506"/>
      <c r="CG401" s="1569"/>
      <c r="CH401" s="1506"/>
      <c r="CI401" s="1506"/>
      <c r="CJ401" s="1506"/>
      <c r="CK401" s="1569"/>
      <c r="CL401" s="1506"/>
      <c r="CM401" s="1506"/>
      <c r="CN401" s="1506"/>
      <c r="CO401" s="1569"/>
      <c r="CP401" s="1506"/>
      <c r="CQ401" s="1506"/>
      <c r="CR401" s="1506"/>
      <c r="CS401" s="1569"/>
      <c r="CT401" s="1506"/>
      <c r="CU401" s="1506"/>
      <c r="CV401" s="1506"/>
      <c r="CW401" s="1569"/>
      <c r="CX401" s="1606"/>
      <c r="CY401" s="1606"/>
      <c r="CZ401" s="1606"/>
      <c r="DA401" s="2190"/>
      <c r="DB401" s="1606"/>
      <c r="DC401" s="1606"/>
      <c r="DD401" s="2382"/>
      <c r="DE401" s="2190">
        <v>7.0000000000000001E-3</v>
      </c>
      <c r="DF401" s="1606">
        <v>-1.4999999999999999E-2</v>
      </c>
      <c r="DG401" s="2383"/>
      <c r="DH401" s="2383"/>
      <c r="DI401" s="2190">
        <v>5.8000000000000003E-2</v>
      </c>
      <c r="DJ401" s="2383"/>
      <c r="DK401" s="1606"/>
      <c r="DL401" s="1606"/>
      <c r="DM401" s="2190"/>
      <c r="DN401" s="2347"/>
      <c r="DO401" s="2348"/>
      <c r="DP401" s="2282"/>
      <c r="DQ401" s="2282"/>
      <c r="DR401" s="2380"/>
      <c r="DS401" s="2380"/>
      <c r="DT401" s="2380"/>
      <c r="DU401" s="2381"/>
      <c r="DV401" s="2381"/>
      <c r="DW401" s="2381"/>
      <c r="DX401" s="2286"/>
      <c r="DY401" s="2380"/>
      <c r="DZ401" s="2380"/>
      <c r="EA401" s="2380"/>
      <c r="EB401" s="2380"/>
      <c r="EC401" s="2380"/>
      <c r="ED401" s="2380"/>
      <c r="EE401" s="2380"/>
      <c r="EF401" s="396"/>
      <c r="EG401" s="396"/>
      <c r="EH401" s="396"/>
      <c r="EI401" s="396"/>
      <c r="EJ401" s="396"/>
      <c r="EK401" s="1506"/>
      <c r="EL401" s="1506"/>
      <c r="EM401" s="1506"/>
      <c r="EN401" s="1506"/>
      <c r="EO401" s="1506"/>
      <c r="EP401" s="1506"/>
      <c r="EQ401" s="1506"/>
      <c r="ER401" s="1506"/>
      <c r="ES401" s="1506"/>
      <c r="ET401" s="1506"/>
      <c r="EU401" s="1506"/>
      <c r="EV401" s="1506"/>
      <c r="EW401" s="1506"/>
      <c r="EX401" s="1506"/>
      <c r="EY401" s="1506"/>
      <c r="EZ401" s="1926"/>
      <c r="FA401" s="1506"/>
      <c r="FB401" s="1506"/>
      <c r="FC401" s="1506"/>
      <c r="FD401" s="1506"/>
      <c r="FE401" s="1506"/>
      <c r="FF401" s="1506"/>
      <c r="FG401" s="1506"/>
      <c r="FH401" s="1506"/>
      <c r="FI401" s="943"/>
      <c r="FJ401"/>
      <c r="FK401"/>
      <c r="FL401"/>
      <c r="FM401"/>
      <c r="FN401"/>
      <c r="FO401"/>
      <c r="FP401" s="1435"/>
      <c r="FQ401" s="51"/>
      <c r="FR401" s="51"/>
      <c r="FS401" s="1506"/>
      <c r="FT401" s="1506"/>
      <c r="FU401" s="1388"/>
      <c r="FV401" s="1388"/>
      <c r="FW401" s="1506"/>
      <c r="FX401" s="1506"/>
      <c r="FY401" s="1506"/>
      <c r="FZ401" s="99"/>
      <c r="GA401" s="99"/>
      <c r="GB401" s="99"/>
      <c r="GC401" s="99"/>
      <c r="GD401" s="99"/>
      <c r="GE401" s="99"/>
      <c r="GF401" s="99"/>
      <c r="GG401" s="99"/>
      <c r="GH401" s="99"/>
      <c r="GI401" s="99"/>
      <c r="GJ401" s="99"/>
      <c r="GK401" s="99"/>
      <c r="GL401" s="99"/>
      <c r="GM401" s="99"/>
      <c r="GN401" s="99"/>
      <c r="GO401" s="99"/>
      <c r="GP401" s="99"/>
      <c r="GQ401" s="99"/>
      <c r="GR401" s="99"/>
      <c r="GS401" s="99"/>
      <c r="GT401" s="99"/>
      <c r="GU401" s="99"/>
      <c r="GV401" s="99"/>
      <c r="GW401" s="99"/>
      <c r="GX401" s="99"/>
      <c r="GY401" s="99"/>
      <c r="GZ401" s="99"/>
      <c r="HA401" s="99"/>
      <c r="HB401" s="99"/>
      <c r="HC401" s="99"/>
      <c r="HD401" s="99"/>
      <c r="HE401" s="99"/>
      <c r="HF401" s="99"/>
      <c r="HG401" s="99"/>
      <c r="HH401" s="99"/>
      <c r="HI401" s="99"/>
      <c r="HJ401" s="99"/>
      <c r="HK401" s="99"/>
      <c r="HL401" s="99"/>
      <c r="HM401" s="99"/>
      <c r="HN401" s="99"/>
      <c r="HO401" s="99"/>
      <c r="HP401" s="99"/>
      <c r="HQ401" s="99"/>
      <c r="HR401" s="99"/>
      <c r="HS401" s="99"/>
      <c r="HT401" s="99"/>
      <c r="HU401" s="99"/>
      <c r="HV401" s="99"/>
      <c r="HW401" s="99"/>
      <c r="HX401" s="99"/>
      <c r="HY401" s="99"/>
      <c r="HZ401" s="99"/>
      <c r="IA401" s="99"/>
      <c r="IB401" s="99"/>
      <c r="IC401" s="99"/>
      <c r="ID401" s="99"/>
      <c r="IE401" s="99"/>
      <c r="IF401" s="99"/>
      <c r="IG401" s="99"/>
      <c r="IH401" s="99"/>
      <c r="II401" s="99"/>
      <c r="IJ401" s="99"/>
      <c r="IK401" s="99"/>
      <c r="IL401" s="99"/>
      <c r="IM401" s="99"/>
      <c r="IN401" s="99"/>
      <c r="IO401" s="99"/>
      <c r="IP401" s="99"/>
      <c r="IQ401" s="99"/>
      <c r="IR401" s="99"/>
      <c r="IS401" s="99"/>
      <c r="IT401" s="99"/>
      <c r="IU401" s="99"/>
      <c r="IV401" s="99"/>
      <c r="IW401" s="99"/>
      <c r="IX401" s="99"/>
      <c r="IY401" s="99"/>
      <c r="IZ401" s="99"/>
    </row>
    <row r="402" spans="1:260" s="256" customFormat="1" ht="12.75" customHeight="1" x14ac:dyDescent="0.2">
      <c r="A402" s="2345" t="s">
        <v>717</v>
      </c>
      <c r="B402" s="2345"/>
      <c r="C402" s="2345"/>
      <c r="D402" s="2345"/>
      <c r="E402" s="2346"/>
      <c r="F402" s="2376"/>
      <c r="G402" s="2376"/>
      <c r="H402" s="2376"/>
      <c r="I402" s="2377"/>
      <c r="J402" s="2376"/>
      <c r="K402" s="2376"/>
      <c r="L402" s="2376"/>
      <c r="M402" s="2377"/>
      <c r="N402" s="2376"/>
      <c r="O402" s="2376"/>
      <c r="P402" s="2376"/>
      <c r="Q402" s="2377"/>
      <c r="R402" s="2376"/>
      <c r="S402" s="2376"/>
      <c r="T402" s="2376"/>
      <c r="U402" s="2377"/>
      <c r="V402" s="2376"/>
      <c r="W402" s="2376"/>
      <c r="X402" s="2376"/>
      <c r="Y402" s="2377"/>
      <c r="Z402" s="2376"/>
      <c r="AA402" s="2376"/>
      <c r="AB402" s="2376"/>
      <c r="AC402" s="2377"/>
      <c r="AD402" s="2376"/>
      <c r="AE402" s="2376"/>
      <c r="AF402" s="2376"/>
      <c r="AG402" s="2377"/>
      <c r="AH402" s="396"/>
      <c r="AI402" s="396"/>
      <c r="AJ402" s="396"/>
      <c r="AK402" s="408"/>
      <c r="AL402" s="1506"/>
      <c r="AM402" s="1506"/>
      <c r="AN402" s="1506"/>
      <c r="AO402" s="1569"/>
      <c r="AP402" s="1506"/>
      <c r="AQ402" s="1506"/>
      <c r="AR402" s="1506"/>
      <c r="AS402" s="1569"/>
      <c r="AT402" s="1506"/>
      <c r="AU402" s="1506"/>
      <c r="AV402" s="1506"/>
      <c r="AW402" s="1569"/>
      <c r="AX402" s="1506"/>
      <c r="AY402" s="1506"/>
      <c r="AZ402" s="1506"/>
      <c r="BA402" s="1569"/>
      <c r="BB402" s="1506"/>
      <c r="BC402" s="1506"/>
      <c r="BD402" s="1506"/>
      <c r="BE402" s="1569"/>
      <c r="BF402" s="1506"/>
      <c r="BG402" s="1506"/>
      <c r="BH402" s="1506"/>
      <c r="BI402" s="1569"/>
      <c r="BJ402" s="1506"/>
      <c r="BK402" s="1506"/>
      <c r="BL402" s="1506"/>
      <c r="BM402" s="1569"/>
      <c r="BN402" s="1506"/>
      <c r="BO402" s="1506"/>
      <c r="BP402" s="1506"/>
      <c r="BQ402" s="1569"/>
      <c r="BR402" s="1506"/>
      <c r="BS402" s="1506"/>
      <c r="BT402" s="1506"/>
      <c r="BU402" s="1569"/>
      <c r="BV402" s="1506"/>
      <c r="BW402" s="1506"/>
      <c r="BX402" s="1506"/>
      <c r="BY402" s="1569"/>
      <c r="BZ402" s="1506"/>
      <c r="CA402" s="1506"/>
      <c r="CB402" s="1506"/>
      <c r="CC402" s="1569"/>
      <c r="CD402" s="1506"/>
      <c r="CE402" s="1506"/>
      <c r="CF402" s="1506"/>
      <c r="CG402" s="1569"/>
      <c r="CH402" s="1506"/>
      <c r="CI402" s="1506"/>
      <c r="CJ402" s="1506"/>
      <c r="CK402" s="1569"/>
      <c r="CL402" s="1506"/>
      <c r="CM402" s="1506"/>
      <c r="CN402" s="1506"/>
      <c r="CO402" s="1569"/>
      <c r="CP402" s="1506"/>
      <c r="CQ402" s="1506"/>
      <c r="CR402" s="1506"/>
      <c r="CS402" s="1569"/>
      <c r="CT402" s="1506"/>
      <c r="CU402" s="1506"/>
      <c r="CV402" s="1506"/>
      <c r="CW402" s="1569"/>
      <c r="CX402" s="1506"/>
      <c r="CY402" s="1506"/>
      <c r="CZ402" s="1506"/>
      <c r="DA402" s="1569"/>
      <c r="DB402" s="1506"/>
      <c r="DC402" s="1506"/>
      <c r="DD402" s="2378"/>
      <c r="DE402" s="1569">
        <f>+IFERROR(DE400-DE401,"NA")</f>
        <v>1.808960573476693E-2</v>
      </c>
      <c r="DF402" s="1506">
        <f>+IFERROR(DF400-DF401,"NA")</f>
        <v>1.8257328990228014E-2</v>
      </c>
      <c r="DG402" s="1506">
        <f>+IFERROR(DG400-DG401,"NA")</f>
        <v>3.7267080745341685E-2</v>
      </c>
      <c r="DH402" s="1506"/>
      <c r="DI402" s="1569">
        <f>+IFERROR(DI400-DI401,"NA")</f>
        <v>0.14479720279720271</v>
      </c>
      <c r="DJ402" s="1926"/>
      <c r="DK402" s="1506"/>
      <c r="DL402" s="1506"/>
      <c r="DM402" s="1569"/>
      <c r="DN402" s="2347"/>
      <c r="DO402" s="2348"/>
      <c r="DP402" s="2282"/>
      <c r="DQ402" s="2282"/>
      <c r="DR402" s="2380"/>
      <c r="DS402" s="2380"/>
      <c r="DT402" s="2380"/>
      <c r="DU402" s="2381"/>
      <c r="DV402" s="2381"/>
      <c r="DW402" s="2381"/>
      <c r="DX402" s="2286"/>
      <c r="DY402" s="2380"/>
      <c r="DZ402" s="2380"/>
      <c r="EA402" s="2380"/>
      <c r="EB402" s="2380"/>
      <c r="EC402" s="2380"/>
      <c r="ED402" s="2380"/>
      <c r="EE402" s="2380"/>
      <c r="EF402" s="396"/>
      <c r="EG402" s="396"/>
      <c r="EH402" s="396"/>
      <c r="EI402" s="396"/>
      <c r="EJ402" s="396"/>
      <c r="EK402" s="1506"/>
      <c r="EL402" s="1506"/>
      <c r="EM402" s="1506"/>
      <c r="EN402" s="1506"/>
      <c r="EO402" s="1506"/>
      <c r="EP402" s="1506"/>
      <c r="EQ402" s="1506"/>
      <c r="ER402" s="1506"/>
      <c r="ES402" s="1506"/>
      <c r="ET402" s="1506"/>
      <c r="EU402" s="1506"/>
      <c r="EV402" s="1506"/>
      <c r="EW402" s="1506"/>
      <c r="EX402" s="1506"/>
      <c r="EY402" s="1506"/>
      <c r="EZ402" s="1926"/>
      <c r="FA402" s="1506"/>
      <c r="FB402" s="1506"/>
      <c r="FC402" s="1506"/>
      <c r="FD402" s="1506"/>
      <c r="FE402" s="1506"/>
      <c r="FF402" s="1506"/>
      <c r="FG402" s="1506"/>
      <c r="FH402" s="1506"/>
      <c r="FI402" s="943"/>
      <c r="FJ402"/>
      <c r="FK402"/>
      <c r="FL402"/>
      <c r="FM402"/>
      <c r="FN402"/>
      <c r="FO402"/>
      <c r="FP402" s="1435"/>
      <c r="FQ402" s="51"/>
      <c r="FR402" s="51"/>
      <c r="FS402" s="1506"/>
      <c r="FT402" s="1506"/>
      <c r="FU402" s="1388"/>
      <c r="FV402" s="1388"/>
      <c r="FW402" s="1506"/>
      <c r="FX402" s="1506"/>
      <c r="FY402" s="1506"/>
      <c r="FZ402" s="99"/>
      <c r="GA402" s="99"/>
      <c r="GB402" s="99"/>
      <c r="GC402" s="99"/>
      <c r="GD402" s="99"/>
      <c r="GE402" s="99"/>
      <c r="GF402" s="99"/>
      <c r="GG402" s="99"/>
      <c r="GH402" s="99"/>
      <c r="GI402" s="99"/>
      <c r="GJ402" s="99"/>
      <c r="GK402" s="99"/>
      <c r="GL402" s="99"/>
      <c r="GM402" s="99"/>
      <c r="GN402" s="99"/>
      <c r="GO402" s="99"/>
      <c r="GP402" s="99"/>
      <c r="GQ402" s="99"/>
      <c r="GR402" s="99"/>
      <c r="GS402" s="99"/>
      <c r="GT402" s="99"/>
      <c r="GU402" s="99"/>
      <c r="GV402" s="99"/>
      <c r="GW402" s="99"/>
      <c r="GX402" s="99"/>
      <c r="GY402" s="99"/>
      <c r="GZ402" s="99"/>
      <c r="HA402" s="99"/>
      <c r="HB402" s="99"/>
      <c r="HC402" s="99"/>
      <c r="HD402" s="99"/>
      <c r="HE402" s="99"/>
      <c r="HF402" s="99"/>
      <c r="HG402" s="99"/>
      <c r="HH402" s="99"/>
      <c r="HI402" s="99"/>
      <c r="HJ402" s="99"/>
      <c r="HK402" s="99"/>
      <c r="HL402" s="99"/>
      <c r="HM402" s="99"/>
      <c r="HN402" s="99"/>
      <c r="HO402" s="99"/>
      <c r="HP402" s="99"/>
      <c r="HQ402" s="99"/>
      <c r="HR402" s="99"/>
      <c r="HS402" s="99"/>
      <c r="HT402" s="99"/>
      <c r="HU402" s="99"/>
      <c r="HV402" s="99"/>
      <c r="HW402" s="99"/>
      <c r="HX402" s="99"/>
      <c r="HY402" s="99"/>
      <c r="HZ402" s="99"/>
      <c r="IA402" s="99"/>
      <c r="IB402" s="99"/>
      <c r="IC402" s="99"/>
      <c r="ID402" s="99"/>
      <c r="IE402" s="99"/>
      <c r="IF402" s="99"/>
      <c r="IG402" s="99"/>
      <c r="IH402" s="99"/>
      <c r="II402" s="99"/>
      <c r="IJ402" s="99"/>
      <c r="IK402" s="99"/>
      <c r="IL402" s="99"/>
      <c r="IM402" s="99"/>
      <c r="IN402" s="99"/>
      <c r="IO402" s="99"/>
      <c r="IP402" s="99"/>
      <c r="IQ402" s="99"/>
      <c r="IR402" s="99"/>
      <c r="IS402" s="99"/>
      <c r="IT402" s="99"/>
      <c r="IU402" s="99"/>
      <c r="IV402" s="99"/>
      <c r="IW402" s="99"/>
      <c r="IX402" s="99"/>
      <c r="IY402" s="99"/>
      <c r="IZ402" s="99"/>
    </row>
    <row r="403" spans="1:260" s="256" customFormat="1" ht="12.75" customHeight="1" x14ac:dyDescent="0.2">
      <c r="A403" s="2345"/>
      <c r="B403" s="2345"/>
      <c r="C403" s="2345"/>
      <c r="D403" s="2345"/>
      <c r="E403" s="2346"/>
      <c r="F403" s="2376"/>
      <c r="G403" s="2376"/>
      <c r="H403" s="2376"/>
      <c r="I403" s="2377"/>
      <c r="J403" s="2376"/>
      <c r="K403" s="2376"/>
      <c r="L403" s="2376"/>
      <c r="M403" s="2377"/>
      <c r="N403" s="2376"/>
      <c r="O403" s="2376"/>
      <c r="P403" s="2376"/>
      <c r="Q403" s="2377"/>
      <c r="R403" s="2376"/>
      <c r="S403" s="2376"/>
      <c r="T403" s="2376"/>
      <c r="U403" s="2377"/>
      <c r="V403" s="2376"/>
      <c r="W403" s="2376"/>
      <c r="X403" s="2376"/>
      <c r="Y403" s="2377"/>
      <c r="Z403" s="2376"/>
      <c r="AA403" s="2376"/>
      <c r="AB403" s="2376"/>
      <c r="AC403" s="2377"/>
      <c r="AD403" s="2376"/>
      <c r="AE403" s="2376"/>
      <c r="AF403" s="2376"/>
      <c r="AG403" s="2377"/>
      <c r="AH403" s="396"/>
      <c r="AI403" s="396"/>
      <c r="AJ403" s="396"/>
      <c r="AK403" s="408"/>
      <c r="AL403" s="396"/>
      <c r="AM403" s="396"/>
      <c r="AN403" s="396"/>
      <c r="AO403" s="408"/>
      <c r="AP403" s="396"/>
      <c r="AQ403" s="396"/>
      <c r="AR403" s="396"/>
      <c r="AS403" s="1569"/>
      <c r="AT403" s="396"/>
      <c r="AU403" s="396"/>
      <c r="AV403" s="396"/>
      <c r="AW403" s="1569"/>
      <c r="AX403" s="396"/>
      <c r="AY403" s="396"/>
      <c r="AZ403" s="396"/>
      <c r="BA403" s="1569"/>
      <c r="BB403" s="1506"/>
      <c r="BC403" s="1506"/>
      <c r="BD403" s="396"/>
      <c r="BE403" s="1569"/>
      <c r="BF403" s="1506"/>
      <c r="BG403" s="1506"/>
      <c r="BH403" s="1506"/>
      <c r="BI403" s="1569"/>
      <c r="BJ403" s="1506"/>
      <c r="BK403" s="1506"/>
      <c r="BL403" s="1506"/>
      <c r="BM403" s="1569"/>
      <c r="BN403" s="1506"/>
      <c r="BO403" s="1506"/>
      <c r="BP403" s="1506"/>
      <c r="BQ403" s="1569"/>
      <c r="BR403" s="1506"/>
      <c r="BS403" s="1506"/>
      <c r="BT403" s="1506"/>
      <c r="BU403" s="1569"/>
      <c r="BV403" s="1506"/>
      <c r="BW403" s="1506"/>
      <c r="BX403" s="1506"/>
      <c r="BY403" s="1569"/>
      <c r="BZ403" s="1506"/>
      <c r="CA403" s="1506"/>
      <c r="CB403" s="1506"/>
      <c r="CC403" s="1569"/>
      <c r="CD403" s="1506"/>
      <c r="CE403" s="1506"/>
      <c r="CF403" s="1506"/>
      <c r="CG403" s="1569"/>
      <c r="CH403" s="1506"/>
      <c r="CI403" s="1506"/>
      <c r="CJ403" s="1506"/>
      <c r="CK403" s="1569"/>
      <c r="CL403" s="1506"/>
      <c r="CM403" s="1506"/>
      <c r="CN403" s="1506"/>
      <c r="CO403" s="1569"/>
      <c r="CP403" s="1506"/>
      <c r="CQ403" s="1506"/>
      <c r="CR403" s="1506"/>
      <c r="CS403" s="1569"/>
      <c r="CT403" s="1506"/>
      <c r="CU403" s="1506"/>
      <c r="CV403" s="1506"/>
      <c r="CW403" s="1569"/>
      <c r="CX403" s="1506"/>
      <c r="CY403" s="1506"/>
      <c r="CZ403" s="1506"/>
      <c r="DA403" s="1569"/>
      <c r="DB403" s="1506"/>
      <c r="DC403" s="1506"/>
      <c r="DD403" s="2384"/>
      <c r="DE403" s="1569"/>
      <c r="DF403" s="1506"/>
      <c r="DG403" s="1506"/>
      <c r="DH403" s="1506"/>
      <c r="DI403" s="1569"/>
      <c r="DJ403" s="1926"/>
      <c r="DK403" s="1506"/>
      <c r="DL403" s="1506"/>
      <c r="DM403" s="1569"/>
      <c r="DN403" s="2347"/>
      <c r="DO403" s="2348"/>
      <c r="DP403" s="2282"/>
      <c r="DQ403" s="2282"/>
      <c r="DR403" s="2380"/>
      <c r="DS403" s="2380"/>
      <c r="DT403" s="2380"/>
      <c r="DU403" s="2381"/>
      <c r="DV403" s="2381"/>
      <c r="DW403" s="2381"/>
      <c r="DX403" s="2286"/>
      <c r="DY403" s="2380"/>
      <c r="DZ403" s="2380"/>
      <c r="EA403" s="2380"/>
      <c r="EB403" s="2380"/>
      <c r="EC403" s="2380"/>
      <c r="ED403" s="2380"/>
      <c r="EE403" s="2380"/>
      <c r="EF403" s="396"/>
      <c r="EG403" s="396"/>
      <c r="EH403" s="169"/>
      <c r="EI403" s="169"/>
      <c r="EJ403" s="169"/>
      <c r="EK403" s="170"/>
      <c r="EL403" s="170"/>
      <c r="EM403" s="170"/>
      <c r="EN403" s="170"/>
      <c r="EO403" s="170"/>
      <c r="EP403" s="2384"/>
      <c r="EQ403" s="170"/>
      <c r="ER403" s="170"/>
      <c r="ES403" s="170"/>
      <c r="ET403" s="170"/>
      <c r="EU403" s="2384"/>
      <c r="EV403" s="2384"/>
      <c r="EW403" s="2384"/>
      <c r="EX403" s="2384"/>
      <c r="EY403" s="2384"/>
      <c r="EZ403" s="2385"/>
      <c r="FA403" s="2384"/>
      <c r="FB403" s="2384"/>
      <c r="FC403" s="2384"/>
      <c r="FD403" s="2384"/>
      <c r="FE403" s="2384"/>
      <c r="FF403" s="2384"/>
      <c r="FG403" s="2384"/>
      <c r="FH403" s="2384"/>
      <c r="FI403" s="2347"/>
      <c r="FJ403"/>
      <c r="FK403"/>
      <c r="FL403"/>
      <c r="FM403"/>
      <c r="FN403"/>
      <c r="FO403"/>
      <c r="FP403" s="1435"/>
      <c r="FQ403" s="51"/>
      <c r="FR403" s="51"/>
      <c r="FS403" s="2384"/>
      <c r="FT403" s="2384"/>
      <c r="FU403" s="1388"/>
      <c r="FV403" s="1388"/>
      <c r="FW403" s="2384"/>
      <c r="FX403" s="2384"/>
      <c r="FY403" s="2384"/>
      <c r="FZ403" s="99"/>
      <c r="GA403" s="99"/>
      <c r="GB403" s="99"/>
      <c r="GC403" s="99"/>
      <c r="GD403" s="99"/>
      <c r="GE403" s="99"/>
      <c r="GF403" s="99"/>
      <c r="GG403" s="99"/>
      <c r="GH403" s="99"/>
      <c r="GI403" s="99"/>
      <c r="GJ403" s="99"/>
      <c r="GK403" s="99"/>
      <c r="GL403" s="99"/>
      <c r="GM403" s="99"/>
      <c r="GN403" s="99"/>
      <c r="GO403" s="99"/>
      <c r="GP403" s="99"/>
      <c r="GQ403" s="99"/>
      <c r="GR403" s="99"/>
      <c r="GS403" s="99"/>
      <c r="GT403" s="99"/>
      <c r="GU403" s="99"/>
      <c r="GV403" s="99"/>
      <c r="GW403" s="99"/>
      <c r="GX403" s="99"/>
      <c r="GY403" s="99"/>
      <c r="GZ403" s="99"/>
      <c r="HA403" s="99"/>
      <c r="HB403" s="99"/>
      <c r="HC403" s="99"/>
      <c r="HD403" s="99"/>
      <c r="HE403" s="99"/>
      <c r="HF403" s="99"/>
      <c r="HG403" s="99"/>
      <c r="HH403" s="99"/>
      <c r="HI403" s="99"/>
      <c r="HJ403" s="99"/>
      <c r="HK403" s="99"/>
      <c r="HL403" s="99"/>
      <c r="HM403" s="99"/>
      <c r="HN403" s="99"/>
      <c r="HO403" s="99"/>
      <c r="HP403" s="99"/>
      <c r="HQ403" s="99"/>
      <c r="HR403" s="99"/>
      <c r="HS403" s="99"/>
      <c r="HT403" s="99"/>
      <c r="HU403" s="99"/>
      <c r="HV403" s="99"/>
      <c r="HW403" s="99"/>
      <c r="HX403" s="99"/>
      <c r="HY403" s="99"/>
      <c r="HZ403" s="99"/>
      <c r="IA403" s="99"/>
      <c r="IB403" s="99"/>
      <c r="IC403" s="99"/>
      <c r="ID403" s="99"/>
      <c r="IE403" s="99"/>
      <c r="IF403" s="99"/>
      <c r="IG403" s="99"/>
      <c r="IH403" s="99"/>
      <c r="II403" s="99"/>
      <c r="IJ403" s="99"/>
      <c r="IK403" s="99"/>
      <c r="IL403" s="99"/>
      <c r="IM403" s="99"/>
      <c r="IN403" s="99"/>
      <c r="IO403" s="99"/>
      <c r="IP403" s="99"/>
      <c r="IQ403" s="99"/>
      <c r="IR403" s="99"/>
      <c r="IS403" s="99"/>
      <c r="IT403" s="99"/>
      <c r="IU403" s="99"/>
      <c r="IV403" s="99"/>
      <c r="IW403" s="99"/>
      <c r="IX403" s="99"/>
      <c r="IY403" s="99"/>
      <c r="IZ403" s="99"/>
    </row>
    <row r="404" spans="1:260" ht="12.75" customHeight="1" x14ac:dyDescent="0.2">
      <c r="A404" s="288" t="s">
        <v>313</v>
      </c>
      <c r="B404" s="288"/>
      <c r="C404" s="288"/>
      <c r="D404" s="288"/>
      <c r="E404" s="474"/>
      <c r="F404" s="881">
        <f t="shared" ref="F404:AK404" si="1483">F393+F398</f>
        <v>849.4</v>
      </c>
      <c r="G404" s="881">
        <f t="shared" si="1483"/>
        <v>933.17200000000003</v>
      </c>
      <c r="H404" s="881">
        <f t="shared" si="1483"/>
        <v>1349.8710000000001</v>
      </c>
      <c r="I404" s="882">
        <f t="shared" si="1483"/>
        <v>1947.1110000000001</v>
      </c>
      <c r="J404" s="881">
        <f t="shared" si="1483"/>
        <v>1274.6690000000001</v>
      </c>
      <c r="K404" s="881">
        <f t="shared" si="1483"/>
        <v>1437.9110000000001</v>
      </c>
      <c r="L404" s="881">
        <f t="shared" si="1483"/>
        <v>1929.277</v>
      </c>
      <c r="M404" s="882">
        <f t="shared" si="1483"/>
        <v>2575.5639999999999</v>
      </c>
      <c r="N404" s="881">
        <f t="shared" si="1483"/>
        <v>1637.184</v>
      </c>
      <c r="O404" s="881">
        <f t="shared" si="1483"/>
        <v>1778.64</v>
      </c>
      <c r="P404" s="881">
        <f t="shared" si="1483"/>
        <v>2007.3240000000001</v>
      </c>
      <c r="Q404" s="882">
        <f t="shared" si="1483"/>
        <v>2347.5349999999999</v>
      </c>
      <c r="R404" s="881">
        <f t="shared" si="1483"/>
        <v>1606.5509999999999</v>
      </c>
      <c r="S404" s="881">
        <f t="shared" si="1483"/>
        <v>1793.204</v>
      </c>
      <c r="T404" s="881">
        <f t="shared" si="1483"/>
        <v>2106.3409999999999</v>
      </c>
      <c r="U404" s="882">
        <f t="shared" si="1483"/>
        <v>2852.096</v>
      </c>
      <c r="V404" s="881">
        <f t="shared" si="1483"/>
        <v>1938.383</v>
      </c>
      <c r="W404" s="881">
        <f t="shared" si="1483"/>
        <v>2177.7660000000001</v>
      </c>
      <c r="X404" s="881">
        <f t="shared" si="1483"/>
        <v>2492.4670000000001</v>
      </c>
      <c r="Y404" s="882">
        <f t="shared" si="1483"/>
        <v>3456.03</v>
      </c>
      <c r="Z404" s="881">
        <f t="shared" si="1483"/>
        <v>2385.431</v>
      </c>
      <c r="AA404" s="881">
        <f t="shared" si="1483"/>
        <v>2686.64</v>
      </c>
      <c r="AB404" s="881">
        <f t="shared" si="1483"/>
        <v>3107.337</v>
      </c>
      <c r="AC404" s="882">
        <f t="shared" si="1483"/>
        <v>4314.6149999999998</v>
      </c>
      <c r="AD404" s="881">
        <f t="shared" si="1483"/>
        <v>2963.7179999999998</v>
      </c>
      <c r="AE404" s="881">
        <f t="shared" si="1483"/>
        <v>3169.1709999999998</v>
      </c>
      <c r="AF404" s="881">
        <f t="shared" si="1483"/>
        <v>3732.08</v>
      </c>
      <c r="AG404" s="882">
        <f t="shared" si="1483"/>
        <v>5461.5829999999996</v>
      </c>
      <c r="AH404" s="881">
        <f t="shared" si="1483"/>
        <v>3598.2249999999999</v>
      </c>
      <c r="AI404" s="881">
        <f t="shared" si="1483"/>
        <v>4089.576</v>
      </c>
      <c r="AJ404" s="881">
        <f t="shared" si="1483"/>
        <v>4580.7049999999999</v>
      </c>
      <c r="AK404" s="882">
        <f t="shared" si="1483"/>
        <v>6335</v>
      </c>
      <c r="AL404" s="881">
        <f t="shared" ref="AL404:BQ404" si="1484">AL393+AL398</f>
        <v>4202</v>
      </c>
      <c r="AM404" s="881">
        <f t="shared" si="1484"/>
        <v>4624</v>
      </c>
      <c r="AN404" s="881">
        <f t="shared" si="1484"/>
        <v>5131</v>
      </c>
      <c r="AO404" s="882">
        <f t="shared" si="1484"/>
        <v>6989</v>
      </c>
      <c r="AP404" s="881">
        <f t="shared" si="1484"/>
        <v>4668</v>
      </c>
      <c r="AQ404" s="881">
        <f t="shared" si="1484"/>
        <v>5396</v>
      </c>
      <c r="AR404" s="881">
        <f t="shared" si="1484"/>
        <v>6032</v>
      </c>
      <c r="AS404" s="882">
        <f t="shared" si="1484"/>
        <v>8449</v>
      </c>
      <c r="AT404" s="881">
        <f t="shared" si="1484"/>
        <v>5479</v>
      </c>
      <c r="AU404" s="881">
        <f t="shared" si="1484"/>
        <v>6080</v>
      </c>
      <c r="AV404" s="881">
        <f t="shared" si="1484"/>
        <v>6646</v>
      </c>
      <c r="AW404" s="882">
        <f t="shared" si="1484"/>
        <v>9227</v>
      </c>
      <c r="AX404" s="881">
        <f t="shared" si="1484"/>
        <v>6118</v>
      </c>
      <c r="AY404" s="881">
        <f t="shared" si="1484"/>
        <v>6702</v>
      </c>
      <c r="AZ404" s="881">
        <f t="shared" si="1484"/>
        <v>7335</v>
      </c>
      <c r="BA404" s="882">
        <f t="shared" si="1484"/>
        <v>10693</v>
      </c>
      <c r="BB404" s="881">
        <f t="shared" si="1484"/>
        <v>6959</v>
      </c>
      <c r="BC404" s="881">
        <f t="shared" si="1484"/>
        <v>7603</v>
      </c>
      <c r="BD404" s="881">
        <f t="shared" si="1484"/>
        <v>8473</v>
      </c>
      <c r="BE404" s="882">
        <f t="shared" si="1484"/>
        <v>12899</v>
      </c>
      <c r="BF404" s="881">
        <f t="shared" si="1484"/>
        <v>7927</v>
      </c>
      <c r="BG404" s="881">
        <f t="shared" si="1484"/>
        <v>8750</v>
      </c>
      <c r="BH404" s="881">
        <f t="shared" si="1484"/>
        <v>9928</v>
      </c>
      <c r="BI404" s="882">
        <f t="shared" si="1484"/>
        <v>13418</v>
      </c>
      <c r="BJ404" s="881">
        <f t="shared" si="1484"/>
        <v>8990</v>
      </c>
      <c r="BK404" s="881">
        <f t="shared" si="1484"/>
        <v>9801</v>
      </c>
      <c r="BL404" s="881">
        <f t="shared" si="1484"/>
        <v>11500</v>
      </c>
      <c r="BM404" s="882">
        <f t="shared" si="1484"/>
        <v>14724</v>
      </c>
      <c r="BN404" s="881">
        <f t="shared" si="1484"/>
        <v>10095</v>
      </c>
      <c r="BO404" s="881">
        <f t="shared" si="1484"/>
        <v>11022</v>
      </c>
      <c r="BP404" s="881">
        <f t="shared" si="1484"/>
        <v>12024</v>
      </c>
      <c r="BQ404" s="882">
        <f t="shared" si="1484"/>
        <v>16553</v>
      </c>
      <c r="BR404" s="881">
        <f t="shared" ref="BR404:CW404" si="1485">BR393+BR398</f>
        <v>10787</v>
      </c>
      <c r="BS404" s="881">
        <f t="shared" si="1485"/>
        <v>11339</v>
      </c>
      <c r="BT404" s="881">
        <f t="shared" si="1485"/>
        <v>11890</v>
      </c>
      <c r="BU404" s="882">
        <f t="shared" si="1485"/>
        <v>16256</v>
      </c>
      <c r="BV404" s="881">
        <f t="shared" si="1485"/>
        <v>10940</v>
      </c>
      <c r="BW404" s="881">
        <f t="shared" si="1485"/>
        <v>11347</v>
      </c>
      <c r="BX404" s="881">
        <f t="shared" si="1485"/>
        <v>12099</v>
      </c>
      <c r="BY404" s="882">
        <f t="shared" si="1485"/>
        <v>16630</v>
      </c>
      <c r="BZ404" s="881">
        <f t="shared" si="1485"/>
        <v>11322</v>
      </c>
      <c r="CA404" s="881">
        <f t="shared" si="1485"/>
        <v>10902</v>
      </c>
      <c r="CB404" s="881">
        <f t="shared" si="1485"/>
        <v>10981</v>
      </c>
      <c r="CC404" s="882">
        <f t="shared" si="1485"/>
        <v>16697</v>
      </c>
      <c r="CD404" s="881">
        <f t="shared" si="1485"/>
        <v>11369</v>
      </c>
      <c r="CE404" s="881">
        <f t="shared" si="1485"/>
        <v>10856</v>
      </c>
      <c r="CF404" s="881">
        <f t="shared" si="1485"/>
        <v>11145</v>
      </c>
      <c r="CG404" s="882">
        <f t="shared" si="1485"/>
        <v>16671</v>
      </c>
      <c r="CH404" s="881">
        <f t="shared" si="1485"/>
        <v>11610</v>
      </c>
      <c r="CI404" s="881">
        <f t="shared" si="1485"/>
        <v>10547</v>
      </c>
      <c r="CJ404" s="881">
        <f t="shared" si="1485"/>
        <v>10753</v>
      </c>
      <c r="CK404" s="882">
        <f t="shared" si="1485"/>
        <v>16711</v>
      </c>
      <c r="CL404" s="881">
        <f t="shared" si="1485"/>
        <v>10373</v>
      </c>
      <c r="CM404" s="881">
        <f t="shared" si="1485"/>
        <v>9339</v>
      </c>
      <c r="CN404" s="881">
        <f t="shared" si="1485"/>
        <v>9381</v>
      </c>
      <c r="CO404" s="882">
        <f t="shared" si="1485"/>
        <v>14952</v>
      </c>
      <c r="CP404" s="881">
        <f t="shared" si="1485"/>
        <v>8928</v>
      </c>
      <c r="CQ404" s="881">
        <f t="shared" si="1485"/>
        <v>8734</v>
      </c>
      <c r="CR404" s="881">
        <f t="shared" si="1485"/>
        <v>8924</v>
      </c>
      <c r="CS404" s="882">
        <f t="shared" si="1485"/>
        <v>14025</v>
      </c>
      <c r="CT404" s="290">
        <f t="shared" si="1485"/>
        <v>8639</v>
      </c>
      <c r="CU404" s="290">
        <f t="shared" si="1485"/>
        <v>8459</v>
      </c>
      <c r="CV404" s="290">
        <f t="shared" si="1485"/>
        <v>9032</v>
      </c>
      <c r="CW404" s="577">
        <f t="shared" si="1485"/>
        <v>14209</v>
      </c>
      <c r="CX404" s="290">
        <f t="shared" ref="CX404:DE404" si="1486">CX393+CX398</f>
        <v>8558</v>
      </c>
      <c r="CY404" s="290">
        <f t="shared" si="1486"/>
        <v>8528</v>
      </c>
      <c r="CZ404" s="290">
        <f t="shared" si="1486"/>
        <v>8819</v>
      </c>
      <c r="DA404" s="577">
        <f>DA393+DA398</f>
        <v>13623</v>
      </c>
      <c r="DB404" s="290">
        <f>DB393+DB398</f>
        <v>8443</v>
      </c>
      <c r="DC404" s="290">
        <f t="shared" si="1486"/>
        <v>8533</v>
      </c>
      <c r="DD404" s="290">
        <f t="shared" si="1486"/>
        <v>8945</v>
      </c>
      <c r="DE404" s="577">
        <f t="shared" si="1486"/>
        <v>13482</v>
      </c>
      <c r="DF404" s="290">
        <f t="shared" ref="DF404:DM404" si="1487">DF393+DF398</f>
        <v>8528</v>
      </c>
      <c r="DG404" s="290">
        <f t="shared" si="1487"/>
        <v>8940</v>
      </c>
      <c r="DH404" s="290">
        <f t="shared" si="1487"/>
        <v>9320</v>
      </c>
      <c r="DI404" s="577">
        <f>DI393+DI398</f>
        <v>15363</v>
      </c>
      <c r="DJ404" s="2771">
        <f t="shared" si="1487"/>
        <v>8711.2301459186638</v>
      </c>
      <c r="DK404" s="290">
        <f t="shared" si="1487"/>
        <v>8988.9687197025032</v>
      </c>
      <c r="DL404" s="290">
        <f t="shared" si="1487"/>
        <v>9397.9518577439158</v>
      </c>
      <c r="DM404" s="577">
        <f t="shared" si="1487"/>
        <v>15216.8565322838</v>
      </c>
      <c r="DN404" s="290"/>
      <c r="DO404" s="577"/>
      <c r="DP404" s="2386"/>
      <c r="DQ404" s="226"/>
      <c r="DR404" s="226"/>
      <c r="DS404" s="226"/>
      <c r="DT404" s="226"/>
      <c r="DU404" s="939"/>
      <c r="DV404" s="939"/>
      <c r="DW404" s="939"/>
      <c r="DX404" s="811"/>
      <c r="DY404" s="290">
        <f t="shared" ref="DY404:FC404" si="1488">DY393+DY398</f>
        <v>5079.5540000000001</v>
      </c>
      <c r="DZ404" s="290">
        <f t="shared" si="1488"/>
        <v>7217.4210000000003</v>
      </c>
      <c r="EA404" s="290">
        <f t="shared" si="1488"/>
        <v>7770.683</v>
      </c>
      <c r="EB404" s="290">
        <f t="shared" si="1488"/>
        <v>8358.1919999999991</v>
      </c>
      <c r="EC404" s="290">
        <f t="shared" si="1488"/>
        <v>10064.646000000001</v>
      </c>
      <c r="ED404" s="290">
        <f t="shared" si="1488"/>
        <v>12494.022999999999</v>
      </c>
      <c r="EE404" s="290">
        <f t="shared" si="1488"/>
        <v>15326.552</v>
      </c>
      <c r="EF404" s="290">
        <f t="shared" si="1488"/>
        <v>18603.506000000001</v>
      </c>
      <c r="EG404" s="290">
        <f t="shared" si="1488"/>
        <v>20946</v>
      </c>
      <c r="EH404" s="290">
        <f t="shared" si="1488"/>
        <v>24545</v>
      </c>
      <c r="EI404" s="290">
        <f t="shared" si="1488"/>
        <v>27432</v>
      </c>
      <c r="EJ404" s="290">
        <f t="shared" si="1488"/>
        <v>30848</v>
      </c>
      <c r="EK404" s="290">
        <f t="shared" si="1488"/>
        <v>35934</v>
      </c>
      <c r="EL404" s="290">
        <f t="shared" si="1488"/>
        <v>40023</v>
      </c>
      <c r="EM404" s="290">
        <f t="shared" si="1488"/>
        <v>45015</v>
      </c>
      <c r="EN404" s="290">
        <f t="shared" si="1488"/>
        <v>49694</v>
      </c>
      <c r="EO404" s="290">
        <f t="shared" si="1488"/>
        <v>50272</v>
      </c>
      <c r="EP404" s="290">
        <f t="shared" si="1488"/>
        <v>51016</v>
      </c>
      <c r="EQ404" s="290">
        <f t="shared" si="1488"/>
        <v>49902</v>
      </c>
      <c r="ER404" s="290">
        <f t="shared" si="1488"/>
        <v>50041</v>
      </c>
      <c r="ES404" s="881">
        <f t="shared" si="1488"/>
        <v>49621</v>
      </c>
      <c r="ET404" s="290">
        <f t="shared" si="1488"/>
        <v>44045</v>
      </c>
      <c r="EU404" s="198">
        <f t="shared" si="1488"/>
        <v>40611</v>
      </c>
      <c r="EV404" s="198">
        <f t="shared" si="1488"/>
        <v>40339</v>
      </c>
      <c r="EW404" s="198">
        <f>EW393+EW398</f>
        <v>39528</v>
      </c>
      <c r="EX404" s="198">
        <f>EX393+EX398</f>
        <v>39403</v>
      </c>
      <c r="EY404" s="198">
        <f>EY393+EY398</f>
        <v>42151</v>
      </c>
      <c r="EZ404" s="1736">
        <f>EZ393+EZ398</f>
        <v>42315.007255648889</v>
      </c>
      <c r="FA404" s="198">
        <f t="shared" si="1488"/>
        <v>42741.505738567968</v>
      </c>
      <c r="FB404" s="198">
        <f t="shared" si="1488"/>
        <v>43166.084012970176</v>
      </c>
      <c r="FC404" s="198">
        <f t="shared" si="1488"/>
        <v>43542.078949888339</v>
      </c>
      <c r="FD404" s="198">
        <f>FD393+FD398</f>
        <v>44094.716422977304</v>
      </c>
      <c r="FE404" s="198">
        <f>FE393+FE398</f>
        <v>44669.094188004266</v>
      </c>
      <c r="FF404" s="198">
        <f>FF393+FF398</f>
        <v>45266.289294580514</v>
      </c>
      <c r="FG404" s="198">
        <f>FG393+FG398</f>
        <v>45887.432566183001</v>
      </c>
      <c r="FH404" s="198">
        <f>FH393+FH398</f>
        <v>46533.711289341292</v>
      </c>
      <c r="FI404" s="2344"/>
      <c r="FP404" s="1474"/>
      <c r="FQ404" s="1388"/>
      <c r="FR404" s="1388"/>
      <c r="FS404" s="290"/>
      <c r="FT404" s="290"/>
      <c r="FU404" s="1388"/>
      <c r="FV404" s="1388"/>
      <c r="FW404" s="198"/>
      <c r="FX404" s="198"/>
      <c r="FY404" s="198"/>
    </row>
    <row r="405" spans="1:260" ht="12.75" customHeight="1" x14ac:dyDescent="0.2">
      <c r="A405" s="2259" t="s">
        <v>88</v>
      </c>
      <c r="B405" s="288"/>
      <c r="C405" s="288"/>
      <c r="D405" s="288"/>
      <c r="E405" s="474"/>
      <c r="F405" s="881"/>
      <c r="G405" s="881"/>
      <c r="H405" s="881"/>
      <c r="I405" s="882"/>
      <c r="J405" s="881"/>
      <c r="K405" s="881"/>
      <c r="L405" s="881"/>
      <c r="M405" s="882"/>
      <c r="N405" s="881"/>
      <c r="O405" s="881"/>
      <c r="P405" s="881"/>
      <c r="Q405" s="882"/>
      <c r="R405" s="881"/>
      <c r="S405" s="881"/>
      <c r="T405" s="881"/>
      <c r="U405" s="882"/>
      <c r="V405" s="881"/>
      <c r="W405" s="881"/>
      <c r="X405" s="881"/>
      <c r="Y405" s="882"/>
      <c r="Z405" s="881"/>
      <c r="AA405" s="881"/>
      <c r="AB405" s="881"/>
      <c r="AC405" s="882"/>
      <c r="AD405" s="881"/>
      <c r="AE405" s="881"/>
      <c r="AF405" s="881"/>
      <c r="AG405" s="882"/>
      <c r="AH405" s="881"/>
      <c r="AI405" s="881"/>
      <c r="AJ405" s="881"/>
      <c r="AK405" s="882"/>
      <c r="AL405" s="881"/>
      <c r="AM405" s="881"/>
      <c r="AN405" s="881"/>
      <c r="AO405" s="882"/>
      <c r="AP405" s="881"/>
      <c r="AQ405" s="881"/>
      <c r="AR405" s="881"/>
      <c r="AS405" s="882"/>
      <c r="AT405" s="881"/>
      <c r="AU405" s="881"/>
      <c r="AV405" s="881"/>
      <c r="AW405" s="882"/>
      <c r="AX405" s="881"/>
      <c r="AY405" s="881"/>
      <c r="AZ405" s="881"/>
      <c r="BA405" s="882"/>
      <c r="BB405" s="881"/>
      <c r="BC405" s="881"/>
      <c r="BD405" s="881"/>
      <c r="BE405" s="882"/>
      <c r="BF405" s="881"/>
      <c r="BG405" s="881"/>
      <c r="BH405" s="881"/>
      <c r="BI405" s="882"/>
      <c r="BJ405" s="881"/>
      <c r="BK405" s="881"/>
      <c r="BL405" s="881"/>
      <c r="BM405" s="882"/>
      <c r="BN405" s="881"/>
      <c r="BO405" s="881"/>
      <c r="BP405" s="881"/>
      <c r="BQ405" s="882"/>
      <c r="BR405" s="881"/>
      <c r="BS405" s="881"/>
      <c r="BT405" s="881"/>
      <c r="BU405" s="882"/>
      <c r="BV405" s="881"/>
      <c r="BW405" s="881"/>
      <c r="BX405" s="881"/>
      <c r="BY405" s="882"/>
      <c r="BZ405" s="881"/>
      <c r="CA405" s="881"/>
      <c r="CB405" s="881"/>
      <c r="CC405" s="882"/>
      <c r="CD405" s="881"/>
      <c r="CE405" s="881"/>
      <c r="CF405" s="881"/>
      <c r="CG405" s="882"/>
      <c r="CH405" s="881"/>
      <c r="CI405" s="881"/>
      <c r="CJ405" s="881"/>
      <c r="CK405" s="882"/>
      <c r="CL405" s="881"/>
      <c r="CM405" s="881"/>
      <c r="CN405" s="881"/>
      <c r="CO405" s="882"/>
      <c r="CP405" s="881"/>
      <c r="CQ405" s="881"/>
      <c r="CR405" s="881"/>
      <c r="CS405" s="882"/>
      <c r="CT405" s="2387">
        <f t="shared" ref="CT405:DD405" si="1489">+CT404/CP404-1</f>
        <v>-3.2370071684587831E-2</v>
      </c>
      <c r="CU405" s="2387">
        <f t="shared" si="1489"/>
        <v>-3.1486146095717871E-2</v>
      </c>
      <c r="CV405" s="2387">
        <f t="shared" si="1489"/>
        <v>1.2102196324518255E-2</v>
      </c>
      <c r="CW405" s="2388">
        <f t="shared" si="1489"/>
        <v>1.3119429590017884E-2</v>
      </c>
      <c r="CX405" s="49">
        <f t="shared" si="1489"/>
        <v>-9.3760851950457358E-3</v>
      </c>
      <c r="CY405" s="49">
        <f t="shared" si="1489"/>
        <v>8.1569925523110598E-3</v>
      </c>
      <c r="CZ405" s="49">
        <f t="shared" si="1489"/>
        <v>-2.3582816651904315E-2</v>
      </c>
      <c r="DA405" s="408">
        <f t="shared" si="1489"/>
        <v>-4.1241466676050442E-2</v>
      </c>
      <c r="DB405" s="49">
        <f t="shared" si="1489"/>
        <v>-1.3437719093246092E-2</v>
      </c>
      <c r="DC405" s="52">
        <f t="shared" si="1489"/>
        <v>5.8630393996250696E-4</v>
      </c>
      <c r="DD405" s="52">
        <f t="shared" si="1489"/>
        <v>1.4287334164871268E-2</v>
      </c>
      <c r="DE405" s="1569">
        <f t="shared" ref="DE405" si="1490">+DE404/DA404-1</f>
        <v>-1.035014314027749E-2</v>
      </c>
      <c r="DF405" s="1506">
        <f t="shared" ref="DF405:DG405" si="1491">+DF404/DB404-1</f>
        <v>1.0067511548027985E-2</v>
      </c>
      <c r="DG405" s="1506">
        <f t="shared" si="1491"/>
        <v>4.7697175670924574E-2</v>
      </c>
      <c r="DH405" s="1506">
        <f t="shared" ref="DH405:DM405" si="1492">+DH404/DD404-1</f>
        <v>4.1922861934041267E-2</v>
      </c>
      <c r="DI405" s="1569">
        <f t="shared" ref="DI405" si="1493">+DI404/DE404-1</f>
        <v>0.13951935914552727</v>
      </c>
      <c r="DJ405" s="1926">
        <f t="shared" si="1492"/>
        <v>2.1485711294402465E-2</v>
      </c>
      <c r="DK405" s="1506">
        <f t="shared" si="1492"/>
        <v>5.4774854253358818E-3</v>
      </c>
      <c r="DL405" s="1506">
        <f t="shared" si="1492"/>
        <v>8.3639332343257156E-3</v>
      </c>
      <c r="DM405" s="1569">
        <f t="shared" si="1492"/>
        <v>-9.5126907320315368E-3</v>
      </c>
      <c r="DN405" s="49"/>
      <c r="DO405" s="408"/>
      <c r="DP405" s="49"/>
      <c r="DQ405" s="49"/>
      <c r="DR405" s="49"/>
      <c r="DS405" s="49"/>
      <c r="DT405" s="49"/>
      <c r="DU405" s="49"/>
      <c r="DV405" s="49"/>
      <c r="DW405" s="49"/>
      <c r="DX405" s="49"/>
      <c r="DY405" s="49"/>
      <c r="DZ405" s="49"/>
      <c r="EA405" s="49"/>
      <c r="EB405" s="49"/>
      <c r="EC405" s="49"/>
      <c r="ED405" s="49"/>
      <c r="EE405" s="49"/>
      <c r="EF405" s="49"/>
      <c r="EG405" s="49"/>
      <c r="EH405" s="49"/>
      <c r="EI405" s="49"/>
      <c r="EJ405" s="49"/>
      <c r="EK405" s="49"/>
      <c r="EL405" s="49"/>
      <c r="EM405" s="49"/>
      <c r="EN405" s="49"/>
      <c r="EO405" s="49"/>
      <c r="EP405" s="49"/>
      <c r="EQ405" s="49"/>
      <c r="ER405" s="49"/>
      <c r="ES405" s="49"/>
      <c r="ET405" s="396"/>
      <c r="EU405" s="396">
        <f t="shared" ref="EU405:EW405" si="1494">+EU404/ET404-1</f>
        <v>-7.7965716880463165E-2</v>
      </c>
      <c r="EV405" s="49">
        <f t="shared" si="1494"/>
        <v>-6.6976927433454181E-3</v>
      </c>
      <c r="EW405" s="49">
        <f t="shared" si="1494"/>
        <v>-2.0104613401422888E-2</v>
      </c>
      <c r="EX405" s="52">
        <f>+EX404/EW404-1</f>
        <v>-3.1623153207852583E-3</v>
      </c>
      <c r="EY405" s="52">
        <f t="shared" ref="EY405:FH405" si="1495">+EY404/EX404-1</f>
        <v>6.97408826739081E-2</v>
      </c>
      <c r="EZ405" s="2389">
        <f t="shared" si="1495"/>
        <v>3.8909457818057103E-3</v>
      </c>
      <c r="FA405" s="49">
        <f t="shared" si="1495"/>
        <v>1.0079130563356964E-2</v>
      </c>
      <c r="FB405" s="49">
        <f t="shared" si="1495"/>
        <v>9.9336293157095135E-3</v>
      </c>
      <c r="FC405" s="49">
        <f t="shared" si="1495"/>
        <v>8.7104249902583142E-3</v>
      </c>
      <c r="FD405" s="49">
        <f t="shared" si="1495"/>
        <v>1.2692032314878254E-2</v>
      </c>
      <c r="FE405" s="49">
        <f t="shared" si="1495"/>
        <v>1.3025999748297767E-2</v>
      </c>
      <c r="FF405" s="49">
        <f t="shared" si="1495"/>
        <v>1.3369313110822345E-2</v>
      </c>
      <c r="FG405" s="49">
        <f t="shared" si="1495"/>
        <v>1.3721983429219486E-2</v>
      </c>
      <c r="FH405" s="49">
        <f t="shared" si="1495"/>
        <v>1.4084002678209862E-2</v>
      </c>
      <c r="FI405" s="2265"/>
      <c r="FP405" s="1474"/>
      <c r="FQ405" s="1388"/>
      <c r="FR405" s="1388"/>
      <c r="FS405" s="881"/>
      <c r="FT405" s="881"/>
      <c r="FU405" s="1388"/>
      <c r="FV405" s="1388"/>
      <c r="FW405" s="1506"/>
      <c r="FX405" s="1506"/>
      <c r="FY405" s="1506"/>
    </row>
    <row r="406" spans="1:260" ht="12.75" customHeight="1" x14ac:dyDescent="0.2">
      <c r="A406" s="2259"/>
      <c r="B406" s="288"/>
      <c r="C406" s="288"/>
      <c r="D406" s="288"/>
      <c r="E406" s="474"/>
      <c r="F406" s="881"/>
      <c r="G406" s="881"/>
      <c r="H406" s="881"/>
      <c r="I406" s="882"/>
      <c r="J406" s="881"/>
      <c r="K406" s="881"/>
      <c r="L406" s="881"/>
      <c r="M406" s="882"/>
      <c r="N406" s="881"/>
      <c r="O406" s="881"/>
      <c r="P406" s="881"/>
      <c r="Q406" s="882"/>
      <c r="R406" s="881"/>
      <c r="S406" s="881"/>
      <c r="T406" s="881"/>
      <c r="U406" s="882"/>
      <c r="V406" s="881"/>
      <c r="W406" s="881"/>
      <c r="X406" s="881"/>
      <c r="Y406" s="882"/>
      <c r="Z406" s="881"/>
      <c r="AA406" s="881"/>
      <c r="AB406" s="881"/>
      <c r="AC406" s="882"/>
      <c r="AD406" s="881"/>
      <c r="AE406" s="881"/>
      <c r="AF406" s="881"/>
      <c r="AG406" s="882"/>
      <c r="AH406" s="881"/>
      <c r="AI406" s="881"/>
      <c r="AJ406" s="881"/>
      <c r="AK406" s="882"/>
      <c r="AL406" s="881"/>
      <c r="AM406" s="881"/>
      <c r="AN406" s="881"/>
      <c r="AO406" s="882"/>
      <c r="AP406" s="881"/>
      <c r="AQ406" s="881"/>
      <c r="AR406" s="881"/>
      <c r="AS406" s="882"/>
      <c r="AT406" s="881"/>
      <c r="AU406" s="881"/>
      <c r="AV406" s="881"/>
      <c r="AW406" s="882"/>
      <c r="AX406" s="881"/>
      <c r="AY406" s="881"/>
      <c r="AZ406" s="881"/>
      <c r="BA406" s="882"/>
      <c r="BB406" s="881"/>
      <c r="BC406" s="881"/>
      <c r="BD406" s="881"/>
      <c r="BE406" s="882"/>
      <c r="BF406" s="881"/>
      <c r="BG406" s="881"/>
      <c r="BH406" s="881"/>
      <c r="BI406" s="882"/>
      <c r="BJ406" s="881"/>
      <c r="BK406" s="881"/>
      <c r="BL406" s="881"/>
      <c r="BM406" s="882"/>
      <c r="BN406" s="881"/>
      <c r="BO406" s="881"/>
      <c r="BP406" s="881"/>
      <c r="BQ406" s="882"/>
      <c r="BR406" s="881"/>
      <c r="BS406" s="881"/>
      <c r="BT406" s="881"/>
      <c r="BU406" s="882"/>
      <c r="BV406" s="881"/>
      <c r="BW406" s="881"/>
      <c r="BX406" s="881"/>
      <c r="BY406" s="882"/>
      <c r="BZ406" s="881"/>
      <c r="CA406" s="881"/>
      <c r="CB406" s="881"/>
      <c r="CC406" s="882"/>
      <c r="CD406" s="881"/>
      <c r="CE406" s="881"/>
      <c r="CF406" s="881"/>
      <c r="CG406" s="882"/>
      <c r="CH406" s="881"/>
      <c r="CI406" s="881"/>
      <c r="CJ406" s="881"/>
      <c r="CK406" s="882"/>
      <c r="CL406" s="881"/>
      <c r="CM406" s="881"/>
      <c r="CN406" s="881"/>
      <c r="CO406" s="882"/>
      <c r="CP406" s="881"/>
      <c r="CQ406" s="881"/>
      <c r="CR406" s="881"/>
      <c r="CS406" s="882"/>
      <c r="CT406" s="2387"/>
      <c r="CU406" s="2387"/>
      <c r="CV406" s="2387"/>
      <c r="CW406" s="2388"/>
      <c r="CX406" s="49"/>
      <c r="CY406" s="49"/>
      <c r="CZ406" s="49"/>
      <c r="DA406" s="408"/>
      <c r="DB406" s="49"/>
      <c r="DC406" s="52"/>
      <c r="DD406" s="52"/>
      <c r="DE406" s="1569"/>
      <c r="DF406" s="1506"/>
      <c r="DG406" s="1506"/>
      <c r="DH406" s="1506"/>
      <c r="DI406" s="1569"/>
      <c r="DJ406" s="1926"/>
      <c r="DK406" s="1506"/>
      <c r="DL406" s="1506"/>
      <c r="DM406" s="1569"/>
      <c r="DN406" s="49"/>
      <c r="DO406" s="408"/>
      <c r="DP406" s="49"/>
      <c r="DQ406" s="49"/>
      <c r="DR406" s="49"/>
      <c r="DS406" s="49"/>
      <c r="DT406" s="49"/>
      <c r="DU406" s="49"/>
      <c r="DV406" s="49"/>
      <c r="DW406" s="49"/>
      <c r="DX406" s="49"/>
      <c r="DY406" s="49"/>
      <c r="DZ406" s="49"/>
      <c r="EA406" s="49"/>
      <c r="EB406" s="49"/>
      <c r="EC406" s="49"/>
      <c r="ED406" s="49"/>
      <c r="EE406" s="49"/>
      <c r="EF406" s="49"/>
      <c r="EG406" s="49"/>
      <c r="EH406" s="49"/>
      <c r="EI406" s="49"/>
      <c r="EJ406" s="49"/>
      <c r="EK406" s="49"/>
      <c r="EL406" s="49"/>
      <c r="EM406" s="49"/>
      <c r="EN406" s="49"/>
      <c r="EO406" s="49"/>
      <c r="EP406" s="49"/>
      <c r="EQ406" s="49"/>
      <c r="ER406" s="49"/>
      <c r="ES406" s="49"/>
      <c r="ET406" s="49"/>
      <c r="EU406" s="396"/>
      <c r="EV406" s="49"/>
      <c r="EW406" s="49"/>
      <c r="EX406" s="52"/>
      <c r="EY406" s="52"/>
      <c r="EZ406" s="2389"/>
      <c r="FA406" s="49"/>
      <c r="FB406" s="49"/>
      <c r="FC406" s="49"/>
      <c r="FD406" s="49"/>
      <c r="FE406" s="49"/>
      <c r="FF406" s="49"/>
      <c r="FG406" s="49"/>
      <c r="FH406" s="49"/>
      <c r="FI406" s="2265"/>
      <c r="FP406" s="1474"/>
      <c r="FQ406" s="1388"/>
      <c r="FR406" s="1388"/>
      <c r="FS406" s="881"/>
      <c r="FT406" s="881"/>
      <c r="FU406" s="1388"/>
      <c r="FV406" s="1388"/>
      <c r="FW406" s="1506"/>
      <c r="FX406" s="1506"/>
      <c r="FY406" s="1506"/>
    </row>
    <row r="407" spans="1:260" s="2149" customFormat="1" ht="12.75" customHeight="1" x14ac:dyDescent="0.2">
      <c r="A407" s="2390" t="s">
        <v>321</v>
      </c>
      <c r="B407" s="2390"/>
      <c r="C407" s="2390"/>
      <c r="D407" s="2390"/>
      <c r="E407" s="2391"/>
      <c r="F407" s="219"/>
      <c r="G407" s="219"/>
      <c r="H407" s="219"/>
      <c r="I407" s="550"/>
      <c r="J407" s="219"/>
      <c r="K407" s="219"/>
      <c r="L407" s="219"/>
      <c r="M407" s="550"/>
      <c r="N407" s="219"/>
      <c r="O407" s="219"/>
      <c r="P407" s="219"/>
      <c r="Q407" s="550"/>
      <c r="R407" s="219"/>
      <c r="S407" s="219"/>
      <c r="T407" s="219"/>
      <c r="U407" s="550"/>
      <c r="V407" s="219"/>
      <c r="W407" s="219"/>
      <c r="X407" s="219"/>
      <c r="Y407" s="550"/>
      <c r="Z407" s="219"/>
      <c r="AA407" s="219"/>
      <c r="AB407" s="219"/>
      <c r="AC407" s="550"/>
      <c r="AD407" s="219"/>
      <c r="AE407" s="219"/>
      <c r="AF407" s="219"/>
      <c r="AG407" s="550"/>
      <c r="AH407" s="219"/>
      <c r="AI407" s="219"/>
      <c r="AJ407" s="219"/>
      <c r="AK407" s="550"/>
      <c r="AL407" s="219"/>
      <c r="AM407" s="219"/>
      <c r="AN407" s="219"/>
      <c r="AO407" s="550"/>
      <c r="AP407" s="219"/>
      <c r="AQ407" s="219"/>
      <c r="AR407" s="219"/>
      <c r="AS407" s="550"/>
      <c r="AT407" s="219"/>
      <c r="AU407" s="219"/>
      <c r="AV407" s="219"/>
      <c r="AW407" s="550"/>
      <c r="AX407" s="220">
        <v>4.3999999999999997E-2</v>
      </c>
      <c r="AY407" s="220">
        <v>3.5000000000000003E-2</v>
      </c>
      <c r="AZ407" s="219">
        <v>3.3000000000000002E-2</v>
      </c>
      <c r="BA407" s="550">
        <v>7.2999999999999995E-2</v>
      </c>
      <c r="BB407" s="197">
        <v>4.9000000000000002E-2</v>
      </c>
      <c r="BC407" s="197">
        <v>3.6999999999999998E-2</v>
      </c>
      <c r="BD407" s="219">
        <v>4.8000000000000001E-2</v>
      </c>
      <c r="BE407" s="572">
        <v>5.8999999999999997E-2</v>
      </c>
      <c r="BF407" s="197">
        <v>0.03</v>
      </c>
      <c r="BG407" s="197">
        <v>3.5999999999999997E-2</v>
      </c>
      <c r="BH407" s="197">
        <v>6.7000000000000004E-2</v>
      </c>
      <c r="BI407" s="572">
        <v>-2E-3</v>
      </c>
      <c r="BJ407" s="197">
        <v>3.6999999999999998E-2</v>
      </c>
      <c r="BK407" s="197">
        <v>4.2000000000000003E-2</v>
      </c>
      <c r="BL407" s="197">
        <v>-5.2999999999999999E-2</v>
      </c>
      <c r="BM407" s="572">
        <v>-4.9000000000000002E-2</v>
      </c>
      <c r="BN407" s="197">
        <v>-6.2E-2</v>
      </c>
      <c r="BO407" s="197">
        <v>-3.9E-2</v>
      </c>
      <c r="BP407" s="197">
        <v>1.7000000000000001E-2</v>
      </c>
      <c r="BQ407" s="572">
        <v>7.0000000000000007E-2</v>
      </c>
      <c r="BR407" s="197">
        <v>2.8000000000000001E-2</v>
      </c>
      <c r="BS407" s="197">
        <v>-1E-3</v>
      </c>
      <c r="BT407" s="197">
        <v>-3.3000000000000002E-2</v>
      </c>
      <c r="BU407" s="572">
        <v>-4.5999999999999999E-2</v>
      </c>
      <c r="BV407" s="197">
        <v>-1.7240950639853748E-2</v>
      </c>
      <c r="BW407" s="197">
        <v>-2.8000000000000001E-2</v>
      </c>
      <c r="BX407" s="197">
        <v>3.0000000000000001E-3</v>
      </c>
      <c r="BY407" s="572">
        <v>-2.4E-2</v>
      </c>
      <c r="BZ407" s="197">
        <v>5.1999999999999998E-2</v>
      </c>
      <c r="CA407" s="197">
        <v>0.01</v>
      </c>
      <c r="CB407" s="197">
        <v>-2.4E-2</v>
      </c>
      <c r="CC407" s="572">
        <v>-4.5999999999999999E-2</v>
      </c>
      <c r="CD407" s="197">
        <v>-0.03</v>
      </c>
      <c r="CE407" s="197">
        <v>-3.7999999999999999E-2</v>
      </c>
      <c r="CF407" s="197">
        <v>-7.0000000000000001E-3</v>
      </c>
      <c r="CG407" s="572">
        <v>-1.2999999999999999E-2</v>
      </c>
      <c r="CH407" s="197">
        <v>-5.2999999999999999E-2</v>
      </c>
      <c r="CI407" s="197">
        <v>-3.2000000000000001E-2</v>
      </c>
      <c r="CJ407" s="197">
        <v>-4.2999999999999997E-2</v>
      </c>
      <c r="CK407" s="572">
        <v>-8.0000000000000002E-3</v>
      </c>
      <c r="CL407" s="197">
        <v>-5.1999999999999998E-2</v>
      </c>
      <c r="CM407" s="197">
        <v>-3.3000000000000002E-2</v>
      </c>
      <c r="CN407" s="197">
        <v>-5.0999999999999997E-2</v>
      </c>
      <c r="CO407" s="572">
        <v>-1.4E-2</v>
      </c>
      <c r="CP407" s="197">
        <v>-1.7999999999999999E-2</v>
      </c>
      <c r="CQ407" s="197">
        <v>-6.0000000000000001E-3</v>
      </c>
      <c r="CR407" s="197">
        <v>5.0000000000000001E-3</v>
      </c>
      <c r="CS407" s="572">
        <v>-1.2999999999999999E-2</v>
      </c>
      <c r="CT407" s="197">
        <v>-1.7999999999999999E-2</v>
      </c>
      <c r="CU407" s="197">
        <v>-2.1999999999999999E-2</v>
      </c>
      <c r="CV407" s="197">
        <v>2.9000000000000001E-2</v>
      </c>
      <c r="CW407" s="572">
        <v>0.02</v>
      </c>
      <c r="CX407" s="197">
        <f>((CX393/CX404)*CX394)+(CX398/CX404)*CX399</f>
        <v>6.0000000000000001E-3</v>
      </c>
      <c r="CY407" s="197">
        <v>3.7999999999999999E-2</v>
      </c>
      <c r="CZ407" s="197">
        <f t="shared" ref="CZ407:DE407" si="1496">((CZ393/CZ404)*CZ394)+(CZ398/CZ404)*CZ399</f>
        <v>7.7520126998525908E-3</v>
      </c>
      <c r="DA407" s="572">
        <f t="shared" si="1496"/>
        <v>-1.6426558026866329E-2</v>
      </c>
      <c r="DB407" s="197">
        <f t="shared" si="1496"/>
        <v>-1.7999526234750681E-3</v>
      </c>
      <c r="DC407" s="197">
        <f t="shared" si="1496"/>
        <v>1.0490566037735849E-2</v>
      </c>
      <c r="DD407" s="197">
        <f t="shared" si="1496"/>
        <v>1.7999999999999999E-2</v>
      </c>
      <c r="DE407" s="572">
        <f t="shared" si="1496"/>
        <v>-7.4726301735647521E-3</v>
      </c>
      <c r="DF407" s="197">
        <f t="shared" ref="DF407:DM407" si="1497">((DF393/DF404)*DF394)+(DF398/DF404)*DF399</f>
        <v>1.5878048780487805E-2</v>
      </c>
      <c r="DG407" s="197">
        <f t="shared" si="1497"/>
        <v>5.347695749440716E-2</v>
      </c>
      <c r="DH407" s="197">
        <f t="shared" si="1497"/>
        <v>4.4377360515021461E-2</v>
      </c>
      <c r="DI407" s="572">
        <f t="shared" si="1497"/>
        <v>9.0806092560046861E-2</v>
      </c>
      <c r="DJ407" s="1713">
        <f t="shared" si="1497"/>
        <v>3.4377005258931934E-2</v>
      </c>
      <c r="DK407" s="197">
        <f t="shared" si="1497"/>
        <v>1.70892718628117E-2</v>
      </c>
      <c r="DL407" s="197">
        <f t="shared" si="1497"/>
        <v>1.4934614570902296E-2</v>
      </c>
      <c r="DM407" s="572">
        <f t="shared" si="1497"/>
        <v>-1.1782934237688171E-2</v>
      </c>
      <c r="DN407" s="197"/>
      <c r="DO407" s="572"/>
      <c r="DP407" s="2392"/>
      <c r="DQ407" s="2392"/>
      <c r="DR407" s="2392"/>
      <c r="DS407" s="2392"/>
      <c r="DT407" s="2392"/>
      <c r="DU407" s="2392"/>
      <c r="DV407" s="2392"/>
      <c r="DW407" s="2392"/>
      <c r="DX407" s="2393"/>
      <c r="DY407" s="219"/>
      <c r="DZ407" s="219"/>
      <c r="EA407" s="219"/>
      <c r="EB407" s="219"/>
      <c r="EC407" s="219"/>
      <c r="ED407" s="219"/>
      <c r="EE407" s="219"/>
      <c r="EF407" s="219">
        <f>(EF147*EF140+EF325*EF314)/'Income Statement'!EF7</f>
        <v>2.6222386640812365E-2</v>
      </c>
      <c r="EG407" s="219">
        <f>(EG147*EG140+EG325*EG314)/'Income Statement'!EG7</f>
        <v>2.6786832808173393E-2</v>
      </c>
      <c r="EH407" s="219">
        <f>(EH147*EH140+EH325*EH314)/'Income Statement'!EH7</f>
        <v>7.4707557547361983E-2</v>
      </c>
      <c r="EI407" s="197">
        <f>(EI147*EI140+EI325*EI314)/'Income Statement'!EI7</f>
        <v>4.3280683847920387E-2</v>
      </c>
      <c r="EJ407" s="1556">
        <v>4.9000000000000002E-2</v>
      </c>
      <c r="EK407" s="1605">
        <v>0.05</v>
      </c>
      <c r="EL407" s="1605">
        <v>2.9000000000000001E-2</v>
      </c>
      <c r="EM407" s="1605">
        <v>-1.2999999999999999E-2</v>
      </c>
      <c r="EN407" s="197">
        <f>(EN147*EN140+EN325*EN314)/'Income Statement'!EN7</f>
        <v>3.5472692880428236E-3</v>
      </c>
      <c r="EO407" s="197">
        <f>((EO393/EO404)*EO394)+(EO398/EO404)*EO399</f>
        <v>-1.5943586887332904E-2</v>
      </c>
      <c r="EP407" s="197">
        <f>((EP393/EP404)*EP394)+(EP398/EP404)*EP399</f>
        <v>-2.3572719320378115E-2</v>
      </c>
      <c r="EQ407" s="1605">
        <v>-8.0000000000000002E-3</v>
      </c>
      <c r="ER407" s="1605">
        <v>-2.1000000000000001E-2</v>
      </c>
      <c r="ES407" s="1605">
        <f>((ES393/ES404)*ES394)+(ES398/ES404)*ES399</f>
        <v>-2.9098325305818101E-2</v>
      </c>
      <c r="ET407" s="1605">
        <v>-3.5000000000000003E-2</v>
      </c>
      <c r="EU407" s="197">
        <f>(EU140*EU147+EU314*EU325)/'Income Statement'!EU7</f>
        <v>-9.4864137493136103E-3</v>
      </c>
      <c r="EV407" s="197">
        <f>(EV140*EV147+EV314*EV325)/'Income Statement'!EV7</f>
        <v>3.9225434049018513E-3</v>
      </c>
      <c r="EW407" s="197">
        <f>(EW140*EW147+EW314*EW325)/'Income Statement'!EW7</f>
        <v>5.0323693949040982E-3</v>
      </c>
      <c r="EX407" s="197">
        <f>(EX140*EX147+EX314*EX325)/'Income Statement'!EX7</f>
        <v>3.8387980462054245E-3</v>
      </c>
      <c r="EY407" s="197">
        <f>(EY140*EY147+EY314*EY325)/'Income Statement'!EY7</f>
        <v>5.6585484638465279E-2</v>
      </c>
      <c r="EZ407" s="1713">
        <f>(EZ140*EZ147+EZ314*EZ325)/'Income Statement'!EZ7</f>
        <v>1.110731572678156E-2</v>
      </c>
      <c r="FA407" s="114">
        <f>(FA140*FA147+FA314*FA325)/'Income Statement'!FA7</f>
        <v>1.017036710693504E-2</v>
      </c>
      <c r="FB407" s="114">
        <f>(FB140*FB147+FB314*FB325)/'Income Statement'!FB7</f>
        <v>1.0458690457012528E-2</v>
      </c>
      <c r="FC407" s="114">
        <f>(FC140*FC147+FC314*FC325)/'Income Statement'!FC7</f>
        <v>9.4983743750895883E-3</v>
      </c>
      <c r="FD407" s="114">
        <f>(FD140*FD147+FD314*FD325)/'Income Statement'!FD7</f>
        <v>1.4478854502601193E-2</v>
      </c>
      <c r="FE407" s="114">
        <f>(FE140*FE147+FE314*FE325)/'Income Statement'!FE7</f>
        <v>1.4847937941708703E-2</v>
      </c>
      <c r="FF407" s="114">
        <f>(FF140*FF147+FF314*FF325)/'Income Statement'!FF7</f>
        <v>1.5227042828709972E-2</v>
      </c>
      <c r="FG407" s="114">
        <f>(FG140*FG147+FG314*FG325)/'Income Statement'!FG7</f>
        <v>1.5616178773899723E-2</v>
      </c>
      <c r="FH407" s="114">
        <f>(FH140*FH147+FH314*FH325)/'Income Statement'!FH7</f>
        <v>1.6015334596311947E-2</v>
      </c>
      <c r="FI407" s="2394"/>
      <c r="FJ407"/>
      <c r="FK407"/>
      <c r="FL407"/>
      <c r="FM407"/>
      <c r="FN407"/>
      <c r="FO407"/>
      <c r="FP407" s="2395"/>
      <c r="FQ407" s="2212"/>
      <c r="FR407" s="2212"/>
      <c r="FS407" s="114"/>
      <c r="FT407" s="114"/>
      <c r="FU407" s="1388"/>
      <c r="FV407" s="1388"/>
      <c r="FW407" s="114"/>
      <c r="FX407" s="114"/>
      <c r="FY407" s="114"/>
      <c r="FZ407" s="99"/>
      <c r="GA407" s="99"/>
      <c r="GB407" s="99"/>
      <c r="GC407" s="99"/>
      <c r="GD407" s="99"/>
      <c r="GE407" s="99"/>
      <c r="GF407" s="99"/>
      <c r="GG407" s="99"/>
      <c r="GH407" s="99"/>
      <c r="GI407" s="99"/>
      <c r="GJ407" s="99"/>
      <c r="GK407" s="99"/>
      <c r="GL407" s="99"/>
      <c r="GM407" s="99"/>
      <c r="GN407" s="99"/>
      <c r="GO407" s="99"/>
      <c r="GP407" s="99"/>
      <c r="GQ407" s="99"/>
      <c r="GR407" s="99"/>
      <c r="GS407" s="99"/>
      <c r="GT407" s="99"/>
      <c r="GU407" s="99"/>
      <c r="GV407" s="99"/>
      <c r="GW407" s="99"/>
      <c r="GX407" s="99"/>
      <c r="GY407" s="99"/>
      <c r="GZ407" s="99"/>
      <c r="HA407" s="99"/>
      <c r="HB407" s="99"/>
      <c r="HC407" s="99"/>
      <c r="HD407" s="99"/>
      <c r="HE407" s="99"/>
      <c r="HF407" s="99"/>
      <c r="HG407" s="99"/>
      <c r="HH407" s="99"/>
      <c r="HI407" s="99"/>
      <c r="HJ407" s="99"/>
      <c r="HK407" s="99"/>
      <c r="HL407" s="99"/>
      <c r="HM407" s="99"/>
      <c r="HN407" s="99"/>
      <c r="HO407" s="99"/>
      <c r="HP407" s="99"/>
      <c r="HQ407" s="99"/>
      <c r="HR407" s="99"/>
      <c r="HS407" s="99"/>
      <c r="HT407" s="99"/>
      <c r="HU407" s="99"/>
      <c r="HV407" s="99"/>
      <c r="HW407" s="99"/>
      <c r="HX407" s="99"/>
      <c r="HY407" s="99"/>
      <c r="HZ407" s="99"/>
      <c r="IA407" s="99"/>
      <c r="IB407" s="99"/>
      <c r="IC407" s="99"/>
      <c r="ID407" s="99"/>
      <c r="IE407" s="99"/>
      <c r="IF407" s="99"/>
      <c r="IG407" s="99"/>
      <c r="IH407" s="99"/>
      <c r="II407" s="99"/>
      <c r="IJ407" s="99"/>
      <c r="IK407" s="99"/>
      <c r="IL407" s="99"/>
      <c r="IM407" s="99"/>
      <c r="IN407" s="99"/>
      <c r="IO407" s="99"/>
      <c r="IP407" s="99"/>
      <c r="IQ407" s="99"/>
      <c r="IR407" s="99"/>
      <c r="IS407" s="99"/>
      <c r="IT407" s="99"/>
      <c r="IU407" s="99"/>
      <c r="IV407" s="99"/>
      <c r="IW407" s="99"/>
      <c r="IX407" s="99"/>
      <c r="IY407" s="99"/>
      <c r="IZ407" s="99"/>
    </row>
    <row r="408" spans="1:260" s="2149" customFormat="1" ht="12.75" customHeight="1" x14ac:dyDescent="0.2">
      <c r="A408" s="1527" t="s">
        <v>333</v>
      </c>
      <c r="B408" s="1527"/>
      <c r="C408" s="1527"/>
      <c r="D408" s="1527"/>
      <c r="E408" s="2396"/>
      <c r="F408" s="219"/>
      <c r="G408" s="219"/>
      <c r="H408" s="219"/>
      <c r="I408" s="550"/>
      <c r="J408" s="219"/>
      <c r="K408" s="219"/>
      <c r="L408" s="219"/>
      <c r="M408" s="550"/>
      <c r="N408" s="219"/>
      <c r="O408" s="219"/>
      <c r="P408" s="219"/>
      <c r="Q408" s="550"/>
      <c r="R408" s="219"/>
      <c r="S408" s="219"/>
      <c r="T408" s="219"/>
      <c r="U408" s="550"/>
      <c r="V408" s="219"/>
      <c r="W408" s="219"/>
      <c r="X408" s="219"/>
      <c r="Y408" s="550"/>
      <c r="Z408" s="219"/>
      <c r="AA408" s="219"/>
      <c r="AB408" s="219"/>
      <c r="AC408" s="550"/>
      <c r="AD408" s="219"/>
      <c r="AE408" s="219"/>
      <c r="AF408" s="219"/>
      <c r="AG408" s="550"/>
      <c r="AH408" s="219"/>
      <c r="AI408" s="219"/>
      <c r="AJ408" s="219"/>
      <c r="AK408" s="550"/>
      <c r="AL408" s="219"/>
      <c r="AM408" s="219"/>
      <c r="AN408" s="219"/>
      <c r="AO408" s="550"/>
      <c r="AP408" s="219"/>
      <c r="AQ408" s="219"/>
      <c r="AR408" s="219"/>
      <c r="AS408" s="550"/>
      <c r="AT408" s="219"/>
      <c r="AU408" s="219"/>
      <c r="AV408" s="219"/>
      <c r="AW408" s="550"/>
      <c r="AX408" s="396"/>
      <c r="AY408" s="396"/>
      <c r="AZ408" s="396"/>
      <c r="BA408" s="408"/>
      <c r="BB408" s="396">
        <f t="shared" ref="BB408:BU408" si="1498">SUM(BB407,AX407)</f>
        <v>9.2999999999999999E-2</v>
      </c>
      <c r="BC408" s="396">
        <f t="shared" si="1498"/>
        <v>7.2000000000000008E-2</v>
      </c>
      <c r="BD408" s="396">
        <f t="shared" si="1498"/>
        <v>8.1000000000000003E-2</v>
      </c>
      <c r="BE408" s="408">
        <f t="shared" si="1498"/>
        <v>0.13200000000000001</v>
      </c>
      <c r="BF408" s="396">
        <f t="shared" si="1498"/>
        <v>7.9000000000000001E-2</v>
      </c>
      <c r="BG408" s="396">
        <f t="shared" si="1498"/>
        <v>7.2999999999999995E-2</v>
      </c>
      <c r="BH408" s="396">
        <f t="shared" si="1498"/>
        <v>0.115</v>
      </c>
      <c r="BI408" s="408">
        <f t="shared" si="1498"/>
        <v>5.6999999999999995E-2</v>
      </c>
      <c r="BJ408" s="396">
        <f t="shared" si="1498"/>
        <v>6.7000000000000004E-2</v>
      </c>
      <c r="BK408" s="396">
        <f t="shared" si="1498"/>
        <v>7.8E-2</v>
      </c>
      <c r="BL408" s="396">
        <f t="shared" si="1498"/>
        <v>1.4000000000000005E-2</v>
      </c>
      <c r="BM408" s="408">
        <f t="shared" si="1498"/>
        <v>-5.1000000000000004E-2</v>
      </c>
      <c r="BN408" s="396">
        <f t="shared" si="1498"/>
        <v>-2.5000000000000001E-2</v>
      </c>
      <c r="BO408" s="396">
        <f t="shared" si="1498"/>
        <v>3.0000000000000027E-3</v>
      </c>
      <c r="BP408" s="396">
        <f t="shared" si="1498"/>
        <v>-3.5999999999999997E-2</v>
      </c>
      <c r="BQ408" s="408">
        <f t="shared" si="1498"/>
        <v>2.1000000000000005E-2</v>
      </c>
      <c r="BR408" s="396">
        <f t="shared" si="1498"/>
        <v>-3.4000000000000002E-2</v>
      </c>
      <c r="BS408" s="396">
        <f t="shared" si="1498"/>
        <v>-0.04</v>
      </c>
      <c r="BT408" s="396">
        <f t="shared" si="1498"/>
        <v>-1.6E-2</v>
      </c>
      <c r="BU408" s="408">
        <f t="shared" si="1498"/>
        <v>2.4000000000000007E-2</v>
      </c>
      <c r="BV408" s="197"/>
      <c r="BW408" s="197"/>
      <c r="BX408" s="197"/>
      <c r="BY408" s="572"/>
      <c r="BZ408" s="396">
        <f>SUM(BZ407,BN407)</f>
        <v>-1.0000000000000002E-2</v>
      </c>
      <c r="CA408" s="396">
        <f>SUM(CA407,BO407)</f>
        <v>-2.8999999999999998E-2</v>
      </c>
      <c r="CB408" s="396">
        <f>SUM(CB407,BP407)</f>
        <v>-6.9999999999999993E-3</v>
      </c>
      <c r="CC408" s="408">
        <f>SUM(CC407,BQ407)</f>
        <v>2.4000000000000007E-2</v>
      </c>
      <c r="CD408" s="396">
        <f t="shared" ref="CD408:CW408" si="1499">SUM(CD407,BZ407)</f>
        <v>2.1999999999999999E-2</v>
      </c>
      <c r="CE408" s="396">
        <f t="shared" si="1499"/>
        <v>-2.7999999999999997E-2</v>
      </c>
      <c r="CF408" s="396">
        <f t="shared" si="1499"/>
        <v>-3.1E-2</v>
      </c>
      <c r="CG408" s="408">
        <f t="shared" si="1499"/>
        <v>-5.8999999999999997E-2</v>
      </c>
      <c r="CH408" s="396">
        <f t="shared" si="1499"/>
        <v>-8.299999999999999E-2</v>
      </c>
      <c r="CI408" s="396">
        <f t="shared" si="1499"/>
        <v>-7.0000000000000007E-2</v>
      </c>
      <c r="CJ408" s="396">
        <f t="shared" si="1499"/>
        <v>-4.9999999999999996E-2</v>
      </c>
      <c r="CK408" s="408">
        <f t="shared" si="1499"/>
        <v>-2.0999999999999998E-2</v>
      </c>
      <c r="CL408" s="1506">
        <f t="shared" si="1499"/>
        <v>-0.105</v>
      </c>
      <c r="CM408" s="1506">
        <f t="shared" si="1499"/>
        <v>-6.5000000000000002E-2</v>
      </c>
      <c r="CN408" s="1506">
        <f t="shared" si="1499"/>
        <v>-9.4E-2</v>
      </c>
      <c r="CO408" s="1569">
        <f t="shared" si="1499"/>
        <v>-2.1999999999999999E-2</v>
      </c>
      <c r="CP408" s="1506">
        <f t="shared" si="1499"/>
        <v>-6.9999999999999993E-2</v>
      </c>
      <c r="CQ408" s="1506">
        <f t="shared" si="1499"/>
        <v>-3.9E-2</v>
      </c>
      <c r="CR408" s="1506">
        <f t="shared" si="1499"/>
        <v>-4.5999999999999999E-2</v>
      </c>
      <c r="CS408" s="1569">
        <f t="shared" si="1499"/>
        <v>-2.7E-2</v>
      </c>
      <c r="CT408" s="1506">
        <f t="shared" si="1499"/>
        <v>-3.5999999999999997E-2</v>
      </c>
      <c r="CU408" s="1506">
        <f t="shared" si="1499"/>
        <v>-2.7999999999999997E-2</v>
      </c>
      <c r="CV408" s="1506">
        <f t="shared" si="1499"/>
        <v>3.4000000000000002E-2</v>
      </c>
      <c r="CW408" s="1569">
        <f t="shared" si="1499"/>
        <v>7.000000000000001E-3</v>
      </c>
      <c r="CX408" s="1506">
        <f t="shared" ref="CX408:DE408" si="1500">SUM(CX407,CT407)</f>
        <v>-1.1999999999999999E-2</v>
      </c>
      <c r="CY408" s="1506">
        <f t="shared" si="1500"/>
        <v>1.6E-2</v>
      </c>
      <c r="CZ408" s="1506">
        <f t="shared" si="1500"/>
        <v>3.6752012699852593E-2</v>
      </c>
      <c r="DA408" s="1569">
        <f t="shared" si="1500"/>
        <v>3.573441973133671E-3</v>
      </c>
      <c r="DB408" s="1506">
        <f t="shared" si="1500"/>
        <v>4.200047376524932E-3</v>
      </c>
      <c r="DC408" s="1506">
        <f t="shared" si="1500"/>
        <v>4.8490566037735848E-2</v>
      </c>
      <c r="DD408" s="1506">
        <f t="shared" si="1500"/>
        <v>2.575201269985259E-2</v>
      </c>
      <c r="DE408" s="1569">
        <f t="shared" si="1500"/>
        <v>-2.3899188200431083E-2</v>
      </c>
      <c r="DF408" s="1506">
        <f t="shared" ref="DF408:DM408" si="1501">SUM(DF407,DB407)</f>
        <v>1.4078096157012738E-2</v>
      </c>
      <c r="DG408" s="1506">
        <f t="shared" si="1501"/>
        <v>6.3967523532143009E-2</v>
      </c>
      <c r="DH408" s="1506">
        <f t="shared" si="1501"/>
        <v>6.2377360515021463E-2</v>
      </c>
      <c r="DI408" s="1569">
        <f t="shared" si="1501"/>
        <v>8.3333462386482107E-2</v>
      </c>
      <c r="DJ408" s="1926">
        <f t="shared" si="1501"/>
        <v>5.0255054039419739E-2</v>
      </c>
      <c r="DK408" s="1506">
        <f t="shared" si="1501"/>
        <v>7.056622935721886E-2</v>
      </c>
      <c r="DL408" s="1506">
        <f t="shared" si="1501"/>
        <v>5.9311975085923757E-2</v>
      </c>
      <c r="DM408" s="1569">
        <f t="shared" si="1501"/>
        <v>7.9023158322358691E-2</v>
      </c>
      <c r="DN408" s="943"/>
      <c r="DO408" s="1569"/>
      <c r="DP408" s="2392"/>
      <c r="DQ408" s="2392"/>
      <c r="DR408" s="2392"/>
      <c r="DS408" s="2392"/>
      <c r="DT408" s="2392"/>
      <c r="DU408" s="2392"/>
      <c r="DV408" s="2392"/>
      <c r="DW408" s="2392"/>
      <c r="DX408" s="2393"/>
      <c r="DY408" s="219"/>
      <c r="DZ408" s="219"/>
      <c r="EA408" s="219"/>
      <c r="EB408" s="219"/>
      <c r="EC408" s="219"/>
      <c r="ED408" s="219"/>
      <c r="EE408" s="219"/>
      <c r="EF408" s="219"/>
      <c r="EG408" s="219">
        <f t="shared" ref="EG408" si="1502">SUM(EG407,EF407)</f>
        <v>5.3009219448985762E-2</v>
      </c>
      <c r="EH408" s="219">
        <f t="shared" ref="EH408" si="1503">SUM(EH407,EG407)</f>
        <v>0.10149439035553537</v>
      </c>
      <c r="EI408" s="219">
        <f t="shared" ref="EI408" si="1504">SUM(EI407,EH407)</f>
        <v>0.11798824139528237</v>
      </c>
      <c r="EJ408" s="396">
        <f t="shared" ref="EJ408" si="1505">SUM(EJ407,EI407)</f>
        <v>9.2280683847920389E-2</v>
      </c>
      <c r="EK408" s="396">
        <f t="shared" ref="EK408:EP408" si="1506">SUM(EK407,EJ407)</f>
        <v>9.9000000000000005E-2</v>
      </c>
      <c r="EL408" s="396">
        <f t="shared" si="1506"/>
        <v>7.9000000000000001E-2</v>
      </c>
      <c r="EM408" s="396">
        <f t="shared" si="1506"/>
        <v>1.6E-2</v>
      </c>
      <c r="EN408" s="396">
        <f t="shared" si="1506"/>
        <v>-9.4527307119571767E-3</v>
      </c>
      <c r="EO408" s="396">
        <f t="shared" si="1506"/>
        <v>-1.239631759929008E-2</v>
      </c>
      <c r="EP408" s="197">
        <f t="shared" si="1506"/>
        <v>-3.9516306207711016E-2</v>
      </c>
      <c r="EQ408" s="396">
        <f>SUM(EQ407,EN407)</f>
        <v>-4.4527307119571766E-3</v>
      </c>
      <c r="ER408" s="396">
        <f>SUM(ER407,EQ407)</f>
        <v>-2.9000000000000001E-2</v>
      </c>
      <c r="ES408" s="396">
        <f>SUM(ES407,ER407)</f>
        <v>-5.0098325305818106E-2</v>
      </c>
      <c r="ET408" s="1506">
        <f>SUM(ET407,ES407)</f>
        <v>-6.4098325305818105E-2</v>
      </c>
      <c r="EU408" s="396">
        <f>SUM(EU407,ES407)</f>
        <v>-3.8584739055131712E-2</v>
      </c>
      <c r="EV408" s="396">
        <f t="shared" ref="EV408:FC408" si="1507">SUM(EV407,EU407)</f>
        <v>-5.5638703444117589E-3</v>
      </c>
      <c r="EW408" s="396">
        <f>SUM(EW407,EV407)</f>
        <v>8.9549127998059495E-3</v>
      </c>
      <c r="EX408" s="1506">
        <f>SUM(EX407,EW407)</f>
        <v>8.8711674411095232E-3</v>
      </c>
      <c r="EY408" s="1506">
        <f>SUM(EY407,EX407)</f>
        <v>6.0424282684670705E-2</v>
      </c>
      <c r="EZ408" s="1926">
        <f>SUM(EZ407,EY407)</f>
        <v>6.7692800365246844E-2</v>
      </c>
      <c r="FA408" s="396">
        <f t="shared" si="1507"/>
        <v>2.1277682833716602E-2</v>
      </c>
      <c r="FB408" s="396">
        <f t="shared" si="1507"/>
        <v>2.0629057563947568E-2</v>
      </c>
      <c r="FC408" s="396">
        <f t="shared" si="1507"/>
        <v>1.9957064832102116E-2</v>
      </c>
      <c r="FD408" s="396">
        <f>SUM(FD407,FC407)</f>
        <v>2.3977228877690781E-2</v>
      </c>
      <c r="FE408" s="396">
        <f>SUM(FE407,FD407)</f>
        <v>2.9326792444309895E-2</v>
      </c>
      <c r="FF408" s="396">
        <f>SUM(FF407,FE407)</f>
        <v>3.0074980770418674E-2</v>
      </c>
      <c r="FG408" s="396">
        <f>SUM(FG407,FF407)</f>
        <v>3.0843221602609695E-2</v>
      </c>
      <c r="FH408" s="396">
        <f>SUM(FH407,FG407)</f>
        <v>3.1631513370211667E-2</v>
      </c>
      <c r="FI408" s="943"/>
      <c r="FJ408"/>
      <c r="FK408"/>
      <c r="FL408"/>
      <c r="FM408"/>
      <c r="FN408"/>
      <c r="FO408"/>
      <c r="FP408" s="2395"/>
      <c r="FQ408" s="2212"/>
      <c r="FR408" s="2212"/>
      <c r="FS408" s="1506"/>
      <c r="FT408" s="1506"/>
      <c r="FU408" s="1388"/>
      <c r="FV408" s="1388"/>
      <c r="FW408" s="1506"/>
      <c r="FX408" s="1506"/>
      <c r="FY408" s="1506"/>
      <c r="FZ408" s="99"/>
      <c r="GA408" s="99"/>
      <c r="GB408" s="99"/>
      <c r="GC408" s="99"/>
      <c r="GD408" s="99"/>
      <c r="GE408" s="99"/>
      <c r="GF408" s="99"/>
      <c r="GG408" s="99"/>
      <c r="GH408" s="99"/>
      <c r="GI408" s="99"/>
      <c r="GJ408" s="99"/>
      <c r="GK408" s="99"/>
      <c r="GL408" s="99"/>
      <c r="GM408" s="99"/>
      <c r="GN408" s="99"/>
      <c r="GO408" s="99"/>
      <c r="GP408" s="99"/>
      <c r="GQ408" s="99"/>
      <c r="GR408" s="99"/>
      <c r="GS408" s="99"/>
      <c r="GT408" s="99"/>
      <c r="GU408" s="99"/>
      <c r="GV408" s="99"/>
      <c r="GW408" s="99"/>
      <c r="GX408" s="99"/>
      <c r="GY408" s="99"/>
      <c r="GZ408" s="99"/>
      <c r="HA408" s="99"/>
      <c r="HB408" s="99"/>
      <c r="HC408" s="99"/>
      <c r="HD408" s="99"/>
      <c r="HE408" s="99"/>
      <c r="HF408" s="99"/>
      <c r="HG408" s="99"/>
      <c r="HH408" s="99"/>
      <c r="HI408" s="99"/>
      <c r="HJ408" s="99"/>
      <c r="HK408" s="99"/>
      <c r="HL408" s="99"/>
      <c r="HM408" s="99"/>
      <c r="HN408" s="99"/>
      <c r="HO408" s="99"/>
      <c r="HP408" s="99"/>
      <c r="HQ408" s="99"/>
      <c r="HR408" s="99"/>
      <c r="HS408" s="99"/>
      <c r="HT408" s="99"/>
      <c r="HU408" s="99"/>
      <c r="HV408" s="99"/>
      <c r="HW408" s="99"/>
      <c r="HX408" s="99"/>
      <c r="HY408" s="99"/>
      <c r="HZ408" s="99"/>
      <c r="IA408" s="99"/>
      <c r="IB408" s="99"/>
      <c r="IC408" s="99"/>
      <c r="ID408" s="99"/>
      <c r="IE408" s="99"/>
      <c r="IF408" s="99"/>
      <c r="IG408" s="99"/>
      <c r="IH408" s="99"/>
      <c r="II408" s="99"/>
      <c r="IJ408" s="99"/>
      <c r="IK408" s="99"/>
      <c r="IL408" s="99"/>
      <c r="IM408" s="99"/>
      <c r="IN408" s="99"/>
      <c r="IO408" s="99"/>
      <c r="IP408" s="99"/>
      <c r="IQ408" s="99"/>
      <c r="IR408" s="99"/>
      <c r="IS408" s="99"/>
      <c r="IT408" s="99"/>
      <c r="IU408" s="99"/>
      <c r="IV408" s="99"/>
      <c r="IW408" s="99"/>
      <c r="IX408" s="99"/>
      <c r="IY408" s="99"/>
      <c r="IZ408" s="99"/>
    </row>
    <row r="409" spans="1:260" s="2149" customFormat="1" ht="12.75" customHeight="1" x14ac:dyDescent="0.2">
      <c r="A409" s="1527"/>
      <c r="B409" s="1527"/>
      <c r="C409" s="1527"/>
      <c r="D409" s="1527"/>
      <c r="E409" s="2396"/>
      <c r="F409" s="219"/>
      <c r="G409" s="219"/>
      <c r="H409" s="219"/>
      <c r="I409" s="550"/>
      <c r="J409" s="219"/>
      <c r="K409" s="219"/>
      <c r="L409" s="219"/>
      <c r="M409" s="550"/>
      <c r="N409" s="219"/>
      <c r="O409" s="219"/>
      <c r="P409" s="219"/>
      <c r="Q409" s="550"/>
      <c r="R409" s="219"/>
      <c r="S409" s="219"/>
      <c r="T409" s="219"/>
      <c r="U409" s="550"/>
      <c r="V409" s="219"/>
      <c r="W409" s="219"/>
      <c r="X409" s="219"/>
      <c r="Y409" s="550"/>
      <c r="Z409" s="219"/>
      <c r="AA409" s="219"/>
      <c r="AB409" s="219"/>
      <c r="AC409" s="550"/>
      <c r="AD409" s="219"/>
      <c r="AE409" s="219"/>
      <c r="AF409" s="219"/>
      <c r="AG409" s="550"/>
      <c r="AH409" s="219"/>
      <c r="AI409" s="219"/>
      <c r="AJ409" s="219"/>
      <c r="AK409" s="550"/>
      <c r="AL409" s="219"/>
      <c r="AM409" s="219"/>
      <c r="AN409" s="219"/>
      <c r="AO409" s="550"/>
      <c r="AP409" s="219"/>
      <c r="AQ409" s="219"/>
      <c r="AR409" s="219"/>
      <c r="AS409" s="550"/>
      <c r="AT409" s="219"/>
      <c r="AU409" s="219"/>
      <c r="AV409" s="219"/>
      <c r="AW409" s="550"/>
      <c r="AX409" s="396"/>
      <c r="AY409" s="396"/>
      <c r="AZ409" s="396"/>
      <c r="BA409" s="408"/>
      <c r="BB409" s="396"/>
      <c r="BC409" s="396"/>
      <c r="BD409" s="396"/>
      <c r="BE409" s="408"/>
      <c r="BF409" s="396"/>
      <c r="BG409" s="396"/>
      <c r="BH409" s="396"/>
      <c r="BI409" s="408"/>
      <c r="BJ409" s="396"/>
      <c r="BK409" s="396"/>
      <c r="BL409" s="396"/>
      <c r="BM409" s="408"/>
      <c r="BN409" s="396"/>
      <c r="BO409" s="396"/>
      <c r="BP409" s="396"/>
      <c r="BQ409" s="408"/>
      <c r="BR409" s="396"/>
      <c r="BS409" s="396"/>
      <c r="BT409" s="396"/>
      <c r="BU409" s="408"/>
      <c r="BV409" s="197"/>
      <c r="BW409" s="197"/>
      <c r="BX409" s="197"/>
      <c r="BY409" s="572"/>
      <c r="BZ409" s="396"/>
      <c r="CA409" s="396"/>
      <c r="CB409" s="396"/>
      <c r="CC409" s="408"/>
      <c r="CD409" s="396"/>
      <c r="CE409" s="396"/>
      <c r="CF409" s="396"/>
      <c r="CG409" s="408"/>
      <c r="CH409" s="396"/>
      <c r="CI409" s="396"/>
      <c r="CJ409" s="396"/>
      <c r="CK409" s="408"/>
      <c r="CL409" s="1506"/>
      <c r="CM409" s="1506"/>
      <c r="CN409" s="1506"/>
      <c r="CO409" s="1569"/>
      <c r="CP409" s="1506"/>
      <c r="CQ409" s="1506"/>
      <c r="CR409" s="1506"/>
      <c r="CS409" s="1569"/>
      <c r="CT409" s="1506"/>
      <c r="CU409" s="1506"/>
      <c r="CV409" s="1506"/>
      <c r="CW409" s="1569"/>
      <c r="CX409" s="1506"/>
      <c r="CY409" s="1506"/>
      <c r="CZ409" s="1506"/>
      <c r="DA409" s="1569"/>
      <c r="DB409" s="1506"/>
      <c r="DC409" s="1506"/>
      <c r="DD409" s="1506"/>
      <c r="DE409" s="1569"/>
      <c r="DF409" s="1506"/>
      <c r="DG409" s="1506"/>
      <c r="DH409" s="1506"/>
      <c r="DI409" s="1569"/>
      <c r="DJ409" s="1926"/>
      <c r="DK409" s="1506"/>
      <c r="DL409" s="1506"/>
      <c r="DM409" s="1569"/>
      <c r="DN409" s="943"/>
      <c r="DO409" s="1569"/>
      <c r="DP409" s="2392"/>
      <c r="DQ409" s="2392"/>
      <c r="DR409" s="2392"/>
      <c r="DS409" s="2392"/>
      <c r="DT409" s="2392"/>
      <c r="DU409" s="2392"/>
      <c r="DV409" s="2392"/>
      <c r="DW409" s="2392"/>
      <c r="DX409" s="2393"/>
      <c r="DY409" s="219"/>
      <c r="DZ409" s="219"/>
      <c r="EA409" s="219"/>
      <c r="EB409" s="219"/>
      <c r="EC409" s="219"/>
      <c r="ED409" s="219"/>
      <c r="EE409" s="219"/>
      <c r="EF409" s="219"/>
      <c r="EG409" s="219"/>
      <c r="EH409" s="219"/>
      <c r="EI409" s="219"/>
      <c r="EJ409" s="396"/>
      <c r="EK409" s="396"/>
      <c r="EL409" s="396"/>
      <c r="EM409" s="396"/>
      <c r="EN409" s="396"/>
      <c r="EO409" s="396"/>
      <c r="EP409" s="197"/>
      <c r="EQ409" s="396"/>
      <c r="ER409" s="396"/>
      <c r="ES409" s="396"/>
      <c r="ET409" s="1506"/>
      <c r="EU409" s="396"/>
      <c r="EV409" s="396"/>
      <c r="EW409" s="396"/>
      <c r="EX409" s="1506"/>
      <c r="EY409" s="1506"/>
      <c r="EZ409" s="1926"/>
      <c r="FA409" s="396"/>
      <c r="FB409" s="396"/>
      <c r="FC409" s="396"/>
      <c r="FD409" s="396"/>
      <c r="FE409" s="396"/>
      <c r="FF409" s="396"/>
      <c r="FG409" s="396"/>
      <c r="FH409" s="396"/>
      <c r="FI409" s="943"/>
      <c r="FJ409"/>
      <c r="FK409"/>
      <c r="FL409"/>
      <c r="FM409"/>
      <c r="FN409"/>
      <c r="FO409"/>
      <c r="FP409" s="2395"/>
      <c r="FQ409" s="2212"/>
      <c r="FR409" s="2212"/>
      <c r="FS409" s="1506"/>
      <c r="FT409" s="1506"/>
      <c r="FU409" s="1388"/>
      <c r="FV409" s="1388"/>
      <c r="FW409" s="1506"/>
      <c r="FX409" s="1506"/>
      <c r="FY409" s="1506"/>
      <c r="FZ409" s="99"/>
      <c r="GA409" s="99"/>
      <c r="GB409" s="99"/>
      <c r="GC409" s="99"/>
      <c r="GD409" s="99"/>
      <c r="GE409" s="99"/>
      <c r="GF409" s="99"/>
      <c r="GG409" s="99"/>
      <c r="GH409" s="99"/>
      <c r="GI409" s="99"/>
      <c r="GJ409" s="99"/>
      <c r="GK409" s="99"/>
      <c r="GL409" s="99"/>
      <c r="GM409" s="99"/>
      <c r="GN409" s="99"/>
      <c r="GO409" s="99"/>
      <c r="GP409" s="99"/>
      <c r="GQ409" s="99"/>
      <c r="GR409" s="99"/>
      <c r="GS409" s="99"/>
      <c r="GT409" s="99"/>
      <c r="GU409" s="99"/>
      <c r="GV409" s="99"/>
      <c r="GW409" s="99"/>
      <c r="GX409" s="99"/>
      <c r="GY409" s="99"/>
      <c r="GZ409" s="99"/>
      <c r="HA409" s="99"/>
      <c r="HB409" s="99"/>
      <c r="HC409" s="99"/>
      <c r="HD409" s="99"/>
      <c r="HE409" s="99"/>
      <c r="HF409" s="99"/>
      <c r="HG409" s="99"/>
      <c r="HH409" s="99"/>
      <c r="HI409" s="99"/>
      <c r="HJ409" s="99"/>
      <c r="HK409" s="99"/>
      <c r="HL409" s="99"/>
      <c r="HM409" s="99"/>
      <c r="HN409" s="99"/>
      <c r="HO409" s="99"/>
      <c r="HP409" s="99"/>
      <c r="HQ409" s="99"/>
      <c r="HR409" s="99"/>
      <c r="HS409" s="99"/>
      <c r="HT409" s="99"/>
      <c r="HU409" s="99"/>
      <c r="HV409" s="99"/>
      <c r="HW409" s="99"/>
      <c r="HX409" s="99"/>
      <c r="HY409" s="99"/>
      <c r="HZ409" s="99"/>
      <c r="IA409" s="99"/>
      <c r="IB409" s="99"/>
      <c r="IC409" s="99"/>
      <c r="ID409" s="99"/>
      <c r="IE409" s="99"/>
      <c r="IF409" s="99"/>
      <c r="IG409" s="99"/>
      <c r="IH409" s="99"/>
      <c r="II409" s="99"/>
      <c r="IJ409" s="99"/>
      <c r="IK409" s="99"/>
      <c r="IL409" s="99"/>
      <c r="IM409" s="99"/>
      <c r="IN409" s="99"/>
      <c r="IO409" s="99"/>
      <c r="IP409" s="99"/>
      <c r="IQ409" s="99"/>
      <c r="IR409" s="99"/>
      <c r="IS409" s="99"/>
      <c r="IT409" s="99"/>
      <c r="IU409" s="99"/>
      <c r="IV409" s="99"/>
      <c r="IW409" s="99"/>
      <c r="IX409" s="99"/>
      <c r="IY409" s="99"/>
      <c r="IZ409" s="99"/>
    </row>
    <row r="410" spans="1:260" s="256" customFormat="1" ht="12.75" customHeight="1" outlineLevel="1" x14ac:dyDescent="0.2">
      <c r="A410" s="2249" t="s">
        <v>82</v>
      </c>
      <c r="B410" s="2249"/>
      <c r="C410" s="2249"/>
      <c r="D410" s="2249"/>
      <c r="E410" s="2299"/>
      <c r="F410" s="2380">
        <f>+F404-'Income Statement'!F7</f>
        <v>0</v>
      </c>
      <c r="G410" s="2380">
        <f>+G404-'Income Statement'!G7</f>
        <v>0</v>
      </c>
      <c r="H410" s="2380">
        <f>+H404-'Income Statement'!H7</f>
        <v>0</v>
      </c>
      <c r="I410" s="2377">
        <f>+I404-'Income Statement'!I7</f>
        <v>0</v>
      </c>
      <c r="J410" s="2380">
        <f>+J404-'Income Statement'!J7</f>
        <v>0</v>
      </c>
      <c r="K410" s="2380">
        <f>+K404-'Income Statement'!K7</f>
        <v>0</v>
      </c>
      <c r="L410" s="2380">
        <f>+L404-'Income Statement'!L7</f>
        <v>0</v>
      </c>
      <c r="M410" s="2377">
        <f>+M404-'Income Statement'!M7</f>
        <v>0</v>
      </c>
      <c r="N410" s="2380">
        <f>+N404-'Income Statement'!N7</f>
        <v>0</v>
      </c>
      <c r="O410" s="2380">
        <f>+O404-'Income Statement'!O7</f>
        <v>0</v>
      </c>
      <c r="P410" s="2380">
        <f>+P404-'Income Statement'!P7</f>
        <v>0</v>
      </c>
      <c r="Q410" s="2377">
        <f>+Q404-'Income Statement'!Q7</f>
        <v>0</v>
      </c>
      <c r="R410" s="2380">
        <f>+R404-'Income Statement'!R7</f>
        <v>0</v>
      </c>
      <c r="S410" s="2380">
        <f>+S404-'Income Statement'!S7</f>
        <v>0</v>
      </c>
      <c r="T410" s="2380">
        <f>+T404-'Income Statement'!T7</f>
        <v>0</v>
      </c>
      <c r="U410" s="2377">
        <f>+U404-'Income Statement'!U7</f>
        <v>0</v>
      </c>
      <c r="V410" s="2380">
        <f>+V404-'Income Statement'!V7</f>
        <v>0</v>
      </c>
      <c r="W410" s="2380">
        <f>+W404-'Income Statement'!W7</f>
        <v>0</v>
      </c>
      <c r="X410" s="2380">
        <f>+X404-'Income Statement'!X7</f>
        <v>0</v>
      </c>
      <c r="Y410" s="2377">
        <f>+Y404-'Income Statement'!Y7</f>
        <v>0</v>
      </c>
      <c r="Z410" s="2380">
        <f>+Z404-'Income Statement'!Z7</f>
        <v>0</v>
      </c>
      <c r="AA410" s="2380">
        <f>+AA404-'Income Statement'!AA7</f>
        <v>0</v>
      </c>
      <c r="AB410" s="2380">
        <f>+AB404-'Income Statement'!AB7</f>
        <v>0</v>
      </c>
      <c r="AC410" s="2377">
        <f>+AC404-'Income Statement'!AC7</f>
        <v>0</v>
      </c>
      <c r="AD410" s="2380">
        <f>+AD404-'Income Statement'!AD7</f>
        <v>0</v>
      </c>
      <c r="AE410" s="2380">
        <f>+AE404-'Income Statement'!AE7</f>
        <v>0</v>
      </c>
      <c r="AF410" s="2380">
        <f>+AF404-'Income Statement'!AF7</f>
        <v>0</v>
      </c>
      <c r="AG410" s="2377">
        <f>+AG404-'Income Statement'!AG7</f>
        <v>-1.7000000000734872E-2</v>
      </c>
      <c r="AH410" s="2380">
        <f>+AH404-'Income Statement'!AH7</f>
        <v>-98.775000000000091</v>
      </c>
      <c r="AI410" s="2380">
        <f>+AI404-'Income Statement'!AI7</f>
        <v>-74.423999999999978</v>
      </c>
      <c r="AJ410" s="2380">
        <f>+AJ404-'Income Statement'!AJ7</f>
        <v>-175.29500000000007</v>
      </c>
      <c r="AK410" s="2377">
        <f>+AK404-'Income Statement'!AK7</f>
        <v>-645</v>
      </c>
      <c r="AL410" s="2380">
        <f>+AL404-'Income Statement'!AL7</f>
        <v>0</v>
      </c>
      <c r="AM410" s="2380">
        <f>+AM404-'Income Statement'!AM7</f>
        <v>0</v>
      </c>
      <c r="AN410" s="2380">
        <f>+AN404-'Income Statement'!AN7</f>
        <v>0</v>
      </c>
      <c r="AO410" s="2377">
        <f>+AO404-'Income Statement'!AO7</f>
        <v>0</v>
      </c>
      <c r="AP410" s="2380">
        <f>+AP404-'Income Statement'!AP7</f>
        <v>0</v>
      </c>
      <c r="AQ410" s="2380">
        <f>+AQ404-'Income Statement'!AQ7</f>
        <v>0</v>
      </c>
      <c r="AR410" s="2380">
        <f>+AR404-'Income Statement'!AR7</f>
        <v>0</v>
      </c>
      <c r="AS410" s="2377">
        <f>+AS404-'Income Statement'!AS7</f>
        <v>0</v>
      </c>
      <c r="AT410" s="2380">
        <f>+AT404-'Income Statement'!AT7</f>
        <v>0</v>
      </c>
      <c r="AU410" s="2380">
        <f>+AU404-'Income Statement'!AU7</f>
        <v>0</v>
      </c>
      <c r="AV410" s="2380">
        <f>+AV404-'Income Statement'!AV7</f>
        <v>-1</v>
      </c>
      <c r="AW410" s="2377">
        <f>+AW404-'Income Statement'!AW7</f>
        <v>0</v>
      </c>
      <c r="AX410" s="2380">
        <f>+AX404-'Income Statement'!AX7</f>
        <v>0</v>
      </c>
      <c r="AY410" s="2380">
        <f>+AY404-'Income Statement'!AY7</f>
        <v>0</v>
      </c>
      <c r="AZ410" s="2380">
        <f>+AZ404-'Income Statement'!AZ7</f>
        <v>0</v>
      </c>
      <c r="BA410" s="2377">
        <f>+BA404-'Income Statement'!BA7</f>
        <v>0</v>
      </c>
      <c r="BB410" s="2380">
        <f>+BB404-'Income Statement'!BB7</f>
        <v>0</v>
      </c>
      <c r="BC410" s="2380">
        <f>+BC404-'Income Statement'!BC7</f>
        <v>0</v>
      </c>
      <c r="BD410" s="2380">
        <f>+BD404-'Income Statement'!BD7</f>
        <v>0</v>
      </c>
      <c r="BE410" s="2377">
        <f>+BE404-'Income Statement'!BE7</f>
        <v>0</v>
      </c>
      <c r="BF410" s="2380">
        <f>+BF404-'Income Statement'!BF7</f>
        <v>0</v>
      </c>
      <c r="BG410" s="2380">
        <f>+BG404-'Income Statement'!BG7</f>
        <v>0</v>
      </c>
      <c r="BH410" s="2380">
        <f>+BH404-'Income Statement'!BH7</f>
        <v>0</v>
      </c>
      <c r="BI410" s="2377">
        <f>+BI404-'Income Statement'!BI7</f>
        <v>0</v>
      </c>
      <c r="BJ410" s="2351"/>
      <c r="BK410" s="2351"/>
      <c r="BL410" s="2351"/>
      <c r="BM410" s="2352"/>
      <c r="BN410" s="2351"/>
      <c r="BO410" s="2351"/>
      <c r="BP410" s="2351"/>
      <c r="BQ410" s="2352"/>
      <c r="BR410" s="2397"/>
      <c r="BS410" s="2351"/>
      <c r="BT410" s="2351"/>
      <c r="BU410" s="2352"/>
      <c r="BV410" s="2397"/>
      <c r="BW410" s="2351"/>
      <c r="BX410" s="2351"/>
      <c r="BY410" s="2352"/>
      <c r="BZ410" s="2397"/>
      <c r="CA410" s="2351"/>
      <c r="CB410" s="2351"/>
      <c r="CC410" s="2352"/>
      <c r="CD410" s="2397"/>
      <c r="CE410" s="2351"/>
      <c r="CF410" s="2351"/>
      <c r="CG410" s="2352"/>
      <c r="CH410" s="2398"/>
      <c r="CI410" s="52"/>
      <c r="CJ410" s="2351"/>
      <c r="CK410" s="2352"/>
      <c r="CL410" s="2397"/>
      <c r="CM410" s="52"/>
      <c r="CN410" s="2351"/>
      <c r="CO410" s="2352"/>
      <c r="CP410" s="2351"/>
      <c r="CQ410" s="2351"/>
      <c r="CR410" s="2399"/>
      <c r="CS410" s="2010"/>
      <c r="CT410" s="2400"/>
      <c r="CU410" s="2400"/>
      <c r="CV410" s="2400"/>
      <c r="CW410" s="2010"/>
      <c r="CX410" s="2400"/>
      <c r="CY410" s="2400"/>
      <c r="CZ410" s="2400"/>
      <c r="DA410" s="2010"/>
      <c r="DB410" s="2400"/>
      <c r="DC410" s="2400"/>
      <c r="DD410" s="2353"/>
      <c r="DE410" s="2010"/>
      <c r="DF410" s="2401"/>
      <c r="DG410" s="2401"/>
      <c r="DH410" s="2401"/>
      <c r="DI410" s="2010"/>
      <c r="DJ410" s="2772"/>
      <c r="DK410" s="2401"/>
      <c r="DL410" s="2401"/>
      <c r="DM410" s="2010"/>
      <c r="DN410" s="2402"/>
      <c r="DO410" s="2352"/>
      <c r="DP410" s="2300"/>
      <c r="DQ410" s="2300"/>
      <c r="DR410" s="2300"/>
      <c r="DS410" s="2300"/>
      <c r="DT410" s="2300"/>
      <c r="DU410" s="2380"/>
      <c r="DV410" s="2380"/>
      <c r="DW410" s="2380"/>
      <c r="DX410" s="2380"/>
      <c r="DY410" s="2380">
        <f>+DY404-'Income Statement'!DY7</f>
        <v>0</v>
      </c>
      <c r="DZ410" s="2380">
        <f>+DZ404-'Income Statement'!DZ7</f>
        <v>0</v>
      </c>
      <c r="EA410" s="2380">
        <f>+EA404-'Income Statement'!EA7</f>
        <v>0</v>
      </c>
      <c r="EB410" s="2380">
        <f>+EB404-'Income Statement'!EB7</f>
        <v>0</v>
      </c>
      <c r="EC410" s="2380">
        <f>+EC404-'Income Statement'!EC7</f>
        <v>0</v>
      </c>
      <c r="ED410" s="2380">
        <f>+ED404-'Income Statement'!ED7</f>
        <v>0</v>
      </c>
      <c r="EE410" s="2380">
        <f>+EE404-'Income Statement'!EE7</f>
        <v>-1.6999999999825377E-2</v>
      </c>
      <c r="EF410" s="2380">
        <f>+EF404-'Income Statement'!EF7</f>
        <v>-993.49399999999878</v>
      </c>
      <c r="EG410" s="2380">
        <f>+EG404-'Income Statement'!EG7</f>
        <v>0</v>
      </c>
      <c r="EH410" s="2380">
        <f>+EH404-'Income Statement'!EH7</f>
        <v>0</v>
      </c>
      <c r="EI410" s="2351">
        <f>+EI404-'Income Statement'!EI7</f>
        <v>-1</v>
      </c>
      <c r="EJ410" s="2380">
        <f>+EJ404-'Income Statement'!EJ7</f>
        <v>0</v>
      </c>
      <c r="EK410" s="2380">
        <f>+EK404-'Income Statement'!EK7</f>
        <v>0</v>
      </c>
      <c r="EL410" s="2380">
        <f>+EL404-'Income Statement'!EL7</f>
        <v>0</v>
      </c>
      <c r="EM410" s="2380">
        <f>+EM404-'Income Statement'!EM7</f>
        <v>0</v>
      </c>
      <c r="EN410" s="2351"/>
      <c r="EO410" s="2351"/>
      <c r="EP410" s="2351"/>
      <c r="EQ410" s="2351"/>
      <c r="ER410" s="2351"/>
      <c r="ES410" s="2351"/>
      <c r="ET410" s="2351"/>
      <c r="EU410" s="2351"/>
      <c r="EV410" s="2351"/>
      <c r="EW410" s="2351"/>
      <c r="EX410" s="2351"/>
      <c r="EY410" s="2351"/>
      <c r="EZ410" s="2356"/>
      <c r="FA410" s="2380">
        <f>+FA404-'Income Statement'!FA7</f>
        <v>0</v>
      </c>
      <c r="FB410" s="2380">
        <f>+FB404-'Income Statement'!FB7</f>
        <v>0</v>
      </c>
      <c r="FC410" s="2380">
        <f>+FC404-'Income Statement'!FC7</f>
        <v>0</v>
      </c>
      <c r="FD410" s="2380">
        <f>+FD404-'Income Statement'!FD7</f>
        <v>0</v>
      </c>
      <c r="FE410" s="2380">
        <f>+FE404-'Income Statement'!FE7</f>
        <v>0</v>
      </c>
      <c r="FF410" s="2380">
        <f>+FF404-'Income Statement'!FF7</f>
        <v>0</v>
      </c>
      <c r="FG410" s="2380">
        <f>+FG404-'Income Statement'!FG7</f>
        <v>0</v>
      </c>
      <c r="FH410" s="2380">
        <f>+FH404-'Income Statement'!FH7</f>
        <v>0</v>
      </c>
      <c r="FI410" s="2375"/>
      <c r="FJ410"/>
      <c r="FK410"/>
      <c r="FL410"/>
      <c r="FM410"/>
      <c r="FN410"/>
      <c r="FO410"/>
      <c r="FP410" s="1435"/>
      <c r="FQ410" s="51"/>
      <c r="FR410" s="51"/>
      <c r="FS410" s="2376"/>
      <c r="FT410" s="2376"/>
      <c r="FU410" s="1388"/>
      <c r="FV410" s="1388"/>
      <c r="FW410" s="2376"/>
      <c r="FX410" s="2376"/>
      <c r="FY410" s="2376"/>
      <c r="FZ410" s="99"/>
      <c r="GA410" s="99"/>
      <c r="GB410" s="99"/>
      <c r="GC410" s="99"/>
      <c r="GD410" s="99"/>
      <c r="GE410" s="99"/>
      <c r="GF410" s="99"/>
      <c r="GG410" s="99"/>
      <c r="GH410" s="99"/>
      <c r="GI410" s="99"/>
      <c r="GJ410" s="99"/>
      <c r="GK410" s="99"/>
      <c r="GL410" s="99"/>
      <c r="GM410" s="99"/>
      <c r="GN410" s="99"/>
      <c r="GO410" s="99"/>
      <c r="GP410" s="99"/>
      <c r="GQ410" s="99"/>
      <c r="GR410" s="99"/>
      <c r="GS410" s="99"/>
      <c r="GT410" s="99"/>
      <c r="GU410" s="99"/>
      <c r="GV410" s="99"/>
      <c r="GW410" s="99"/>
      <c r="GX410" s="99"/>
      <c r="GY410" s="99"/>
      <c r="GZ410" s="99"/>
      <c r="HA410" s="99"/>
      <c r="HB410" s="99"/>
      <c r="HC410" s="99"/>
      <c r="HD410" s="99"/>
      <c r="HE410" s="99"/>
      <c r="HF410" s="99"/>
      <c r="HG410" s="99"/>
      <c r="HH410" s="99"/>
      <c r="HI410" s="99"/>
      <c r="HJ410" s="99"/>
      <c r="HK410" s="99"/>
      <c r="HL410" s="99"/>
      <c r="HM410" s="99"/>
      <c r="HN410" s="99"/>
      <c r="HO410" s="99"/>
      <c r="HP410" s="99"/>
      <c r="HQ410" s="99"/>
      <c r="HR410" s="99"/>
      <c r="HS410" s="99"/>
      <c r="HT410" s="99"/>
      <c r="HU410" s="99"/>
      <c r="HV410" s="99"/>
      <c r="HW410" s="99"/>
      <c r="HX410" s="99"/>
      <c r="HY410" s="99"/>
      <c r="HZ410" s="99"/>
      <c r="IA410" s="99"/>
      <c r="IB410" s="99"/>
      <c r="IC410" s="99"/>
      <c r="ID410" s="99"/>
      <c r="IE410" s="99"/>
      <c r="IF410" s="99"/>
      <c r="IG410" s="99"/>
      <c r="IH410" s="99"/>
      <c r="II410" s="99"/>
      <c r="IJ410" s="99"/>
      <c r="IK410" s="99"/>
      <c r="IL410" s="99"/>
      <c r="IM410" s="99"/>
      <c r="IN410" s="99"/>
      <c r="IO410" s="99"/>
      <c r="IP410" s="99"/>
      <c r="IQ410" s="99"/>
      <c r="IR410" s="99"/>
      <c r="IS410" s="99"/>
      <c r="IT410" s="99"/>
      <c r="IU410" s="99"/>
      <c r="IV410" s="99"/>
      <c r="IW410" s="99"/>
      <c r="IX410" s="99"/>
      <c r="IY410" s="99"/>
      <c r="IZ410" s="99"/>
    </row>
    <row r="411" spans="1:260" s="256" customFormat="1" ht="12.75" customHeight="1" x14ac:dyDescent="0.2">
      <c r="A411" s="1420" t="s">
        <v>482</v>
      </c>
      <c r="B411" s="1420"/>
      <c r="C411" s="1420"/>
      <c r="D411" s="1420"/>
      <c r="E411" s="2346"/>
      <c r="F411" s="52"/>
      <c r="G411" s="52"/>
      <c r="H411" s="52"/>
      <c r="I411" s="1569"/>
      <c r="J411" s="52">
        <f t="shared" ref="J411:AO411" si="1508">J404/F404-1</f>
        <v>0.50066988462444084</v>
      </c>
      <c r="K411" s="52">
        <f t="shared" si="1508"/>
        <v>0.54088528159867644</v>
      </c>
      <c r="L411" s="52">
        <f t="shared" si="1508"/>
        <v>0.42923064500237418</v>
      </c>
      <c r="M411" s="1569">
        <f t="shared" si="1508"/>
        <v>0.32276177372527792</v>
      </c>
      <c r="N411" s="52">
        <f t="shared" si="1508"/>
        <v>0.28439932249077993</v>
      </c>
      <c r="O411" s="52">
        <f t="shared" si="1508"/>
        <v>0.23696111929041508</v>
      </c>
      <c r="P411" s="52">
        <f t="shared" si="1508"/>
        <v>4.0454014638644509E-2</v>
      </c>
      <c r="Q411" s="1569">
        <f t="shared" si="1508"/>
        <v>-8.853555959005488E-2</v>
      </c>
      <c r="R411" s="52">
        <f t="shared" si="1508"/>
        <v>-1.8710786325788709E-2</v>
      </c>
      <c r="S411" s="52">
        <f t="shared" si="1508"/>
        <v>8.1882786848377354E-3</v>
      </c>
      <c r="T411" s="52">
        <f t="shared" si="1508"/>
        <v>4.9327861371657011E-2</v>
      </c>
      <c r="U411" s="1569">
        <f t="shared" si="1508"/>
        <v>0.21493225873096677</v>
      </c>
      <c r="V411" s="52">
        <f t="shared" si="1508"/>
        <v>0.20654930967021912</v>
      </c>
      <c r="W411" s="52">
        <f t="shared" si="1508"/>
        <v>0.21445524324059062</v>
      </c>
      <c r="X411" s="52">
        <f t="shared" si="1508"/>
        <v>0.18331599679254218</v>
      </c>
      <c r="Y411" s="1569">
        <f t="shared" si="1508"/>
        <v>0.21175093685486046</v>
      </c>
      <c r="Z411" s="52">
        <f t="shared" si="1508"/>
        <v>0.23062934414922132</v>
      </c>
      <c r="AA411" s="52">
        <f t="shared" si="1508"/>
        <v>0.23366789636719454</v>
      </c>
      <c r="AB411" s="52">
        <f t="shared" si="1508"/>
        <v>0.24669133031650969</v>
      </c>
      <c r="AC411" s="1569">
        <f t="shared" si="1508"/>
        <v>0.24843100320309697</v>
      </c>
      <c r="AD411" s="52">
        <f t="shared" si="1508"/>
        <v>0.24242453460192293</v>
      </c>
      <c r="AE411" s="52">
        <f t="shared" si="1508"/>
        <v>0.17960389185004311</v>
      </c>
      <c r="AF411" s="52">
        <f t="shared" si="1508"/>
        <v>0.20105415022573991</v>
      </c>
      <c r="AG411" s="1569">
        <f t="shared" si="1508"/>
        <v>0.26583322034526824</v>
      </c>
      <c r="AH411" s="52">
        <f t="shared" si="1508"/>
        <v>0.21409155661908463</v>
      </c>
      <c r="AI411" s="52">
        <f t="shared" si="1508"/>
        <v>0.29042453057913264</v>
      </c>
      <c r="AJ411" s="52">
        <f t="shared" si="1508"/>
        <v>0.2273866047887505</v>
      </c>
      <c r="AK411" s="1569">
        <f t="shared" si="1508"/>
        <v>0.15992011839790776</v>
      </c>
      <c r="AL411" s="52">
        <f t="shared" si="1508"/>
        <v>0.16779801151956875</v>
      </c>
      <c r="AM411" s="52">
        <f t="shared" si="1508"/>
        <v>0.1306795618910126</v>
      </c>
      <c r="AN411" s="52">
        <f t="shared" si="1508"/>
        <v>0.12013325459727264</v>
      </c>
      <c r="AO411" s="1569">
        <f t="shared" si="1508"/>
        <v>0.10323599052880827</v>
      </c>
      <c r="AP411" s="52">
        <f t="shared" ref="AP411:BU411" si="1509">AP404/AL404-1</f>
        <v>0.11089957163255582</v>
      </c>
      <c r="AQ411" s="52">
        <f t="shared" si="1509"/>
        <v>0.16695501730103812</v>
      </c>
      <c r="AR411" s="52">
        <f t="shared" si="1509"/>
        <v>0.17559929838238153</v>
      </c>
      <c r="AS411" s="1569">
        <f t="shared" si="1509"/>
        <v>0.20889969952782939</v>
      </c>
      <c r="AT411" s="52">
        <f t="shared" si="1509"/>
        <v>0.17373607540702651</v>
      </c>
      <c r="AU411" s="52">
        <f t="shared" si="1509"/>
        <v>0.12676056338028174</v>
      </c>
      <c r="AV411" s="52">
        <f t="shared" si="1509"/>
        <v>0.10179045092838201</v>
      </c>
      <c r="AW411" s="1569">
        <f t="shared" si="1509"/>
        <v>9.2081903183808711E-2</v>
      </c>
      <c r="AX411" s="52">
        <f t="shared" si="1509"/>
        <v>0.11662712173754342</v>
      </c>
      <c r="AY411" s="52">
        <f t="shared" si="1509"/>
        <v>0.10230263157894748</v>
      </c>
      <c r="AZ411" s="52">
        <f t="shared" si="1509"/>
        <v>0.10367138128197406</v>
      </c>
      <c r="BA411" s="1569">
        <f t="shared" si="1509"/>
        <v>0.15888154329684623</v>
      </c>
      <c r="BB411" s="52">
        <f t="shared" si="1509"/>
        <v>0.13746322327558036</v>
      </c>
      <c r="BC411" s="52">
        <f t="shared" si="1509"/>
        <v>0.13443748134885114</v>
      </c>
      <c r="BD411" s="52">
        <f t="shared" si="1509"/>
        <v>0.1551465576005453</v>
      </c>
      <c r="BE411" s="1569">
        <f t="shared" si="1509"/>
        <v>0.20630318900215094</v>
      </c>
      <c r="BF411" s="52">
        <f t="shared" si="1509"/>
        <v>0.13910044546630274</v>
      </c>
      <c r="BG411" s="52">
        <f t="shared" si="1509"/>
        <v>0.15086150203866899</v>
      </c>
      <c r="BH411" s="52">
        <f t="shared" si="1509"/>
        <v>0.17172194028089227</v>
      </c>
      <c r="BI411" s="1569">
        <f t="shared" si="1509"/>
        <v>4.0235677184277785E-2</v>
      </c>
      <c r="BJ411" s="52">
        <f t="shared" si="1509"/>
        <v>0.13409865018291911</v>
      </c>
      <c r="BK411" s="52">
        <f t="shared" si="1509"/>
        <v>0.12011428571428562</v>
      </c>
      <c r="BL411" s="52">
        <f t="shared" si="1509"/>
        <v>0.15834004834810633</v>
      </c>
      <c r="BM411" s="1569">
        <f t="shared" si="1509"/>
        <v>9.7331942167238061E-2</v>
      </c>
      <c r="BN411" s="52">
        <f t="shared" si="1509"/>
        <v>0.12291434927697442</v>
      </c>
      <c r="BO411" s="52">
        <f t="shared" si="1509"/>
        <v>0.12457912457912457</v>
      </c>
      <c r="BP411" s="52">
        <f t="shared" si="1509"/>
        <v>4.5565217391304369E-2</v>
      </c>
      <c r="BQ411" s="1569">
        <f t="shared" si="1509"/>
        <v>0.12421896223852213</v>
      </c>
      <c r="BR411" s="52">
        <f t="shared" si="1509"/>
        <v>6.8548786527984129E-2</v>
      </c>
      <c r="BS411" s="52">
        <f t="shared" si="1509"/>
        <v>2.8760660497187507E-2</v>
      </c>
      <c r="BT411" s="52">
        <f t="shared" si="1509"/>
        <v>-1.1144377910844994E-2</v>
      </c>
      <c r="BU411" s="1569">
        <f t="shared" si="1509"/>
        <v>-1.7942366942548138E-2</v>
      </c>
      <c r="BV411" s="52">
        <f>BV404/BR404-1</f>
        <v>1.4183739686659758E-2</v>
      </c>
      <c r="BW411" s="52">
        <f>BW404/BS404-1</f>
        <v>7.0552958814706912E-4</v>
      </c>
      <c r="BX411" s="52">
        <f>BX404/BT404-1</f>
        <v>1.7577796467619811E-2</v>
      </c>
      <c r="BY411" s="1569">
        <f>BY404/BU404-1</f>
        <v>2.3006889763779625E-2</v>
      </c>
      <c r="BZ411" s="52">
        <f>BZ404/BN404-1</f>
        <v>0.12154531946508174</v>
      </c>
      <c r="CA411" s="52">
        <f>CA404/BO404-1</f>
        <v>-1.0887316276537828E-2</v>
      </c>
      <c r="CB411" s="52">
        <f>CB404/BP404-1</f>
        <v>-8.6743180306054546E-2</v>
      </c>
      <c r="CC411" s="1569">
        <f>CC404/BQ404-1</f>
        <v>8.699329426689939E-3</v>
      </c>
      <c r="CD411" s="52">
        <f t="shared" ref="CD411:CW411" si="1510">CD404/BZ404-1</f>
        <v>4.151210033563002E-3</v>
      </c>
      <c r="CE411" s="52">
        <f t="shared" si="1510"/>
        <v>-4.2194092827003704E-3</v>
      </c>
      <c r="CF411" s="52">
        <f t="shared" si="1510"/>
        <v>1.4934887533011532E-2</v>
      </c>
      <c r="CG411" s="1569">
        <f t="shared" si="1510"/>
        <v>-1.5571659579565189E-3</v>
      </c>
      <c r="CH411" s="52">
        <f t="shared" si="1510"/>
        <v>2.1197994546574117E-2</v>
      </c>
      <c r="CI411" s="52">
        <f t="shared" si="1510"/>
        <v>-2.8463522476050107E-2</v>
      </c>
      <c r="CJ411" s="52">
        <f t="shared" si="1510"/>
        <v>-3.517272319425746E-2</v>
      </c>
      <c r="CK411" s="1569">
        <f t="shared" si="1510"/>
        <v>2.3993761621978749E-3</v>
      </c>
      <c r="CL411" s="52">
        <f t="shared" si="1510"/>
        <v>-0.10654608096468565</v>
      </c>
      <c r="CM411" s="52">
        <f t="shared" si="1510"/>
        <v>-0.11453493884516919</v>
      </c>
      <c r="CN411" s="52">
        <f t="shared" si="1510"/>
        <v>-0.12759229982330511</v>
      </c>
      <c r="CO411" s="1569">
        <f t="shared" si="1510"/>
        <v>-0.10526000837771532</v>
      </c>
      <c r="CP411" s="52">
        <f t="shared" si="1510"/>
        <v>-0.13930396220958252</v>
      </c>
      <c r="CQ411" s="52">
        <f t="shared" si="1510"/>
        <v>-6.4782096584216742E-2</v>
      </c>
      <c r="CR411" s="52">
        <f t="shared" si="1510"/>
        <v>-4.8715488753864222E-2</v>
      </c>
      <c r="CS411" s="1569">
        <f t="shared" si="1510"/>
        <v>-6.19983948635634E-2</v>
      </c>
      <c r="CT411" s="52">
        <f t="shared" si="1510"/>
        <v>-3.2370071684587831E-2</v>
      </c>
      <c r="CU411" s="52">
        <f t="shared" si="1510"/>
        <v>-3.1486146095717871E-2</v>
      </c>
      <c r="CV411" s="52">
        <f t="shared" si="1510"/>
        <v>1.2102196324518255E-2</v>
      </c>
      <c r="CW411" s="1569">
        <f t="shared" si="1510"/>
        <v>1.3119429590017884E-2</v>
      </c>
      <c r="CX411" s="52">
        <f t="shared" ref="CX411:DE411" si="1511">CX404/CT404-1</f>
        <v>-9.3760851950457358E-3</v>
      </c>
      <c r="CY411" s="52">
        <f t="shared" si="1511"/>
        <v>8.1569925523110598E-3</v>
      </c>
      <c r="CZ411" s="52">
        <f t="shared" si="1511"/>
        <v>-2.3582816651904315E-2</v>
      </c>
      <c r="DA411" s="1569">
        <f t="shared" si="1511"/>
        <v>-4.1241466676050442E-2</v>
      </c>
      <c r="DB411" s="52">
        <f t="shared" si="1511"/>
        <v>-1.3437719093246092E-2</v>
      </c>
      <c r="DC411" s="52">
        <f t="shared" si="1511"/>
        <v>5.8630393996250696E-4</v>
      </c>
      <c r="DD411" s="1506">
        <f t="shared" si="1511"/>
        <v>1.4287334164871268E-2</v>
      </c>
      <c r="DE411" s="1569">
        <f t="shared" si="1511"/>
        <v>-1.035014314027749E-2</v>
      </c>
      <c r="DF411" s="1506">
        <f t="shared" ref="DF411:DM411" si="1512">DF404/DB404-1</f>
        <v>1.0067511548027985E-2</v>
      </c>
      <c r="DG411" s="1506">
        <f t="shared" si="1512"/>
        <v>4.7697175670924574E-2</v>
      </c>
      <c r="DH411" s="1506">
        <f t="shared" si="1512"/>
        <v>4.1922861934041267E-2</v>
      </c>
      <c r="DI411" s="1569">
        <f t="shared" si="1512"/>
        <v>0.13951935914552727</v>
      </c>
      <c r="DJ411" s="1926">
        <f t="shared" si="1512"/>
        <v>2.1485711294402465E-2</v>
      </c>
      <c r="DK411" s="1506">
        <f t="shared" si="1512"/>
        <v>5.4774854253358818E-3</v>
      </c>
      <c r="DL411" s="1506">
        <f t="shared" si="1512"/>
        <v>8.3639332343257156E-3</v>
      </c>
      <c r="DM411" s="1569">
        <f t="shared" si="1512"/>
        <v>-9.5126907320315368E-3</v>
      </c>
      <c r="DN411" s="943"/>
      <c r="DO411" s="1569"/>
      <c r="DP411" s="2300"/>
      <c r="DQ411" s="2300"/>
      <c r="DR411" s="2300"/>
      <c r="DS411" s="2300"/>
      <c r="DT411" s="2300"/>
      <c r="DU411" s="2380"/>
      <c r="DV411" s="52"/>
      <c r="DW411" s="52"/>
      <c r="DX411" s="52"/>
      <c r="DY411" s="52"/>
      <c r="DZ411" s="52">
        <f t="shared" ref="DZ411:EP411" si="1513">DZ404/DY404-1</f>
        <v>0.42087691163436802</v>
      </c>
      <c r="EA411" s="52">
        <f t="shared" si="1513"/>
        <v>7.6656467732726163E-2</v>
      </c>
      <c r="EB411" s="52">
        <f t="shared" si="1513"/>
        <v>7.5605837993905967E-2</v>
      </c>
      <c r="EC411" s="52">
        <f t="shared" si="1513"/>
        <v>0.20416544630704836</v>
      </c>
      <c r="ED411" s="52">
        <f t="shared" si="1513"/>
        <v>0.24137729235583638</v>
      </c>
      <c r="EE411" s="52">
        <f t="shared" si="1513"/>
        <v>0.22671072399978787</v>
      </c>
      <c r="EF411" s="52">
        <f t="shared" si="1513"/>
        <v>0.2138089506367773</v>
      </c>
      <c r="EG411" s="52">
        <f t="shared" si="1513"/>
        <v>0.12591680299401631</v>
      </c>
      <c r="EH411" s="52">
        <f t="shared" si="1513"/>
        <v>0.17182278239281956</v>
      </c>
      <c r="EI411" s="52">
        <f t="shared" si="1513"/>
        <v>0.11762069667956809</v>
      </c>
      <c r="EJ411" s="52">
        <f t="shared" si="1513"/>
        <v>0.12452610090405369</v>
      </c>
      <c r="EK411" s="52">
        <f t="shared" si="1513"/>
        <v>0.16487292531120334</v>
      </c>
      <c r="EL411" s="52">
        <f t="shared" si="1513"/>
        <v>0.11379195191183844</v>
      </c>
      <c r="EM411" s="52">
        <f t="shared" si="1513"/>
        <v>0.12472828123828794</v>
      </c>
      <c r="EN411" s="52">
        <f t="shared" si="1513"/>
        <v>0.10394313006775513</v>
      </c>
      <c r="EO411" s="52">
        <f t="shared" si="1513"/>
        <v>1.1631182838974574E-2</v>
      </c>
      <c r="EP411" s="52">
        <f t="shared" si="1513"/>
        <v>1.4799490770210033E-2</v>
      </c>
      <c r="EQ411" s="52">
        <f>EQ404/EN404-1</f>
        <v>4.1856159697348794E-3</v>
      </c>
      <c r="ER411" s="52">
        <f>ER404/EQ404-1</f>
        <v>2.7854595006211458E-3</v>
      </c>
      <c r="ES411" s="52">
        <f>ES404/ER404-1</f>
        <v>-8.393117643532344E-3</v>
      </c>
      <c r="ET411" s="52">
        <f>ET404/ES404-1</f>
        <v>-0.11237177807782994</v>
      </c>
      <c r="EU411" s="52">
        <f>EU404/ES404-1</f>
        <v>-0.18157634872332273</v>
      </c>
      <c r="EV411" s="52">
        <f t="shared" ref="EV411:FC411" si="1514">EV404/EU404-1</f>
        <v>-6.6976927433454181E-3</v>
      </c>
      <c r="EW411" s="52">
        <f t="shared" si="1514"/>
        <v>-2.0104613401422888E-2</v>
      </c>
      <c r="EX411" s="52">
        <f t="shared" si="1514"/>
        <v>-3.1623153207852583E-3</v>
      </c>
      <c r="EY411" s="52">
        <f t="shared" si="1514"/>
        <v>6.97408826739081E-2</v>
      </c>
      <c r="EZ411" s="2389">
        <f t="shared" si="1514"/>
        <v>3.8909457818057103E-3</v>
      </c>
      <c r="FA411" s="52">
        <f t="shared" si="1514"/>
        <v>1.0079130563356964E-2</v>
      </c>
      <c r="FB411" s="52">
        <f t="shared" si="1514"/>
        <v>9.9336293157095135E-3</v>
      </c>
      <c r="FC411" s="52">
        <f t="shared" si="1514"/>
        <v>8.7104249902583142E-3</v>
      </c>
      <c r="FD411" s="52">
        <f>FD404/FC404-1</f>
        <v>1.2692032314878254E-2</v>
      </c>
      <c r="FE411" s="52">
        <f>FE404/FD404-1</f>
        <v>1.3025999748297767E-2</v>
      </c>
      <c r="FF411" s="52">
        <f>FF404/FE404-1</f>
        <v>1.3369313110822345E-2</v>
      </c>
      <c r="FG411" s="52">
        <f>FG404/FF404-1</f>
        <v>1.3721983429219486E-2</v>
      </c>
      <c r="FH411" s="52">
        <f>FH404/FG404-1</f>
        <v>1.4084002678209862E-2</v>
      </c>
      <c r="FI411" s="943"/>
      <c r="FJ411"/>
      <c r="FK411"/>
      <c r="FL411"/>
      <c r="FM411"/>
      <c r="FN411"/>
      <c r="FO411"/>
      <c r="FP411" s="1435"/>
      <c r="FQ411" s="51"/>
      <c r="FR411" s="51"/>
      <c r="FS411" s="1506"/>
      <c r="FT411" s="1506"/>
      <c r="FU411" s="1388"/>
      <c r="FV411" s="1388"/>
      <c r="FW411" s="1506"/>
      <c r="FX411" s="1506"/>
      <c r="FY411" s="1506"/>
      <c r="FZ411" s="99"/>
      <c r="GA411" s="99"/>
      <c r="GB411" s="99"/>
      <c r="GC411" s="99"/>
      <c r="GD411" s="99"/>
      <c r="GE411" s="99"/>
      <c r="GF411" s="99"/>
      <c r="GG411" s="99"/>
      <c r="GH411" s="99"/>
      <c r="GI411" s="99"/>
      <c r="GJ411" s="99"/>
      <c r="GK411" s="99"/>
      <c r="GL411" s="99"/>
      <c r="GM411" s="99"/>
      <c r="GN411" s="99"/>
      <c r="GO411" s="99"/>
      <c r="GP411" s="99"/>
      <c r="GQ411" s="99"/>
      <c r="GR411" s="99"/>
      <c r="GS411" s="99"/>
      <c r="GT411" s="99"/>
      <c r="GU411" s="99"/>
      <c r="GV411" s="99"/>
      <c r="GW411" s="99"/>
      <c r="GX411" s="99"/>
      <c r="GY411" s="99"/>
      <c r="GZ411" s="99"/>
      <c r="HA411" s="99"/>
      <c r="HB411" s="99"/>
      <c r="HC411" s="99"/>
      <c r="HD411" s="99"/>
      <c r="HE411" s="99"/>
      <c r="HF411" s="99"/>
      <c r="HG411" s="99"/>
      <c r="HH411" s="99"/>
      <c r="HI411" s="99"/>
      <c r="HJ411" s="99"/>
      <c r="HK411" s="99"/>
      <c r="HL411" s="99"/>
      <c r="HM411" s="99"/>
      <c r="HN411" s="99"/>
      <c r="HO411" s="99"/>
      <c r="HP411" s="99"/>
      <c r="HQ411" s="99"/>
      <c r="HR411" s="99"/>
      <c r="HS411" s="99"/>
      <c r="HT411" s="99"/>
      <c r="HU411" s="99"/>
      <c r="HV411" s="99"/>
      <c r="HW411" s="99"/>
      <c r="HX411" s="99"/>
      <c r="HY411" s="99"/>
      <c r="HZ411" s="99"/>
      <c r="IA411" s="99"/>
      <c r="IB411" s="99"/>
      <c r="IC411" s="99"/>
      <c r="ID411" s="99"/>
      <c r="IE411" s="99"/>
      <c r="IF411" s="99"/>
      <c r="IG411" s="99"/>
      <c r="IH411" s="99"/>
      <c r="II411" s="99"/>
      <c r="IJ411" s="99"/>
      <c r="IK411" s="99"/>
      <c r="IL411" s="99"/>
      <c r="IM411" s="99"/>
      <c r="IN411" s="99"/>
      <c r="IO411" s="99"/>
      <c r="IP411" s="99"/>
      <c r="IQ411" s="99"/>
      <c r="IR411" s="99"/>
      <c r="IS411" s="99"/>
      <c r="IT411" s="99"/>
      <c r="IU411" s="99"/>
      <c r="IV411" s="99"/>
      <c r="IW411" s="99"/>
      <c r="IX411" s="99"/>
      <c r="IY411" s="99"/>
      <c r="IZ411" s="99"/>
    </row>
    <row r="412" spans="1:260" s="256" customFormat="1" ht="12.75" customHeight="1" outlineLevel="1" x14ac:dyDescent="0.2">
      <c r="A412" s="1248" t="s">
        <v>144</v>
      </c>
      <c r="B412" s="1248"/>
      <c r="C412" s="1248"/>
      <c r="D412" s="1248"/>
      <c r="E412" s="1255"/>
      <c r="F412" s="2380"/>
      <c r="G412" s="2380"/>
      <c r="H412" s="2380"/>
      <c r="I412" s="2377"/>
      <c r="J412" s="2380"/>
      <c r="K412" s="2380"/>
      <c r="L412" s="2380"/>
      <c r="M412" s="2377"/>
      <c r="N412" s="2380"/>
      <c r="O412" s="2380"/>
      <c r="P412" s="2380"/>
      <c r="Q412" s="2377"/>
      <c r="R412" s="2380"/>
      <c r="S412" s="2380"/>
      <c r="T412" s="2380"/>
      <c r="U412" s="2377"/>
      <c r="V412" s="2380"/>
      <c r="W412" s="2380"/>
      <c r="X412" s="2380"/>
      <c r="Y412" s="2377"/>
      <c r="Z412" s="2380"/>
      <c r="AA412" s="2380"/>
      <c r="AB412" s="2380"/>
      <c r="AC412" s="2377"/>
      <c r="AD412" s="2380"/>
      <c r="AE412" s="2380"/>
      <c r="AF412" s="2380"/>
      <c r="AG412" s="2377"/>
      <c r="AH412" s="2380"/>
      <c r="AI412" s="2380"/>
      <c r="AJ412" s="2380"/>
      <c r="AK412" s="2377"/>
      <c r="AL412" s="2380"/>
      <c r="AM412" s="2380"/>
      <c r="AN412" s="2380"/>
      <c r="AO412" s="2377"/>
      <c r="AP412" s="2380"/>
      <c r="AQ412" s="2380"/>
      <c r="AR412" s="2380"/>
      <c r="AS412" s="2377"/>
      <c r="AT412" s="2380"/>
      <c r="AU412" s="2380"/>
      <c r="AV412" s="2380"/>
      <c r="AW412" s="2377"/>
      <c r="AX412" s="2351"/>
      <c r="AY412" s="2351"/>
      <c r="AZ412" s="2351"/>
      <c r="BA412" s="2352"/>
      <c r="BB412" s="2351"/>
      <c r="BC412" s="2351"/>
      <c r="BD412" s="2351"/>
      <c r="BE412" s="2352"/>
      <c r="BF412" s="2351"/>
      <c r="BG412" s="2351"/>
      <c r="BH412" s="2351"/>
      <c r="BI412" s="2352"/>
      <c r="BJ412" s="2351"/>
      <c r="BK412" s="2351"/>
      <c r="BL412" s="2351"/>
      <c r="BM412" s="2352"/>
      <c r="BN412" s="2351"/>
      <c r="BO412" s="2351"/>
      <c r="BP412" s="2351"/>
      <c r="BQ412" s="2352"/>
      <c r="BR412" s="1256">
        <f>BR404-'Income Statement'!BR7</f>
        <v>0</v>
      </c>
      <c r="BS412" s="1256">
        <f>BS404-'Income Statement'!BS7</f>
        <v>0</v>
      </c>
      <c r="BT412" s="1256">
        <f>BT404-'Income Statement'!BT7</f>
        <v>0</v>
      </c>
      <c r="BU412" s="1252">
        <f>BU404-'Income Statement'!BU7</f>
        <v>0</v>
      </c>
      <c r="BV412" s="1256">
        <f>BV404-'Income Statement'!BV7</f>
        <v>0</v>
      </c>
      <c r="BW412" s="1256">
        <f>BW404-'Income Statement'!BW7</f>
        <v>0</v>
      </c>
      <c r="BX412" s="1256">
        <f>BX404-'Income Statement'!BX7</f>
        <v>0</v>
      </c>
      <c r="BY412" s="1252">
        <f>BY404-'Income Statement'!BY7</f>
        <v>0</v>
      </c>
      <c r="BZ412" s="1256">
        <f>BZ404-'Income Statement'!BZ7</f>
        <v>0</v>
      </c>
      <c r="CA412" s="1256">
        <f>CA404-'Income Statement'!CA7</f>
        <v>0</v>
      </c>
      <c r="CB412" s="1256">
        <f>CB404-'Income Statement'!CB7</f>
        <v>0</v>
      </c>
      <c r="CC412" s="1252">
        <f>CC404-'Income Statement'!CC7</f>
        <v>0</v>
      </c>
      <c r="CD412" s="1256">
        <f>CD404-'Income Statement'!CD7</f>
        <v>0</v>
      </c>
      <c r="CE412" s="1256">
        <f>CE404-'Income Statement'!CE7</f>
        <v>0</v>
      </c>
      <c r="CF412" s="1256">
        <f>CF404-'Income Statement'!CF7</f>
        <v>0</v>
      </c>
      <c r="CG412" s="1252">
        <f>CG404-'Income Statement'!CG7</f>
        <v>0</v>
      </c>
      <c r="CH412" s="1256">
        <f>CH404-'Income Statement'!CH7</f>
        <v>0</v>
      </c>
      <c r="CI412" s="1256">
        <f>CI404-'Income Statement'!CI7</f>
        <v>0</v>
      </c>
      <c r="CJ412" s="1256">
        <f>CJ404-'Income Statement'!CJ7</f>
        <v>0</v>
      </c>
      <c r="CK412" s="1252">
        <f>CK404-'Income Statement'!CK7</f>
        <v>0</v>
      </c>
      <c r="CL412" s="1256">
        <f>CL404-'Income Statement'!CL7</f>
        <v>0</v>
      </c>
      <c r="CM412" s="1256">
        <f>CM404-'Income Statement'!CM7</f>
        <v>0</v>
      </c>
      <c r="CN412" s="1256">
        <f>CN404-'Income Statement'!CN7</f>
        <v>0</v>
      </c>
      <c r="CO412" s="1252">
        <f>CO404-'Income Statement'!CO7</f>
        <v>0</v>
      </c>
      <c r="CP412" s="1256">
        <f>CP404-'Income Statement'!CP7</f>
        <v>0</v>
      </c>
      <c r="CQ412" s="1256">
        <f>CQ404-'Income Statement'!CQ7</f>
        <v>0</v>
      </c>
      <c r="CR412" s="1256">
        <f>CR404-'Income Statement'!CR7</f>
        <v>0</v>
      </c>
      <c r="CS412" s="1252">
        <f>CS404-'Income Statement'!CS7</f>
        <v>0</v>
      </c>
      <c r="CT412" s="1256">
        <f>CT404-'Income Statement'!CT7</f>
        <v>0</v>
      </c>
      <c r="CU412" s="1256">
        <f>CU404-'Income Statement'!CU7</f>
        <v>0</v>
      </c>
      <c r="CV412" s="1256">
        <f>CV404-'Income Statement'!CV7</f>
        <v>0</v>
      </c>
      <c r="CW412" s="1587">
        <f>CW404-'Income Statement'!CW7</f>
        <v>0</v>
      </c>
      <c r="CX412" s="2403">
        <f>CX404-'Income Statement'!CX7</f>
        <v>0</v>
      </c>
      <c r="CY412" s="2404">
        <f>CY404-'Income Statement'!CY7</f>
        <v>0</v>
      </c>
      <c r="CZ412" s="2403">
        <f>CZ404-'Income Statement'!CZ7</f>
        <v>0</v>
      </c>
      <c r="DA412" s="2405">
        <f>DA404-'Income Statement'!DA7</f>
        <v>0</v>
      </c>
      <c r="DB412" s="2403">
        <f>DB404-'Income Statement'!DB7</f>
        <v>0</v>
      </c>
      <c r="DC412" s="2406">
        <f>DC404-'Income Statement'!DC7</f>
        <v>0</v>
      </c>
      <c r="DD412" s="2407">
        <f>DD404-'Income Statement'!DD7</f>
        <v>0</v>
      </c>
      <c r="DE412" s="2408">
        <f>DE404-'Income Statement'!DE7</f>
        <v>0</v>
      </c>
      <c r="DF412" s="2407">
        <f>DF404-'Income Statement'!DF7</f>
        <v>0</v>
      </c>
      <c r="DG412" s="2407">
        <f>DG404-'Income Statement'!DG7</f>
        <v>0</v>
      </c>
      <c r="DH412" s="2407">
        <f>DH404-'Income Statement'!DH7</f>
        <v>0</v>
      </c>
      <c r="DI412" s="2408">
        <f>DI404-'Income Statement'!DI7</f>
        <v>0</v>
      </c>
      <c r="DJ412" s="2773">
        <f>DJ404-'Income Statement'!DJ7</f>
        <v>0</v>
      </c>
      <c r="DK412" s="2407">
        <f>DK404-'Income Statement'!DK7</f>
        <v>0</v>
      </c>
      <c r="DL412" s="2407">
        <f>DL404-'Income Statement'!DL7</f>
        <v>0</v>
      </c>
      <c r="DM412" s="2408">
        <f>DM404-'Income Statement'!DM7</f>
        <v>0</v>
      </c>
      <c r="DN412" s="2409"/>
      <c r="DO412" s="2408"/>
      <c r="DP412" s="2410"/>
      <c r="DQ412" s="2410"/>
      <c r="DR412" s="2410"/>
      <c r="DS412" s="2410"/>
      <c r="DT412" s="2410"/>
      <c r="DU412" s="2410"/>
      <c r="DV412" s="2411"/>
      <c r="DW412" s="2411"/>
      <c r="DX412" s="2411"/>
      <c r="DY412" s="2410"/>
      <c r="DZ412" s="2410"/>
      <c r="EA412" s="2410"/>
      <c r="EB412" s="2410"/>
      <c r="EC412" s="2410"/>
      <c r="ED412" s="2410"/>
      <c r="EE412" s="2410"/>
      <c r="EF412" s="2410"/>
      <c r="EG412" s="2410"/>
      <c r="EH412" s="2410"/>
      <c r="EI412" s="2410"/>
      <c r="EJ412" s="2410"/>
      <c r="EK412" s="2410"/>
      <c r="EL412" s="2410"/>
      <c r="EM412" s="2410"/>
      <c r="EN412" s="2410"/>
      <c r="EO412" s="2404">
        <f>EO404-'Income Statement'!EO7</f>
        <v>0</v>
      </c>
      <c r="EP412" s="2411">
        <f>EP407/EO407-1</f>
        <v>0.4785079096038618</v>
      </c>
      <c r="EQ412" s="2404">
        <f>EQ404-'Income Statement'!EQ7</f>
        <v>0</v>
      </c>
      <c r="ER412" s="2404">
        <f>ER404-'Income Statement'!ER7</f>
        <v>0</v>
      </c>
      <c r="ES412" s="2404">
        <f>ES404-'Income Statement'!ES7</f>
        <v>0</v>
      </c>
      <c r="ET412" s="2404">
        <f>ET404-'Income Statement'!ET7</f>
        <v>0</v>
      </c>
      <c r="EU412" s="2404">
        <f>EU404-'Income Statement'!EU7</f>
        <v>0</v>
      </c>
      <c r="EV412" s="2403">
        <f>EV404-'Income Statement'!EV7</f>
        <v>0</v>
      </c>
      <c r="EW412" s="2403">
        <f>EW404-'Income Statement'!EW7</f>
        <v>0</v>
      </c>
      <c r="EX412" s="2406">
        <f>EX404-'Income Statement'!EX7</f>
        <v>0</v>
      </c>
      <c r="EY412" s="2406">
        <f>EY404-'Income Statement'!EY7</f>
        <v>0</v>
      </c>
      <c r="EZ412" s="2412">
        <f>EZ404-'Income Statement'!EZ7</f>
        <v>0</v>
      </c>
      <c r="FA412" s="2404">
        <f>FA404-'Income Statement'!FA7</f>
        <v>0</v>
      </c>
      <c r="FB412" s="2404">
        <f>FB404-'Income Statement'!FB7</f>
        <v>0</v>
      </c>
      <c r="FC412" s="2404">
        <f>FC404-'Income Statement'!FC7</f>
        <v>0</v>
      </c>
      <c r="FD412" s="2404">
        <f>FD404-'Income Statement'!FD7</f>
        <v>0</v>
      </c>
      <c r="FE412" s="2404">
        <f>FE404-'Income Statement'!FE7</f>
        <v>0</v>
      </c>
      <c r="FF412" s="2404">
        <f>FF404-'Income Statement'!FF7</f>
        <v>0</v>
      </c>
      <c r="FG412" s="2404">
        <f>FG404-'Income Statement'!FG7</f>
        <v>0</v>
      </c>
      <c r="FH412" s="2404">
        <f>FH404-'Income Statement'!FH7</f>
        <v>0</v>
      </c>
      <c r="FI412" s="1251"/>
      <c r="FJ412"/>
      <c r="FK412"/>
      <c r="FL412"/>
      <c r="FM412"/>
      <c r="FN412"/>
      <c r="FO412"/>
      <c r="FP412" s="51"/>
      <c r="FQ412" s="51"/>
      <c r="FR412" s="51"/>
      <c r="FS412" s="1253"/>
      <c r="FT412" s="1253"/>
      <c r="FU412" s="1388"/>
      <c r="FV412" s="1388"/>
      <c r="FW412" s="2407"/>
      <c r="FX412" s="2407"/>
      <c r="FY412" s="2407"/>
      <c r="FZ412" s="99"/>
      <c r="GA412" s="99"/>
      <c r="GB412" s="99"/>
      <c r="GC412" s="99"/>
      <c r="GD412" s="99"/>
      <c r="GE412" s="99"/>
      <c r="GF412" s="99"/>
      <c r="GG412" s="99"/>
      <c r="GH412" s="99"/>
      <c r="GI412" s="99"/>
      <c r="GJ412" s="99"/>
      <c r="GK412" s="99"/>
      <c r="GL412" s="99"/>
      <c r="GM412" s="99"/>
      <c r="GN412" s="99"/>
      <c r="GO412" s="99"/>
      <c r="GP412" s="99"/>
      <c r="GQ412" s="99"/>
      <c r="GR412" s="99"/>
      <c r="GS412" s="99"/>
      <c r="GT412" s="99"/>
      <c r="GU412" s="99"/>
      <c r="GV412" s="99"/>
      <c r="GW412" s="99"/>
      <c r="GX412" s="99"/>
      <c r="GY412" s="99"/>
      <c r="GZ412" s="99"/>
      <c r="HA412" s="99"/>
      <c r="HB412" s="99"/>
      <c r="HC412" s="99"/>
      <c r="HD412" s="99"/>
      <c r="HE412" s="99"/>
      <c r="HF412" s="99"/>
      <c r="HG412" s="99"/>
      <c r="HH412" s="99"/>
      <c r="HI412" s="99"/>
      <c r="HJ412" s="99"/>
      <c r="HK412" s="99"/>
      <c r="HL412" s="99"/>
      <c r="HM412" s="99"/>
      <c r="HN412" s="99"/>
      <c r="HO412" s="99"/>
      <c r="HP412" s="99"/>
      <c r="HQ412" s="99"/>
      <c r="HR412" s="99"/>
      <c r="HS412" s="99"/>
      <c r="HT412" s="99"/>
      <c r="HU412" s="99"/>
      <c r="HV412" s="99"/>
      <c r="HW412" s="99"/>
      <c r="HX412" s="99"/>
      <c r="HY412" s="99"/>
      <c r="HZ412" s="99"/>
      <c r="IA412" s="99"/>
      <c r="IB412" s="99"/>
      <c r="IC412" s="99"/>
      <c r="ID412" s="99"/>
      <c r="IE412" s="99"/>
      <c r="IF412" s="99"/>
      <c r="IG412" s="99"/>
      <c r="IH412" s="99"/>
      <c r="II412" s="99"/>
      <c r="IJ412" s="99"/>
      <c r="IK412" s="99"/>
      <c r="IL412" s="99"/>
      <c r="IM412" s="99"/>
      <c r="IN412" s="99"/>
      <c r="IO412" s="99"/>
      <c r="IP412" s="99"/>
      <c r="IQ412" s="99"/>
      <c r="IR412" s="99"/>
      <c r="IS412" s="99"/>
      <c r="IT412" s="99"/>
      <c r="IU412" s="99"/>
      <c r="IV412" s="99"/>
      <c r="IW412" s="99"/>
      <c r="IX412" s="99"/>
      <c r="IY412" s="99"/>
      <c r="IZ412" s="99"/>
    </row>
    <row r="413" spans="1:260" s="256" customFormat="1" ht="12.75" customHeight="1" outlineLevel="1" thickBot="1" x14ac:dyDescent="0.25">
      <c r="A413" s="1248"/>
      <c r="B413" s="1248"/>
      <c r="C413" s="1248"/>
      <c r="D413" s="1248"/>
      <c r="E413" s="1255"/>
      <c r="F413" s="2380"/>
      <c r="G413" s="2380"/>
      <c r="H413" s="2380"/>
      <c r="I413" s="2377"/>
      <c r="J413" s="2380"/>
      <c r="K413" s="2380"/>
      <c r="L413" s="2380"/>
      <c r="M413" s="2377"/>
      <c r="N413" s="2380"/>
      <c r="O413" s="2380"/>
      <c r="P413" s="2380"/>
      <c r="Q413" s="2377"/>
      <c r="R413" s="2380"/>
      <c r="S413" s="2380"/>
      <c r="T413" s="2380"/>
      <c r="U413" s="2377"/>
      <c r="V413" s="2380"/>
      <c r="W413" s="2380"/>
      <c r="X413" s="2380"/>
      <c r="Y413" s="2377"/>
      <c r="Z413" s="2380"/>
      <c r="AA413" s="2380"/>
      <c r="AB413" s="2380"/>
      <c r="AC413" s="2377"/>
      <c r="AD413" s="2380"/>
      <c r="AE413" s="2380"/>
      <c r="AF413" s="2380"/>
      <c r="AG413" s="2377"/>
      <c r="AH413" s="2380"/>
      <c r="AI413" s="2380"/>
      <c r="AJ413" s="2380"/>
      <c r="AK413" s="2377"/>
      <c r="AL413" s="2380"/>
      <c r="AM413" s="2380"/>
      <c r="AN413" s="2380"/>
      <c r="AO413" s="2377"/>
      <c r="AP413" s="2380"/>
      <c r="AQ413" s="2380"/>
      <c r="AR413" s="2380"/>
      <c r="AS413" s="2377"/>
      <c r="AT413" s="2380"/>
      <c r="AU413" s="2380"/>
      <c r="AV413" s="2380"/>
      <c r="AW413" s="2377"/>
      <c r="AX413" s="2351"/>
      <c r="AY413" s="2351"/>
      <c r="AZ413" s="2351"/>
      <c r="BA413" s="2352"/>
      <c r="BB413" s="2351"/>
      <c r="BC413" s="2351"/>
      <c r="BD413" s="2351"/>
      <c r="BE413" s="2352"/>
      <c r="BF413" s="2351"/>
      <c r="BG413" s="2351"/>
      <c r="BH413" s="2351"/>
      <c r="BI413" s="2352"/>
      <c r="BJ413" s="2351"/>
      <c r="BK413" s="2351"/>
      <c r="BL413" s="2351"/>
      <c r="BM413" s="2352"/>
      <c r="BN413" s="2351"/>
      <c r="BO413" s="2351"/>
      <c r="BP413" s="2351"/>
      <c r="BQ413" s="2352"/>
      <c r="BR413" s="1256"/>
      <c r="BS413" s="1256"/>
      <c r="BT413" s="1256"/>
      <c r="BU413" s="1252"/>
      <c r="BV413" s="1256"/>
      <c r="BW413" s="1256"/>
      <c r="BX413" s="1256"/>
      <c r="BY413" s="1252"/>
      <c r="BZ413" s="1256"/>
      <c r="CA413" s="1256"/>
      <c r="CB413" s="1256"/>
      <c r="CC413" s="1252"/>
      <c r="CD413" s="1256"/>
      <c r="CE413" s="1256"/>
      <c r="CF413" s="1256"/>
      <c r="CG413" s="1252"/>
      <c r="CH413" s="1256"/>
      <c r="CI413" s="1256"/>
      <c r="CJ413" s="1256"/>
      <c r="CK413" s="1252"/>
      <c r="CL413" s="1256"/>
      <c r="CM413" s="1256"/>
      <c r="CN413" s="1256"/>
      <c r="CO413" s="1252"/>
      <c r="CP413" s="1256"/>
      <c r="CQ413" s="1256"/>
      <c r="CR413" s="1256"/>
      <c r="CS413" s="1252"/>
      <c r="CT413" s="1256"/>
      <c r="CU413" s="1256"/>
      <c r="CV413" s="1256"/>
      <c r="CW413" s="2413"/>
      <c r="CX413" s="1388"/>
      <c r="CY413" s="1256"/>
      <c r="CZ413" s="1388"/>
      <c r="DA413" s="2413"/>
      <c r="DB413" s="1388"/>
      <c r="DC413" s="51"/>
      <c r="DD413" s="2414"/>
      <c r="DE413" s="2415"/>
      <c r="DF413" s="51"/>
      <c r="DG413" s="51"/>
      <c r="DH413" s="51"/>
      <c r="DI413" s="2415"/>
      <c r="DJ413" s="2774"/>
      <c r="DK413" s="1253"/>
      <c r="DL413" s="1253"/>
      <c r="DM413" s="2415"/>
      <c r="DN413" s="1251"/>
      <c r="DO413" s="1252"/>
      <c r="DP413" s="2300"/>
      <c r="DQ413" s="2300"/>
      <c r="DR413" s="2300"/>
      <c r="DS413" s="2300"/>
      <c r="DT413" s="2300"/>
      <c r="DU413" s="2380"/>
      <c r="DV413" s="52"/>
      <c r="DW413" s="52"/>
      <c r="DX413" s="52"/>
      <c r="DY413" s="2380"/>
      <c r="DZ413" s="2380"/>
      <c r="EA413" s="2380"/>
      <c r="EB413" s="2380"/>
      <c r="EC413" s="2380"/>
      <c r="ED413" s="2380"/>
      <c r="EE413" s="2380"/>
      <c r="EF413" s="2380"/>
      <c r="EG413" s="2380"/>
      <c r="EH413" s="2380"/>
      <c r="EI413" s="2351"/>
      <c r="EJ413" s="2351"/>
      <c r="EK413" s="2351"/>
      <c r="EL413" s="2351"/>
      <c r="EM413" s="2351"/>
      <c r="EN413" s="2351"/>
      <c r="EO413" s="1256"/>
      <c r="EP413" s="52"/>
      <c r="EQ413" s="1256"/>
      <c r="ER413" s="1256"/>
      <c r="ES413" s="1256"/>
      <c r="ET413" s="1256"/>
      <c r="EU413" s="1256"/>
      <c r="EV413" s="1388"/>
      <c r="EW413" s="1388"/>
      <c r="EX413" s="51"/>
      <c r="EY413" s="51"/>
      <c r="EZ413" s="1942"/>
      <c r="FA413" s="1256"/>
      <c r="FB413" s="1256"/>
      <c r="FC413" s="1256"/>
      <c r="FD413" s="1256"/>
      <c r="FE413" s="1256"/>
      <c r="FF413" s="1256"/>
      <c r="FG413" s="1256"/>
      <c r="FH413" s="1256"/>
      <c r="FI413" s="1251"/>
      <c r="FJ413"/>
      <c r="FK413"/>
      <c r="FL413"/>
      <c r="FM413"/>
      <c r="FN413"/>
      <c r="FO413"/>
      <c r="FP413" s="51"/>
      <c r="FQ413" s="51"/>
      <c r="FR413" s="51"/>
      <c r="FS413" s="1253"/>
      <c r="FT413" s="1253"/>
      <c r="FU413" s="1388"/>
      <c r="FV413" s="1388"/>
      <c r="FW413" s="1253"/>
      <c r="FX413" s="1253"/>
      <c r="FY413" s="1253"/>
      <c r="FZ413" s="99"/>
      <c r="GA413" s="99"/>
      <c r="GB413" s="99"/>
      <c r="GC413" s="99"/>
      <c r="GD413" s="99"/>
      <c r="GE413" s="99"/>
      <c r="GF413" s="99"/>
      <c r="GG413" s="99"/>
      <c r="GH413" s="99"/>
      <c r="GI413" s="99"/>
      <c r="GJ413" s="99"/>
      <c r="GK413" s="99"/>
      <c r="GL413" s="99"/>
      <c r="GM413" s="99"/>
      <c r="GN413" s="99"/>
      <c r="GO413" s="99"/>
      <c r="GP413" s="99"/>
      <c r="GQ413" s="99"/>
      <c r="GR413" s="99"/>
      <c r="GS413" s="99"/>
      <c r="GT413" s="99"/>
      <c r="GU413" s="99"/>
      <c r="GV413" s="99"/>
      <c r="GW413" s="99"/>
      <c r="GX413" s="99"/>
      <c r="GY413" s="99"/>
      <c r="GZ413" s="99"/>
      <c r="HA413" s="99"/>
      <c r="HB413" s="99"/>
      <c r="HC413" s="99"/>
      <c r="HD413" s="99"/>
      <c r="HE413" s="99"/>
      <c r="HF413" s="99"/>
      <c r="HG413" s="99"/>
      <c r="HH413" s="99"/>
      <c r="HI413" s="99"/>
      <c r="HJ413" s="99"/>
      <c r="HK413" s="99"/>
      <c r="HL413" s="99"/>
      <c r="HM413" s="99"/>
      <c r="HN413" s="99"/>
      <c r="HO413" s="99"/>
      <c r="HP413" s="99"/>
      <c r="HQ413" s="99"/>
      <c r="HR413" s="99"/>
      <c r="HS413" s="99"/>
      <c r="HT413" s="99"/>
      <c r="HU413" s="99"/>
      <c r="HV413" s="99"/>
      <c r="HW413" s="99"/>
      <c r="HX413" s="99"/>
      <c r="HY413" s="99"/>
      <c r="HZ413" s="99"/>
      <c r="IA413" s="99"/>
      <c r="IB413" s="99"/>
      <c r="IC413" s="99"/>
      <c r="ID413" s="99"/>
      <c r="IE413" s="99"/>
      <c r="IF413" s="99"/>
      <c r="IG413" s="99"/>
      <c r="IH413" s="99"/>
      <c r="II413" s="99"/>
      <c r="IJ413" s="99"/>
      <c r="IK413" s="99"/>
      <c r="IL413" s="99"/>
      <c r="IM413" s="99"/>
      <c r="IN413" s="99"/>
      <c r="IO413" s="99"/>
      <c r="IP413" s="99"/>
      <c r="IQ413" s="99"/>
      <c r="IR413" s="99"/>
      <c r="IS413" s="99"/>
      <c r="IT413" s="99"/>
      <c r="IU413" s="99"/>
      <c r="IV413" s="99"/>
      <c r="IW413" s="99"/>
      <c r="IX413" s="99"/>
      <c r="IY413" s="99"/>
      <c r="IZ413" s="99"/>
    </row>
    <row r="414" spans="1:260" ht="12.75" customHeight="1" x14ac:dyDescent="0.2">
      <c r="A414" s="2416"/>
      <c r="B414" s="2416"/>
      <c r="C414" s="2416"/>
      <c r="D414" s="2416"/>
      <c r="E414" s="2416"/>
      <c r="F414" s="2416"/>
      <c r="G414" s="2416"/>
      <c r="H414" s="2416"/>
      <c r="I414" s="2416"/>
      <c r="J414" s="2416"/>
      <c r="K414" s="2416"/>
      <c r="L414" s="2416"/>
      <c r="M414" s="2416"/>
      <c r="N414" s="2416"/>
      <c r="O414" s="2416"/>
      <c r="P414" s="2416"/>
      <c r="Q414" s="2416"/>
      <c r="R414" s="2416"/>
      <c r="S414" s="2416"/>
      <c r="T414" s="2416"/>
      <c r="U414" s="2416"/>
      <c r="V414" s="2416"/>
      <c r="W414" s="2416"/>
      <c r="X414" s="2416"/>
      <c r="Y414" s="2416"/>
      <c r="Z414" s="2416"/>
      <c r="AA414" s="2416"/>
      <c r="AB414" s="2416"/>
      <c r="AC414" s="2416"/>
      <c r="AD414" s="2416"/>
      <c r="AE414" s="2416"/>
      <c r="AF414" s="2416"/>
      <c r="AG414" s="2416"/>
      <c r="AH414" s="2416"/>
      <c r="AI414" s="2416"/>
      <c r="AJ414" s="2416"/>
      <c r="AK414" s="2416"/>
      <c r="AL414" s="2416"/>
      <c r="AM414" s="2416"/>
      <c r="AN414" s="2416"/>
      <c r="AO414" s="2416"/>
      <c r="AP414" s="2416"/>
      <c r="AQ414" s="2416"/>
      <c r="AR414" s="2416"/>
      <c r="AS414" s="2416"/>
      <c r="AT414" s="2416"/>
      <c r="AU414" s="2416"/>
      <c r="AV414" s="2416"/>
      <c r="AW414" s="2416"/>
      <c r="AX414" s="2416"/>
      <c r="AY414" s="2416"/>
      <c r="AZ414" s="2416"/>
      <c r="BA414" s="2416"/>
      <c r="BB414" s="2416"/>
      <c r="BC414" s="2416"/>
      <c r="BD414" s="2416"/>
      <c r="BE414" s="2416"/>
      <c r="BF414" s="2416"/>
      <c r="BG414" s="2416"/>
      <c r="BH414" s="2416"/>
      <c r="BI414" s="2416"/>
      <c r="BJ414" s="2416"/>
      <c r="BK414" s="2416"/>
      <c r="BL414" s="2416"/>
      <c r="BM414" s="2416"/>
      <c r="BN414" s="2416"/>
      <c r="BO414" s="2416"/>
      <c r="BP414" s="2416"/>
      <c r="BQ414" s="2416"/>
      <c r="BR414" s="2416"/>
      <c r="BS414" s="2416"/>
      <c r="BT414" s="2416"/>
      <c r="BU414" s="2416"/>
      <c r="BV414" s="2416"/>
      <c r="BW414" s="2416"/>
      <c r="BX414" s="2416"/>
      <c r="BY414" s="2416"/>
      <c r="BZ414" s="2416"/>
      <c r="CA414" s="2416"/>
      <c r="CB414" s="2416"/>
      <c r="CC414" s="2416"/>
      <c r="CD414" s="2416"/>
      <c r="CE414" s="2416"/>
      <c r="CF414" s="2416"/>
      <c r="CG414" s="2416"/>
      <c r="CH414" s="2416"/>
      <c r="CI414" s="2416"/>
      <c r="CJ414" s="2416"/>
      <c r="CK414" s="2416"/>
      <c r="CL414" s="2416"/>
      <c r="CM414" s="2416"/>
      <c r="CN414" s="2416"/>
      <c r="CO414" s="2416"/>
      <c r="CP414" s="2416"/>
      <c r="CQ414" s="2416"/>
      <c r="CR414" s="2416"/>
      <c r="CS414" s="2417"/>
      <c r="CT414" s="2416"/>
      <c r="CU414" s="2416"/>
      <c r="CV414" s="2416"/>
      <c r="CW414" s="2416"/>
      <c r="CX414" s="2416"/>
      <c r="CY414" s="2416"/>
      <c r="CZ414" s="2416"/>
      <c r="DA414" s="2416"/>
      <c r="DB414" s="2416"/>
      <c r="DC414" s="2417"/>
      <c r="DD414" s="2417"/>
      <c r="DE414" s="2416"/>
      <c r="DF414" s="2417"/>
      <c r="DG414" s="2671"/>
      <c r="DH414" s="2671"/>
      <c r="DI414" s="2416"/>
      <c r="DJ414" s="2416"/>
      <c r="DK414" s="2416"/>
      <c r="DL414" s="2416"/>
      <c r="DM414" s="2416"/>
      <c r="DN414" s="51"/>
      <c r="DO414" s="51"/>
      <c r="DP414" s="2416"/>
      <c r="DQ414" s="2416"/>
      <c r="DR414" s="2416"/>
      <c r="DS414" s="2416"/>
      <c r="DT414" s="2416"/>
      <c r="DU414" s="2416"/>
      <c r="DV414" s="2416"/>
      <c r="DW414" s="2416"/>
      <c r="DX414" s="2416"/>
      <c r="DY414" s="2416"/>
      <c r="DZ414" s="2416"/>
      <c r="EA414" s="2416"/>
      <c r="EB414" s="2416"/>
      <c r="EC414" s="2416"/>
      <c r="ED414" s="2416"/>
      <c r="EE414" s="2416"/>
      <c r="EF414" s="2416"/>
      <c r="EG414" s="2416"/>
      <c r="EH414" s="2416"/>
      <c r="EI414" s="2416"/>
      <c r="EJ414" s="2416"/>
      <c r="EK414" s="2416"/>
      <c r="EL414" s="2416"/>
      <c r="EM414" s="2416"/>
      <c r="EN414" s="2416"/>
      <c r="EO414" s="2416"/>
      <c r="EP414" s="2416"/>
      <c r="EQ414" s="2416"/>
      <c r="ER414" s="2416"/>
      <c r="ES414" s="2416"/>
      <c r="ET414" s="2416"/>
      <c r="EU414" s="2668"/>
      <c r="EV414" s="2416"/>
      <c r="EW414" s="2416"/>
      <c r="EX414" s="2417"/>
      <c r="EY414" s="2417"/>
      <c r="EZ414" s="2416"/>
      <c r="FA414" s="2416"/>
      <c r="FB414" s="2416"/>
      <c r="FC414" s="2416"/>
      <c r="FD414" s="2416"/>
      <c r="FE414" s="2416"/>
      <c r="FF414" s="2416"/>
      <c r="FG414" s="2416"/>
      <c r="FH414" s="2416"/>
      <c r="FI414" s="1435"/>
      <c r="FP414" s="1388"/>
      <c r="FQ414" s="1388"/>
      <c r="FR414" s="1388"/>
      <c r="FS414" s="1435"/>
      <c r="FT414" s="1435"/>
      <c r="FU414" s="1388"/>
      <c r="FV414" s="1388"/>
      <c r="FW414" s="1435"/>
      <c r="FX414" s="1435"/>
    </row>
    <row r="415" spans="1:260" ht="12.75" customHeight="1" x14ac:dyDescent="0.2">
      <c r="A415" s="2345"/>
      <c r="B415" s="2345"/>
      <c r="C415" s="2345"/>
      <c r="D415" s="2345"/>
      <c r="E415" s="2345"/>
      <c r="F415" s="228"/>
      <c r="G415" s="228"/>
      <c r="H415" s="228"/>
      <c r="I415" s="228"/>
      <c r="J415" s="228"/>
      <c r="K415" s="228"/>
      <c r="L415" s="228"/>
      <c r="M415" s="228"/>
      <c r="N415" s="228"/>
      <c r="O415" s="228"/>
      <c r="P415" s="228"/>
      <c r="Q415" s="228"/>
      <c r="R415" s="228"/>
      <c r="S415" s="228"/>
      <c r="T415" s="228"/>
      <c r="U415" s="228"/>
      <c r="V415" s="228"/>
      <c r="W415" s="228"/>
      <c r="X415" s="228"/>
      <c r="Y415" s="228"/>
      <c r="Z415" s="228"/>
      <c r="AA415" s="228"/>
      <c r="AB415" s="228"/>
      <c r="AC415" s="228"/>
      <c r="AD415" s="228"/>
      <c r="AE415" s="228"/>
      <c r="AF415" s="228"/>
      <c r="AG415" s="228"/>
      <c r="AH415" s="228"/>
      <c r="AI415" s="228"/>
      <c r="AJ415" s="228"/>
      <c r="AK415" s="228"/>
      <c r="AL415" s="228"/>
      <c r="AM415" s="228"/>
      <c r="AN415" s="228"/>
      <c r="AO415" s="228"/>
      <c r="AP415" s="228"/>
      <c r="AQ415" s="228"/>
      <c r="AR415" s="228"/>
      <c r="AS415" s="228"/>
      <c r="AT415" s="228"/>
      <c r="AU415" s="228"/>
      <c r="AV415" s="228"/>
      <c r="AW415" s="228"/>
      <c r="AX415" s="52"/>
      <c r="AY415" s="52"/>
      <c r="AZ415" s="52"/>
      <c r="BA415" s="52"/>
      <c r="BB415" s="52"/>
      <c r="BC415" s="52"/>
      <c r="BD415" s="52"/>
      <c r="BE415" s="52"/>
      <c r="BF415" s="52"/>
      <c r="BG415" s="52"/>
      <c r="BH415" s="52"/>
      <c r="BI415" s="52"/>
      <c r="BJ415" s="52"/>
      <c r="BK415" s="52"/>
      <c r="BL415" s="52"/>
      <c r="BM415" s="52"/>
      <c r="BN415" s="52"/>
      <c r="BO415" s="52"/>
      <c r="BP415" s="52"/>
      <c r="BQ415" s="52"/>
      <c r="BR415" s="52"/>
      <c r="BS415" s="52"/>
      <c r="BT415" s="52"/>
      <c r="BU415" s="52"/>
      <c r="BV415" s="52"/>
      <c r="BW415" s="52"/>
      <c r="BX415" s="52"/>
      <c r="BY415" s="52"/>
      <c r="BZ415" s="52"/>
      <c r="CA415" s="52"/>
      <c r="CB415" s="52"/>
      <c r="CC415" s="52"/>
      <c r="CD415" s="52"/>
      <c r="CE415" s="52"/>
      <c r="CF415" s="52"/>
      <c r="CG415" s="52"/>
      <c r="CH415" s="52"/>
      <c r="CI415" s="52"/>
      <c r="CJ415" s="52"/>
      <c r="CK415" s="52"/>
      <c r="CL415" s="52"/>
      <c r="CM415" s="52"/>
      <c r="CN415" s="52"/>
      <c r="CO415" s="52"/>
      <c r="CP415" s="52"/>
      <c r="CQ415" s="52"/>
      <c r="CR415" s="52"/>
      <c r="CS415" s="52"/>
      <c r="CT415" s="52"/>
      <c r="CU415" s="52"/>
      <c r="CV415" s="52"/>
      <c r="CW415" s="52"/>
      <c r="CX415" s="52"/>
      <c r="CY415" s="52"/>
      <c r="CZ415" s="1506"/>
      <c r="DA415" s="52"/>
      <c r="DB415" s="1506"/>
      <c r="DC415" s="1506"/>
      <c r="DD415" s="1506"/>
      <c r="DE415" s="52"/>
      <c r="DF415" s="52"/>
      <c r="DG415" s="1506"/>
      <c r="DH415" s="1506"/>
      <c r="DI415" s="52"/>
      <c r="DJ415" s="1506"/>
      <c r="DK415" s="52"/>
      <c r="DL415" s="52"/>
      <c r="DM415" s="52"/>
      <c r="DN415" s="52"/>
      <c r="DO415" s="52"/>
      <c r="DP415" s="226"/>
      <c r="DQ415" s="226"/>
      <c r="DR415" s="226"/>
      <c r="DS415" s="226"/>
      <c r="DT415" s="226"/>
      <c r="DU415" s="227"/>
      <c r="DV415" s="227"/>
      <c r="DW415" s="227"/>
      <c r="DX415" s="227"/>
      <c r="DY415" s="228"/>
      <c r="DZ415" s="228"/>
      <c r="EA415" s="228"/>
      <c r="EB415" s="228"/>
      <c r="EC415" s="228"/>
      <c r="ED415" s="228"/>
      <c r="EE415" s="228"/>
      <c r="EF415" s="228"/>
      <c r="EG415" s="228"/>
      <c r="EH415" s="228"/>
      <c r="EI415" s="52"/>
      <c r="EJ415" s="52"/>
      <c r="EK415" s="52"/>
      <c r="EL415" s="52"/>
      <c r="EM415" s="52"/>
      <c r="EN415" s="52"/>
      <c r="EO415" s="52"/>
      <c r="EP415" s="52"/>
      <c r="EQ415" s="52"/>
      <c r="ER415" s="52"/>
      <c r="ES415" s="52"/>
      <c r="ET415" s="52"/>
      <c r="EU415" s="52"/>
      <c r="EV415" s="52"/>
      <c r="EW415" s="52"/>
      <c r="EX415" s="52"/>
      <c r="EY415" s="52"/>
      <c r="EZ415" s="52"/>
      <c r="FA415" s="52"/>
      <c r="FB415" s="52"/>
      <c r="FC415" s="52"/>
      <c r="FD415" s="52"/>
      <c r="FE415" s="52"/>
      <c r="FF415" s="1388"/>
      <c r="FG415" s="52"/>
      <c r="FH415" s="1388"/>
      <c r="FI415" s="51"/>
      <c r="FP415" s="1388"/>
      <c r="FQ415" s="1388"/>
      <c r="FR415" s="1388"/>
      <c r="FS415" s="1506"/>
      <c r="FT415" s="1506"/>
      <c r="FU415" s="1388"/>
      <c r="FV415" s="1388"/>
      <c r="FW415" s="1435"/>
      <c r="FX415" s="1435"/>
    </row>
    <row r="416" spans="1:260" ht="12.75" customHeight="1" x14ac:dyDescent="0.2">
      <c r="A416" s="1388"/>
      <c r="B416" s="1388"/>
      <c r="C416" s="1388"/>
      <c r="D416" s="1388"/>
      <c r="E416" s="1388"/>
      <c r="F416" s="1388"/>
      <c r="G416" s="1388"/>
      <c r="H416" s="1388"/>
      <c r="I416" s="1388"/>
      <c r="J416" s="1388"/>
      <c r="K416" s="1388"/>
      <c r="L416" s="1388"/>
      <c r="M416" s="1388"/>
      <c r="N416" s="1388"/>
      <c r="O416" s="1388"/>
      <c r="P416" s="1388"/>
      <c r="Q416" s="1388"/>
      <c r="R416" s="1388"/>
      <c r="S416" s="1388"/>
      <c r="T416" s="1388"/>
      <c r="U416" s="1388"/>
      <c r="V416" s="1388"/>
      <c r="W416" s="1388"/>
      <c r="X416" s="1388"/>
      <c r="Y416" s="1388"/>
      <c r="Z416" s="1388"/>
      <c r="AA416" s="1388"/>
      <c r="AB416" s="1388"/>
      <c r="AC416" s="1388"/>
      <c r="AD416" s="1388"/>
      <c r="AE416" s="1388"/>
      <c r="AF416" s="1388"/>
      <c r="AG416" s="1388"/>
      <c r="AH416" s="1388"/>
      <c r="AI416" s="1388"/>
      <c r="AJ416" s="1388"/>
      <c r="AK416" s="1388"/>
      <c r="AL416" s="1388"/>
      <c r="AM416" s="1388"/>
      <c r="AN416" s="1388"/>
      <c r="AO416" s="1388"/>
      <c r="AP416" s="1388"/>
      <c r="AQ416" s="1388"/>
      <c r="AR416" s="1388"/>
      <c r="AS416" s="1388"/>
      <c r="AT416" s="1388"/>
      <c r="AU416" s="1388"/>
      <c r="AV416" s="1388"/>
      <c r="AW416" s="1388"/>
      <c r="AX416" s="1388"/>
      <c r="AY416" s="1388"/>
      <c r="AZ416" s="1388"/>
      <c r="BA416" s="1388"/>
      <c r="BB416" s="1388"/>
      <c r="BC416" s="1388"/>
      <c r="BD416" s="1388"/>
      <c r="BE416" s="1388"/>
      <c r="BF416" s="1388"/>
      <c r="BG416" s="1388"/>
      <c r="BH416" s="1388"/>
      <c r="BI416" s="1388"/>
      <c r="BJ416" s="1388"/>
      <c r="BK416" s="1388"/>
      <c r="BL416" s="1388"/>
      <c r="BM416" s="1388"/>
      <c r="BN416" s="1388"/>
      <c r="BO416" s="1388"/>
      <c r="BP416" s="1388"/>
      <c r="BQ416" s="1388"/>
      <c r="BR416" s="1388"/>
      <c r="BS416" s="1388"/>
      <c r="BT416" s="1388"/>
      <c r="BU416" s="1388"/>
      <c r="BV416" s="1388"/>
      <c r="BW416" s="1388"/>
      <c r="BX416" s="1388"/>
      <c r="BY416" s="1388"/>
      <c r="BZ416" s="1388"/>
      <c r="CA416" s="1388"/>
      <c r="CB416" s="1388"/>
      <c r="CC416" s="1388"/>
      <c r="CD416" s="1388"/>
      <c r="CE416" s="1388"/>
      <c r="CF416" s="1388"/>
      <c r="CG416" s="1388"/>
      <c r="CH416" s="1388"/>
      <c r="CI416" s="1388"/>
      <c r="CJ416" s="1388"/>
      <c r="CK416" s="1388"/>
      <c r="CL416" s="1388"/>
      <c r="CM416" s="1388"/>
      <c r="CN416" s="1388"/>
      <c r="CO416" s="1388"/>
      <c r="CP416" s="51"/>
      <c r="CQ416" s="51"/>
      <c r="CR416" s="51"/>
      <c r="CS416" s="51"/>
      <c r="CT416" s="51"/>
      <c r="CU416" s="51"/>
      <c r="CV416" s="51"/>
      <c r="CW416" s="51"/>
      <c r="CX416" s="51"/>
      <c r="CY416" s="51"/>
      <c r="CZ416" s="1435"/>
      <c r="DA416" s="51"/>
      <c r="DB416" s="1435"/>
      <c r="DC416" s="1435"/>
      <c r="DD416" s="1435"/>
      <c r="DE416" s="51"/>
      <c r="DF416" s="51"/>
      <c r="DG416" s="1435"/>
      <c r="DH416" s="1435"/>
      <c r="DI416" s="51"/>
      <c r="DJ416" s="1435"/>
      <c r="DK416" s="51"/>
      <c r="DL416" s="51"/>
      <c r="DM416" s="51"/>
      <c r="DN416" s="51"/>
      <c r="DO416" s="51"/>
      <c r="DP416" s="1388"/>
      <c r="DQ416" s="1388"/>
      <c r="DR416" s="1388"/>
      <c r="DS416" s="1388"/>
      <c r="DT416" s="1388"/>
      <c r="DU416" s="1388"/>
      <c r="DV416" s="1388"/>
      <c r="DW416" s="1388"/>
      <c r="DX416" s="1388"/>
      <c r="DY416" s="1388"/>
      <c r="DZ416" s="1388"/>
      <c r="EA416" s="1388"/>
      <c r="EB416" s="1388"/>
      <c r="EC416" s="1388"/>
      <c r="ED416" s="1388"/>
      <c r="EE416" s="1388"/>
      <c r="EF416" s="1388"/>
      <c r="EG416" s="1388"/>
      <c r="EH416" s="1388"/>
      <c r="EI416" s="1388"/>
      <c r="EJ416" s="1388"/>
      <c r="EK416" s="1388"/>
      <c r="EL416" s="1388"/>
      <c r="EM416" s="1388"/>
      <c r="EN416" s="1388"/>
      <c r="EO416" s="1388"/>
      <c r="EP416" s="1388"/>
      <c r="EQ416" s="1388"/>
      <c r="ER416" s="1388"/>
      <c r="ES416" s="1388"/>
      <c r="ET416" s="1388"/>
      <c r="EU416" s="1388"/>
      <c r="EV416" s="1388"/>
      <c r="EW416" s="1388"/>
      <c r="EX416" s="51"/>
      <c r="EY416" s="51"/>
      <c r="EZ416" s="1388"/>
      <c r="FA416" s="1388"/>
      <c r="FB416" s="1388"/>
      <c r="FC416" s="1388"/>
      <c r="FD416" s="1388"/>
      <c r="FE416" s="1388"/>
      <c r="FF416" s="1388"/>
      <c r="FG416" s="1388"/>
      <c r="FH416" s="1388"/>
      <c r="FI416" s="51"/>
      <c r="FP416" s="1388"/>
      <c r="FQ416" s="1388"/>
      <c r="FR416" s="1388"/>
      <c r="FS416" s="1435"/>
      <c r="FT416" s="1435"/>
      <c r="FU416" s="1388"/>
      <c r="FV416" s="1388"/>
      <c r="FW416" s="1435"/>
      <c r="FX416" s="1435"/>
    </row>
    <row r="417" spans="1:180" customFormat="1" ht="12.75" customHeight="1" x14ac:dyDescent="0.2"/>
    <row r="418" spans="1:180" ht="12.75" customHeight="1" x14ac:dyDescent="0.2">
      <c r="A418" s="1388"/>
      <c r="B418" s="1388"/>
      <c r="C418" s="1388"/>
      <c r="D418" s="1388"/>
      <c r="E418" s="1388"/>
      <c r="F418" s="1388"/>
      <c r="G418" s="1388"/>
      <c r="H418" s="1388"/>
      <c r="I418" s="1388"/>
      <c r="J418" s="1388"/>
      <c r="K418" s="1388"/>
      <c r="L418" s="1388"/>
      <c r="M418" s="1388"/>
      <c r="N418" s="1388"/>
      <c r="O418" s="1388"/>
      <c r="P418" s="1388"/>
      <c r="Q418" s="1388"/>
      <c r="R418" s="1388"/>
      <c r="S418" s="1388"/>
      <c r="T418" s="1388"/>
      <c r="U418" s="1388"/>
      <c r="V418" s="1388"/>
      <c r="W418" s="1388"/>
      <c r="X418" s="1388"/>
      <c r="Y418" s="1388"/>
      <c r="Z418" s="1388"/>
      <c r="AA418" s="1388"/>
      <c r="AB418" s="1388"/>
      <c r="AC418" s="1388"/>
      <c r="AD418" s="1388"/>
      <c r="AE418" s="1388"/>
      <c r="AF418" s="1388"/>
      <c r="AG418" s="1388"/>
      <c r="AH418" s="1388"/>
      <c r="AI418" s="1388"/>
      <c r="AJ418" s="1388"/>
      <c r="AK418" s="1388"/>
      <c r="AL418" s="1388"/>
      <c r="AM418" s="1388"/>
      <c r="AN418" s="1388"/>
      <c r="AO418" s="1388"/>
      <c r="AP418" s="1388"/>
      <c r="AQ418" s="1388"/>
      <c r="AR418" s="1388"/>
      <c r="AS418" s="1388"/>
      <c r="AT418" s="1388"/>
      <c r="AU418" s="1388"/>
      <c r="AV418" s="1388"/>
      <c r="AW418" s="1388"/>
      <c r="AX418" s="1388"/>
      <c r="AY418" s="1388"/>
      <c r="AZ418" s="1388"/>
      <c r="BA418" s="1388"/>
      <c r="BB418" s="1388"/>
      <c r="BC418" s="1388"/>
      <c r="BD418" s="1388"/>
      <c r="BE418" s="1388"/>
      <c r="BF418" s="1388"/>
      <c r="BG418" s="1388"/>
      <c r="BH418" s="1388"/>
      <c r="BI418" s="1388"/>
      <c r="BJ418" s="1388"/>
      <c r="BK418" s="1388"/>
      <c r="BL418" s="1388"/>
      <c r="BM418" s="1388"/>
      <c r="BN418" s="1388"/>
      <c r="BO418" s="1388"/>
      <c r="BP418" s="1388"/>
      <c r="BQ418" s="1388"/>
      <c r="BR418" s="1388"/>
      <c r="BS418" s="1388"/>
      <c r="BT418" s="1388"/>
      <c r="BU418" s="1388"/>
      <c r="BV418" s="1388"/>
      <c r="BW418" s="1388"/>
      <c r="BX418" s="1388"/>
      <c r="BY418" s="1388"/>
      <c r="BZ418" s="1388"/>
      <c r="CA418" s="1388"/>
      <c r="CB418" s="1388"/>
      <c r="CC418" s="1388"/>
      <c r="CD418" s="1388"/>
      <c r="CE418" s="1388"/>
      <c r="CF418" s="1388"/>
      <c r="CG418" s="1388"/>
      <c r="CH418" s="1388"/>
      <c r="CI418" s="1388"/>
      <c r="CJ418" s="1388"/>
      <c r="CK418" s="1388"/>
      <c r="CL418" s="1388"/>
      <c r="CM418" s="1388"/>
      <c r="CN418" s="1388"/>
      <c r="CO418" s="1388"/>
      <c r="CP418" s="1388"/>
      <c r="CQ418" s="1388"/>
      <c r="CR418" s="1388"/>
      <c r="CS418" s="1388"/>
      <c r="CT418" s="1388"/>
      <c r="CU418" s="1388"/>
      <c r="CV418" s="1388"/>
      <c r="CW418" s="1388"/>
      <c r="CX418" s="1388"/>
      <c r="CY418" s="1388"/>
      <c r="CZ418" s="1388"/>
      <c r="DA418" s="1388"/>
      <c r="DB418" s="1388"/>
      <c r="DC418" s="51"/>
      <c r="DD418" s="51"/>
      <c r="DE418" s="1388"/>
      <c r="DF418" s="51"/>
      <c r="DG418" s="1388"/>
      <c r="DH418" s="1388"/>
      <c r="DI418" s="1388"/>
      <c r="DJ418" s="1474"/>
      <c r="DK418" s="1388"/>
      <c r="DL418" s="1388"/>
      <c r="DM418" s="1388"/>
      <c r="DN418" s="1388"/>
      <c r="DO418" s="1388"/>
      <c r="DP418" s="1388"/>
      <c r="DQ418" s="1388"/>
      <c r="DR418" s="1388"/>
      <c r="DS418" s="1388"/>
      <c r="DT418" s="1388"/>
      <c r="DU418" s="1388"/>
      <c r="DV418" s="1388"/>
      <c r="DW418" s="1388"/>
      <c r="DX418" s="1388"/>
      <c r="DY418" s="1388"/>
      <c r="DZ418" s="1388"/>
      <c r="EA418" s="1388"/>
      <c r="EB418" s="1388"/>
      <c r="EC418" s="1388"/>
      <c r="ED418" s="1388"/>
      <c r="EE418" s="1388"/>
      <c r="EF418" s="1388"/>
      <c r="EG418" s="1388"/>
      <c r="EH418" s="1388"/>
      <c r="EI418" s="1388"/>
      <c r="EJ418" s="1388"/>
      <c r="EK418" s="1388"/>
      <c r="EL418" s="1388"/>
      <c r="EM418" s="1388"/>
      <c r="EN418" s="1388"/>
      <c r="EO418" s="1388"/>
      <c r="EP418" s="1388"/>
      <c r="EQ418" s="1388"/>
      <c r="ER418" s="1388"/>
      <c r="ES418" s="1388"/>
      <c r="ET418" s="1388"/>
      <c r="EU418" s="1388"/>
      <c r="EV418" s="1388"/>
      <c r="EW418" s="1388"/>
      <c r="EX418" s="51"/>
      <c r="EY418" s="51"/>
      <c r="EZ418" s="1388"/>
      <c r="FA418" s="1388"/>
      <c r="FB418" s="1388"/>
      <c r="FC418" s="1388"/>
      <c r="FD418" s="1388"/>
      <c r="FE418" s="1388"/>
      <c r="FF418" s="1388"/>
      <c r="FG418" s="1388"/>
      <c r="FH418" s="1388"/>
      <c r="FI418" s="51"/>
      <c r="FP418" s="1388"/>
      <c r="FQ418" s="1388"/>
      <c r="FR418" s="1388"/>
      <c r="FS418" s="1435"/>
      <c r="FT418" s="1435"/>
      <c r="FU418" s="1388"/>
      <c r="FV418" s="1388"/>
      <c r="FW418" s="1435"/>
      <c r="FX418" s="1435"/>
    </row>
    <row r="419" spans="1:180" ht="12.75" customHeight="1" x14ac:dyDescent="0.2">
      <c r="A419" s="1388"/>
      <c r="B419" s="1388"/>
      <c r="C419" s="1388"/>
      <c r="D419" s="1388"/>
      <c r="E419" s="1388"/>
      <c r="F419" s="1388"/>
      <c r="G419" s="1388"/>
      <c r="H419" s="1388"/>
      <c r="I419" s="1388"/>
      <c r="J419" s="1388"/>
      <c r="K419" s="1388"/>
      <c r="L419" s="1388"/>
      <c r="M419" s="1388"/>
      <c r="N419" s="1388"/>
      <c r="O419" s="1388"/>
      <c r="P419" s="1388"/>
      <c r="Q419" s="1388"/>
      <c r="R419" s="1388"/>
      <c r="S419" s="1388"/>
      <c r="T419" s="1388"/>
      <c r="U419" s="1388"/>
      <c r="V419" s="1388"/>
      <c r="W419" s="1388"/>
      <c r="X419" s="1388"/>
      <c r="Y419" s="1388"/>
      <c r="Z419" s="1388"/>
      <c r="AA419" s="1388"/>
      <c r="AB419" s="1388"/>
      <c r="AC419" s="1388"/>
      <c r="AD419" s="1388"/>
      <c r="AE419" s="1388"/>
      <c r="AF419" s="1388"/>
      <c r="AG419" s="1388"/>
      <c r="AH419" s="1388"/>
      <c r="AI419" s="1388"/>
      <c r="AJ419" s="1388"/>
      <c r="AK419" s="1388"/>
      <c r="AL419" s="1388"/>
      <c r="AM419" s="1388"/>
      <c r="AN419" s="1388"/>
      <c r="AO419" s="1388"/>
      <c r="AP419" s="1388"/>
      <c r="AQ419" s="1388"/>
      <c r="AR419" s="1388"/>
      <c r="AS419" s="1388"/>
      <c r="AT419" s="1388"/>
      <c r="AU419" s="1388"/>
      <c r="AV419" s="1388"/>
      <c r="AW419" s="1388"/>
      <c r="AX419" s="1388"/>
      <c r="AY419" s="1388"/>
      <c r="AZ419" s="1388"/>
      <c r="BA419" s="1388"/>
      <c r="BB419" s="1388"/>
      <c r="BC419" s="1388"/>
      <c r="BD419" s="1388"/>
      <c r="BE419" s="1388"/>
      <c r="BF419" s="1388"/>
      <c r="BG419" s="1388"/>
      <c r="BH419" s="1388"/>
      <c r="BI419" s="1388"/>
      <c r="BJ419" s="1388"/>
      <c r="BK419" s="1388"/>
      <c r="BL419" s="1388"/>
      <c r="BM419" s="1388"/>
      <c r="BN419" s="1388"/>
      <c r="BO419" s="1388"/>
      <c r="BP419" s="1388"/>
      <c r="BQ419" s="1388"/>
      <c r="BR419" s="1388"/>
      <c r="BS419" s="1388"/>
      <c r="BT419" s="1388"/>
      <c r="BU419" s="1388"/>
      <c r="BV419" s="1388"/>
      <c r="BW419" s="1388"/>
      <c r="BX419" s="1388"/>
      <c r="BY419" s="1388"/>
      <c r="BZ419" s="1388"/>
      <c r="CA419" s="1388"/>
      <c r="CB419" s="1388"/>
      <c r="CC419" s="1388"/>
      <c r="CD419" s="1388"/>
      <c r="CE419" s="1388"/>
      <c r="CF419" s="1388"/>
      <c r="CG419" s="1388"/>
      <c r="CH419" s="1388"/>
      <c r="CI419" s="1388"/>
      <c r="CJ419" s="1388"/>
      <c r="CK419" s="1388"/>
      <c r="CL419" s="1388"/>
      <c r="CM419" s="1388"/>
      <c r="CN419" s="1388"/>
      <c r="CO419" s="1388"/>
      <c r="CP419" s="1388"/>
      <c r="CQ419" s="1388"/>
      <c r="CR419" s="1388"/>
      <c r="CS419" s="1388"/>
      <c r="CT419" s="1388"/>
      <c r="CU419" s="1388"/>
      <c r="CV419" s="1388"/>
      <c r="CW419" s="1388"/>
      <c r="CX419" s="1388"/>
      <c r="CY419" s="1388"/>
      <c r="CZ419" s="1388"/>
      <c r="DA419" s="1388"/>
      <c r="DB419" s="1388"/>
      <c r="DC419" s="51"/>
      <c r="DD419" s="51"/>
      <c r="DE419" s="1388"/>
      <c r="DF419" s="1388"/>
      <c r="DG419" s="1388"/>
      <c r="DH419" s="1388"/>
      <c r="DI419" s="1388"/>
      <c r="DJ419" s="1474"/>
      <c r="DK419" s="1388"/>
      <c r="DL419" s="1388"/>
      <c r="DM419" s="1388"/>
      <c r="DN419" s="1388"/>
      <c r="DO419" s="1388"/>
      <c r="DP419" s="1388"/>
      <c r="DQ419" s="1388"/>
      <c r="DR419" s="1388"/>
      <c r="DS419" s="1388"/>
      <c r="DT419" s="1388"/>
      <c r="DU419" s="1388"/>
      <c r="DV419" s="1388"/>
      <c r="DW419" s="1388"/>
      <c r="DX419" s="1388"/>
      <c r="DY419" s="1388"/>
      <c r="DZ419" s="1388"/>
      <c r="EA419" s="1388"/>
      <c r="EB419" s="1388"/>
      <c r="EC419" s="1388"/>
      <c r="ED419" s="1388"/>
      <c r="EE419" s="1388"/>
      <c r="EF419" s="1388"/>
      <c r="EG419" s="1388"/>
      <c r="EH419" s="1388"/>
      <c r="EI419" s="1388"/>
      <c r="EJ419" s="1388"/>
      <c r="EK419" s="1388"/>
      <c r="EL419" s="1388"/>
      <c r="EM419" s="1388"/>
      <c r="EN419" s="1388"/>
      <c r="EO419" s="1388"/>
      <c r="EP419" s="1388"/>
      <c r="EQ419" s="1388"/>
      <c r="ER419" s="1388"/>
      <c r="ES419" s="1388"/>
      <c r="ET419" s="1388"/>
      <c r="EU419" s="1388"/>
      <c r="EV419" s="1388"/>
      <c r="EW419" s="1388"/>
      <c r="EX419" s="51"/>
      <c r="EY419" s="51"/>
      <c r="EZ419" s="1388"/>
      <c r="FA419" s="1388"/>
      <c r="FB419" s="1388"/>
      <c r="FC419" s="1388"/>
      <c r="FD419" s="1388"/>
      <c r="FE419" s="1388"/>
      <c r="FF419" s="1388"/>
      <c r="FG419" s="1388"/>
      <c r="FH419" s="1388"/>
      <c r="FI419" s="51"/>
      <c r="FP419" s="1388"/>
      <c r="FQ419" s="1388"/>
      <c r="FR419" s="1388"/>
      <c r="FS419" s="1435"/>
      <c r="FT419" s="1435"/>
      <c r="FU419" s="1388"/>
      <c r="FV419" s="1388"/>
      <c r="FW419" s="1435"/>
      <c r="FX419" s="1435"/>
    </row>
    <row r="420" spans="1:180" ht="12.75" customHeight="1" x14ac:dyDescent="0.2">
      <c r="A420" s="1388"/>
      <c r="B420" s="1388"/>
      <c r="C420" s="1388"/>
      <c r="D420" s="1388"/>
      <c r="E420" s="1388"/>
      <c r="F420" s="1388"/>
      <c r="G420" s="1388"/>
      <c r="H420" s="1388"/>
      <c r="I420" s="1388"/>
      <c r="J420" s="1388"/>
      <c r="K420" s="1388"/>
      <c r="L420" s="1388"/>
      <c r="M420" s="1388"/>
      <c r="N420" s="1388"/>
      <c r="O420" s="1388"/>
      <c r="P420" s="1388"/>
      <c r="Q420" s="1388"/>
      <c r="R420" s="1388"/>
      <c r="S420" s="1388"/>
      <c r="T420" s="1388"/>
      <c r="U420" s="1388"/>
      <c r="V420" s="1388"/>
      <c r="W420" s="1388"/>
      <c r="X420" s="1388"/>
      <c r="Y420" s="1388"/>
      <c r="Z420" s="1388"/>
      <c r="AA420" s="1388"/>
      <c r="AB420" s="1388"/>
      <c r="AC420" s="1388"/>
      <c r="AD420" s="1388"/>
      <c r="AE420" s="1388"/>
      <c r="AF420" s="1388"/>
      <c r="AG420" s="1388"/>
      <c r="AH420" s="1388"/>
      <c r="AI420" s="1388"/>
      <c r="AJ420" s="1388"/>
      <c r="AK420" s="1388"/>
      <c r="AL420" s="1388"/>
      <c r="AM420" s="1388"/>
      <c r="AN420" s="1388"/>
      <c r="AO420" s="1388"/>
      <c r="AP420" s="1388"/>
      <c r="AQ420" s="1388"/>
      <c r="AR420" s="1388"/>
      <c r="AS420" s="1388"/>
      <c r="AT420" s="1388"/>
      <c r="AU420" s="1388"/>
      <c r="AV420" s="1388"/>
      <c r="AW420" s="1388"/>
      <c r="AX420" s="1388"/>
      <c r="AY420" s="1388"/>
      <c r="AZ420" s="1388"/>
      <c r="BA420" s="1388"/>
      <c r="BB420" s="1388"/>
      <c r="BC420" s="1388"/>
      <c r="BD420" s="1388"/>
      <c r="BE420" s="1388"/>
      <c r="BF420" s="1388"/>
      <c r="BG420" s="1388"/>
      <c r="BH420" s="1388"/>
      <c r="BI420" s="1388"/>
      <c r="BJ420" s="1388"/>
      <c r="BK420" s="1388"/>
      <c r="BL420" s="1388"/>
      <c r="BM420" s="1388"/>
      <c r="BN420" s="1388"/>
      <c r="BO420" s="1388"/>
      <c r="BP420" s="1388"/>
      <c r="BQ420" s="1388"/>
      <c r="BR420" s="1388"/>
      <c r="BS420" s="1388"/>
      <c r="BT420" s="1388"/>
      <c r="BU420" s="1388"/>
      <c r="BV420" s="1388"/>
      <c r="BW420" s="1388"/>
      <c r="BX420" s="1388"/>
      <c r="BY420" s="1388"/>
      <c r="BZ420" s="1388"/>
      <c r="CA420" s="1388"/>
      <c r="CB420" s="1388"/>
      <c r="CC420" s="1388"/>
      <c r="CD420" s="1388"/>
      <c r="CE420" s="1388"/>
      <c r="CF420" s="1388"/>
      <c r="CG420" s="1388"/>
      <c r="CH420" s="1388"/>
      <c r="CI420" s="1388"/>
      <c r="CJ420" s="1388"/>
      <c r="CK420" s="503"/>
      <c r="CL420" s="1648"/>
      <c r="CM420" s="1388"/>
      <c r="CN420" s="1388"/>
      <c r="CO420" s="1587"/>
      <c r="CP420" s="1522"/>
      <c r="CQ420" s="1388"/>
      <c r="CR420" s="1388"/>
      <c r="CS420" s="503"/>
      <c r="CT420" s="1648"/>
      <c r="CU420" s="1388"/>
      <c r="CV420" s="1388"/>
      <c r="CW420" s="503"/>
      <c r="CX420" s="1648"/>
      <c r="CY420" s="1388"/>
      <c r="CZ420" s="1388"/>
      <c r="DA420" s="503"/>
      <c r="DB420" s="1648"/>
      <c r="DC420" s="1388"/>
      <c r="DD420" s="1388"/>
      <c r="DE420" s="503"/>
      <c r="DF420" s="1648"/>
      <c r="DG420" s="1388"/>
      <c r="DH420" s="1388"/>
      <c r="DI420" s="503"/>
      <c r="DJ420" s="1435"/>
      <c r="DK420" s="1435"/>
      <c r="DL420" s="1435"/>
      <c r="DM420" s="1435"/>
      <c r="DN420" s="1648"/>
      <c r="DO420" s="1388"/>
      <c r="DP420" s="1388"/>
      <c r="DQ420" s="1388"/>
      <c r="DR420" s="1388"/>
      <c r="DS420" s="1388"/>
      <c r="DT420" s="1388"/>
      <c r="DU420" s="1388"/>
      <c r="DV420" s="1388"/>
      <c r="DW420" s="1388"/>
      <c r="DX420" s="1388"/>
      <c r="DY420" s="1388"/>
      <c r="DZ420" s="1388"/>
      <c r="EA420" s="1388"/>
      <c r="EB420" s="1388"/>
      <c r="EC420" s="1388"/>
      <c r="ED420" s="1388"/>
      <c r="EE420" s="1388"/>
      <c r="EF420" s="1388"/>
      <c r="EG420" s="1388"/>
      <c r="EH420" s="1388"/>
      <c r="EI420" s="1388"/>
      <c r="EJ420" s="1388"/>
      <c r="EK420" s="1388"/>
      <c r="EL420" s="1388"/>
      <c r="EM420" s="1388"/>
      <c r="EN420" s="1388"/>
      <c r="EO420" s="1388"/>
      <c r="EP420" s="1388"/>
      <c r="EQ420" s="1388"/>
      <c r="ER420" s="1388"/>
      <c r="ES420" s="1388"/>
      <c r="ET420" s="1388"/>
      <c r="EU420" s="1388"/>
      <c r="EV420" s="1388"/>
      <c r="EW420" s="1388"/>
      <c r="EX420" s="51"/>
      <c r="EY420" s="51"/>
      <c r="EZ420" s="1388"/>
      <c r="FA420" s="1388"/>
      <c r="FB420" s="1388"/>
      <c r="FC420" s="1388"/>
      <c r="FD420" s="1388"/>
      <c r="FE420" s="1388"/>
      <c r="FF420" s="1388"/>
      <c r="FG420" s="1388"/>
      <c r="FH420" s="1388"/>
      <c r="FI420" s="51"/>
      <c r="FP420" s="1388"/>
      <c r="FQ420" s="1388"/>
      <c r="FR420" s="1388"/>
      <c r="FS420" s="1435"/>
      <c r="FT420" s="1435"/>
      <c r="FU420" s="1388"/>
      <c r="FV420" s="1388"/>
      <c r="FW420" s="1435"/>
      <c r="FX420" s="1435"/>
    </row>
    <row r="421" spans="1:180" ht="12.75" customHeight="1" x14ac:dyDescent="0.2">
      <c r="A421" s="1388" t="s">
        <v>666</v>
      </c>
      <c r="B421" s="1388"/>
      <c r="C421" s="1388"/>
      <c r="D421" s="1388"/>
      <c r="E421" s="1388"/>
      <c r="F421" s="1388"/>
      <c r="G421" s="1388"/>
      <c r="H421" s="1388"/>
      <c r="I421" s="1388"/>
      <c r="J421" s="1388"/>
      <c r="K421" s="1388"/>
      <c r="L421" s="1388"/>
      <c r="M421" s="1388"/>
      <c r="N421" s="1388"/>
      <c r="O421" s="1388"/>
      <c r="P421" s="1388"/>
      <c r="Q421" s="1388"/>
      <c r="R421" s="1388"/>
      <c r="S421" s="1388"/>
      <c r="T421" s="1388"/>
      <c r="U421" s="1388"/>
      <c r="V421" s="1388"/>
      <c r="W421" s="1388"/>
      <c r="X421" s="1388"/>
      <c r="Y421" s="1388"/>
      <c r="Z421" s="1388"/>
      <c r="AA421" s="1388"/>
      <c r="AB421" s="1388"/>
      <c r="AC421" s="1388"/>
      <c r="AD421" s="1388"/>
      <c r="AE421" s="1388"/>
      <c r="AF421" s="1388"/>
      <c r="AG421" s="1388"/>
      <c r="AH421" s="1388"/>
      <c r="AI421" s="1388"/>
      <c r="AJ421" s="1388"/>
      <c r="AK421" s="1388"/>
      <c r="AL421" s="1388"/>
      <c r="AM421" s="1388"/>
      <c r="AN421" s="1388"/>
      <c r="AO421" s="1388"/>
      <c r="AP421" s="1388"/>
      <c r="AQ421" s="1388"/>
      <c r="AR421" s="1388"/>
      <c r="AS421" s="1388"/>
      <c r="AT421" s="1388"/>
      <c r="AU421" s="1388"/>
      <c r="AV421" s="1388"/>
      <c r="AW421" s="1388"/>
      <c r="AX421" s="1388"/>
      <c r="AY421" s="1388"/>
      <c r="AZ421" s="1388"/>
      <c r="BA421" s="1388"/>
      <c r="BB421" s="1388"/>
      <c r="BC421" s="1388"/>
      <c r="BD421" s="1388"/>
      <c r="BE421" s="1388"/>
      <c r="BF421" s="1388"/>
      <c r="BG421" s="1388"/>
      <c r="BH421" s="1388"/>
      <c r="BI421" s="1388"/>
      <c r="BJ421" s="1388"/>
      <c r="BK421" s="1388"/>
      <c r="BL421" s="1388"/>
      <c r="BM421" s="1388"/>
      <c r="BN421" s="1388"/>
      <c r="BO421" s="1388"/>
      <c r="BP421" s="1388"/>
      <c r="BQ421" s="1388"/>
      <c r="BR421" s="1388"/>
      <c r="BS421" s="1388"/>
      <c r="BT421" s="1388"/>
      <c r="BU421" s="1388"/>
      <c r="BV421" s="1388"/>
      <c r="BW421" s="1388"/>
      <c r="BX421" s="1388"/>
      <c r="BY421" s="1388"/>
      <c r="BZ421" s="1388"/>
      <c r="CA421" s="1388"/>
      <c r="CB421" s="1388"/>
      <c r="CC421" s="1388"/>
      <c r="CD421" s="1388"/>
      <c r="CE421" s="1388"/>
      <c r="CF421" s="1388"/>
      <c r="CG421" s="1388"/>
      <c r="CH421" s="1388"/>
      <c r="CI421" s="1388"/>
      <c r="CJ421" s="1388"/>
      <c r="CK421" s="1569"/>
      <c r="CL421" s="943"/>
      <c r="CM421" s="1388"/>
      <c r="CN421" s="49">
        <f>+'Income Statement'!CN147/'Income Statement'!CJ147-1</f>
        <v>0</v>
      </c>
      <c r="CO421" s="408">
        <f>+'Income Statement'!CO147/'Income Statement'!CK147-1</f>
        <v>0</v>
      </c>
      <c r="CP421" s="2265">
        <f>+'Income Statement'!CP147/'Income Statement'!CL147-1</f>
        <v>-9.9297211516662931E-2</v>
      </c>
      <c r="CQ421" s="49">
        <f>+'Income Statement'!CQ147/'Income Statement'!CM147-1</f>
        <v>-3.5883634499551675E-3</v>
      </c>
      <c r="CR421" s="49">
        <f>+'Income Statement'!CR147/'Income Statement'!CN147-1</f>
        <v>1.8115469829271369E-2</v>
      </c>
      <c r="CS421" s="1569">
        <f>+'Income Statement'!CS147/'Income Statement'!CO147-1</f>
        <v>-2.0079681274900452E-2</v>
      </c>
      <c r="CT421" s="943">
        <f>+'Income Statement'!CT147/'Income Statement'!CP147-1</f>
        <v>-2.0765164862824093E-2</v>
      </c>
      <c r="CU421" s="49">
        <f>+'Income Statement'!CU147/'Income Statement'!CQ147-1</f>
        <v>-2.4437299035369731E-2</v>
      </c>
      <c r="CV421" s="49">
        <f>+'Income Statement'!CV147/'Income Statement'!CR147-1</f>
        <v>2.3041474654377891E-2</v>
      </c>
      <c r="CW421" s="1569">
        <f>+'Income Statement'!CW147/'Income Statement'!CS147-1</f>
        <v>3.2444299886160266E-2</v>
      </c>
      <c r="CX421" s="2418">
        <f>+'Income Statement'!CX147/'Income Statement'!CT147-1</f>
        <v>1.400848220023132E-2</v>
      </c>
      <c r="CY421" s="76">
        <f>+'Income Statement'!CY147/'Income Statement'!CU147-1</f>
        <v>3.8628872775214207E-2</v>
      </c>
      <c r="CZ421" s="76">
        <f>+'Income Statement'!CZ147/'Income Statement'!CV147-1</f>
        <v>1.2262262262262347E-2</v>
      </c>
      <c r="DA421" s="2379">
        <f>+'Income Statement'!DA147/'Income Statement'!CW147-1</f>
        <v>-1.4964164763329957E-2</v>
      </c>
      <c r="DB421" s="2418">
        <f>+'Income Statement'!DB147/'Income Statement'!CX147-1</f>
        <v>-7.7313054499366096E-3</v>
      </c>
      <c r="DC421" s="76">
        <f>+'Income Statement'!DC147/'Income Statement'!CY147-1</f>
        <v>1.3962934755014089E-3</v>
      </c>
      <c r="DD421" s="76">
        <f>+'Income Statement'!DD147/'Income Statement'!CZ147-1</f>
        <v>1.2608158220024812E-2</v>
      </c>
      <c r="DE421" s="2379">
        <f>+'Income Statement'!DE147/'Income Statement'!DA147-1</f>
        <v>-1.351243303749905E-2</v>
      </c>
      <c r="DF421" s="2418">
        <f>+'Income Statement'!DF147/'Income Statement'!DB147-1</f>
        <v>1.0601609400945122E-2</v>
      </c>
      <c r="DG421" s="76">
        <f>+'Income Statement'!DG147/'Income Statement'!DC147-1</f>
        <v>4.8548611991380497E-2</v>
      </c>
      <c r="DH421" s="76">
        <f>+'Income Statement'!DH147/'Income Statement'!DD147-1</f>
        <v>3.64990234375E-2</v>
      </c>
      <c r="DI421" s="2379">
        <f>+'Income Statement'!DI147/'Income Statement'!DE147-1</f>
        <v>0.1336521316258712</v>
      </c>
      <c r="DJ421" s="2378">
        <f>+'Income Statement'!DJ147/'Income Statement'!DF147-1</f>
        <v>2.174898265883618E-2</v>
      </c>
      <c r="DK421" s="2612">
        <f>+'Income Statement'!DK147/'Income Statement'!DG147-1</f>
        <v>5.7633880793726E-3</v>
      </c>
      <c r="DL421" s="2612">
        <f>+'Income Statement'!DL147/'Income Statement'!DH147-1</f>
        <v>8.2041994751991254E-3</v>
      </c>
      <c r="DM421" s="2612">
        <f>+'Income Statement'!DM147/'Income Statement'!DI147-1</f>
        <v>-1.290794793137906E-2</v>
      </c>
      <c r="DN421" s="943"/>
      <c r="DO421" s="1388"/>
      <c r="DP421" s="1388"/>
      <c r="DQ421" s="1388"/>
      <c r="DR421" s="1388"/>
      <c r="DS421" s="1388"/>
      <c r="DT421" s="1388"/>
      <c r="DU421" s="1388"/>
      <c r="DV421" s="1388"/>
      <c r="DW421" s="1388"/>
      <c r="DX421" s="1388"/>
      <c r="DY421" s="1388"/>
      <c r="DZ421" s="1388"/>
      <c r="EA421" s="1388"/>
      <c r="EB421" s="1388"/>
      <c r="EC421" s="1388"/>
      <c r="ED421" s="1388"/>
      <c r="EE421" s="1388"/>
      <c r="EF421" s="1388"/>
      <c r="EG421" s="1388"/>
      <c r="EH421" s="1388"/>
      <c r="EI421" s="1388"/>
      <c r="EJ421" s="1388"/>
      <c r="EK421" s="1388"/>
      <c r="EL421" s="1388"/>
      <c r="EM421" s="1388"/>
      <c r="EN421" s="1388"/>
      <c r="EO421" s="1388"/>
      <c r="EP421" s="1388"/>
      <c r="EQ421" s="1388"/>
      <c r="ER421" s="1388"/>
      <c r="ES421" s="1388"/>
      <c r="ET421" s="1388"/>
      <c r="EU421" s="1388"/>
      <c r="EV421" s="1388"/>
      <c r="EW421" s="1388"/>
      <c r="EX421" s="51"/>
      <c r="EY421" s="51"/>
      <c r="EZ421" s="1388"/>
      <c r="FA421" s="1388"/>
      <c r="FB421" s="1388"/>
      <c r="FC421" s="1388"/>
      <c r="FD421" s="1388"/>
      <c r="FE421" s="1388"/>
      <c r="FF421" s="1388"/>
      <c r="FG421" s="1388"/>
      <c r="FH421" s="1388"/>
      <c r="FI421" s="51"/>
      <c r="FP421" s="1388"/>
      <c r="FQ421" s="1388"/>
      <c r="FR421" s="1388"/>
      <c r="FS421" s="1435"/>
      <c r="FT421" s="1435"/>
      <c r="FU421" s="1388"/>
      <c r="FV421" s="1388"/>
      <c r="FW421" s="1435"/>
      <c r="FX421" s="1435"/>
    </row>
    <row r="422" spans="1:180" ht="12.75" customHeight="1" x14ac:dyDescent="0.2">
      <c r="A422" s="1388" t="s">
        <v>667</v>
      </c>
      <c r="B422" s="1388"/>
      <c r="C422" s="1388"/>
      <c r="D422" s="1388"/>
      <c r="E422" s="1388"/>
      <c r="F422" s="1388"/>
      <c r="G422" s="1388"/>
      <c r="H422" s="1388"/>
      <c r="I422" s="1388"/>
      <c r="J422" s="1388"/>
      <c r="K422" s="1388"/>
      <c r="L422" s="1388"/>
      <c r="M422" s="1388"/>
      <c r="N422" s="1388"/>
      <c r="O422" s="1388"/>
      <c r="P422" s="1388"/>
      <c r="Q422" s="1388"/>
      <c r="R422" s="1388"/>
      <c r="S422" s="1388"/>
      <c r="T422" s="1388"/>
      <c r="U422" s="1388"/>
      <c r="V422" s="1388"/>
      <c r="W422" s="1388"/>
      <c r="X422" s="1388"/>
      <c r="Y422" s="1388"/>
      <c r="Z422" s="1388"/>
      <c r="AA422" s="1388"/>
      <c r="AB422" s="1388"/>
      <c r="AC422" s="1388"/>
      <c r="AD422" s="1388"/>
      <c r="AE422" s="1388"/>
      <c r="AF422" s="1388"/>
      <c r="AG422" s="1388"/>
      <c r="AH422" s="1388"/>
      <c r="AI422" s="1388"/>
      <c r="AJ422" s="1388"/>
      <c r="AK422" s="1388"/>
      <c r="AL422" s="1388"/>
      <c r="AM422" s="1388"/>
      <c r="AN422" s="1388"/>
      <c r="AO422" s="1388"/>
      <c r="AP422" s="1388"/>
      <c r="AQ422" s="1388"/>
      <c r="AR422" s="1388"/>
      <c r="AS422" s="1388"/>
      <c r="AT422" s="1388"/>
      <c r="AU422" s="1388"/>
      <c r="AV422" s="1388"/>
      <c r="AW422" s="1388"/>
      <c r="AX422" s="1388"/>
      <c r="AY422" s="1388"/>
      <c r="AZ422" s="1388"/>
      <c r="BA422" s="1388"/>
      <c r="BB422" s="1388"/>
      <c r="BC422" s="1388"/>
      <c r="BD422" s="1388"/>
      <c r="BE422" s="1388"/>
      <c r="BF422" s="1388"/>
      <c r="BG422" s="1388"/>
      <c r="BH422" s="1388"/>
      <c r="BI422" s="1388"/>
      <c r="BJ422" s="1388"/>
      <c r="BK422" s="1388"/>
      <c r="BL422" s="1388"/>
      <c r="BM422" s="1388"/>
      <c r="BN422" s="1388"/>
      <c r="BO422" s="1388"/>
      <c r="BP422" s="1388"/>
      <c r="BQ422" s="1388"/>
      <c r="BR422" s="1388"/>
      <c r="BS422" s="1388"/>
      <c r="BT422" s="1388"/>
      <c r="BU422" s="1388"/>
      <c r="BV422" s="1388"/>
      <c r="BW422" s="1388"/>
      <c r="BX422" s="1388"/>
      <c r="BY422" s="1388"/>
      <c r="BZ422" s="1388"/>
      <c r="CA422" s="1388"/>
      <c r="CB422" s="1388"/>
      <c r="CC422" s="1388"/>
      <c r="CD422" s="1388"/>
      <c r="CE422" s="1388"/>
      <c r="CF422" s="1388"/>
      <c r="CG422" s="1388"/>
      <c r="CH422" s="1388"/>
      <c r="CI422" s="1388"/>
      <c r="CJ422" s="1388"/>
      <c r="CK422" s="2419"/>
      <c r="CL422" s="2420"/>
      <c r="CM422" s="1388"/>
      <c r="CN422" s="2421">
        <f>+CN140</f>
        <v>-0.04</v>
      </c>
      <c r="CO422" s="2422">
        <f>+CO140</f>
        <v>8.9999999999999993E-3</v>
      </c>
      <c r="CP422" s="2423">
        <f>+CP140</f>
        <v>-1.2E-2</v>
      </c>
      <c r="CQ422" s="2421">
        <f>+CQ140</f>
        <v>-4.0000000000000001E-3</v>
      </c>
      <c r="CR422" s="2424">
        <f>+CR140</f>
        <v>1.7999999999999999E-2</v>
      </c>
      <c r="CS422" s="1569">
        <f>+CS140</f>
        <v>-1.2E-2</v>
      </c>
      <c r="CT422" s="943">
        <f>+CT140</f>
        <v>-1.2999999999999999E-2</v>
      </c>
      <c r="CU422" s="2421">
        <f>+CU140</f>
        <v>-0.02</v>
      </c>
      <c r="CV422" s="2421">
        <f>+CV140</f>
        <v>3.2000000000000001E-2</v>
      </c>
      <c r="CW422" s="1569">
        <f>+CW140</f>
        <v>2.8000000000000001E-2</v>
      </c>
      <c r="CX422" s="2418">
        <f>+CX140</f>
        <v>6.0000000000000001E-3</v>
      </c>
      <c r="CY422" s="2425">
        <f>+CY140</f>
        <v>3.7999999999999999E-2</v>
      </c>
      <c r="CZ422" s="2425">
        <f>+CZ140</f>
        <v>8.0000000000000002E-3</v>
      </c>
      <c r="DA422" s="2379">
        <f>+DA140</f>
        <v>-1.7000000000000001E-2</v>
      </c>
      <c r="DB422" s="2418">
        <f>+DB140</f>
        <v>-1E-3</v>
      </c>
      <c r="DC422" s="2425">
        <f>+DC140</f>
        <v>8.0000000000000002E-3</v>
      </c>
      <c r="DD422" s="2425">
        <f>+DD140</f>
        <v>1.7999999999999999E-2</v>
      </c>
      <c r="DE422" s="2379">
        <f>+DE140</f>
        <v>-8.9999999999999993E-3</v>
      </c>
      <c r="DF422" s="2418">
        <f>+DF140</f>
        <v>1.4E-2</v>
      </c>
      <c r="DG422" s="2425">
        <f>+DG140</f>
        <v>5.3999999999999999E-2</v>
      </c>
      <c r="DH422" s="2425">
        <f>+DH140</f>
        <v>4.4999999999999998E-2</v>
      </c>
      <c r="DI422" s="2379">
        <f>+DI140</f>
        <v>0.09</v>
      </c>
      <c r="DJ422" s="2378">
        <f>+DJ140</f>
        <v>3.5492354524772493E-2</v>
      </c>
      <c r="DK422" s="2613">
        <f>+DK140</f>
        <v>1.8262936943907158E-2</v>
      </c>
      <c r="DL422" s="2613">
        <f>+DL140</f>
        <v>1.5417252888211051E-2</v>
      </c>
      <c r="DM422" s="2613">
        <f>+DM140</f>
        <v>-1.5540498702366484E-2</v>
      </c>
      <c r="DN422" s="943"/>
      <c r="DO422" s="1388"/>
      <c r="DP422" s="1388"/>
      <c r="DQ422" s="1388"/>
      <c r="DR422" s="1388"/>
      <c r="DS422" s="1388"/>
      <c r="DT422" s="1388"/>
      <c r="DU422" s="1388"/>
      <c r="DV422" s="1388"/>
      <c r="DW422" s="1388"/>
      <c r="DX422" s="1388"/>
      <c r="DY422" s="1388"/>
      <c r="DZ422" s="1388"/>
      <c r="EA422" s="1388"/>
      <c r="EB422" s="1388"/>
      <c r="EC422" s="1388"/>
      <c r="ED422" s="1388"/>
      <c r="EE422" s="1388"/>
      <c r="EF422" s="1388"/>
      <c r="EG422" s="1388"/>
      <c r="EH422" s="1388"/>
      <c r="EI422" s="1388"/>
      <c r="EJ422" s="1388"/>
      <c r="EK422" s="1388"/>
      <c r="EL422" s="1388"/>
      <c r="EM422" s="1388"/>
      <c r="EN422" s="1388"/>
      <c r="EO422" s="1388"/>
      <c r="EP422" s="1388"/>
      <c r="EQ422" s="1388"/>
      <c r="ER422" s="1388"/>
      <c r="ES422" s="1388"/>
      <c r="ET422" s="1388"/>
      <c r="EU422" s="1388"/>
      <c r="EV422" s="1388"/>
      <c r="EW422" s="1388"/>
      <c r="EX422" s="51"/>
      <c r="EY422" s="51"/>
      <c r="EZ422" s="1388"/>
      <c r="FA422" s="1388"/>
      <c r="FB422" s="1388"/>
      <c r="FC422" s="1388"/>
      <c r="FD422" s="1388"/>
      <c r="FE422" s="1388"/>
      <c r="FF422" s="1388"/>
      <c r="FG422" s="1388"/>
      <c r="FH422" s="1388"/>
      <c r="FI422" s="51"/>
      <c r="FP422" s="1388"/>
      <c r="FQ422" s="1388"/>
      <c r="FR422" s="1388"/>
      <c r="FS422" s="1435"/>
      <c r="FT422" s="1435"/>
      <c r="FU422" s="1388"/>
      <c r="FV422" s="1388"/>
      <c r="FW422" s="1435"/>
      <c r="FX422" s="1435"/>
    </row>
    <row r="423" spans="1:180" ht="12.75" customHeight="1" x14ac:dyDescent="0.2">
      <c r="A423" s="1388" t="s">
        <v>671</v>
      </c>
      <c r="B423" s="1388"/>
      <c r="C423" s="1388"/>
      <c r="D423" s="1388"/>
      <c r="E423" s="1388"/>
      <c r="F423" s="1388"/>
      <c r="G423" s="1388"/>
      <c r="H423" s="1388"/>
      <c r="I423" s="1388"/>
      <c r="J423" s="1388"/>
      <c r="K423" s="1388"/>
      <c r="L423" s="1388"/>
      <c r="M423" s="1388"/>
      <c r="N423" s="1388"/>
      <c r="O423" s="1388"/>
      <c r="P423" s="1388"/>
      <c r="Q423" s="1388"/>
      <c r="R423" s="1388"/>
      <c r="S423" s="1388"/>
      <c r="T423" s="1388"/>
      <c r="U423" s="1388"/>
      <c r="V423" s="1388"/>
      <c r="W423" s="1388"/>
      <c r="X423" s="1388"/>
      <c r="Y423" s="1388"/>
      <c r="Z423" s="1388"/>
      <c r="AA423" s="1388"/>
      <c r="AB423" s="1388"/>
      <c r="AC423" s="1388"/>
      <c r="AD423" s="1388"/>
      <c r="AE423" s="1388"/>
      <c r="AF423" s="1388"/>
      <c r="AG423" s="1388"/>
      <c r="AH423" s="1388"/>
      <c r="AI423" s="1388"/>
      <c r="AJ423" s="1388"/>
      <c r="AK423" s="1388"/>
      <c r="AL423" s="1388"/>
      <c r="AM423" s="1388"/>
      <c r="AN423" s="1388"/>
      <c r="AO423" s="1388"/>
      <c r="AP423" s="1388"/>
      <c r="AQ423" s="1388"/>
      <c r="AR423" s="1388"/>
      <c r="AS423" s="1388"/>
      <c r="AT423" s="1388"/>
      <c r="AU423" s="1388"/>
      <c r="AV423" s="1388"/>
      <c r="AW423" s="1388"/>
      <c r="AX423" s="1388"/>
      <c r="AY423" s="1388"/>
      <c r="AZ423" s="1388"/>
      <c r="BA423" s="1388"/>
      <c r="BB423" s="1388"/>
      <c r="BC423" s="1388"/>
      <c r="BD423" s="1388"/>
      <c r="BE423" s="1388"/>
      <c r="BF423" s="1388"/>
      <c r="BG423" s="1388"/>
      <c r="BH423" s="1388"/>
      <c r="BI423" s="1388"/>
      <c r="BJ423" s="1388"/>
      <c r="BK423" s="1388"/>
      <c r="BL423" s="1388"/>
      <c r="BM423" s="1388"/>
      <c r="BN423" s="1388"/>
      <c r="BO423" s="1388"/>
      <c r="BP423" s="1388"/>
      <c r="BQ423" s="1388"/>
      <c r="BR423" s="1388"/>
      <c r="BS423" s="1388"/>
      <c r="BT423" s="1388"/>
      <c r="BU423" s="1388"/>
      <c r="BV423" s="1388"/>
      <c r="BW423" s="1388"/>
      <c r="BX423" s="1388"/>
      <c r="BY423" s="1388"/>
      <c r="BZ423" s="1388"/>
      <c r="CA423" s="1388"/>
      <c r="CB423" s="1388"/>
      <c r="CC423" s="1388"/>
      <c r="CD423" s="1388"/>
      <c r="CE423" s="1388"/>
      <c r="CF423" s="1388"/>
      <c r="CG423" s="1388"/>
      <c r="CH423" s="1388"/>
      <c r="CI423" s="1388"/>
      <c r="CJ423" s="1388"/>
      <c r="CK423" s="503"/>
      <c r="CL423" s="1648"/>
      <c r="CM423" s="1388"/>
      <c r="CN423" s="1388"/>
      <c r="CO423" s="1587"/>
      <c r="CP423" s="1522"/>
      <c r="CQ423" s="1388"/>
      <c r="CR423" s="1388"/>
      <c r="CS423" s="1569">
        <v>-3.0000000000000001E-3</v>
      </c>
      <c r="CT423" s="943"/>
      <c r="CU423" s="1388"/>
      <c r="CV423" s="1388"/>
      <c r="CW423" s="1569"/>
      <c r="CX423" s="2426"/>
      <c r="CY423" s="2427">
        <v>3.0000000000000001E-3</v>
      </c>
      <c r="CZ423" s="2427">
        <v>3.0000000000000001E-3</v>
      </c>
      <c r="DA423" s="2428"/>
      <c r="DB423" s="2426"/>
      <c r="DC423" s="2427"/>
      <c r="DD423" s="2429">
        <v>2E-3</v>
      </c>
      <c r="DE423" s="2430">
        <v>2E-3</v>
      </c>
      <c r="DF423" s="2426"/>
      <c r="DG423" s="2427"/>
      <c r="DH423" s="2427"/>
      <c r="DI423" s="2430"/>
      <c r="DJ423" s="2382"/>
      <c r="DK423" s="2382"/>
      <c r="DL423" s="2382"/>
      <c r="DM423" s="2382"/>
      <c r="DN423" s="943"/>
      <c r="DO423" s="1388"/>
      <c r="DP423" s="1388"/>
      <c r="DQ423" s="1388"/>
      <c r="DR423" s="1388"/>
      <c r="DS423" s="1388"/>
      <c r="DT423" s="1388"/>
      <c r="DU423" s="1388"/>
      <c r="DV423" s="1388"/>
      <c r="DW423" s="1388"/>
      <c r="DX423" s="1388"/>
      <c r="DY423" s="1388"/>
      <c r="DZ423" s="1388"/>
      <c r="EA423" s="1388"/>
      <c r="EB423" s="1388"/>
      <c r="EC423" s="1388"/>
      <c r="ED423" s="1388"/>
      <c r="EE423" s="1388"/>
      <c r="EF423" s="1388"/>
      <c r="EG423" s="1388"/>
      <c r="EH423" s="1388"/>
      <c r="EI423" s="1388"/>
      <c r="EJ423" s="1388"/>
      <c r="EK423" s="1388"/>
      <c r="EL423" s="1388"/>
      <c r="EM423" s="1388"/>
      <c r="EN423" s="1388"/>
      <c r="EO423" s="1388"/>
      <c r="EP423" s="1388"/>
      <c r="EQ423" s="1388"/>
      <c r="ER423" s="1388"/>
      <c r="ES423" s="1388"/>
      <c r="ET423" s="1388"/>
      <c r="EU423" s="1388"/>
      <c r="EV423" s="1388"/>
      <c r="EW423" s="1388"/>
      <c r="EX423" s="51"/>
      <c r="EY423" s="51"/>
      <c r="EZ423" s="1388"/>
      <c r="FA423" s="1388"/>
      <c r="FB423" s="1388"/>
      <c r="FC423" s="1388"/>
      <c r="FD423" s="1388"/>
      <c r="FE423" s="1388"/>
      <c r="FF423" s="1388"/>
      <c r="FG423" s="1388"/>
      <c r="FH423" s="1388"/>
      <c r="FI423" s="51"/>
      <c r="FP423" s="1388"/>
      <c r="FQ423" s="1388"/>
      <c r="FR423" s="1388"/>
      <c r="FS423" s="1435"/>
      <c r="FT423" s="1435"/>
      <c r="FU423" s="1388"/>
      <c r="FV423" s="1388"/>
      <c r="FW423" s="1435"/>
      <c r="FX423" s="1435"/>
    </row>
    <row r="424" spans="1:180" ht="12.75" customHeight="1" x14ac:dyDescent="0.2">
      <c r="A424" s="1388" t="s">
        <v>672</v>
      </c>
      <c r="B424" s="1388"/>
      <c r="C424" s="1388"/>
      <c r="D424" s="1388"/>
      <c r="E424" s="1388"/>
      <c r="F424" s="1388"/>
      <c r="G424" s="1388"/>
      <c r="H424" s="1388"/>
      <c r="I424" s="1388"/>
      <c r="J424" s="1388"/>
      <c r="K424" s="1388"/>
      <c r="L424" s="1388"/>
      <c r="M424" s="1388"/>
      <c r="N424" s="1388"/>
      <c r="O424" s="1388"/>
      <c r="P424" s="1388"/>
      <c r="Q424" s="1388"/>
      <c r="R424" s="1388"/>
      <c r="S424" s="1388"/>
      <c r="T424" s="1388"/>
      <c r="U424" s="1388"/>
      <c r="V424" s="1388"/>
      <c r="W424" s="1388"/>
      <c r="X424" s="1388"/>
      <c r="Y424" s="1388"/>
      <c r="Z424" s="1388"/>
      <c r="AA424" s="1388"/>
      <c r="AB424" s="1388"/>
      <c r="AC424" s="1388"/>
      <c r="AD424" s="1388"/>
      <c r="AE424" s="1388"/>
      <c r="AF424" s="1388"/>
      <c r="AG424" s="1388"/>
      <c r="AH424" s="1388"/>
      <c r="AI424" s="1388"/>
      <c r="AJ424" s="1388"/>
      <c r="AK424" s="1388"/>
      <c r="AL424" s="1388"/>
      <c r="AM424" s="1388"/>
      <c r="AN424" s="1388"/>
      <c r="AO424" s="1388"/>
      <c r="AP424" s="1388"/>
      <c r="AQ424" s="1388"/>
      <c r="AR424" s="1388"/>
      <c r="AS424" s="1388"/>
      <c r="AT424" s="1388"/>
      <c r="AU424" s="1388"/>
      <c r="AV424" s="1388"/>
      <c r="AW424" s="1388"/>
      <c r="AX424" s="1388"/>
      <c r="AY424" s="1388"/>
      <c r="AZ424" s="1388"/>
      <c r="BA424" s="1388"/>
      <c r="BB424" s="1388"/>
      <c r="BC424" s="1388"/>
      <c r="BD424" s="1388"/>
      <c r="BE424" s="1388"/>
      <c r="BF424" s="1388"/>
      <c r="BG424" s="1388"/>
      <c r="BH424" s="1388"/>
      <c r="BI424" s="1388"/>
      <c r="BJ424" s="1388"/>
      <c r="BK424" s="1388"/>
      <c r="BL424" s="1388"/>
      <c r="BM424" s="1388"/>
      <c r="BN424" s="1388"/>
      <c r="BO424" s="1388"/>
      <c r="BP424" s="1388"/>
      <c r="BQ424" s="1388"/>
      <c r="BR424" s="1388"/>
      <c r="BS424" s="1388"/>
      <c r="BT424" s="1388"/>
      <c r="BU424" s="1388"/>
      <c r="BV424" s="1388"/>
      <c r="BW424" s="1388"/>
      <c r="BX424" s="1388"/>
      <c r="BY424" s="1388"/>
      <c r="BZ424" s="1388"/>
      <c r="CA424" s="1388"/>
      <c r="CB424" s="1388"/>
      <c r="CC424" s="1388"/>
      <c r="CD424" s="1388"/>
      <c r="CE424" s="1388"/>
      <c r="CF424" s="1388"/>
      <c r="CG424" s="1388"/>
      <c r="CH424" s="1388"/>
      <c r="CI424" s="1388"/>
      <c r="CJ424" s="1388"/>
      <c r="CK424" s="503"/>
      <c r="CL424" s="1648"/>
      <c r="CM424" s="1388"/>
      <c r="CN424" s="1388"/>
      <c r="CO424" s="1587"/>
      <c r="CP424" s="1522"/>
      <c r="CQ424" s="1388"/>
      <c r="CR424" s="1388"/>
      <c r="CS424" s="1569"/>
      <c r="CT424" s="943">
        <f>-0.8%+0.2%</f>
        <v>-6.0000000000000001E-3</v>
      </c>
      <c r="CU424" s="2421">
        <v>-2.5000000000000001E-3</v>
      </c>
      <c r="CV424" s="2421">
        <v>6.0000000000000001E-3</v>
      </c>
      <c r="CW424" s="1569">
        <v>5.4999999999999997E-3</v>
      </c>
      <c r="CX424" s="2426">
        <v>5.0000000000000001E-3</v>
      </c>
      <c r="CY424" s="2427"/>
      <c r="CZ424" s="2427"/>
      <c r="DA424" s="2428"/>
      <c r="DB424" s="2426"/>
      <c r="DC424" s="2427"/>
      <c r="DD424" s="2427"/>
      <c r="DE424" s="2428"/>
      <c r="DF424" s="2426"/>
      <c r="DG424" s="2427"/>
      <c r="DH424" s="2427"/>
      <c r="DI424" s="2428"/>
      <c r="DJ424" s="2382"/>
      <c r="DK424" s="2382"/>
      <c r="DL424" s="2382"/>
      <c r="DM424" s="2382"/>
      <c r="DN424" s="943"/>
      <c r="DO424" s="1388"/>
      <c r="DP424" s="1388"/>
      <c r="DQ424" s="1388"/>
      <c r="DR424" s="1388"/>
      <c r="DS424" s="1388"/>
      <c r="DT424" s="1388"/>
      <c r="DU424" s="1388"/>
      <c r="DV424" s="1388"/>
      <c r="DW424" s="1388"/>
      <c r="DX424" s="1388"/>
      <c r="DY424" s="1388"/>
      <c r="DZ424" s="1388"/>
      <c r="EA424" s="1388"/>
      <c r="EB424" s="1388"/>
      <c r="EC424" s="1388"/>
      <c r="ED424" s="1388"/>
      <c r="EE424" s="1388"/>
      <c r="EF424" s="1388"/>
      <c r="EG424" s="1388"/>
      <c r="EH424" s="1388"/>
      <c r="EI424" s="1388"/>
      <c r="EJ424" s="1388"/>
      <c r="EK424" s="1388"/>
      <c r="EL424" s="1388"/>
      <c r="EM424" s="1388"/>
      <c r="EN424" s="1388"/>
      <c r="EO424" s="1388"/>
      <c r="EP424" s="1388"/>
      <c r="EQ424" s="1388"/>
      <c r="ER424" s="1388"/>
      <c r="ES424" s="1388"/>
      <c r="ET424" s="1388"/>
      <c r="EU424" s="1388"/>
      <c r="EV424" s="1388"/>
      <c r="EW424" s="1388"/>
      <c r="EX424" s="51"/>
      <c r="EY424" s="51"/>
      <c r="EZ424" s="1388"/>
      <c r="FA424" s="1388"/>
      <c r="FB424" s="1388"/>
      <c r="FC424" s="1388"/>
      <c r="FD424" s="1388"/>
      <c r="FE424" s="1388"/>
      <c r="FF424" s="1388"/>
      <c r="FG424" s="1388"/>
      <c r="FH424" s="1388"/>
      <c r="FI424" s="51"/>
      <c r="FP424" s="1388"/>
      <c r="FQ424" s="1388"/>
      <c r="FR424" s="1388"/>
      <c r="FS424" s="1435"/>
      <c r="FT424" s="1435"/>
      <c r="FU424" s="1388"/>
      <c r="FV424" s="1388"/>
      <c r="FW424" s="1435"/>
      <c r="FX424" s="1435"/>
    </row>
    <row r="425" spans="1:180" ht="12.75" customHeight="1" x14ac:dyDescent="0.2">
      <c r="A425" s="1388" t="s">
        <v>673</v>
      </c>
      <c r="B425" s="1388"/>
      <c r="C425" s="1388"/>
      <c r="D425" s="1388"/>
      <c r="E425" s="1388"/>
      <c r="F425" s="1388"/>
      <c r="G425" s="1388"/>
      <c r="H425" s="1388"/>
      <c r="I425" s="1388"/>
      <c r="J425" s="1388"/>
      <c r="K425" s="1388"/>
      <c r="L425" s="1388"/>
      <c r="M425" s="1388"/>
      <c r="N425" s="1388"/>
      <c r="O425" s="1388"/>
      <c r="P425" s="1388"/>
      <c r="Q425" s="1388"/>
      <c r="R425" s="1388"/>
      <c r="S425" s="1388"/>
      <c r="T425" s="1388"/>
      <c r="U425" s="1388"/>
      <c r="V425" s="1388"/>
      <c r="W425" s="1388"/>
      <c r="X425" s="1388"/>
      <c r="Y425" s="1388"/>
      <c r="Z425" s="1388"/>
      <c r="AA425" s="1388"/>
      <c r="AB425" s="1388"/>
      <c r="AC425" s="1388"/>
      <c r="AD425" s="1388"/>
      <c r="AE425" s="1388"/>
      <c r="AF425" s="1388"/>
      <c r="AG425" s="1388"/>
      <c r="AH425" s="1388"/>
      <c r="AI425" s="1388"/>
      <c r="AJ425" s="1388"/>
      <c r="AK425" s="1388"/>
      <c r="AL425" s="1388"/>
      <c r="AM425" s="1388"/>
      <c r="AN425" s="1388"/>
      <c r="AO425" s="1388"/>
      <c r="AP425" s="1388"/>
      <c r="AQ425" s="1388"/>
      <c r="AR425" s="1388"/>
      <c r="AS425" s="1388"/>
      <c r="AT425" s="1388"/>
      <c r="AU425" s="1388"/>
      <c r="AV425" s="1388"/>
      <c r="AW425" s="1388"/>
      <c r="AX425" s="1388"/>
      <c r="AY425" s="1388"/>
      <c r="AZ425" s="1388"/>
      <c r="BA425" s="1388"/>
      <c r="BB425" s="1388"/>
      <c r="BC425" s="1388"/>
      <c r="BD425" s="1388"/>
      <c r="BE425" s="1388"/>
      <c r="BF425" s="1388"/>
      <c r="BG425" s="1388"/>
      <c r="BH425" s="1388"/>
      <c r="BI425" s="1388"/>
      <c r="BJ425" s="1388"/>
      <c r="BK425" s="1388"/>
      <c r="BL425" s="1388"/>
      <c r="BM425" s="1388"/>
      <c r="BN425" s="1388"/>
      <c r="BO425" s="1388"/>
      <c r="BP425" s="1388"/>
      <c r="BQ425" s="1388"/>
      <c r="BR425" s="1388"/>
      <c r="BS425" s="1388"/>
      <c r="BT425" s="1388"/>
      <c r="BU425" s="1388"/>
      <c r="BV425" s="1388"/>
      <c r="BW425" s="1388"/>
      <c r="BX425" s="1388"/>
      <c r="BY425" s="1388"/>
      <c r="BZ425" s="1388"/>
      <c r="CA425" s="1388"/>
      <c r="CB425" s="1388"/>
      <c r="CC425" s="1388"/>
      <c r="CD425" s="1388"/>
      <c r="CE425" s="1388"/>
      <c r="CF425" s="1388"/>
      <c r="CG425" s="1388"/>
      <c r="CH425" s="1388"/>
      <c r="CI425" s="1388"/>
      <c r="CJ425" s="1388"/>
      <c r="CK425" s="503"/>
      <c r="CL425" s="2420"/>
      <c r="CM425" s="1388"/>
      <c r="CN425" s="1388"/>
      <c r="CO425" s="1587"/>
      <c r="CP425" s="2431">
        <v>-3.0000000000000001E-3</v>
      </c>
      <c r="CQ425" s="2421">
        <v>-5.0000000000000001E-3</v>
      </c>
      <c r="CR425" s="2421">
        <v>-3.0000000000000001E-3</v>
      </c>
      <c r="CS425" s="1569">
        <v>-3.0000000000000001E-3</v>
      </c>
      <c r="CT425" s="943"/>
      <c r="CU425" s="1388"/>
      <c r="CV425" s="1388"/>
      <c r="CW425" s="1569"/>
      <c r="CX425" s="2426"/>
      <c r="CY425" s="2427"/>
      <c r="CZ425" s="2427"/>
      <c r="DA425" s="2428"/>
      <c r="DB425" s="2426"/>
      <c r="DC425" s="2427"/>
      <c r="DD425" s="2427"/>
      <c r="DE425" s="2428"/>
      <c r="DF425" s="2426"/>
      <c r="DG425" s="2427"/>
      <c r="DH425" s="2427"/>
      <c r="DI425" s="2428"/>
      <c r="DJ425" s="2382"/>
      <c r="DK425" s="2382"/>
      <c r="DL425" s="2382"/>
      <c r="DM425" s="2382"/>
      <c r="DN425" s="943"/>
      <c r="DO425" s="1388"/>
      <c r="DP425" s="1388"/>
      <c r="DQ425" s="1388"/>
      <c r="DR425" s="1388"/>
      <c r="DS425" s="1388"/>
      <c r="DT425" s="1388"/>
      <c r="DU425" s="1388"/>
      <c r="DV425" s="1388"/>
      <c r="DW425" s="1388"/>
      <c r="DX425" s="1388"/>
      <c r="DY425" s="1388"/>
      <c r="DZ425" s="1388"/>
      <c r="EA425" s="1388"/>
      <c r="EB425" s="1388"/>
      <c r="EC425" s="1388"/>
      <c r="ED425" s="1388"/>
      <c r="EE425" s="1388"/>
      <c r="EF425" s="1388"/>
      <c r="EG425" s="1388"/>
      <c r="EH425" s="1388"/>
      <c r="EI425" s="1388"/>
      <c r="EJ425" s="1388"/>
      <c r="EK425" s="1388"/>
      <c r="EL425" s="1388"/>
      <c r="EM425" s="1388"/>
      <c r="EN425" s="1388"/>
      <c r="EO425" s="1388"/>
      <c r="EP425" s="1388"/>
      <c r="EQ425" s="1388"/>
      <c r="ER425" s="1388"/>
      <c r="ES425" s="1388"/>
      <c r="ET425" s="1388"/>
      <c r="EU425" s="1388"/>
      <c r="EV425" s="1388"/>
      <c r="EW425" s="1388"/>
      <c r="EX425" s="51"/>
      <c r="EY425" s="51"/>
      <c r="EZ425" s="1388"/>
      <c r="FA425" s="1388"/>
      <c r="FB425" s="1388"/>
      <c r="FC425" s="1388"/>
      <c r="FD425" s="1388"/>
      <c r="FE425" s="1388"/>
      <c r="FF425" s="1388"/>
      <c r="FG425" s="1388"/>
      <c r="FH425" s="1388"/>
      <c r="FI425" s="51"/>
      <c r="FP425" s="1388"/>
      <c r="FQ425" s="1388"/>
      <c r="FR425" s="1388"/>
      <c r="FS425" s="1435"/>
      <c r="FT425" s="1435"/>
      <c r="FU425" s="1388"/>
      <c r="FV425" s="1388"/>
      <c r="FW425" s="1435"/>
      <c r="FX425" s="1435"/>
    </row>
    <row r="426" spans="1:180" ht="12.75" customHeight="1" x14ac:dyDescent="0.2">
      <c r="A426" s="1388" t="s">
        <v>676</v>
      </c>
      <c r="B426" s="1388"/>
      <c r="C426" s="1388"/>
      <c r="D426" s="1388"/>
      <c r="E426" s="1388"/>
      <c r="F426" s="1388"/>
      <c r="G426" s="1388"/>
      <c r="H426" s="1388"/>
      <c r="I426" s="1388"/>
      <c r="J426" s="1388"/>
      <c r="K426" s="1388"/>
      <c r="L426" s="1388"/>
      <c r="M426" s="1388"/>
      <c r="N426" s="1388"/>
      <c r="O426" s="1388"/>
      <c r="P426" s="1388"/>
      <c r="Q426" s="1388"/>
      <c r="R426" s="1388"/>
      <c r="S426" s="1388"/>
      <c r="T426" s="1388"/>
      <c r="U426" s="1388"/>
      <c r="V426" s="1388"/>
      <c r="W426" s="1388"/>
      <c r="X426" s="1388"/>
      <c r="Y426" s="1388"/>
      <c r="Z426" s="1388"/>
      <c r="AA426" s="1388"/>
      <c r="AB426" s="1388"/>
      <c r="AC426" s="1388"/>
      <c r="AD426" s="1388"/>
      <c r="AE426" s="1388"/>
      <c r="AF426" s="1388"/>
      <c r="AG426" s="1388"/>
      <c r="AH426" s="1388"/>
      <c r="AI426" s="1388"/>
      <c r="AJ426" s="1388"/>
      <c r="AK426" s="1388"/>
      <c r="AL426" s="1388"/>
      <c r="AM426" s="1388"/>
      <c r="AN426" s="1388"/>
      <c r="AO426" s="1388"/>
      <c r="AP426" s="1388"/>
      <c r="AQ426" s="1388"/>
      <c r="AR426" s="1388"/>
      <c r="AS426" s="1388"/>
      <c r="AT426" s="1388"/>
      <c r="AU426" s="1388"/>
      <c r="AV426" s="1388"/>
      <c r="AW426" s="1388"/>
      <c r="AX426" s="1388"/>
      <c r="AY426" s="1388"/>
      <c r="AZ426" s="1388"/>
      <c r="BA426" s="1388"/>
      <c r="BB426" s="1388"/>
      <c r="BC426" s="1388"/>
      <c r="BD426" s="1388"/>
      <c r="BE426" s="1388"/>
      <c r="BF426" s="1388"/>
      <c r="BG426" s="1388"/>
      <c r="BH426" s="1388"/>
      <c r="BI426" s="1388"/>
      <c r="BJ426" s="1388"/>
      <c r="BK426" s="1388"/>
      <c r="BL426" s="1388"/>
      <c r="BM426" s="1388"/>
      <c r="BN426" s="1388"/>
      <c r="BO426" s="1388"/>
      <c r="BP426" s="1388"/>
      <c r="BQ426" s="1388"/>
      <c r="BR426" s="1388"/>
      <c r="BS426" s="1388"/>
      <c r="BT426" s="1388"/>
      <c r="BU426" s="1388"/>
      <c r="BV426" s="1388"/>
      <c r="BW426" s="1388"/>
      <c r="BX426" s="1388"/>
      <c r="BY426" s="1388"/>
      <c r="BZ426" s="1388"/>
      <c r="CA426" s="1388"/>
      <c r="CB426" s="1388"/>
      <c r="CC426" s="1388"/>
      <c r="CD426" s="1388"/>
      <c r="CE426" s="1388"/>
      <c r="CF426" s="1388"/>
      <c r="CG426" s="1388"/>
      <c r="CH426" s="1388"/>
      <c r="CI426" s="1388"/>
      <c r="CJ426" s="1388"/>
      <c r="CK426" s="503"/>
      <c r="CL426" s="2420"/>
      <c r="CM426" s="1388"/>
      <c r="CN426" s="1388"/>
      <c r="CO426" s="1587"/>
      <c r="CP426" s="2431">
        <v>-8.0000000000000002E-3</v>
      </c>
      <c r="CQ426" s="2421"/>
      <c r="CR426" s="2421"/>
      <c r="CS426" s="1569"/>
      <c r="CT426" s="943"/>
      <c r="CU426" s="1388"/>
      <c r="CV426" s="1388"/>
      <c r="CW426" s="1569"/>
      <c r="CX426" s="2426"/>
      <c r="CY426" s="2427"/>
      <c r="CZ426" s="2427"/>
      <c r="DA426" s="2428"/>
      <c r="DB426" s="2426"/>
      <c r="DC426" s="2427"/>
      <c r="DD426" s="2427"/>
      <c r="DE426" s="2428"/>
      <c r="DF426" s="2426"/>
      <c r="DG426" s="2427"/>
      <c r="DH426" s="2427"/>
      <c r="DI426" s="2428"/>
      <c r="DJ426" s="2382"/>
      <c r="DK426" s="2382"/>
      <c r="DL426" s="2382"/>
      <c r="DM426" s="2382"/>
      <c r="DN426" s="943"/>
      <c r="DO426" s="1388"/>
      <c r="DP426" s="1388"/>
      <c r="DQ426" s="1388"/>
      <c r="DR426" s="1388"/>
      <c r="DS426" s="1388"/>
      <c r="DT426" s="1388"/>
      <c r="DU426" s="1388"/>
      <c r="DV426" s="1388"/>
      <c r="DW426" s="1388"/>
      <c r="DX426" s="1388"/>
      <c r="DY426" s="1388"/>
      <c r="DZ426" s="1388"/>
      <c r="EA426" s="1388"/>
      <c r="EB426" s="1388"/>
      <c r="EC426" s="1388"/>
      <c r="ED426" s="1388"/>
      <c r="EE426" s="1388"/>
      <c r="EF426" s="1388"/>
      <c r="EG426" s="1388"/>
      <c r="EH426" s="1388"/>
      <c r="EI426" s="1388"/>
      <c r="EJ426" s="1388"/>
      <c r="EK426" s="1388"/>
      <c r="EL426" s="1388"/>
      <c r="EM426" s="1388"/>
      <c r="EN426" s="1388"/>
      <c r="EO426" s="1388"/>
      <c r="EP426" s="1388"/>
      <c r="EQ426" s="1388"/>
      <c r="ER426" s="1388"/>
      <c r="ES426" s="1388"/>
      <c r="ET426" s="1388"/>
      <c r="EU426" s="1388"/>
      <c r="EV426" s="1388"/>
      <c r="EW426" s="1388"/>
      <c r="EX426" s="51"/>
      <c r="EY426" s="51"/>
      <c r="EZ426" s="1388"/>
      <c r="FA426" s="1388"/>
      <c r="FB426" s="1388"/>
      <c r="FC426" s="1388"/>
      <c r="FD426" s="1388"/>
      <c r="FE426" s="1388"/>
      <c r="FF426" s="1388"/>
      <c r="FG426" s="1388"/>
      <c r="FH426" s="1388"/>
      <c r="FI426" s="51"/>
      <c r="FP426" s="1388"/>
      <c r="FQ426" s="1388"/>
      <c r="FR426" s="1388"/>
      <c r="FS426" s="1435"/>
      <c r="FT426" s="1435"/>
      <c r="FU426" s="1388"/>
      <c r="FV426" s="1388"/>
      <c r="FW426" s="1435"/>
      <c r="FX426" s="1435"/>
    </row>
    <row r="427" spans="1:180" ht="12.75" customHeight="1" x14ac:dyDescent="0.2">
      <c r="A427" s="1388" t="s">
        <v>715</v>
      </c>
      <c r="B427" s="1388"/>
      <c r="C427" s="1388"/>
      <c r="D427" s="1388"/>
      <c r="E427" s="1388"/>
      <c r="F427" s="1388"/>
      <c r="G427" s="1388"/>
      <c r="H427" s="1388"/>
      <c r="I427" s="1388"/>
      <c r="J427" s="1388"/>
      <c r="K427" s="1388"/>
      <c r="L427" s="1388"/>
      <c r="M427" s="1388"/>
      <c r="N427" s="1388"/>
      <c r="O427" s="1388"/>
      <c r="P427" s="1388"/>
      <c r="Q427" s="1388"/>
      <c r="R427" s="1388"/>
      <c r="S427" s="1388"/>
      <c r="T427" s="1388"/>
      <c r="U427" s="1388"/>
      <c r="V427" s="1388"/>
      <c r="W427" s="1388"/>
      <c r="X427" s="1388"/>
      <c r="Y427" s="1388"/>
      <c r="Z427" s="1388"/>
      <c r="AA427" s="1388"/>
      <c r="AB427" s="1388"/>
      <c r="AC427" s="1388"/>
      <c r="AD427" s="1388"/>
      <c r="AE427" s="1388"/>
      <c r="AF427" s="1388"/>
      <c r="AG427" s="1388"/>
      <c r="AH427" s="1388"/>
      <c r="AI427" s="1388"/>
      <c r="AJ427" s="1388"/>
      <c r="AK427" s="1388"/>
      <c r="AL427" s="1388"/>
      <c r="AM427" s="1388"/>
      <c r="AN427" s="1388"/>
      <c r="AO427" s="1388"/>
      <c r="AP427" s="1388"/>
      <c r="AQ427" s="1388"/>
      <c r="AR427" s="1388"/>
      <c r="AS427" s="1388"/>
      <c r="AT427" s="1388"/>
      <c r="AU427" s="1388"/>
      <c r="AV427" s="1388"/>
      <c r="AW427" s="1388"/>
      <c r="AX427" s="1388"/>
      <c r="AY427" s="1388"/>
      <c r="AZ427" s="1388"/>
      <c r="BA427" s="1388"/>
      <c r="BB427" s="1388"/>
      <c r="BC427" s="1388"/>
      <c r="BD427" s="1388"/>
      <c r="BE427" s="1388"/>
      <c r="BF427" s="1388"/>
      <c r="BG427" s="1388"/>
      <c r="BH427" s="1388"/>
      <c r="BI427" s="1388"/>
      <c r="BJ427" s="1388"/>
      <c r="BK427" s="1388"/>
      <c r="BL427" s="1388"/>
      <c r="BM427" s="1388"/>
      <c r="BN427" s="1388"/>
      <c r="BO427" s="1388"/>
      <c r="BP427" s="1388"/>
      <c r="BQ427" s="1388"/>
      <c r="BR427" s="1388"/>
      <c r="BS427" s="1388"/>
      <c r="BT427" s="1388"/>
      <c r="BU427" s="1388"/>
      <c r="BV427" s="1388"/>
      <c r="BW427" s="1388"/>
      <c r="BX427" s="1388"/>
      <c r="BY427" s="1388"/>
      <c r="BZ427" s="1388"/>
      <c r="CA427" s="1388"/>
      <c r="CB427" s="1388"/>
      <c r="CC427" s="1388"/>
      <c r="CD427" s="1388"/>
      <c r="CE427" s="1388"/>
      <c r="CF427" s="1388"/>
      <c r="CG427" s="1388"/>
      <c r="CH427" s="1388"/>
      <c r="CI427" s="1388"/>
      <c r="CJ427" s="1388"/>
      <c r="CK427" s="503"/>
      <c r="CL427" s="2420"/>
      <c r="CM427" s="1388"/>
      <c r="CN427" s="1388"/>
      <c r="CO427" s="1587"/>
      <c r="CP427" s="2431"/>
      <c r="CQ427" s="2421"/>
      <c r="CR427" s="2421"/>
      <c r="CS427" s="1569"/>
      <c r="CT427" s="943"/>
      <c r="CU427" s="1388"/>
      <c r="CV427" s="1388"/>
      <c r="CW427" s="1569"/>
      <c r="CX427" s="2426"/>
      <c r="CY427" s="2427"/>
      <c r="CZ427" s="2427"/>
      <c r="DA427" s="2428"/>
      <c r="DB427" s="2426"/>
      <c r="DC427" s="2427"/>
      <c r="DD427" s="2427"/>
      <c r="DE427" s="2428">
        <v>1.6E-2</v>
      </c>
      <c r="DF427" s="2426"/>
      <c r="DG427" s="2427"/>
      <c r="DH427" s="2427"/>
      <c r="DI427" s="2428"/>
      <c r="DJ427" s="2382"/>
      <c r="DK427" s="2382"/>
      <c r="DL427" s="2382"/>
      <c r="DM427" s="2382"/>
      <c r="DN427" s="943"/>
      <c r="DO427" s="1388"/>
      <c r="DP427" s="1388"/>
      <c r="DQ427" s="1388"/>
      <c r="DR427" s="1388"/>
      <c r="DS427" s="1388"/>
      <c r="DT427" s="1388"/>
      <c r="DU427" s="1388"/>
      <c r="DV427" s="1388"/>
      <c r="DW427" s="1388"/>
      <c r="DX427" s="1388"/>
      <c r="DY427" s="1388"/>
      <c r="DZ427" s="1388"/>
      <c r="EA427" s="1388"/>
      <c r="EB427" s="1388"/>
      <c r="EC427" s="1388"/>
      <c r="ED427" s="1388"/>
      <c r="EE427" s="1388"/>
      <c r="EF427" s="1388"/>
      <c r="EG427" s="1388"/>
      <c r="EH427" s="1388"/>
      <c r="EI427" s="1388"/>
      <c r="EJ427" s="1388"/>
      <c r="EK427" s="1388"/>
      <c r="EL427" s="1388"/>
      <c r="EM427" s="1388"/>
      <c r="EN427" s="1388"/>
      <c r="EO427" s="1388"/>
      <c r="EP427" s="1388"/>
      <c r="EQ427" s="1388"/>
      <c r="ER427" s="1388"/>
      <c r="ES427" s="1388"/>
      <c r="ET427" s="1388"/>
      <c r="EU427" s="1388"/>
      <c r="EV427" s="1388"/>
      <c r="EW427" s="1388"/>
      <c r="EX427" s="51"/>
      <c r="EY427" s="51"/>
      <c r="EZ427" s="1388"/>
      <c r="FA427" s="1388"/>
      <c r="FB427" s="1388"/>
      <c r="FC427" s="1388"/>
      <c r="FD427" s="1388"/>
      <c r="FE427" s="1388"/>
      <c r="FF427" s="1388"/>
      <c r="FG427" s="1388"/>
      <c r="FH427" s="1388"/>
      <c r="FI427" s="51"/>
      <c r="FP427" s="1388"/>
      <c r="FQ427" s="1388"/>
      <c r="FR427" s="1388"/>
      <c r="FS427" s="1435"/>
      <c r="FT427" s="1435"/>
      <c r="FU427" s="1388"/>
      <c r="FV427" s="1388"/>
      <c r="FW427" s="1435"/>
      <c r="FX427" s="1435"/>
    </row>
    <row r="428" spans="1:180" ht="12.75" customHeight="1" x14ac:dyDescent="0.2">
      <c r="A428" s="1388" t="s">
        <v>716</v>
      </c>
      <c r="B428" s="1388"/>
      <c r="C428" s="1388"/>
      <c r="D428" s="1388"/>
      <c r="E428" s="1388"/>
      <c r="F428" s="1388"/>
      <c r="G428" s="1388"/>
      <c r="H428" s="1388"/>
      <c r="I428" s="1388"/>
      <c r="J428" s="1388"/>
      <c r="K428" s="1388"/>
      <c r="L428" s="1388"/>
      <c r="M428" s="1388"/>
      <c r="N428" s="1388"/>
      <c r="O428" s="1388"/>
      <c r="P428" s="1388"/>
      <c r="Q428" s="1388"/>
      <c r="R428" s="1388"/>
      <c r="S428" s="1388"/>
      <c r="T428" s="1388"/>
      <c r="U428" s="1388"/>
      <c r="V428" s="1388"/>
      <c r="W428" s="1388"/>
      <c r="X428" s="1388"/>
      <c r="Y428" s="1388"/>
      <c r="Z428" s="1388"/>
      <c r="AA428" s="1388"/>
      <c r="AB428" s="1388"/>
      <c r="AC428" s="1388"/>
      <c r="AD428" s="1388"/>
      <c r="AE428" s="1388"/>
      <c r="AF428" s="1388"/>
      <c r="AG428" s="1388"/>
      <c r="AH428" s="1388"/>
      <c r="AI428" s="1388"/>
      <c r="AJ428" s="1388"/>
      <c r="AK428" s="1388"/>
      <c r="AL428" s="1388"/>
      <c r="AM428" s="1388"/>
      <c r="AN428" s="1388"/>
      <c r="AO428" s="1388"/>
      <c r="AP428" s="1388"/>
      <c r="AQ428" s="1388"/>
      <c r="AR428" s="1388"/>
      <c r="AS428" s="1388"/>
      <c r="AT428" s="1388"/>
      <c r="AU428" s="1388"/>
      <c r="AV428" s="1388"/>
      <c r="AW428" s="1388"/>
      <c r="AX428" s="1388"/>
      <c r="AY428" s="1388"/>
      <c r="AZ428" s="1388"/>
      <c r="BA428" s="1388"/>
      <c r="BB428" s="1388"/>
      <c r="BC428" s="1388"/>
      <c r="BD428" s="1388"/>
      <c r="BE428" s="1388"/>
      <c r="BF428" s="1388"/>
      <c r="BG428" s="1388"/>
      <c r="BH428" s="1388"/>
      <c r="BI428" s="1388"/>
      <c r="BJ428" s="1388"/>
      <c r="BK428" s="1388"/>
      <c r="BL428" s="1388"/>
      <c r="BM428" s="1388"/>
      <c r="BN428" s="1388"/>
      <c r="BO428" s="1388"/>
      <c r="BP428" s="1388"/>
      <c r="BQ428" s="1388"/>
      <c r="BR428" s="1388"/>
      <c r="BS428" s="1388"/>
      <c r="BT428" s="1388"/>
      <c r="BU428" s="1388"/>
      <c r="BV428" s="1388"/>
      <c r="BW428" s="1388"/>
      <c r="BX428" s="1388"/>
      <c r="BY428" s="1388"/>
      <c r="BZ428" s="1388"/>
      <c r="CA428" s="1388"/>
      <c r="CB428" s="1388"/>
      <c r="CC428" s="1388"/>
      <c r="CD428" s="1388"/>
      <c r="CE428" s="1388"/>
      <c r="CF428" s="1388"/>
      <c r="CG428" s="1388"/>
      <c r="CH428" s="1388"/>
      <c r="CI428" s="1388"/>
      <c r="CJ428" s="1388"/>
      <c r="CK428" s="503"/>
      <c r="CL428" s="2420"/>
      <c r="CM428" s="1388"/>
      <c r="CN428" s="1388"/>
      <c r="CO428" s="1587"/>
      <c r="CP428" s="2431"/>
      <c r="CQ428" s="2421"/>
      <c r="CR428" s="2421"/>
      <c r="CS428" s="1569"/>
      <c r="CT428" s="943"/>
      <c r="CU428" s="1388"/>
      <c r="CV428" s="1388"/>
      <c r="CW428" s="1569"/>
      <c r="CX428" s="2426"/>
      <c r="CY428" s="2427"/>
      <c r="CZ428" s="2427"/>
      <c r="DA428" s="2428"/>
      <c r="DB428" s="2426"/>
      <c r="DC428" s="2427"/>
      <c r="DD428" s="2427"/>
      <c r="DE428" s="2432">
        <f>+AVERAGE(0.8%,1.6%)</f>
        <v>1.2E-2</v>
      </c>
      <c r="DF428" s="2426"/>
      <c r="DG428" s="2427"/>
      <c r="DH428" s="2427"/>
      <c r="DI428" s="2432"/>
      <c r="DJ428" s="2382"/>
      <c r="DK428" s="2427"/>
      <c r="DL428" s="2427"/>
      <c r="DM428" s="2614"/>
      <c r="DN428" s="943"/>
      <c r="DO428" s="1388"/>
      <c r="DP428" s="1388"/>
      <c r="DQ428" s="1388"/>
      <c r="DR428" s="1388"/>
      <c r="DS428" s="1388"/>
      <c r="DT428" s="1388"/>
      <c r="DU428" s="1388"/>
      <c r="DV428" s="1388"/>
      <c r="DW428" s="1388"/>
      <c r="DX428" s="1388"/>
      <c r="DY428" s="1388"/>
      <c r="DZ428" s="1388"/>
      <c r="EA428" s="1388"/>
      <c r="EB428" s="1388"/>
      <c r="EC428" s="1388"/>
      <c r="ED428" s="1388"/>
      <c r="EE428" s="1388"/>
      <c r="EF428" s="1388"/>
      <c r="EG428" s="1388"/>
      <c r="EH428" s="1388"/>
      <c r="EI428" s="1388"/>
      <c r="EJ428" s="1388"/>
      <c r="EK428" s="1388"/>
      <c r="EL428" s="1388"/>
      <c r="EM428" s="1388"/>
      <c r="EN428" s="1388"/>
      <c r="EO428" s="1388"/>
      <c r="EP428" s="1388"/>
      <c r="EQ428" s="1388"/>
      <c r="ER428" s="1388"/>
      <c r="ES428" s="1388"/>
      <c r="ET428" s="1388"/>
      <c r="EU428" s="1388"/>
      <c r="EV428" s="1388"/>
      <c r="EW428" s="1388"/>
      <c r="EX428" s="51"/>
      <c r="EY428" s="51"/>
      <c r="EZ428" s="1388"/>
      <c r="FA428" s="1388"/>
      <c r="FB428" s="1388"/>
      <c r="FC428" s="1388"/>
      <c r="FD428" s="1388"/>
      <c r="FE428" s="1388"/>
      <c r="FF428" s="1388"/>
      <c r="FG428" s="1388"/>
      <c r="FH428" s="1388"/>
      <c r="FI428" s="51"/>
      <c r="FP428" s="1388"/>
      <c r="FQ428" s="1388"/>
      <c r="FR428" s="1388"/>
      <c r="FS428" s="1435"/>
      <c r="FT428" s="1435"/>
      <c r="FU428" s="1388"/>
      <c r="FV428" s="1388"/>
      <c r="FW428" s="1435"/>
      <c r="FX428" s="1435"/>
    </row>
    <row r="429" spans="1:180" ht="12.75" customHeight="1" x14ac:dyDescent="0.2">
      <c r="A429" s="1388" t="s">
        <v>674</v>
      </c>
      <c r="B429" s="1388"/>
      <c r="C429" s="1388"/>
      <c r="D429" s="1388"/>
      <c r="E429" s="1388"/>
      <c r="F429" s="1388"/>
      <c r="G429" s="1388"/>
      <c r="H429" s="1388"/>
      <c r="I429" s="1388"/>
      <c r="J429" s="1388"/>
      <c r="K429" s="1388"/>
      <c r="L429" s="1388"/>
      <c r="M429" s="1388"/>
      <c r="N429" s="1388"/>
      <c r="O429" s="1388"/>
      <c r="P429" s="1388"/>
      <c r="Q429" s="1388"/>
      <c r="R429" s="1388"/>
      <c r="S429" s="1388"/>
      <c r="T429" s="1388"/>
      <c r="U429" s="1388"/>
      <c r="V429" s="1388"/>
      <c r="W429" s="1388"/>
      <c r="X429" s="1388"/>
      <c r="Y429" s="1388"/>
      <c r="Z429" s="1388"/>
      <c r="AA429" s="1388"/>
      <c r="AB429" s="1388"/>
      <c r="AC429" s="1388"/>
      <c r="AD429" s="1388"/>
      <c r="AE429" s="1388"/>
      <c r="AF429" s="1388"/>
      <c r="AG429" s="1388"/>
      <c r="AH429" s="1388"/>
      <c r="AI429" s="1388"/>
      <c r="AJ429" s="1388"/>
      <c r="AK429" s="1388"/>
      <c r="AL429" s="1388"/>
      <c r="AM429" s="1388"/>
      <c r="AN429" s="1388"/>
      <c r="AO429" s="1388"/>
      <c r="AP429" s="1388"/>
      <c r="AQ429" s="1388"/>
      <c r="AR429" s="1388"/>
      <c r="AS429" s="1388"/>
      <c r="AT429" s="1388"/>
      <c r="AU429" s="1388"/>
      <c r="AV429" s="1388"/>
      <c r="AW429" s="1388"/>
      <c r="AX429" s="1388"/>
      <c r="AY429" s="1388"/>
      <c r="AZ429" s="1388"/>
      <c r="BA429" s="1388"/>
      <c r="BB429" s="1388"/>
      <c r="BC429" s="1388"/>
      <c r="BD429" s="1388"/>
      <c r="BE429" s="1388"/>
      <c r="BF429" s="1388"/>
      <c r="BG429" s="1388"/>
      <c r="BH429" s="1388"/>
      <c r="BI429" s="1388"/>
      <c r="BJ429" s="1388"/>
      <c r="BK429" s="1388"/>
      <c r="BL429" s="1388"/>
      <c r="BM429" s="1388"/>
      <c r="BN429" s="1388"/>
      <c r="BO429" s="1388"/>
      <c r="BP429" s="1388"/>
      <c r="BQ429" s="1388"/>
      <c r="BR429" s="1388"/>
      <c r="BS429" s="1388"/>
      <c r="BT429" s="1388"/>
      <c r="BU429" s="1388"/>
      <c r="BV429" s="1388"/>
      <c r="BW429" s="1388"/>
      <c r="BX429" s="1388"/>
      <c r="BY429" s="1388"/>
      <c r="BZ429" s="1388"/>
      <c r="CA429" s="1388"/>
      <c r="CB429" s="1388"/>
      <c r="CC429" s="1388"/>
      <c r="CD429" s="1388"/>
      <c r="CE429" s="1388"/>
      <c r="CF429" s="1388"/>
      <c r="CG429" s="1388"/>
      <c r="CH429" s="1388"/>
      <c r="CI429" s="1388"/>
      <c r="CJ429" s="1388"/>
      <c r="CK429" s="503"/>
      <c r="CL429" s="2420"/>
      <c r="CM429" s="1388"/>
      <c r="CN429" s="1388"/>
      <c r="CO429" s="1587"/>
      <c r="CP429" s="2431">
        <f>+CP422-CP423-CP424-CP425-CP426</f>
        <v>-1.0000000000000009E-3</v>
      </c>
      <c r="CQ429" s="2421">
        <f t="shared" ref="CQ429:CW429" si="1515">+CQ422-CQ423-CQ424-CQ425</f>
        <v>1E-3</v>
      </c>
      <c r="CR429" s="2421">
        <f t="shared" si="1515"/>
        <v>2.0999999999999998E-2</v>
      </c>
      <c r="CS429" s="1569">
        <f t="shared" si="1515"/>
        <v>-6.000000000000001E-3</v>
      </c>
      <c r="CT429" s="943">
        <f t="shared" si="1515"/>
        <v>-6.9999999999999993E-3</v>
      </c>
      <c r="CU429" s="2421">
        <f t="shared" si="1515"/>
        <v>-1.7500000000000002E-2</v>
      </c>
      <c r="CV429" s="2421">
        <f t="shared" si="1515"/>
        <v>2.6000000000000002E-2</v>
      </c>
      <c r="CW429" s="1569">
        <f t="shared" si="1515"/>
        <v>2.2499999999999999E-2</v>
      </c>
      <c r="CX429" s="2433">
        <f>+CX422-SUM(CX423:CX428)</f>
        <v>1E-3</v>
      </c>
      <c r="CY429" s="2433">
        <f>+CY422-SUM(CY423:CY428)</f>
        <v>3.4999999999999996E-2</v>
      </c>
      <c r="CZ429" s="2433">
        <f>+CZ422-SUM(CZ423:CZ428)</f>
        <v>5.0000000000000001E-3</v>
      </c>
      <c r="DA429" s="2434">
        <f t="shared" ref="DA429:DD429" si="1516">+DA422+SUM(DA423:DA428)</f>
        <v>-1.7000000000000001E-2</v>
      </c>
      <c r="DB429" s="2435">
        <f t="shared" si="1516"/>
        <v>-1E-3</v>
      </c>
      <c r="DC429" s="2436">
        <f t="shared" si="1516"/>
        <v>8.0000000000000002E-3</v>
      </c>
      <c r="DD429" s="2436">
        <f t="shared" si="1516"/>
        <v>1.9999999999999997E-2</v>
      </c>
      <c r="DE429" s="2434">
        <f>+DE422+SUM(DE423:DE428)</f>
        <v>2.1000000000000005E-2</v>
      </c>
      <c r="DF429" s="2435">
        <f t="shared" ref="DF429:DJ429" si="1517">+DF422+SUM(DF423:DF428)</f>
        <v>1.4E-2</v>
      </c>
      <c r="DG429" s="2436">
        <f t="shared" si="1517"/>
        <v>5.3999999999999999E-2</v>
      </c>
      <c r="DH429" s="2436">
        <f t="shared" si="1517"/>
        <v>4.4999999999999998E-2</v>
      </c>
      <c r="DI429" s="2434">
        <f t="shared" si="1517"/>
        <v>0.09</v>
      </c>
      <c r="DJ429" s="2775">
        <f t="shared" si="1517"/>
        <v>3.5492354524772493E-2</v>
      </c>
      <c r="DK429" s="2436">
        <f t="shared" ref="DK429:DL429" si="1518">+DK422+SUM(DK423:DK428)</f>
        <v>1.8262936943907158E-2</v>
      </c>
      <c r="DL429" s="2436">
        <f t="shared" si="1518"/>
        <v>1.5417252888211051E-2</v>
      </c>
      <c r="DM429" s="2615">
        <f t="shared" ref="DM429" si="1519">+DM422+SUM(DM423:DM428)</f>
        <v>-1.5540498702366484E-2</v>
      </c>
      <c r="DN429" s="943"/>
      <c r="DO429" s="1388"/>
      <c r="DP429" s="1388"/>
      <c r="DQ429" s="1388"/>
      <c r="DR429" s="1388"/>
      <c r="DS429" s="1388"/>
      <c r="DT429" s="1388"/>
      <c r="DU429" s="1388"/>
      <c r="DV429" s="1388"/>
      <c r="DW429" s="1388"/>
      <c r="DX429" s="1388"/>
      <c r="DY429" s="1388"/>
      <c r="DZ429" s="1388"/>
      <c r="EA429" s="1388"/>
      <c r="EB429" s="1388"/>
      <c r="EC429" s="1388"/>
      <c r="ED429" s="1388"/>
      <c r="EE429" s="1388"/>
      <c r="EF429" s="1388"/>
      <c r="EG429" s="1388"/>
      <c r="EH429" s="1388"/>
      <c r="EI429" s="1388"/>
      <c r="EJ429" s="1388"/>
      <c r="EK429" s="1388"/>
      <c r="EL429" s="1388"/>
      <c r="EM429" s="1388"/>
      <c r="EN429" s="1388"/>
      <c r="EO429" s="1388"/>
      <c r="EP429" s="1388"/>
      <c r="EQ429" s="1388"/>
      <c r="ER429" s="1388"/>
      <c r="ES429" s="1388"/>
      <c r="ET429" s="1388"/>
      <c r="EU429" s="1388"/>
      <c r="EV429" s="1388"/>
      <c r="EW429" s="1388"/>
      <c r="EX429" s="51"/>
      <c r="EY429" s="51"/>
      <c r="EZ429" s="1388"/>
      <c r="FA429" s="1388"/>
      <c r="FB429" s="1388"/>
      <c r="FC429" s="1388"/>
      <c r="FD429" s="1388"/>
      <c r="FE429" s="1388"/>
      <c r="FF429" s="1388"/>
      <c r="FG429" s="1388"/>
      <c r="FH429" s="1388"/>
      <c r="FI429" s="51"/>
      <c r="FP429" s="1388"/>
      <c r="FQ429" s="1388"/>
      <c r="FR429" s="1388"/>
      <c r="FS429" s="1435"/>
      <c r="FT429" s="1435"/>
      <c r="FU429" s="1388"/>
      <c r="FV429" s="1388"/>
      <c r="FW429" s="1435"/>
      <c r="FX429" s="1435"/>
    </row>
    <row r="430" spans="1:180" ht="12.75" customHeight="1" x14ac:dyDescent="0.2">
      <c r="A430" s="1388"/>
      <c r="B430" s="1388"/>
      <c r="C430" s="1388"/>
      <c r="D430" s="1388"/>
      <c r="E430" s="1388"/>
      <c r="F430" s="1388"/>
      <c r="G430" s="1388"/>
      <c r="H430" s="1388"/>
      <c r="I430" s="1388"/>
      <c r="J430" s="1388"/>
      <c r="K430" s="1388"/>
      <c r="L430" s="1388"/>
      <c r="M430" s="1388"/>
      <c r="N430" s="1388"/>
      <c r="O430" s="1388"/>
      <c r="P430" s="1388"/>
      <c r="Q430" s="1388"/>
      <c r="R430" s="1388"/>
      <c r="S430" s="1388"/>
      <c r="T430" s="1388"/>
      <c r="U430" s="1388"/>
      <c r="V430" s="1388"/>
      <c r="W430" s="1388"/>
      <c r="X430" s="1388"/>
      <c r="Y430" s="1388"/>
      <c r="Z430" s="1388"/>
      <c r="AA430" s="1388"/>
      <c r="AB430" s="1388"/>
      <c r="AC430" s="1388"/>
      <c r="AD430" s="1388"/>
      <c r="AE430" s="1388"/>
      <c r="AF430" s="1388"/>
      <c r="AG430" s="1388"/>
      <c r="AH430" s="1388"/>
      <c r="AI430" s="1388"/>
      <c r="AJ430" s="1388"/>
      <c r="AK430" s="1388"/>
      <c r="AL430" s="1388"/>
      <c r="AM430" s="1388"/>
      <c r="AN430" s="1388"/>
      <c r="AO430" s="1388"/>
      <c r="AP430" s="1388"/>
      <c r="AQ430" s="1388"/>
      <c r="AR430" s="1388"/>
      <c r="AS430" s="1388"/>
      <c r="AT430" s="1388"/>
      <c r="AU430" s="1388"/>
      <c r="AV430" s="1388"/>
      <c r="AW430" s="1388"/>
      <c r="AX430" s="1388"/>
      <c r="AY430" s="1388"/>
      <c r="AZ430" s="1388"/>
      <c r="BA430" s="1388"/>
      <c r="BB430" s="1388"/>
      <c r="BC430" s="1388"/>
      <c r="BD430" s="1388"/>
      <c r="BE430" s="1388"/>
      <c r="BF430" s="1388"/>
      <c r="BG430" s="1388"/>
      <c r="BH430" s="1388"/>
      <c r="BI430" s="1388"/>
      <c r="BJ430" s="1388"/>
      <c r="BK430" s="1388"/>
      <c r="BL430" s="1388"/>
      <c r="BM430" s="1388"/>
      <c r="BN430" s="1388"/>
      <c r="BO430" s="1388"/>
      <c r="BP430" s="1388"/>
      <c r="BQ430" s="1388"/>
      <c r="BR430" s="1388"/>
      <c r="BS430" s="1388"/>
      <c r="BT430" s="1388"/>
      <c r="BU430" s="1388"/>
      <c r="BV430" s="1388"/>
      <c r="BW430" s="1388"/>
      <c r="BX430" s="1388"/>
      <c r="BY430" s="1388"/>
      <c r="BZ430" s="1388"/>
      <c r="CA430" s="1388"/>
      <c r="CB430" s="1388"/>
      <c r="CC430" s="1388"/>
      <c r="CD430" s="1388"/>
      <c r="CE430" s="1388"/>
      <c r="CF430" s="1388"/>
      <c r="CG430" s="1388"/>
      <c r="CH430" s="1388"/>
      <c r="CI430" s="1388"/>
      <c r="CJ430" s="1388"/>
      <c r="CK430" s="503"/>
      <c r="CL430" s="1648"/>
      <c r="CM430" s="1388"/>
      <c r="CN430" s="1388"/>
      <c r="CO430" s="1587"/>
      <c r="CP430" s="1522"/>
      <c r="CQ430" s="1388"/>
      <c r="CR430" s="1388"/>
      <c r="CS430" s="1569"/>
      <c r="CT430" s="943"/>
      <c r="CU430" s="1388"/>
      <c r="CV430" s="1388"/>
      <c r="CW430" s="1569"/>
      <c r="CX430" s="943"/>
      <c r="CY430" s="1388"/>
      <c r="CZ430" s="1388"/>
      <c r="DA430" s="1569"/>
      <c r="DB430" s="943"/>
      <c r="DC430" s="1388"/>
      <c r="DD430" s="1388"/>
      <c r="DE430" s="1569"/>
      <c r="DF430" s="943"/>
      <c r="DG430" s="1388"/>
      <c r="DH430" s="1388"/>
      <c r="DI430" s="1569"/>
      <c r="DJ430" s="1506"/>
      <c r="DK430" s="1506"/>
      <c r="DL430" s="1506"/>
      <c r="DM430" s="1506"/>
      <c r="DN430" s="943"/>
      <c r="DO430" s="1388"/>
      <c r="DP430" s="1388"/>
      <c r="DQ430" s="1388"/>
      <c r="DR430" s="1388"/>
      <c r="DS430" s="1388"/>
      <c r="DT430" s="1388"/>
      <c r="DU430" s="1388"/>
      <c r="DV430" s="1388"/>
      <c r="DW430" s="1388"/>
      <c r="DX430" s="1388"/>
      <c r="DY430" s="1388"/>
      <c r="DZ430" s="1388"/>
      <c r="EA430" s="1388"/>
      <c r="EB430" s="1388"/>
      <c r="EC430" s="1388"/>
      <c r="ED430" s="1388"/>
      <c r="EE430" s="1388"/>
      <c r="EF430" s="1388"/>
      <c r="EG430" s="1388"/>
      <c r="EH430" s="1388"/>
      <c r="EI430" s="1388"/>
      <c r="EJ430" s="1388"/>
      <c r="EK430" s="1388"/>
      <c r="EL430" s="1388"/>
      <c r="EM430" s="1388"/>
      <c r="EN430" s="1388"/>
      <c r="EO430" s="1388"/>
      <c r="EP430" s="1388"/>
      <c r="EQ430" s="1388"/>
      <c r="ER430" s="1388"/>
      <c r="ES430" s="1388"/>
      <c r="ET430" s="1388"/>
      <c r="EU430" s="1388"/>
      <c r="EV430" s="1388"/>
      <c r="EW430" s="1388"/>
      <c r="EX430" s="51"/>
      <c r="EY430" s="51"/>
      <c r="EZ430" s="1388"/>
      <c r="FA430" s="1388"/>
      <c r="FB430" s="1388"/>
      <c r="FC430" s="1388"/>
      <c r="FD430" s="1388"/>
      <c r="FE430" s="1388"/>
      <c r="FF430" s="1388"/>
      <c r="FG430" s="1388"/>
      <c r="FH430" s="1388"/>
      <c r="FI430" s="51"/>
      <c r="FP430" s="1388"/>
      <c r="FQ430" s="1388"/>
      <c r="FR430" s="1388"/>
      <c r="FS430" s="1435"/>
      <c r="FT430" s="1435"/>
      <c r="FU430" s="1388"/>
      <c r="FV430" s="1388"/>
      <c r="FW430" s="1435"/>
      <c r="FX430" s="1435"/>
    </row>
    <row r="431" spans="1:180" ht="11.25" customHeight="1" x14ac:dyDescent="0.2">
      <c r="A431" s="1388"/>
      <c r="B431" s="1388"/>
      <c r="C431" s="1388"/>
      <c r="D431" s="1388"/>
      <c r="E431" s="1388"/>
      <c r="F431" s="1388"/>
      <c r="G431" s="1388"/>
      <c r="H431" s="1388"/>
      <c r="I431" s="1388"/>
      <c r="J431" s="1388"/>
      <c r="K431" s="1388"/>
      <c r="L431" s="1388"/>
      <c r="M431" s="1388"/>
      <c r="N431" s="1388"/>
      <c r="O431" s="1388"/>
      <c r="P431" s="1388"/>
      <c r="Q431" s="1388"/>
      <c r="R431" s="1388"/>
      <c r="S431" s="1388"/>
      <c r="T431" s="1388"/>
      <c r="U431" s="1388"/>
      <c r="V431" s="1388"/>
      <c r="W431" s="1388"/>
      <c r="X431" s="1388"/>
      <c r="Y431" s="1388"/>
      <c r="Z431" s="1388"/>
      <c r="AA431" s="1388"/>
      <c r="AB431" s="1388"/>
      <c r="AC431" s="1388"/>
      <c r="AD431" s="1388"/>
      <c r="AE431" s="1388"/>
      <c r="AF431" s="1388"/>
      <c r="AG431" s="1388"/>
      <c r="AH431" s="1388"/>
      <c r="AI431" s="1388"/>
      <c r="AJ431" s="1388"/>
      <c r="AK431" s="1388"/>
      <c r="AL431" s="1388"/>
      <c r="AM431" s="1388"/>
      <c r="AN431" s="1388"/>
      <c r="AO431" s="1388"/>
      <c r="AP431" s="1388"/>
      <c r="AQ431" s="1388"/>
      <c r="AR431" s="1388"/>
      <c r="AS431" s="1388"/>
      <c r="AT431" s="1388"/>
      <c r="AU431" s="1388"/>
      <c r="AV431" s="1388"/>
      <c r="AW431" s="1388"/>
      <c r="AX431" s="1388"/>
      <c r="AY431" s="1388"/>
      <c r="AZ431" s="1388"/>
      <c r="BA431" s="1388"/>
      <c r="BB431" s="1388"/>
      <c r="BC431" s="1388"/>
      <c r="BD431" s="1388"/>
      <c r="BE431" s="1388"/>
      <c r="BF431" s="1388"/>
      <c r="BG431" s="1388"/>
      <c r="BH431" s="1388"/>
      <c r="BI431" s="1388"/>
      <c r="BJ431" s="1388"/>
      <c r="BK431" s="1388"/>
      <c r="BL431" s="1388"/>
      <c r="BM431" s="1388"/>
      <c r="BN431" s="1388"/>
      <c r="BO431" s="1388"/>
      <c r="BP431" s="1388"/>
      <c r="BQ431" s="1388"/>
      <c r="BR431" s="1388"/>
      <c r="BS431" s="1388"/>
      <c r="BT431" s="1388"/>
      <c r="BU431" s="1388"/>
      <c r="BV431" s="1388"/>
      <c r="BW431" s="1388"/>
      <c r="BX431" s="1388"/>
      <c r="BY431" s="1388"/>
      <c r="BZ431" s="1388"/>
      <c r="CA431" s="1388"/>
      <c r="CB431" s="1388"/>
      <c r="CC431" s="1388"/>
      <c r="CD431" s="1388"/>
      <c r="CE431" s="1388"/>
      <c r="CF431" s="1388"/>
      <c r="CG431" s="1388"/>
      <c r="CH431" s="1388"/>
      <c r="CI431" s="1388"/>
      <c r="CJ431" s="1388"/>
      <c r="CK431" s="1388"/>
      <c r="CL431" s="1388"/>
      <c r="CM431" s="1388"/>
      <c r="CN431" s="1388"/>
      <c r="CO431" s="1388"/>
      <c r="CP431" s="1388"/>
      <c r="CQ431" s="1388"/>
      <c r="CR431" s="1388"/>
      <c r="CS431" s="1388"/>
      <c r="CT431" s="1388"/>
      <c r="CU431" s="1388"/>
      <c r="CV431" s="1388"/>
      <c r="CW431" s="1388"/>
      <c r="CX431" s="1388"/>
      <c r="CY431" s="1388"/>
      <c r="CZ431" s="1388"/>
      <c r="DA431" s="1388"/>
      <c r="DB431" s="1388"/>
      <c r="DC431" s="1388"/>
      <c r="DD431" s="1388"/>
      <c r="DE431" s="1388"/>
      <c r="DF431" s="1388"/>
      <c r="DG431" s="1388"/>
      <c r="DH431" s="1388"/>
      <c r="DI431" s="1388"/>
      <c r="DJ431" s="1474"/>
      <c r="DK431" s="1388"/>
      <c r="DL431" s="1388"/>
      <c r="DM431" s="1388"/>
      <c r="DN431" s="1388"/>
      <c r="DO431" s="1388"/>
      <c r="DP431" s="1388"/>
      <c r="DQ431" s="1388"/>
      <c r="DR431" s="1388"/>
      <c r="DS431" s="1388"/>
      <c r="DT431" s="1388"/>
      <c r="DU431" s="1388"/>
      <c r="DV431" s="1388"/>
      <c r="DW431" s="1388"/>
      <c r="DX431" s="1388"/>
      <c r="DY431" s="1388"/>
      <c r="DZ431" s="1388"/>
      <c r="EA431" s="1388"/>
      <c r="EB431" s="1388"/>
      <c r="EC431" s="1388"/>
      <c r="ED431" s="1388"/>
      <c r="EE431" s="1388"/>
      <c r="EF431" s="1388"/>
      <c r="EG431" s="1388"/>
      <c r="EH431" s="1388"/>
      <c r="EI431" s="1388"/>
      <c r="EJ431" s="1388"/>
      <c r="EK431" s="1388"/>
      <c r="EL431" s="1388"/>
      <c r="EM431" s="1388"/>
      <c r="EN431" s="1388"/>
      <c r="EO431" s="1388"/>
      <c r="EP431" s="1388"/>
      <c r="EQ431" s="1388"/>
      <c r="ER431" s="1388"/>
      <c r="ES431" s="1388"/>
      <c r="ET431" s="1388"/>
      <c r="EU431" s="1388"/>
      <c r="EV431" s="1388"/>
      <c r="EW431" s="1388"/>
      <c r="EX431" s="51"/>
      <c r="EY431" s="51"/>
      <c r="EZ431" s="1388"/>
      <c r="FA431" s="1388"/>
      <c r="FB431" s="1388"/>
      <c r="FC431" s="1388"/>
      <c r="FD431" s="1388"/>
      <c r="FE431" s="1388"/>
      <c r="FF431" s="1388"/>
      <c r="FG431" s="1388"/>
      <c r="FH431" s="1388"/>
      <c r="FI431" s="51"/>
      <c r="FP431" s="1388"/>
      <c r="FQ431" s="1388"/>
      <c r="FR431" s="1388"/>
      <c r="FS431" s="1435"/>
      <c r="FT431" s="1435"/>
      <c r="FU431" s="1388"/>
      <c r="FV431" s="1388"/>
      <c r="FW431" s="1435"/>
      <c r="FX431" s="1435"/>
    </row>
    <row r="432" spans="1:180" ht="11.25" customHeight="1" x14ac:dyDescent="0.2">
      <c r="A432" s="1388" t="s">
        <v>720</v>
      </c>
      <c r="B432" s="1388"/>
      <c r="C432" s="1388"/>
      <c r="D432" s="1388"/>
      <c r="E432" s="1388"/>
      <c r="F432" s="1388"/>
      <c r="G432" s="1388"/>
      <c r="H432" s="1388"/>
      <c r="I432" s="1388"/>
      <c r="J432" s="1388"/>
      <c r="K432" s="1388"/>
      <c r="L432" s="1388"/>
      <c r="M432" s="1388"/>
      <c r="N432" s="1388"/>
      <c r="O432" s="1388"/>
      <c r="P432" s="1388"/>
      <c r="Q432" s="1388"/>
      <c r="R432" s="1388"/>
      <c r="S432" s="1388"/>
      <c r="T432" s="1388"/>
      <c r="U432" s="1388"/>
      <c r="V432" s="1388"/>
      <c r="W432" s="1388"/>
      <c r="X432" s="1388"/>
      <c r="Y432" s="1388"/>
      <c r="Z432" s="1388"/>
      <c r="AA432" s="1388"/>
      <c r="AB432" s="1388"/>
      <c r="AC432" s="1388"/>
      <c r="AD432" s="1388"/>
      <c r="AE432" s="1388"/>
      <c r="AF432" s="1388"/>
      <c r="AG432" s="1388"/>
      <c r="AH432" s="1388"/>
      <c r="AI432" s="1388"/>
      <c r="AJ432" s="1388"/>
      <c r="AK432" s="1388"/>
      <c r="AL432" s="1388"/>
      <c r="AM432" s="1388"/>
      <c r="AN432" s="1388"/>
      <c r="AO432" s="1388"/>
      <c r="AP432" s="1388"/>
      <c r="AQ432" s="1388"/>
      <c r="AR432" s="1388"/>
      <c r="AS432" s="1388"/>
      <c r="AT432" s="1388"/>
      <c r="AU432" s="1388"/>
      <c r="AV432" s="1388"/>
      <c r="AW432" s="1388"/>
      <c r="AX432" s="1388"/>
      <c r="AY432" s="1388"/>
      <c r="AZ432" s="1388"/>
      <c r="BA432" s="1388"/>
      <c r="BB432" s="1388"/>
      <c r="BC432" s="1388"/>
      <c r="BD432" s="1388"/>
      <c r="BE432" s="1388"/>
      <c r="BF432" s="1388"/>
      <c r="BG432" s="1388"/>
      <c r="BH432" s="1388"/>
      <c r="BI432" s="1388"/>
      <c r="BJ432" s="1388"/>
      <c r="BK432" s="1388"/>
      <c r="BL432" s="1388"/>
      <c r="BM432" s="1388"/>
      <c r="BN432" s="1388"/>
      <c r="BO432" s="1388"/>
      <c r="BP432" s="1388"/>
      <c r="BQ432" s="1388"/>
      <c r="BR432" s="1388"/>
      <c r="BS432" s="1388"/>
      <c r="BT432" s="1388"/>
      <c r="BU432" s="1388"/>
      <c r="BV432" s="1388"/>
      <c r="BW432" s="1388"/>
      <c r="BX432" s="1388"/>
      <c r="BY432" s="1388"/>
      <c r="BZ432" s="1388"/>
      <c r="CA432" s="1388"/>
      <c r="CB432" s="1388"/>
      <c r="CC432" s="1388"/>
      <c r="CD432" s="1388"/>
      <c r="CE432" s="1388"/>
      <c r="CF432" s="1388"/>
      <c r="CG432" s="1388"/>
      <c r="CH432" s="1388"/>
      <c r="CI432" s="1388"/>
      <c r="CJ432" s="1388"/>
      <c r="CK432" s="1388"/>
      <c r="CL432" s="1388"/>
      <c r="CM432" s="1388"/>
      <c r="CN432" s="1388"/>
      <c r="CO432" s="1388"/>
      <c r="CP432" s="1388"/>
      <c r="CQ432" s="1388"/>
      <c r="CR432" s="1388"/>
      <c r="CS432" s="1388"/>
      <c r="CT432" s="1388"/>
      <c r="CU432" s="1388"/>
      <c r="CV432" s="1388"/>
      <c r="CW432" s="1388"/>
      <c r="CX432" s="2437"/>
      <c r="CY432" s="2437"/>
      <c r="CZ432" s="2437"/>
      <c r="DA432" s="2437">
        <v>106</v>
      </c>
      <c r="DB432" s="2437"/>
      <c r="DC432" s="2437"/>
      <c r="DD432" s="2437"/>
      <c r="DE432" s="2437">
        <v>74</v>
      </c>
      <c r="DF432" s="1388"/>
      <c r="DG432" s="1388"/>
      <c r="DH432" s="1388"/>
      <c r="DI432" s="2437"/>
      <c r="DJ432" s="1474"/>
      <c r="DK432" s="1388"/>
      <c r="DL432" s="1388"/>
      <c r="DM432" s="1388"/>
      <c r="DN432" s="1388"/>
      <c r="DO432" s="1388"/>
      <c r="DP432" s="1388"/>
      <c r="DQ432" s="1388"/>
      <c r="DR432" s="1388"/>
      <c r="DS432" s="1388"/>
      <c r="DT432" s="1388"/>
      <c r="DU432" s="1388"/>
      <c r="DV432" s="1388"/>
      <c r="DW432" s="1388"/>
      <c r="DX432" s="1388"/>
      <c r="DY432" s="1388"/>
      <c r="DZ432" s="1388"/>
      <c r="EA432" s="1388"/>
      <c r="EB432" s="1388"/>
      <c r="EC432" s="1388"/>
      <c r="ED432" s="1388"/>
      <c r="EE432" s="1388"/>
      <c r="EF432" s="1388"/>
      <c r="EG432" s="1388"/>
      <c r="EH432" s="1388"/>
      <c r="EI432" s="1388"/>
      <c r="EJ432" s="1388"/>
      <c r="EK432" s="1388"/>
      <c r="EL432" s="1388"/>
      <c r="EM432" s="1388"/>
      <c r="EN432" s="1388"/>
      <c r="EO432" s="1388"/>
      <c r="EP432" s="1388"/>
      <c r="EQ432" s="1388"/>
      <c r="ER432" s="1388"/>
      <c r="ES432" s="1388"/>
      <c r="ET432" s="1388"/>
      <c r="EU432" s="1388"/>
      <c r="EV432" s="1388"/>
      <c r="EW432" s="2437">
        <v>148</v>
      </c>
      <c r="EX432" s="2437"/>
      <c r="EY432" s="2437"/>
      <c r="EZ432" s="1388"/>
      <c r="FA432" s="1388"/>
      <c r="FB432" s="1388"/>
      <c r="FC432" s="1388"/>
      <c r="FD432" s="1388"/>
      <c r="FE432" s="1388"/>
      <c r="FF432" s="1388"/>
      <c r="FG432" s="1388"/>
      <c r="FH432" s="1388"/>
      <c r="FI432" s="51"/>
      <c r="FP432" s="1388"/>
      <c r="FQ432" s="1388"/>
      <c r="FR432" s="1388"/>
      <c r="FS432" s="1435"/>
      <c r="FT432" s="1435"/>
      <c r="FU432" s="1388"/>
      <c r="FV432" s="1388"/>
      <c r="FW432" s="1435"/>
      <c r="FX432" s="1435"/>
    </row>
    <row r="433" spans="1:180" ht="11.25" customHeight="1" x14ac:dyDescent="0.2">
      <c r="A433" s="1388" t="s">
        <v>722</v>
      </c>
      <c r="B433" s="1388"/>
      <c r="C433" s="1388"/>
      <c r="D433" s="1388"/>
      <c r="E433" s="1388"/>
      <c r="F433" s="1388"/>
      <c r="G433" s="1388"/>
      <c r="H433" s="1388"/>
      <c r="I433" s="1388"/>
      <c r="J433" s="1388"/>
      <c r="K433" s="1388"/>
      <c r="L433" s="1388"/>
      <c r="M433" s="1388"/>
      <c r="N433" s="1388"/>
      <c r="O433" s="1388"/>
      <c r="P433" s="1388"/>
      <c r="Q433" s="1388"/>
      <c r="R433" s="1388"/>
      <c r="S433" s="1388"/>
      <c r="T433" s="1388"/>
      <c r="U433" s="1388"/>
      <c r="V433" s="1388"/>
      <c r="W433" s="1388"/>
      <c r="X433" s="1388"/>
      <c r="Y433" s="1388"/>
      <c r="Z433" s="1388"/>
      <c r="AA433" s="1388"/>
      <c r="AB433" s="1388"/>
      <c r="AC433" s="1388"/>
      <c r="AD433" s="1388"/>
      <c r="AE433" s="1388"/>
      <c r="AF433" s="1388"/>
      <c r="AG433" s="1388"/>
      <c r="AH433" s="1388"/>
      <c r="AI433" s="1388"/>
      <c r="AJ433" s="1388"/>
      <c r="AK433" s="1388"/>
      <c r="AL433" s="1388"/>
      <c r="AM433" s="1388"/>
      <c r="AN433" s="1388"/>
      <c r="AO433" s="1388"/>
      <c r="AP433" s="1388"/>
      <c r="AQ433" s="1388"/>
      <c r="AR433" s="1388"/>
      <c r="AS433" s="1388"/>
      <c r="AT433" s="1388"/>
      <c r="AU433" s="1388"/>
      <c r="AV433" s="1388"/>
      <c r="AW433" s="1388"/>
      <c r="AX433" s="1388"/>
      <c r="AY433" s="1388"/>
      <c r="AZ433" s="1388"/>
      <c r="BA433" s="1388"/>
      <c r="BB433" s="1388"/>
      <c r="BC433" s="1388"/>
      <c r="BD433" s="1388"/>
      <c r="BE433" s="1388"/>
      <c r="BF433" s="1388"/>
      <c r="BG433" s="1388"/>
      <c r="BH433" s="1388"/>
      <c r="BI433" s="1388"/>
      <c r="BJ433" s="1388"/>
      <c r="BK433" s="1388"/>
      <c r="BL433" s="1388"/>
      <c r="BM433" s="1388"/>
      <c r="BN433" s="1388"/>
      <c r="BO433" s="1388"/>
      <c r="BP433" s="1388"/>
      <c r="BQ433" s="1388"/>
      <c r="BR433" s="1388"/>
      <c r="BS433" s="1388"/>
      <c r="BT433" s="1388"/>
      <c r="BU433" s="1388"/>
      <c r="BV433" s="1388"/>
      <c r="BW433" s="1388"/>
      <c r="BX433" s="1388"/>
      <c r="BY433" s="1388"/>
      <c r="BZ433" s="1388"/>
      <c r="CA433" s="1388"/>
      <c r="CB433" s="1388"/>
      <c r="CC433" s="1388"/>
      <c r="CD433" s="1388"/>
      <c r="CE433" s="1388"/>
      <c r="CF433" s="1388"/>
      <c r="CG433" s="1388"/>
      <c r="CH433" s="1388"/>
      <c r="CI433" s="1388"/>
      <c r="CJ433" s="1388"/>
      <c r="CK433" s="1388"/>
      <c r="CL433" s="1388"/>
      <c r="CM433" s="1388"/>
      <c r="CN433" s="1388"/>
      <c r="CO433" s="1388"/>
      <c r="CP433" s="1388"/>
      <c r="CQ433" s="1388"/>
      <c r="CR433" s="1388"/>
      <c r="CS433" s="1388"/>
      <c r="CT433" s="1388"/>
      <c r="CU433" s="1388"/>
      <c r="CV433" s="1388"/>
      <c r="CW433" s="1388"/>
      <c r="CX433" s="2437"/>
      <c r="CY433" s="2437"/>
      <c r="CZ433" s="2437"/>
      <c r="DA433" s="2437">
        <v>0</v>
      </c>
      <c r="DB433" s="2437">
        <v>15</v>
      </c>
      <c r="DC433" s="2437"/>
      <c r="DD433" s="2437"/>
      <c r="DE433" s="2437">
        <v>10</v>
      </c>
      <c r="DF433" s="1388"/>
      <c r="DG433" s="1388"/>
      <c r="DH433" s="1388"/>
      <c r="DI433" s="2437"/>
      <c r="DJ433" s="1474"/>
      <c r="DK433" s="1388"/>
      <c r="DL433" s="1388"/>
      <c r="DM433" s="1388"/>
      <c r="DN433" s="1388"/>
      <c r="DO433" s="1388"/>
      <c r="DP433" s="1388"/>
      <c r="DQ433" s="1388"/>
      <c r="DR433" s="1388"/>
      <c r="DS433" s="1388"/>
      <c r="DT433" s="1388"/>
      <c r="DU433" s="1388"/>
      <c r="DV433" s="1388"/>
      <c r="DW433" s="1388"/>
      <c r="DX433" s="1388"/>
      <c r="DY433" s="1388"/>
      <c r="DZ433" s="1388"/>
      <c r="EA433" s="1388"/>
      <c r="EB433" s="1388"/>
      <c r="EC433" s="1388"/>
      <c r="ED433" s="1388"/>
      <c r="EE433" s="1388"/>
      <c r="EF433" s="1388"/>
      <c r="EG433" s="1388"/>
      <c r="EH433" s="1388"/>
      <c r="EI433" s="1388"/>
      <c r="EJ433" s="1388"/>
      <c r="EK433" s="1388"/>
      <c r="EL433" s="1388"/>
      <c r="EM433" s="1388"/>
      <c r="EN433" s="1388"/>
      <c r="EO433" s="1388"/>
      <c r="EP433" s="1388"/>
      <c r="EQ433" s="1388"/>
      <c r="ER433" s="1388"/>
      <c r="ES433" s="1388"/>
      <c r="ET433" s="1388"/>
      <c r="EU433" s="1388"/>
      <c r="EV433" s="1388"/>
      <c r="EW433" s="2437"/>
      <c r="EX433" s="2437"/>
      <c r="EY433" s="2437"/>
      <c r="EZ433" s="1388"/>
      <c r="FA433" s="1388"/>
      <c r="FB433" s="1388"/>
      <c r="FC433" s="1388"/>
      <c r="FD433" s="1388"/>
      <c r="FE433" s="1388"/>
      <c r="FF433" s="1388"/>
      <c r="FG433" s="1388"/>
      <c r="FH433" s="1388"/>
      <c r="FI433" s="51"/>
      <c r="FP433" s="1388"/>
      <c r="FQ433" s="1388"/>
      <c r="FR433" s="1388"/>
      <c r="FS433" s="1435"/>
      <c r="FT433" s="1435"/>
      <c r="FU433" s="1388"/>
      <c r="FV433" s="1388"/>
      <c r="FW433" s="1435"/>
      <c r="FX433" s="1435"/>
    </row>
    <row r="434" spans="1:180" ht="11.25" customHeight="1" x14ac:dyDescent="0.2">
      <c r="A434" s="1388" t="s">
        <v>724</v>
      </c>
      <c r="B434" s="1388"/>
      <c r="C434" s="1388"/>
      <c r="D434" s="1388"/>
      <c r="E434" s="1388"/>
      <c r="F434" s="1388"/>
      <c r="G434" s="1388"/>
      <c r="H434" s="1388"/>
      <c r="I434" s="1388"/>
      <c r="J434" s="1388"/>
      <c r="K434" s="1388"/>
      <c r="L434" s="1388"/>
      <c r="M434" s="1388"/>
      <c r="N434" s="1388"/>
      <c r="O434" s="1388"/>
      <c r="P434" s="1388"/>
      <c r="Q434" s="1388"/>
      <c r="R434" s="1388"/>
      <c r="S434" s="1388"/>
      <c r="T434" s="1388"/>
      <c r="U434" s="1388"/>
      <c r="V434" s="1388"/>
      <c r="W434" s="1388"/>
      <c r="X434" s="1388"/>
      <c r="Y434" s="1388"/>
      <c r="Z434" s="1388"/>
      <c r="AA434" s="1388"/>
      <c r="AB434" s="1388"/>
      <c r="AC434" s="1388"/>
      <c r="AD434" s="1388"/>
      <c r="AE434" s="1388"/>
      <c r="AF434" s="1388"/>
      <c r="AG434" s="1388"/>
      <c r="AH434" s="1388"/>
      <c r="AI434" s="1388"/>
      <c r="AJ434" s="1388"/>
      <c r="AK434" s="1388"/>
      <c r="AL434" s="1388"/>
      <c r="AM434" s="1388"/>
      <c r="AN434" s="1388"/>
      <c r="AO434" s="1388"/>
      <c r="AP434" s="1388"/>
      <c r="AQ434" s="1388"/>
      <c r="AR434" s="1388"/>
      <c r="AS434" s="1388"/>
      <c r="AT434" s="1388"/>
      <c r="AU434" s="1388"/>
      <c r="AV434" s="1388"/>
      <c r="AW434" s="1388"/>
      <c r="AX434" s="1388"/>
      <c r="AY434" s="1388"/>
      <c r="AZ434" s="1388"/>
      <c r="BA434" s="1388"/>
      <c r="BB434" s="1388"/>
      <c r="BC434" s="1388"/>
      <c r="BD434" s="1388"/>
      <c r="BE434" s="1388"/>
      <c r="BF434" s="1388"/>
      <c r="BG434" s="1388"/>
      <c r="BH434" s="1388"/>
      <c r="BI434" s="1388"/>
      <c r="BJ434" s="1388"/>
      <c r="BK434" s="1388"/>
      <c r="BL434" s="1388"/>
      <c r="BM434" s="1388"/>
      <c r="BN434" s="1388"/>
      <c r="BO434" s="1388"/>
      <c r="BP434" s="1388"/>
      <c r="BQ434" s="1388"/>
      <c r="BR434" s="1388"/>
      <c r="BS434" s="1388"/>
      <c r="BT434" s="1388"/>
      <c r="BU434" s="1388"/>
      <c r="BV434" s="1388"/>
      <c r="BW434" s="1388"/>
      <c r="BX434" s="1388"/>
      <c r="BY434" s="1388"/>
      <c r="BZ434" s="1388"/>
      <c r="CA434" s="1388"/>
      <c r="CB434" s="1388"/>
      <c r="CC434" s="1388"/>
      <c r="CD434" s="1388"/>
      <c r="CE434" s="1388"/>
      <c r="CF434" s="1388"/>
      <c r="CG434" s="1388"/>
      <c r="CH434" s="1388"/>
      <c r="CI434" s="1388"/>
      <c r="CJ434" s="1388"/>
      <c r="CK434" s="1388"/>
      <c r="CL434" s="1388"/>
      <c r="CM434" s="1388"/>
      <c r="CN434" s="1388"/>
      <c r="CO434" s="1388"/>
      <c r="CP434" s="1388"/>
      <c r="CQ434" s="1388"/>
      <c r="CR434" s="1388"/>
      <c r="CS434" s="1388"/>
      <c r="CT434" s="1388"/>
      <c r="CU434" s="1388"/>
      <c r="CV434" s="1388"/>
      <c r="CW434" s="1388"/>
      <c r="CX434" s="2438">
        <f t="shared" ref="CX434:DD434" si="1520">SUM(CX432:CX433)</f>
        <v>0</v>
      </c>
      <c r="CY434" s="2438">
        <f t="shared" si="1520"/>
        <v>0</v>
      </c>
      <c r="CZ434" s="2438">
        <f t="shared" si="1520"/>
        <v>0</v>
      </c>
      <c r="DA434" s="2438">
        <f t="shared" si="1520"/>
        <v>106</v>
      </c>
      <c r="DB434" s="2438">
        <f t="shared" si="1520"/>
        <v>15</v>
      </c>
      <c r="DC434" s="2438">
        <f t="shared" si="1520"/>
        <v>0</v>
      </c>
      <c r="DD434" s="2438">
        <f t="shared" si="1520"/>
        <v>0</v>
      </c>
      <c r="DE434" s="2438">
        <f>SUM(DE432:DE433)</f>
        <v>84</v>
      </c>
      <c r="DF434" s="2438">
        <f t="shared" ref="DF434:DI434" si="1521">SUM(DF432:DF433)</f>
        <v>0</v>
      </c>
      <c r="DG434" s="2438">
        <f t="shared" si="1521"/>
        <v>0</v>
      </c>
      <c r="DH434" s="2438">
        <f t="shared" si="1521"/>
        <v>0</v>
      </c>
      <c r="DI434" s="2438">
        <f t="shared" si="1521"/>
        <v>0</v>
      </c>
      <c r="DJ434" s="2438"/>
      <c r="DK434" s="2603"/>
      <c r="DL434" s="2603"/>
      <c r="DM434" s="2603"/>
      <c r="DN434" s="1388"/>
      <c r="DO434" s="1388"/>
      <c r="DP434" s="1388"/>
      <c r="DQ434" s="1388"/>
      <c r="DR434" s="1388"/>
      <c r="DS434" s="1388"/>
      <c r="DT434" s="1388"/>
      <c r="DU434" s="1388"/>
      <c r="DV434" s="1388"/>
      <c r="DW434" s="1388"/>
      <c r="DX434" s="1388"/>
      <c r="DY434" s="1388"/>
      <c r="DZ434" s="1388"/>
      <c r="EA434" s="1388"/>
      <c r="EB434" s="1388"/>
      <c r="EC434" s="1388"/>
      <c r="ED434" s="1388"/>
      <c r="EE434" s="1388"/>
      <c r="EF434" s="1388"/>
      <c r="EG434" s="1388"/>
      <c r="EH434" s="1388"/>
      <c r="EI434" s="1388"/>
      <c r="EJ434" s="1388"/>
      <c r="EK434" s="1388"/>
      <c r="EL434" s="1388"/>
      <c r="EM434" s="1388"/>
      <c r="EN434" s="1388"/>
      <c r="EO434" s="1388"/>
      <c r="EP434" s="1388"/>
      <c r="EQ434" s="1388"/>
      <c r="ER434" s="1388"/>
      <c r="ES434" s="1388"/>
      <c r="ET434" s="1388"/>
      <c r="EU434" s="1388"/>
      <c r="EV434" s="1388"/>
      <c r="EW434" s="2437"/>
      <c r="EX434" s="2437"/>
      <c r="EY434" s="2437"/>
      <c r="EZ434" s="1388"/>
      <c r="FA434" s="1388"/>
      <c r="FB434" s="1388"/>
      <c r="FC434" s="1388"/>
      <c r="FD434" s="1388"/>
      <c r="FE434" s="1388"/>
      <c r="FF434" s="1388"/>
      <c r="FG434" s="1388"/>
      <c r="FH434" s="1388"/>
      <c r="FI434" s="51"/>
      <c r="FP434" s="1388"/>
      <c r="FQ434" s="1388"/>
      <c r="FR434" s="1388"/>
      <c r="FS434" s="1435"/>
      <c r="FT434" s="1435"/>
      <c r="FU434" s="1388"/>
      <c r="FV434" s="1388"/>
      <c r="FW434" s="1435"/>
      <c r="FX434" s="1435"/>
    </row>
    <row r="435" spans="1:180" ht="11.25" customHeight="1" x14ac:dyDescent="0.2">
      <c r="A435" s="1388"/>
      <c r="B435" s="1388"/>
      <c r="C435" s="1388"/>
      <c r="D435" s="1388"/>
      <c r="E435" s="1388"/>
      <c r="F435" s="1388"/>
      <c r="G435" s="1388"/>
      <c r="H435" s="1388"/>
      <c r="I435" s="1388"/>
      <c r="J435" s="1388"/>
      <c r="K435" s="1388"/>
      <c r="L435" s="1388"/>
      <c r="M435" s="1388"/>
      <c r="N435" s="1388"/>
      <c r="O435" s="1388"/>
      <c r="P435" s="1388"/>
      <c r="Q435" s="1388"/>
      <c r="R435" s="1388"/>
      <c r="S435" s="1388"/>
      <c r="T435" s="1388"/>
      <c r="U435" s="1388"/>
      <c r="V435" s="1388"/>
      <c r="W435" s="1388"/>
      <c r="X435" s="1388"/>
      <c r="Y435" s="1388"/>
      <c r="Z435" s="1388"/>
      <c r="AA435" s="1388"/>
      <c r="AB435" s="1388"/>
      <c r="AC435" s="1388"/>
      <c r="AD435" s="1388"/>
      <c r="AE435" s="1388"/>
      <c r="AF435" s="1388"/>
      <c r="AG435" s="1388"/>
      <c r="AH435" s="1388"/>
      <c r="AI435" s="1388"/>
      <c r="AJ435" s="1388"/>
      <c r="AK435" s="1388"/>
      <c r="AL435" s="1388"/>
      <c r="AM435" s="1388"/>
      <c r="AN435" s="1388"/>
      <c r="AO435" s="1388"/>
      <c r="AP435" s="1388"/>
      <c r="AQ435" s="1388"/>
      <c r="AR435" s="1388"/>
      <c r="AS435" s="1388"/>
      <c r="AT435" s="1388"/>
      <c r="AU435" s="1388"/>
      <c r="AV435" s="1388"/>
      <c r="AW435" s="1388"/>
      <c r="AX435" s="1388"/>
      <c r="AY435" s="1388"/>
      <c r="AZ435" s="1388"/>
      <c r="BA435" s="1388"/>
      <c r="BB435" s="1388"/>
      <c r="BC435" s="1388"/>
      <c r="BD435" s="1388"/>
      <c r="BE435" s="1388"/>
      <c r="BF435" s="1388"/>
      <c r="BG435" s="1388"/>
      <c r="BH435" s="1388"/>
      <c r="BI435" s="1388"/>
      <c r="BJ435" s="1388"/>
      <c r="BK435" s="1388"/>
      <c r="BL435" s="1388"/>
      <c r="BM435" s="1388"/>
      <c r="BN435" s="1388"/>
      <c r="BO435" s="1388"/>
      <c r="BP435" s="1388"/>
      <c r="BQ435" s="1388"/>
      <c r="BR435" s="1388"/>
      <c r="BS435" s="1388"/>
      <c r="BT435" s="1388"/>
      <c r="BU435" s="1388"/>
      <c r="BV435" s="1388"/>
      <c r="BW435" s="1388"/>
      <c r="BX435" s="1388"/>
      <c r="BY435" s="1388"/>
      <c r="BZ435" s="1388"/>
      <c r="CA435" s="1388"/>
      <c r="CB435" s="1388"/>
      <c r="CC435" s="1388"/>
      <c r="CD435" s="1388"/>
      <c r="CE435" s="1388"/>
      <c r="CF435" s="1388"/>
      <c r="CG435" s="1388"/>
      <c r="CH435" s="1388"/>
      <c r="CI435" s="1388"/>
      <c r="CJ435" s="1388"/>
      <c r="CK435" s="1388"/>
      <c r="CL435" s="1388"/>
      <c r="CM435" s="1388"/>
      <c r="CN435" s="1388"/>
      <c r="CO435" s="1388"/>
      <c r="CP435" s="1388"/>
      <c r="CQ435" s="1388"/>
      <c r="CR435" s="1388"/>
      <c r="CS435" s="1388"/>
      <c r="CT435" s="1388"/>
      <c r="CU435" s="1388"/>
      <c r="CV435" s="1388"/>
      <c r="CW435" s="1388"/>
      <c r="CX435" s="1388"/>
      <c r="CY435" s="1388"/>
      <c r="CZ435" s="1388"/>
      <c r="DA435" s="1388"/>
      <c r="DB435" s="1388"/>
      <c r="DC435" s="1388"/>
      <c r="DD435" s="1388"/>
      <c r="DE435" s="1388"/>
      <c r="DF435" s="1388"/>
      <c r="DG435" s="1388"/>
      <c r="DH435" s="1388"/>
      <c r="DI435" s="1388"/>
      <c r="DJ435" s="1474"/>
      <c r="DK435" s="1388"/>
      <c r="DL435" s="1388"/>
      <c r="DM435" s="1388"/>
      <c r="DN435" s="1388"/>
      <c r="DO435" s="1388"/>
      <c r="DP435" s="1388"/>
      <c r="DQ435" s="1388"/>
      <c r="DR435" s="1388"/>
      <c r="DS435" s="1388"/>
      <c r="DT435" s="1388"/>
      <c r="DU435" s="1388"/>
      <c r="DV435" s="1388"/>
      <c r="DW435" s="1388"/>
      <c r="DX435" s="1388"/>
      <c r="DY435" s="1388"/>
      <c r="DZ435" s="1388"/>
      <c r="EA435" s="1388"/>
      <c r="EB435" s="1388"/>
      <c r="EC435" s="1388"/>
      <c r="ED435" s="1388"/>
      <c r="EE435" s="1388"/>
      <c r="EF435" s="1388"/>
      <c r="EG435" s="1388"/>
      <c r="EH435" s="1388"/>
      <c r="EI435" s="1388"/>
      <c r="EJ435" s="1388"/>
      <c r="EK435" s="1388"/>
      <c r="EL435" s="1388"/>
      <c r="EM435" s="1388"/>
      <c r="EN435" s="1388"/>
      <c r="EO435" s="1388"/>
      <c r="EP435" s="1388"/>
      <c r="EQ435" s="1388"/>
      <c r="ER435" s="1388"/>
      <c r="ES435" s="1388"/>
      <c r="ET435" s="1388"/>
      <c r="EU435" s="1388"/>
      <c r="EV435" s="1388"/>
      <c r="EW435" s="1388"/>
      <c r="EX435" s="1388"/>
      <c r="EY435" s="1388"/>
      <c r="EZ435" s="1388"/>
      <c r="FA435" s="1388"/>
      <c r="FB435" s="1388"/>
      <c r="FC435" s="1388"/>
      <c r="FD435" s="1388"/>
      <c r="FE435" s="1388"/>
      <c r="FF435" s="1388"/>
      <c r="FG435" s="1388"/>
      <c r="FH435" s="1388"/>
      <c r="FI435" s="51"/>
      <c r="FP435" s="1388"/>
      <c r="FQ435" s="1388"/>
      <c r="FR435" s="1388"/>
      <c r="FS435" s="1435"/>
      <c r="FT435" s="1435"/>
      <c r="FU435" s="1388"/>
      <c r="FV435" s="1388"/>
      <c r="FW435" s="1435"/>
      <c r="FX435" s="1435"/>
    </row>
    <row r="436" spans="1:180" ht="11.25" customHeight="1" x14ac:dyDescent="0.2">
      <c r="A436" s="1388" t="s">
        <v>721</v>
      </c>
      <c r="B436" s="1388"/>
      <c r="C436" s="1388"/>
      <c r="D436" s="1388"/>
      <c r="E436" s="1388"/>
      <c r="F436" s="1388"/>
      <c r="G436" s="1388"/>
      <c r="H436" s="1388"/>
      <c r="I436" s="1388"/>
      <c r="J436" s="1388"/>
      <c r="K436" s="1388"/>
      <c r="L436" s="1388"/>
      <c r="M436" s="1388"/>
      <c r="N436" s="1388"/>
      <c r="O436" s="1388"/>
      <c r="P436" s="1388"/>
      <c r="Q436" s="1388"/>
      <c r="R436" s="1388"/>
      <c r="S436" s="1388"/>
      <c r="T436" s="1388"/>
      <c r="U436" s="1388"/>
      <c r="V436" s="1388"/>
      <c r="W436" s="1388"/>
      <c r="X436" s="1388"/>
      <c r="Y436" s="1388"/>
      <c r="Z436" s="1388"/>
      <c r="AA436" s="1388"/>
      <c r="AB436" s="1388"/>
      <c r="AC436" s="1388"/>
      <c r="AD436" s="1388"/>
      <c r="AE436" s="1388"/>
      <c r="AF436" s="1388"/>
      <c r="AG436" s="1388"/>
      <c r="AH436" s="1388"/>
      <c r="AI436" s="1388"/>
      <c r="AJ436" s="1388"/>
      <c r="AK436" s="1388"/>
      <c r="AL436" s="1388"/>
      <c r="AM436" s="1388"/>
      <c r="AN436" s="1388"/>
      <c r="AO436" s="1388"/>
      <c r="AP436" s="1388"/>
      <c r="AQ436" s="1388"/>
      <c r="AR436" s="1388"/>
      <c r="AS436" s="1388"/>
      <c r="AT436" s="1388"/>
      <c r="AU436" s="1388"/>
      <c r="AV436" s="1388"/>
      <c r="AW436" s="1388"/>
      <c r="AX436" s="1388"/>
      <c r="AY436" s="1388"/>
      <c r="AZ436" s="1388"/>
      <c r="BA436" s="1388"/>
      <c r="BB436" s="1388"/>
      <c r="BC436" s="1388"/>
      <c r="BD436" s="1388"/>
      <c r="BE436" s="1388"/>
      <c r="BF436" s="1388"/>
      <c r="BG436" s="1388"/>
      <c r="BH436" s="1388"/>
      <c r="BI436" s="1388"/>
      <c r="BJ436" s="1388"/>
      <c r="BK436" s="1388"/>
      <c r="BL436" s="1388"/>
      <c r="BM436" s="1388"/>
      <c r="BN436" s="1388"/>
      <c r="BO436" s="1388"/>
      <c r="BP436" s="1388"/>
      <c r="BQ436" s="1388"/>
      <c r="BR436" s="1388"/>
      <c r="BS436" s="1388"/>
      <c r="BT436" s="1388"/>
      <c r="BU436" s="1388"/>
      <c r="BV436" s="1388"/>
      <c r="BW436" s="1388"/>
      <c r="BX436" s="1388"/>
      <c r="BY436" s="1388"/>
      <c r="BZ436" s="1388"/>
      <c r="CA436" s="1388"/>
      <c r="CB436" s="1388"/>
      <c r="CC436" s="1388"/>
      <c r="CD436" s="1388"/>
      <c r="CE436" s="1388"/>
      <c r="CF436" s="1388"/>
      <c r="CG436" s="1388"/>
      <c r="CH436" s="1388"/>
      <c r="CI436" s="1388"/>
      <c r="CJ436" s="1388"/>
      <c r="CK436" s="1388"/>
      <c r="CL436" s="1388"/>
      <c r="CM436" s="1388"/>
      <c r="CN436" s="1388"/>
      <c r="CO436" s="1388"/>
      <c r="CP436" s="1388"/>
      <c r="CQ436" s="1388"/>
      <c r="CR436" s="1388"/>
      <c r="CS436" s="1388"/>
      <c r="CT436" s="1388"/>
      <c r="CU436" s="1388"/>
      <c r="CV436" s="1388"/>
      <c r="CW436" s="1388"/>
      <c r="CX436" s="1388"/>
      <c r="CY436" s="1388"/>
      <c r="CZ436" s="1388"/>
      <c r="DA436" s="1388"/>
      <c r="DB436" s="1388"/>
      <c r="DC436" s="1388"/>
      <c r="DD436" s="1388"/>
      <c r="DE436" s="2439"/>
      <c r="DF436" s="1388"/>
      <c r="DG436" s="1388"/>
      <c r="DH436" s="1388"/>
      <c r="DI436" s="2439"/>
      <c r="DJ436" s="1474"/>
      <c r="DK436" s="1388"/>
      <c r="DL436" s="1388"/>
      <c r="DM436" s="1388"/>
      <c r="DN436" s="1388"/>
      <c r="DO436" s="1388"/>
      <c r="DP436" s="1388"/>
      <c r="DQ436" s="1388"/>
      <c r="DR436" s="1388"/>
      <c r="DS436" s="1388"/>
      <c r="DT436" s="1388"/>
      <c r="DU436" s="1388"/>
      <c r="DV436" s="1388"/>
      <c r="DW436" s="1388"/>
      <c r="DX436" s="1388"/>
      <c r="DY436" s="1388"/>
      <c r="DZ436" s="1388"/>
      <c r="EA436" s="1388"/>
      <c r="EB436" s="1388"/>
      <c r="EC436" s="1388"/>
      <c r="ED436" s="1388"/>
      <c r="EE436" s="1388"/>
      <c r="EF436" s="1388"/>
      <c r="EG436" s="1388"/>
      <c r="EH436" s="1388"/>
      <c r="EI436" s="1388"/>
      <c r="EJ436" s="1388"/>
      <c r="EK436" s="1388"/>
      <c r="EL436" s="1388"/>
      <c r="EM436" s="1388"/>
      <c r="EN436" s="1388"/>
      <c r="EO436" s="1388"/>
      <c r="EP436" s="1388"/>
      <c r="EQ436" s="1388"/>
      <c r="ER436" s="1388"/>
      <c r="ES436" s="1388"/>
      <c r="ET436" s="1388"/>
      <c r="EU436" s="1388"/>
      <c r="EV436" s="1388"/>
      <c r="EW436" s="1388"/>
      <c r="EX436" s="51"/>
      <c r="EY436" s="51"/>
      <c r="EZ436" s="1388"/>
      <c r="FA436" s="1388"/>
      <c r="FB436" s="1388"/>
      <c r="FC436" s="1388"/>
      <c r="FD436" s="1388"/>
      <c r="FE436" s="1388"/>
      <c r="FF436" s="1388"/>
      <c r="FG436" s="1388"/>
      <c r="FH436" s="1388"/>
      <c r="FI436" s="1388"/>
      <c r="FP436" s="1388"/>
      <c r="FQ436" s="1388"/>
      <c r="FR436" s="1388"/>
      <c r="FS436" s="1388"/>
      <c r="FT436" s="1388"/>
      <c r="FU436" s="1388"/>
      <c r="FV436" s="1388"/>
      <c r="FW436" s="1435"/>
      <c r="FX436" s="1435"/>
    </row>
    <row r="437" spans="1:180" ht="11.25" customHeight="1" x14ac:dyDescent="0.2">
      <c r="A437" s="1388" t="s">
        <v>723</v>
      </c>
      <c r="B437" s="1388"/>
      <c r="C437" s="1388"/>
      <c r="D437" s="1388"/>
      <c r="E437" s="1388"/>
      <c r="F437" s="1388"/>
      <c r="G437" s="1388"/>
      <c r="H437" s="1388"/>
      <c r="I437" s="1388"/>
      <c r="J437" s="1388"/>
      <c r="K437" s="1388"/>
      <c r="L437" s="1388"/>
      <c r="M437" s="1388"/>
      <c r="N437" s="1388"/>
      <c r="O437" s="1388"/>
      <c r="P437" s="1388"/>
      <c r="Q437" s="1388"/>
      <c r="R437" s="1388"/>
      <c r="S437" s="1388"/>
      <c r="T437" s="1388"/>
      <c r="U437" s="1388"/>
      <c r="V437" s="1388"/>
      <c r="W437" s="1388"/>
      <c r="X437" s="1388"/>
      <c r="Y437" s="1388"/>
      <c r="Z437" s="1388"/>
      <c r="AA437" s="1388"/>
      <c r="AB437" s="1388"/>
      <c r="AC437" s="1388"/>
      <c r="AD437" s="1388"/>
      <c r="AE437" s="1388"/>
      <c r="AF437" s="1388"/>
      <c r="AG437" s="1388"/>
      <c r="AH437" s="1388"/>
      <c r="AI437" s="1388"/>
      <c r="AJ437" s="1388"/>
      <c r="AK437" s="1388"/>
      <c r="AL437" s="1388"/>
      <c r="AM437" s="1388"/>
      <c r="AN437" s="1388"/>
      <c r="AO437" s="1388"/>
      <c r="AP437" s="1388"/>
      <c r="AQ437" s="1388"/>
      <c r="AR437" s="1388"/>
      <c r="AS437" s="1388"/>
      <c r="AT437" s="1388"/>
      <c r="AU437" s="1388"/>
      <c r="AV437" s="1388"/>
      <c r="AW437" s="1388"/>
      <c r="AX437" s="1388"/>
      <c r="AY437" s="1388"/>
      <c r="AZ437" s="1388"/>
      <c r="BA437" s="1388"/>
      <c r="BB437" s="1388"/>
      <c r="BC437" s="1388"/>
      <c r="BD437" s="1388"/>
      <c r="BE437" s="1388"/>
      <c r="BF437" s="1388"/>
      <c r="BG437" s="1388"/>
      <c r="BH437" s="1388"/>
      <c r="BI437" s="1388"/>
      <c r="BJ437" s="1388"/>
      <c r="BK437" s="1388"/>
      <c r="BL437" s="1388"/>
      <c r="BM437" s="1388"/>
      <c r="BN437" s="1388"/>
      <c r="BO437" s="1388"/>
      <c r="BP437" s="1388"/>
      <c r="BQ437" s="1388"/>
      <c r="BR437" s="1388"/>
      <c r="BS437" s="1388"/>
      <c r="BT437" s="1388"/>
      <c r="BU437" s="1388"/>
      <c r="BV437" s="1388"/>
      <c r="BW437" s="1388"/>
      <c r="BX437" s="1388"/>
      <c r="BY437" s="1388"/>
      <c r="BZ437" s="1388"/>
      <c r="CA437" s="1388"/>
      <c r="CB437" s="1388"/>
      <c r="CC437" s="1388"/>
      <c r="CD437" s="1388"/>
      <c r="CE437" s="1388"/>
      <c r="CF437" s="1388"/>
      <c r="CG437" s="1388"/>
      <c r="CH437" s="1388"/>
      <c r="CI437" s="1388"/>
      <c r="CJ437" s="1388"/>
      <c r="CK437" s="1388"/>
      <c r="CL437" s="1388"/>
      <c r="CM437" s="1388"/>
      <c r="CN437" s="1388"/>
      <c r="CO437" s="1388"/>
      <c r="CP437" s="1388"/>
      <c r="CQ437" s="1388"/>
      <c r="CR437" s="1388"/>
      <c r="CS437" s="1388"/>
      <c r="CT437" s="1388"/>
      <c r="CU437" s="1388"/>
      <c r="CV437" s="1388"/>
      <c r="CW437" s="1388"/>
      <c r="CX437" s="1388"/>
      <c r="CY437" s="1388"/>
      <c r="CZ437" s="1388"/>
      <c r="DA437" s="1388"/>
      <c r="DB437" s="1388"/>
      <c r="DC437" s="1388"/>
      <c r="DD437" s="1388"/>
      <c r="DE437" s="2439"/>
      <c r="DF437" s="1388"/>
      <c r="DG437" s="1388"/>
      <c r="DH437" s="1388"/>
      <c r="DI437" s="2439"/>
      <c r="DJ437" s="1474"/>
      <c r="DK437" s="1388"/>
      <c r="DL437" s="1388"/>
      <c r="DM437" s="1388"/>
      <c r="DN437" s="1388"/>
      <c r="DO437" s="1388"/>
      <c r="DP437" s="1388"/>
      <c r="DQ437" s="1388"/>
      <c r="DR437" s="1388"/>
      <c r="DS437" s="1388"/>
      <c r="DT437" s="1388"/>
      <c r="DU437" s="1388"/>
      <c r="DV437" s="1388"/>
      <c r="DW437" s="1388"/>
      <c r="DX437" s="1388"/>
      <c r="DY437" s="1388"/>
      <c r="DZ437" s="1388"/>
      <c r="EA437" s="1388"/>
      <c r="EB437" s="1388"/>
      <c r="EC437" s="1388"/>
      <c r="ED437" s="1388"/>
      <c r="EE437" s="1388"/>
      <c r="EF437" s="1388"/>
      <c r="EG437" s="1388"/>
      <c r="EH437" s="1388"/>
      <c r="EI437" s="1388"/>
      <c r="EJ437" s="1388"/>
      <c r="EK437" s="1388"/>
      <c r="EL437" s="1388"/>
      <c r="EM437" s="1388"/>
      <c r="EN437" s="1388"/>
      <c r="EO437" s="1388"/>
      <c r="EP437" s="1388"/>
      <c r="EQ437" s="1388"/>
      <c r="ER437" s="1388"/>
      <c r="ES437" s="1388"/>
      <c r="ET437" s="1388"/>
      <c r="EU437" s="1388"/>
      <c r="EV437" s="1388"/>
      <c r="EW437" s="1388"/>
      <c r="EX437" s="1388"/>
      <c r="EY437" s="1388"/>
      <c r="EZ437" s="1388"/>
      <c r="FA437" s="1388"/>
      <c r="FB437" s="1388"/>
      <c r="FC437" s="1388"/>
      <c r="FD437" s="1388"/>
      <c r="FE437" s="1388"/>
      <c r="FF437" s="1388"/>
      <c r="FG437" s="1388"/>
      <c r="FH437" s="1388"/>
      <c r="FI437" s="1388"/>
      <c r="FP437" s="1388"/>
      <c r="FQ437" s="1388"/>
      <c r="FR437" s="1388"/>
      <c r="FS437" s="1388"/>
      <c r="FT437" s="1388"/>
      <c r="FU437" s="1388"/>
      <c r="FV437" s="1388"/>
      <c r="FW437" s="1435"/>
      <c r="FX437" s="1435"/>
    </row>
    <row r="438" spans="1:180" ht="11.25" customHeight="1" x14ac:dyDescent="0.2">
      <c r="A438" s="1388" t="s">
        <v>725</v>
      </c>
      <c r="B438" s="1388"/>
      <c r="C438" s="1388"/>
      <c r="D438" s="1388"/>
      <c r="E438" s="1388"/>
      <c r="F438" s="1388"/>
      <c r="G438" s="1388"/>
      <c r="H438" s="1388"/>
      <c r="I438" s="1388"/>
      <c r="J438" s="1388"/>
      <c r="K438" s="1388"/>
      <c r="L438" s="1388"/>
      <c r="M438" s="1388"/>
      <c r="N438" s="1388"/>
      <c r="O438" s="1388"/>
      <c r="P438" s="1388"/>
      <c r="Q438" s="1388"/>
      <c r="R438" s="1388"/>
      <c r="S438" s="1388"/>
      <c r="T438" s="1388"/>
      <c r="U438" s="1388"/>
      <c r="V438" s="1388"/>
      <c r="W438" s="1388"/>
      <c r="X438" s="1388"/>
      <c r="Y438" s="1388"/>
      <c r="Z438" s="1388"/>
      <c r="AA438" s="1388"/>
      <c r="AB438" s="1388"/>
      <c r="AC438" s="1388"/>
      <c r="AD438" s="1388"/>
      <c r="AE438" s="1388"/>
      <c r="AF438" s="1388"/>
      <c r="AG438" s="1388"/>
      <c r="AH438" s="1388"/>
      <c r="AI438" s="1388"/>
      <c r="AJ438" s="1388"/>
      <c r="AK438" s="1388"/>
      <c r="AL438" s="1388"/>
      <c r="AM438" s="1388"/>
      <c r="AN438" s="1388"/>
      <c r="AO438" s="1388"/>
      <c r="AP438" s="1388"/>
      <c r="AQ438" s="1388"/>
      <c r="AR438" s="1388"/>
      <c r="AS438" s="1388"/>
      <c r="AT438" s="1388"/>
      <c r="AU438" s="1388"/>
      <c r="AV438" s="1388"/>
      <c r="AW438" s="1388"/>
      <c r="AX438" s="1388"/>
      <c r="AY438" s="1388"/>
      <c r="AZ438" s="1388"/>
      <c r="BA438" s="1388"/>
      <c r="BB438" s="1388"/>
      <c r="BC438" s="1388"/>
      <c r="BD438" s="1388"/>
      <c r="BE438" s="1388"/>
      <c r="BF438" s="1388"/>
      <c r="BG438" s="1388"/>
      <c r="BH438" s="1388"/>
      <c r="BI438" s="1388"/>
      <c r="BJ438" s="1388"/>
      <c r="BK438" s="1388"/>
      <c r="BL438" s="1388"/>
      <c r="BM438" s="1388"/>
      <c r="BN438" s="1388"/>
      <c r="BO438" s="1388"/>
      <c r="BP438" s="1388"/>
      <c r="BQ438" s="1388"/>
      <c r="BR438" s="1388"/>
      <c r="BS438" s="1388"/>
      <c r="BT438" s="1388"/>
      <c r="BU438" s="1388"/>
      <c r="BV438" s="1388"/>
      <c r="BW438" s="1388"/>
      <c r="BX438" s="1388"/>
      <c r="BY438" s="1388"/>
      <c r="BZ438" s="1388"/>
      <c r="CA438" s="1388"/>
      <c r="CB438" s="1388"/>
      <c r="CC438" s="1388"/>
      <c r="CD438" s="1388"/>
      <c r="CE438" s="1388"/>
      <c r="CF438" s="1388"/>
      <c r="CG438" s="1388"/>
      <c r="CH438" s="1388"/>
      <c r="CI438" s="1388"/>
      <c r="CJ438" s="1388"/>
      <c r="CK438" s="1388"/>
      <c r="CL438" s="1388"/>
      <c r="CM438" s="1388"/>
      <c r="CN438" s="1388"/>
      <c r="CO438" s="1388"/>
      <c r="CP438" s="1388"/>
      <c r="CQ438" s="1388"/>
      <c r="CR438" s="1388"/>
      <c r="CS438" s="1388"/>
      <c r="CT438" s="1388"/>
      <c r="CU438" s="1388"/>
      <c r="CV438" s="1388"/>
      <c r="CW438" s="1388"/>
      <c r="CX438" s="2055"/>
      <c r="CY438" s="2055"/>
      <c r="CZ438" s="2055"/>
      <c r="DA438" s="2055"/>
      <c r="DB438" s="2055"/>
      <c r="DC438" s="2055"/>
      <c r="DD438" s="2055"/>
      <c r="DE438" s="2055"/>
      <c r="DF438" s="2055"/>
      <c r="DG438" s="2055"/>
      <c r="DH438" s="2055"/>
      <c r="DI438" s="2055"/>
      <c r="DJ438" s="2055"/>
      <c r="DK438" s="1474"/>
      <c r="DL438" s="1474"/>
      <c r="DM438" s="1474"/>
      <c r="DN438" s="1388"/>
      <c r="DO438" s="1388"/>
      <c r="DP438" s="1388"/>
      <c r="DQ438" s="1388"/>
      <c r="DR438" s="1388"/>
      <c r="DS438" s="1388"/>
      <c r="DT438" s="1388"/>
      <c r="DU438" s="1388"/>
      <c r="DV438" s="1388"/>
      <c r="DW438" s="1388"/>
      <c r="DX438" s="1388"/>
      <c r="DY438" s="1388"/>
      <c r="DZ438" s="1388"/>
      <c r="EA438" s="1388"/>
      <c r="EB438" s="1388"/>
      <c r="EC438" s="1388"/>
      <c r="ED438" s="1388"/>
      <c r="EE438" s="1388"/>
      <c r="EF438" s="1388"/>
      <c r="EG438" s="1388"/>
      <c r="EH438" s="1388"/>
      <c r="EI438" s="1388"/>
      <c r="EJ438" s="1388"/>
      <c r="EK438" s="1388"/>
      <c r="EL438" s="1388"/>
      <c r="EM438" s="1388"/>
      <c r="EN438" s="1388"/>
      <c r="EO438" s="1388"/>
      <c r="EP438" s="1388"/>
      <c r="EQ438" s="1388"/>
      <c r="ER438" s="1388"/>
      <c r="ES438" s="1388"/>
      <c r="ET438" s="1388"/>
      <c r="EU438" s="1388"/>
      <c r="EV438" s="1388"/>
      <c r="EW438" s="1388"/>
      <c r="EX438" s="1388"/>
      <c r="EY438" s="1388"/>
      <c r="EZ438" s="1388"/>
      <c r="FA438" s="1388"/>
      <c r="FB438" s="1388"/>
      <c r="FC438" s="1388"/>
      <c r="FD438" s="1388"/>
      <c r="FE438" s="1388"/>
      <c r="FF438" s="1388"/>
      <c r="FG438" s="1388"/>
      <c r="FH438" s="1388"/>
      <c r="FI438" s="1388"/>
      <c r="FP438" s="1388"/>
      <c r="FQ438" s="1388"/>
      <c r="FR438" s="1388"/>
      <c r="FS438" s="1388"/>
      <c r="FT438" s="1388"/>
      <c r="FU438" s="1388"/>
      <c r="FV438" s="1388"/>
      <c r="FW438" s="1435"/>
      <c r="FX438" s="1435"/>
    </row>
    <row r="439" spans="1:180" ht="11.25" customHeight="1" x14ac:dyDescent="0.2">
      <c r="A439" s="1388"/>
      <c r="B439" s="1388"/>
      <c r="C439" s="1388"/>
      <c r="D439" s="1388"/>
      <c r="E439" s="1388"/>
      <c r="F439" s="1388"/>
      <c r="G439" s="1388"/>
      <c r="H439" s="1388"/>
      <c r="I439" s="1388"/>
      <c r="J439" s="1388"/>
      <c r="K439" s="1388"/>
      <c r="L439" s="1388"/>
      <c r="M439" s="1388"/>
      <c r="N439" s="1388"/>
      <c r="O439" s="1388"/>
      <c r="P439" s="1388"/>
      <c r="Q439" s="1388"/>
      <c r="R439" s="1388"/>
      <c r="S439" s="1388"/>
      <c r="T439" s="1388"/>
      <c r="U439" s="1388"/>
      <c r="V439" s="1388"/>
      <c r="W439" s="1388"/>
      <c r="X439" s="1388"/>
      <c r="Y439" s="1388"/>
      <c r="Z439" s="1388"/>
      <c r="AA439" s="1388"/>
      <c r="AB439" s="1388"/>
      <c r="AC439" s="1388"/>
      <c r="AD439" s="1388"/>
      <c r="AE439" s="1388"/>
      <c r="AF439" s="1388"/>
      <c r="AG439" s="1388"/>
      <c r="AH439" s="1388"/>
      <c r="AI439" s="1388"/>
      <c r="AJ439" s="1388"/>
      <c r="AK439" s="1388"/>
      <c r="AL439" s="1388"/>
      <c r="AM439" s="1388"/>
      <c r="AN439" s="1388"/>
      <c r="AO439" s="1388"/>
      <c r="AP439" s="1388"/>
      <c r="AQ439" s="1388"/>
      <c r="AR439" s="1388"/>
      <c r="AS439" s="1388"/>
      <c r="AT439" s="1388"/>
      <c r="AU439" s="1388"/>
      <c r="AV439" s="1388"/>
      <c r="AW439" s="1388"/>
      <c r="AX439" s="1388"/>
      <c r="AY439" s="1388"/>
      <c r="AZ439" s="1388"/>
      <c r="BA439" s="1388"/>
      <c r="BB439" s="1388"/>
      <c r="BC439" s="1388"/>
      <c r="BD439" s="1388"/>
      <c r="BE439" s="1388"/>
      <c r="BF439" s="1388"/>
      <c r="BG439" s="1388"/>
      <c r="BH439" s="1388"/>
      <c r="BI439" s="1388"/>
      <c r="BJ439" s="1388"/>
      <c r="BK439" s="1388"/>
      <c r="BL439" s="1388"/>
      <c r="BM439" s="1388"/>
      <c r="BN439" s="1388"/>
      <c r="BO439" s="1388"/>
      <c r="BP439" s="1388"/>
      <c r="BQ439" s="1388"/>
      <c r="BR439" s="1388"/>
      <c r="BS439" s="1388"/>
      <c r="BT439" s="1388"/>
      <c r="BU439" s="1388"/>
      <c r="BV439" s="1388"/>
      <c r="BW439" s="1388"/>
      <c r="BX439" s="1388"/>
      <c r="BY439" s="1388"/>
      <c r="BZ439" s="1388"/>
      <c r="CA439" s="1388"/>
      <c r="CB439" s="1388"/>
      <c r="CC439" s="1388"/>
      <c r="CD439" s="1388"/>
      <c r="CE439" s="1388"/>
      <c r="CF439" s="1388"/>
      <c r="CG439" s="1388"/>
      <c r="CH439" s="1388"/>
      <c r="CI439" s="1388"/>
      <c r="CJ439" s="1388"/>
      <c r="CK439" s="1388"/>
      <c r="CL439" s="1388"/>
      <c r="CM439" s="1388"/>
      <c r="CN439" s="1388"/>
      <c r="CO439" s="1388"/>
      <c r="CP439" s="1388"/>
      <c r="CQ439" s="1388"/>
      <c r="CR439" s="1388"/>
      <c r="CS439" s="1388"/>
      <c r="CT439" s="1388"/>
      <c r="CU439" s="1388"/>
      <c r="CV439" s="1388"/>
      <c r="CW439" s="1388"/>
      <c r="CX439" s="1388"/>
      <c r="CY439" s="1388"/>
      <c r="CZ439" s="1388"/>
      <c r="DA439" s="1388"/>
      <c r="DB439" s="1388"/>
      <c r="DC439" s="1388"/>
      <c r="DD439" s="1388"/>
      <c r="DE439" s="1388"/>
      <c r="DF439" s="1388"/>
      <c r="DG439" s="1388"/>
      <c r="DH439" s="1388"/>
      <c r="DI439" s="1388"/>
      <c r="DJ439" s="1474"/>
      <c r="DK439" s="1388"/>
      <c r="DL439" s="1388"/>
      <c r="DM439" s="1388"/>
      <c r="DN439" s="1388"/>
      <c r="DO439" s="1388"/>
      <c r="DP439" s="1388"/>
      <c r="DQ439" s="1388"/>
      <c r="DR439" s="1388"/>
      <c r="DS439" s="1388"/>
      <c r="DT439" s="1388"/>
      <c r="DU439" s="1388"/>
      <c r="DV439" s="1388"/>
      <c r="DW439" s="1388"/>
      <c r="DX439" s="1388"/>
      <c r="DY439" s="1388"/>
      <c r="DZ439" s="1388"/>
      <c r="EA439" s="1388"/>
      <c r="EB439" s="1388"/>
      <c r="EC439" s="1388"/>
      <c r="ED439" s="1388"/>
      <c r="EE439" s="1388"/>
      <c r="EF439" s="1388"/>
      <c r="EG439" s="1388"/>
      <c r="EH439" s="1388"/>
      <c r="EI439" s="1388"/>
      <c r="EJ439" s="1388"/>
      <c r="EK439" s="1388"/>
      <c r="EL439" s="1388"/>
      <c r="EM439" s="1388"/>
      <c r="EN439" s="1388"/>
      <c r="EO439" s="1388"/>
      <c r="EP439" s="1388"/>
      <c r="EQ439" s="1388"/>
      <c r="ER439" s="1388"/>
      <c r="ES439" s="1388"/>
      <c r="ET439" s="1388"/>
      <c r="EU439" s="1388"/>
      <c r="EV439" s="1388"/>
      <c r="EW439" s="1388"/>
      <c r="EX439" s="51"/>
      <c r="EY439" s="51"/>
      <c r="EZ439" s="1388"/>
      <c r="FA439" s="1388"/>
      <c r="FB439" s="1388"/>
      <c r="FC439" s="1388"/>
      <c r="FD439" s="1388"/>
      <c r="FE439" s="1388"/>
      <c r="FF439" s="1388"/>
      <c r="FG439" s="1388"/>
      <c r="FH439" s="1388"/>
      <c r="FI439" s="51"/>
      <c r="FP439" s="1388"/>
      <c r="FQ439" s="1388"/>
      <c r="FR439" s="1388"/>
      <c r="FS439" s="1435"/>
      <c r="FT439" s="1435"/>
      <c r="FU439" s="1388"/>
      <c r="FV439" s="1388"/>
      <c r="FW439" s="1435"/>
      <c r="FX439" s="1435"/>
    </row>
    <row r="440" spans="1:180" ht="11.25" customHeight="1" x14ac:dyDescent="0.2">
      <c r="A440" s="1388" t="s">
        <v>719</v>
      </c>
      <c r="B440" s="1388"/>
      <c r="C440" s="1388"/>
      <c r="D440" s="1388"/>
      <c r="E440" s="1388"/>
      <c r="F440" s="1388"/>
      <c r="G440" s="1388"/>
      <c r="H440" s="1388"/>
      <c r="I440" s="1388"/>
      <c r="J440" s="1388"/>
      <c r="K440" s="1388"/>
      <c r="L440" s="1388"/>
      <c r="M440" s="1388"/>
      <c r="N440" s="1388"/>
      <c r="O440" s="1388"/>
      <c r="P440" s="1388"/>
      <c r="Q440" s="1388"/>
      <c r="R440" s="1388"/>
      <c r="S440" s="1388"/>
      <c r="T440" s="1388"/>
      <c r="U440" s="1388"/>
      <c r="V440" s="1388"/>
      <c r="W440" s="1388"/>
      <c r="X440" s="1388"/>
      <c r="Y440" s="1388"/>
      <c r="Z440" s="1388"/>
      <c r="AA440" s="1388"/>
      <c r="AB440" s="1388"/>
      <c r="AC440" s="1388"/>
      <c r="AD440" s="1388"/>
      <c r="AE440" s="1388"/>
      <c r="AF440" s="1388"/>
      <c r="AG440" s="1388"/>
      <c r="AH440" s="1388"/>
      <c r="AI440" s="1388"/>
      <c r="AJ440" s="1388"/>
      <c r="AK440" s="1388"/>
      <c r="AL440" s="1388"/>
      <c r="AM440" s="1388"/>
      <c r="AN440" s="1388"/>
      <c r="AO440" s="1388"/>
      <c r="AP440" s="1388"/>
      <c r="AQ440" s="1388"/>
      <c r="AR440" s="1388"/>
      <c r="AS440" s="1388"/>
      <c r="AT440" s="1388"/>
      <c r="AU440" s="1388"/>
      <c r="AV440" s="1388"/>
      <c r="AW440" s="1388"/>
      <c r="AX440" s="1388"/>
      <c r="AY440" s="1388"/>
      <c r="AZ440" s="1388"/>
      <c r="BA440" s="1388"/>
      <c r="BB440" s="1388"/>
      <c r="BC440" s="1388"/>
      <c r="BD440" s="1388"/>
      <c r="BE440" s="1388"/>
      <c r="BF440" s="1388"/>
      <c r="BG440" s="1388"/>
      <c r="BH440" s="1388"/>
      <c r="BI440" s="1388"/>
      <c r="BJ440" s="1388"/>
      <c r="BK440" s="1388"/>
      <c r="BL440" s="1388"/>
      <c r="BM440" s="1388"/>
      <c r="BN440" s="1388"/>
      <c r="BO440" s="1388"/>
      <c r="BP440" s="1388"/>
      <c r="BQ440" s="1388"/>
      <c r="BR440" s="1388"/>
      <c r="BS440" s="1388"/>
      <c r="BT440" s="1388"/>
      <c r="BU440" s="1388"/>
      <c r="BV440" s="1388"/>
      <c r="BW440" s="1388"/>
      <c r="BX440" s="1388"/>
      <c r="BY440" s="1388"/>
      <c r="BZ440" s="1388"/>
      <c r="CA440" s="1388"/>
      <c r="CB440" s="1388"/>
      <c r="CC440" s="1388"/>
      <c r="CD440" s="1388"/>
      <c r="CE440" s="1388"/>
      <c r="CF440" s="1388"/>
      <c r="CG440" s="1388"/>
      <c r="CH440" s="1388"/>
      <c r="CI440" s="1388"/>
      <c r="CJ440" s="1388"/>
      <c r="CK440" s="1388"/>
      <c r="CL440" s="1388"/>
      <c r="CM440" s="1388"/>
      <c r="CN440" s="1388"/>
      <c r="CO440" s="1388"/>
      <c r="CP440" s="1388"/>
      <c r="CQ440" s="1388"/>
      <c r="CR440" s="1388"/>
      <c r="CS440" s="1388"/>
      <c r="CT440" s="1388"/>
      <c r="CU440" s="1388"/>
      <c r="CV440" s="1388"/>
      <c r="CW440" s="1388"/>
      <c r="CX440" s="2437"/>
      <c r="CY440" s="2437"/>
      <c r="CZ440" s="2437"/>
      <c r="DA440" s="2437"/>
      <c r="DB440" s="2437"/>
      <c r="DC440" s="2440">
        <f>+DC441*'Income Statement'!DC65/(1-'Income Statement'!DC87)</f>
        <v>14.821639344262294</v>
      </c>
      <c r="DD440" s="2437">
        <f>0.2%*'Income Statement'!DD7</f>
        <v>17.89</v>
      </c>
      <c r="DE440" s="2437">
        <v>30</v>
      </c>
      <c r="DF440" s="2437">
        <v>15</v>
      </c>
      <c r="DG440" s="2437"/>
      <c r="DH440" s="2437"/>
      <c r="DI440" s="2437"/>
      <c r="DJ440" s="2776"/>
      <c r="DK440" s="2437"/>
      <c r="DL440" s="2437"/>
      <c r="DM440" s="2437"/>
      <c r="DN440" s="1388"/>
      <c r="DO440" s="1388"/>
      <c r="DP440" s="1388"/>
      <c r="DQ440" s="1388"/>
      <c r="DR440" s="1388"/>
      <c r="DS440" s="1388"/>
      <c r="DT440" s="1388"/>
      <c r="DU440" s="1388"/>
      <c r="DV440" s="1388"/>
      <c r="DW440" s="1388"/>
      <c r="DX440" s="1388"/>
      <c r="DY440" s="1388"/>
      <c r="DZ440" s="1388"/>
      <c r="EA440" s="1388"/>
      <c r="EB440" s="1388"/>
      <c r="EC440" s="1388"/>
      <c r="ED440" s="1388"/>
      <c r="EE440" s="1388"/>
      <c r="EF440" s="1388"/>
      <c r="EG440" s="1388"/>
      <c r="EH440" s="1388"/>
      <c r="EI440" s="1388"/>
      <c r="EJ440" s="1388"/>
      <c r="EK440" s="1388"/>
      <c r="EL440" s="1388"/>
      <c r="EM440" s="1388"/>
      <c r="EN440" s="1388"/>
      <c r="EO440" s="1388"/>
      <c r="EP440" s="1388"/>
      <c r="EQ440" s="1388"/>
      <c r="ER440" s="1388"/>
      <c r="ES440" s="1388"/>
      <c r="ET440" s="1388"/>
      <c r="EU440" s="1388"/>
      <c r="EV440" s="1388"/>
      <c r="EW440" s="1388"/>
      <c r="EX440" s="2437">
        <v>30</v>
      </c>
      <c r="EY440" s="2437">
        <v>60</v>
      </c>
      <c r="EZ440" s="2437"/>
      <c r="FA440" s="1388"/>
      <c r="FB440" s="1388"/>
      <c r="FC440" s="1388"/>
      <c r="FD440" s="1388"/>
      <c r="FE440" s="1388"/>
      <c r="FF440" s="1388"/>
      <c r="FG440" s="1388"/>
      <c r="FH440" s="1388"/>
      <c r="FI440" s="51"/>
      <c r="FP440" s="1388"/>
      <c r="FQ440" s="1388"/>
      <c r="FR440" s="1388"/>
      <c r="FS440" s="1435"/>
      <c r="FT440" s="1435"/>
      <c r="FU440" s="1388"/>
      <c r="FV440" s="1388"/>
      <c r="FW440" s="1435"/>
      <c r="FX440" s="1435"/>
    </row>
    <row r="441" spans="1:180" ht="11.25" customHeight="1" x14ac:dyDescent="0.2">
      <c r="A441" s="1388" t="s">
        <v>714</v>
      </c>
      <c r="B441" s="1388"/>
      <c r="C441" s="1388"/>
      <c r="D441" s="1388"/>
      <c r="E441" s="1388"/>
      <c r="F441" s="1388"/>
      <c r="G441" s="1388"/>
      <c r="H441" s="1388"/>
      <c r="I441" s="1388"/>
      <c r="J441" s="1388"/>
      <c r="K441" s="1388"/>
      <c r="L441" s="1388"/>
      <c r="M441" s="1388"/>
      <c r="N441" s="1388"/>
      <c r="O441" s="1388"/>
      <c r="P441" s="1388"/>
      <c r="Q441" s="1388"/>
      <c r="R441" s="1388"/>
      <c r="S441" s="1388"/>
      <c r="T441" s="1388"/>
      <c r="U441" s="1388"/>
      <c r="V441" s="1388"/>
      <c r="W441" s="1388"/>
      <c r="X441" s="1388"/>
      <c r="Y441" s="1388"/>
      <c r="Z441" s="1388"/>
      <c r="AA441" s="1388"/>
      <c r="AB441" s="1388"/>
      <c r="AC441" s="1388"/>
      <c r="AD441" s="1388"/>
      <c r="AE441" s="1388"/>
      <c r="AF441" s="1388"/>
      <c r="AG441" s="1388"/>
      <c r="AH441" s="1388"/>
      <c r="AI441" s="1388"/>
      <c r="AJ441" s="1388"/>
      <c r="AK441" s="1388"/>
      <c r="AL441" s="1388"/>
      <c r="AM441" s="1388"/>
      <c r="AN441" s="1388"/>
      <c r="AO441" s="1388"/>
      <c r="AP441" s="1388"/>
      <c r="AQ441" s="1388"/>
      <c r="AR441" s="1388"/>
      <c r="AS441" s="1388"/>
      <c r="AT441" s="1388"/>
      <c r="AU441" s="1388"/>
      <c r="AV441" s="1388"/>
      <c r="AW441" s="1388"/>
      <c r="AX441" s="1388"/>
      <c r="AY441" s="1388"/>
      <c r="AZ441" s="1388"/>
      <c r="BA441" s="1388"/>
      <c r="BB441" s="1388"/>
      <c r="BC441" s="1388"/>
      <c r="BD441" s="1388"/>
      <c r="BE441" s="1388"/>
      <c r="BF441" s="1388"/>
      <c r="BG441" s="1388"/>
      <c r="BH441" s="1388"/>
      <c r="BI441" s="1388"/>
      <c r="BJ441" s="1388"/>
      <c r="BK441" s="1388"/>
      <c r="BL441" s="1388"/>
      <c r="BM441" s="1388"/>
      <c r="BN441" s="1388"/>
      <c r="BO441" s="1388"/>
      <c r="BP441" s="1388"/>
      <c r="BQ441" s="1388"/>
      <c r="BR441" s="1388"/>
      <c r="BS441" s="1388"/>
      <c r="BT441" s="1388"/>
      <c r="BU441" s="1388"/>
      <c r="BV441" s="1388"/>
      <c r="BW441" s="1388"/>
      <c r="BX441" s="1388"/>
      <c r="BY441" s="1388"/>
      <c r="BZ441" s="1388"/>
      <c r="CA441" s="1388"/>
      <c r="CB441" s="1388"/>
      <c r="CC441" s="1388"/>
      <c r="CD441" s="1388"/>
      <c r="CE441" s="1388"/>
      <c r="CF441" s="1388"/>
      <c r="CG441" s="1388"/>
      <c r="CH441" s="1388"/>
      <c r="CI441" s="1388"/>
      <c r="CJ441" s="1388"/>
      <c r="CK441" s="1388"/>
      <c r="CL441" s="1388"/>
      <c r="CM441" s="1388"/>
      <c r="CN441" s="1388"/>
      <c r="CO441" s="1388"/>
      <c r="CP441" s="1388"/>
      <c r="CQ441" s="1388"/>
      <c r="CR441" s="1388"/>
      <c r="CS441" s="1388"/>
      <c r="CT441" s="1388"/>
      <c r="CU441" s="1388"/>
      <c r="CV441" s="1388"/>
      <c r="CW441" s="1388"/>
      <c r="CX441" s="1388"/>
      <c r="CY441" s="1388"/>
      <c r="CZ441" s="1388"/>
      <c r="DA441" s="1388"/>
      <c r="DB441" s="1388"/>
      <c r="DC441" s="2439">
        <v>0.03</v>
      </c>
      <c r="DD441" s="2441">
        <f>+DD440*(1-'Income Statement'!DD87)/'Income Statement'!DD65</f>
        <v>3.537674180327869E-2</v>
      </c>
      <c r="DE441" s="2439">
        <v>0.06</v>
      </c>
      <c r="DF441" s="2439">
        <v>0.03</v>
      </c>
      <c r="DG441" s="2439"/>
      <c r="DH441" s="2439"/>
      <c r="DI441" s="2439"/>
      <c r="DJ441" s="2777"/>
      <c r="DK441" s="2439"/>
      <c r="DL441" s="2439"/>
      <c r="DM441" s="2439"/>
      <c r="DN441" s="1388"/>
      <c r="DO441" s="1388"/>
      <c r="DP441" s="1388"/>
      <c r="DQ441" s="1388"/>
      <c r="DR441" s="1388"/>
      <c r="DS441" s="1388"/>
      <c r="DT441" s="1388"/>
      <c r="DU441" s="1388"/>
      <c r="DV441" s="1388"/>
      <c r="DW441" s="1388"/>
      <c r="DX441" s="1388"/>
      <c r="DY441" s="1388"/>
      <c r="DZ441" s="1388"/>
      <c r="EA441" s="1388"/>
      <c r="EB441" s="1388"/>
      <c r="EC441" s="1388"/>
      <c r="ED441" s="1388"/>
      <c r="EE441" s="1388"/>
      <c r="EF441" s="1388"/>
      <c r="EG441" s="1388"/>
      <c r="EH441" s="1388"/>
      <c r="EI441" s="1388"/>
      <c r="EJ441" s="1388"/>
      <c r="EK441" s="1388"/>
      <c r="EL441" s="1388"/>
      <c r="EM441" s="1388"/>
      <c r="EN441" s="1388"/>
      <c r="EO441" s="1388"/>
      <c r="EP441" s="1388"/>
      <c r="EQ441" s="1388"/>
      <c r="ER441" s="1388"/>
      <c r="ES441" s="1388"/>
      <c r="ET441" s="1388"/>
      <c r="EU441" s="1388"/>
      <c r="EV441" s="1388"/>
      <c r="EW441" s="1388"/>
      <c r="EX441" s="2439">
        <v>0.06</v>
      </c>
      <c r="EY441" s="2439"/>
      <c r="EZ441" s="1388"/>
      <c r="FA441" s="1388"/>
      <c r="FB441" s="1388"/>
      <c r="FC441" s="1388"/>
      <c r="FD441" s="1388"/>
      <c r="FE441" s="1388"/>
      <c r="FF441" s="1388"/>
      <c r="FG441" s="1388"/>
      <c r="FH441" s="1388"/>
      <c r="FI441" s="51"/>
      <c r="FP441" s="1388"/>
      <c r="FQ441" s="1388"/>
      <c r="FR441" s="1388"/>
      <c r="FS441" s="1435"/>
      <c r="FT441" s="1435"/>
      <c r="FU441" s="1388"/>
      <c r="FV441" s="1388"/>
      <c r="FW441" s="1435"/>
      <c r="FX441" s="1435"/>
    </row>
    <row r="442" spans="1:180" ht="11.25" customHeight="1" x14ac:dyDescent="0.2">
      <c r="A442" s="1388"/>
      <c r="B442" s="1388"/>
      <c r="C442" s="1388"/>
      <c r="D442" s="1388"/>
      <c r="E442" s="1388"/>
      <c r="F442" s="1388"/>
      <c r="G442" s="1388"/>
      <c r="H442" s="1388"/>
      <c r="I442" s="1388"/>
      <c r="J442" s="1388"/>
      <c r="K442" s="1388"/>
      <c r="L442" s="1388"/>
      <c r="M442" s="1388"/>
      <c r="N442" s="1388"/>
      <c r="O442" s="1388"/>
      <c r="P442" s="1388"/>
      <c r="Q442" s="1388"/>
      <c r="R442" s="1388"/>
      <c r="S442" s="1388"/>
      <c r="T442" s="1388"/>
      <c r="U442" s="1388"/>
      <c r="V442" s="1388"/>
      <c r="W442" s="1388"/>
      <c r="X442" s="1388"/>
      <c r="Y442" s="1388"/>
      <c r="Z442" s="1388"/>
      <c r="AA442" s="1388"/>
      <c r="AB442" s="1388"/>
      <c r="AC442" s="1388"/>
      <c r="AD442" s="1388"/>
      <c r="AE442" s="1388"/>
      <c r="AF442" s="1388"/>
      <c r="AG442" s="1388"/>
      <c r="AH442" s="1388"/>
      <c r="AI442" s="1388"/>
      <c r="AJ442" s="1388"/>
      <c r="AK442" s="1388"/>
      <c r="AL442" s="1388"/>
      <c r="AM442" s="1388"/>
      <c r="AN442" s="1388"/>
      <c r="AO442" s="1388"/>
      <c r="AP442" s="1388"/>
      <c r="AQ442" s="1388"/>
      <c r="AR442" s="1388"/>
      <c r="AS442" s="1388"/>
      <c r="AT442" s="1388"/>
      <c r="AU442" s="1388"/>
      <c r="AV442" s="1388"/>
      <c r="AW442" s="1388"/>
      <c r="AX442" s="1388"/>
      <c r="AY442" s="1388"/>
      <c r="AZ442" s="1388"/>
      <c r="BA442" s="1388"/>
      <c r="BB442" s="1388"/>
      <c r="BC442" s="1388"/>
      <c r="BD442" s="1388"/>
      <c r="BE442" s="1388"/>
      <c r="BF442" s="1388"/>
      <c r="BG442" s="1388"/>
      <c r="BH442" s="1388"/>
      <c r="BI442" s="1388"/>
      <c r="BJ442" s="1388"/>
      <c r="BK442" s="1388"/>
      <c r="BL442" s="1388"/>
      <c r="BM442" s="1388"/>
      <c r="BN442" s="1388"/>
      <c r="BO442" s="1388"/>
      <c r="BP442" s="1388"/>
      <c r="BQ442" s="1388"/>
      <c r="BR442" s="1388"/>
      <c r="BS442" s="1388"/>
      <c r="BT442" s="1388"/>
      <c r="BU442" s="1388"/>
      <c r="BV442" s="1388"/>
      <c r="BW442" s="1388"/>
      <c r="BX442" s="1388"/>
      <c r="BY442" s="1388"/>
      <c r="BZ442" s="1388"/>
      <c r="CA442" s="1388"/>
      <c r="CB442" s="1388"/>
      <c r="CC442" s="1388"/>
      <c r="CD442" s="1388"/>
      <c r="CE442" s="1388"/>
      <c r="CF442" s="1388"/>
      <c r="CG442" s="1388"/>
      <c r="CH442" s="1388"/>
      <c r="CI442" s="1388"/>
      <c r="CJ442" s="1388"/>
      <c r="CK442" s="1388"/>
      <c r="CL442" s="1388"/>
      <c r="CM442" s="1388"/>
      <c r="CN442" s="1388"/>
      <c r="CO442" s="1388"/>
      <c r="CP442" s="1388"/>
      <c r="CQ442" s="1388"/>
      <c r="CR442" s="1388"/>
      <c r="CS442" s="1388"/>
      <c r="CT442" s="1388"/>
      <c r="CU442" s="1388"/>
      <c r="CV442" s="1388"/>
      <c r="CW442" s="1388"/>
      <c r="CX442" s="1388"/>
      <c r="CY442" s="1388"/>
      <c r="CZ442" s="1388"/>
      <c r="DA442" s="1388"/>
      <c r="DB442" s="1388"/>
      <c r="DC442" s="1388"/>
      <c r="DD442" s="1388"/>
      <c r="DE442" s="1388"/>
      <c r="DF442" s="1388"/>
      <c r="DG442" s="1388"/>
      <c r="DH442" s="1388"/>
      <c r="DI442" s="1388"/>
      <c r="DJ442" s="1474"/>
      <c r="DK442" s="1388"/>
      <c r="DL442" s="1388"/>
      <c r="DM442" s="1388"/>
      <c r="DN442" s="1388"/>
      <c r="DO442" s="1388"/>
      <c r="DP442" s="1388"/>
      <c r="DQ442" s="1388"/>
      <c r="DR442" s="1388"/>
      <c r="DS442" s="1388"/>
      <c r="DT442" s="1388"/>
      <c r="DU442" s="1388"/>
      <c r="DV442" s="1388"/>
      <c r="DW442" s="1388"/>
      <c r="DX442" s="1388"/>
      <c r="DY442" s="1388"/>
      <c r="DZ442" s="1388"/>
      <c r="EA442" s="1388"/>
      <c r="EB442" s="1388"/>
      <c r="EC442" s="1388"/>
      <c r="ED442" s="1388"/>
      <c r="EE442" s="1388"/>
      <c r="EF442" s="1388"/>
      <c r="EG442" s="1388"/>
      <c r="EH442" s="1388"/>
      <c r="EI442" s="1388"/>
      <c r="EJ442" s="1388"/>
      <c r="EK442" s="1388"/>
      <c r="EL442" s="1388"/>
      <c r="EM442" s="1388"/>
      <c r="EN442" s="1388"/>
      <c r="EO442" s="1388"/>
      <c r="EP442" s="1388"/>
      <c r="EQ442" s="1388"/>
      <c r="ER442" s="1388"/>
      <c r="ES442" s="1388"/>
      <c r="ET442" s="1388"/>
      <c r="EU442" s="1388"/>
      <c r="EV442" s="1388"/>
      <c r="EW442" s="1388"/>
      <c r="EX442" s="1388"/>
      <c r="EY442" s="1388"/>
      <c r="EZ442" s="1388"/>
      <c r="FA442" s="1388"/>
      <c r="FB442" s="1388"/>
      <c r="FC442" s="1388"/>
      <c r="FD442" s="1388"/>
      <c r="FE442" s="1388"/>
      <c r="FF442" s="1388"/>
      <c r="FG442" s="1388"/>
      <c r="FH442" s="1388"/>
      <c r="FI442" s="51"/>
      <c r="FP442" s="1388"/>
      <c r="FQ442" s="1388"/>
      <c r="FR442" s="1388"/>
      <c r="FS442" s="1435"/>
      <c r="FT442" s="1435"/>
      <c r="FU442" s="1388"/>
      <c r="FV442" s="1388"/>
      <c r="FW442" s="1435"/>
      <c r="FX442" s="1435"/>
    </row>
    <row r="443" spans="1:180" ht="11.25" customHeight="1" x14ac:dyDescent="0.2">
      <c r="A443" s="1388"/>
      <c r="B443" s="1388"/>
      <c r="C443" s="1388"/>
      <c r="D443" s="1388"/>
      <c r="E443" s="1388"/>
      <c r="F443" s="1388"/>
      <c r="G443" s="1388"/>
      <c r="H443" s="1388"/>
      <c r="I443" s="1388"/>
      <c r="J443" s="1388"/>
      <c r="K443" s="1388"/>
      <c r="L443" s="1388"/>
      <c r="M443" s="1388"/>
      <c r="N443" s="1388"/>
      <c r="O443" s="1388"/>
      <c r="P443" s="1388"/>
      <c r="Q443" s="1388"/>
      <c r="R443" s="1388"/>
      <c r="S443" s="1388"/>
      <c r="T443" s="1388"/>
      <c r="U443" s="1388"/>
      <c r="V443" s="1388"/>
      <c r="W443" s="1388"/>
      <c r="X443" s="1388"/>
      <c r="Y443" s="1388"/>
      <c r="Z443" s="1388"/>
      <c r="AA443" s="1388"/>
      <c r="AB443" s="1388"/>
      <c r="AC443" s="1388"/>
      <c r="AD443" s="1388"/>
      <c r="AE443" s="1388"/>
      <c r="AF443" s="1388"/>
      <c r="AG443" s="1388"/>
      <c r="AH443" s="1388"/>
      <c r="AI443" s="1388"/>
      <c r="AJ443" s="1388"/>
      <c r="AK443" s="1388"/>
      <c r="AL443" s="1388"/>
      <c r="AM443" s="1388"/>
      <c r="AN443" s="1388"/>
      <c r="AO443" s="1388"/>
      <c r="AP443" s="1388"/>
      <c r="AQ443" s="1388"/>
      <c r="AR443" s="1388"/>
      <c r="AS443" s="1388"/>
      <c r="AT443" s="1388"/>
      <c r="AU443" s="1388"/>
      <c r="AV443" s="1388"/>
      <c r="AW443" s="1388"/>
      <c r="AX443" s="1388"/>
      <c r="AY443" s="1388"/>
      <c r="AZ443" s="1388"/>
      <c r="BA443" s="1388"/>
      <c r="BB443" s="1388"/>
      <c r="BC443" s="1388"/>
      <c r="BD443" s="1388"/>
      <c r="BE443" s="1388"/>
      <c r="BF443" s="1388"/>
      <c r="BG443" s="1388"/>
      <c r="BH443" s="1388"/>
      <c r="BI443" s="1388"/>
      <c r="BJ443" s="1388"/>
      <c r="BK443" s="1388"/>
      <c r="BL443" s="1388"/>
      <c r="BM443" s="1388"/>
      <c r="BN443" s="1388"/>
      <c r="BO443" s="1388"/>
      <c r="BP443" s="1388"/>
      <c r="BQ443" s="1388"/>
      <c r="BR443" s="1388"/>
      <c r="BS443" s="1388"/>
      <c r="BT443" s="1388"/>
      <c r="BU443" s="1388"/>
      <c r="BV443" s="1388"/>
      <c r="BW443" s="1388"/>
      <c r="BX443" s="1388"/>
      <c r="BY443" s="1388"/>
      <c r="BZ443" s="1388"/>
      <c r="CA443" s="1388"/>
      <c r="CB443" s="1388"/>
      <c r="CC443" s="1388"/>
      <c r="CD443" s="1388"/>
      <c r="CE443" s="1388"/>
      <c r="CF443" s="1388"/>
      <c r="CG443" s="1388"/>
      <c r="CH443" s="1388"/>
      <c r="CI443" s="1388"/>
      <c r="CJ443" s="1388"/>
      <c r="CK443" s="1388"/>
      <c r="CL443" s="1388"/>
      <c r="CM443" s="1388"/>
      <c r="CN443" s="1388"/>
      <c r="CO443" s="1388"/>
      <c r="CP443" s="1388"/>
      <c r="CQ443" s="1388"/>
      <c r="CR443" s="1388"/>
      <c r="CS443" s="1388"/>
      <c r="CT443" s="1388"/>
      <c r="CU443" s="1388"/>
      <c r="CV443" s="1388"/>
      <c r="CW443" s="1388"/>
      <c r="CX443" s="1388"/>
      <c r="CY443" s="1388"/>
      <c r="CZ443" s="1388"/>
      <c r="DA443" s="1388"/>
      <c r="DB443" s="1388"/>
      <c r="DC443" s="1388"/>
      <c r="DD443" s="1388"/>
      <c r="DE443" s="1388"/>
      <c r="DF443" s="1388"/>
      <c r="DG443" s="1388"/>
      <c r="DH443" s="1388"/>
      <c r="DI443" s="1388"/>
      <c r="DJ443" s="1474"/>
      <c r="DK443" s="1388"/>
      <c r="DL443" s="1388"/>
      <c r="DM443" s="1388"/>
      <c r="DN443" s="1388"/>
      <c r="DO443" s="1388"/>
      <c r="DP443" s="1388"/>
      <c r="DQ443" s="1388"/>
      <c r="DR443" s="1388"/>
      <c r="DS443" s="1388"/>
      <c r="DT443" s="1388"/>
      <c r="DU443" s="1388"/>
      <c r="DV443" s="1388"/>
      <c r="DW443" s="1388"/>
      <c r="DX443" s="1388"/>
      <c r="DY443" s="1388"/>
      <c r="DZ443" s="1388"/>
      <c r="EA443" s="1388"/>
      <c r="EB443" s="1388"/>
      <c r="EC443" s="1388"/>
      <c r="ED443" s="1388"/>
      <c r="EE443" s="1388"/>
      <c r="EF443" s="1388"/>
      <c r="EG443" s="1388"/>
      <c r="EH443" s="1388"/>
      <c r="EI443" s="1388"/>
      <c r="EJ443" s="1388"/>
      <c r="EK443" s="1388"/>
      <c r="EL443" s="1388"/>
      <c r="EM443" s="1388"/>
      <c r="EN443" s="1388"/>
      <c r="EO443" s="1388"/>
      <c r="EP443" s="1388"/>
      <c r="EQ443" s="1388"/>
      <c r="ER443" s="1388"/>
      <c r="ES443" s="1388"/>
      <c r="ET443" s="1388"/>
      <c r="EU443" s="1388"/>
      <c r="EV443" s="1388"/>
      <c r="EW443" s="1388"/>
      <c r="EX443" s="1388"/>
      <c r="EY443" s="1388"/>
      <c r="EZ443" s="1388"/>
      <c r="FA443" s="1388"/>
      <c r="FB443" s="1388"/>
      <c r="FC443" s="1388"/>
      <c r="FD443" s="1388"/>
      <c r="FE443" s="1388"/>
      <c r="FF443" s="1388"/>
      <c r="FG443" s="1388"/>
      <c r="FH443" s="1388"/>
      <c r="FI443" s="51"/>
      <c r="FP443" s="1388"/>
      <c r="FQ443" s="1388"/>
      <c r="FR443" s="1388"/>
      <c r="FS443" s="1435"/>
      <c r="FT443" s="1435"/>
      <c r="FU443" s="1388"/>
      <c r="FV443" s="1388"/>
      <c r="FW443" s="1435"/>
      <c r="FX443" s="1435"/>
    </row>
    <row r="444" spans="1:180" ht="11.25" customHeight="1" x14ac:dyDescent="0.2">
      <c r="A444" s="1388"/>
      <c r="B444" s="1388"/>
      <c r="C444" s="1388"/>
      <c r="D444" s="1388"/>
      <c r="E444" s="1388"/>
      <c r="F444" s="1388"/>
      <c r="G444" s="1388"/>
      <c r="H444" s="1388"/>
      <c r="I444" s="1388"/>
      <c r="J444" s="1388"/>
      <c r="K444" s="1388"/>
      <c r="L444" s="1388"/>
      <c r="M444" s="1388"/>
      <c r="N444" s="1388"/>
      <c r="O444" s="1388"/>
      <c r="P444" s="1388"/>
      <c r="Q444" s="1388"/>
      <c r="R444" s="1388"/>
      <c r="S444" s="1388"/>
      <c r="T444" s="1388"/>
      <c r="U444" s="1388"/>
      <c r="V444" s="1388"/>
      <c r="W444" s="1388"/>
      <c r="X444" s="1388"/>
      <c r="Y444" s="1388"/>
      <c r="Z444" s="1388"/>
      <c r="AA444" s="1388"/>
      <c r="AB444" s="1388"/>
      <c r="AC444" s="1388"/>
      <c r="AD444" s="1388"/>
      <c r="AE444" s="1388"/>
      <c r="AF444" s="1388"/>
      <c r="AG444" s="1388"/>
      <c r="AH444" s="1388"/>
      <c r="AI444" s="1388"/>
      <c r="AJ444" s="1388"/>
      <c r="AK444" s="1388"/>
      <c r="AL444" s="1388"/>
      <c r="AM444" s="1388"/>
      <c r="AN444" s="1388"/>
      <c r="AO444" s="1388"/>
      <c r="AP444" s="1388"/>
      <c r="AQ444" s="1388"/>
      <c r="AR444" s="1388"/>
      <c r="AS444" s="1388"/>
      <c r="AT444" s="1388"/>
      <c r="AU444" s="1388"/>
      <c r="AV444" s="1388"/>
      <c r="AW444" s="1388"/>
      <c r="AX444" s="1388"/>
      <c r="AY444" s="1388"/>
      <c r="AZ444" s="1388"/>
      <c r="BA444" s="1388"/>
      <c r="BB444" s="1388"/>
      <c r="BC444" s="1388"/>
      <c r="BD444" s="1388"/>
      <c r="BE444" s="1388"/>
      <c r="BF444" s="1388"/>
      <c r="BG444" s="1388"/>
      <c r="BH444" s="1388"/>
      <c r="BI444" s="1388"/>
      <c r="BJ444" s="1388"/>
      <c r="BK444" s="1388"/>
      <c r="BL444" s="1388"/>
      <c r="BM444" s="1388"/>
      <c r="BN444" s="1388"/>
      <c r="BO444" s="1388"/>
      <c r="BP444" s="1388"/>
      <c r="BQ444" s="1388"/>
      <c r="BR444" s="1388"/>
      <c r="BS444" s="1388"/>
      <c r="BT444" s="1388"/>
      <c r="BU444" s="1388"/>
      <c r="BV444" s="1388"/>
      <c r="BW444" s="1388"/>
      <c r="BX444" s="1388"/>
      <c r="BY444" s="1388"/>
      <c r="BZ444" s="1388"/>
      <c r="CA444" s="1388"/>
      <c r="CB444" s="1388"/>
      <c r="CC444" s="1388"/>
      <c r="CD444" s="1388"/>
      <c r="CE444" s="1388"/>
      <c r="CF444" s="1388"/>
      <c r="CG444" s="1388"/>
      <c r="CH444" s="1388"/>
      <c r="CI444" s="1388"/>
      <c r="CJ444" s="1388"/>
      <c r="CK444" s="1388"/>
      <c r="CL444" s="1388"/>
      <c r="CM444" s="1388"/>
      <c r="CN444" s="1388"/>
      <c r="CO444" s="1388"/>
      <c r="CP444" s="1388"/>
      <c r="CQ444" s="1388"/>
      <c r="CR444" s="1388"/>
      <c r="CS444" s="1388"/>
      <c r="CT444" s="1388"/>
      <c r="CU444" s="1388"/>
      <c r="CV444" s="1388"/>
      <c r="CW444" s="1388"/>
      <c r="CX444" s="1388"/>
      <c r="CY444" s="1388"/>
      <c r="CZ444" s="1388"/>
      <c r="DA444" s="1388"/>
      <c r="DB444" s="1388"/>
      <c r="DC444" s="1388"/>
      <c r="DD444" s="1388"/>
      <c r="DE444" s="1388"/>
      <c r="DF444" s="1388"/>
      <c r="DG444" s="1388"/>
      <c r="DH444" s="1388"/>
      <c r="DI444" s="1388"/>
      <c r="DJ444" s="1474"/>
      <c r="DK444" s="1388"/>
      <c r="DL444" s="1388"/>
      <c r="DM444" s="1388"/>
      <c r="DN444" s="1388"/>
      <c r="DO444" s="1388"/>
      <c r="DP444" s="1388"/>
      <c r="DQ444" s="1388"/>
      <c r="DR444" s="1388"/>
      <c r="DS444" s="1388"/>
      <c r="DT444" s="1388"/>
      <c r="DU444" s="1388"/>
      <c r="DV444" s="1388"/>
      <c r="DW444" s="1388"/>
      <c r="DX444" s="1388"/>
      <c r="DY444" s="1388"/>
      <c r="DZ444" s="1388"/>
      <c r="EA444" s="1388"/>
      <c r="EB444" s="1388"/>
      <c r="EC444" s="1388"/>
      <c r="ED444" s="1388"/>
      <c r="EE444" s="1388"/>
      <c r="EF444" s="1388"/>
      <c r="EG444" s="1388"/>
      <c r="EH444" s="1388"/>
      <c r="EI444" s="1388"/>
      <c r="EJ444" s="1388"/>
      <c r="EK444" s="1388"/>
      <c r="EL444" s="1388"/>
      <c r="EM444" s="1388"/>
      <c r="EN444" s="1388"/>
      <c r="EO444" s="1388"/>
      <c r="EP444" s="1388"/>
      <c r="EQ444" s="1388"/>
      <c r="ER444" s="1388"/>
      <c r="ES444" s="1388"/>
      <c r="ET444" s="1388"/>
      <c r="EU444" s="1388"/>
      <c r="EV444" s="1388"/>
      <c r="EW444" s="1388"/>
      <c r="EX444" s="1388"/>
      <c r="EY444" s="1388"/>
      <c r="EZ444" s="1388"/>
      <c r="FA444" s="1388"/>
      <c r="FB444" s="1388"/>
      <c r="FC444" s="1388"/>
      <c r="FD444" s="1388"/>
      <c r="FE444" s="1388"/>
      <c r="FF444" s="1388"/>
      <c r="FG444" s="1388"/>
      <c r="FH444" s="1388"/>
      <c r="FI444" s="51"/>
      <c r="FP444" s="1388"/>
      <c r="FQ444" s="1388"/>
      <c r="FR444" s="1388"/>
      <c r="FS444" s="1435"/>
      <c r="FT444" s="1435"/>
      <c r="FU444" s="1388"/>
      <c r="FV444" s="1388"/>
      <c r="FW444" s="1435"/>
      <c r="FX444" s="1435"/>
    </row>
    <row r="445" spans="1:180" ht="11.25" customHeight="1" x14ac:dyDescent="0.2">
      <c r="A445" s="1388"/>
      <c r="B445" s="1388"/>
      <c r="C445" s="1388"/>
      <c r="D445" s="1388"/>
      <c r="E445" s="1388"/>
      <c r="F445" s="1388"/>
      <c r="G445" s="1388"/>
      <c r="H445" s="1388"/>
      <c r="I445" s="1388"/>
      <c r="J445" s="1388"/>
      <c r="K445" s="1388"/>
      <c r="L445" s="1388"/>
      <c r="M445" s="1388"/>
      <c r="N445" s="1388"/>
      <c r="O445" s="1388"/>
      <c r="P445" s="1388"/>
      <c r="Q445" s="1388"/>
      <c r="R445" s="1388"/>
      <c r="S445" s="1388"/>
      <c r="T445" s="1388"/>
      <c r="U445" s="1388"/>
      <c r="V445" s="1388"/>
      <c r="W445" s="1388"/>
      <c r="X445" s="1388"/>
      <c r="Y445" s="1388"/>
      <c r="Z445" s="1388"/>
      <c r="AA445" s="1388"/>
      <c r="AB445" s="1388"/>
      <c r="AC445" s="1388"/>
      <c r="AD445" s="1388"/>
      <c r="AE445" s="1388"/>
      <c r="AF445" s="1388"/>
      <c r="AG445" s="1388"/>
      <c r="AH445" s="1388"/>
      <c r="AI445" s="1388"/>
      <c r="AJ445" s="1388"/>
      <c r="AK445" s="1388"/>
      <c r="AL445" s="1388"/>
      <c r="AM445" s="1388"/>
      <c r="AN445" s="1388"/>
      <c r="AO445" s="1388"/>
      <c r="AP445" s="1388"/>
      <c r="AQ445" s="1388"/>
      <c r="AR445" s="1388"/>
      <c r="AS445" s="1388"/>
      <c r="AT445" s="1388"/>
      <c r="AU445" s="1388"/>
      <c r="AV445" s="1388"/>
      <c r="AW445" s="1388"/>
      <c r="AX445" s="1388"/>
      <c r="AY445" s="1388"/>
      <c r="AZ445" s="1388"/>
      <c r="BA445" s="1388"/>
      <c r="BB445" s="1388"/>
      <c r="BC445" s="1388"/>
      <c r="BD445" s="1388"/>
      <c r="BE445" s="1388"/>
      <c r="BF445" s="1388"/>
      <c r="BG445" s="1388"/>
      <c r="BH445" s="1388"/>
      <c r="BI445" s="1388"/>
      <c r="BJ445" s="1388"/>
      <c r="BK445" s="1388"/>
      <c r="BL445" s="1388"/>
      <c r="BM445" s="1388"/>
      <c r="BN445" s="1388"/>
      <c r="BO445" s="1388"/>
      <c r="BP445" s="1388"/>
      <c r="BQ445" s="1388"/>
      <c r="BR445" s="1388"/>
      <c r="BS445" s="1388"/>
      <c r="BT445" s="1388"/>
      <c r="BU445" s="1388"/>
      <c r="BV445" s="1388"/>
      <c r="BW445" s="1388"/>
      <c r="BX445" s="1388"/>
      <c r="BY445" s="1388"/>
      <c r="BZ445" s="1388"/>
      <c r="CA445" s="1388"/>
      <c r="CB445" s="1388"/>
      <c r="CC445" s="1388"/>
      <c r="CD445" s="1388"/>
      <c r="CE445" s="1388"/>
      <c r="CF445" s="1388"/>
      <c r="CG445" s="1388"/>
      <c r="CH445" s="1388"/>
      <c r="CI445" s="1388"/>
      <c r="CJ445" s="1388"/>
      <c r="CK445" s="1388"/>
      <c r="CL445" s="1388"/>
      <c r="CM445" s="1388"/>
      <c r="CN445" s="1388"/>
      <c r="CO445" s="1388"/>
      <c r="CP445" s="1388"/>
      <c r="CQ445" s="1388"/>
      <c r="CR445" s="1388"/>
      <c r="CS445" s="1388"/>
      <c r="CT445" s="1388"/>
      <c r="CU445" s="1388"/>
      <c r="CV445" s="1388"/>
      <c r="CW445" s="1388"/>
      <c r="CX445" s="1388"/>
      <c r="CY445" s="1388"/>
      <c r="CZ445" s="1388"/>
      <c r="DA445" s="1388"/>
      <c r="DB445" s="1388"/>
      <c r="DC445" s="1388"/>
      <c r="DD445" s="1388"/>
      <c r="DE445" s="1388"/>
      <c r="DF445" s="1388"/>
      <c r="DG445" s="1388"/>
      <c r="DH445" s="1388"/>
      <c r="DI445" s="1388"/>
      <c r="DJ445" s="1474"/>
      <c r="DK445" s="1388"/>
      <c r="DL445" s="1388"/>
      <c r="DM445" s="1388"/>
      <c r="DN445" s="1388"/>
      <c r="DO445" s="1388"/>
      <c r="DP445" s="1388"/>
      <c r="DQ445" s="1388"/>
      <c r="DR445" s="1388"/>
      <c r="DS445" s="1388"/>
      <c r="DT445" s="1388"/>
      <c r="DU445" s="1388"/>
      <c r="DV445" s="1388"/>
      <c r="DW445" s="1388"/>
      <c r="DX445" s="1388"/>
      <c r="DY445" s="1388"/>
      <c r="DZ445" s="1388"/>
      <c r="EA445" s="1388"/>
      <c r="EB445" s="1388"/>
      <c r="EC445" s="1388"/>
      <c r="ED445" s="1388"/>
      <c r="EE445" s="1388"/>
      <c r="EF445" s="1388"/>
      <c r="EG445" s="1388"/>
      <c r="EH445" s="1388"/>
      <c r="EI445" s="1388"/>
      <c r="EJ445" s="1388"/>
      <c r="EK445" s="1388"/>
      <c r="EL445" s="1388"/>
      <c r="EM445" s="1388"/>
      <c r="EN445" s="1388"/>
      <c r="EO445" s="1388"/>
      <c r="EP445" s="1388"/>
      <c r="EQ445" s="1388"/>
      <c r="ER445" s="1388"/>
      <c r="ES445" s="1388"/>
      <c r="ET445" s="1388"/>
      <c r="EU445" s="1388"/>
      <c r="EV445" s="1388"/>
      <c r="EW445" s="1388"/>
      <c r="EX445" s="1388"/>
      <c r="EY445" s="1388"/>
      <c r="EZ445" s="1388"/>
      <c r="FA445" s="1388"/>
      <c r="FB445" s="1388"/>
      <c r="FC445" s="1388"/>
      <c r="FD445" s="1388"/>
      <c r="FE445" s="1388"/>
      <c r="FF445" s="1388"/>
      <c r="FG445" s="1388"/>
      <c r="FH445" s="1388"/>
      <c r="FI445" s="51"/>
      <c r="FP445" s="1388"/>
      <c r="FQ445" s="1388"/>
      <c r="FR445" s="1388"/>
      <c r="FS445" s="1435"/>
      <c r="FT445" s="1435"/>
      <c r="FU445" s="1388"/>
      <c r="FV445" s="1388"/>
      <c r="FW445" s="1435"/>
      <c r="FX445" s="1435"/>
    </row>
    <row r="446" spans="1:180" ht="11.25" customHeight="1" x14ac:dyDescent="0.2">
      <c r="A446" s="1388"/>
      <c r="B446" s="1388"/>
      <c r="C446" s="1388"/>
      <c r="D446" s="1388"/>
      <c r="E446" s="1388"/>
      <c r="F446" s="1388"/>
      <c r="G446" s="1388"/>
      <c r="H446" s="1388"/>
      <c r="I446" s="1388"/>
      <c r="J446" s="1388"/>
      <c r="K446" s="1388"/>
      <c r="L446" s="1388"/>
      <c r="M446" s="1388"/>
      <c r="N446" s="1388"/>
      <c r="O446" s="1388"/>
      <c r="P446" s="1388"/>
      <c r="Q446" s="1388"/>
      <c r="R446" s="1388"/>
      <c r="S446" s="1388"/>
      <c r="T446" s="1388"/>
      <c r="U446" s="1388"/>
      <c r="V446" s="1388"/>
      <c r="W446" s="1388"/>
      <c r="X446" s="1388"/>
      <c r="Y446" s="1388"/>
      <c r="Z446" s="1388"/>
      <c r="AA446" s="1388"/>
      <c r="AB446" s="1388"/>
      <c r="AC446" s="1388"/>
      <c r="AD446" s="1388"/>
      <c r="AE446" s="1388"/>
      <c r="AF446" s="1388"/>
      <c r="AG446" s="1388"/>
      <c r="AH446" s="1388"/>
      <c r="AI446" s="1388"/>
      <c r="AJ446" s="1388"/>
      <c r="AK446" s="1388"/>
      <c r="AL446" s="1388"/>
      <c r="AM446" s="1388"/>
      <c r="AN446" s="1388"/>
      <c r="AO446" s="1388"/>
      <c r="AP446" s="1388"/>
      <c r="AQ446" s="1388"/>
      <c r="AR446" s="1388"/>
      <c r="AS446" s="1388"/>
      <c r="AT446" s="1388"/>
      <c r="AU446" s="1388"/>
      <c r="AV446" s="1388"/>
      <c r="AW446" s="1388"/>
      <c r="AX446" s="1388"/>
      <c r="AY446" s="1388"/>
      <c r="AZ446" s="1388"/>
      <c r="BA446" s="1388"/>
      <c r="BB446" s="1388"/>
      <c r="BC446" s="1388"/>
      <c r="BD446" s="1388"/>
      <c r="BE446" s="1388"/>
      <c r="BF446" s="1388"/>
      <c r="BG446" s="1388"/>
      <c r="BH446" s="1388"/>
      <c r="BI446" s="1388"/>
      <c r="BJ446" s="1388"/>
      <c r="BK446" s="1388"/>
      <c r="BL446" s="1388"/>
      <c r="BM446" s="1388"/>
      <c r="BN446" s="1388"/>
      <c r="BO446" s="1388"/>
      <c r="BP446" s="1388"/>
      <c r="BQ446" s="1388"/>
      <c r="BR446" s="1388"/>
      <c r="BS446" s="1388"/>
      <c r="BT446" s="1388"/>
      <c r="BU446" s="1388"/>
      <c r="BV446" s="1388"/>
      <c r="BW446" s="1388"/>
      <c r="BX446" s="1388"/>
      <c r="BY446" s="1388"/>
      <c r="BZ446" s="1388"/>
      <c r="CA446" s="1388"/>
      <c r="CB446" s="1388"/>
      <c r="CC446" s="1388"/>
      <c r="CD446" s="1388"/>
      <c r="CE446" s="1388"/>
      <c r="CF446" s="1388"/>
      <c r="CG446" s="1388"/>
      <c r="CH446" s="1388"/>
      <c r="CI446" s="1388"/>
      <c r="CJ446" s="1388"/>
      <c r="CK446" s="1388"/>
      <c r="CL446" s="1388"/>
      <c r="CM446" s="1388"/>
      <c r="CN446" s="1388"/>
      <c r="CO446" s="1388"/>
      <c r="CP446" s="1388"/>
      <c r="CQ446" s="1388"/>
      <c r="CR446" s="1388"/>
      <c r="CS446" s="1388"/>
      <c r="CT446" s="1388"/>
      <c r="CU446" s="1388"/>
      <c r="CV446" s="1388"/>
      <c r="CW446" s="1388"/>
      <c r="CX446" s="1388"/>
      <c r="CY446" s="1388"/>
      <c r="CZ446" s="1388"/>
      <c r="DA446" s="1388"/>
      <c r="DB446" s="1388"/>
      <c r="DC446" s="1388"/>
      <c r="DD446" s="1388"/>
      <c r="DE446" s="1388"/>
      <c r="DF446" s="1388"/>
      <c r="DG446" s="1388"/>
      <c r="DH446" s="1388"/>
      <c r="DI446" s="1388"/>
      <c r="DJ446" s="1474"/>
      <c r="DK446" s="1388"/>
      <c r="DL446" s="1388"/>
      <c r="DM446" s="1388"/>
      <c r="DN446" s="1388"/>
      <c r="DO446" s="1388"/>
      <c r="DP446" s="1388"/>
      <c r="DQ446" s="1388"/>
      <c r="DR446" s="1388"/>
      <c r="DS446" s="1388"/>
      <c r="DT446" s="1388"/>
      <c r="DU446" s="1388"/>
      <c r="DV446" s="1388"/>
      <c r="DW446" s="1388"/>
      <c r="DX446" s="1388"/>
      <c r="DY446" s="1388"/>
      <c r="DZ446" s="1388"/>
      <c r="EA446" s="1388"/>
      <c r="EB446" s="1388"/>
      <c r="EC446" s="1388"/>
      <c r="ED446" s="1388"/>
      <c r="EE446" s="1388"/>
      <c r="EF446" s="1388"/>
      <c r="EG446" s="1388"/>
      <c r="EH446" s="1388"/>
      <c r="EI446" s="1388"/>
      <c r="EJ446" s="1388"/>
      <c r="EK446" s="1388"/>
      <c r="EL446" s="1388"/>
      <c r="EM446" s="1388"/>
      <c r="EN446" s="1388"/>
      <c r="EO446" s="1388"/>
      <c r="EP446" s="1388"/>
      <c r="EQ446" s="1388"/>
      <c r="ER446" s="1388"/>
      <c r="ES446" s="1388"/>
      <c r="ET446" s="1388"/>
      <c r="EU446" s="1388"/>
      <c r="EV446" s="1388"/>
      <c r="EW446" s="1388"/>
      <c r="EX446" s="1388"/>
      <c r="EY446" s="1388"/>
      <c r="EZ446" s="1388"/>
      <c r="FA446" s="1388"/>
      <c r="FB446" s="1388"/>
      <c r="FC446" s="1388"/>
      <c r="FD446" s="1388"/>
      <c r="FE446" s="1388"/>
      <c r="FF446" s="1388"/>
      <c r="FG446" s="1388"/>
      <c r="FH446" s="1388"/>
      <c r="FI446" s="51"/>
      <c r="FP446" s="1388"/>
      <c r="FQ446" s="1388"/>
      <c r="FR446" s="1388"/>
      <c r="FS446" s="1435"/>
      <c r="FT446" s="1435"/>
      <c r="FU446" s="1388"/>
      <c r="FV446" s="1388"/>
      <c r="FW446" s="1435"/>
      <c r="FX446" s="1435"/>
    </row>
    <row r="447" spans="1:180" ht="11.25" customHeight="1" x14ac:dyDescent="0.2">
      <c r="A447" s="1388"/>
      <c r="B447" s="1388"/>
      <c r="C447" s="1388"/>
      <c r="D447" s="1388"/>
      <c r="E447" s="1388"/>
      <c r="F447" s="1388"/>
      <c r="G447" s="1388"/>
      <c r="H447" s="1388"/>
      <c r="I447" s="1388"/>
      <c r="J447" s="1388"/>
      <c r="K447" s="1388"/>
      <c r="L447" s="1388"/>
      <c r="M447" s="1388"/>
      <c r="N447" s="1388"/>
      <c r="O447" s="1388"/>
      <c r="P447" s="1388"/>
      <c r="Q447" s="1388"/>
      <c r="R447" s="1388"/>
      <c r="S447" s="1388"/>
      <c r="T447" s="1388"/>
      <c r="U447" s="1388"/>
      <c r="V447" s="1388"/>
      <c r="W447" s="1388"/>
      <c r="X447" s="1388"/>
      <c r="Y447" s="1388"/>
      <c r="Z447" s="1388"/>
      <c r="AA447" s="1388"/>
      <c r="AB447" s="1388"/>
      <c r="AC447" s="1388"/>
      <c r="AD447" s="1388"/>
      <c r="AE447" s="1388"/>
      <c r="AF447" s="1388"/>
      <c r="AG447" s="1388"/>
      <c r="AH447" s="1388"/>
      <c r="AI447" s="1388"/>
      <c r="AJ447" s="1388"/>
      <c r="AK447" s="1388"/>
      <c r="AL447" s="1388"/>
      <c r="AM447" s="1388"/>
      <c r="AN447" s="1388"/>
      <c r="AO447" s="1388"/>
      <c r="AP447" s="1388"/>
      <c r="AQ447" s="1388"/>
      <c r="AR447" s="1388"/>
      <c r="AS447" s="1388"/>
      <c r="AT447" s="1388"/>
      <c r="AU447" s="1388"/>
      <c r="AV447" s="1388"/>
      <c r="AW447" s="1388"/>
      <c r="AX447" s="1388"/>
      <c r="AY447" s="1388"/>
      <c r="AZ447" s="1388"/>
      <c r="BA447" s="1388"/>
      <c r="BB447" s="1388"/>
      <c r="BC447" s="1388"/>
      <c r="BD447" s="1388"/>
      <c r="BE447" s="1388"/>
      <c r="BF447" s="1388"/>
      <c r="BG447" s="1388"/>
      <c r="BH447" s="1388"/>
      <c r="BI447" s="1388"/>
      <c r="BJ447" s="1388"/>
      <c r="BK447" s="1388"/>
      <c r="BL447" s="1388"/>
      <c r="BM447" s="1388"/>
      <c r="BN447" s="1388"/>
      <c r="BO447" s="1388"/>
      <c r="BP447" s="1388"/>
      <c r="BQ447" s="1388"/>
      <c r="BR447" s="1388"/>
      <c r="BS447" s="1388"/>
      <c r="BT447" s="1388"/>
      <c r="BU447" s="1388"/>
      <c r="BV447" s="1388"/>
      <c r="BW447" s="1388"/>
      <c r="BX447" s="1388"/>
      <c r="BY447" s="1388"/>
      <c r="BZ447" s="1388"/>
      <c r="CA447" s="1388"/>
      <c r="CB447" s="1388"/>
      <c r="CC447" s="1388"/>
      <c r="CD447" s="1388"/>
      <c r="CE447" s="1388"/>
      <c r="CF447" s="1388"/>
      <c r="CG447" s="1388"/>
      <c r="CH447" s="1388"/>
      <c r="CI447" s="1388"/>
      <c r="CJ447" s="1388"/>
      <c r="CK447" s="1388"/>
      <c r="CL447" s="1388"/>
      <c r="CM447" s="1388"/>
      <c r="CN447" s="1388"/>
      <c r="CO447" s="1388"/>
      <c r="CP447" s="1388"/>
      <c r="CQ447" s="1388"/>
      <c r="CR447" s="1388"/>
      <c r="CS447" s="1388"/>
      <c r="CT447" s="1388"/>
      <c r="CU447" s="1388"/>
      <c r="CV447" s="1388"/>
      <c r="CW447" s="1388"/>
      <c r="CX447" s="1388"/>
      <c r="CY447" s="1388"/>
      <c r="CZ447" s="1388"/>
      <c r="DA447" s="1388"/>
      <c r="DB447" s="1388"/>
      <c r="DC447" s="1388"/>
      <c r="DD447" s="1388"/>
      <c r="DE447" s="1388"/>
      <c r="DF447" s="1388"/>
      <c r="DG447" s="1388"/>
      <c r="DH447" s="1388"/>
      <c r="DI447" s="1388"/>
      <c r="DJ447" s="1474"/>
      <c r="DK447" s="1388"/>
      <c r="DL447" s="1388"/>
      <c r="DM447" s="1388"/>
      <c r="DN447" s="1388"/>
      <c r="DO447" s="1388"/>
      <c r="DP447" s="1388"/>
      <c r="DQ447" s="1388"/>
      <c r="DR447" s="1388"/>
      <c r="DS447" s="1388"/>
      <c r="DT447" s="1388"/>
      <c r="DU447" s="1388"/>
      <c r="DV447" s="1388"/>
      <c r="DW447" s="1388"/>
      <c r="DX447" s="1388"/>
      <c r="DY447" s="1388"/>
      <c r="DZ447" s="1388"/>
      <c r="EA447" s="1388"/>
      <c r="EB447" s="1388"/>
      <c r="EC447" s="1388"/>
      <c r="ED447" s="1388"/>
      <c r="EE447" s="1388"/>
      <c r="EF447" s="1388"/>
      <c r="EG447" s="1388"/>
      <c r="EH447" s="1388"/>
      <c r="EI447" s="1388"/>
      <c r="EJ447" s="1388"/>
      <c r="EK447" s="1388"/>
      <c r="EL447" s="1388"/>
      <c r="EM447" s="1388"/>
      <c r="EN447" s="1388"/>
      <c r="EO447" s="1388"/>
      <c r="EP447" s="1388"/>
      <c r="EQ447" s="1388"/>
      <c r="ER447" s="1388"/>
      <c r="ES447" s="1388"/>
      <c r="ET447" s="1388"/>
      <c r="EU447" s="1388"/>
      <c r="EV447" s="1388"/>
      <c r="EW447" s="1388"/>
      <c r="EX447" s="1388"/>
      <c r="EY447" s="1388"/>
      <c r="EZ447" s="1388"/>
      <c r="FA447" s="1388"/>
      <c r="FB447" s="1388"/>
      <c r="FC447" s="1388"/>
      <c r="FD447" s="1388"/>
      <c r="FE447" s="1388"/>
      <c r="FF447" s="1388"/>
      <c r="FG447" s="1388"/>
      <c r="FH447" s="1388"/>
      <c r="FI447" s="51"/>
      <c r="FP447" s="1388"/>
      <c r="FQ447" s="1388"/>
      <c r="FR447" s="1388"/>
      <c r="FS447" s="1435"/>
      <c r="FT447" s="1435"/>
      <c r="FU447" s="1388"/>
      <c r="FV447" s="1388"/>
      <c r="FW447" s="1435"/>
      <c r="FX447" s="1435"/>
    </row>
    <row r="448" spans="1:180" ht="11.25" customHeight="1" x14ac:dyDescent="0.2">
      <c r="A448" s="1388"/>
      <c r="B448" s="1388"/>
      <c r="C448" s="1388"/>
      <c r="D448" s="1388"/>
      <c r="E448" s="1388"/>
      <c r="F448" s="1388"/>
      <c r="G448" s="1388"/>
      <c r="H448" s="1388"/>
      <c r="I448" s="1388"/>
      <c r="J448" s="1388"/>
      <c r="K448" s="1388"/>
      <c r="L448" s="1388"/>
      <c r="M448" s="1388"/>
      <c r="N448" s="1388"/>
      <c r="O448" s="1388"/>
      <c r="P448" s="1388"/>
      <c r="Q448" s="1388"/>
      <c r="R448" s="1388"/>
      <c r="S448" s="1388"/>
      <c r="T448" s="1388"/>
      <c r="U448" s="1388"/>
      <c r="V448" s="1388"/>
      <c r="W448" s="1388"/>
      <c r="X448" s="1388"/>
      <c r="Y448" s="1388"/>
      <c r="Z448" s="1388"/>
      <c r="AA448" s="1388"/>
      <c r="AB448" s="1388"/>
      <c r="AC448" s="1388"/>
      <c r="AD448" s="1388"/>
      <c r="AE448" s="1388"/>
      <c r="AF448" s="1388"/>
      <c r="AG448" s="1388"/>
      <c r="AH448" s="1388"/>
      <c r="AI448" s="1388"/>
      <c r="AJ448" s="1388"/>
      <c r="AK448" s="1388"/>
      <c r="AL448" s="1388"/>
      <c r="AM448" s="1388"/>
      <c r="AN448" s="1388"/>
      <c r="AO448" s="1388"/>
      <c r="AP448" s="1388"/>
      <c r="AQ448" s="1388"/>
      <c r="AR448" s="1388"/>
      <c r="AS448" s="1388"/>
      <c r="AT448" s="1388"/>
      <c r="AU448" s="1388"/>
      <c r="AV448" s="1388"/>
      <c r="AW448" s="1388"/>
      <c r="AX448" s="1388"/>
      <c r="AY448" s="1388"/>
      <c r="AZ448" s="1388"/>
      <c r="BA448" s="1388"/>
      <c r="BB448" s="1388"/>
      <c r="BC448" s="1388"/>
      <c r="BD448" s="1388"/>
      <c r="BE448" s="1388"/>
      <c r="BF448" s="1388"/>
      <c r="BG448" s="1388"/>
      <c r="BH448" s="1388"/>
      <c r="BI448" s="1388"/>
      <c r="BJ448" s="1388"/>
      <c r="BK448" s="1388"/>
      <c r="BL448" s="1388"/>
      <c r="BM448" s="1388"/>
      <c r="BN448" s="1388"/>
      <c r="BO448" s="1388"/>
      <c r="BP448" s="1388"/>
      <c r="BQ448" s="1388"/>
      <c r="BR448" s="1388"/>
      <c r="BS448" s="1388"/>
      <c r="BT448" s="1388"/>
      <c r="BU448" s="1388"/>
      <c r="BV448" s="1388"/>
      <c r="BW448" s="1388"/>
      <c r="BX448" s="1388"/>
      <c r="BY448" s="1388"/>
      <c r="BZ448" s="1388"/>
      <c r="CA448" s="1388"/>
      <c r="CB448" s="1388"/>
      <c r="CC448" s="1388"/>
      <c r="CD448" s="1388"/>
      <c r="CE448" s="1388"/>
      <c r="CF448" s="1388"/>
      <c r="CG448" s="1388"/>
      <c r="CH448" s="1388"/>
      <c r="CI448" s="1388"/>
      <c r="CJ448" s="1388"/>
      <c r="CK448" s="1388"/>
      <c r="CL448" s="1388"/>
      <c r="CM448" s="1388"/>
      <c r="CN448" s="1388"/>
      <c r="CO448" s="1388"/>
      <c r="CP448" s="1388"/>
      <c r="CQ448" s="1388"/>
      <c r="CR448" s="1388"/>
      <c r="CS448" s="1388"/>
      <c r="CT448" s="1388"/>
      <c r="CU448" s="1388"/>
      <c r="CV448" s="1388"/>
      <c r="CW448" s="1388"/>
      <c r="CX448" s="1388"/>
      <c r="CY448" s="1388"/>
      <c r="CZ448" s="1388"/>
      <c r="DA448" s="1388"/>
      <c r="DB448" s="1388"/>
      <c r="DC448" s="1388"/>
      <c r="DD448" s="1388"/>
      <c r="DE448" s="1388"/>
      <c r="DF448" s="1388"/>
      <c r="DG448" s="1388"/>
      <c r="DH448" s="1388"/>
      <c r="DI448" s="1388"/>
      <c r="DJ448" s="1474"/>
      <c r="DK448" s="1388"/>
      <c r="DL448" s="1388"/>
      <c r="DM448" s="1388"/>
      <c r="DN448" s="1388"/>
      <c r="DO448" s="1388"/>
      <c r="DP448" s="1388"/>
      <c r="DQ448" s="1388"/>
      <c r="DR448" s="1388"/>
      <c r="DS448" s="1388"/>
      <c r="DT448" s="1388"/>
      <c r="DU448" s="1388"/>
      <c r="DV448" s="1388"/>
      <c r="DW448" s="1388"/>
      <c r="DX448" s="1388"/>
      <c r="DY448" s="1388"/>
      <c r="DZ448" s="1388"/>
      <c r="EA448" s="1388"/>
      <c r="EB448" s="1388"/>
      <c r="EC448" s="1388"/>
      <c r="ED448" s="1388"/>
      <c r="EE448" s="1388"/>
      <c r="EF448" s="1388"/>
      <c r="EG448" s="1388"/>
      <c r="EH448" s="1388"/>
      <c r="EI448" s="1388"/>
      <c r="EJ448" s="1388"/>
      <c r="EK448" s="1388"/>
      <c r="EL448" s="1388"/>
      <c r="EM448" s="1388"/>
      <c r="EN448" s="1388"/>
      <c r="EO448" s="1388"/>
      <c r="EP448" s="1388"/>
      <c r="EQ448" s="1388"/>
      <c r="ER448" s="1388"/>
      <c r="ES448" s="1388"/>
      <c r="ET448" s="1388"/>
      <c r="EU448" s="1388"/>
      <c r="EV448" s="1388"/>
      <c r="EW448" s="1388"/>
      <c r="EX448" s="1388"/>
      <c r="EY448" s="1388"/>
      <c r="EZ448" s="1388"/>
      <c r="FA448" s="1388"/>
      <c r="FB448" s="1388"/>
      <c r="FC448" s="1388"/>
      <c r="FD448" s="1388"/>
      <c r="FE448" s="1388"/>
      <c r="FF448" s="1388"/>
      <c r="FG448" s="1388"/>
      <c r="FH448" s="1388"/>
      <c r="FI448" s="51"/>
      <c r="FP448" s="1388"/>
      <c r="FQ448" s="1388"/>
      <c r="FR448" s="1388"/>
      <c r="FS448" s="1435"/>
      <c r="FT448" s="1435"/>
      <c r="FU448" s="1388"/>
      <c r="FV448" s="1388"/>
      <c r="FW448" s="1435"/>
      <c r="FX448" s="1435"/>
    </row>
    <row r="449" spans="1:180" ht="11.25" customHeight="1" x14ac:dyDescent="0.2">
      <c r="A449" s="1388"/>
      <c r="B449" s="1388"/>
      <c r="C449" s="1388"/>
      <c r="D449" s="1388"/>
      <c r="E449" s="1388"/>
      <c r="F449" s="1388"/>
      <c r="G449" s="1388"/>
      <c r="H449" s="1388"/>
      <c r="I449" s="1388"/>
      <c r="J449" s="1388"/>
      <c r="K449" s="1388"/>
      <c r="L449" s="1388"/>
      <c r="M449" s="1388"/>
      <c r="N449" s="1388"/>
      <c r="O449" s="1388"/>
      <c r="P449" s="1388"/>
      <c r="Q449" s="1388"/>
      <c r="R449" s="1388"/>
      <c r="S449" s="1388"/>
      <c r="T449" s="1388"/>
      <c r="U449" s="1388"/>
      <c r="V449" s="1388"/>
      <c r="W449" s="1388"/>
      <c r="X449" s="1388"/>
      <c r="Y449" s="1388"/>
      <c r="Z449" s="1388"/>
      <c r="AA449" s="1388"/>
      <c r="AB449" s="1388"/>
      <c r="AC449" s="1388"/>
      <c r="AD449" s="1388"/>
      <c r="AE449" s="1388"/>
      <c r="AF449" s="1388"/>
      <c r="AG449" s="1388"/>
      <c r="AH449" s="1388"/>
      <c r="AI449" s="1388"/>
      <c r="AJ449" s="1388"/>
      <c r="AK449" s="1388"/>
      <c r="AL449" s="1388"/>
      <c r="AM449" s="1388"/>
      <c r="AN449" s="1388"/>
      <c r="AO449" s="1388"/>
      <c r="AP449" s="1388"/>
      <c r="AQ449" s="1388"/>
      <c r="AR449" s="1388"/>
      <c r="AS449" s="1388"/>
      <c r="AT449" s="1388"/>
      <c r="AU449" s="1388"/>
      <c r="AV449" s="1388"/>
      <c r="AW449" s="1388"/>
      <c r="AX449" s="1388"/>
      <c r="AY449" s="1388"/>
      <c r="AZ449" s="1388"/>
      <c r="BA449" s="1388"/>
      <c r="BB449" s="1388"/>
      <c r="BC449" s="1388"/>
      <c r="BD449" s="1388"/>
      <c r="BE449" s="1388"/>
      <c r="BF449" s="1388"/>
      <c r="BG449" s="1388"/>
      <c r="BH449" s="1388"/>
      <c r="BI449" s="1388"/>
      <c r="BJ449" s="1388"/>
      <c r="BK449" s="1388"/>
      <c r="BL449" s="1388"/>
      <c r="BM449" s="1388"/>
      <c r="BN449" s="1388"/>
      <c r="BO449" s="1388"/>
      <c r="BP449" s="1388"/>
      <c r="BQ449" s="1388"/>
      <c r="BR449" s="1388"/>
      <c r="BS449" s="1388"/>
      <c r="BT449" s="1388"/>
      <c r="BU449" s="1388"/>
      <c r="BV449" s="1388"/>
      <c r="BW449" s="1388"/>
      <c r="BX449" s="1388"/>
      <c r="BY449" s="1388"/>
      <c r="BZ449" s="1388"/>
      <c r="CA449" s="1388"/>
      <c r="CB449" s="1388"/>
      <c r="CC449" s="1388"/>
      <c r="CD449" s="1388"/>
      <c r="CE449" s="1388"/>
      <c r="CF449" s="1388"/>
      <c r="CG449" s="1388"/>
      <c r="CH449" s="1388"/>
      <c r="CI449" s="1388"/>
      <c r="CJ449" s="1388"/>
      <c r="CK449" s="1388"/>
      <c r="CL449" s="1388"/>
      <c r="CM449" s="1388"/>
      <c r="CN449" s="1388"/>
      <c r="CO449" s="1388"/>
      <c r="CP449" s="1388"/>
      <c r="CQ449" s="1388"/>
      <c r="CR449" s="1388"/>
      <c r="CS449" s="1388"/>
      <c r="CT449" s="1388"/>
      <c r="CU449" s="1388"/>
      <c r="CV449" s="1388"/>
      <c r="CW449" s="1388"/>
      <c r="CX449" s="1388"/>
      <c r="CY449" s="1388"/>
      <c r="CZ449" s="1388"/>
      <c r="DA449" s="1388"/>
      <c r="DB449" s="1388"/>
      <c r="DC449" s="1388"/>
      <c r="DD449" s="1388"/>
      <c r="DE449" s="1388"/>
      <c r="DF449" s="1388"/>
      <c r="DG449" s="1388"/>
      <c r="DH449" s="1388"/>
      <c r="DI449" s="1388"/>
      <c r="DJ449" s="1474"/>
      <c r="DK449" s="1388"/>
      <c r="DL449" s="1388"/>
      <c r="DM449" s="1388"/>
      <c r="DN449" s="1388"/>
      <c r="DO449" s="1388"/>
      <c r="DP449" s="1388"/>
      <c r="DQ449" s="1388"/>
      <c r="DR449" s="1388"/>
      <c r="DS449" s="1388"/>
      <c r="DT449" s="1388"/>
      <c r="DU449" s="1388"/>
      <c r="DV449" s="1388"/>
      <c r="DW449" s="1388"/>
      <c r="DX449" s="1388"/>
      <c r="DY449" s="1388"/>
      <c r="DZ449" s="1388"/>
      <c r="EA449" s="1388"/>
      <c r="EB449" s="1388"/>
      <c r="EC449" s="1388"/>
      <c r="ED449" s="1388"/>
      <c r="EE449" s="1388"/>
      <c r="EF449" s="1388"/>
      <c r="EG449" s="1388"/>
      <c r="EH449" s="1388"/>
      <c r="EI449" s="1388"/>
      <c r="EJ449" s="1388"/>
      <c r="EK449" s="1388"/>
      <c r="EL449" s="1388"/>
      <c r="EM449" s="1388"/>
      <c r="EN449" s="1388"/>
      <c r="EO449" s="1388"/>
      <c r="EP449" s="1388"/>
      <c r="EQ449" s="1388"/>
      <c r="ER449" s="1388"/>
      <c r="ES449" s="1388"/>
      <c r="ET449" s="1388"/>
      <c r="EU449" s="1388"/>
      <c r="EV449" s="1388"/>
      <c r="EW449" s="1388"/>
      <c r="EX449" s="1388"/>
      <c r="EY449" s="1388"/>
      <c r="EZ449" s="1388"/>
      <c r="FA449" s="1388"/>
      <c r="FB449" s="1388"/>
      <c r="FC449" s="1388"/>
      <c r="FD449" s="1388"/>
      <c r="FE449" s="1388"/>
      <c r="FF449" s="1388"/>
      <c r="FG449" s="1388"/>
      <c r="FH449" s="1388"/>
      <c r="FI449" s="51"/>
      <c r="FP449" s="1388"/>
      <c r="FQ449" s="1388"/>
      <c r="FR449" s="1388"/>
      <c r="FS449" s="1435"/>
      <c r="FT449" s="1435"/>
      <c r="FU449" s="1388"/>
      <c r="FV449" s="1388"/>
      <c r="FW449" s="1435"/>
      <c r="FX449" s="1435"/>
    </row>
    <row r="450" spans="1:180" ht="11.25" customHeight="1" x14ac:dyDescent="0.2">
      <c r="A450" s="1388"/>
      <c r="B450" s="1388"/>
      <c r="C450" s="1388"/>
      <c r="D450" s="1388"/>
      <c r="E450" s="1388"/>
      <c r="F450" s="1388"/>
      <c r="G450" s="1388"/>
      <c r="H450" s="1388"/>
      <c r="I450" s="1388"/>
      <c r="J450" s="1388"/>
      <c r="K450" s="1388"/>
      <c r="L450" s="1388"/>
      <c r="M450" s="1388"/>
      <c r="N450" s="1388"/>
      <c r="O450" s="1388"/>
      <c r="P450" s="1388"/>
      <c r="Q450" s="1388"/>
      <c r="R450" s="1388"/>
      <c r="S450" s="1388"/>
      <c r="T450" s="1388"/>
      <c r="U450" s="1388"/>
      <c r="V450" s="1388"/>
      <c r="W450" s="1388"/>
      <c r="X450" s="1388"/>
      <c r="Y450" s="1388"/>
      <c r="Z450" s="1388"/>
      <c r="AA450" s="1388"/>
      <c r="AB450" s="1388"/>
      <c r="AC450" s="1388"/>
      <c r="AD450" s="1388"/>
      <c r="AE450" s="1388"/>
      <c r="AF450" s="1388"/>
      <c r="AG450" s="1388"/>
      <c r="AH450" s="1388"/>
      <c r="AI450" s="1388"/>
      <c r="AJ450" s="1388"/>
      <c r="AK450" s="1388"/>
      <c r="AL450" s="1388"/>
      <c r="AM450" s="1388"/>
      <c r="AN450" s="1388"/>
      <c r="AO450" s="1388"/>
      <c r="AP450" s="1388"/>
      <c r="AQ450" s="1388"/>
      <c r="AR450" s="1388"/>
      <c r="AS450" s="1388"/>
      <c r="AT450" s="1388"/>
      <c r="AU450" s="1388"/>
      <c r="AV450" s="1388"/>
      <c r="AW450" s="1388"/>
      <c r="AX450" s="1388"/>
      <c r="AY450" s="1388"/>
      <c r="AZ450" s="1388"/>
      <c r="BA450" s="1388"/>
      <c r="BB450" s="1388"/>
      <c r="BC450" s="1388"/>
      <c r="BD450" s="1388"/>
      <c r="BE450" s="1388"/>
      <c r="BF450" s="1388"/>
      <c r="BG450" s="1388"/>
      <c r="BH450" s="1388"/>
      <c r="BI450" s="1388"/>
      <c r="BJ450" s="1388"/>
      <c r="BK450" s="1388"/>
      <c r="BL450" s="1388"/>
      <c r="BM450" s="1388"/>
      <c r="BN450" s="1388"/>
      <c r="BO450" s="1388"/>
      <c r="BP450" s="1388"/>
      <c r="BQ450" s="1388"/>
      <c r="BR450" s="1388"/>
      <c r="BS450" s="1388"/>
      <c r="BT450" s="1388"/>
      <c r="BU450" s="1388"/>
      <c r="BV450" s="1388"/>
      <c r="BW450" s="1388"/>
      <c r="BX450" s="1388"/>
      <c r="BY450" s="1388"/>
      <c r="BZ450" s="1388"/>
      <c r="CA450" s="1388"/>
      <c r="CB450" s="1388"/>
      <c r="CC450" s="1388"/>
      <c r="CD450" s="1388"/>
      <c r="CE450" s="1388"/>
      <c r="CF450" s="1388"/>
      <c r="CG450" s="1388"/>
      <c r="CH450" s="1388"/>
      <c r="CI450" s="1388"/>
      <c r="CJ450" s="1388"/>
      <c r="CK450" s="1388"/>
      <c r="CL450" s="1388"/>
      <c r="CM450" s="1388"/>
      <c r="CN450" s="1388"/>
      <c r="CO450" s="1388"/>
      <c r="CP450" s="1388"/>
      <c r="CQ450" s="1388"/>
      <c r="CR450" s="1388"/>
      <c r="CS450" s="1388"/>
      <c r="CT450" s="1388"/>
      <c r="CU450" s="1388"/>
      <c r="CV450" s="1388"/>
      <c r="CW450" s="1388"/>
      <c r="CX450" s="1388"/>
      <c r="CY450" s="1388"/>
      <c r="CZ450" s="1388"/>
      <c r="DA450" s="1388"/>
      <c r="DB450" s="1388"/>
      <c r="DC450" s="1388"/>
      <c r="DD450" s="1388"/>
      <c r="DE450" s="1388"/>
      <c r="DF450" s="1388"/>
      <c r="DG450" s="1388"/>
      <c r="DH450" s="1388"/>
      <c r="DI450" s="1388"/>
      <c r="DJ450" s="1474"/>
      <c r="DK450" s="1388"/>
      <c r="DL450" s="1388"/>
      <c r="DM450" s="1388"/>
      <c r="DN450" s="1388"/>
      <c r="DO450" s="1388"/>
      <c r="DP450" s="1388"/>
      <c r="DQ450" s="1388"/>
      <c r="DR450" s="1388"/>
      <c r="DS450" s="1388"/>
      <c r="DT450" s="1388"/>
      <c r="DU450" s="1388"/>
      <c r="DV450" s="1388"/>
      <c r="DW450" s="1388"/>
      <c r="DX450" s="1388"/>
      <c r="DY450" s="1388"/>
      <c r="DZ450" s="1388"/>
      <c r="EA450" s="1388"/>
      <c r="EB450" s="1388"/>
      <c r="EC450" s="1388"/>
      <c r="ED450" s="1388"/>
      <c r="EE450" s="1388"/>
      <c r="EF450" s="1388"/>
      <c r="EG450" s="1388"/>
      <c r="EH450" s="1388"/>
      <c r="EI450" s="1388"/>
      <c r="EJ450" s="1388"/>
      <c r="EK450" s="1388"/>
      <c r="EL450" s="1388"/>
      <c r="EM450" s="1388"/>
      <c r="EN450" s="1388"/>
      <c r="EO450" s="1388"/>
      <c r="EP450" s="1388"/>
      <c r="EQ450" s="1388"/>
      <c r="ER450" s="1388"/>
      <c r="ES450" s="1388"/>
      <c r="ET450" s="1388"/>
      <c r="EU450" s="1388"/>
      <c r="EV450" s="1388"/>
      <c r="EW450" s="1388"/>
      <c r="EX450" s="1388"/>
      <c r="EY450" s="1388"/>
      <c r="EZ450" s="1388"/>
      <c r="FA450" s="1388"/>
      <c r="FB450" s="1388"/>
      <c r="FC450" s="1388"/>
      <c r="FD450" s="1388"/>
      <c r="FE450" s="1388"/>
      <c r="FF450" s="1388"/>
      <c r="FG450" s="1388"/>
      <c r="FH450" s="1388"/>
      <c r="FI450" s="51"/>
      <c r="FP450" s="1388"/>
      <c r="FQ450" s="1388"/>
      <c r="FR450" s="1388"/>
      <c r="FS450" s="1435"/>
      <c r="FT450" s="1435"/>
      <c r="FU450" s="1388"/>
      <c r="FV450" s="1388"/>
      <c r="FW450" s="1435"/>
      <c r="FX450" s="1435"/>
    </row>
    <row r="451" spans="1:180" ht="11.25" customHeight="1" x14ac:dyDescent="0.2">
      <c r="A451" s="1388"/>
      <c r="B451" s="1388"/>
      <c r="C451" s="1388"/>
      <c r="D451" s="1388"/>
      <c r="E451" s="1388"/>
      <c r="F451" s="1388"/>
      <c r="G451" s="1388"/>
      <c r="H451" s="1388"/>
      <c r="I451" s="1388"/>
      <c r="J451" s="1388"/>
      <c r="K451" s="1388"/>
      <c r="L451" s="1388"/>
      <c r="M451" s="1388"/>
      <c r="N451" s="1388"/>
      <c r="O451" s="1388"/>
      <c r="P451" s="1388"/>
      <c r="Q451" s="1388"/>
      <c r="R451" s="1388"/>
      <c r="S451" s="1388"/>
      <c r="T451" s="1388"/>
      <c r="U451" s="1388"/>
      <c r="V451" s="1388"/>
      <c r="W451" s="1388"/>
      <c r="X451" s="1388"/>
      <c r="Y451" s="1388"/>
      <c r="Z451" s="1388"/>
      <c r="AA451" s="1388"/>
      <c r="AB451" s="1388"/>
      <c r="AC451" s="1388"/>
      <c r="AD451" s="1388"/>
      <c r="AE451" s="1388"/>
      <c r="AF451" s="1388"/>
      <c r="AG451" s="1388"/>
      <c r="AH451" s="1388"/>
      <c r="AI451" s="1388"/>
      <c r="AJ451" s="1388"/>
      <c r="AK451" s="1388"/>
      <c r="AL451" s="1388"/>
      <c r="AM451" s="1388"/>
      <c r="AN451" s="1388"/>
      <c r="AO451" s="1388"/>
      <c r="AP451" s="1388"/>
      <c r="AQ451" s="1388"/>
      <c r="AR451" s="1388"/>
      <c r="AS451" s="1388"/>
      <c r="AT451" s="1388"/>
      <c r="AU451" s="1388"/>
      <c r="AV451" s="1388"/>
      <c r="AW451" s="1388"/>
      <c r="AX451" s="1388"/>
      <c r="AY451" s="1388"/>
      <c r="AZ451" s="1388"/>
      <c r="BA451" s="1388"/>
      <c r="BB451" s="1388"/>
      <c r="BC451" s="1388"/>
      <c r="BD451" s="1388"/>
      <c r="BE451" s="1388"/>
      <c r="BF451" s="1388"/>
      <c r="BG451" s="1388"/>
      <c r="BH451" s="1388"/>
      <c r="BI451" s="1388"/>
      <c r="BJ451" s="1388"/>
      <c r="BK451" s="1388"/>
      <c r="BL451" s="1388"/>
      <c r="BM451" s="1388"/>
      <c r="BN451" s="1388"/>
      <c r="BO451" s="1388"/>
      <c r="BP451" s="1388"/>
      <c r="BQ451" s="1388"/>
      <c r="BR451" s="1388"/>
      <c r="BS451" s="1388"/>
      <c r="BT451" s="1388"/>
      <c r="BU451" s="1388"/>
      <c r="BV451" s="1388"/>
      <c r="BW451" s="1388"/>
      <c r="BX451" s="1388"/>
      <c r="BY451" s="1388"/>
      <c r="BZ451" s="1388"/>
      <c r="CA451" s="1388"/>
      <c r="CB451" s="1388"/>
      <c r="CC451" s="1388"/>
      <c r="CD451" s="1388"/>
      <c r="CE451" s="1388"/>
      <c r="CF451" s="1388"/>
      <c r="CG451" s="1388"/>
      <c r="CH451" s="1388"/>
      <c r="CI451" s="1388"/>
      <c r="CJ451" s="1388"/>
      <c r="CK451" s="1388"/>
      <c r="CL451" s="1388"/>
      <c r="CM451" s="1388"/>
      <c r="CN451" s="1388"/>
      <c r="CO451" s="1388"/>
      <c r="CP451" s="1388"/>
      <c r="CQ451" s="1388"/>
      <c r="CR451" s="1388"/>
      <c r="CS451" s="1388"/>
      <c r="CT451" s="1388"/>
      <c r="CU451" s="1388"/>
      <c r="CV451" s="1388"/>
      <c r="CW451" s="1388"/>
      <c r="CX451" s="1388"/>
      <c r="CY451" s="1388"/>
      <c r="CZ451" s="1388"/>
      <c r="DA451" s="1388"/>
      <c r="DB451" s="1388"/>
      <c r="DC451" s="1388"/>
      <c r="DD451" s="1388"/>
      <c r="DE451" s="1388"/>
      <c r="DF451" s="1388"/>
      <c r="DG451" s="1388"/>
      <c r="DH451" s="1388"/>
      <c r="DI451" s="1388"/>
      <c r="DJ451" s="1474"/>
      <c r="DK451" s="1388"/>
      <c r="DL451" s="1388"/>
      <c r="DM451" s="1388"/>
      <c r="DN451" s="1388"/>
      <c r="DO451" s="1388"/>
      <c r="DP451" s="1388"/>
      <c r="DQ451" s="1388"/>
      <c r="DR451" s="1388"/>
      <c r="DS451" s="1388"/>
      <c r="DT451" s="1388"/>
      <c r="DU451" s="1388"/>
      <c r="DV451" s="1388"/>
      <c r="DW451" s="1388"/>
      <c r="DX451" s="1388"/>
      <c r="DY451" s="1388"/>
      <c r="DZ451" s="1388"/>
      <c r="EA451" s="1388"/>
      <c r="EB451" s="1388"/>
      <c r="EC451" s="1388"/>
      <c r="ED451" s="1388"/>
      <c r="EE451" s="1388"/>
      <c r="EF451" s="1388"/>
      <c r="EG451" s="1388"/>
      <c r="EH451" s="1388"/>
      <c r="EI451" s="1388"/>
      <c r="EJ451" s="1388"/>
      <c r="EK451" s="1388"/>
      <c r="EL451" s="1388"/>
      <c r="EM451" s="1388"/>
      <c r="EN451" s="1388"/>
      <c r="EO451" s="1388"/>
      <c r="EP451" s="1388"/>
      <c r="EQ451" s="1388"/>
      <c r="ER451" s="1388"/>
      <c r="ES451" s="1388"/>
      <c r="ET451" s="1388"/>
      <c r="EU451" s="1388"/>
      <c r="EV451" s="1388"/>
      <c r="EW451" s="1388"/>
      <c r="EX451" s="1388"/>
      <c r="EY451" s="1388"/>
      <c r="EZ451" s="1388"/>
      <c r="FA451" s="1388"/>
      <c r="FB451" s="1388"/>
      <c r="FC451" s="1388"/>
      <c r="FD451" s="1388"/>
      <c r="FE451" s="1388"/>
      <c r="FF451" s="1388"/>
      <c r="FG451" s="1388"/>
      <c r="FH451" s="1388"/>
      <c r="FI451" s="51"/>
      <c r="FP451" s="1388"/>
      <c r="FQ451" s="1388"/>
      <c r="FR451" s="1388"/>
      <c r="FS451" s="1435"/>
      <c r="FT451" s="1435"/>
      <c r="FU451" s="1388"/>
      <c r="FV451" s="1388"/>
      <c r="FW451" s="1435"/>
      <c r="FX451" s="1435"/>
    </row>
    <row r="452" spans="1:180" ht="11.25" customHeight="1" x14ac:dyDescent="0.2">
      <c r="A452" s="1388"/>
      <c r="B452" s="1388"/>
      <c r="C452" s="1388"/>
      <c r="D452" s="1388"/>
      <c r="E452" s="1388"/>
      <c r="F452" s="1388"/>
      <c r="G452" s="1388"/>
      <c r="H452" s="1388"/>
      <c r="I452" s="1388"/>
      <c r="J452" s="1388"/>
      <c r="K452" s="1388"/>
      <c r="L452" s="1388"/>
      <c r="M452" s="1388"/>
      <c r="N452" s="1388"/>
      <c r="O452" s="1388"/>
      <c r="P452" s="1388"/>
      <c r="Q452" s="1388"/>
      <c r="R452" s="1388"/>
      <c r="S452" s="1388"/>
      <c r="T452" s="1388"/>
      <c r="U452" s="1388"/>
      <c r="V452" s="1388"/>
      <c r="W452" s="1388"/>
      <c r="X452" s="1388"/>
      <c r="Y452" s="1388"/>
      <c r="Z452" s="1388"/>
      <c r="AA452" s="1388"/>
      <c r="AB452" s="1388"/>
      <c r="AC452" s="1388"/>
      <c r="AD452" s="1388"/>
      <c r="AE452" s="1388"/>
      <c r="AF452" s="1388"/>
      <c r="AG452" s="1388"/>
      <c r="AH452" s="1388"/>
      <c r="AI452" s="1388"/>
      <c r="AJ452" s="1388"/>
      <c r="AK452" s="1388"/>
      <c r="AL452" s="1388"/>
      <c r="AM452" s="1388"/>
      <c r="AN452" s="1388"/>
      <c r="AO452" s="1388"/>
      <c r="AP452" s="1388"/>
      <c r="AQ452" s="1388"/>
      <c r="AR452" s="1388"/>
      <c r="AS452" s="1388"/>
      <c r="AT452" s="1388"/>
      <c r="AU452" s="1388"/>
      <c r="AV452" s="1388"/>
      <c r="AW452" s="1388"/>
      <c r="AX452" s="1388"/>
      <c r="AY452" s="1388"/>
      <c r="AZ452" s="1388"/>
      <c r="BA452" s="1388"/>
      <c r="BB452" s="1388"/>
      <c r="BC452" s="1388"/>
      <c r="BD452" s="1388"/>
      <c r="BE452" s="1388"/>
      <c r="BF452" s="1388"/>
      <c r="BG452" s="1388"/>
      <c r="BH452" s="1388"/>
      <c r="BI452" s="1388"/>
      <c r="BJ452" s="1388"/>
      <c r="BK452" s="1388"/>
      <c r="BL452" s="1388"/>
      <c r="BM452" s="1388"/>
      <c r="BN452" s="1388"/>
      <c r="BO452" s="1388"/>
      <c r="BP452" s="1388"/>
      <c r="BQ452" s="1388"/>
      <c r="BR452" s="1388"/>
      <c r="BS452" s="1388"/>
      <c r="BT452" s="1388"/>
      <c r="BU452" s="1388"/>
      <c r="BV452" s="1388"/>
      <c r="BW452" s="1388"/>
      <c r="BX452" s="1388"/>
      <c r="BY452" s="1388"/>
      <c r="BZ452" s="1388"/>
      <c r="CA452" s="1388"/>
      <c r="CB452" s="1388"/>
      <c r="CC452" s="1388"/>
      <c r="CD452" s="1388"/>
      <c r="CE452" s="1388"/>
      <c r="CF452" s="1388"/>
      <c r="CG452" s="1388"/>
      <c r="CH452" s="1388"/>
      <c r="CI452" s="1388"/>
      <c r="CJ452" s="1388"/>
      <c r="CK452" s="1388"/>
      <c r="CL452" s="1388"/>
      <c r="CM452" s="1388"/>
      <c r="CN452" s="1388"/>
      <c r="CO452" s="1388"/>
      <c r="CP452" s="1388"/>
      <c r="CQ452" s="1388"/>
      <c r="CR452" s="1388"/>
      <c r="CS452" s="1388"/>
      <c r="CT452" s="1388"/>
      <c r="CU452" s="1388"/>
      <c r="CV452" s="1388"/>
      <c r="CW452" s="1388"/>
      <c r="CX452" s="1388"/>
      <c r="CY452" s="1388"/>
      <c r="CZ452" s="1388"/>
      <c r="DA452" s="1388"/>
      <c r="DB452" s="1388"/>
      <c r="DC452" s="1388"/>
      <c r="DD452" s="1388"/>
      <c r="DE452" s="1388"/>
      <c r="DF452" s="1388"/>
      <c r="DG452" s="1388"/>
      <c r="DH452" s="1388"/>
      <c r="DI452" s="1388"/>
      <c r="DJ452" s="1474"/>
      <c r="DK452" s="1388"/>
      <c r="DL452" s="1388"/>
      <c r="DM452" s="1388"/>
      <c r="DN452" s="1388"/>
      <c r="DO452" s="1388"/>
      <c r="DP452" s="1388"/>
      <c r="DQ452" s="1388"/>
      <c r="DR452" s="1388"/>
      <c r="DS452" s="1388"/>
      <c r="DT452" s="1388"/>
      <c r="DU452" s="1388"/>
      <c r="DV452" s="1388"/>
      <c r="DW452" s="1388"/>
      <c r="DX452" s="1388"/>
      <c r="DY452" s="1388"/>
      <c r="DZ452" s="1388"/>
      <c r="EA452" s="1388"/>
      <c r="EB452" s="1388"/>
      <c r="EC452" s="1388"/>
      <c r="ED452" s="1388"/>
      <c r="EE452" s="1388"/>
      <c r="EF452" s="1388"/>
      <c r="EG452" s="1388"/>
      <c r="EH452" s="1388"/>
      <c r="EI452" s="1388"/>
      <c r="EJ452" s="1388"/>
      <c r="EK452" s="1388"/>
      <c r="EL452" s="1388"/>
      <c r="EM452" s="1388"/>
      <c r="EN452" s="1388"/>
      <c r="EO452" s="1388"/>
      <c r="EP452" s="1388"/>
      <c r="EQ452" s="1388"/>
      <c r="ER452" s="1388"/>
      <c r="ES452" s="1388"/>
      <c r="ET452" s="1388"/>
      <c r="EU452" s="1388"/>
      <c r="EV452" s="1388"/>
      <c r="EW452" s="1388"/>
      <c r="EX452" s="1388"/>
      <c r="EY452" s="1388"/>
      <c r="EZ452" s="1388"/>
      <c r="FA452" s="1388"/>
      <c r="FB452" s="1388"/>
      <c r="FC452" s="1388"/>
      <c r="FD452" s="1388"/>
      <c r="FE452" s="1388"/>
      <c r="FF452" s="1388"/>
      <c r="FG452" s="1388"/>
      <c r="FH452" s="1388"/>
      <c r="FI452" s="51"/>
      <c r="FP452" s="1388"/>
      <c r="FQ452" s="1388"/>
      <c r="FR452" s="1388"/>
      <c r="FS452" s="1435"/>
      <c r="FT452" s="1435"/>
      <c r="FU452" s="1388"/>
      <c r="FV452" s="1388"/>
      <c r="FW452" s="1435"/>
      <c r="FX452" s="1435"/>
    </row>
    <row r="453" spans="1:180" ht="11.25" customHeight="1" x14ac:dyDescent="0.2">
      <c r="A453" s="1388"/>
      <c r="B453" s="1388"/>
      <c r="C453" s="1388"/>
      <c r="D453" s="1388"/>
      <c r="E453" s="1388"/>
      <c r="F453" s="1388"/>
      <c r="G453" s="1388"/>
      <c r="H453" s="1388"/>
      <c r="I453" s="1388"/>
      <c r="J453" s="1388"/>
      <c r="K453" s="1388"/>
      <c r="L453" s="1388"/>
      <c r="M453" s="1388"/>
      <c r="N453" s="1388"/>
      <c r="O453" s="1388"/>
      <c r="P453" s="1388"/>
      <c r="Q453" s="1388"/>
      <c r="R453" s="1388"/>
      <c r="S453" s="1388"/>
      <c r="T453" s="1388"/>
      <c r="U453" s="1388"/>
      <c r="V453" s="1388"/>
      <c r="W453" s="1388"/>
      <c r="X453" s="1388"/>
      <c r="Y453" s="1388"/>
      <c r="Z453" s="1388"/>
      <c r="AA453" s="1388"/>
      <c r="AB453" s="1388"/>
      <c r="AC453" s="1388"/>
      <c r="AD453" s="1388"/>
      <c r="AE453" s="1388"/>
      <c r="AF453" s="1388"/>
      <c r="AG453" s="1388"/>
      <c r="AH453" s="1388"/>
      <c r="AI453" s="1388"/>
      <c r="AJ453" s="1388"/>
      <c r="AK453" s="1388"/>
      <c r="AL453" s="1388"/>
      <c r="AM453" s="1388"/>
      <c r="AN453" s="1388"/>
      <c r="AO453" s="1388"/>
      <c r="AP453" s="1388"/>
      <c r="AQ453" s="1388"/>
      <c r="AR453" s="1388"/>
      <c r="AS453" s="1388"/>
      <c r="AT453" s="1388"/>
      <c r="AU453" s="1388"/>
      <c r="AV453" s="1388"/>
      <c r="AW453" s="1388"/>
      <c r="AX453" s="1388"/>
      <c r="AY453" s="1388"/>
      <c r="AZ453" s="1388"/>
      <c r="BA453" s="1388"/>
      <c r="BB453" s="1388"/>
      <c r="BC453" s="1388"/>
      <c r="BD453" s="1388"/>
      <c r="BE453" s="1388"/>
      <c r="BF453" s="1388"/>
      <c r="BG453" s="1388"/>
      <c r="BH453" s="1388"/>
      <c r="BI453" s="1388"/>
      <c r="BJ453" s="1388"/>
      <c r="BK453" s="1388"/>
      <c r="BL453" s="1388"/>
      <c r="BM453" s="1388"/>
      <c r="BN453" s="1388"/>
      <c r="BO453" s="1388"/>
      <c r="BP453" s="1388"/>
      <c r="BQ453" s="1388"/>
      <c r="BR453" s="1388"/>
      <c r="BS453" s="1388"/>
      <c r="BT453" s="1388"/>
      <c r="BU453" s="1388"/>
      <c r="BV453" s="1388"/>
      <c r="BW453" s="1388"/>
      <c r="BX453" s="1388"/>
      <c r="BY453" s="1388"/>
      <c r="BZ453" s="1388"/>
      <c r="CA453" s="1388"/>
      <c r="CB453" s="1388"/>
      <c r="CC453" s="1388"/>
      <c r="CD453" s="1388"/>
      <c r="CE453" s="1388"/>
      <c r="CF453" s="1388"/>
      <c r="CG453" s="1388"/>
      <c r="CH453" s="1388"/>
      <c r="CI453" s="1388"/>
      <c r="CJ453" s="1388"/>
      <c r="CK453" s="1388"/>
      <c r="CL453" s="1388"/>
      <c r="CM453" s="1388"/>
      <c r="CN453" s="1388"/>
      <c r="CO453" s="1388"/>
      <c r="CP453" s="1388"/>
      <c r="CQ453" s="1388"/>
      <c r="CR453" s="1388"/>
      <c r="CS453" s="1388"/>
      <c r="CT453" s="1388"/>
      <c r="CU453" s="1388"/>
      <c r="CV453" s="1388"/>
      <c r="CW453" s="1388"/>
      <c r="CX453" s="1388"/>
      <c r="CY453" s="1388"/>
      <c r="CZ453" s="1388"/>
      <c r="DA453" s="1388"/>
      <c r="DB453" s="1388"/>
      <c r="DC453" s="1388"/>
      <c r="DD453" s="1388"/>
      <c r="DE453" s="1388"/>
      <c r="DF453" s="1388"/>
      <c r="DG453" s="1388"/>
      <c r="DH453" s="1388"/>
      <c r="DI453" s="1388"/>
      <c r="DJ453" s="1474"/>
      <c r="DK453" s="1388"/>
      <c r="DL453" s="1388"/>
      <c r="DM453" s="1388"/>
      <c r="DN453" s="1388"/>
      <c r="DO453" s="1388"/>
      <c r="DP453" s="1388"/>
      <c r="DQ453" s="1388"/>
      <c r="DR453" s="1388"/>
      <c r="DS453" s="1388"/>
      <c r="DT453" s="1388"/>
      <c r="DU453" s="1388"/>
      <c r="DV453" s="1388"/>
      <c r="DW453" s="1388"/>
      <c r="DX453" s="1388"/>
      <c r="DY453" s="1388"/>
      <c r="DZ453" s="1388"/>
      <c r="EA453" s="1388"/>
      <c r="EB453" s="1388"/>
      <c r="EC453" s="1388"/>
      <c r="ED453" s="1388"/>
      <c r="EE453" s="1388"/>
      <c r="EF453" s="1388"/>
      <c r="EG453" s="1388"/>
      <c r="EH453" s="1388"/>
      <c r="EI453" s="1388"/>
      <c r="EJ453" s="1388"/>
      <c r="EK453" s="1388"/>
      <c r="EL453" s="1388"/>
      <c r="EM453" s="1388"/>
      <c r="EN453" s="1388"/>
      <c r="EO453" s="1388"/>
      <c r="EP453" s="1388"/>
      <c r="EQ453" s="1388"/>
      <c r="ER453" s="1388"/>
      <c r="ES453" s="1388"/>
      <c r="ET453" s="1388"/>
      <c r="EU453" s="1388"/>
      <c r="EV453" s="1388"/>
      <c r="EW453" s="1388"/>
      <c r="EX453" s="1388"/>
      <c r="EY453" s="1388"/>
      <c r="EZ453" s="1388"/>
      <c r="FA453" s="1388"/>
      <c r="FB453" s="1388"/>
      <c r="FC453" s="1388"/>
      <c r="FD453" s="1388"/>
      <c r="FE453" s="1388"/>
      <c r="FF453" s="1388"/>
      <c r="FG453" s="1388"/>
      <c r="FH453" s="1388"/>
      <c r="FI453" s="51"/>
      <c r="FP453" s="1388"/>
      <c r="FQ453" s="1388"/>
      <c r="FR453" s="1388"/>
      <c r="FS453" s="1435"/>
      <c r="FT453" s="1435"/>
      <c r="FU453" s="1388"/>
      <c r="FV453" s="1388"/>
      <c r="FW453" s="1435"/>
      <c r="FX453" s="1435"/>
    </row>
    <row r="454" spans="1:180" ht="11.25" customHeight="1" x14ac:dyDescent="0.2">
      <c r="A454" s="1388"/>
      <c r="B454" s="1388"/>
      <c r="C454" s="1388"/>
      <c r="D454" s="1388"/>
      <c r="E454" s="1388"/>
      <c r="F454" s="1388"/>
      <c r="G454" s="1388"/>
      <c r="H454" s="1388"/>
      <c r="I454" s="1388"/>
      <c r="J454" s="1388"/>
      <c r="K454" s="1388"/>
      <c r="L454" s="1388"/>
      <c r="M454" s="1388"/>
      <c r="N454" s="1388"/>
      <c r="O454" s="1388"/>
      <c r="P454" s="1388"/>
      <c r="Q454" s="1388"/>
      <c r="R454" s="1388"/>
      <c r="S454" s="1388"/>
      <c r="T454" s="1388"/>
      <c r="U454" s="1388"/>
      <c r="V454" s="1388"/>
      <c r="W454" s="1388"/>
      <c r="X454" s="1388"/>
      <c r="Y454" s="1388"/>
      <c r="Z454" s="1388"/>
      <c r="AA454" s="1388"/>
      <c r="AB454" s="1388"/>
      <c r="AC454" s="1388"/>
      <c r="AD454" s="1388"/>
      <c r="AE454" s="1388"/>
      <c r="AF454" s="1388"/>
      <c r="AG454" s="1388"/>
      <c r="AH454" s="1388"/>
      <c r="AI454" s="1388"/>
      <c r="AJ454" s="1388"/>
      <c r="AK454" s="1388"/>
      <c r="AL454" s="1388"/>
      <c r="AM454" s="1388"/>
      <c r="AN454" s="1388"/>
      <c r="AO454" s="1388"/>
      <c r="AP454" s="1388"/>
      <c r="AQ454" s="1388"/>
      <c r="AR454" s="1388"/>
      <c r="AS454" s="1388"/>
      <c r="AT454" s="1388"/>
      <c r="AU454" s="1388"/>
      <c r="AV454" s="1388"/>
      <c r="AW454" s="1388"/>
      <c r="AX454" s="1388"/>
      <c r="AY454" s="1388"/>
      <c r="AZ454" s="1388"/>
      <c r="BA454" s="1388"/>
      <c r="BB454" s="1388"/>
      <c r="BC454" s="1388"/>
      <c r="BD454" s="1388"/>
      <c r="BE454" s="1388"/>
      <c r="BF454" s="1388"/>
      <c r="BG454" s="1388"/>
      <c r="BH454" s="1388"/>
      <c r="BI454" s="1388"/>
      <c r="BJ454" s="1388"/>
      <c r="BK454" s="1388"/>
      <c r="BL454" s="1388"/>
      <c r="BM454" s="1388"/>
      <c r="BN454" s="1388"/>
      <c r="BO454" s="1388"/>
      <c r="BP454" s="1388"/>
      <c r="BQ454" s="1388"/>
      <c r="BR454" s="1388"/>
      <c r="BS454" s="1388"/>
      <c r="BT454" s="1388"/>
      <c r="BU454" s="1388"/>
      <c r="BV454" s="1388"/>
      <c r="BW454" s="1388"/>
      <c r="BX454" s="1388"/>
      <c r="BY454" s="1388"/>
      <c r="BZ454" s="1388"/>
      <c r="CA454" s="1388"/>
      <c r="CB454" s="1388"/>
      <c r="CC454" s="1388"/>
      <c r="CD454" s="1388"/>
      <c r="CE454" s="1388"/>
      <c r="CF454" s="1388"/>
      <c r="CG454" s="1388"/>
      <c r="CH454" s="1388"/>
      <c r="CI454" s="1388"/>
      <c r="CJ454" s="1388"/>
      <c r="CK454" s="1388"/>
      <c r="CL454" s="1388"/>
      <c r="CM454" s="1388"/>
      <c r="CN454" s="1388"/>
      <c r="CO454" s="1388"/>
      <c r="CP454" s="1388"/>
      <c r="CQ454" s="1388"/>
      <c r="CR454" s="1388"/>
      <c r="CS454" s="1388"/>
      <c r="CT454" s="1388"/>
      <c r="CU454" s="1388"/>
      <c r="CV454" s="1388"/>
      <c r="CW454" s="1388"/>
      <c r="CX454" s="1388"/>
      <c r="CY454" s="1388"/>
      <c r="CZ454" s="1388"/>
      <c r="DA454" s="1388"/>
      <c r="DB454" s="1388"/>
      <c r="DC454" s="1388"/>
      <c r="DD454" s="1388"/>
      <c r="DE454" s="1388"/>
      <c r="DF454" s="1388"/>
      <c r="DG454" s="1388"/>
      <c r="DH454" s="1388"/>
      <c r="DI454" s="1388"/>
      <c r="DJ454" s="1474"/>
      <c r="DK454" s="1388"/>
      <c r="DL454" s="1388"/>
      <c r="DM454" s="1388"/>
      <c r="DN454" s="1388"/>
      <c r="DO454" s="1388"/>
      <c r="DP454" s="1388"/>
      <c r="DQ454" s="1388"/>
      <c r="DR454" s="1388"/>
      <c r="DS454" s="1388"/>
      <c r="DT454" s="1388"/>
      <c r="DU454" s="1388"/>
      <c r="DV454" s="1388"/>
      <c r="DW454" s="1388"/>
      <c r="DX454" s="1388"/>
      <c r="DY454" s="1388"/>
      <c r="DZ454" s="1388"/>
      <c r="EA454" s="1388"/>
      <c r="EB454" s="1388"/>
      <c r="EC454" s="1388"/>
      <c r="ED454" s="1388"/>
      <c r="EE454" s="1388"/>
      <c r="EF454" s="1388"/>
      <c r="EG454" s="1388"/>
      <c r="EH454" s="1388"/>
      <c r="EI454" s="1388"/>
      <c r="EJ454" s="1388"/>
      <c r="EK454" s="1388"/>
      <c r="EL454" s="1388"/>
      <c r="EM454" s="1388"/>
      <c r="EN454" s="1388"/>
      <c r="EO454" s="1388"/>
      <c r="EP454" s="1388"/>
      <c r="EQ454" s="1388"/>
      <c r="ER454" s="1388"/>
      <c r="ES454" s="1388"/>
      <c r="ET454" s="1388"/>
      <c r="EU454" s="1388"/>
      <c r="EV454" s="1388"/>
      <c r="EW454" s="1388"/>
      <c r="EX454" s="1388"/>
      <c r="EY454" s="1388"/>
      <c r="EZ454" s="1388"/>
      <c r="FA454" s="1388"/>
      <c r="FB454" s="1388"/>
      <c r="FC454" s="1388"/>
      <c r="FD454" s="1388"/>
      <c r="FE454" s="1388"/>
      <c r="FF454" s="1388"/>
      <c r="FG454" s="1388"/>
      <c r="FH454" s="1388"/>
      <c r="FI454" s="51"/>
      <c r="FP454" s="1388"/>
      <c r="FQ454" s="1388"/>
      <c r="FR454" s="1388"/>
      <c r="FS454" s="1435"/>
      <c r="FT454" s="1435"/>
      <c r="FU454" s="1388"/>
      <c r="FV454" s="1388"/>
      <c r="FW454" s="1435"/>
      <c r="FX454" s="1435"/>
    </row>
    <row r="455" spans="1:180" ht="11.25" customHeight="1" x14ac:dyDescent="0.2">
      <c r="A455" s="1388"/>
      <c r="B455" s="1388"/>
      <c r="C455" s="1388"/>
      <c r="D455" s="1388"/>
      <c r="E455" s="1388"/>
      <c r="F455" s="1388"/>
      <c r="G455" s="1388"/>
      <c r="H455" s="1388"/>
      <c r="I455" s="1388"/>
      <c r="J455" s="1388"/>
      <c r="K455" s="1388"/>
      <c r="L455" s="1388"/>
      <c r="M455" s="1388"/>
      <c r="N455" s="1388"/>
      <c r="O455" s="1388"/>
      <c r="P455" s="1388"/>
      <c r="Q455" s="1388"/>
      <c r="R455" s="1388"/>
      <c r="S455" s="1388"/>
      <c r="T455" s="1388"/>
      <c r="U455" s="1388"/>
      <c r="V455" s="1388"/>
      <c r="W455" s="1388"/>
      <c r="X455" s="1388"/>
      <c r="Y455" s="1388"/>
      <c r="Z455" s="1388"/>
      <c r="AA455" s="1388"/>
      <c r="AB455" s="1388"/>
      <c r="AC455" s="1388"/>
      <c r="AD455" s="1388"/>
      <c r="AE455" s="1388"/>
      <c r="AF455" s="1388"/>
      <c r="AG455" s="1388"/>
      <c r="AH455" s="1388"/>
      <c r="AI455" s="1388"/>
      <c r="AJ455" s="1388"/>
      <c r="AK455" s="1388"/>
      <c r="AL455" s="1388"/>
      <c r="AM455" s="1388"/>
      <c r="AN455" s="1388"/>
      <c r="AO455" s="1388"/>
      <c r="AP455" s="1388"/>
      <c r="AQ455" s="1388"/>
      <c r="AR455" s="1388"/>
      <c r="AS455" s="1388"/>
      <c r="AT455" s="1388"/>
      <c r="AU455" s="1388"/>
      <c r="AV455" s="1388"/>
      <c r="AW455" s="1388"/>
      <c r="AX455" s="1388"/>
      <c r="AY455" s="1388"/>
      <c r="AZ455" s="1388"/>
      <c r="BA455" s="1388"/>
      <c r="BB455" s="1388"/>
      <c r="BC455" s="1388"/>
      <c r="BD455" s="1388"/>
      <c r="BE455" s="1388"/>
      <c r="BF455" s="1388"/>
      <c r="BG455" s="1388"/>
      <c r="BH455" s="1388"/>
      <c r="BI455" s="1388"/>
      <c r="BJ455" s="1388"/>
      <c r="BK455" s="1388"/>
      <c r="BL455" s="1388"/>
      <c r="BM455" s="1388"/>
      <c r="BN455" s="1388"/>
      <c r="BO455" s="1388"/>
      <c r="BP455" s="1388"/>
      <c r="BQ455" s="1388"/>
      <c r="BR455" s="1388"/>
      <c r="BS455" s="1388"/>
      <c r="BT455" s="1388"/>
      <c r="BU455" s="1388"/>
      <c r="BV455" s="1388"/>
      <c r="BW455" s="1388"/>
      <c r="BX455" s="1388"/>
      <c r="BY455" s="1388"/>
      <c r="BZ455" s="1388"/>
      <c r="CA455" s="1388"/>
      <c r="CB455" s="1388"/>
      <c r="CC455" s="1388"/>
      <c r="CD455" s="1388"/>
      <c r="CE455" s="1388"/>
      <c r="CF455" s="1388"/>
      <c r="CG455" s="1388"/>
      <c r="CH455" s="1388"/>
      <c r="CI455" s="1388"/>
      <c r="CJ455" s="1388"/>
      <c r="CK455" s="1388"/>
      <c r="CL455" s="1388"/>
      <c r="CM455" s="1388"/>
      <c r="CN455" s="1388"/>
      <c r="CO455" s="1388"/>
      <c r="CP455" s="1388"/>
      <c r="CQ455" s="1388"/>
      <c r="CR455" s="1388"/>
      <c r="CS455" s="1388"/>
      <c r="CT455" s="1388"/>
      <c r="CU455" s="1388"/>
      <c r="CV455" s="1388"/>
      <c r="CW455" s="1388"/>
      <c r="CX455" s="1388"/>
      <c r="CY455" s="1388"/>
      <c r="CZ455" s="1388"/>
      <c r="DA455" s="1388"/>
      <c r="DB455" s="1388"/>
      <c r="DC455" s="1388"/>
      <c r="DD455" s="1388"/>
      <c r="DE455" s="1388"/>
      <c r="DF455" s="1388"/>
      <c r="DG455" s="1388"/>
      <c r="DH455" s="1388"/>
      <c r="DI455" s="1388"/>
      <c r="DJ455" s="1474"/>
      <c r="DK455" s="1388"/>
      <c r="DL455" s="1388"/>
      <c r="DM455" s="1388"/>
      <c r="DN455" s="1388"/>
      <c r="DO455" s="1388"/>
      <c r="DP455" s="1388"/>
      <c r="DQ455" s="1388"/>
      <c r="DR455" s="1388"/>
      <c r="DS455" s="1388"/>
      <c r="DT455" s="1388"/>
      <c r="DU455" s="1388"/>
      <c r="DV455" s="1388"/>
      <c r="DW455" s="1388"/>
      <c r="DX455" s="1388"/>
      <c r="DY455" s="1388"/>
      <c r="DZ455" s="1388"/>
      <c r="EA455" s="1388"/>
      <c r="EB455" s="1388"/>
      <c r="EC455" s="1388"/>
      <c r="ED455" s="1388"/>
      <c r="EE455" s="1388"/>
      <c r="EF455" s="1388"/>
      <c r="EG455" s="1388"/>
      <c r="EH455" s="1388"/>
      <c r="EI455" s="1388"/>
      <c r="EJ455" s="1388"/>
      <c r="EK455" s="1388"/>
      <c r="EL455" s="1388"/>
      <c r="EM455" s="1388"/>
      <c r="EN455" s="1388"/>
      <c r="EO455" s="1388"/>
      <c r="EP455" s="1388"/>
      <c r="EQ455" s="1388"/>
      <c r="ER455" s="1388"/>
      <c r="ES455" s="1388"/>
      <c r="ET455" s="1388"/>
      <c r="EU455" s="1388"/>
      <c r="EV455" s="1388"/>
      <c r="EW455" s="1388"/>
      <c r="EX455" s="1388"/>
      <c r="EY455" s="1388"/>
      <c r="EZ455" s="1388"/>
      <c r="FA455" s="1388"/>
      <c r="FB455" s="1388"/>
      <c r="FC455" s="1388"/>
      <c r="FD455" s="1388"/>
      <c r="FE455" s="1388"/>
      <c r="FF455" s="1388"/>
      <c r="FG455" s="1388"/>
      <c r="FH455" s="1388"/>
      <c r="FI455" s="51"/>
      <c r="FP455" s="1388"/>
      <c r="FQ455" s="1388"/>
      <c r="FR455" s="1388"/>
      <c r="FS455" s="1435"/>
      <c r="FT455" s="1435"/>
      <c r="FU455" s="1388"/>
      <c r="FV455" s="1388"/>
      <c r="FW455" s="1435"/>
      <c r="FX455" s="1435"/>
    </row>
    <row r="456" spans="1:180" ht="11.25" customHeight="1" x14ac:dyDescent="0.2">
      <c r="A456" s="1388"/>
      <c r="B456" s="1388"/>
      <c r="C456" s="1388"/>
      <c r="D456" s="1388"/>
      <c r="E456" s="1388"/>
      <c r="F456" s="1388"/>
      <c r="G456" s="1388"/>
      <c r="H456" s="1388"/>
      <c r="I456" s="1388"/>
      <c r="J456" s="1388"/>
      <c r="K456" s="1388"/>
      <c r="L456" s="1388"/>
      <c r="M456" s="1388"/>
      <c r="N456" s="1388"/>
      <c r="O456" s="1388"/>
      <c r="P456" s="1388"/>
      <c r="Q456" s="1388"/>
      <c r="R456" s="1388"/>
      <c r="S456" s="1388"/>
      <c r="T456" s="1388"/>
      <c r="U456" s="1388"/>
      <c r="V456" s="1388"/>
      <c r="W456" s="1388"/>
      <c r="X456" s="1388"/>
      <c r="Y456" s="1388"/>
      <c r="Z456" s="1388"/>
      <c r="AA456" s="1388"/>
      <c r="AB456" s="1388"/>
      <c r="AC456" s="1388"/>
      <c r="AD456" s="1388"/>
      <c r="AE456" s="1388"/>
      <c r="AF456" s="1388"/>
      <c r="AG456" s="1388"/>
      <c r="AH456" s="1388"/>
      <c r="AI456" s="1388"/>
      <c r="AJ456" s="1388"/>
      <c r="AK456" s="1388"/>
      <c r="AL456" s="1388"/>
      <c r="AM456" s="1388"/>
      <c r="AN456" s="1388"/>
      <c r="AO456" s="1388"/>
      <c r="AP456" s="1388"/>
      <c r="AQ456" s="1388"/>
      <c r="AR456" s="1388"/>
      <c r="AS456" s="1388"/>
      <c r="AT456" s="1388"/>
      <c r="AU456" s="1388"/>
      <c r="AV456" s="1388"/>
      <c r="AW456" s="1388"/>
      <c r="AX456" s="1388"/>
      <c r="AY456" s="1388"/>
      <c r="AZ456" s="1388"/>
      <c r="BA456" s="1388"/>
      <c r="BB456" s="1388"/>
      <c r="BC456" s="1388"/>
      <c r="BD456" s="1388"/>
      <c r="BE456" s="1388"/>
      <c r="BF456" s="1388"/>
      <c r="BG456" s="1388"/>
      <c r="BH456" s="1388"/>
      <c r="BI456" s="1388"/>
      <c r="BJ456" s="1388"/>
      <c r="BK456" s="1388"/>
      <c r="BL456" s="1388"/>
      <c r="BM456" s="1388"/>
      <c r="BN456" s="1388"/>
      <c r="BO456" s="1388"/>
      <c r="BP456" s="1388"/>
      <c r="BQ456" s="1388"/>
      <c r="BR456" s="1388"/>
      <c r="BS456" s="1388"/>
      <c r="BT456" s="1388"/>
      <c r="BU456" s="1388"/>
      <c r="BV456" s="1388"/>
      <c r="BW456" s="1388"/>
      <c r="BX456" s="1388"/>
      <c r="BY456" s="1388"/>
      <c r="BZ456" s="1388"/>
      <c r="CA456" s="1388"/>
      <c r="CB456" s="1388"/>
      <c r="CC456" s="1388"/>
      <c r="CD456" s="1388"/>
      <c r="CE456" s="1388"/>
      <c r="CF456" s="1388"/>
      <c r="CG456" s="1388"/>
      <c r="CH456" s="1388"/>
      <c r="CI456" s="1388"/>
      <c r="CJ456" s="1388"/>
      <c r="CK456" s="1388"/>
      <c r="CL456" s="1388"/>
      <c r="CM456" s="1388"/>
      <c r="CN456" s="1388"/>
      <c r="CO456" s="1388"/>
      <c r="CP456" s="1388"/>
      <c r="CQ456" s="1388"/>
      <c r="CR456" s="1388"/>
      <c r="CS456" s="1388"/>
      <c r="CT456" s="1388"/>
      <c r="CU456" s="1388"/>
      <c r="CV456" s="1388"/>
      <c r="CW456" s="1388"/>
      <c r="CX456" s="1388"/>
      <c r="CY456" s="1388"/>
      <c r="CZ456" s="1388"/>
      <c r="DA456" s="1388"/>
      <c r="DB456" s="1388"/>
      <c r="DC456" s="1388"/>
      <c r="DD456" s="1388"/>
      <c r="DE456" s="1388"/>
      <c r="DF456" s="1388"/>
      <c r="DG456" s="1388"/>
      <c r="DH456" s="1388"/>
      <c r="DI456" s="1388"/>
      <c r="DJ456" s="1474"/>
      <c r="DK456" s="1388"/>
      <c r="DL456" s="1388"/>
      <c r="DM456" s="1388"/>
      <c r="DN456" s="1388"/>
      <c r="DO456" s="1388"/>
      <c r="DP456" s="1388"/>
      <c r="DQ456" s="1388"/>
      <c r="DR456" s="1388"/>
      <c r="DS456" s="1388"/>
      <c r="DT456" s="1388"/>
      <c r="DU456" s="1388"/>
      <c r="DV456" s="1388"/>
      <c r="DW456" s="1388"/>
      <c r="DX456" s="1388"/>
      <c r="DY456" s="1388"/>
      <c r="DZ456" s="1388"/>
      <c r="EA456" s="1388"/>
      <c r="EB456" s="1388"/>
      <c r="EC456" s="1388"/>
      <c r="ED456" s="1388"/>
      <c r="EE456" s="1388"/>
      <c r="EF456" s="1388"/>
      <c r="EG456" s="1388"/>
      <c r="EH456" s="1388"/>
      <c r="EI456" s="1388"/>
      <c r="EJ456" s="1388"/>
      <c r="EK456" s="1388"/>
      <c r="EL456" s="1388"/>
      <c r="EM456" s="1388"/>
      <c r="EN456" s="1388"/>
      <c r="EO456" s="1388"/>
      <c r="EP456" s="1388"/>
      <c r="EQ456" s="1388"/>
      <c r="ER456" s="1388"/>
      <c r="ES456" s="1388"/>
      <c r="ET456" s="1388"/>
      <c r="EU456" s="1388"/>
      <c r="EV456" s="1388"/>
      <c r="EW456" s="1388"/>
      <c r="EX456" s="1388"/>
      <c r="EY456" s="1388"/>
      <c r="EZ456" s="1388"/>
      <c r="FA456" s="1388"/>
      <c r="FB456" s="1388"/>
      <c r="FC456" s="1388"/>
      <c r="FD456" s="1388"/>
      <c r="FE456" s="1388"/>
      <c r="FF456" s="1388"/>
      <c r="FG456" s="1388"/>
      <c r="FH456" s="1388"/>
      <c r="FI456" s="51"/>
      <c r="FP456" s="1388"/>
      <c r="FQ456" s="1388"/>
      <c r="FR456" s="1388"/>
      <c r="FS456" s="1435"/>
      <c r="FT456" s="1435"/>
      <c r="FU456" s="1388"/>
      <c r="FV456" s="1388"/>
      <c r="FW456" s="1435"/>
      <c r="FX456" s="1435"/>
    </row>
    <row r="457" spans="1:180" ht="11.25" customHeight="1" x14ac:dyDescent="0.2">
      <c r="A457" s="1388"/>
      <c r="B457" s="1388"/>
      <c r="C457" s="1388"/>
      <c r="D457" s="1388"/>
      <c r="E457" s="1388"/>
      <c r="F457" s="1388"/>
      <c r="G457" s="1388"/>
      <c r="H457" s="1388"/>
      <c r="I457" s="1388"/>
      <c r="J457" s="1388"/>
      <c r="K457" s="1388"/>
      <c r="L457" s="1388"/>
      <c r="M457" s="1388"/>
      <c r="N457" s="1388"/>
      <c r="O457" s="1388"/>
      <c r="P457" s="1388"/>
      <c r="Q457" s="1388"/>
      <c r="R457" s="1388"/>
      <c r="S457" s="1388"/>
      <c r="T457" s="1388"/>
      <c r="U457" s="1388"/>
      <c r="V457" s="1388"/>
      <c r="W457" s="1388"/>
      <c r="X457" s="1388"/>
      <c r="Y457" s="1388"/>
      <c r="Z457" s="1388"/>
      <c r="AA457" s="1388"/>
      <c r="AB457" s="1388"/>
      <c r="AC457" s="1388"/>
      <c r="AD457" s="1388"/>
      <c r="AE457" s="1388"/>
      <c r="AF457" s="1388"/>
      <c r="AG457" s="1388"/>
      <c r="AH457" s="1388"/>
      <c r="AI457" s="1388"/>
      <c r="AJ457" s="1388"/>
      <c r="AK457" s="1388"/>
      <c r="AL457" s="1388"/>
      <c r="AM457" s="1388"/>
      <c r="AN457" s="1388"/>
      <c r="AO457" s="1388"/>
      <c r="AP457" s="1388"/>
      <c r="AQ457" s="1388"/>
      <c r="AR457" s="1388"/>
      <c r="AS457" s="1388"/>
      <c r="AT457" s="1388"/>
      <c r="AU457" s="1388"/>
      <c r="AV457" s="1388"/>
      <c r="AW457" s="1388"/>
      <c r="AX457" s="1388"/>
      <c r="AY457" s="1388"/>
      <c r="AZ457" s="1388"/>
      <c r="BA457" s="1388"/>
      <c r="BB457" s="1388"/>
      <c r="BC457" s="1388"/>
      <c r="BD457" s="1388"/>
      <c r="BE457" s="1388"/>
      <c r="BF457" s="1388"/>
      <c r="BG457" s="1388"/>
      <c r="BH457" s="1388"/>
      <c r="BI457" s="1388"/>
      <c r="BJ457" s="1388"/>
      <c r="BK457" s="1388"/>
      <c r="BL457" s="1388"/>
      <c r="BM457" s="1388"/>
      <c r="BN457" s="1388"/>
      <c r="BO457" s="1388"/>
      <c r="BP457" s="1388"/>
      <c r="BQ457" s="1388"/>
      <c r="BR457" s="1388"/>
      <c r="BS457" s="1388"/>
      <c r="BT457" s="1388"/>
      <c r="BU457" s="1388"/>
      <c r="BV457" s="1388"/>
      <c r="BW457" s="1388"/>
      <c r="BX457" s="1388"/>
      <c r="BY457" s="1388"/>
      <c r="BZ457" s="1388"/>
      <c r="CA457" s="1388"/>
      <c r="CB457" s="1388"/>
      <c r="CC457" s="1388"/>
      <c r="CD457" s="1388"/>
      <c r="CE457" s="1388"/>
      <c r="CF457" s="1388"/>
      <c r="CG457" s="1388"/>
      <c r="CH457" s="1388"/>
      <c r="CI457" s="1388"/>
      <c r="CJ457" s="1388"/>
      <c r="CK457" s="1388"/>
      <c r="CL457" s="1388"/>
      <c r="CM457" s="1388"/>
      <c r="CN457" s="1388"/>
      <c r="CO457" s="1388"/>
      <c r="CP457" s="1388"/>
      <c r="CQ457" s="1388"/>
      <c r="CR457" s="1388"/>
      <c r="CS457" s="1388"/>
      <c r="CT457" s="1388"/>
      <c r="CU457" s="1388"/>
      <c r="CV457" s="1388"/>
      <c r="CW457" s="1388"/>
      <c r="CX457" s="1388"/>
      <c r="CY457" s="1388"/>
      <c r="CZ457" s="1388"/>
      <c r="DA457" s="1388"/>
      <c r="DB457" s="1388"/>
      <c r="DC457" s="1388"/>
      <c r="DD457" s="1388"/>
      <c r="DE457" s="1388"/>
      <c r="DF457" s="1388"/>
      <c r="DG457" s="1388"/>
      <c r="DH457" s="1388"/>
      <c r="DI457" s="1388"/>
      <c r="DJ457" s="1474"/>
      <c r="DK457" s="1388"/>
      <c r="DL457" s="1388"/>
      <c r="DM457" s="1388"/>
      <c r="DN457" s="1388"/>
      <c r="DO457" s="1388"/>
      <c r="DP457" s="1388"/>
      <c r="DQ457" s="1388"/>
      <c r="DR457" s="1388"/>
      <c r="DS457" s="1388"/>
      <c r="DT457" s="1388"/>
      <c r="DU457" s="1388"/>
      <c r="DV457" s="1388"/>
      <c r="DW457" s="1388"/>
      <c r="DX457" s="1388"/>
      <c r="DY457" s="1388"/>
      <c r="DZ457" s="1388"/>
      <c r="EA457" s="1388"/>
      <c r="EB457" s="1388"/>
      <c r="EC457" s="1388"/>
      <c r="ED457" s="1388"/>
      <c r="EE457" s="1388"/>
      <c r="EF457" s="1388"/>
      <c r="EG457" s="1388"/>
      <c r="EH457" s="1388"/>
      <c r="EI457" s="1388"/>
      <c r="EJ457" s="1388"/>
      <c r="EK457" s="1388"/>
      <c r="EL457" s="1388"/>
      <c r="EM457" s="1388"/>
      <c r="EN457" s="1388"/>
      <c r="EO457" s="1388"/>
      <c r="EP457" s="1388"/>
      <c r="EQ457" s="1388"/>
      <c r="ER457" s="1388"/>
      <c r="ES457" s="1388"/>
      <c r="ET457" s="1388"/>
      <c r="EU457" s="1388"/>
      <c r="EV457" s="1388"/>
      <c r="EW457" s="1388"/>
      <c r="EX457" s="1388"/>
      <c r="EY457" s="1388"/>
      <c r="EZ457" s="1388"/>
      <c r="FA457" s="1388"/>
      <c r="FB457" s="1388"/>
      <c r="FC457" s="1388"/>
      <c r="FD457" s="1388"/>
      <c r="FE457" s="1388"/>
      <c r="FF457" s="1388"/>
      <c r="FG457" s="1388"/>
      <c r="FH457" s="1388"/>
      <c r="FI457" s="51"/>
      <c r="FP457" s="1388"/>
      <c r="FQ457" s="1388"/>
      <c r="FR457" s="1388"/>
      <c r="FS457" s="1435"/>
      <c r="FT457" s="1435"/>
      <c r="FU457" s="1388"/>
      <c r="FV457" s="1388"/>
      <c r="FW457" s="1435"/>
      <c r="FX457" s="1435"/>
    </row>
    <row r="458" spans="1:180" ht="11.25" customHeight="1" x14ac:dyDescent="0.2">
      <c r="A458" s="1388"/>
      <c r="B458" s="1388"/>
      <c r="C458" s="1388"/>
      <c r="D458" s="1388"/>
      <c r="E458" s="1388"/>
      <c r="F458" s="1388"/>
      <c r="G458" s="1388"/>
      <c r="H458" s="1388"/>
      <c r="I458" s="1388"/>
      <c r="J458" s="1388"/>
      <c r="K458" s="1388"/>
      <c r="L458" s="1388"/>
      <c r="M458" s="1388"/>
      <c r="N458" s="1388"/>
      <c r="O458" s="1388"/>
      <c r="P458" s="1388"/>
      <c r="Q458" s="1388"/>
      <c r="R458" s="1388"/>
      <c r="S458" s="1388"/>
      <c r="T458" s="1388"/>
      <c r="U458" s="1388"/>
      <c r="V458" s="1388"/>
      <c r="W458" s="1388"/>
      <c r="X458" s="1388"/>
      <c r="Y458" s="1388"/>
      <c r="Z458" s="1388"/>
      <c r="AA458" s="1388"/>
      <c r="AB458" s="1388"/>
      <c r="AC458" s="1388"/>
      <c r="AD458" s="1388"/>
      <c r="AE458" s="1388"/>
      <c r="AF458" s="1388"/>
      <c r="AG458" s="1388"/>
      <c r="AH458" s="1388"/>
      <c r="AI458" s="1388"/>
      <c r="AJ458" s="1388"/>
      <c r="AK458" s="1388"/>
      <c r="AL458" s="1388"/>
      <c r="AM458" s="1388"/>
      <c r="AN458" s="1388"/>
      <c r="AO458" s="1388"/>
      <c r="AP458" s="1388"/>
      <c r="AQ458" s="1388"/>
      <c r="AR458" s="1388"/>
      <c r="AS458" s="1388"/>
      <c r="AT458" s="1388"/>
      <c r="AU458" s="1388"/>
      <c r="AV458" s="1388"/>
      <c r="AW458" s="1388"/>
      <c r="AX458" s="1388"/>
      <c r="AY458" s="1388"/>
      <c r="AZ458" s="1388"/>
      <c r="BA458" s="1388"/>
      <c r="BB458" s="1388"/>
      <c r="BC458" s="1388"/>
      <c r="BD458" s="1388"/>
      <c r="BE458" s="1388"/>
      <c r="BF458" s="1388"/>
      <c r="BG458" s="1388"/>
      <c r="BH458" s="1388"/>
      <c r="BI458" s="1388"/>
      <c r="BJ458" s="1388"/>
      <c r="BK458" s="1388"/>
      <c r="BL458" s="1388"/>
      <c r="BM458" s="1388"/>
      <c r="BN458" s="1388"/>
      <c r="BO458" s="1388"/>
      <c r="BP458" s="1388"/>
      <c r="BQ458" s="1388"/>
      <c r="BR458" s="1388"/>
      <c r="BS458" s="1388"/>
      <c r="BT458" s="1388"/>
      <c r="BU458" s="1388"/>
      <c r="BV458" s="1388"/>
      <c r="BW458" s="1388"/>
      <c r="BX458" s="1388"/>
      <c r="BY458" s="1388"/>
      <c r="BZ458" s="1388"/>
      <c r="CA458" s="1388"/>
      <c r="CB458" s="1388"/>
      <c r="CC458" s="1388"/>
      <c r="CD458" s="1388"/>
      <c r="CE458" s="1388"/>
      <c r="CF458" s="1388"/>
      <c r="CG458" s="1388"/>
      <c r="CH458" s="1388"/>
      <c r="CI458" s="1388"/>
      <c r="CJ458" s="1388"/>
      <c r="CK458" s="1388"/>
      <c r="CL458" s="1388"/>
      <c r="CM458" s="1388"/>
      <c r="CN458" s="1388"/>
      <c r="CO458" s="1388"/>
      <c r="CP458" s="1388"/>
      <c r="CQ458" s="1388"/>
      <c r="CR458" s="1388"/>
      <c r="CS458" s="1388"/>
      <c r="CT458" s="1388"/>
      <c r="CU458" s="1388"/>
      <c r="CV458" s="1388"/>
      <c r="CW458" s="1388"/>
      <c r="CX458" s="1388"/>
      <c r="CY458" s="1388"/>
      <c r="CZ458" s="1388"/>
      <c r="DA458" s="1388"/>
      <c r="DB458" s="1388"/>
      <c r="DC458" s="1388"/>
      <c r="DD458" s="1388"/>
      <c r="DE458" s="1388"/>
      <c r="DF458" s="1388"/>
      <c r="DG458" s="1388"/>
      <c r="DH458" s="1388"/>
      <c r="DI458" s="1388"/>
      <c r="DJ458" s="1474"/>
      <c r="DK458" s="1388"/>
      <c r="DL458" s="1388"/>
      <c r="DM458" s="1388"/>
      <c r="DN458" s="1388"/>
      <c r="DO458" s="1388"/>
      <c r="DP458" s="1388"/>
      <c r="DQ458" s="1388"/>
      <c r="DR458" s="1388"/>
      <c r="DS458" s="1388"/>
      <c r="DT458" s="1388"/>
      <c r="DU458" s="1388"/>
      <c r="DV458" s="1388"/>
      <c r="DW458" s="1388"/>
      <c r="DX458" s="1388"/>
      <c r="DY458" s="1388"/>
      <c r="DZ458" s="1388"/>
      <c r="EA458" s="1388"/>
      <c r="EB458" s="1388"/>
      <c r="EC458" s="1388"/>
      <c r="ED458" s="1388"/>
      <c r="EE458" s="1388"/>
      <c r="EF458" s="1388"/>
      <c r="EG458" s="1388"/>
      <c r="EH458" s="1388"/>
      <c r="EI458" s="1388"/>
      <c r="EJ458" s="1388"/>
      <c r="EK458" s="1388"/>
      <c r="EL458" s="1388"/>
      <c r="EM458" s="1388"/>
      <c r="EN458" s="1388"/>
      <c r="EO458" s="1388"/>
      <c r="EP458" s="1388"/>
      <c r="EQ458" s="1388"/>
      <c r="ER458" s="1388"/>
      <c r="ES458" s="1388"/>
      <c r="ET458" s="1388"/>
      <c r="EU458" s="1388"/>
      <c r="EV458" s="1388"/>
      <c r="EW458" s="1388"/>
      <c r="EX458" s="1388"/>
      <c r="EY458" s="1388"/>
      <c r="EZ458" s="1388"/>
      <c r="FA458" s="1388"/>
      <c r="FB458" s="1388"/>
      <c r="FC458" s="1388"/>
      <c r="FD458" s="1388"/>
      <c r="FE458" s="1388"/>
      <c r="FF458" s="1388"/>
      <c r="FG458" s="1388"/>
      <c r="FH458" s="1388"/>
      <c r="FI458" s="51"/>
      <c r="FP458" s="1388"/>
      <c r="FQ458" s="1388"/>
      <c r="FR458" s="1388"/>
      <c r="FS458" s="1435"/>
      <c r="FT458" s="1435"/>
      <c r="FU458" s="1388"/>
      <c r="FV458" s="1388"/>
      <c r="FW458" s="1435"/>
      <c r="FX458" s="1435"/>
    </row>
    <row r="459" spans="1:180" ht="11.25" customHeight="1" x14ac:dyDescent="0.2">
      <c r="A459" s="1388"/>
      <c r="B459" s="1388"/>
      <c r="C459" s="1388"/>
      <c r="D459" s="1388"/>
      <c r="E459" s="1388"/>
      <c r="F459" s="1388"/>
      <c r="G459" s="1388"/>
      <c r="H459" s="1388"/>
      <c r="I459" s="1388"/>
      <c r="J459" s="1388"/>
      <c r="K459" s="1388"/>
      <c r="L459" s="1388"/>
      <c r="M459" s="1388"/>
      <c r="N459" s="1388"/>
      <c r="O459" s="1388"/>
      <c r="P459" s="1388"/>
      <c r="Q459" s="1388"/>
      <c r="R459" s="1388"/>
      <c r="S459" s="1388"/>
      <c r="T459" s="1388"/>
      <c r="U459" s="1388"/>
      <c r="V459" s="1388"/>
      <c r="W459" s="1388"/>
      <c r="X459" s="1388"/>
      <c r="Y459" s="1388"/>
      <c r="Z459" s="1388"/>
      <c r="AA459" s="1388"/>
      <c r="AB459" s="1388"/>
      <c r="AC459" s="1388"/>
      <c r="AD459" s="1388"/>
      <c r="AE459" s="1388"/>
      <c r="AF459" s="1388"/>
      <c r="AG459" s="1388"/>
      <c r="AH459" s="1388"/>
      <c r="AI459" s="1388"/>
      <c r="AJ459" s="1388"/>
      <c r="AK459" s="1388"/>
      <c r="AL459" s="1388"/>
      <c r="AM459" s="1388"/>
      <c r="AN459" s="1388"/>
      <c r="AO459" s="1388"/>
      <c r="AP459" s="1388"/>
      <c r="AQ459" s="1388"/>
      <c r="AR459" s="1388"/>
      <c r="AS459" s="1388"/>
      <c r="AT459" s="1388"/>
      <c r="AU459" s="1388"/>
      <c r="AV459" s="1388"/>
      <c r="AW459" s="1388"/>
      <c r="AX459" s="1388"/>
      <c r="AY459" s="1388"/>
      <c r="AZ459" s="1388"/>
      <c r="BA459" s="1388"/>
      <c r="BB459" s="1388"/>
      <c r="BC459" s="1388"/>
      <c r="BD459" s="1388"/>
      <c r="BE459" s="1388"/>
      <c r="BF459" s="1388"/>
      <c r="BG459" s="1388"/>
      <c r="BH459" s="1388"/>
      <c r="BI459" s="1388"/>
      <c r="BJ459" s="1388"/>
      <c r="BK459" s="1388"/>
      <c r="BL459" s="1388"/>
      <c r="BM459" s="1388"/>
      <c r="BN459" s="1388"/>
      <c r="BO459" s="1388"/>
      <c r="BP459" s="1388"/>
      <c r="BQ459" s="1388"/>
      <c r="BR459" s="1388"/>
      <c r="BS459" s="1388"/>
      <c r="BT459" s="1388"/>
      <c r="BU459" s="1388"/>
      <c r="BV459" s="1388"/>
      <c r="BW459" s="1388"/>
      <c r="BX459" s="1388"/>
      <c r="BY459" s="1388"/>
      <c r="BZ459" s="1388"/>
      <c r="CA459" s="1388"/>
      <c r="CB459" s="1388"/>
      <c r="CC459" s="1388"/>
      <c r="CD459" s="1388"/>
      <c r="CE459" s="1388"/>
      <c r="CF459" s="1388"/>
      <c r="CG459" s="1388"/>
      <c r="CH459" s="1388"/>
      <c r="CI459" s="1388"/>
      <c r="CJ459" s="1388"/>
      <c r="CK459" s="1388"/>
      <c r="CL459" s="1388"/>
      <c r="CM459" s="1388"/>
      <c r="CN459" s="1388"/>
      <c r="CO459" s="1388"/>
      <c r="CP459" s="1388"/>
      <c r="CQ459" s="1388"/>
      <c r="CR459" s="1388"/>
      <c r="CS459" s="1388"/>
      <c r="CT459" s="1388"/>
      <c r="CU459" s="1388"/>
      <c r="CV459" s="1388"/>
      <c r="CW459" s="1388"/>
      <c r="CX459" s="1388"/>
      <c r="CY459" s="1388"/>
      <c r="CZ459" s="1388"/>
      <c r="DA459" s="1388"/>
      <c r="DB459" s="1388"/>
      <c r="DC459" s="1388"/>
      <c r="DD459" s="1388"/>
      <c r="DE459" s="1388"/>
      <c r="DF459" s="1388"/>
      <c r="DG459" s="1388"/>
      <c r="DH459" s="1388"/>
      <c r="DI459" s="1388"/>
      <c r="DJ459" s="1474"/>
      <c r="DK459" s="1388"/>
      <c r="DL459" s="1388"/>
      <c r="DM459" s="1388"/>
      <c r="DN459" s="1388"/>
      <c r="DO459" s="1388"/>
      <c r="DP459" s="1388"/>
      <c r="DQ459" s="1388"/>
      <c r="DR459" s="1388"/>
      <c r="DS459" s="1388"/>
      <c r="DT459" s="1388"/>
      <c r="DU459" s="1388"/>
      <c r="DV459" s="1388"/>
      <c r="DW459" s="1388"/>
      <c r="DX459" s="1388"/>
      <c r="DY459" s="1388"/>
      <c r="DZ459" s="1388"/>
      <c r="EA459" s="1388"/>
      <c r="EB459" s="1388"/>
      <c r="EC459" s="1388"/>
      <c r="ED459" s="1388"/>
      <c r="EE459" s="1388"/>
      <c r="EF459" s="1388"/>
      <c r="EG459" s="1388"/>
      <c r="EH459" s="1388"/>
      <c r="EI459" s="1388"/>
      <c r="EJ459" s="1388"/>
      <c r="EK459" s="1388"/>
      <c r="EL459" s="1388"/>
      <c r="EM459" s="1388"/>
      <c r="EN459" s="1388"/>
      <c r="EO459" s="1388"/>
      <c r="EP459" s="1388"/>
      <c r="EQ459" s="1388"/>
      <c r="ER459" s="1388"/>
      <c r="ES459" s="1388"/>
      <c r="ET459" s="1388"/>
      <c r="EU459" s="1388"/>
      <c r="EV459" s="1388"/>
      <c r="EW459" s="1388"/>
      <c r="EX459" s="1388"/>
      <c r="EY459" s="1388"/>
      <c r="EZ459" s="1388"/>
      <c r="FA459" s="1388"/>
      <c r="FB459" s="1388"/>
      <c r="FC459" s="1388"/>
      <c r="FD459" s="1388"/>
      <c r="FE459" s="1388"/>
      <c r="FF459" s="1388"/>
      <c r="FG459" s="1388"/>
      <c r="FH459" s="1388"/>
      <c r="FI459" s="51"/>
      <c r="FP459" s="1388"/>
      <c r="FQ459" s="1388"/>
      <c r="FR459" s="1388"/>
      <c r="FS459" s="1435"/>
      <c r="FT459" s="1435"/>
      <c r="FU459" s="1388"/>
      <c r="FV459" s="1388"/>
      <c r="FW459" s="1435"/>
      <c r="FX459" s="1435"/>
    </row>
    <row r="460" spans="1:180" ht="11.25" customHeight="1" x14ac:dyDescent="0.2">
      <c r="A460" s="1388"/>
      <c r="B460" s="1388"/>
      <c r="C460" s="1388"/>
      <c r="D460" s="1388"/>
      <c r="E460" s="1388"/>
      <c r="F460" s="1388"/>
      <c r="G460" s="1388"/>
      <c r="H460" s="1388"/>
      <c r="I460" s="1388"/>
      <c r="J460" s="1388"/>
      <c r="K460" s="1388"/>
      <c r="L460" s="1388"/>
      <c r="M460" s="1388"/>
      <c r="N460" s="1388"/>
      <c r="O460" s="1388"/>
      <c r="P460" s="1388"/>
      <c r="Q460" s="1388"/>
      <c r="R460" s="1388"/>
      <c r="S460" s="1388"/>
      <c r="T460" s="1388"/>
      <c r="U460" s="1388"/>
      <c r="V460" s="1388"/>
      <c r="W460" s="1388"/>
      <c r="X460" s="1388"/>
      <c r="Y460" s="1388"/>
      <c r="Z460" s="1388"/>
      <c r="AA460" s="1388"/>
      <c r="AB460" s="1388"/>
      <c r="AC460" s="1388"/>
      <c r="AD460" s="1388"/>
      <c r="AE460" s="1388"/>
      <c r="AF460" s="1388"/>
      <c r="AG460" s="1388"/>
      <c r="AH460" s="1388"/>
      <c r="AI460" s="1388"/>
      <c r="AJ460" s="1388"/>
      <c r="AK460" s="1388"/>
      <c r="AL460" s="1388"/>
      <c r="AM460" s="1388"/>
      <c r="AN460" s="1388"/>
      <c r="AO460" s="1388"/>
      <c r="AP460" s="1388"/>
      <c r="AQ460" s="1388"/>
      <c r="AR460" s="1388"/>
      <c r="AS460" s="1388"/>
      <c r="AT460" s="1388"/>
      <c r="AU460" s="1388"/>
      <c r="AV460" s="1388"/>
      <c r="AW460" s="1388"/>
      <c r="AX460" s="1388"/>
      <c r="AY460" s="1388"/>
      <c r="AZ460" s="1388"/>
      <c r="BA460" s="1388"/>
      <c r="BB460" s="1388"/>
      <c r="BC460" s="1388"/>
      <c r="BD460" s="1388"/>
      <c r="BE460" s="1388"/>
      <c r="BF460" s="1388"/>
      <c r="BG460" s="1388"/>
      <c r="BH460" s="1388"/>
      <c r="BI460" s="1388"/>
      <c r="BJ460" s="1388"/>
      <c r="BK460" s="1388"/>
      <c r="BL460" s="1388"/>
      <c r="BM460" s="1388"/>
      <c r="BN460" s="1388"/>
      <c r="BO460" s="1388"/>
      <c r="BP460" s="1388"/>
      <c r="BQ460" s="1388"/>
      <c r="BR460" s="1388"/>
      <c r="BS460" s="1388"/>
      <c r="BT460" s="1388"/>
      <c r="BU460" s="1388"/>
      <c r="BV460" s="1388"/>
      <c r="BW460" s="1388"/>
      <c r="BX460" s="1388"/>
      <c r="BY460" s="1388"/>
      <c r="BZ460" s="1388"/>
      <c r="CA460" s="1388"/>
      <c r="CB460" s="1388"/>
      <c r="CC460" s="1388"/>
      <c r="CD460" s="1388"/>
      <c r="CE460" s="1388"/>
      <c r="CF460" s="1388"/>
      <c r="CG460" s="1388"/>
      <c r="CH460" s="1388"/>
      <c r="CI460" s="1388"/>
      <c r="CJ460" s="1388"/>
      <c r="CK460" s="1388"/>
      <c r="CL460" s="1388"/>
      <c r="CM460" s="1388"/>
      <c r="CN460" s="1388"/>
      <c r="CO460" s="1388"/>
      <c r="CP460" s="1388"/>
      <c r="CQ460" s="1388"/>
      <c r="CR460" s="1388"/>
      <c r="CS460" s="1388"/>
      <c r="CT460" s="1388"/>
      <c r="CU460" s="1388"/>
      <c r="CV460" s="1388"/>
      <c r="CW460" s="1388"/>
      <c r="CX460" s="1388"/>
      <c r="CY460" s="1388"/>
      <c r="CZ460" s="1388"/>
      <c r="DA460" s="1388"/>
      <c r="DB460" s="1388"/>
      <c r="DC460" s="1388"/>
      <c r="DD460" s="1388"/>
      <c r="DE460" s="1388"/>
      <c r="DF460" s="1388"/>
      <c r="DG460" s="1388"/>
      <c r="DH460" s="1388"/>
      <c r="DI460" s="1388"/>
      <c r="DJ460" s="1474"/>
      <c r="DK460" s="1388"/>
      <c r="DL460" s="1388"/>
      <c r="DM460" s="1388"/>
      <c r="DN460" s="1388"/>
      <c r="DO460" s="1388"/>
      <c r="DP460" s="1388"/>
      <c r="DQ460" s="1388"/>
      <c r="DR460" s="1388"/>
      <c r="DS460" s="1388"/>
      <c r="DT460" s="1388"/>
      <c r="DU460" s="1388"/>
      <c r="DV460" s="1388"/>
      <c r="DW460" s="1388"/>
      <c r="DX460" s="1388"/>
      <c r="DY460" s="1388"/>
      <c r="DZ460" s="1388"/>
      <c r="EA460" s="1388"/>
      <c r="EB460" s="1388"/>
      <c r="EC460" s="1388"/>
      <c r="ED460" s="1388"/>
      <c r="EE460" s="1388"/>
      <c r="EF460" s="1388"/>
      <c r="EG460" s="1388"/>
      <c r="EH460" s="1388"/>
      <c r="EI460" s="1388"/>
      <c r="EJ460" s="1388"/>
      <c r="EK460" s="1388"/>
      <c r="EL460" s="1388"/>
      <c r="EM460" s="1388"/>
      <c r="EN460" s="1388"/>
      <c r="EO460" s="1388"/>
      <c r="EP460" s="1388"/>
      <c r="EQ460" s="1388"/>
      <c r="ER460" s="1388"/>
      <c r="ES460" s="1388"/>
      <c r="ET460" s="1388"/>
      <c r="EU460" s="1388"/>
      <c r="EV460" s="1388"/>
      <c r="EW460" s="1388"/>
      <c r="EX460" s="1388"/>
      <c r="EY460" s="1388"/>
      <c r="EZ460" s="1388"/>
      <c r="FA460" s="1388"/>
      <c r="FB460" s="1388"/>
      <c r="FC460" s="1388"/>
      <c r="FD460" s="1388"/>
      <c r="FE460" s="1388"/>
      <c r="FF460" s="1388"/>
      <c r="FG460" s="1388"/>
      <c r="FH460" s="1388"/>
      <c r="FI460" s="51"/>
      <c r="FP460" s="1388"/>
      <c r="FQ460" s="1388"/>
      <c r="FR460" s="1388"/>
      <c r="FS460" s="1435"/>
      <c r="FT460" s="1435"/>
      <c r="FU460" s="1388"/>
      <c r="FV460" s="1388"/>
      <c r="FW460" s="1435"/>
      <c r="FX460" s="1435"/>
    </row>
    <row r="461" spans="1:180" ht="11.25" customHeight="1" x14ac:dyDescent="0.2">
      <c r="A461" s="1388"/>
      <c r="B461" s="1388"/>
      <c r="C461" s="1388"/>
      <c r="D461" s="1388"/>
      <c r="E461" s="1388"/>
      <c r="F461" s="1388"/>
      <c r="G461" s="1388"/>
      <c r="H461" s="1388"/>
      <c r="I461" s="1388"/>
      <c r="J461" s="1388"/>
      <c r="K461" s="1388"/>
      <c r="L461" s="1388"/>
      <c r="M461" s="1388"/>
      <c r="N461" s="1388"/>
      <c r="O461" s="1388"/>
      <c r="P461" s="1388"/>
      <c r="Q461" s="1388"/>
      <c r="R461" s="1388"/>
      <c r="S461" s="1388"/>
      <c r="T461" s="1388"/>
      <c r="U461" s="1388"/>
      <c r="V461" s="1388"/>
      <c r="W461" s="1388"/>
      <c r="X461" s="1388"/>
      <c r="Y461" s="1388"/>
      <c r="Z461" s="1388"/>
      <c r="AA461" s="1388"/>
      <c r="AB461" s="1388"/>
      <c r="AC461" s="1388"/>
      <c r="AD461" s="1388"/>
      <c r="AE461" s="1388"/>
      <c r="AF461" s="1388"/>
      <c r="AG461" s="1388"/>
      <c r="AH461" s="1388"/>
      <c r="AI461" s="1388"/>
      <c r="AJ461" s="1388"/>
      <c r="AK461" s="1388"/>
      <c r="AL461" s="1388"/>
      <c r="AM461" s="1388"/>
      <c r="AN461" s="1388"/>
      <c r="AO461" s="1388"/>
      <c r="AP461" s="1388"/>
      <c r="AQ461" s="1388"/>
      <c r="AR461" s="1388"/>
      <c r="AS461" s="1388"/>
      <c r="AT461" s="1388"/>
      <c r="AU461" s="1388"/>
      <c r="AV461" s="1388"/>
      <c r="AW461" s="1388"/>
      <c r="AX461" s="1388"/>
      <c r="AY461" s="1388"/>
      <c r="AZ461" s="1388"/>
      <c r="BA461" s="1388"/>
      <c r="BB461" s="1388"/>
      <c r="BC461" s="1388"/>
      <c r="BD461" s="1388"/>
      <c r="BE461" s="1388"/>
      <c r="BF461" s="1388"/>
      <c r="BG461" s="1388"/>
      <c r="BH461" s="1388"/>
      <c r="BI461" s="1388"/>
      <c r="BJ461" s="1388"/>
      <c r="BK461" s="1388"/>
      <c r="BL461" s="1388"/>
      <c r="BM461" s="1388"/>
      <c r="BN461" s="1388"/>
      <c r="BO461" s="1388"/>
      <c r="BP461" s="1388"/>
      <c r="BQ461" s="1388"/>
      <c r="BR461" s="1388"/>
      <c r="BS461" s="1388"/>
      <c r="BT461" s="1388"/>
      <c r="BU461" s="1388"/>
      <c r="BV461" s="1388"/>
      <c r="BW461" s="1388"/>
      <c r="BX461" s="1388"/>
      <c r="BY461" s="1388"/>
      <c r="BZ461" s="1388"/>
      <c r="CA461" s="1388"/>
      <c r="CB461" s="1388"/>
      <c r="CC461" s="1388"/>
      <c r="CD461" s="1388"/>
      <c r="CE461" s="1388"/>
      <c r="CF461" s="1388"/>
      <c r="CG461" s="1388"/>
      <c r="CH461" s="1388"/>
      <c r="CI461" s="1388"/>
      <c r="CJ461" s="1388"/>
      <c r="CK461" s="1388"/>
      <c r="CL461" s="1388"/>
      <c r="CM461" s="1388"/>
      <c r="CN461" s="1388"/>
      <c r="CO461" s="1388"/>
      <c r="CP461" s="1388"/>
      <c r="CQ461" s="1388"/>
      <c r="CR461" s="1388"/>
      <c r="CS461" s="1388"/>
      <c r="CT461" s="1388"/>
      <c r="CU461" s="1388"/>
      <c r="CV461" s="1388"/>
      <c r="CW461" s="1388"/>
      <c r="CX461" s="1388"/>
      <c r="CY461" s="1388"/>
      <c r="CZ461" s="1388"/>
      <c r="DA461" s="1388"/>
      <c r="DB461" s="1388"/>
      <c r="DC461" s="1388"/>
      <c r="DD461" s="1388"/>
      <c r="DE461" s="1388"/>
      <c r="DF461" s="1388"/>
      <c r="DG461" s="1388"/>
      <c r="DH461" s="1388"/>
      <c r="DI461" s="1388"/>
      <c r="DJ461" s="1474"/>
      <c r="DK461" s="1388"/>
      <c r="DL461" s="1388"/>
      <c r="DM461" s="1388"/>
      <c r="DN461" s="1388"/>
      <c r="DO461" s="1388"/>
      <c r="DP461" s="1388"/>
      <c r="DQ461" s="1388"/>
      <c r="DR461" s="1388"/>
      <c r="DS461" s="1388"/>
      <c r="DT461" s="1388"/>
      <c r="DU461" s="1388"/>
      <c r="DV461" s="1388"/>
      <c r="DW461" s="1388"/>
      <c r="DX461" s="1388"/>
      <c r="DY461" s="1388"/>
      <c r="DZ461" s="1388"/>
      <c r="EA461" s="1388"/>
      <c r="EB461" s="1388"/>
      <c r="EC461" s="1388"/>
      <c r="ED461" s="1388"/>
      <c r="EE461" s="1388"/>
      <c r="EF461" s="1388"/>
      <c r="EG461" s="1388"/>
      <c r="EH461" s="1388"/>
      <c r="EI461" s="1388"/>
      <c r="EJ461" s="1388"/>
      <c r="EK461" s="1388"/>
      <c r="EL461" s="1388"/>
      <c r="EM461" s="1388"/>
      <c r="EN461" s="1388"/>
      <c r="EO461" s="1388"/>
      <c r="EP461" s="1388"/>
      <c r="EQ461" s="1388"/>
      <c r="ER461" s="1388"/>
      <c r="ES461" s="1388"/>
      <c r="ET461" s="1388"/>
      <c r="EU461" s="1388"/>
      <c r="EV461" s="1388"/>
      <c r="EW461" s="1388"/>
      <c r="EX461" s="1388"/>
      <c r="EY461" s="1388"/>
      <c r="EZ461" s="1388"/>
      <c r="FA461" s="1388"/>
      <c r="FB461" s="1388"/>
      <c r="FC461" s="1388"/>
      <c r="FD461" s="1388"/>
      <c r="FE461" s="1388"/>
      <c r="FF461" s="1388"/>
      <c r="FG461" s="1388"/>
      <c r="FH461" s="1388"/>
      <c r="FI461" s="51"/>
      <c r="FP461" s="1388"/>
      <c r="FQ461" s="1388"/>
      <c r="FR461" s="1388"/>
      <c r="FS461" s="1435"/>
      <c r="FT461" s="1435"/>
      <c r="FU461" s="1388"/>
      <c r="FV461" s="1388"/>
      <c r="FW461" s="1435"/>
      <c r="FX461" s="1435"/>
    </row>
    <row r="462" spans="1:180" ht="11.25" customHeight="1" x14ac:dyDescent="0.2">
      <c r="A462" s="1388"/>
      <c r="B462" s="1388"/>
      <c r="C462" s="1388"/>
      <c r="D462" s="1388"/>
      <c r="E462" s="1388"/>
      <c r="F462" s="1388"/>
      <c r="G462" s="1388"/>
      <c r="H462" s="1388"/>
      <c r="I462" s="1388"/>
      <c r="J462" s="1388"/>
      <c r="K462" s="1388"/>
      <c r="L462" s="1388"/>
      <c r="M462" s="1388"/>
      <c r="N462" s="1388"/>
      <c r="O462" s="1388"/>
      <c r="P462" s="1388"/>
      <c r="Q462" s="1388"/>
      <c r="R462" s="1388"/>
      <c r="S462" s="1388"/>
      <c r="T462" s="1388"/>
      <c r="U462" s="1388"/>
      <c r="V462" s="1388"/>
      <c r="W462" s="1388"/>
      <c r="X462" s="1388"/>
      <c r="Y462" s="1388"/>
      <c r="Z462" s="1388"/>
      <c r="AA462" s="1388"/>
      <c r="AB462" s="1388"/>
      <c r="AC462" s="1388"/>
      <c r="AD462" s="1388"/>
      <c r="AE462" s="1388"/>
      <c r="AF462" s="1388"/>
      <c r="AG462" s="1388"/>
      <c r="AH462" s="1388"/>
      <c r="AI462" s="1388"/>
      <c r="AJ462" s="1388"/>
      <c r="AK462" s="1388"/>
      <c r="AL462" s="1388"/>
      <c r="AM462" s="1388"/>
      <c r="AN462" s="1388"/>
      <c r="AO462" s="1388"/>
      <c r="AP462" s="1388"/>
      <c r="AQ462" s="1388"/>
      <c r="AR462" s="1388"/>
      <c r="AS462" s="1388"/>
      <c r="AT462" s="1388"/>
      <c r="AU462" s="1388"/>
      <c r="AV462" s="1388"/>
      <c r="AW462" s="1388"/>
      <c r="AX462" s="1388"/>
      <c r="AY462" s="1388"/>
      <c r="AZ462" s="1388"/>
      <c r="BA462" s="1388"/>
      <c r="BB462" s="1388"/>
      <c r="BC462" s="1388"/>
      <c r="BD462" s="1388"/>
      <c r="BE462" s="1388"/>
      <c r="BF462" s="1388"/>
      <c r="BG462" s="1388"/>
      <c r="BH462" s="1388"/>
      <c r="BI462" s="1388"/>
      <c r="BJ462" s="1388"/>
      <c r="BK462" s="1388"/>
      <c r="BL462" s="1388"/>
      <c r="BM462" s="1388"/>
      <c r="BN462" s="1388"/>
      <c r="BO462" s="1388"/>
      <c r="BP462" s="1388"/>
      <c r="BQ462" s="1388"/>
      <c r="BR462" s="1388"/>
      <c r="BS462" s="1388"/>
      <c r="BT462" s="1388"/>
      <c r="BU462" s="1388"/>
      <c r="BV462" s="1388"/>
      <c r="BW462" s="1388"/>
      <c r="BX462" s="1388"/>
      <c r="BY462" s="1388"/>
      <c r="BZ462" s="1388"/>
      <c r="CA462" s="1388"/>
      <c r="CB462" s="1388"/>
      <c r="CC462" s="1388"/>
      <c r="CD462" s="1388"/>
      <c r="CE462" s="1388"/>
      <c r="CF462" s="1388"/>
      <c r="CG462" s="1388"/>
      <c r="CH462" s="1388"/>
      <c r="CI462" s="1388"/>
      <c r="CJ462" s="1388"/>
      <c r="CK462" s="1388"/>
      <c r="CL462" s="1388"/>
      <c r="CM462" s="1388"/>
      <c r="CN462" s="1388"/>
      <c r="CO462" s="1388"/>
      <c r="CP462" s="1388"/>
      <c r="CQ462" s="1388"/>
      <c r="CR462" s="1388"/>
      <c r="CS462" s="1388"/>
      <c r="CT462" s="1388"/>
      <c r="CU462" s="1388"/>
      <c r="CV462" s="1388"/>
      <c r="CW462" s="1388"/>
      <c r="CX462" s="1388"/>
      <c r="CY462" s="1388"/>
      <c r="CZ462" s="1388"/>
      <c r="DA462" s="1388"/>
      <c r="DB462" s="1388"/>
      <c r="DC462" s="1388"/>
      <c r="DD462" s="1388"/>
      <c r="DE462" s="1388"/>
      <c r="DF462" s="1388"/>
      <c r="DG462" s="1388"/>
      <c r="DH462" s="1388"/>
      <c r="DI462" s="1388"/>
      <c r="DJ462" s="1474"/>
      <c r="DK462" s="1388"/>
      <c r="DL462" s="1388"/>
      <c r="DM462" s="1388"/>
      <c r="DN462" s="1388"/>
      <c r="DO462" s="1388"/>
      <c r="DP462" s="1388"/>
      <c r="DQ462" s="1388"/>
      <c r="DR462" s="1388"/>
      <c r="DS462" s="1388"/>
      <c r="DT462" s="1388"/>
      <c r="DU462" s="1388"/>
      <c r="DV462" s="1388"/>
      <c r="DW462" s="1388"/>
      <c r="DX462" s="1388"/>
      <c r="DY462" s="1388"/>
      <c r="DZ462" s="1388"/>
      <c r="EA462" s="1388"/>
      <c r="EB462" s="1388"/>
      <c r="EC462" s="1388"/>
      <c r="ED462" s="1388"/>
      <c r="EE462" s="1388"/>
      <c r="EF462" s="1388"/>
      <c r="EG462" s="1388"/>
      <c r="EH462" s="1388"/>
      <c r="EI462" s="1388"/>
      <c r="EJ462" s="1388"/>
      <c r="EK462" s="1388"/>
      <c r="EL462" s="1388"/>
      <c r="EM462" s="1388"/>
      <c r="EN462" s="1388"/>
      <c r="EO462" s="1388"/>
      <c r="EP462" s="1388"/>
      <c r="EQ462" s="1388"/>
      <c r="ER462" s="1388"/>
      <c r="ES462" s="1388"/>
      <c r="ET462" s="1388"/>
      <c r="EU462" s="1388"/>
      <c r="EV462" s="1388"/>
      <c r="EW462" s="1388"/>
      <c r="EX462" s="1388"/>
      <c r="EY462" s="1388"/>
      <c r="EZ462" s="1388"/>
      <c r="FA462" s="1388"/>
      <c r="FB462" s="1388"/>
      <c r="FC462" s="1388"/>
      <c r="FD462" s="1388"/>
      <c r="FE462" s="1388"/>
      <c r="FF462" s="1388"/>
      <c r="FG462" s="1388"/>
      <c r="FH462" s="1388"/>
      <c r="FI462" s="51"/>
      <c r="FP462" s="1388"/>
      <c r="FQ462" s="1388"/>
      <c r="FR462" s="1388"/>
      <c r="FS462" s="1435"/>
      <c r="FT462" s="1435"/>
      <c r="FU462" s="1388"/>
      <c r="FV462" s="1388"/>
      <c r="FW462" s="1435"/>
      <c r="FX462" s="1435"/>
    </row>
    <row r="463" spans="1:180" ht="11.25" customHeight="1" x14ac:dyDescent="0.2">
      <c r="A463" s="1388"/>
      <c r="B463" s="1388"/>
      <c r="C463" s="1388"/>
      <c r="D463" s="1388"/>
      <c r="E463" s="1388"/>
      <c r="F463" s="1388"/>
      <c r="G463" s="1388"/>
      <c r="H463" s="1388"/>
      <c r="I463" s="1388"/>
      <c r="J463" s="1388"/>
      <c r="K463" s="1388"/>
      <c r="L463" s="1388"/>
      <c r="M463" s="1388"/>
      <c r="N463" s="1388"/>
      <c r="O463" s="1388"/>
      <c r="P463" s="1388"/>
      <c r="Q463" s="1388"/>
      <c r="R463" s="1388"/>
      <c r="S463" s="1388"/>
      <c r="T463" s="1388"/>
      <c r="U463" s="1388"/>
      <c r="V463" s="1388"/>
      <c r="W463" s="1388"/>
      <c r="X463" s="1388"/>
      <c r="Y463" s="1388"/>
      <c r="Z463" s="1388"/>
      <c r="AA463" s="1388"/>
      <c r="AB463" s="1388"/>
      <c r="AC463" s="1388"/>
      <c r="AD463" s="1388"/>
      <c r="AE463" s="1388"/>
      <c r="AF463" s="1388"/>
      <c r="AG463" s="1388"/>
      <c r="AH463" s="1388"/>
      <c r="AI463" s="1388"/>
      <c r="AJ463" s="1388"/>
      <c r="AK463" s="1388"/>
      <c r="AL463" s="1388"/>
      <c r="AM463" s="1388"/>
      <c r="AN463" s="1388"/>
      <c r="AO463" s="1388"/>
      <c r="AP463" s="1388"/>
      <c r="AQ463" s="1388"/>
      <c r="AR463" s="1388"/>
      <c r="AS463" s="1388"/>
      <c r="AT463" s="1388"/>
      <c r="AU463" s="1388"/>
      <c r="AV463" s="1388"/>
      <c r="AW463" s="1388"/>
      <c r="AX463" s="1388"/>
      <c r="AY463" s="1388"/>
      <c r="AZ463" s="1388"/>
      <c r="BA463" s="1388"/>
      <c r="BB463" s="1388"/>
      <c r="BC463" s="1388"/>
      <c r="BD463" s="1388"/>
      <c r="BE463" s="1388"/>
      <c r="BF463" s="1388"/>
      <c r="BG463" s="1388"/>
      <c r="BH463" s="1388"/>
      <c r="BI463" s="1388"/>
      <c r="BJ463" s="1388"/>
      <c r="BK463" s="1388"/>
      <c r="BL463" s="1388"/>
      <c r="BM463" s="1388"/>
      <c r="BN463" s="1388"/>
      <c r="BO463" s="1388"/>
      <c r="BP463" s="1388"/>
      <c r="BQ463" s="1388"/>
      <c r="BR463" s="1388"/>
      <c r="BS463" s="1388"/>
      <c r="BT463" s="1388"/>
      <c r="BU463" s="1388"/>
      <c r="BV463" s="1388"/>
      <c r="BW463" s="1388"/>
      <c r="BX463" s="1388"/>
      <c r="BY463" s="1388"/>
      <c r="BZ463" s="1388"/>
      <c r="CA463" s="1388"/>
      <c r="CB463" s="1388"/>
      <c r="CC463" s="1388"/>
      <c r="CD463" s="1388"/>
      <c r="CE463" s="1388"/>
      <c r="CF463" s="1388"/>
      <c r="CG463" s="1388"/>
      <c r="CH463" s="1388"/>
      <c r="CI463" s="1388"/>
      <c r="CJ463" s="1388"/>
      <c r="CK463" s="1388"/>
      <c r="CL463" s="1388"/>
      <c r="CM463" s="1388"/>
      <c r="CN463" s="1388"/>
      <c r="CO463" s="1388"/>
      <c r="CP463" s="1388"/>
      <c r="CQ463" s="1388"/>
      <c r="CR463" s="1388"/>
      <c r="CS463" s="1388"/>
      <c r="CT463" s="1388"/>
      <c r="CU463" s="1388"/>
      <c r="CV463" s="1388"/>
      <c r="CW463" s="1388"/>
      <c r="CX463" s="1388"/>
      <c r="CY463" s="1388"/>
      <c r="CZ463" s="1388"/>
      <c r="DA463" s="1388"/>
      <c r="DB463" s="1388"/>
      <c r="DC463" s="1388"/>
      <c r="DD463" s="1388"/>
      <c r="DE463" s="1388"/>
      <c r="DF463" s="1388"/>
      <c r="DG463" s="1388"/>
      <c r="DH463" s="1388"/>
      <c r="DI463" s="1388"/>
      <c r="DJ463" s="1474"/>
      <c r="DK463" s="1388"/>
      <c r="DL463" s="1388"/>
      <c r="DM463" s="1388"/>
      <c r="DN463" s="1388"/>
      <c r="DO463" s="1388"/>
      <c r="DP463" s="1388"/>
      <c r="DQ463" s="1388"/>
      <c r="DR463" s="1388"/>
      <c r="DS463" s="1388"/>
      <c r="DT463" s="1388"/>
      <c r="DU463" s="1388"/>
      <c r="DV463" s="1388"/>
      <c r="DW463" s="1388"/>
      <c r="DX463" s="1388"/>
      <c r="DY463" s="1388"/>
      <c r="DZ463" s="1388"/>
      <c r="EA463" s="1388"/>
      <c r="EB463" s="1388"/>
      <c r="EC463" s="1388"/>
      <c r="ED463" s="1388"/>
      <c r="EE463" s="1388"/>
      <c r="EF463" s="1388"/>
      <c r="EG463" s="1388"/>
      <c r="EH463" s="1388"/>
      <c r="EI463" s="1388"/>
      <c r="EJ463" s="1388"/>
      <c r="EK463" s="1388"/>
      <c r="EL463" s="1388"/>
      <c r="EM463" s="1388"/>
      <c r="EN463" s="1388"/>
      <c r="EO463" s="1388"/>
      <c r="EP463" s="1388"/>
      <c r="EQ463" s="1388"/>
      <c r="ER463" s="1388"/>
      <c r="ES463" s="1388"/>
      <c r="ET463" s="1388"/>
      <c r="EU463" s="1388"/>
      <c r="EV463" s="1388"/>
      <c r="EW463" s="1388"/>
      <c r="EX463" s="1388"/>
      <c r="EY463" s="1388"/>
      <c r="EZ463" s="1388"/>
      <c r="FA463" s="1388"/>
      <c r="FB463" s="1388"/>
      <c r="FC463" s="1388"/>
      <c r="FD463" s="1388"/>
      <c r="FE463" s="1388"/>
      <c r="FF463" s="1388"/>
      <c r="FG463" s="1388"/>
      <c r="FH463" s="1388"/>
      <c r="FI463" s="51"/>
      <c r="FP463" s="1388"/>
      <c r="FQ463" s="1388"/>
      <c r="FR463" s="1388"/>
      <c r="FS463" s="1435"/>
      <c r="FT463" s="1435"/>
      <c r="FU463" s="1388"/>
      <c r="FV463" s="1388"/>
      <c r="FW463" s="1435"/>
      <c r="FX463" s="1435"/>
    </row>
    <row r="464" spans="1:180" ht="11.25" customHeight="1" x14ac:dyDescent="0.2">
      <c r="A464" s="1388"/>
      <c r="B464" s="1388"/>
      <c r="C464" s="1388"/>
      <c r="D464" s="1388"/>
      <c r="E464" s="1388"/>
      <c r="F464" s="1388"/>
      <c r="G464" s="1388"/>
      <c r="H464" s="1388"/>
      <c r="I464" s="1388"/>
      <c r="J464" s="1388"/>
      <c r="K464" s="1388"/>
      <c r="L464" s="1388"/>
      <c r="M464" s="1388"/>
      <c r="N464" s="1388"/>
      <c r="O464" s="1388"/>
      <c r="P464" s="1388"/>
      <c r="Q464" s="1388"/>
      <c r="R464" s="1388"/>
      <c r="S464" s="1388"/>
      <c r="T464" s="1388"/>
      <c r="U464" s="1388"/>
      <c r="V464" s="1388"/>
      <c r="W464" s="1388"/>
      <c r="X464" s="1388"/>
      <c r="Y464" s="1388"/>
      <c r="Z464" s="1388"/>
      <c r="AA464" s="1388"/>
      <c r="AB464" s="1388"/>
      <c r="AC464" s="1388"/>
      <c r="AD464" s="1388"/>
      <c r="AE464" s="1388"/>
      <c r="AF464" s="1388"/>
      <c r="AG464" s="1388"/>
      <c r="AH464" s="1388"/>
      <c r="AI464" s="1388"/>
      <c r="AJ464" s="1388"/>
      <c r="AK464" s="1388"/>
      <c r="AL464" s="1388"/>
      <c r="AM464" s="1388"/>
      <c r="AN464" s="1388"/>
      <c r="AO464" s="1388"/>
      <c r="AP464" s="1388"/>
      <c r="AQ464" s="1388"/>
      <c r="AR464" s="1388"/>
      <c r="AS464" s="1388"/>
      <c r="AT464" s="1388"/>
      <c r="AU464" s="1388"/>
      <c r="AV464" s="1388"/>
      <c r="AW464" s="1388"/>
      <c r="AX464" s="1388"/>
      <c r="AY464" s="1388"/>
      <c r="AZ464" s="1388"/>
      <c r="BA464" s="1388"/>
      <c r="BB464" s="1388"/>
      <c r="BC464" s="1388"/>
      <c r="BD464" s="1388"/>
      <c r="BE464" s="1388"/>
      <c r="BF464" s="1388"/>
      <c r="BG464" s="1388"/>
      <c r="BH464" s="1388"/>
      <c r="BI464" s="1388"/>
      <c r="BJ464" s="1388"/>
      <c r="BK464" s="1388"/>
      <c r="BL464" s="1388"/>
      <c r="BM464" s="1388"/>
      <c r="BN464" s="1388"/>
      <c r="BO464" s="1388"/>
      <c r="BP464" s="1388"/>
      <c r="BQ464" s="1388"/>
      <c r="BR464" s="1388"/>
      <c r="BS464" s="1388"/>
      <c r="BT464" s="1388"/>
      <c r="BU464" s="1388"/>
      <c r="BV464" s="1388"/>
      <c r="BW464" s="1388"/>
      <c r="BX464" s="1388"/>
      <c r="BY464" s="1388"/>
      <c r="BZ464" s="1388"/>
      <c r="CA464" s="1388"/>
      <c r="CB464" s="1388"/>
      <c r="CC464" s="1388"/>
      <c r="CD464" s="1388"/>
      <c r="CE464" s="1388"/>
      <c r="CF464" s="1388"/>
      <c r="CG464" s="1388"/>
      <c r="CH464" s="1388"/>
      <c r="CI464" s="1388"/>
      <c r="CJ464" s="1388"/>
      <c r="CK464" s="1388"/>
      <c r="CL464" s="1388"/>
      <c r="CM464" s="1388"/>
      <c r="CN464" s="1388"/>
      <c r="CO464" s="1388"/>
      <c r="CP464" s="1388"/>
      <c r="CQ464" s="1388"/>
      <c r="CR464" s="1388"/>
      <c r="CS464" s="1388"/>
      <c r="CT464" s="1388"/>
      <c r="CU464" s="1388"/>
      <c r="CV464" s="1388"/>
      <c r="CW464" s="1388"/>
      <c r="CX464" s="1388"/>
      <c r="CY464" s="1388"/>
      <c r="CZ464" s="1388"/>
      <c r="DA464" s="1388"/>
      <c r="DB464" s="1388"/>
      <c r="DC464" s="1388"/>
      <c r="DD464" s="1388"/>
      <c r="DE464" s="1388"/>
      <c r="DF464" s="1388"/>
      <c r="DG464" s="1388"/>
      <c r="DH464" s="1388"/>
      <c r="DI464" s="1388"/>
      <c r="DJ464" s="1474"/>
      <c r="DK464" s="1388"/>
      <c r="DL464" s="1388"/>
      <c r="DM464" s="1388"/>
      <c r="DN464" s="1388"/>
      <c r="DO464" s="1388"/>
      <c r="DP464" s="1388"/>
      <c r="DQ464" s="1388"/>
      <c r="DR464" s="1388"/>
      <c r="DS464" s="1388"/>
      <c r="DT464" s="1388"/>
      <c r="DU464" s="1388"/>
      <c r="DV464" s="1388"/>
      <c r="DW464" s="1388"/>
      <c r="DX464" s="1388"/>
      <c r="DY464" s="1388"/>
      <c r="DZ464" s="1388"/>
      <c r="EA464" s="1388"/>
      <c r="EB464" s="1388"/>
      <c r="EC464" s="1388"/>
      <c r="ED464" s="1388"/>
      <c r="EE464" s="1388"/>
      <c r="EF464" s="1388"/>
      <c r="EG464" s="1388"/>
      <c r="EH464" s="1388"/>
      <c r="EI464" s="1388"/>
      <c r="EJ464" s="1388"/>
      <c r="EK464" s="1388"/>
      <c r="EL464" s="1388"/>
      <c r="EM464" s="1388"/>
      <c r="EN464" s="1388"/>
      <c r="EO464" s="1388"/>
      <c r="EP464" s="1388"/>
      <c r="EQ464" s="1388"/>
      <c r="ER464" s="1388"/>
      <c r="ES464" s="1388"/>
      <c r="ET464" s="1388"/>
      <c r="EU464" s="1388"/>
      <c r="EV464" s="1388"/>
      <c r="EW464" s="1388"/>
      <c r="EX464" s="1388"/>
      <c r="EY464" s="1388"/>
      <c r="EZ464" s="1388"/>
      <c r="FA464" s="1388"/>
      <c r="FB464" s="1388"/>
      <c r="FC464" s="1388"/>
      <c r="FD464" s="1388"/>
      <c r="FE464" s="1388"/>
      <c r="FF464" s="1388"/>
      <c r="FG464" s="1388"/>
      <c r="FH464" s="1388"/>
      <c r="FI464" s="51"/>
      <c r="FP464" s="1388"/>
      <c r="FQ464" s="1388"/>
      <c r="FR464" s="1388"/>
      <c r="FS464" s="1435"/>
      <c r="FT464" s="1435"/>
      <c r="FU464" s="1388"/>
      <c r="FV464" s="1388"/>
      <c r="FW464" s="1435"/>
      <c r="FX464" s="1435"/>
    </row>
    <row r="465" spans="1:180" ht="11.25" customHeight="1" x14ac:dyDescent="0.2">
      <c r="A465" s="1388"/>
      <c r="B465" s="1388"/>
      <c r="C465" s="1388"/>
      <c r="D465" s="1388"/>
      <c r="E465" s="1388"/>
      <c r="F465" s="1388"/>
      <c r="G465" s="1388"/>
      <c r="H465" s="1388"/>
      <c r="I465" s="1388"/>
      <c r="J465" s="1388"/>
      <c r="K465" s="1388"/>
      <c r="L465" s="1388"/>
      <c r="M465" s="1388"/>
      <c r="N465" s="1388"/>
      <c r="O465" s="1388"/>
      <c r="P465" s="1388"/>
      <c r="Q465" s="1388"/>
      <c r="R465" s="1388"/>
      <c r="S465" s="1388"/>
      <c r="T465" s="1388"/>
      <c r="U465" s="1388"/>
      <c r="V465" s="1388"/>
      <c r="W465" s="1388"/>
      <c r="X465" s="1388"/>
      <c r="Y465" s="1388"/>
      <c r="Z465" s="1388"/>
      <c r="AA465" s="1388"/>
      <c r="AB465" s="1388"/>
      <c r="AC465" s="1388"/>
      <c r="AD465" s="1388"/>
      <c r="AE465" s="1388"/>
      <c r="AF465" s="1388"/>
      <c r="AG465" s="1388"/>
      <c r="AH465" s="1388"/>
      <c r="AI465" s="1388"/>
      <c r="AJ465" s="1388"/>
      <c r="AK465" s="1388"/>
      <c r="AL465" s="1388"/>
      <c r="AM465" s="1388"/>
      <c r="AN465" s="1388"/>
      <c r="AO465" s="1388"/>
      <c r="AP465" s="1388"/>
      <c r="AQ465" s="1388"/>
      <c r="AR465" s="1388"/>
      <c r="AS465" s="1388"/>
      <c r="AT465" s="1388"/>
      <c r="AU465" s="1388"/>
      <c r="AV465" s="1388"/>
      <c r="AW465" s="1388"/>
      <c r="AX465" s="1388"/>
      <c r="AY465" s="1388"/>
      <c r="AZ465" s="1388"/>
      <c r="BA465" s="1388"/>
      <c r="BB465" s="1388"/>
      <c r="BC465" s="1388"/>
      <c r="BD465" s="1388"/>
      <c r="BE465" s="1388"/>
      <c r="BF465" s="1388"/>
      <c r="BG465" s="1388"/>
      <c r="BH465" s="1388"/>
      <c r="BI465" s="1388"/>
      <c r="BJ465" s="1388"/>
      <c r="BK465" s="1388"/>
      <c r="BL465" s="1388"/>
      <c r="BM465" s="1388"/>
      <c r="BN465" s="1388"/>
      <c r="BO465" s="1388"/>
      <c r="BP465" s="1388"/>
      <c r="BQ465" s="1388"/>
      <c r="BR465" s="1388"/>
      <c r="BS465" s="1388"/>
      <c r="BT465" s="1388"/>
      <c r="BU465" s="1388"/>
      <c r="BV465" s="1388"/>
      <c r="BW465" s="1388"/>
      <c r="BX465" s="1388"/>
      <c r="BY465" s="1388"/>
      <c r="BZ465" s="1388"/>
      <c r="CA465" s="1388"/>
      <c r="CB465" s="1388"/>
      <c r="CC465" s="1388"/>
      <c r="CD465" s="1388"/>
      <c r="CE465" s="1388"/>
      <c r="CF465" s="1388"/>
      <c r="CG465" s="1388"/>
      <c r="CH465" s="1388"/>
      <c r="CI465" s="1388"/>
      <c r="CJ465" s="1388"/>
      <c r="CK465" s="1388"/>
      <c r="CL465" s="1388"/>
      <c r="CM465" s="1388"/>
      <c r="CN465" s="1388"/>
      <c r="CO465" s="1388"/>
      <c r="CP465" s="1388"/>
      <c r="CQ465" s="1388"/>
      <c r="CR465" s="1388"/>
      <c r="CS465" s="1388"/>
      <c r="CT465" s="1388"/>
      <c r="CU465" s="1388"/>
      <c r="CV465" s="1388"/>
      <c r="CW465" s="1388"/>
      <c r="CX465" s="1388"/>
      <c r="CY465" s="1388"/>
      <c r="CZ465" s="1388"/>
      <c r="DA465" s="1388"/>
      <c r="DB465" s="1388"/>
      <c r="DC465" s="1388"/>
      <c r="DD465" s="1388"/>
      <c r="DE465" s="1388"/>
      <c r="DF465" s="1388"/>
      <c r="DG465" s="1388"/>
      <c r="DH465" s="1388"/>
      <c r="DI465" s="1388"/>
      <c r="DJ465" s="1474"/>
      <c r="DK465" s="1388"/>
      <c r="DL465" s="1388"/>
      <c r="DM465" s="1388"/>
      <c r="DN465" s="1388"/>
      <c r="DO465" s="1388"/>
      <c r="DP465" s="1388"/>
      <c r="DQ465" s="1388"/>
      <c r="DR465" s="1388"/>
      <c r="DS465" s="1388"/>
      <c r="DT465" s="1388"/>
      <c r="DU465" s="1388"/>
      <c r="DV465" s="1388"/>
      <c r="DW465" s="1388"/>
      <c r="DX465" s="1388"/>
      <c r="DY465" s="1388"/>
      <c r="DZ465" s="1388"/>
      <c r="EA465" s="1388"/>
      <c r="EB465" s="1388"/>
      <c r="EC465" s="1388"/>
      <c r="ED465" s="1388"/>
      <c r="EE465" s="1388"/>
      <c r="EF465" s="1388"/>
      <c r="EG465" s="1388"/>
      <c r="EH465" s="1388"/>
      <c r="EI465" s="1388"/>
      <c r="EJ465" s="1388"/>
      <c r="EK465" s="1388"/>
      <c r="EL465" s="1388"/>
      <c r="EM465" s="1388"/>
      <c r="EN465" s="1388"/>
      <c r="EO465" s="1388"/>
      <c r="EP465" s="1388"/>
      <c r="EQ465" s="1388"/>
      <c r="ER465" s="1388"/>
      <c r="ES465" s="1388"/>
      <c r="ET465" s="1388"/>
      <c r="EU465" s="1388"/>
      <c r="EV465" s="1388"/>
      <c r="EW465" s="1388"/>
      <c r="EX465" s="1388"/>
      <c r="EY465" s="1388"/>
      <c r="EZ465" s="1388"/>
      <c r="FA465" s="1388"/>
      <c r="FB465" s="1388"/>
      <c r="FC465" s="1388"/>
      <c r="FD465" s="1388"/>
      <c r="FE465" s="1388"/>
      <c r="FF465" s="1388"/>
      <c r="FG465" s="1388"/>
      <c r="FH465" s="1388"/>
      <c r="FI465" s="51"/>
      <c r="FP465" s="1388"/>
      <c r="FQ465" s="1388"/>
      <c r="FR465" s="1388"/>
      <c r="FS465" s="1435"/>
      <c r="FT465" s="1435"/>
      <c r="FU465" s="1388"/>
      <c r="FV465" s="1388"/>
      <c r="FW465" s="1435"/>
      <c r="FX465" s="1435"/>
    </row>
    <row r="466" spans="1:180" ht="11.25" customHeight="1" x14ac:dyDescent="0.2">
      <c r="A466" s="1388"/>
      <c r="B466" s="1388"/>
      <c r="C466" s="1388"/>
      <c r="D466" s="1388"/>
      <c r="E466" s="1388"/>
      <c r="F466" s="1388"/>
      <c r="G466" s="1388"/>
      <c r="H466" s="1388"/>
      <c r="I466" s="1388"/>
      <c r="J466" s="1388"/>
      <c r="K466" s="1388"/>
      <c r="L466" s="1388"/>
      <c r="M466" s="1388"/>
      <c r="N466" s="1388"/>
      <c r="O466" s="1388"/>
      <c r="P466" s="1388"/>
      <c r="Q466" s="1388"/>
      <c r="R466" s="1388"/>
      <c r="S466" s="1388"/>
      <c r="T466" s="1388"/>
      <c r="U466" s="1388"/>
      <c r="V466" s="1388"/>
      <c r="W466" s="1388"/>
      <c r="X466" s="1388"/>
      <c r="Y466" s="1388"/>
      <c r="Z466" s="1388"/>
      <c r="AA466" s="1388"/>
      <c r="AB466" s="1388"/>
      <c r="AC466" s="1388"/>
      <c r="AD466" s="1388"/>
      <c r="AE466" s="1388"/>
      <c r="AF466" s="1388"/>
      <c r="AG466" s="1388"/>
      <c r="AH466" s="1388"/>
      <c r="AI466" s="1388"/>
      <c r="AJ466" s="1388"/>
      <c r="AK466" s="1388"/>
      <c r="AL466" s="1388"/>
      <c r="AM466" s="1388"/>
      <c r="AN466" s="1388"/>
      <c r="AO466" s="1388"/>
      <c r="AP466" s="1388"/>
      <c r="AQ466" s="1388"/>
      <c r="AR466" s="1388"/>
      <c r="AS466" s="1388"/>
      <c r="AT466" s="1388"/>
      <c r="AU466" s="1388"/>
      <c r="AV466" s="1388"/>
      <c r="AW466" s="1388"/>
      <c r="AX466" s="1388"/>
      <c r="AY466" s="1388"/>
      <c r="AZ466" s="1388"/>
      <c r="BA466" s="1388"/>
      <c r="BB466" s="1388"/>
      <c r="BC466" s="1388"/>
      <c r="BD466" s="1388"/>
      <c r="BE466" s="1388"/>
      <c r="BF466" s="1388"/>
      <c r="BG466" s="1388"/>
      <c r="BH466" s="1388"/>
      <c r="BI466" s="1388"/>
      <c r="BJ466" s="1388"/>
      <c r="BK466" s="1388"/>
      <c r="BL466" s="1388"/>
      <c r="BM466" s="1388"/>
      <c r="BN466" s="1388"/>
      <c r="BO466" s="1388"/>
      <c r="BP466" s="1388"/>
      <c r="BQ466" s="1388"/>
      <c r="BR466" s="1388"/>
      <c r="BS466" s="1388"/>
      <c r="BT466" s="1388"/>
      <c r="BU466" s="1388"/>
      <c r="BV466" s="1388"/>
      <c r="BW466" s="1388"/>
      <c r="BX466" s="1388"/>
      <c r="BY466" s="1388"/>
      <c r="BZ466" s="1388"/>
      <c r="CA466" s="1388"/>
      <c r="CB466" s="1388"/>
      <c r="CC466" s="1388"/>
      <c r="CD466" s="1388"/>
      <c r="CE466" s="1388"/>
      <c r="CF466" s="1388"/>
      <c r="CG466" s="1388"/>
      <c r="CH466" s="1388"/>
      <c r="CI466" s="1388"/>
      <c r="CJ466" s="1388"/>
      <c r="CK466" s="1388"/>
      <c r="CL466" s="1388"/>
      <c r="CM466" s="1388"/>
      <c r="CN466" s="1388"/>
      <c r="CO466" s="1388"/>
      <c r="CP466" s="1388"/>
      <c r="CQ466" s="1388"/>
      <c r="CR466" s="1388"/>
      <c r="CS466" s="1388"/>
      <c r="CT466" s="1388"/>
      <c r="CU466" s="1388"/>
      <c r="CV466" s="1388"/>
      <c r="CW466" s="1388"/>
      <c r="CX466" s="1388"/>
      <c r="CY466" s="1388"/>
      <c r="CZ466" s="1388"/>
      <c r="DA466" s="1388"/>
      <c r="DB466" s="1388"/>
      <c r="DC466" s="1388"/>
      <c r="DD466" s="1388"/>
      <c r="DE466" s="1388"/>
      <c r="DF466" s="1388"/>
      <c r="DG466" s="1388"/>
      <c r="DH466" s="1388"/>
      <c r="DI466" s="1388"/>
      <c r="DJ466" s="1474"/>
      <c r="DK466" s="1388"/>
      <c r="DL466" s="1388"/>
      <c r="DM466" s="1388"/>
      <c r="DN466" s="1388"/>
      <c r="DO466" s="1388"/>
      <c r="DP466" s="1388"/>
      <c r="DQ466" s="1388"/>
      <c r="DR466" s="1388"/>
      <c r="DS466" s="1388"/>
      <c r="DT466" s="1388"/>
      <c r="DU466" s="1388"/>
      <c r="DV466" s="1388"/>
      <c r="DW466" s="1388"/>
      <c r="DX466" s="1388"/>
      <c r="DY466" s="1388"/>
      <c r="DZ466" s="1388"/>
      <c r="EA466" s="1388"/>
      <c r="EB466" s="1388"/>
      <c r="EC466" s="1388"/>
      <c r="ED466" s="1388"/>
      <c r="EE466" s="1388"/>
      <c r="EF466" s="1388"/>
      <c r="EG466" s="1388"/>
      <c r="EH466" s="1388"/>
      <c r="EI466" s="1388"/>
      <c r="EJ466" s="1388"/>
      <c r="EK466" s="1388"/>
      <c r="EL466" s="1388"/>
      <c r="EM466" s="1388"/>
      <c r="EN466" s="1388"/>
      <c r="EO466" s="1388"/>
      <c r="EP466" s="1388"/>
      <c r="EQ466" s="1388"/>
      <c r="ER466" s="1388"/>
      <c r="ES466" s="1388"/>
      <c r="ET466" s="1388"/>
      <c r="EU466" s="1388"/>
      <c r="EV466" s="1388"/>
      <c r="EW466" s="1388"/>
      <c r="EX466" s="1388"/>
      <c r="EY466" s="1388"/>
      <c r="EZ466" s="1388"/>
      <c r="FA466" s="1388"/>
      <c r="FB466" s="1388"/>
      <c r="FC466" s="1388"/>
      <c r="FD466" s="1388"/>
      <c r="FE466" s="1388"/>
      <c r="FF466" s="1388"/>
      <c r="FG466" s="1388"/>
      <c r="FH466" s="1388"/>
      <c r="FI466" s="51"/>
      <c r="FP466" s="1388"/>
      <c r="FQ466" s="1388"/>
      <c r="FR466" s="1388"/>
      <c r="FS466" s="1435"/>
      <c r="FT466" s="1435"/>
      <c r="FU466" s="1388"/>
      <c r="FV466" s="1388"/>
      <c r="FW466" s="1435"/>
      <c r="FX466" s="1435"/>
    </row>
    <row r="467" spans="1:180" ht="11.25" customHeight="1" x14ac:dyDescent="0.2">
      <c r="A467" s="1388"/>
      <c r="B467" s="1388"/>
      <c r="C467" s="1388"/>
      <c r="D467" s="1388"/>
      <c r="E467" s="1388"/>
      <c r="F467" s="1388"/>
      <c r="G467" s="1388"/>
      <c r="H467" s="1388"/>
      <c r="I467" s="1388"/>
      <c r="J467" s="1388"/>
      <c r="K467" s="1388"/>
      <c r="L467" s="1388"/>
      <c r="M467" s="1388"/>
      <c r="N467" s="1388"/>
      <c r="O467" s="1388"/>
      <c r="P467" s="1388"/>
      <c r="Q467" s="1388"/>
      <c r="R467" s="1388"/>
      <c r="S467" s="1388"/>
      <c r="T467" s="1388"/>
      <c r="U467" s="1388"/>
      <c r="V467" s="1388"/>
      <c r="W467" s="1388"/>
      <c r="X467" s="1388"/>
      <c r="Y467" s="1388"/>
      <c r="Z467" s="1388"/>
      <c r="AA467" s="1388"/>
      <c r="AB467" s="1388"/>
      <c r="AC467" s="1388"/>
      <c r="AD467" s="1388"/>
      <c r="AE467" s="1388"/>
      <c r="AF467" s="1388"/>
      <c r="AG467" s="1388"/>
      <c r="AH467" s="1388"/>
      <c r="AI467" s="1388"/>
      <c r="AJ467" s="1388"/>
      <c r="AK467" s="1388"/>
      <c r="AL467" s="1388"/>
      <c r="AM467" s="1388"/>
      <c r="AN467" s="1388"/>
      <c r="AO467" s="1388"/>
      <c r="AP467" s="1388"/>
      <c r="AQ467" s="1388"/>
      <c r="AR467" s="1388"/>
      <c r="AS467" s="1388"/>
      <c r="AT467" s="1388"/>
      <c r="AU467" s="1388"/>
      <c r="AV467" s="1388"/>
      <c r="AW467" s="1388"/>
      <c r="AX467" s="1388"/>
      <c r="AY467" s="1388"/>
      <c r="AZ467" s="1388"/>
      <c r="BA467" s="1388"/>
      <c r="BB467" s="1388"/>
      <c r="BC467" s="1388"/>
      <c r="BD467" s="1388"/>
      <c r="BE467" s="1388"/>
      <c r="BF467" s="1388"/>
      <c r="BG467" s="1388"/>
      <c r="BH467" s="1388"/>
      <c r="BI467" s="1388"/>
      <c r="BJ467" s="1388"/>
      <c r="BK467" s="1388"/>
      <c r="BL467" s="1388"/>
      <c r="BM467" s="1388"/>
      <c r="BN467" s="1388"/>
      <c r="BO467" s="1388"/>
      <c r="BP467" s="1388"/>
      <c r="BQ467" s="1388"/>
      <c r="BR467" s="1388"/>
      <c r="BS467" s="1388"/>
      <c r="BT467" s="1388"/>
      <c r="BU467" s="1388"/>
      <c r="BV467" s="1388"/>
      <c r="BW467" s="1388"/>
      <c r="BX467" s="1388"/>
      <c r="BY467" s="1388"/>
      <c r="BZ467" s="1388"/>
      <c r="CA467" s="1388"/>
      <c r="CB467" s="1388"/>
      <c r="CC467" s="1388"/>
      <c r="CD467" s="1388"/>
      <c r="CE467" s="1388"/>
      <c r="CF467" s="1388"/>
      <c r="CG467" s="1388"/>
      <c r="CH467" s="1388"/>
      <c r="CI467" s="1388"/>
      <c r="CJ467" s="1388"/>
      <c r="CK467" s="1388"/>
      <c r="CL467" s="1388"/>
      <c r="CM467" s="1388"/>
      <c r="CN467" s="1388"/>
      <c r="CO467" s="1388"/>
      <c r="CP467" s="1388"/>
      <c r="CQ467" s="1388"/>
      <c r="CR467" s="1388"/>
      <c r="CS467" s="1388"/>
      <c r="CT467" s="1388"/>
      <c r="CU467" s="1388"/>
      <c r="CV467" s="1388"/>
      <c r="CW467" s="1388"/>
      <c r="CX467" s="1388"/>
      <c r="CY467" s="1388"/>
      <c r="CZ467" s="1388"/>
      <c r="DA467" s="1388"/>
      <c r="DB467" s="1388"/>
      <c r="DC467" s="1388"/>
      <c r="DD467" s="1388"/>
      <c r="DE467" s="1388"/>
      <c r="DF467" s="1388"/>
      <c r="DG467" s="1388"/>
      <c r="DH467" s="1388"/>
      <c r="DI467" s="1388"/>
      <c r="DJ467" s="1474"/>
      <c r="DK467" s="1388"/>
      <c r="DL467" s="1388"/>
      <c r="DM467" s="1388"/>
      <c r="DN467" s="1388"/>
      <c r="DO467" s="1388"/>
      <c r="DP467" s="1388"/>
      <c r="DQ467" s="1388"/>
      <c r="DR467" s="1388"/>
      <c r="DS467" s="1388"/>
      <c r="DT467" s="1388"/>
      <c r="DU467" s="1388"/>
      <c r="DV467" s="1388"/>
      <c r="DW467" s="1388"/>
      <c r="DX467" s="1388"/>
      <c r="DY467" s="1388"/>
      <c r="DZ467" s="1388"/>
      <c r="EA467" s="1388"/>
      <c r="EB467" s="1388"/>
      <c r="EC467" s="1388"/>
      <c r="ED467" s="1388"/>
      <c r="EE467" s="1388"/>
      <c r="EF467" s="1388"/>
      <c r="EG467" s="1388"/>
      <c r="EH467" s="1388"/>
      <c r="EI467" s="1388"/>
      <c r="EJ467" s="1388"/>
      <c r="EK467" s="1388"/>
      <c r="EL467" s="1388"/>
      <c r="EM467" s="1388"/>
      <c r="EN467" s="1388"/>
      <c r="EO467" s="1388"/>
      <c r="EP467" s="1388"/>
      <c r="EQ467" s="1388"/>
      <c r="ER467" s="1388"/>
      <c r="ES467" s="1388"/>
      <c r="ET467" s="1388"/>
      <c r="EU467" s="1388"/>
      <c r="EV467" s="1388"/>
      <c r="EW467" s="1388"/>
      <c r="EX467" s="1388"/>
      <c r="EY467" s="1388"/>
      <c r="EZ467" s="1388"/>
      <c r="FA467" s="1388"/>
      <c r="FB467" s="1388"/>
      <c r="FC467" s="1388"/>
      <c r="FD467" s="1388"/>
      <c r="FE467" s="1388"/>
      <c r="FF467" s="1388"/>
      <c r="FG467" s="1388"/>
      <c r="FH467" s="1388"/>
      <c r="FI467" s="51"/>
      <c r="FP467" s="1388"/>
      <c r="FQ467" s="1388"/>
      <c r="FR467" s="1388"/>
      <c r="FS467" s="1435"/>
      <c r="FT467" s="1435"/>
      <c r="FU467" s="1388"/>
      <c r="FV467" s="1388"/>
      <c r="FW467" s="1435"/>
      <c r="FX467" s="1435"/>
    </row>
    <row r="468" spans="1:180" ht="11.25" customHeight="1" x14ac:dyDescent="0.2">
      <c r="A468" s="1388"/>
      <c r="B468" s="1388"/>
      <c r="C468" s="1388"/>
      <c r="D468" s="1388"/>
      <c r="E468" s="1388"/>
      <c r="F468" s="1388"/>
      <c r="G468" s="1388"/>
      <c r="H468" s="1388"/>
      <c r="I468" s="1388"/>
      <c r="J468" s="1388"/>
      <c r="K468" s="1388"/>
      <c r="L468" s="1388"/>
      <c r="M468" s="1388"/>
      <c r="N468" s="1388"/>
      <c r="O468" s="1388"/>
      <c r="P468" s="1388"/>
      <c r="Q468" s="1388"/>
      <c r="R468" s="1388"/>
      <c r="S468" s="1388"/>
      <c r="T468" s="1388"/>
      <c r="U468" s="1388"/>
      <c r="V468" s="1388"/>
      <c r="W468" s="1388"/>
      <c r="X468" s="1388"/>
      <c r="Y468" s="1388"/>
      <c r="Z468" s="1388"/>
      <c r="AA468" s="1388"/>
      <c r="AB468" s="1388"/>
      <c r="AC468" s="1388"/>
      <c r="AD468" s="1388"/>
      <c r="AE468" s="1388"/>
      <c r="AF468" s="1388"/>
      <c r="AG468" s="1388"/>
      <c r="AH468" s="1388"/>
      <c r="AI468" s="1388"/>
      <c r="AJ468" s="1388"/>
      <c r="AK468" s="1388"/>
      <c r="AL468" s="1388"/>
      <c r="AM468" s="1388"/>
      <c r="AN468" s="1388"/>
      <c r="AO468" s="1388"/>
      <c r="AP468" s="1388"/>
      <c r="AQ468" s="1388"/>
      <c r="AR468" s="1388"/>
      <c r="AS468" s="1388"/>
      <c r="AT468" s="1388"/>
      <c r="AU468" s="1388"/>
      <c r="AV468" s="1388"/>
      <c r="AW468" s="1388"/>
      <c r="AX468" s="1388"/>
      <c r="AY468" s="1388"/>
      <c r="AZ468" s="1388"/>
      <c r="BA468" s="1388"/>
      <c r="BB468" s="1388"/>
      <c r="BC468" s="1388"/>
      <c r="BD468" s="1388"/>
      <c r="BE468" s="1388"/>
      <c r="BF468" s="1388"/>
      <c r="BG468" s="1388"/>
      <c r="BH468" s="1388"/>
      <c r="BI468" s="1388"/>
      <c r="BJ468" s="1388"/>
      <c r="BK468" s="1388"/>
      <c r="BL468" s="1388"/>
      <c r="BM468" s="1388"/>
      <c r="BN468" s="1388"/>
      <c r="BO468" s="1388"/>
      <c r="BP468" s="1388"/>
      <c r="BQ468" s="1388"/>
      <c r="BR468" s="1388"/>
      <c r="BS468" s="1388"/>
      <c r="BT468" s="1388"/>
      <c r="BU468" s="1388"/>
      <c r="BV468" s="1388"/>
      <c r="BW468" s="1388"/>
      <c r="BX468" s="1388"/>
      <c r="BY468" s="1388"/>
      <c r="BZ468" s="1388"/>
      <c r="CA468" s="1388"/>
      <c r="CB468" s="1388"/>
      <c r="CC468" s="1388"/>
      <c r="CD468" s="1388"/>
      <c r="CE468" s="1388"/>
      <c r="CF468" s="1388"/>
      <c r="CG468" s="1388"/>
      <c r="CH468" s="1388"/>
      <c r="CI468" s="1388"/>
      <c r="CJ468" s="1388"/>
      <c r="CK468" s="1388"/>
      <c r="CL468" s="1388"/>
      <c r="CM468" s="1388"/>
      <c r="CN468" s="1388"/>
      <c r="CO468" s="1388"/>
      <c r="CP468" s="1388"/>
      <c r="CQ468" s="1388"/>
      <c r="CR468" s="1388"/>
      <c r="CS468" s="1388"/>
      <c r="CT468" s="1388"/>
      <c r="CU468" s="1388"/>
      <c r="CV468" s="1388"/>
      <c r="CW468" s="1388"/>
      <c r="CX468" s="1388"/>
      <c r="CY468" s="1388"/>
      <c r="CZ468" s="1388"/>
      <c r="DA468" s="1388"/>
      <c r="DB468" s="1388"/>
      <c r="DC468" s="1388"/>
      <c r="DD468" s="1388"/>
      <c r="DE468" s="1388"/>
      <c r="DF468" s="1388"/>
      <c r="DG468" s="1388"/>
      <c r="DH468" s="1388"/>
      <c r="DI468" s="1388"/>
      <c r="DJ468" s="1474"/>
      <c r="DK468" s="1388"/>
      <c r="DL468" s="1388"/>
      <c r="DM468" s="1388"/>
      <c r="DN468" s="1388"/>
      <c r="DO468" s="1388"/>
      <c r="DP468" s="1388"/>
      <c r="DQ468" s="1388"/>
      <c r="DR468" s="1388"/>
      <c r="DS468" s="1388"/>
      <c r="DT468" s="1388"/>
      <c r="DU468" s="1388"/>
      <c r="DV468" s="1388"/>
      <c r="DW468" s="1388"/>
      <c r="DX468" s="1388"/>
      <c r="DY468" s="1388"/>
      <c r="DZ468" s="1388"/>
      <c r="EA468" s="1388"/>
      <c r="EB468" s="1388"/>
      <c r="EC468" s="1388"/>
      <c r="ED468" s="1388"/>
      <c r="EE468" s="1388"/>
      <c r="EF468" s="1388"/>
      <c r="EG468" s="1388"/>
      <c r="EH468" s="1388"/>
      <c r="EI468" s="1388"/>
      <c r="EJ468" s="1388"/>
      <c r="EK468" s="1388"/>
      <c r="EL468" s="1388"/>
      <c r="EM468" s="1388"/>
      <c r="EN468" s="1388"/>
      <c r="EO468" s="1388"/>
      <c r="EP468" s="1388"/>
      <c r="EQ468" s="1388"/>
      <c r="ER468" s="1388"/>
      <c r="ES468" s="1388"/>
      <c r="ET468" s="1388"/>
      <c r="EU468" s="1388"/>
      <c r="EV468" s="1388"/>
      <c r="EW468" s="1388"/>
      <c r="EX468" s="1388"/>
      <c r="EY468" s="1388"/>
      <c r="EZ468" s="1388"/>
      <c r="FA468" s="1388"/>
      <c r="FB468" s="1388"/>
      <c r="FC468" s="1388"/>
      <c r="FD468" s="1388"/>
      <c r="FE468" s="1388"/>
      <c r="FF468" s="1388"/>
      <c r="FG468" s="1388"/>
      <c r="FH468" s="1388"/>
      <c r="FI468" s="51"/>
      <c r="FP468" s="1388"/>
      <c r="FQ468" s="1388"/>
      <c r="FR468" s="1388"/>
      <c r="FS468" s="1435"/>
      <c r="FT468" s="1435"/>
      <c r="FU468" s="1388"/>
      <c r="FV468" s="1388"/>
      <c r="FW468" s="1435"/>
      <c r="FX468" s="1435"/>
    </row>
    <row r="469" spans="1:180" ht="11.25" customHeight="1" x14ac:dyDescent="0.2">
      <c r="A469" s="1388"/>
      <c r="B469" s="1388"/>
      <c r="C469" s="1388"/>
      <c r="D469" s="1388"/>
      <c r="E469" s="1388"/>
      <c r="F469" s="1388"/>
      <c r="G469" s="1388"/>
      <c r="H469" s="1388"/>
      <c r="I469" s="1388"/>
      <c r="J469" s="1388"/>
      <c r="K469" s="1388"/>
      <c r="L469" s="1388"/>
      <c r="M469" s="1388"/>
      <c r="N469" s="1388"/>
      <c r="O469" s="1388"/>
      <c r="P469" s="1388"/>
      <c r="Q469" s="1388"/>
      <c r="R469" s="1388"/>
      <c r="S469" s="1388"/>
      <c r="T469" s="1388"/>
      <c r="U469" s="1388"/>
      <c r="V469" s="1388"/>
      <c r="W469" s="1388"/>
      <c r="X469" s="1388"/>
      <c r="Y469" s="1388"/>
      <c r="Z469" s="1388"/>
      <c r="AA469" s="1388"/>
      <c r="AB469" s="1388"/>
      <c r="AC469" s="1388"/>
      <c r="AD469" s="1388"/>
      <c r="AE469" s="1388"/>
      <c r="AF469" s="1388"/>
      <c r="AG469" s="1388"/>
      <c r="AH469" s="1388"/>
      <c r="AI469" s="1388"/>
      <c r="AJ469" s="1388"/>
      <c r="AK469" s="1388"/>
      <c r="AL469" s="1388"/>
      <c r="AM469" s="1388"/>
      <c r="AN469" s="1388"/>
      <c r="AO469" s="1388"/>
      <c r="AP469" s="1388"/>
      <c r="AQ469" s="1388"/>
      <c r="AR469" s="1388"/>
      <c r="AS469" s="1388"/>
      <c r="AT469" s="1388"/>
      <c r="AU469" s="1388"/>
      <c r="AV469" s="1388"/>
      <c r="AW469" s="1388"/>
      <c r="AX469" s="1388"/>
      <c r="AY469" s="1388"/>
      <c r="AZ469" s="1388"/>
      <c r="BA469" s="1388"/>
      <c r="BB469" s="1388"/>
      <c r="BC469" s="1388"/>
      <c r="BD469" s="1388"/>
      <c r="BE469" s="1388"/>
      <c r="BF469" s="1388"/>
      <c r="BG469" s="1388"/>
      <c r="BH469" s="1388"/>
      <c r="BI469" s="1388"/>
      <c r="BJ469" s="1388"/>
      <c r="BK469" s="1388"/>
      <c r="BL469" s="1388"/>
      <c r="BM469" s="1388"/>
      <c r="BN469" s="1388"/>
      <c r="BO469" s="1388"/>
      <c r="BP469" s="1388"/>
      <c r="BQ469" s="1388"/>
      <c r="BR469" s="1388"/>
      <c r="BS469" s="1388"/>
      <c r="BT469" s="1388"/>
      <c r="BU469" s="1388"/>
      <c r="BV469" s="1388"/>
      <c r="BW469" s="1388"/>
      <c r="BX469" s="1388"/>
      <c r="BY469" s="1388"/>
      <c r="BZ469" s="1388"/>
      <c r="CA469" s="1388"/>
      <c r="CB469" s="1388"/>
      <c r="CC469" s="1388"/>
      <c r="CD469" s="1388"/>
      <c r="CE469" s="1388"/>
      <c r="CF469" s="1388"/>
      <c r="CG469" s="1388"/>
      <c r="CH469" s="1388"/>
      <c r="CI469" s="1388"/>
      <c r="CJ469" s="1388"/>
      <c r="CK469" s="1388"/>
      <c r="CL469" s="1388"/>
      <c r="CM469" s="1388"/>
      <c r="CN469" s="1388"/>
      <c r="CO469" s="1388"/>
      <c r="CP469" s="1388"/>
      <c r="CQ469" s="1388"/>
      <c r="CR469" s="1388"/>
      <c r="CS469" s="1388"/>
      <c r="CT469" s="1388"/>
      <c r="CU469" s="1388"/>
      <c r="CV469" s="1388"/>
      <c r="CW469" s="1388"/>
      <c r="CX469" s="1388"/>
      <c r="CY469" s="1388"/>
      <c r="CZ469" s="1388"/>
      <c r="DA469" s="1388"/>
      <c r="DB469" s="1388"/>
      <c r="DC469" s="1388"/>
      <c r="DD469" s="1388"/>
      <c r="DE469" s="1388"/>
      <c r="DF469" s="1388"/>
      <c r="DG469" s="1388"/>
      <c r="DH469" s="1388"/>
      <c r="DI469" s="1388"/>
      <c r="DJ469" s="1474"/>
      <c r="DK469" s="1388"/>
      <c r="DL469" s="1388"/>
      <c r="DM469" s="1388"/>
      <c r="DN469" s="1388"/>
      <c r="DO469" s="1388"/>
      <c r="DP469" s="1388"/>
      <c r="DQ469" s="1388"/>
      <c r="DR469" s="1388"/>
      <c r="DS469" s="1388"/>
      <c r="DT469" s="1388"/>
      <c r="DU469" s="1388"/>
      <c r="DV469" s="1388"/>
      <c r="DW469" s="1388"/>
      <c r="DX469" s="1388"/>
      <c r="DY469" s="1388"/>
      <c r="DZ469" s="1388"/>
      <c r="EA469" s="1388"/>
      <c r="EB469" s="1388"/>
      <c r="EC469" s="1388"/>
      <c r="ED469" s="1388"/>
      <c r="EE469" s="1388"/>
      <c r="EF469" s="1388"/>
      <c r="EG469" s="1388"/>
      <c r="EH469" s="1388"/>
      <c r="EI469" s="1388"/>
      <c r="EJ469" s="1388"/>
      <c r="EK469" s="1388"/>
      <c r="EL469" s="1388"/>
      <c r="EM469" s="1388"/>
      <c r="EN469" s="1388"/>
      <c r="EO469" s="1388"/>
      <c r="EP469" s="1388"/>
      <c r="EQ469" s="1388"/>
      <c r="ER469" s="1388"/>
      <c r="ES469" s="1388"/>
      <c r="ET469" s="1388"/>
      <c r="EU469" s="1388"/>
      <c r="EV469" s="1388"/>
      <c r="EW469" s="1388"/>
      <c r="EX469" s="1388"/>
      <c r="EY469" s="1388"/>
      <c r="EZ469" s="1388"/>
      <c r="FA469" s="1388"/>
      <c r="FB469" s="1388"/>
      <c r="FC469" s="1388"/>
      <c r="FD469" s="1388"/>
      <c r="FE469" s="1388"/>
      <c r="FF469" s="1388"/>
      <c r="FG469" s="1388"/>
      <c r="FH469" s="1388"/>
      <c r="FI469" s="51"/>
      <c r="FP469" s="1388"/>
      <c r="FQ469" s="1388"/>
      <c r="FR469" s="1388"/>
      <c r="FS469" s="1435"/>
      <c r="FT469" s="1435"/>
      <c r="FU469" s="1388"/>
      <c r="FV469" s="1388"/>
      <c r="FW469" s="1435"/>
      <c r="FX469" s="1435"/>
    </row>
    <row r="470" spans="1:180" ht="11.25" customHeight="1" x14ac:dyDescent="0.2">
      <c r="A470" s="1388"/>
      <c r="B470" s="1388"/>
      <c r="C470" s="1388"/>
      <c r="D470" s="1388"/>
      <c r="E470" s="1388"/>
      <c r="F470" s="1388"/>
      <c r="G470" s="1388"/>
      <c r="H470" s="1388"/>
      <c r="I470" s="1388"/>
      <c r="J470" s="1388"/>
      <c r="K470" s="1388"/>
      <c r="L470" s="1388"/>
      <c r="M470" s="1388"/>
      <c r="N470" s="1388"/>
      <c r="O470" s="1388"/>
      <c r="P470" s="1388"/>
      <c r="Q470" s="1388"/>
      <c r="R470" s="1388"/>
      <c r="S470" s="1388"/>
      <c r="T470" s="1388"/>
      <c r="U470" s="1388"/>
      <c r="V470" s="1388"/>
      <c r="W470" s="1388"/>
      <c r="X470" s="1388"/>
      <c r="Y470" s="1388"/>
      <c r="Z470" s="1388"/>
      <c r="AA470" s="1388"/>
      <c r="AB470" s="1388"/>
      <c r="AC470" s="1388"/>
      <c r="AD470" s="1388"/>
      <c r="AE470" s="1388"/>
      <c r="AF470" s="1388"/>
      <c r="AG470" s="1388"/>
      <c r="AH470" s="1388"/>
      <c r="AI470" s="1388"/>
      <c r="AJ470" s="1388"/>
      <c r="AK470" s="1388"/>
      <c r="AL470" s="1388"/>
      <c r="AM470" s="1388"/>
      <c r="AN470" s="1388"/>
      <c r="AO470" s="1388"/>
      <c r="AP470" s="1388"/>
      <c r="AQ470" s="1388"/>
      <c r="AR470" s="1388"/>
      <c r="AS470" s="1388"/>
      <c r="AT470" s="1388"/>
      <c r="AU470" s="1388"/>
      <c r="AV470" s="1388"/>
      <c r="AW470" s="1388"/>
      <c r="AX470" s="1388"/>
      <c r="AY470" s="1388"/>
      <c r="AZ470" s="1388"/>
      <c r="BA470" s="1388"/>
      <c r="BB470" s="1388"/>
      <c r="BC470" s="1388"/>
      <c r="BD470" s="1388"/>
      <c r="BE470" s="1388"/>
      <c r="BF470" s="1388"/>
      <c r="BG470" s="1388"/>
      <c r="BH470" s="1388"/>
      <c r="BI470" s="1388"/>
      <c r="BJ470" s="1388"/>
      <c r="BK470" s="1388"/>
      <c r="BL470" s="1388"/>
      <c r="BM470" s="1388"/>
      <c r="BN470" s="1388"/>
      <c r="BO470" s="1388"/>
      <c r="BP470" s="1388"/>
      <c r="BQ470" s="1388"/>
      <c r="BR470" s="1388"/>
      <c r="BS470" s="1388"/>
      <c r="BT470" s="1388"/>
      <c r="BU470" s="1388"/>
      <c r="BV470" s="1388"/>
      <c r="BW470" s="1388"/>
      <c r="BX470" s="1388"/>
      <c r="BY470" s="1388"/>
      <c r="BZ470" s="1388"/>
      <c r="CA470" s="1388"/>
      <c r="CB470" s="1388"/>
      <c r="CC470" s="1388"/>
      <c r="CD470" s="1388"/>
      <c r="CE470" s="1388"/>
      <c r="CF470" s="1388"/>
      <c r="CG470" s="1388"/>
      <c r="CH470" s="1388"/>
      <c r="CI470" s="1388"/>
      <c r="CJ470" s="1388"/>
      <c r="CK470" s="1388"/>
      <c r="CL470" s="1388"/>
      <c r="CM470" s="1388"/>
      <c r="CN470" s="1388"/>
      <c r="CO470" s="1388"/>
      <c r="CP470" s="1388"/>
      <c r="CQ470" s="1388"/>
      <c r="CR470" s="1388"/>
      <c r="CS470" s="1388"/>
      <c r="CT470" s="1388"/>
      <c r="CU470" s="1388"/>
      <c r="CV470" s="1388"/>
      <c r="CW470" s="1388"/>
      <c r="CX470" s="1388"/>
      <c r="CY470" s="1388"/>
      <c r="CZ470" s="1388"/>
      <c r="DA470" s="1388"/>
      <c r="DB470" s="1388"/>
      <c r="DC470" s="1388"/>
      <c r="DD470" s="1388"/>
      <c r="DE470" s="1388"/>
      <c r="DF470" s="1388"/>
      <c r="DG470" s="1388"/>
      <c r="DH470" s="1388"/>
      <c r="DI470" s="1388"/>
      <c r="DJ470" s="1474"/>
      <c r="DK470" s="1388"/>
      <c r="DL470" s="1388"/>
      <c r="DM470" s="1388"/>
      <c r="DN470" s="1388"/>
      <c r="DO470" s="1388"/>
      <c r="DP470" s="1388"/>
      <c r="DQ470" s="1388"/>
      <c r="DR470" s="1388"/>
      <c r="DS470" s="1388"/>
      <c r="DT470" s="1388"/>
      <c r="DU470" s="1388"/>
      <c r="DV470" s="1388"/>
      <c r="DW470" s="1388"/>
      <c r="DX470" s="1388"/>
      <c r="DY470" s="1388"/>
      <c r="DZ470" s="1388"/>
      <c r="EA470" s="1388"/>
      <c r="EB470" s="1388"/>
      <c r="EC470" s="1388"/>
      <c r="ED470" s="1388"/>
      <c r="EE470" s="1388"/>
      <c r="EF470" s="1388"/>
      <c r="EG470" s="1388"/>
      <c r="EH470" s="1388"/>
      <c r="EI470" s="1388"/>
      <c r="EJ470" s="1388"/>
      <c r="EK470" s="1388"/>
      <c r="EL470" s="1388"/>
      <c r="EM470" s="1388"/>
      <c r="EN470" s="1388"/>
      <c r="EO470" s="1388"/>
      <c r="EP470" s="1388"/>
      <c r="EQ470" s="1388"/>
      <c r="ER470" s="1388"/>
      <c r="ES470" s="1388"/>
      <c r="ET470" s="1388"/>
      <c r="EU470" s="1388"/>
      <c r="EV470" s="1388"/>
      <c r="EW470" s="1388"/>
      <c r="EX470" s="1388"/>
      <c r="EY470" s="1388"/>
      <c r="EZ470" s="1388"/>
      <c r="FA470" s="1388"/>
      <c r="FB470" s="1388"/>
      <c r="FC470" s="1388"/>
      <c r="FD470" s="1388"/>
      <c r="FE470" s="1388"/>
      <c r="FF470" s="1388"/>
      <c r="FG470" s="1388"/>
      <c r="FH470" s="1388"/>
      <c r="FI470" s="51"/>
      <c r="FP470" s="1388"/>
      <c r="FQ470" s="1388"/>
      <c r="FR470" s="1388"/>
      <c r="FS470" s="1435"/>
      <c r="FT470" s="1435"/>
      <c r="FU470" s="1388"/>
      <c r="FV470" s="1388"/>
      <c r="FW470" s="1435"/>
      <c r="FX470" s="1435"/>
    </row>
    <row r="471" spans="1:180" ht="11.25" customHeight="1" x14ac:dyDescent="0.2">
      <c r="A471" s="1388"/>
      <c r="B471" s="1388"/>
      <c r="C471" s="1388"/>
      <c r="D471" s="1388"/>
      <c r="E471" s="1388"/>
      <c r="F471" s="1388"/>
      <c r="G471" s="1388"/>
      <c r="H471" s="1388"/>
      <c r="I471" s="1388"/>
      <c r="J471" s="1388"/>
      <c r="K471" s="1388"/>
      <c r="L471" s="1388"/>
      <c r="M471" s="1388"/>
      <c r="N471" s="1388"/>
      <c r="O471" s="1388"/>
      <c r="P471" s="1388"/>
      <c r="Q471" s="1388"/>
      <c r="R471" s="1388"/>
      <c r="S471" s="1388"/>
      <c r="T471" s="1388"/>
      <c r="U471" s="1388"/>
      <c r="V471" s="1388"/>
      <c r="W471" s="1388"/>
      <c r="X471" s="1388"/>
      <c r="Y471" s="1388"/>
      <c r="Z471" s="1388"/>
      <c r="AA471" s="1388"/>
      <c r="AB471" s="1388"/>
      <c r="AC471" s="1388"/>
      <c r="AD471" s="1388"/>
      <c r="AE471" s="1388"/>
      <c r="AF471" s="1388"/>
      <c r="AG471" s="1388"/>
      <c r="AH471" s="1388"/>
      <c r="AI471" s="1388"/>
      <c r="AJ471" s="1388"/>
      <c r="AK471" s="1388"/>
      <c r="AL471" s="1388"/>
      <c r="AM471" s="1388"/>
      <c r="AN471" s="1388"/>
      <c r="AO471" s="1388"/>
      <c r="AP471" s="1388"/>
      <c r="AQ471" s="1388"/>
      <c r="AR471" s="1388"/>
      <c r="AS471" s="1388"/>
      <c r="AT471" s="1388"/>
      <c r="AU471" s="1388"/>
      <c r="AV471" s="1388"/>
      <c r="AW471" s="1388"/>
      <c r="AX471" s="1388"/>
      <c r="AY471" s="1388"/>
      <c r="AZ471" s="1388"/>
      <c r="BA471" s="1388"/>
      <c r="BB471" s="1388"/>
      <c r="BC471" s="1388"/>
      <c r="BD471" s="1388"/>
      <c r="BE471" s="1388"/>
      <c r="BF471" s="1388"/>
      <c r="BG471" s="1388"/>
      <c r="BH471" s="1388"/>
      <c r="BI471" s="1388"/>
      <c r="BJ471" s="1388"/>
      <c r="BK471" s="1388"/>
      <c r="BL471" s="1388"/>
      <c r="BM471" s="1388"/>
      <c r="BN471" s="1388"/>
      <c r="BO471" s="1388"/>
      <c r="BP471" s="1388"/>
      <c r="BQ471" s="1388"/>
      <c r="BR471" s="1388"/>
      <c r="BS471" s="1388"/>
      <c r="BT471" s="1388"/>
      <c r="BU471" s="1388"/>
      <c r="BV471" s="1388"/>
      <c r="BW471" s="1388"/>
      <c r="BX471" s="1388"/>
      <c r="BY471" s="1388"/>
      <c r="BZ471" s="1388"/>
      <c r="CA471" s="1388"/>
      <c r="CB471" s="1388"/>
      <c r="CC471" s="1388"/>
      <c r="CD471" s="1388"/>
      <c r="CE471" s="1388"/>
      <c r="CF471" s="1388"/>
      <c r="CG471" s="1388"/>
      <c r="CH471" s="1388"/>
      <c r="CI471" s="1388"/>
      <c r="CJ471" s="1388"/>
      <c r="CK471" s="1388"/>
      <c r="CL471" s="1388"/>
      <c r="CM471" s="1388"/>
      <c r="CN471" s="1388"/>
      <c r="CO471" s="1388"/>
      <c r="CP471" s="1388"/>
      <c r="CQ471" s="1388"/>
      <c r="CR471" s="1388"/>
      <c r="CS471" s="1388"/>
      <c r="CT471" s="1388"/>
      <c r="CU471" s="1388"/>
      <c r="CV471" s="1388"/>
      <c r="CW471" s="1388"/>
      <c r="CX471" s="1388"/>
      <c r="CY471" s="1388"/>
      <c r="CZ471" s="1388"/>
      <c r="DA471" s="1388"/>
      <c r="DB471" s="1388"/>
      <c r="DC471" s="1388"/>
      <c r="DD471" s="1388"/>
      <c r="DE471" s="1388"/>
      <c r="DF471" s="1388"/>
      <c r="DG471" s="1388"/>
      <c r="DH471" s="1388"/>
      <c r="DI471" s="1388"/>
      <c r="DJ471" s="1474"/>
      <c r="DK471" s="1388"/>
      <c r="DL471" s="1388"/>
      <c r="DM471" s="1388"/>
      <c r="DN471" s="1388"/>
      <c r="DO471" s="1388"/>
      <c r="DP471" s="1388"/>
      <c r="DQ471" s="1388"/>
      <c r="DR471" s="1388"/>
      <c r="DS471" s="1388"/>
      <c r="DT471" s="1388"/>
      <c r="DU471" s="1388"/>
      <c r="DV471" s="1388"/>
      <c r="DW471" s="1388"/>
      <c r="DX471" s="1388"/>
      <c r="DY471" s="1388"/>
      <c r="DZ471" s="1388"/>
      <c r="EA471" s="1388"/>
      <c r="EB471" s="1388"/>
      <c r="EC471" s="1388"/>
      <c r="ED471" s="1388"/>
      <c r="EE471" s="1388"/>
      <c r="EF471" s="1388"/>
      <c r="EG471" s="1388"/>
      <c r="EH471" s="1388"/>
      <c r="EI471" s="1388"/>
      <c r="EJ471" s="1388"/>
      <c r="EK471" s="1388"/>
      <c r="EL471" s="1388"/>
      <c r="EM471" s="1388"/>
      <c r="EN471" s="1388"/>
      <c r="EO471" s="1388"/>
      <c r="EP471" s="1388"/>
      <c r="EQ471" s="1388"/>
      <c r="ER471" s="1388"/>
      <c r="ES471" s="1388"/>
      <c r="ET471" s="1388"/>
      <c r="EU471" s="1388"/>
      <c r="EV471" s="1388"/>
      <c r="EW471" s="1388"/>
      <c r="EX471" s="1388"/>
      <c r="EY471" s="1388"/>
      <c r="EZ471" s="1388"/>
      <c r="FA471" s="1388"/>
      <c r="FB471" s="1388"/>
      <c r="FC471" s="1388"/>
      <c r="FD471" s="1388"/>
      <c r="FE471" s="1388"/>
      <c r="FF471" s="1388"/>
      <c r="FG471" s="1388"/>
      <c r="FH471" s="1388"/>
      <c r="FI471" s="51"/>
      <c r="FP471" s="1388"/>
      <c r="FQ471" s="1388"/>
      <c r="FR471" s="1388"/>
      <c r="FS471" s="1435"/>
      <c r="FT471" s="1435"/>
      <c r="FU471" s="1388"/>
      <c r="FV471" s="1388"/>
      <c r="FW471" s="1435"/>
      <c r="FX471" s="1435"/>
    </row>
    <row r="472" spans="1:180" ht="11.25" customHeight="1" x14ac:dyDescent="0.2">
      <c r="A472" s="1388"/>
      <c r="B472" s="1388"/>
      <c r="C472" s="1388"/>
      <c r="D472" s="1388"/>
      <c r="E472" s="1388"/>
      <c r="F472" s="1388"/>
      <c r="G472" s="1388"/>
      <c r="H472" s="1388"/>
      <c r="I472" s="1388"/>
      <c r="J472" s="1388"/>
      <c r="K472" s="1388"/>
      <c r="L472" s="1388"/>
      <c r="M472" s="1388"/>
      <c r="N472" s="1388"/>
      <c r="O472" s="1388"/>
      <c r="P472" s="1388"/>
      <c r="Q472" s="1388"/>
      <c r="R472" s="1388"/>
      <c r="S472" s="1388"/>
      <c r="T472" s="1388"/>
      <c r="U472" s="1388"/>
      <c r="V472" s="1388"/>
      <c r="W472" s="1388"/>
      <c r="X472" s="1388"/>
      <c r="Y472" s="1388"/>
      <c r="Z472" s="1388"/>
      <c r="AA472" s="1388"/>
      <c r="AB472" s="1388"/>
      <c r="AC472" s="1388"/>
      <c r="AD472" s="1388"/>
      <c r="AE472" s="1388"/>
      <c r="AF472" s="1388"/>
      <c r="AG472" s="1388"/>
      <c r="AH472" s="1388"/>
      <c r="AI472" s="1388"/>
      <c r="AJ472" s="1388"/>
      <c r="AK472" s="1388"/>
      <c r="AL472" s="1388"/>
      <c r="AM472" s="1388"/>
      <c r="AN472" s="1388"/>
      <c r="AO472" s="1388"/>
      <c r="AP472" s="1388"/>
      <c r="AQ472" s="1388"/>
      <c r="AR472" s="1388"/>
      <c r="AS472" s="1388"/>
      <c r="AT472" s="1388"/>
      <c r="AU472" s="1388"/>
      <c r="AV472" s="1388"/>
      <c r="AW472" s="1388"/>
      <c r="AX472" s="1388"/>
      <c r="AY472" s="1388"/>
      <c r="AZ472" s="1388"/>
      <c r="BA472" s="1388"/>
      <c r="BB472" s="1388"/>
      <c r="BC472" s="1388"/>
      <c r="BD472" s="1388"/>
      <c r="BE472" s="1388"/>
      <c r="BF472" s="1388"/>
      <c r="BG472" s="1388"/>
      <c r="BH472" s="1388"/>
      <c r="BI472" s="1388"/>
      <c r="BJ472" s="1388"/>
      <c r="BK472" s="1388"/>
      <c r="BL472" s="1388"/>
      <c r="BM472" s="1388"/>
      <c r="BN472" s="1388"/>
      <c r="BO472" s="1388"/>
      <c r="BP472" s="1388"/>
      <c r="BQ472" s="1388"/>
      <c r="BR472" s="1388"/>
      <c r="BS472" s="1388"/>
      <c r="BT472" s="1388"/>
      <c r="BU472" s="1388"/>
      <c r="BV472" s="1388"/>
      <c r="BW472" s="1388"/>
      <c r="BX472" s="1388"/>
      <c r="BY472" s="1388"/>
      <c r="BZ472" s="1388"/>
      <c r="CA472" s="1388"/>
      <c r="CB472" s="1388"/>
      <c r="CC472" s="1388"/>
      <c r="CD472" s="1388"/>
      <c r="CE472" s="1388"/>
      <c r="CF472" s="1388"/>
      <c r="CG472" s="1388"/>
      <c r="CH472" s="1388"/>
      <c r="CI472" s="1388"/>
      <c r="CJ472" s="1388"/>
      <c r="CK472" s="1388"/>
      <c r="CL472" s="1388"/>
      <c r="CM472" s="1388"/>
      <c r="CN472" s="1388"/>
      <c r="CO472" s="1388"/>
      <c r="CP472" s="1388"/>
      <c r="CQ472" s="1388"/>
      <c r="CR472" s="1388"/>
      <c r="CS472" s="1388"/>
      <c r="CT472" s="1388"/>
      <c r="CU472" s="1388"/>
      <c r="CV472" s="1388"/>
      <c r="CW472" s="1388"/>
      <c r="CX472" s="1388"/>
      <c r="CY472" s="1388"/>
      <c r="CZ472" s="1388"/>
      <c r="DA472" s="1388"/>
      <c r="DB472" s="1388"/>
      <c r="DC472" s="1388"/>
      <c r="DD472" s="1388"/>
      <c r="DE472" s="1388"/>
      <c r="DF472" s="1388"/>
      <c r="DG472" s="1388"/>
      <c r="DH472" s="1388"/>
      <c r="DI472" s="1388"/>
      <c r="DJ472" s="1474"/>
      <c r="DK472" s="1388"/>
      <c r="DL472" s="1388"/>
      <c r="DM472" s="1388"/>
      <c r="DN472" s="1388"/>
      <c r="DO472" s="1388"/>
      <c r="DP472" s="1388"/>
      <c r="DQ472" s="1388"/>
      <c r="DR472" s="1388"/>
      <c r="DS472" s="1388"/>
      <c r="DT472" s="1388"/>
      <c r="DU472" s="1388"/>
      <c r="DV472" s="1388"/>
      <c r="DW472" s="1388"/>
      <c r="DX472" s="1388"/>
      <c r="DY472" s="1388"/>
      <c r="DZ472" s="1388"/>
      <c r="EA472" s="1388"/>
      <c r="EB472" s="1388"/>
      <c r="EC472" s="1388"/>
      <c r="ED472" s="1388"/>
      <c r="EE472" s="1388"/>
      <c r="EF472" s="1388"/>
      <c r="EG472" s="1388"/>
      <c r="EH472" s="1388"/>
      <c r="EI472" s="1388"/>
      <c r="EJ472" s="1388"/>
      <c r="EK472" s="1388"/>
      <c r="EL472" s="1388"/>
      <c r="EM472" s="1388"/>
      <c r="EN472" s="1388"/>
      <c r="EO472" s="1388"/>
      <c r="EP472" s="1388"/>
      <c r="EQ472" s="1388"/>
      <c r="ER472" s="1388"/>
      <c r="ES472" s="1388"/>
      <c r="ET472" s="1388"/>
      <c r="EU472" s="1388"/>
      <c r="EV472" s="1388"/>
      <c r="EW472" s="1388"/>
      <c r="EX472" s="1388"/>
      <c r="EY472" s="1388"/>
      <c r="EZ472" s="1388"/>
      <c r="FA472" s="1388"/>
      <c r="FB472" s="1388"/>
      <c r="FC472" s="1388"/>
      <c r="FD472" s="1388"/>
      <c r="FE472" s="1388"/>
      <c r="FF472" s="1388"/>
      <c r="FG472" s="1388"/>
      <c r="FH472" s="1388"/>
      <c r="FI472" s="51"/>
      <c r="FP472" s="1388"/>
      <c r="FQ472" s="1388"/>
      <c r="FR472" s="1388"/>
      <c r="FS472" s="1435"/>
      <c r="FT472" s="1435"/>
      <c r="FU472" s="1388"/>
      <c r="FV472" s="1388"/>
      <c r="FW472" s="1435"/>
      <c r="FX472" s="1435"/>
    </row>
    <row r="473" spans="1:180" ht="11.25" customHeight="1" x14ac:dyDescent="0.2">
      <c r="A473" s="1388"/>
      <c r="B473" s="1388"/>
      <c r="C473" s="1388"/>
      <c r="D473" s="1388"/>
      <c r="E473" s="1388"/>
      <c r="F473" s="1388"/>
      <c r="G473" s="1388"/>
      <c r="H473" s="1388"/>
      <c r="I473" s="1388"/>
      <c r="J473" s="1388"/>
      <c r="K473" s="1388"/>
      <c r="L473" s="1388"/>
      <c r="M473" s="1388"/>
      <c r="N473" s="1388"/>
      <c r="O473" s="1388"/>
      <c r="P473" s="1388"/>
      <c r="Q473" s="1388"/>
      <c r="R473" s="1388"/>
      <c r="S473" s="1388"/>
      <c r="T473" s="1388"/>
      <c r="U473" s="1388"/>
      <c r="V473" s="1388"/>
      <c r="W473" s="1388"/>
      <c r="X473" s="1388"/>
      <c r="Y473" s="1388"/>
      <c r="Z473" s="1388"/>
      <c r="AA473" s="1388"/>
      <c r="AB473" s="1388"/>
      <c r="AC473" s="1388"/>
      <c r="AD473" s="1388"/>
      <c r="AE473" s="1388"/>
      <c r="AF473" s="1388"/>
      <c r="AG473" s="1388"/>
      <c r="AH473" s="1388"/>
      <c r="AI473" s="1388"/>
      <c r="AJ473" s="1388"/>
      <c r="AK473" s="1388"/>
      <c r="AL473" s="1388"/>
      <c r="AM473" s="1388"/>
      <c r="AN473" s="1388"/>
      <c r="AO473" s="1388"/>
      <c r="AP473" s="1388"/>
      <c r="AQ473" s="1388"/>
      <c r="AR473" s="1388"/>
      <c r="AS473" s="1388"/>
      <c r="AT473" s="1388"/>
      <c r="AU473" s="1388"/>
      <c r="AV473" s="1388"/>
      <c r="AW473" s="1388"/>
      <c r="AX473" s="1388"/>
      <c r="AY473" s="1388"/>
      <c r="AZ473" s="1388"/>
      <c r="BA473" s="1388"/>
      <c r="BB473" s="1388"/>
      <c r="BC473" s="1388"/>
      <c r="BD473" s="1388"/>
      <c r="BE473" s="1388"/>
      <c r="BF473" s="1388"/>
      <c r="BG473" s="1388"/>
      <c r="BH473" s="1388"/>
      <c r="BI473" s="1388"/>
      <c r="BJ473" s="1388"/>
      <c r="BK473" s="1388"/>
      <c r="BL473" s="1388"/>
      <c r="BM473" s="1388"/>
      <c r="BN473" s="1388"/>
      <c r="BO473" s="1388"/>
      <c r="BP473" s="1388"/>
      <c r="BQ473" s="1388"/>
      <c r="BR473" s="1388"/>
      <c r="BS473" s="1388"/>
      <c r="BT473" s="1388"/>
      <c r="BU473" s="1388"/>
      <c r="BV473" s="1388"/>
      <c r="BW473" s="1388"/>
      <c r="BX473" s="1388"/>
      <c r="BY473" s="1388"/>
      <c r="BZ473" s="1388"/>
      <c r="CA473" s="1388"/>
      <c r="CB473" s="1388"/>
      <c r="CC473" s="1388"/>
      <c r="CD473" s="1388"/>
      <c r="CE473" s="1388"/>
      <c r="CF473" s="1388"/>
      <c r="CG473" s="1388"/>
      <c r="CH473" s="1388"/>
      <c r="CI473" s="1388"/>
      <c r="CJ473" s="1388"/>
      <c r="CK473" s="1388"/>
      <c r="CL473" s="1388"/>
      <c r="CM473" s="1388"/>
      <c r="CN473" s="1388"/>
      <c r="CO473" s="1388"/>
      <c r="CP473" s="1388"/>
      <c r="CQ473" s="1388"/>
      <c r="CR473" s="1388"/>
      <c r="CS473" s="1388"/>
      <c r="CT473" s="1388"/>
      <c r="CU473" s="1388"/>
      <c r="CV473" s="1388"/>
      <c r="CW473" s="1388"/>
      <c r="CX473" s="1388"/>
      <c r="CY473" s="1388"/>
      <c r="CZ473" s="1388"/>
      <c r="DA473" s="1388"/>
      <c r="DB473" s="1388"/>
      <c r="DC473" s="1388"/>
      <c r="DD473" s="1388"/>
      <c r="DE473" s="1388"/>
      <c r="DF473" s="1388"/>
      <c r="DG473" s="1388"/>
      <c r="DH473" s="1388"/>
      <c r="DI473" s="1388"/>
      <c r="DJ473" s="1474"/>
      <c r="DK473" s="1388"/>
      <c r="DL473" s="1388"/>
      <c r="DM473" s="1388"/>
      <c r="DN473" s="1388"/>
      <c r="DO473" s="1388"/>
      <c r="DP473" s="1388"/>
      <c r="DQ473" s="1388"/>
      <c r="DR473" s="1388"/>
      <c r="DS473" s="1388"/>
      <c r="DT473" s="1388"/>
      <c r="DU473" s="1388"/>
      <c r="DV473" s="1388"/>
      <c r="DW473" s="1388"/>
      <c r="DX473" s="1388"/>
      <c r="DY473" s="1388"/>
      <c r="DZ473" s="1388"/>
      <c r="EA473" s="1388"/>
      <c r="EB473" s="1388"/>
      <c r="EC473" s="1388"/>
      <c r="ED473" s="1388"/>
      <c r="EE473" s="1388"/>
      <c r="EF473" s="1388"/>
      <c r="EG473" s="1388"/>
      <c r="EH473" s="1388"/>
      <c r="EI473" s="1388"/>
      <c r="EJ473" s="1388"/>
      <c r="EK473" s="1388"/>
      <c r="EL473" s="1388"/>
      <c r="EM473" s="1388"/>
      <c r="EN473" s="1388"/>
      <c r="EO473" s="1388"/>
      <c r="EP473" s="1388"/>
      <c r="EQ473" s="1388"/>
      <c r="ER473" s="1388"/>
      <c r="ES473" s="1388"/>
      <c r="ET473" s="1388"/>
      <c r="EU473" s="1388"/>
      <c r="EV473" s="1388"/>
      <c r="EW473" s="1388"/>
      <c r="EX473" s="1388"/>
      <c r="EY473" s="1388"/>
      <c r="EZ473" s="1388"/>
      <c r="FA473" s="1388"/>
      <c r="FB473" s="1388"/>
      <c r="FC473" s="1388"/>
      <c r="FD473" s="1388"/>
      <c r="FE473" s="1388"/>
      <c r="FF473" s="1388"/>
      <c r="FG473" s="1388"/>
      <c r="FH473" s="1388"/>
      <c r="FI473" s="51"/>
      <c r="FP473" s="1388"/>
      <c r="FQ473" s="1388"/>
      <c r="FR473" s="1388"/>
      <c r="FS473" s="1435"/>
      <c r="FT473" s="1435"/>
      <c r="FU473" s="1388"/>
      <c r="FV473" s="1388"/>
      <c r="FW473" s="1435"/>
      <c r="FX473" s="1435"/>
    </row>
    <row r="474" spans="1:180" ht="11.25" customHeight="1" x14ac:dyDescent="0.2">
      <c r="A474" s="1388"/>
      <c r="B474" s="1388"/>
      <c r="C474" s="1388"/>
      <c r="D474" s="1388"/>
      <c r="E474" s="1388"/>
      <c r="F474" s="1388"/>
      <c r="G474" s="1388"/>
      <c r="H474" s="1388"/>
      <c r="I474" s="1388"/>
      <c r="J474" s="1388"/>
      <c r="K474" s="1388"/>
      <c r="L474" s="1388"/>
      <c r="M474" s="1388"/>
      <c r="N474" s="1388"/>
      <c r="O474" s="1388"/>
      <c r="P474" s="1388"/>
      <c r="Q474" s="1388"/>
      <c r="R474" s="1388"/>
      <c r="S474" s="1388"/>
      <c r="T474" s="1388"/>
      <c r="U474" s="1388"/>
      <c r="V474" s="1388"/>
      <c r="W474" s="1388"/>
      <c r="X474" s="1388"/>
      <c r="Y474" s="1388"/>
      <c r="Z474" s="1388"/>
      <c r="AA474" s="1388"/>
      <c r="AB474" s="1388"/>
      <c r="AC474" s="1388"/>
      <c r="AD474" s="1388"/>
      <c r="AE474" s="1388"/>
      <c r="AF474" s="1388"/>
      <c r="AG474" s="1388"/>
      <c r="AH474" s="1388"/>
      <c r="AI474" s="1388"/>
      <c r="AJ474" s="1388"/>
      <c r="AK474" s="1388"/>
      <c r="AL474" s="1388"/>
      <c r="AM474" s="1388"/>
      <c r="AN474" s="1388"/>
      <c r="AO474" s="1388"/>
      <c r="AP474" s="1388"/>
      <c r="AQ474" s="1388"/>
      <c r="AR474" s="1388"/>
      <c r="AS474" s="1388"/>
      <c r="AT474" s="1388"/>
      <c r="AU474" s="1388"/>
      <c r="AV474" s="1388"/>
      <c r="AW474" s="1388"/>
      <c r="AX474" s="1388"/>
      <c r="AY474" s="1388"/>
      <c r="AZ474" s="1388"/>
      <c r="BA474" s="1388"/>
      <c r="BB474" s="1388"/>
      <c r="BC474" s="1388"/>
      <c r="BD474" s="1388"/>
      <c r="BE474" s="1388"/>
      <c r="BF474" s="1388"/>
      <c r="BG474" s="1388"/>
      <c r="BH474" s="1388"/>
      <c r="BI474" s="1388"/>
      <c r="BJ474" s="1388"/>
      <c r="BK474" s="1388"/>
      <c r="BL474" s="1388"/>
      <c r="BM474" s="1388"/>
      <c r="BN474" s="1388"/>
      <c r="BO474" s="1388"/>
      <c r="BP474" s="1388"/>
      <c r="BQ474" s="1388"/>
      <c r="BR474" s="1388"/>
      <c r="BS474" s="1388"/>
      <c r="BT474" s="1388"/>
      <c r="BU474" s="1388"/>
      <c r="BV474" s="1388"/>
      <c r="BW474" s="1388"/>
      <c r="BX474" s="1388"/>
      <c r="BY474" s="1388"/>
      <c r="BZ474" s="1388"/>
      <c r="CA474" s="1388"/>
      <c r="CB474" s="1388"/>
      <c r="CC474" s="1388"/>
      <c r="CD474" s="1388"/>
      <c r="CE474" s="1388"/>
      <c r="CF474" s="1388"/>
      <c r="CG474" s="1388"/>
      <c r="CH474" s="1388"/>
      <c r="CI474" s="1388"/>
      <c r="CJ474" s="1388"/>
      <c r="CK474" s="1388"/>
      <c r="CL474" s="1388"/>
      <c r="CM474" s="1388"/>
      <c r="CN474" s="1388"/>
      <c r="CO474" s="1388"/>
      <c r="CP474" s="1388"/>
      <c r="CQ474" s="1388"/>
      <c r="CR474" s="1388"/>
      <c r="CS474" s="1388"/>
      <c r="CT474" s="1388"/>
      <c r="CU474" s="1388"/>
      <c r="CV474" s="1388"/>
      <c r="CW474" s="1388"/>
      <c r="CX474" s="1388"/>
      <c r="CY474" s="1388"/>
      <c r="CZ474" s="1388"/>
      <c r="DA474" s="1388"/>
      <c r="DB474" s="1388"/>
      <c r="DC474" s="1388"/>
      <c r="DD474" s="1388"/>
      <c r="DE474" s="1388"/>
      <c r="DF474" s="1388"/>
      <c r="DG474" s="1388"/>
      <c r="DH474" s="1388"/>
      <c r="DI474" s="1388"/>
      <c r="DJ474" s="1474"/>
      <c r="DK474" s="1388"/>
      <c r="DL474" s="1388"/>
      <c r="DM474" s="1388"/>
      <c r="DN474" s="1388"/>
      <c r="DO474" s="1388"/>
      <c r="DP474" s="1388"/>
      <c r="DQ474" s="1388"/>
      <c r="DR474" s="1388"/>
      <c r="DS474" s="1388"/>
      <c r="DT474" s="1388"/>
      <c r="DU474" s="1388"/>
      <c r="DV474" s="1388"/>
      <c r="DW474" s="1388"/>
      <c r="DX474" s="1388"/>
      <c r="DY474" s="1388"/>
      <c r="DZ474" s="1388"/>
      <c r="EA474" s="1388"/>
      <c r="EB474" s="1388"/>
      <c r="EC474" s="1388"/>
      <c r="ED474" s="1388"/>
      <c r="EE474" s="1388"/>
      <c r="EF474" s="1388"/>
      <c r="EG474" s="1388"/>
      <c r="EH474" s="1388"/>
      <c r="EI474" s="1388"/>
      <c r="EJ474" s="1388"/>
      <c r="EK474" s="1388"/>
      <c r="EL474" s="1388"/>
      <c r="EM474" s="1388"/>
      <c r="EN474" s="1388"/>
      <c r="EO474" s="1388"/>
      <c r="EP474" s="1388"/>
      <c r="EQ474" s="1388"/>
      <c r="ER474" s="1388"/>
      <c r="ES474" s="1388"/>
      <c r="ET474" s="1388"/>
      <c r="EU474" s="1388"/>
      <c r="EV474" s="1388"/>
      <c r="EW474" s="1388"/>
      <c r="EX474" s="1388"/>
      <c r="EY474" s="1388"/>
      <c r="EZ474" s="1388"/>
      <c r="FA474" s="1388"/>
      <c r="FB474" s="1388"/>
      <c r="FC474" s="1388"/>
      <c r="FD474" s="1388"/>
      <c r="FE474" s="1388"/>
      <c r="FF474" s="1388"/>
      <c r="FG474" s="1388"/>
      <c r="FH474" s="1388"/>
      <c r="FI474" s="51"/>
      <c r="FP474" s="1388"/>
      <c r="FQ474" s="1388"/>
      <c r="FR474" s="1388"/>
      <c r="FS474" s="1435"/>
      <c r="FT474" s="1435"/>
      <c r="FU474" s="1388"/>
      <c r="FV474" s="1388"/>
      <c r="FW474" s="1435"/>
      <c r="FX474" s="1435"/>
    </row>
    <row r="475" spans="1:180" ht="11.25" customHeight="1" x14ac:dyDescent="0.2">
      <c r="A475" s="1388"/>
      <c r="B475" s="1388"/>
      <c r="C475" s="1388"/>
      <c r="D475" s="1388"/>
      <c r="E475" s="1388"/>
      <c r="F475" s="1388"/>
      <c r="G475" s="1388"/>
      <c r="H475" s="1388"/>
      <c r="I475" s="1388"/>
      <c r="J475" s="1388"/>
      <c r="K475" s="1388"/>
      <c r="L475" s="1388"/>
      <c r="M475" s="1388"/>
      <c r="N475" s="1388"/>
      <c r="O475" s="1388"/>
      <c r="P475" s="1388"/>
      <c r="Q475" s="1388"/>
      <c r="R475" s="1388"/>
      <c r="S475" s="1388"/>
      <c r="T475" s="1388"/>
      <c r="U475" s="1388"/>
      <c r="V475" s="1388"/>
      <c r="W475" s="1388"/>
      <c r="X475" s="1388"/>
      <c r="Y475" s="1388"/>
      <c r="Z475" s="1388"/>
      <c r="AA475" s="1388"/>
      <c r="AB475" s="1388"/>
      <c r="AC475" s="1388"/>
      <c r="AD475" s="1388"/>
      <c r="AE475" s="1388"/>
      <c r="AF475" s="1388"/>
      <c r="AG475" s="1388"/>
      <c r="AH475" s="1388"/>
      <c r="AI475" s="1388"/>
      <c r="AJ475" s="1388"/>
      <c r="AK475" s="1388"/>
      <c r="AL475" s="1388"/>
      <c r="AM475" s="1388"/>
      <c r="AN475" s="1388"/>
      <c r="AO475" s="1388"/>
      <c r="AP475" s="1388"/>
      <c r="AQ475" s="1388"/>
      <c r="AR475" s="1388"/>
      <c r="AS475" s="1388"/>
      <c r="AT475" s="1388"/>
      <c r="AU475" s="1388"/>
      <c r="AV475" s="1388"/>
      <c r="AW475" s="1388"/>
      <c r="AX475" s="1388"/>
      <c r="AY475" s="1388"/>
      <c r="AZ475" s="1388"/>
      <c r="BA475" s="1388"/>
      <c r="BB475" s="1388"/>
      <c r="BC475" s="1388"/>
      <c r="BD475" s="1388"/>
      <c r="BE475" s="1388"/>
      <c r="BF475" s="1388"/>
      <c r="BG475" s="1388"/>
      <c r="BH475" s="1388"/>
      <c r="BI475" s="1388"/>
      <c r="BJ475" s="1388"/>
      <c r="BK475" s="1388"/>
      <c r="BL475" s="1388"/>
      <c r="BM475" s="1388"/>
      <c r="BN475" s="1388"/>
      <c r="BO475" s="1388"/>
      <c r="BP475" s="1388"/>
      <c r="BQ475" s="1388"/>
      <c r="BR475" s="1388"/>
      <c r="BS475" s="1388"/>
      <c r="BT475" s="1388"/>
      <c r="BU475" s="1388"/>
      <c r="BV475" s="1388"/>
      <c r="BW475" s="1388"/>
      <c r="BX475" s="1388"/>
      <c r="BY475" s="1388"/>
      <c r="BZ475" s="1388"/>
      <c r="CA475" s="1388"/>
      <c r="CB475" s="1388"/>
      <c r="CC475" s="1388"/>
      <c r="CD475" s="1388"/>
      <c r="CE475" s="1388"/>
      <c r="CF475" s="1388"/>
      <c r="CG475" s="1388"/>
      <c r="CH475" s="1388"/>
      <c r="CI475" s="1388"/>
      <c r="CJ475" s="1388"/>
      <c r="CK475" s="1388"/>
      <c r="CL475" s="1388"/>
      <c r="CM475" s="1388"/>
      <c r="CN475" s="1388"/>
      <c r="CO475" s="1388"/>
      <c r="CP475" s="1388"/>
      <c r="CQ475" s="1388"/>
      <c r="CR475" s="1388"/>
      <c r="CS475" s="1388"/>
      <c r="CT475" s="1388"/>
      <c r="CU475" s="1388"/>
      <c r="CV475" s="1388"/>
      <c r="CW475" s="1388"/>
      <c r="CX475" s="1388"/>
      <c r="CY475" s="1388"/>
      <c r="CZ475" s="1388"/>
      <c r="DA475" s="1388"/>
      <c r="DB475" s="1388"/>
      <c r="DC475" s="1388"/>
      <c r="DD475" s="1388"/>
      <c r="DE475" s="1388"/>
      <c r="DF475" s="1388"/>
      <c r="DG475" s="1388"/>
      <c r="DH475" s="1388"/>
      <c r="DI475" s="1388"/>
      <c r="DJ475" s="1474"/>
      <c r="DK475" s="1388"/>
      <c r="DL475" s="1388"/>
      <c r="DM475" s="1388"/>
      <c r="DN475" s="1388"/>
      <c r="DO475" s="1388"/>
      <c r="DP475" s="1388"/>
      <c r="DQ475" s="1388"/>
      <c r="DR475" s="1388"/>
      <c r="DS475" s="1388"/>
      <c r="DT475" s="1388"/>
      <c r="DU475" s="1388"/>
      <c r="DV475" s="1388"/>
      <c r="DW475" s="1388"/>
      <c r="DX475" s="1388"/>
      <c r="DY475" s="1388"/>
      <c r="DZ475" s="1388"/>
      <c r="EA475" s="1388"/>
      <c r="EB475" s="1388"/>
      <c r="EC475" s="1388"/>
      <c r="ED475" s="1388"/>
      <c r="EE475" s="1388"/>
      <c r="EF475" s="1388"/>
      <c r="EG475" s="1388"/>
      <c r="EH475" s="1388"/>
      <c r="EI475" s="1388"/>
      <c r="EJ475" s="1388"/>
      <c r="EK475" s="1388"/>
      <c r="EL475" s="1388"/>
      <c r="EM475" s="1388"/>
      <c r="EN475" s="1388"/>
      <c r="EO475" s="1388"/>
      <c r="EP475" s="1388"/>
      <c r="EQ475" s="1388"/>
      <c r="ER475" s="1388"/>
      <c r="ES475" s="1388"/>
      <c r="ET475" s="1388"/>
      <c r="EU475" s="1388"/>
      <c r="EV475" s="1388"/>
      <c r="EW475" s="1388"/>
      <c r="EX475" s="1388"/>
      <c r="EY475" s="1388"/>
      <c r="EZ475" s="1388"/>
      <c r="FA475" s="1388"/>
      <c r="FB475" s="1388"/>
      <c r="FC475" s="1388"/>
      <c r="FD475" s="1388"/>
      <c r="FE475" s="1388"/>
      <c r="FF475" s="1388"/>
      <c r="FG475" s="1388"/>
      <c r="FH475" s="1388"/>
      <c r="FI475" s="51"/>
      <c r="FP475" s="1388"/>
      <c r="FQ475" s="1388"/>
      <c r="FR475" s="1388"/>
      <c r="FS475" s="1435"/>
      <c r="FT475" s="1435"/>
      <c r="FU475" s="1388"/>
      <c r="FV475" s="1388"/>
      <c r="FW475" s="1435"/>
      <c r="FX475" s="1435"/>
    </row>
    <row r="476" spans="1:180" ht="11.25" customHeight="1" x14ac:dyDescent="0.2">
      <c r="A476" s="1388"/>
      <c r="B476" s="1388"/>
      <c r="C476" s="1388"/>
      <c r="D476" s="1388"/>
      <c r="E476" s="1388"/>
      <c r="F476" s="1388"/>
      <c r="G476" s="1388"/>
      <c r="H476" s="1388"/>
      <c r="I476" s="1388"/>
      <c r="J476" s="1388"/>
      <c r="K476" s="1388"/>
      <c r="L476" s="1388"/>
      <c r="M476" s="1388"/>
      <c r="N476" s="1388"/>
      <c r="O476" s="1388"/>
      <c r="P476" s="1388"/>
      <c r="Q476" s="1388"/>
      <c r="R476" s="1388"/>
      <c r="S476" s="1388"/>
      <c r="T476" s="1388"/>
      <c r="U476" s="1388"/>
      <c r="V476" s="1388"/>
      <c r="W476" s="1388"/>
      <c r="X476" s="1388"/>
      <c r="Y476" s="1388"/>
      <c r="Z476" s="1388"/>
      <c r="AA476" s="1388"/>
      <c r="AB476" s="1388"/>
      <c r="AC476" s="1388"/>
      <c r="AD476" s="1388"/>
      <c r="AE476" s="1388"/>
      <c r="AF476" s="1388"/>
      <c r="AG476" s="1388"/>
      <c r="AH476" s="1388"/>
      <c r="AI476" s="1388"/>
      <c r="AJ476" s="1388"/>
      <c r="AK476" s="1388"/>
      <c r="AL476" s="1388"/>
      <c r="AM476" s="1388"/>
      <c r="AN476" s="1388"/>
      <c r="AO476" s="1388"/>
      <c r="AP476" s="1388"/>
      <c r="AQ476" s="1388"/>
      <c r="AR476" s="1388"/>
      <c r="AS476" s="1388"/>
      <c r="AT476" s="1388"/>
      <c r="AU476" s="1388"/>
      <c r="AV476" s="1388"/>
      <c r="AW476" s="1388"/>
      <c r="AX476" s="1388"/>
      <c r="AY476" s="1388"/>
      <c r="AZ476" s="1388"/>
      <c r="BA476" s="1388"/>
      <c r="BB476" s="1388"/>
      <c r="BC476" s="1388"/>
      <c r="BD476" s="1388"/>
      <c r="BE476" s="1388"/>
      <c r="BF476" s="1388"/>
      <c r="BG476" s="1388"/>
      <c r="BH476" s="1388"/>
      <c r="BI476" s="1388"/>
      <c r="BJ476" s="1388"/>
      <c r="BK476" s="1388"/>
      <c r="BL476" s="1388"/>
      <c r="BM476" s="1388"/>
      <c r="BN476" s="1388"/>
      <c r="BO476" s="1388"/>
      <c r="BP476" s="1388"/>
      <c r="BQ476" s="1388"/>
      <c r="BR476" s="1388"/>
      <c r="BS476" s="1388"/>
      <c r="BT476" s="1388"/>
      <c r="BU476" s="1388"/>
      <c r="BV476" s="1388"/>
      <c r="BW476" s="1388"/>
      <c r="BX476" s="1388"/>
      <c r="BY476" s="1388"/>
      <c r="BZ476" s="1388"/>
      <c r="CA476" s="1388"/>
      <c r="CB476" s="1388"/>
      <c r="CC476" s="1388"/>
      <c r="CD476" s="1388"/>
      <c r="CE476" s="1388"/>
      <c r="CF476" s="1388"/>
      <c r="CG476" s="1388"/>
      <c r="CH476" s="1388"/>
      <c r="CI476" s="1388"/>
      <c r="CJ476" s="1388"/>
      <c r="CK476" s="1388"/>
      <c r="CL476" s="1388"/>
      <c r="CM476" s="1388"/>
      <c r="CN476" s="1388"/>
      <c r="CO476" s="1388"/>
      <c r="CP476" s="1388"/>
      <c r="CQ476" s="1388"/>
      <c r="CR476" s="1388"/>
      <c r="CS476" s="1388"/>
      <c r="CT476" s="1388"/>
      <c r="CU476" s="1388"/>
      <c r="CV476" s="1388"/>
      <c r="CW476" s="1388"/>
      <c r="CX476" s="1388"/>
      <c r="CY476" s="1388"/>
      <c r="CZ476" s="1388"/>
      <c r="DA476" s="1388"/>
      <c r="DB476" s="1388"/>
      <c r="DC476" s="1388"/>
      <c r="DD476" s="1388"/>
      <c r="DE476" s="1388"/>
      <c r="DF476" s="1388"/>
      <c r="DG476" s="1388"/>
      <c r="DH476" s="1388"/>
      <c r="DI476" s="1388"/>
      <c r="DJ476" s="1474"/>
      <c r="DK476" s="1388"/>
      <c r="DL476" s="1388"/>
      <c r="DM476" s="1388"/>
      <c r="DN476" s="1388"/>
      <c r="DO476" s="1388"/>
      <c r="DP476" s="1388"/>
      <c r="DQ476" s="1388"/>
      <c r="DR476" s="1388"/>
      <c r="DS476" s="1388"/>
      <c r="DT476" s="1388"/>
      <c r="DU476" s="1388"/>
      <c r="DV476" s="1388"/>
      <c r="DW476" s="1388"/>
      <c r="DX476" s="1388"/>
      <c r="DY476" s="1388"/>
      <c r="DZ476" s="1388"/>
      <c r="EA476" s="1388"/>
      <c r="EB476" s="1388"/>
      <c r="EC476" s="1388"/>
      <c r="ED476" s="1388"/>
      <c r="EE476" s="1388"/>
      <c r="EF476" s="1388"/>
      <c r="EG476" s="1388"/>
      <c r="EH476" s="1388"/>
      <c r="EI476" s="1388"/>
      <c r="EJ476" s="1388"/>
      <c r="EK476" s="1388"/>
      <c r="EL476" s="1388"/>
      <c r="EM476" s="1388"/>
      <c r="EN476" s="1388"/>
      <c r="EO476" s="1388"/>
      <c r="EP476" s="1388"/>
      <c r="EQ476" s="1388"/>
      <c r="ER476" s="1388"/>
      <c r="ES476" s="1388"/>
      <c r="ET476" s="1388"/>
      <c r="EU476" s="1388"/>
      <c r="EV476" s="1388"/>
      <c r="EW476" s="1388"/>
      <c r="EX476" s="1388"/>
      <c r="EY476" s="1388"/>
      <c r="EZ476" s="1388"/>
      <c r="FA476" s="1388"/>
      <c r="FB476" s="1388"/>
      <c r="FC476" s="1388"/>
      <c r="FD476" s="1388"/>
      <c r="FE476" s="1388"/>
      <c r="FF476" s="1388"/>
      <c r="FG476" s="1388"/>
      <c r="FH476" s="1388"/>
      <c r="FI476" s="51"/>
      <c r="FP476" s="1388"/>
      <c r="FQ476" s="1388"/>
      <c r="FR476" s="1388"/>
      <c r="FS476" s="1435"/>
      <c r="FT476" s="1435"/>
      <c r="FU476" s="1388"/>
      <c r="FV476" s="1388"/>
      <c r="FW476" s="1435"/>
      <c r="FX476" s="1435"/>
    </row>
    <row r="477" spans="1:180" ht="11.25" customHeight="1" x14ac:dyDescent="0.2">
      <c r="A477" s="1388"/>
      <c r="B477" s="1388"/>
      <c r="C477" s="1388"/>
      <c r="D477" s="1388"/>
      <c r="E477" s="1388"/>
      <c r="F477" s="1388"/>
      <c r="G477" s="1388"/>
      <c r="H477" s="1388"/>
      <c r="I477" s="1388"/>
      <c r="J477" s="1388"/>
      <c r="K477" s="1388"/>
      <c r="L477" s="1388"/>
      <c r="M477" s="1388"/>
      <c r="N477" s="1388"/>
      <c r="O477" s="1388"/>
      <c r="P477" s="1388"/>
      <c r="Q477" s="1388"/>
      <c r="R477" s="1388"/>
      <c r="S477" s="1388"/>
      <c r="T477" s="1388"/>
      <c r="U477" s="1388"/>
      <c r="V477" s="1388"/>
      <c r="W477" s="1388"/>
      <c r="X477" s="1388"/>
      <c r="Y477" s="1388"/>
      <c r="Z477" s="1388"/>
      <c r="AA477" s="1388"/>
      <c r="AB477" s="1388"/>
      <c r="AC477" s="1388"/>
      <c r="AD477" s="1388"/>
      <c r="AE477" s="1388"/>
      <c r="AF477" s="1388"/>
      <c r="AG477" s="1388"/>
      <c r="AH477" s="1388"/>
      <c r="AI477" s="1388"/>
      <c r="AJ477" s="1388"/>
      <c r="AK477" s="1388"/>
      <c r="AL477" s="1388"/>
      <c r="AM477" s="1388"/>
      <c r="AN477" s="1388"/>
      <c r="AO477" s="1388"/>
      <c r="AP477" s="1388"/>
      <c r="AQ477" s="1388"/>
      <c r="AR477" s="1388"/>
      <c r="AS477" s="1388"/>
      <c r="AT477" s="1388"/>
      <c r="AU477" s="1388"/>
      <c r="AV477" s="1388"/>
      <c r="AW477" s="1388"/>
      <c r="AX477" s="1388"/>
      <c r="AY477" s="1388"/>
      <c r="AZ477" s="1388"/>
      <c r="BA477" s="1388"/>
      <c r="BB477" s="1388"/>
      <c r="BC477" s="1388"/>
      <c r="BD477" s="1388"/>
      <c r="BE477" s="1388"/>
      <c r="BF477" s="1388"/>
      <c r="BG477" s="1388"/>
      <c r="BH477" s="1388"/>
      <c r="BI477" s="1388"/>
      <c r="BJ477" s="1388"/>
      <c r="BK477" s="1388"/>
      <c r="BL477" s="1388"/>
      <c r="BM477" s="1388"/>
      <c r="BN477" s="1388"/>
      <c r="BO477" s="1388"/>
      <c r="BP477" s="1388"/>
      <c r="BQ477" s="1388"/>
      <c r="BR477" s="1388"/>
      <c r="BS477" s="1388"/>
      <c r="BT477" s="1388"/>
      <c r="BU477" s="1388"/>
      <c r="BV477" s="1388"/>
      <c r="BW477" s="1388"/>
      <c r="BX477" s="1388"/>
      <c r="BY477" s="1388"/>
      <c r="BZ477" s="1388"/>
      <c r="CA477" s="1388"/>
      <c r="CB477" s="1388"/>
      <c r="CC477" s="1388"/>
      <c r="CD477" s="1388"/>
      <c r="CE477" s="1388"/>
      <c r="CF477" s="1388"/>
      <c r="CG477" s="1388"/>
      <c r="CH477" s="1388"/>
      <c r="CI477" s="1388"/>
      <c r="CJ477" s="1388"/>
      <c r="CK477" s="1388"/>
      <c r="CL477" s="1388"/>
      <c r="CM477" s="1388"/>
      <c r="CN477" s="1388"/>
      <c r="CO477" s="1388"/>
      <c r="CP477" s="1388"/>
      <c r="CQ477" s="1388"/>
      <c r="CR477" s="1388"/>
      <c r="CS477" s="1388"/>
      <c r="CT477" s="1388"/>
      <c r="CU477" s="1388"/>
      <c r="CV477" s="1388"/>
      <c r="CW477" s="1388"/>
      <c r="CX477" s="1388"/>
      <c r="CY477" s="1388"/>
      <c r="CZ477" s="1388"/>
      <c r="DA477" s="1388"/>
      <c r="DB477" s="1388"/>
      <c r="DC477" s="1388"/>
      <c r="DD477" s="1388"/>
      <c r="DE477" s="1388"/>
      <c r="DF477" s="1388"/>
      <c r="DG477" s="1388"/>
      <c r="DH477" s="1388"/>
      <c r="DI477" s="1388"/>
      <c r="DJ477" s="1474"/>
      <c r="DK477" s="1388"/>
      <c r="DL477" s="1388"/>
      <c r="DM477" s="1388"/>
      <c r="DN477" s="1388"/>
      <c r="DO477" s="1388"/>
      <c r="DP477" s="1388"/>
      <c r="DQ477" s="1388"/>
      <c r="DR477" s="1388"/>
      <c r="DS477" s="1388"/>
      <c r="DT477" s="1388"/>
      <c r="DU477" s="1388"/>
      <c r="DV477" s="1388"/>
      <c r="DW477" s="1388"/>
      <c r="DX477" s="1388"/>
      <c r="DY477" s="1388"/>
      <c r="DZ477" s="1388"/>
      <c r="EA477" s="1388"/>
      <c r="EB477" s="1388"/>
      <c r="EC477" s="1388"/>
      <c r="ED477" s="1388"/>
      <c r="EE477" s="1388"/>
      <c r="EF477" s="1388"/>
      <c r="EG477" s="1388"/>
      <c r="EH477" s="1388"/>
      <c r="EI477" s="1388"/>
      <c r="EJ477" s="1388"/>
      <c r="EK477" s="1388"/>
      <c r="EL477" s="1388"/>
      <c r="EM477" s="1388"/>
      <c r="EN477" s="1388"/>
      <c r="EO477" s="1388"/>
      <c r="EP477" s="1388"/>
      <c r="EQ477" s="1388"/>
      <c r="ER477" s="1388"/>
      <c r="ES477" s="1388"/>
      <c r="ET477" s="1388"/>
      <c r="EU477" s="1388"/>
      <c r="EV477" s="1388"/>
      <c r="EW477" s="1388"/>
      <c r="EX477" s="1388"/>
      <c r="EY477" s="1388"/>
      <c r="EZ477" s="1388"/>
      <c r="FA477" s="1388"/>
      <c r="FB477" s="1388"/>
      <c r="FC477" s="1388"/>
      <c r="FD477" s="1388"/>
      <c r="FE477" s="1388"/>
      <c r="FF477" s="1388"/>
      <c r="FG477" s="1388"/>
      <c r="FH477" s="1388"/>
      <c r="FI477" s="51"/>
      <c r="FP477" s="1388"/>
      <c r="FQ477" s="1388"/>
      <c r="FR477" s="1388"/>
      <c r="FS477" s="1435"/>
      <c r="FT477" s="1435"/>
      <c r="FU477" s="1388"/>
      <c r="FV477" s="1388"/>
      <c r="FW477" s="1435"/>
      <c r="FX477" s="1435"/>
    </row>
    <row r="478" spans="1:180" ht="11.25" customHeight="1" x14ac:dyDescent="0.2">
      <c r="A478" s="1388"/>
      <c r="B478" s="1388"/>
      <c r="C478" s="1388"/>
      <c r="D478" s="1388"/>
      <c r="E478" s="1388"/>
      <c r="F478" s="1388"/>
      <c r="G478" s="1388"/>
      <c r="H478" s="1388"/>
      <c r="I478" s="1388"/>
      <c r="J478" s="1388"/>
      <c r="K478" s="1388"/>
      <c r="L478" s="1388"/>
      <c r="M478" s="1388"/>
      <c r="N478" s="1388"/>
      <c r="O478" s="1388"/>
      <c r="P478" s="1388"/>
      <c r="Q478" s="1388"/>
      <c r="R478" s="1388"/>
      <c r="S478" s="1388"/>
      <c r="T478" s="1388"/>
      <c r="U478" s="1388"/>
      <c r="V478" s="1388"/>
      <c r="W478" s="1388"/>
      <c r="X478" s="1388"/>
      <c r="Y478" s="1388"/>
      <c r="Z478" s="1388"/>
      <c r="AA478" s="1388"/>
      <c r="AB478" s="1388"/>
      <c r="AC478" s="1388"/>
      <c r="AD478" s="1388"/>
      <c r="AE478" s="1388"/>
      <c r="AF478" s="1388"/>
      <c r="AG478" s="1388"/>
      <c r="AH478" s="1388"/>
      <c r="AI478" s="1388"/>
      <c r="AJ478" s="1388"/>
      <c r="AK478" s="1388"/>
      <c r="AL478" s="1388"/>
      <c r="AM478" s="1388"/>
      <c r="AN478" s="1388"/>
      <c r="AO478" s="1388"/>
      <c r="AP478" s="1388"/>
      <c r="AQ478" s="1388"/>
      <c r="AR478" s="1388"/>
      <c r="AS478" s="1388"/>
      <c r="AT478" s="1388"/>
      <c r="AU478" s="1388"/>
      <c r="AV478" s="1388"/>
      <c r="AW478" s="1388"/>
      <c r="AX478" s="1388"/>
      <c r="AY478" s="1388"/>
      <c r="AZ478" s="1388"/>
      <c r="BA478" s="1388"/>
      <c r="BB478" s="1388"/>
      <c r="BC478" s="1388"/>
      <c r="BD478" s="1388"/>
      <c r="BE478" s="1388"/>
      <c r="BF478" s="1388"/>
      <c r="BG478" s="1388"/>
      <c r="BH478" s="1388"/>
      <c r="BI478" s="1388"/>
      <c r="BJ478" s="1388"/>
      <c r="BK478" s="1388"/>
      <c r="BL478" s="1388"/>
      <c r="BM478" s="1388"/>
      <c r="BN478" s="1388"/>
      <c r="BO478" s="1388"/>
      <c r="BP478" s="1388"/>
      <c r="BQ478" s="1388"/>
      <c r="BR478" s="1388"/>
      <c r="BS478" s="1388"/>
      <c r="BT478" s="1388"/>
      <c r="BU478" s="1388"/>
      <c r="BV478" s="1388"/>
      <c r="BW478" s="1388"/>
      <c r="BX478" s="1388"/>
      <c r="BY478" s="1388"/>
      <c r="BZ478" s="1388"/>
      <c r="CA478" s="1388"/>
      <c r="CB478" s="1388"/>
      <c r="CC478" s="1388"/>
      <c r="CD478" s="1388"/>
      <c r="CE478" s="1388"/>
      <c r="CF478" s="1388"/>
      <c r="CG478" s="1388"/>
      <c r="CH478" s="1388"/>
      <c r="CI478" s="1388"/>
      <c r="CJ478" s="1388"/>
      <c r="CK478" s="1388"/>
      <c r="CL478" s="1388"/>
      <c r="CM478" s="1388"/>
      <c r="CN478" s="1388"/>
      <c r="CO478" s="1388"/>
      <c r="CP478" s="1388"/>
      <c r="CQ478" s="1388"/>
      <c r="CR478" s="1388"/>
      <c r="CS478" s="1388"/>
      <c r="CT478" s="1388"/>
      <c r="CU478" s="1388"/>
      <c r="CV478" s="1388"/>
      <c r="CW478" s="1388"/>
      <c r="CX478" s="1388"/>
      <c r="CY478" s="1388"/>
      <c r="CZ478" s="1388"/>
      <c r="DA478" s="1388"/>
      <c r="DB478" s="1388"/>
      <c r="DC478" s="1388"/>
      <c r="DD478" s="1388"/>
      <c r="DE478" s="1388"/>
      <c r="DF478" s="1388"/>
      <c r="DG478" s="1388"/>
      <c r="DH478" s="1388"/>
      <c r="DI478" s="1388"/>
      <c r="DJ478" s="1474"/>
      <c r="DK478" s="1388"/>
      <c r="DL478" s="1388"/>
      <c r="DM478" s="1388"/>
      <c r="DN478" s="1388"/>
      <c r="DO478" s="1388"/>
      <c r="DP478" s="1388"/>
      <c r="DQ478" s="1388"/>
      <c r="DR478" s="1388"/>
      <c r="DS478" s="1388"/>
      <c r="DT478" s="1388"/>
      <c r="DU478" s="1388"/>
      <c r="DV478" s="1388"/>
      <c r="DW478" s="1388"/>
      <c r="DX478" s="1388"/>
      <c r="DY478" s="1388"/>
      <c r="DZ478" s="1388"/>
      <c r="EA478" s="1388"/>
      <c r="EB478" s="1388"/>
      <c r="EC478" s="1388"/>
      <c r="ED478" s="1388"/>
      <c r="EE478" s="1388"/>
      <c r="EF478" s="1388"/>
      <c r="EG478" s="1388"/>
      <c r="EH478" s="1388"/>
      <c r="EI478" s="1388"/>
      <c r="EJ478" s="1388"/>
      <c r="EK478" s="1388"/>
      <c r="EL478" s="1388"/>
      <c r="EM478" s="1388"/>
      <c r="EN478" s="1388"/>
      <c r="EO478" s="1388"/>
      <c r="EP478" s="1388"/>
      <c r="EQ478" s="1388"/>
      <c r="ER478" s="1388"/>
      <c r="ES478" s="1388"/>
      <c r="ET478" s="1388"/>
      <c r="EU478" s="1388"/>
      <c r="EV478" s="1388"/>
      <c r="EW478" s="1388"/>
      <c r="EX478" s="1388"/>
      <c r="EY478" s="1388"/>
      <c r="EZ478" s="1388"/>
      <c r="FA478" s="1388"/>
      <c r="FB478" s="1388"/>
      <c r="FC478" s="1388"/>
      <c r="FD478" s="1388"/>
      <c r="FE478" s="1388"/>
      <c r="FF478" s="1388"/>
      <c r="FG478" s="1388"/>
      <c r="FH478" s="1388"/>
      <c r="FI478" s="51"/>
      <c r="FP478" s="1388"/>
      <c r="FQ478" s="1388"/>
      <c r="FR478" s="1388"/>
      <c r="FS478" s="1435"/>
      <c r="FT478" s="1435"/>
      <c r="FU478" s="1388"/>
      <c r="FV478" s="1388"/>
      <c r="FW478" s="1435"/>
      <c r="FX478" s="1435"/>
    </row>
    <row r="479" spans="1:180" ht="11.25" customHeight="1" x14ac:dyDescent="0.2">
      <c r="A479" s="1388"/>
      <c r="B479" s="1388"/>
      <c r="C479" s="1388"/>
      <c r="D479" s="1388"/>
      <c r="E479" s="1388"/>
      <c r="F479" s="1388"/>
      <c r="G479" s="1388"/>
      <c r="H479" s="1388"/>
      <c r="I479" s="1388"/>
      <c r="J479" s="1388"/>
      <c r="K479" s="1388"/>
      <c r="L479" s="1388"/>
      <c r="M479" s="1388"/>
      <c r="N479" s="1388"/>
      <c r="O479" s="1388"/>
      <c r="P479" s="1388"/>
      <c r="Q479" s="1388"/>
      <c r="R479" s="1388"/>
      <c r="S479" s="1388"/>
      <c r="T479" s="1388"/>
      <c r="U479" s="1388"/>
      <c r="V479" s="1388"/>
      <c r="W479" s="1388"/>
      <c r="X479" s="1388"/>
      <c r="Y479" s="1388"/>
      <c r="Z479" s="1388"/>
      <c r="AA479" s="1388"/>
      <c r="AB479" s="1388"/>
      <c r="AC479" s="1388"/>
      <c r="AD479" s="1388"/>
      <c r="AE479" s="1388"/>
      <c r="AF479" s="1388"/>
      <c r="AG479" s="1388"/>
      <c r="AH479" s="1388"/>
      <c r="AI479" s="1388"/>
      <c r="AJ479" s="1388"/>
      <c r="AK479" s="1388"/>
      <c r="AL479" s="1388"/>
      <c r="AM479" s="1388"/>
      <c r="AN479" s="1388"/>
      <c r="AO479" s="1388"/>
      <c r="AP479" s="1388"/>
      <c r="AQ479" s="1388"/>
      <c r="AR479" s="1388"/>
      <c r="AS479" s="1388"/>
      <c r="AT479" s="1388"/>
      <c r="AU479" s="1388"/>
      <c r="AV479" s="1388"/>
      <c r="AW479" s="1388"/>
      <c r="AX479" s="1388"/>
      <c r="AY479" s="1388"/>
      <c r="AZ479" s="1388"/>
      <c r="BA479" s="1388"/>
      <c r="BB479" s="1388"/>
      <c r="BC479" s="1388"/>
      <c r="BD479" s="1388"/>
      <c r="BE479" s="1388"/>
      <c r="BF479" s="1388"/>
      <c r="BG479" s="1388"/>
      <c r="BH479" s="1388"/>
      <c r="BI479" s="1388"/>
      <c r="BJ479" s="1388"/>
      <c r="BK479" s="1388"/>
      <c r="BL479" s="1388"/>
      <c r="BM479" s="1388"/>
      <c r="BN479" s="1388"/>
      <c r="BO479" s="1388"/>
      <c r="BP479" s="1388"/>
      <c r="BQ479" s="1388"/>
      <c r="BR479" s="1388"/>
      <c r="BS479" s="1388"/>
      <c r="BT479" s="1388"/>
      <c r="BU479" s="1388"/>
      <c r="BV479" s="1388"/>
      <c r="BW479" s="1388"/>
      <c r="BX479" s="1388"/>
      <c r="BY479" s="1388"/>
      <c r="BZ479" s="1388"/>
      <c r="CA479" s="1388"/>
      <c r="CB479" s="1388"/>
      <c r="CC479" s="1388"/>
      <c r="CD479" s="1388"/>
      <c r="CE479" s="1388"/>
      <c r="CF479" s="1388"/>
      <c r="CG479" s="1388"/>
      <c r="CH479" s="1388"/>
      <c r="CI479" s="1388"/>
      <c r="CJ479" s="1388"/>
      <c r="CK479" s="1388"/>
      <c r="CL479" s="1388"/>
      <c r="CM479" s="1388"/>
      <c r="CN479" s="1388"/>
      <c r="CO479" s="1388"/>
      <c r="CP479" s="1388"/>
      <c r="CQ479" s="1388"/>
      <c r="CR479" s="1388"/>
      <c r="CS479" s="1388"/>
      <c r="CT479" s="1388"/>
      <c r="CU479" s="1388"/>
      <c r="CV479" s="1388"/>
      <c r="CW479" s="1388"/>
      <c r="CX479" s="1388"/>
      <c r="CY479" s="1388"/>
      <c r="CZ479" s="1388"/>
      <c r="DA479" s="1388"/>
      <c r="DB479" s="1388"/>
      <c r="DC479" s="1388"/>
      <c r="DD479" s="1388"/>
      <c r="DE479" s="1388"/>
      <c r="DF479" s="1388"/>
      <c r="DG479" s="1388"/>
      <c r="DH479" s="1388"/>
      <c r="DI479" s="1388"/>
      <c r="DJ479" s="1474"/>
      <c r="DK479" s="1388"/>
      <c r="DL479" s="1388"/>
      <c r="DM479" s="1388"/>
      <c r="DN479" s="1388"/>
      <c r="DO479" s="1388"/>
      <c r="DP479" s="1388"/>
      <c r="DQ479" s="1388"/>
      <c r="DR479" s="1388"/>
      <c r="DS479" s="1388"/>
      <c r="DT479" s="1388"/>
      <c r="DU479" s="1388"/>
      <c r="DV479" s="1388"/>
      <c r="DW479" s="1388"/>
      <c r="DX479" s="1388"/>
      <c r="DY479" s="1388"/>
      <c r="DZ479" s="1388"/>
      <c r="EA479" s="1388"/>
      <c r="EB479" s="1388"/>
      <c r="EC479" s="1388"/>
      <c r="ED479" s="1388"/>
      <c r="EE479" s="1388"/>
      <c r="EF479" s="1388"/>
      <c r="EG479" s="1388"/>
      <c r="EH479" s="1388"/>
      <c r="EI479" s="1388"/>
      <c r="EJ479" s="1388"/>
      <c r="EK479" s="1388"/>
      <c r="EL479" s="1388"/>
      <c r="EM479" s="1388"/>
      <c r="EN479" s="1388"/>
      <c r="EO479" s="1388"/>
      <c r="EP479" s="1388"/>
      <c r="EQ479" s="1388"/>
      <c r="ER479" s="1388"/>
      <c r="ES479" s="1388"/>
      <c r="ET479" s="1388"/>
      <c r="EU479" s="1388"/>
      <c r="EV479" s="1388"/>
      <c r="EW479" s="1388"/>
      <c r="EX479" s="1388"/>
      <c r="EY479" s="1388"/>
      <c r="EZ479" s="1388"/>
      <c r="FA479" s="1388"/>
      <c r="FB479" s="1388"/>
      <c r="FC479" s="1388"/>
      <c r="FD479" s="1388"/>
      <c r="FE479" s="1388"/>
      <c r="FF479" s="1388"/>
      <c r="FG479" s="1388"/>
      <c r="FH479" s="1388"/>
      <c r="FI479" s="51"/>
      <c r="FP479" s="1388"/>
      <c r="FQ479" s="1388"/>
      <c r="FR479" s="1388"/>
      <c r="FS479" s="1435"/>
      <c r="FT479" s="1435"/>
      <c r="FU479" s="1388"/>
      <c r="FV479" s="1388"/>
      <c r="FW479" s="1435"/>
      <c r="FX479" s="1435"/>
    </row>
    <row r="480" spans="1:180" ht="11.25" customHeight="1" x14ac:dyDescent="0.2">
      <c r="A480" s="1388"/>
      <c r="B480" s="1388"/>
      <c r="C480" s="1388"/>
      <c r="D480" s="1388"/>
      <c r="E480" s="1388"/>
      <c r="F480" s="1388"/>
      <c r="G480" s="1388"/>
      <c r="H480" s="1388"/>
      <c r="I480" s="1388"/>
      <c r="J480" s="1388"/>
      <c r="K480" s="1388"/>
      <c r="L480" s="1388"/>
      <c r="M480" s="1388"/>
      <c r="N480" s="1388"/>
      <c r="O480" s="1388"/>
      <c r="P480" s="1388"/>
      <c r="Q480" s="1388"/>
      <c r="R480" s="1388"/>
      <c r="S480" s="1388"/>
      <c r="T480" s="1388"/>
      <c r="U480" s="1388"/>
      <c r="V480" s="1388"/>
      <c r="W480" s="1388"/>
      <c r="X480" s="1388"/>
      <c r="Y480" s="1388"/>
      <c r="Z480" s="1388"/>
      <c r="AA480" s="1388"/>
      <c r="AB480" s="1388"/>
      <c r="AC480" s="1388"/>
      <c r="AD480" s="1388"/>
      <c r="AE480" s="1388"/>
      <c r="AF480" s="1388"/>
      <c r="AG480" s="1388"/>
      <c r="AH480" s="1388"/>
      <c r="AI480" s="1388"/>
      <c r="AJ480" s="1388"/>
      <c r="AK480" s="1388"/>
      <c r="AL480" s="1388"/>
      <c r="AM480" s="1388"/>
      <c r="AN480" s="1388"/>
      <c r="AO480" s="1388"/>
      <c r="AP480" s="1388"/>
      <c r="AQ480" s="1388"/>
      <c r="AR480" s="1388"/>
      <c r="AS480" s="1388"/>
      <c r="AT480" s="1388"/>
      <c r="AU480" s="1388"/>
      <c r="AV480" s="1388"/>
      <c r="AW480" s="1388"/>
      <c r="AX480" s="1388"/>
      <c r="AY480" s="1388"/>
      <c r="AZ480" s="1388"/>
      <c r="BA480" s="1388"/>
      <c r="BB480" s="1388"/>
      <c r="BC480" s="1388"/>
      <c r="BD480" s="1388"/>
      <c r="BE480" s="1388"/>
      <c r="BF480" s="1388"/>
      <c r="BG480" s="1388"/>
      <c r="BH480" s="1388"/>
      <c r="BI480" s="1388"/>
      <c r="BJ480" s="1388"/>
      <c r="BK480" s="1388"/>
      <c r="BL480" s="1388"/>
      <c r="BM480" s="1388"/>
      <c r="BN480" s="1388"/>
      <c r="BO480" s="1388"/>
      <c r="BP480" s="1388"/>
      <c r="BQ480" s="1388"/>
      <c r="BR480" s="1388"/>
      <c r="BS480" s="1388"/>
      <c r="BT480" s="1388"/>
      <c r="BU480" s="1388"/>
      <c r="BV480" s="1388"/>
      <c r="BW480" s="1388"/>
      <c r="BX480" s="1388"/>
      <c r="BY480" s="1388"/>
      <c r="BZ480" s="1388"/>
      <c r="CA480" s="1388"/>
      <c r="CB480" s="1388"/>
      <c r="CC480" s="1388"/>
      <c r="CD480" s="1388"/>
      <c r="CE480" s="1388"/>
      <c r="CF480" s="1388"/>
      <c r="CG480" s="1388"/>
      <c r="CH480" s="1388"/>
      <c r="CI480" s="1388"/>
      <c r="CJ480" s="1388"/>
      <c r="CK480" s="1388"/>
      <c r="CL480" s="1388"/>
      <c r="CM480" s="1388"/>
      <c r="CN480" s="1388"/>
      <c r="CO480" s="1388"/>
      <c r="CP480" s="1388"/>
      <c r="CQ480" s="1388"/>
      <c r="CR480" s="1388"/>
      <c r="CS480" s="1388"/>
      <c r="CT480" s="1388"/>
      <c r="CU480" s="1388"/>
      <c r="CV480" s="1388"/>
      <c r="CW480" s="1388"/>
      <c r="CX480" s="1388"/>
      <c r="CY480" s="1388"/>
      <c r="CZ480" s="1388"/>
      <c r="DA480" s="1388"/>
      <c r="DB480" s="1388"/>
      <c r="DC480" s="1388"/>
      <c r="DD480" s="1388"/>
      <c r="DE480" s="1388"/>
      <c r="DF480" s="1388"/>
      <c r="DG480" s="1388"/>
      <c r="DH480" s="1388"/>
      <c r="DI480" s="1388"/>
      <c r="DJ480" s="1474"/>
      <c r="DK480" s="1388"/>
      <c r="DL480" s="1388"/>
      <c r="DM480" s="1388"/>
      <c r="DN480" s="1388"/>
      <c r="DO480" s="1388"/>
      <c r="DP480" s="1388"/>
      <c r="DQ480" s="1388"/>
      <c r="DR480" s="1388"/>
      <c r="DS480" s="1388"/>
      <c r="DT480" s="1388"/>
      <c r="DU480" s="1388"/>
      <c r="DV480" s="1388"/>
      <c r="DW480" s="1388"/>
      <c r="DX480" s="1388"/>
      <c r="DY480" s="1388"/>
      <c r="DZ480" s="1388"/>
      <c r="EA480" s="1388"/>
      <c r="EB480" s="1388"/>
      <c r="EC480" s="1388"/>
      <c r="ED480" s="1388"/>
      <c r="EE480" s="1388"/>
      <c r="EF480" s="1388"/>
      <c r="EG480" s="1388"/>
      <c r="EH480" s="1388"/>
      <c r="EI480" s="1388"/>
      <c r="EJ480" s="1388"/>
      <c r="EK480" s="1388"/>
      <c r="EL480" s="1388"/>
      <c r="EM480" s="1388"/>
      <c r="EN480" s="1388"/>
      <c r="EO480" s="1388"/>
      <c r="EP480" s="1388"/>
      <c r="EQ480" s="1388"/>
      <c r="ER480" s="1388"/>
      <c r="ES480" s="1388"/>
      <c r="ET480" s="1388"/>
      <c r="EU480" s="1388"/>
      <c r="EV480" s="1388"/>
      <c r="EW480" s="1388"/>
      <c r="EX480" s="1388"/>
      <c r="EY480" s="1388"/>
      <c r="EZ480" s="1388"/>
      <c r="FA480" s="1388"/>
      <c r="FB480" s="1388"/>
      <c r="FC480" s="1388"/>
      <c r="FD480" s="1388"/>
      <c r="FE480" s="1388"/>
      <c r="FF480" s="1388"/>
      <c r="FG480" s="1388"/>
      <c r="FH480" s="1388"/>
      <c r="FI480" s="51"/>
      <c r="FP480" s="1388"/>
      <c r="FQ480" s="1388"/>
      <c r="FR480" s="1388"/>
      <c r="FS480" s="1435"/>
      <c r="FT480" s="1435"/>
      <c r="FU480" s="1388"/>
      <c r="FV480" s="1388"/>
      <c r="FW480" s="1435"/>
      <c r="FX480" s="1435"/>
    </row>
    <row r="481" spans="1:180" ht="11.25" customHeight="1" x14ac:dyDescent="0.2">
      <c r="A481" s="1388"/>
      <c r="B481" s="1388"/>
      <c r="C481" s="1388"/>
      <c r="D481" s="1388"/>
      <c r="E481" s="1388"/>
      <c r="F481" s="1388"/>
      <c r="G481" s="1388"/>
      <c r="H481" s="1388"/>
      <c r="I481" s="1388"/>
      <c r="J481" s="1388"/>
      <c r="K481" s="1388"/>
      <c r="L481" s="1388"/>
      <c r="M481" s="1388"/>
      <c r="N481" s="1388"/>
      <c r="O481" s="1388"/>
      <c r="P481" s="1388"/>
      <c r="Q481" s="1388"/>
      <c r="R481" s="1388"/>
      <c r="S481" s="1388"/>
      <c r="T481" s="1388"/>
      <c r="U481" s="1388"/>
      <c r="V481" s="1388"/>
      <c r="W481" s="1388"/>
      <c r="X481" s="1388"/>
      <c r="Y481" s="1388"/>
      <c r="Z481" s="1388"/>
      <c r="AA481" s="1388"/>
      <c r="AB481" s="1388"/>
      <c r="AC481" s="1388"/>
      <c r="AD481" s="1388"/>
      <c r="AE481" s="1388"/>
      <c r="AF481" s="1388"/>
      <c r="AG481" s="1388"/>
      <c r="AH481" s="1388"/>
      <c r="AI481" s="1388"/>
      <c r="AJ481" s="1388"/>
      <c r="AK481" s="1388"/>
      <c r="AL481" s="1388"/>
      <c r="AM481" s="1388"/>
      <c r="AN481" s="1388"/>
      <c r="AO481" s="1388"/>
      <c r="AP481" s="1388"/>
      <c r="AQ481" s="1388"/>
      <c r="AR481" s="1388"/>
      <c r="AS481" s="1388"/>
      <c r="AT481" s="1388"/>
      <c r="AU481" s="1388"/>
      <c r="AV481" s="1388"/>
      <c r="AW481" s="1388"/>
      <c r="AX481" s="1388"/>
      <c r="AY481" s="1388"/>
      <c r="AZ481" s="1388"/>
      <c r="BA481" s="1388"/>
      <c r="BB481" s="1388"/>
      <c r="BC481" s="1388"/>
      <c r="BD481" s="1388"/>
      <c r="BE481" s="1388"/>
      <c r="BF481" s="1388"/>
      <c r="BG481" s="1388"/>
      <c r="BH481" s="1388"/>
      <c r="BI481" s="1388"/>
      <c r="BJ481" s="1388"/>
      <c r="BK481" s="1388"/>
      <c r="BL481" s="1388"/>
      <c r="BM481" s="1388"/>
      <c r="BN481" s="1388"/>
      <c r="BO481" s="1388"/>
      <c r="BP481" s="1388"/>
      <c r="BQ481" s="1388"/>
      <c r="BR481" s="1388"/>
      <c r="BS481" s="1388"/>
      <c r="BT481" s="1388"/>
      <c r="BU481" s="1388"/>
      <c r="BV481" s="1388"/>
      <c r="BW481" s="1388"/>
      <c r="BX481" s="1388"/>
      <c r="BY481" s="1388"/>
      <c r="BZ481" s="1388"/>
      <c r="CA481" s="1388"/>
      <c r="CB481" s="1388"/>
      <c r="CC481" s="1388"/>
      <c r="CD481" s="1388"/>
      <c r="CE481" s="1388"/>
      <c r="CF481" s="1388"/>
      <c r="CG481" s="1388"/>
      <c r="CH481" s="1388"/>
      <c r="CI481" s="1388"/>
      <c r="CJ481" s="1388"/>
      <c r="CK481" s="1388"/>
      <c r="CL481" s="1388"/>
      <c r="CM481" s="1388"/>
      <c r="CN481" s="1388"/>
      <c r="CO481" s="1388"/>
      <c r="CP481" s="1388"/>
      <c r="CQ481" s="1388"/>
      <c r="CR481" s="1388"/>
      <c r="CS481" s="1388"/>
      <c r="CT481" s="1388"/>
      <c r="CU481" s="1388"/>
      <c r="CV481" s="1388"/>
      <c r="CW481" s="1388"/>
      <c r="CX481" s="1388"/>
      <c r="CY481" s="1388"/>
      <c r="CZ481" s="1388"/>
      <c r="DA481" s="1388"/>
      <c r="DB481" s="1388"/>
      <c r="DC481" s="1388"/>
      <c r="DD481" s="1388"/>
      <c r="DE481" s="1388"/>
      <c r="DF481" s="1388"/>
      <c r="DG481" s="1388"/>
      <c r="DH481" s="1388"/>
      <c r="DI481" s="1388"/>
      <c r="DJ481" s="1474"/>
      <c r="DK481" s="1388"/>
      <c r="DL481" s="1388"/>
      <c r="DM481" s="1388"/>
      <c r="DN481" s="1388"/>
      <c r="DO481" s="1388"/>
      <c r="DP481" s="1388"/>
      <c r="DQ481" s="1388"/>
      <c r="DR481" s="1388"/>
      <c r="DS481" s="1388"/>
      <c r="DT481" s="1388"/>
      <c r="DU481" s="1388"/>
      <c r="DV481" s="1388"/>
      <c r="DW481" s="1388"/>
      <c r="DX481" s="1388"/>
      <c r="DY481" s="1388"/>
      <c r="DZ481" s="1388"/>
      <c r="EA481" s="1388"/>
      <c r="EB481" s="1388"/>
      <c r="EC481" s="1388"/>
      <c r="ED481" s="1388"/>
      <c r="EE481" s="1388"/>
      <c r="EF481" s="1388"/>
      <c r="EG481" s="1388"/>
      <c r="EH481" s="1388"/>
      <c r="EI481" s="1388"/>
      <c r="EJ481" s="1388"/>
      <c r="EK481" s="1388"/>
      <c r="EL481" s="1388"/>
      <c r="EM481" s="1388"/>
      <c r="EN481" s="1388"/>
      <c r="EO481" s="1388"/>
      <c r="EP481" s="1388"/>
      <c r="EQ481" s="1388"/>
      <c r="ER481" s="1388"/>
      <c r="ES481" s="1388"/>
      <c r="ET481" s="1388"/>
      <c r="EU481" s="1388"/>
      <c r="EV481" s="1388"/>
      <c r="EW481" s="1388"/>
      <c r="EX481" s="1388"/>
      <c r="EY481" s="1388"/>
      <c r="EZ481" s="1388"/>
      <c r="FA481" s="1388"/>
      <c r="FB481" s="1388"/>
      <c r="FC481" s="1388"/>
      <c r="FD481" s="1388"/>
      <c r="FE481" s="1388"/>
      <c r="FF481" s="1388"/>
      <c r="FG481" s="1388"/>
      <c r="FH481" s="1388"/>
      <c r="FI481" s="51"/>
      <c r="FP481" s="1388"/>
      <c r="FQ481" s="1388"/>
      <c r="FR481" s="1388"/>
      <c r="FS481" s="1435"/>
      <c r="FT481" s="1435"/>
      <c r="FU481" s="1388"/>
      <c r="FV481" s="1388"/>
      <c r="FW481" s="1435"/>
      <c r="FX481" s="1435"/>
    </row>
    <row r="482" spans="1:180" ht="11.25" customHeight="1" x14ac:dyDescent="0.2">
      <c r="A482" s="1388"/>
      <c r="B482" s="1388"/>
      <c r="C482" s="1388"/>
      <c r="D482" s="1388"/>
      <c r="E482" s="1388"/>
      <c r="F482" s="1388"/>
      <c r="G482" s="1388"/>
      <c r="H482" s="1388"/>
      <c r="I482" s="1388"/>
      <c r="J482" s="1388"/>
      <c r="K482" s="1388"/>
      <c r="L482" s="1388"/>
      <c r="M482" s="1388"/>
      <c r="N482" s="1388"/>
      <c r="O482" s="1388"/>
      <c r="P482" s="1388"/>
      <c r="Q482" s="1388"/>
      <c r="R482" s="1388"/>
      <c r="S482" s="1388"/>
      <c r="T482" s="1388"/>
      <c r="U482" s="1388"/>
      <c r="V482" s="1388"/>
      <c r="W482" s="1388"/>
      <c r="X482" s="1388"/>
      <c r="Y482" s="1388"/>
      <c r="Z482" s="1388"/>
      <c r="AA482" s="1388"/>
      <c r="AB482" s="1388"/>
      <c r="AC482" s="1388"/>
      <c r="AD482" s="1388"/>
      <c r="AE482" s="1388"/>
      <c r="AF482" s="1388"/>
      <c r="AG482" s="1388"/>
      <c r="AH482" s="1388"/>
      <c r="AI482" s="1388"/>
      <c r="AJ482" s="1388"/>
      <c r="AK482" s="1388"/>
      <c r="AL482" s="1388"/>
      <c r="AM482" s="1388"/>
      <c r="AN482" s="1388"/>
      <c r="AO482" s="1388"/>
      <c r="AP482" s="1388"/>
      <c r="AQ482" s="1388"/>
      <c r="AR482" s="1388"/>
      <c r="AS482" s="1388"/>
      <c r="AT482" s="1388"/>
      <c r="AU482" s="1388"/>
      <c r="AV482" s="1388"/>
      <c r="AW482" s="1388"/>
      <c r="AX482" s="1388"/>
      <c r="AY482" s="1388"/>
      <c r="AZ482" s="1388"/>
      <c r="BA482" s="1388"/>
      <c r="BB482" s="1388"/>
      <c r="BC482" s="1388"/>
      <c r="BD482" s="1388"/>
      <c r="BE482" s="1388"/>
      <c r="BF482" s="1388"/>
      <c r="BG482" s="1388"/>
      <c r="BH482" s="1388"/>
      <c r="BI482" s="1388"/>
      <c r="BJ482" s="1388"/>
      <c r="BK482" s="1388"/>
      <c r="BL482" s="1388"/>
      <c r="BM482" s="1388"/>
      <c r="BN482" s="1388"/>
      <c r="BO482" s="1388"/>
      <c r="BP482" s="1388"/>
      <c r="BQ482" s="1388"/>
      <c r="BR482" s="1388"/>
      <c r="BS482" s="1388"/>
      <c r="BT482" s="1388"/>
      <c r="BU482" s="1388"/>
      <c r="BV482" s="1388"/>
      <c r="BW482" s="1388"/>
      <c r="BX482" s="1388"/>
      <c r="BY482" s="1388"/>
      <c r="BZ482" s="1388"/>
      <c r="CA482" s="1388"/>
      <c r="CB482" s="1388"/>
      <c r="CC482" s="1388"/>
      <c r="CD482" s="1388"/>
      <c r="CE482" s="1388"/>
      <c r="CF482" s="1388"/>
      <c r="CG482" s="1388"/>
      <c r="CH482" s="1388"/>
      <c r="CI482" s="1388"/>
      <c r="CJ482" s="1388"/>
      <c r="CK482" s="1388"/>
      <c r="CL482" s="1388"/>
      <c r="CM482" s="1388"/>
      <c r="CN482" s="1388"/>
      <c r="CO482" s="1388"/>
      <c r="CP482" s="1388"/>
      <c r="CQ482" s="1388"/>
      <c r="CR482" s="1388"/>
      <c r="CS482" s="1388"/>
      <c r="CT482" s="1388"/>
      <c r="CU482" s="1388"/>
      <c r="CV482" s="1388"/>
      <c r="CW482" s="1388"/>
      <c r="CX482" s="1388"/>
      <c r="CY482" s="1388"/>
      <c r="CZ482" s="1388"/>
      <c r="DA482" s="1388"/>
      <c r="DB482" s="1388"/>
      <c r="DC482" s="1388"/>
      <c r="DD482" s="1388"/>
      <c r="DE482" s="1388"/>
      <c r="DF482" s="1388"/>
      <c r="DG482" s="1388"/>
      <c r="DH482" s="1388"/>
      <c r="DI482" s="1388"/>
      <c r="DJ482" s="1474"/>
      <c r="DK482" s="1388"/>
      <c r="DL482" s="1388"/>
      <c r="DM482" s="1388"/>
      <c r="DN482" s="1388"/>
      <c r="DO482" s="1388"/>
      <c r="DP482" s="1388"/>
      <c r="DQ482" s="1388"/>
      <c r="DR482" s="1388"/>
      <c r="DS482" s="1388"/>
      <c r="DT482" s="1388"/>
      <c r="DU482" s="1388"/>
      <c r="DV482" s="1388"/>
      <c r="DW482" s="1388"/>
      <c r="DX482" s="1388"/>
      <c r="DY482" s="1388"/>
      <c r="DZ482" s="1388"/>
      <c r="EA482" s="1388"/>
      <c r="EB482" s="1388"/>
      <c r="EC482" s="1388"/>
      <c r="ED482" s="1388"/>
      <c r="EE482" s="1388"/>
      <c r="EF482" s="1388"/>
      <c r="EG482" s="1388"/>
      <c r="EH482" s="1388"/>
      <c r="EI482" s="1388"/>
      <c r="EJ482" s="1388"/>
      <c r="EK482" s="1388"/>
      <c r="EL482" s="1388"/>
      <c r="EM482" s="1388"/>
      <c r="EN482" s="1388"/>
      <c r="EO482" s="1388"/>
      <c r="EP482" s="1388"/>
      <c r="EQ482" s="1388"/>
      <c r="ER482" s="1388"/>
      <c r="ES482" s="1388"/>
      <c r="ET482" s="1388"/>
      <c r="EU482" s="1388"/>
      <c r="EV482" s="1388"/>
      <c r="EW482" s="1388"/>
      <c r="EX482" s="1388"/>
      <c r="EY482" s="1388"/>
      <c r="EZ482" s="1388"/>
      <c r="FA482" s="1388"/>
      <c r="FB482" s="1388"/>
      <c r="FC482" s="1388"/>
      <c r="FD482" s="1388"/>
      <c r="FE482" s="1388"/>
      <c r="FF482" s="1388"/>
      <c r="FG482" s="1388"/>
      <c r="FH482" s="1388"/>
      <c r="FI482" s="51"/>
      <c r="FP482" s="1388"/>
      <c r="FQ482" s="1388"/>
      <c r="FR482" s="1388"/>
      <c r="FS482" s="1435"/>
      <c r="FT482" s="1435"/>
      <c r="FU482" s="1388"/>
      <c r="FV482" s="1388"/>
      <c r="FW482" s="1435"/>
      <c r="FX482" s="1435"/>
    </row>
    <row r="483" spans="1:180" ht="11.25" customHeight="1" x14ac:dyDescent="0.2">
      <c r="A483" s="1388"/>
      <c r="B483" s="1388"/>
      <c r="C483" s="1388"/>
      <c r="D483" s="1388"/>
      <c r="E483" s="1388"/>
      <c r="F483" s="1388"/>
      <c r="G483" s="1388"/>
      <c r="H483" s="1388"/>
      <c r="I483" s="1388"/>
      <c r="J483" s="1388"/>
      <c r="K483" s="1388"/>
      <c r="L483" s="1388"/>
      <c r="M483" s="1388"/>
      <c r="N483" s="1388"/>
      <c r="O483" s="1388"/>
      <c r="P483" s="1388"/>
      <c r="Q483" s="1388"/>
      <c r="R483" s="1388"/>
      <c r="S483" s="1388"/>
      <c r="T483" s="1388"/>
      <c r="U483" s="1388"/>
      <c r="V483" s="1388"/>
      <c r="W483" s="1388"/>
      <c r="X483" s="1388"/>
      <c r="Y483" s="1388"/>
      <c r="Z483" s="1388"/>
      <c r="AA483" s="1388"/>
      <c r="AB483" s="1388"/>
      <c r="AC483" s="1388"/>
      <c r="AD483" s="1388"/>
      <c r="AE483" s="1388"/>
      <c r="AF483" s="1388"/>
      <c r="AG483" s="1388"/>
      <c r="AH483" s="1388"/>
      <c r="AI483" s="1388"/>
      <c r="AJ483" s="1388"/>
      <c r="AK483" s="1388"/>
      <c r="AL483" s="1388"/>
      <c r="AM483" s="1388"/>
      <c r="AN483" s="1388"/>
      <c r="AO483" s="1388"/>
      <c r="AP483" s="1388"/>
      <c r="AQ483" s="1388"/>
      <c r="AR483" s="1388"/>
      <c r="AS483" s="1388"/>
      <c r="AT483" s="1388"/>
      <c r="AU483" s="1388"/>
      <c r="AV483" s="1388"/>
      <c r="AW483" s="1388"/>
      <c r="AX483" s="1388"/>
      <c r="AY483" s="1388"/>
      <c r="AZ483" s="1388"/>
      <c r="BA483" s="1388"/>
      <c r="BB483" s="1388"/>
      <c r="BC483" s="1388"/>
      <c r="BD483" s="1388"/>
      <c r="BE483" s="1388"/>
      <c r="BF483" s="1388"/>
      <c r="BG483" s="1388"/>
      <c r="BH483" s="1388"/>
      <c r="BI483" s="1388"/>
      <c r="BJ483" s="1388"/>
      <c r="BK483" s="1388"/>
      <c r="BL483" s="1388"/>
      <c r="BM483" s="1388"/>
      <c r="BN483" s="1388"/>
      <c r="BO483" s="1388"/>
      <c r="BP483" s="1388"/>
      <c r="BQ483" s="1388"/>
      <c r="BR483" s="1388"/>
      <c r="BS483" s="1388"/>
      <c r="BT483" s="1388"/>
      <c r="BU483" s="1388"/>
      <c r="BV483" s="1388"/>
      <c r="BW483" s="1388"/>
      <c r="BX483" s="1388"/>
      <c r="BY483" s="1388"/>
      <c r="BZ483" s="1388"/>
      <c r="CA483" s="1388"/>
      <c r="CB483" s="1388"/>
      <c r="CC483" s="1388"/>
      <c r="CD483" s="1388"/>
      <c r="CE483" s="1388"/>
      <c r="CF483" s="1388"/>
      <c r="CG483" s="1388"/>
      <c r="CH483" s="1388"/>
      <c r="CI483" s="1388"/>
      <c r="CJ483" s="1388"/>
      <c r="CK483" s="1388"/>
      <c r="CL483" s="1388"/>
      <c r="CM483" s="1388"/>
      <c r="CN483" s="1388"/>
      <c r="CO483" s="1388"/>
      <c r="CP483" s="1388"/>
      <c r="CQ483" s="1388"/>
      <c r="CR483" s="1388"/>
      <c r="CS483" s="1388"/>
      <c r="CT483" s="1388"/>
      <c r="CU483" s="1388"/>
      <c r="CV483" s="1388"/>
      <c r="CW483" s="1388"/>
      <c r="CX483" s="1388"/>
      <c r="CY483" s="1388"/>
      <c r="CZ483" s="1388"/>
      <c r="DA483" s="1388"/>
      <c r="DB483" s="1388"/>
      <c r="DC483" s="1388"/>
      <c r="DD483" s="1388"/>
      <c r="DE483" s="1388"/>
      <c r="DF483" s="1388"/>
      <c r="DG483" s="1388"/>
      <c r="DH483" s="1388"/>
      <c r="DI483" s="1388"/>
      <c r="DJ483" s="1474"/>
      <c r="DK483" s="1388"/>
      <c r="DL483" s="1388"/>
      <c r="DM483" s="1388"/>
      <c r="DN483" s="1388"/>
      <c r="DO483" s="1388"/>
      <c r="DP483" s="1388"/>
      <c r="DQ483" s="1388"/>
      <c r="DR483" s="1388"/>
      <c r="DS483" s="1388"/>
      <c r="DT483" s="1388"/>
      <c r="DU483" s="1388"/>
      <c r="DV483" s="1388"/>
      <c r="DW483" s="1388"/>
      <c r="DX483" s="1388"/>
      <c r="DY483" s="1388"/>
      <c r="DZ483" s="1388"/>
      <c r="EA483" s="1388"/>
      <c r="EB483" s="1388"/>
      <c r="EC483" s="1388"/>
      <c r="ED483" s="1388"/>
      <c r="EE483" s="1388"/>
      <c r="EF483" s="1388"/>
      <c r="EG483" s="1388"/>
      <c r="EH483" s="1388"/>
      <c r="EI483" s="1388"/>
      <c r="EJ483" s="1388"/>
      <c r="EK483" s="1388"/>
      <c r="EL483" s="1388"/>
      <c r="EM483" s="1388"/>
      <c r="EN483" s="1388"/>
      <c r="EO483" s="1388"/>
      <c r="EP483" s="1388"/>
      <c r="EQ483" s="1388"/>
      <c r="ER483" s="1388"/>
      <c r="ES483" s="1388"/>
      <c r="ET483" s="1388"/>
      <c r="EU483" s="1388"/>
      <c r="EV483" s="1388"/>
      <c r="EW483" s="1388"/>
      <c r="EX483" s="1388"/>
      <c r="EY483" s="1388"/>
      <c r="EZ483" s="1388"/>
      <c r="FA483" s="1388"/>
      <c r="FB483" s="1388"/>
      <c r="FC483" s="1388"/>
      <c r="FD483" s="1388"/>
      <c r="FE483" s="1388"/>
      <c r="FF483" s="1388"/>
      <c r="FG483" s="1388"/>
      <c r="FH483" s="1388"/>
      <c r="FI483" s="51"/>
      <c r="FP483" s="1388"/>
      <c r="FQ483" s="1388"/>
      <c r="FR483" s="1388"/>
      <c r="FS483" s="1435"/>
      <c r="FT483" s="1435"/>
      <c r="FU483" s="1388"/>
      <c r="FV483" s="1388"/>
      <c r="FW483" s="1435"/>
      <c r="FX483" s="1435"/>
    </row>
    <row r="484" spans="1:180" ht="11.25" customHeight="1" x14ac:dyDescent="0.2">
      <c r="A484" s="1388"/>
      <c r="B484" s="1388"/>
      <c r="C484" s="1388"/>
      <c r="D484" s="1388"/>
      <c r="E484" s="1388"/>
      <c r="F484" s="1388"/>
      <c r="G484" s="1388"/>
      <c r="H484" s="1388"/>
      <c r="I484" s="1388"/>
      <c r="J484" s="1388"/>
      <c r="K484" s="1388"/>
      <c r="L484" s="1388"/>
      <c r="M484" s="1388"/>
      <c r="N484" s="1388"/>
      <c r="O484" s="1388"/>
      <c r="P484" s="1388"/>
      <c r="Q484" s="1388"/>
      <c r="R484" s="1388"/>
      <c r="S484" s="1388"/>
      <c r="T484" s="1388"/>
      <c r="U484" s="1388"/>
      <c r="V484" s="1388"/>
      <c r="W484" s="1388"/>
      <c r="X484" s="1388"/>
      <c r="Y484" s="1388"/>
      <c r="Z484" s="1388"/>
      <c r="AA484" s="1388"/>
      <c r="AB484" s="1388"/>
      <c r="AC484" s="1388"/>
      <c r="AD484" s="1388"/>
      <c r="AE484" s="1388"/>
      <c r="AF484" s="1388"/>
      <c r="AG484" s="1388"/>
      <c r="AH484" s="1388"/>
      <c r="AI484" s="1388"/>
      <c r="AJ484" s="1388"/>
      <c r="AK484" s="1388"/>
      <c r="AL484" s="1388"/>
      <c r="AM484" s="1388"/>
      <c r="AN484" s="1388"/>
      <c r="AO484" s="1388"/>
      <c r="AP484" s="1388"/>
      <c r="AQ484" s="1388"/>
      <c r="AR484" s="1388"/>
      <c r="AS484" s="1388"/>
      <c r="AT484" s="1388"/>
      <c r="AU484" s="1388"/>
      <c r="AV484" s="1388"/>
      <c r="AW484" s="1388"/>
      <c r="AX484" s="1388"/>
      <c r="AY484" s="1388"/>
      <c r="AZ484" s="1388"/>
      <c r="BA484" s="1388"/>
      <c r="BB484" s="1388"/>
      <c r="BC484" s="1388"/>
      <c r="BD484" s="1388"/>
      <c r="BE484" s="1388"/>
      <c r="BF484" s="1388"/>
      <c r="BG484" s="1388"/>
      <c r="BH484" s="1388"/>
      <c r="BI484" s="1388"/>
      <c r="BJ484" s="1388"/>
      <c r="BK484" s="1388"/>
      <c r="BL484" s="1388"/>
      <c r="BM484" s="1388"/>
      <c r="BN484" s="1388"/>
      <c r="BO484" s="1388"/>
      <c r="BP484" s="1388"/>
      <c r="BQ484" s="1388"/>
      <c r="BR484" s="1388"/>
      <c r="BS484" s="1388"/>
      <c r="BT484" s="1388"/>
      <c r="BU484" s="1388"/>
      <c r="BV484" s="1388"/>
      <c r="BW484" s="1388"/>
      <c r="BX484" s="1388"/>
      <c r="BY484" s="1388"/>
      <c r="BZ484" s="1388"/>
      <c r="CA484" s="1388"/>
      <c r="CB484" s="1388"/>
      <c r="CC484" s="1388"/>
      <c r="CD484" s="1388"/>
      <c r="CE484" s="1388"/>
      <c r="CF484" s="1388"/>
      <c r="CG484" s="1388"/>
      <c r="CH484" s="1388"/>
      <c r="CI484" s="1388"/>
      <c r="CJ484" s="1388"/>
      <c r="CK484" s="1388"/>
      <c r="CL484" s="1388"/>
      <c r="CM484" s="1388"/>
      <c r="CN484" s="1388"/>
      <c r="CO484" s="1388"/>
      <c r="CP484" s="1388"/>
      <c r="CQ484" s="1388"/>
      <c r="CR484" s="1388"/>
      <c r="CS484" s="1388"/>
      <c r="CT484" s="1388"/>
      <c r="CU484" s="1388"/>
      <c r="CV484" s="1388"/>
      <c r="CW484" s="1388"/>
      <c r="CX484" s="1388"/>
      <c r="CY484" s="1388"/>
      <c r="CZ484" s="1388"/>
      <c r="DA484" s="1388"/>
      <c r="DB484" s="1388"/>
      <c r="DC484" s="1388"/>
      <c r="DD484" s="1388"/>
      <c r="DE484" s="1388"/>
      <c r="DF484" s="1388"/>
      <c r="DG484" s="1388"/>
      <c r="DH484" s="1388"/>
      <c r="DI484" s="1388"/>
      <c r="DJ484" s="1474"/>
      <c r="DK484" s="1388"/>
      <c r="DL484" s="1388"/>
      <c r="DM484" s="1388"/>
      <c r="DN484" s="1388"/>
      <c r="DO484" s="1388"/>
      <c r="DP484" s="1388"/>
      <c r="DQ484" s="1388"/>
      <c r="DR484" s="1388"/>
      <c r="DS484" s="1388"/>
      <c r="DT484" s="1388"/>
      <c r="DU484" s="1388"/>
      <c r="DV484" s="1388"/>
      <c r="DW484" s="1388"/>
      <c r="DX484" s="1388"/>
      <c r="DY484" s="1388"/>
      <c r="DZ484" s="1388"/>
      <c r="EA484" s="1388"/>
      <c r="EB484" s="1388"/>
      <c r="EC484" s="1388"/>
      <c r="ED484" s="1388"/>
      <c r="EE484" s="1388"/>
      <c r="EF484" s="1388"/>
      <c r="EG484" s="1388"/>
      <c r="EH484" s="1388"/>
      <c r="EI484" s="1388"/>
      <c r="EJ484" s="1388"/>
      <c r="EK484" s="1388"/>
      <c r="EL484" s="1388"/>
      <c r="EM484" s="1388"/>
      <c r="EN484" s="1388"/>
      <c r="EO484" s="1388"/>
      <c r="EP484" s="1388"/>
      <c r="EQ484" s="1388"/>
      <c r="ER484" s="1388"/>
      <c r="ES484" s="1388"/>
      <c r="ET484" s="1388"/>
      <c r="EU484" s="1388"/>
      <c r="EV484" s="1388"/>
      <c r="EW484" s="1388"/>
      <c r="EX484" s="1388"/>
      <c r="EY484" s="1388"/>
      <c r="EZ484" s="1388"/>
      <c r="FA484" s="1388"/>
      <c r="FB484" s="1388"/>
      <c r="FC484" s="1388"/>
      <c r="FD484" s="1388"/>
      <c r="FE484" s="1388"/>
      <c r="FF484" s="1388"/>
      <c r="FG484" s="1388"/>
      <c r="FH484" s="1388"/>
      <c r="FI484" s="51"/>
      <c r="FP484" s="1388"/>
      <c r="FQ484" s="1388"/>
      <c r="FR484" s="1388"/>
      <c r="FS484" s="1435"/>
      <c r="FT484" s="1435"/>
      <c r="FU484" s="1388"/>
      <c r="FV484" s="1388"/>
      <c r="FW484" s="1435"/>
      <c r="FX484" s="1435"/>
    </row>
    <row r="485" spans="1:180" ht="11.25" customHeight="1" x14ac:dyDescent="0.2">
      <c r="A485" s="1388"/>
      <c r="B485" s="1388"/>
      <c r="C485" s="1388"/>
      <c r="D485" s="1388"/>
      <c r="E485" s="1388"/>
      <c r="F485" s="1388"/>
      <c r="G485" s="1388"/>
      <c r="H485" s="1388"/>
      <c r="I485" s="1388"/>
      <c r="J485" s="1388"/>
      <c r="K485" s="1388"/>
      <c r="L485" s="1388"/>
      <c r="M485" s="1388"/>
      <c r="N485" s="1388"/>
      <c r="O485" s="1388"/>
      <c r="P485" s="1388"/>
      <c r="Q485" s="1388"/>
      <c r="R485" s="1388"/>
      <c r="S485" s="1388"/>
      <c r="T485" s="1388"/>
      <c r="U485" s="1388"/>
      <c r="V485" s="1388"/>
      <c r="W485" s="1388"/>
      <c r="X485" s="1388"/>
      <c r="Y485" s="1388"/>
      <c r="Z485" s="1388"/>
      <c r="AA485" s="1388"/>
      <c r="AB485" s="1388"/>
      <c r="AC485" s="1388"/>
      <c r="AD485" s="1388"/>
      <c r="AE485" s="1388"/>
      <c r="AF485" s="1388"/>
      <c r="AG485" s="1388"/>
      <c r="AH485" s="1388"/>
      <c r="AI485" s="1388"/>
      <c r="AJ485" s="1388"/>
      <c r="AK485" s="1388"/>
      <c r="AL485" s="1388"/>
      <c r="AM485" s="1388"/>
      <c r="AN485" s="1388"/>
      <c r="AO485" s="1388"/>
      <c r="AP485" s="1388"/>
      <c r="AQ485" s="1388"/>
      <c r="AR485" s="1388"/>
      <c r="AS485" s="1388"/>
      <c r="AT485" s="1388"/>
      <c r="AU485" s="1388"/>
      <c r="AV485" s="1388"/>
      <c r="AW485" s="1388"/>
      <c r="AX485" s="1388"/>
      <c r="AY485" s="1388"/>
      <c r="AZ485" s="1388"/>
      <c r="BA485" s="1388"/>
      <c r="BB485" s="1388"/>
      <c r="BC485" s="1388"/>
      <c r="BD485" s="1388"/>
      <c r="BE485" s="1388"/>
      <c r="BF485" s="1388"/>
      <c r="BG485" s="1388"/>
      <c r="BH485" s="1388"/>
      <c r="BI485" s="1388"/>
      <c r="BJ485" s="1388"/>
      <c r="BK485" s="1388"/>
      <c r="BL485" s="1388"/>
      <c r="BM485" s="1388"/>
      <c r="BN485" s="1388"/>
      <c r="BO485" s="1388"/>
      <c r="BP485" s="1388"/>
      <c r="BQ485" s="1388"/>
      <c r="BR485" s="1388"/>
      <c r="BS485" s="1388"/>
      <c r="BT485" s="1388"/>
      <c r="BU485" s="1388"/>
      <c r="BV485" s="1388"/>
      <c r="BW485" s="1388"/>
      <c r="BX485" s="1388"/>
      <c r="BY485" s="1388"/>
      <c r="BZ485" s="1388"/>
      <c r="CA485" s="1388"/>
      <c r="CB485" s="1388"/>
      <c r="CC485" s="1388"/>
      <c r="CD485" s="1388"/>
      <c r="CE485" s="1388"/>
      <c r="CF485" s="1388"/>
      <c r="CG485" s="1388"/>
      <c r="CH485" s="1388"/>
      <c r="CI485" s="1388"/>
      <c r="CJ485" s="1388"/>
      <c r="CK485" s="1388"/>
      <c r="CL485" s="1388"/>
      <c r="CM485" s="1388"/>
      <c r="CN485" s="1388"/>
      <c r="CO485" s="1388"/>
      <c r="CP485" s="1388"/>
      <c r="CQ485" s="1388"/>
      <c r="CR485" s="1388"/>
      <c r="CS485" s="1388"/>
      <c r="CT485" s="1388"/>
      <c r="CU485" s="1388"/>
      <c r="CV485" s="1388"/>
      <c r="CW485" s="1388"/>
      <c r="CX485" s="1388"/>
      <c r="CY485" s="1388"/>
      <c r="CZ485" s="1388"/>
      <c r="DA485" s="1388"/>
      <c r="DB485" s="1388"/>
      <c r="DC485" s="1388"/>
      <c r="DD485" s="1388"/>
      <c r="DE485" s="1388"/>
      <c r="DF485" s="1388"/>
      <c r="DG485" s="1388"/>
      <c r="DH485" s="1388"/>
      <c r="DI485" s="1388"/>
      <c r="DJ485" s="1474"/>
      <c r="DK485" s="1388"/>
      <c r="DL485" s="1388"/>
      <c r="DM485" s="1388"/>
      <c r="DN485" s="1388"/>
      <c r="DO485" s="1388"/>
      <c r="DP485" s="1388"/>
      <c r="DQ485" s="1388"/>
      <c r="DR485" s="1388"/>
      <c r="DS485" s="1388"/>
      <c r="DT485" s="1388"/>
      <c r="DU485" s="1388"/>
      <c r="DV485" s="1388"/>
      <c r="DW485" s="1388"/>
      <c r="DX485" s="1388"/>
      <c r="DY485" s="1388"/>
      <c r="DZ485" s="1388"/>
      <c r="EA485" s="1388"/>
      <c r="EB485" s="1388"/>
      <c r="EC485" s="1388"/>
      <c r="ED485" s="1388"/>
      <c r="EE485" s="1388"/>
      <c r="EF485" s="1388"/>
      <c r="EG485" s="1388"/>
      <c r="EH485" s="1388"/>
      <c r="EI485" s="1388"/>
      <c r="EJ485" s="1388"/>
      <c r="EK485" s="1388"/>
      <c r="EL485" s="1388"/>
      <c r="EM485" s="1388"/>
      <c r="EN485" s="1388"/>
      <c r="EO485" s="1388"/>
      <c r="EP485" s="1388"/>
      <c r="EQ485" s="1388"/>
      <c r="ER485" s="1388"/>
      <c r="ES485" s="1388"/>
      <c r="ET485" s="1388"/>
      <c r="EU485" s="1388"/>
      <c r="EV485" s="1388"/>
      <c r="EW485" s="1388"/>
      <c r="EX485" s="1388"/>
      <c r="EY485" s="1388"/>
      <c r="EZ485" s="1388"/>
      <c r="FA485" s="1388"/>
      <c r="FB485" s="1388"/>
      <c r="FC485" s="1388"/>
      <c r="FD485" s="1388"/>
      <c r="FE485" s="1388"/>
      <c r="FF485" s="1388"/>
      <c r="FG485" s="1388"/>
      <c r="FH485" s="1388"/>
      <c r="FI485" s="51"/>
      <c r="FP485" s="1388"/>
      <c r="FQ485" s="1388"/>
      <c r="FR485" s="1388"/>
      <c r="FS485" s="1435"/>
      <c r="FT485" s="1435"/>
      <c r="FU485" s="1388"/>
      <c r="FV485" s="1388"/>
      <c r="FW485" s="1435"/>
      <c r="FX485" s="1435"/>
    </row>
    <row r="486" spans="1:180" ht="11.25" customHeight="1" x14ac:dyDescent="0.2">
      <c r="A486" s="1388"/>
      <c r="B486" s="1388"/>
      <c r="C486" s="1388"/>
      <c r="D486" s="1388"/>
      <c r="E486" s="1388"/>
      <c r="F486" s="1388"/>
      <c r="G486" s="1388"/>
      <c r="H486" s="1388"/>
      <c r="I486" s="1388"/>
      <c r="J486" s="1388"/>
      <c r="K486" s="1388"/>
      <c r="L486" s="1388"/>
      <c r="M486" s="1388"/>
      <c r="N486" s="1388"/>
      <c r="O486" s="1388"/>
      <c r="P486" s="1388"/>
      <c r="Q486" s="1388"/>
      <c r="R486" s="1388"/>
      <c r="S486" s="1388"/>
      <c r="T486" s="1388"/>
      <c r="U486" s="1388"/>
      <c r="V486" s="1388"/>
      <c r="W486" s="1388"/>
      <c r="X486" s="1388"/>
      <c r="Y486" s="1388"/>
      <c r="Z486" s="1388"/>
      <c r="AA486" s="1388"/>
      <c r="AB486" s="1388"/>
      <c r="AC486" s="1388"/>
      <c r="AD486" s="1388"/>
      <c r="AE486" s="1388"/>
      <c r="AF486" s="1388"/>
      <c r="AG486" s="1388"/>
      <c r="AH486" s="1388"/>
      <c r="AI486" s="1388"/>
      <c r="AJ486" s="1388"/>
      <c r="AK486" s="1388"/>
      <c r="AL486" s="1388"/>
      <c r="AM486" s="1388"/>
      <c r="AN486" s="1388"/>
      <c r="AO486" s="1388"/>
      <c r="AP486" s="1388"/>
      <c r="AQ486" s="1388"/>
      <c r="AR486" s="1388"/>
      <c r="AS486" s="1388"/>
      <c r="AT486" s="1388"/>
      <c r="AU486" s="1388"/>
      <c r="AV486" s="1388"/>
      <c r="AW486" s="1388"/>
      <c r="AX486" s="1388"/>
      <c r="AY486" s="1388"/>
      <c r="AZ486" s="1388"/>
      <c r="BA486" s="1388"/>
      <c r="BB486" s="1388"/>
      <c r="BC486" s="1388"/>
      <c r="BD486" s="1388"/>
      <c r="BE486" s="1388"/>
      <c r="BF486" s="1388"/>
      <c r="BG486" s="1388"/>
      <c r="BH486" s="1388"/>
      <c r="BI486" s="1388"/>
      <c r="BJ486" s="1388"/>
      <c r="BK486" s="1388"/>
      <c r="BL486" s="1388"/>
      <c r="BM486" s="1388"/>
      <c r="BN486" s="1388"/>
      <c r="BO486" s="1388"/>
      <c r="BP486" s="1388"/>
      <c r="BQ486" s="1388"/>
      <c r="BR486" s="1388"/>
      <c r="BS486" s="1388"/>
      <c r="BT486" s="1388"/>
      <c r="BU486" s="1388"/>
      <c r="BV486" s="1388"/>
      <c r="BW486" s="1388"/>
      <c r="BX486" s="1388"/>
      <c r="BY486" s="1388"/>
      <c r="BZ486" s="1388"/>
      <c r="CA486" s="1388"/>
      <c r="CB486" s="1388"/>
      <c r="CC486" s="1388"/>
      <c r="CD486" s="1388"/>
      <c r="CE486" s="1388"/>
      <c r="CF486" s="1388"/>
      <c r="CG486" s="1388"/>
      <c r="CH486" s="1388"/>
      <c r="CI486" s="1388"/>
      <c r="CJ486" s="1388"/>
      <c r="CK486" s="1388"/>
      <c r="CL486" s="1388"/>
      <c r="CM486" s="1388"/>
      <c r="CN486" s="1388"/>
      <c r="CO486" s="1388"/>
      <c r="CP486" s="1388"/>
      <c r="CQ486" s="1388"/>
      <c r="CR486" s="1388"/>
      <c r="CS486" s="1388"/>
      <c r="CT486" s="1388"/>
      <c r="CU486" s="1388"/>
      <c r="CV486" s="1388"/>
      <c r="CW486" s="1388"/>
      <c r="CX486" s="1388"/>
      <c r="CY486" s="1388"/>
      <c r="CZ486" s="1388"/>
      <c r="DA486" s="1388"/>
      <c r="DB486" s="1388"/>
      <c r="DC486" s="1388"/>
      <c r="DD486" s="1388"/>
      <c r="DE486" s="1388"/>
      <c r="DF486" s="1388"/>
      <c r="DG486" s="1388"/>
      <c r="DH486" s="1388"/>
      <c r="DI486" s="1388"/>
      <c r="DJ486" s="1474"/>
      <c r="DK486" s="1388"/>
      <c r="DL486" s="1388"/>
      <c r="DM486" s="1388"/>
      <c r="DN486" s="1388"/>
      <c r="DO486" s="1388"/>
      <c r="DP486" s="1388"/>
      <c r="DQ486" s="1388"/>
      <c r="DR486" s="1388"/>
      <c r="DS486" s="1388"/>
      <c r="DT486" s="1388"/>
      <c r="DU486" s="1388"/>
      <c r="DV486" s="1388"/>
      <c r="DW486" s="1388"/>
      <c r="DX486" s="1388"/>
      <c r="DY486" s="1388"/>
      <c r="DZ486" s="1388"/>
      <c r="EA486" s="1388"/>
      <c r="EB486" s="1388"/>
      <c r="EC486" s="1388"/>
      <c r="ED486" s="1388"/>
      <c r="EE486" s="1388"/>
      <c r="EF486" s="1388"/>
      <c r="EG486" s="1388"/>
      <c r="EH486" s="1388"/>
      <c r="EI486" s="1388"/>
      <c r="EJ486" s="1388"/>
      <c r="EK486" s="1388"/>
      <c r="EL486" s="1388"/>
      <c r="EM486" s="1388"/>
      <c r="EN486" s="1388"/>
      <c r="EO486" s="1388"/>
      <c r="EP486" s="1388"/>
      <c r="EQ486" s="1388"/>
      <c r="ER486" s="1388"/>
      <c r="ES486" s="1388"/>
      <c r="ET486" s="1388"/>
      <c r="EU486" s="1388"/>
      <c r="EV486" s="1388"/>
      <c r="EW486" s="1388"/>
      <c r="EX486" s="1388"/>
      <c r="EY486" s="1388"/>
      <c r="EZ486" s="1388"/>
      <c r="FA486" s="1388"/>
      <c r="FB486" s="1388"/>
      <c r="FC486" s="1388"/>
      <c r="FD486" s="1388"/>
      <c r="FE486" s="1388"/>
      <c r="FF486" s="1388"/>
      <c r="FG486" s="1388"/>
      <c r="FH486" s="1388"/>
      <c r="FI486" s="51"/>
      <c r="FP486" s="1388"/>
      <c r="FQ486" s="1388"/>
      <c r="FR486" s="1388"/>
      <c r="FS486" s="1435"/>
      <c r="FT486" s="1435"/>
      <c r="FU486" s="1388"/>
      <c r="FV486" s="1388"/>
      <c r="FW486" s="1435"/>
      <c r="FX486" s="1435"/>
    </row>
  </sheetData>
  <phoneticPr fontId="2" type="noConversion"/>
  <printOptions horizontalCentered="1"/>
  <pageMargins left="0" right="0" top="0" bottom="0" header="0.5" footer="0.5"/>
  <pageSetup scale="12" orientation="landscape"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84829" r:id="rId4" name="Drop Down 1149">
              <controlPr defaultSize="0" autoLine="0" autoPict="0">
                <anchor moveWithCells="1">
                  <from>
                    <xdr:col>0</xdr:col>
                    <xdr:colOff>1428750</xdr:colOff>
                    <xdr:row>2</xdr:row>
                    <xdr:rowOff>76200</xdr:rowOff>
                  </from>
                  <to>
                    <xdr:col>0</xdr:col>
                    <xdr:colOff>2486025</xdr:colOff>
                    <xdr:row>3</xdr:row>
                    <xdr:rowOff>133350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enableFormatConditionsCalculation="0">
    <tabColor indexed="29"/>
    <pageSetUpPr fitToPage="1"/>
  </sheetPr>
  <dimension ref="A1:IZ177"/>
  <sheetViews>
    <sheetView showGridLines="0" zoomScale="85" zoomScaleNormal="85" zoomScaleSheetLayoutView="100" workbookViewId="0">
      <pane xSplit="1" ySplit="5" topLeftCell="CP6" activePane="bottomRight" state="frozen"/>
      <selection activeCell="AA48" sqref="AA48"/>
      <selection pane="topRight" activeCell="AA48" sqref="AA48"/>
      <selection pane="bottomLeft" activeCell="AA48" sqref="AA48"/>
      <selection pane="bottomRight" activeCell="CP6" sqref="CP6"/>
    </sheetView>
  </sheetViews>
  <sheetFormatPr defaultRowHeight="11.25" outlineLevelRow="1" outlineLevelCol="2" x14ac:dyDescent="0.2"/>
  <cols>
    <col min="1" max="1" width="42.6640625" customWidth="1"/>
    <col min="2" max="12" width="10.33203125" hidden="1" customWidth="1" outlineLevel="1"/>
    <col min="13" max="13" width="8.83203125" hidden="1" customWidth="1" outlineLevel="1"/>
    <col min="14" max="81" width="10.33203125" hidden="1" customWidth="1" outlineLevel="1"/>
    <col min="82" max="82" width="11.6640625" hidden="1" customWidth="1" outlineLevel="1" collapsed="1"/>
    <col min="83" max="85" width="11.6640625" hidden="1" customWidth="1" outlineLevel="1"/>
    <col min="86" max="86" width="9.5" hidden="1" customWidth="1" outlineLevel="1" collapsed="1"/>
    <col min="87" max="93" width="10" hidden="1" customWidth="1" outlineLevel="1"/>
    <col min="94" max="94" width="9.5" bestFit="1" customWidth="1" collapsed="1"/>
    <col min="95" max="100" width="10" bestFit="1" customWidth="1"/>
    <col min="101" max="101" width="10" style="2677" bestFit="1" customWidth="1"/>
    <col min="102" max="102" width="10" style="72" bestFit="1" customWidth="1"/>
    <col min="103" max="105" width="10" style="2591" customWidth="1"/>
    <col min="106" max="107" width="1.83203125" customWidth="1"/>
    <col min="108" max="115" width="10.83203125" hidden="1" customWidth="1" outlineLevel="2"/>
    <col min="116" max="128" width="10.33203125" hidden="1" customWidth="1" outlineLevel="2"/>
    <col min="129" max="129" width="11.1640625" hidden="1" customWidth="1" outlineLevel="2"/>
    <col min="130" max="130" width="11.5" hidden="1" customWidth="1" outlineLevel="2"/>
    <col min="131" max="131" width="11.1640625" hidden="1" customWidth="1" outlineLevel="1" collapsed="1"/>
    <col min="132" max="132" width="11.33203125" hidden="1" customWidth="1" outlineLevel="1"/>
    <col min="133" max="134" width="10.33203125" hidden="1" customWidth="1" outlineLevel="2"/>
    <col min="135" max="135" width="10.83203125" hidden="1" customWidth="1" outlineLevel="1"/>
    <col min="136" max="136" width="10.83203125" hidden="1" customWidth="1" outlineLevel="1" collapsed="1"/>
    <col min="137" max="138" width="10" hidden="1" customWidth="1" outlineLevel="1" collapsed="1"/>
    <col min="139" max="139" width="10" hidden="1" customWidth="1" outlineLevel="1"/>
    <col min="140" max="140" width="10" customWidth="1" collapsed="1"/>
    <col min="141" max="141" width="10" customWidth="1"/>
    <col min="142" max="142" width="10" style="2677" customWidth="1"/>
    <col min="143" max="143" width="10" style="1388" customWidth="1"/>
    <col min="144" max="145" width="10" customWidth="1"/>
    <col min="146" max="151" width="10" hidden="1" customWidth="1" outlineLevel="1"/>
    <col min="152" max="152" width="10" customWidth="1" collapsed="1"/>
    <col min="153" max="153" width="26.83203125" hidden="1" customWidth="1" outlineLevel="1"/>
    <col min="154" max="158" width="9.33203125" hidden="1" customWidth="1" outlineLevel="1"/>
    <col min="159" max="159" width="9.33203125" customWidth="1" collapsed="1"/>
    <col min="160" max="162" width="9.33203125" customWidth="1"/>
    <col min="163" max="164" width="10" style="134" bestFit="1" customWidth="1"/>
    <col min="165" max="166" width="9.33203125" style="134"/>
  </cols>
  <sheetData>
    <row r="1" spans="1:260" s="4" customFormat="1" ht="12.75" x14ac:dyDescent="0.2">
      <c r="A1" s="2" t="s">
        <v>182</v>
      </c>
      <c r="B1" s="3"/>
      <c r="C1" s="3"/>
      <c r="D1" s="3"/>
      <c r="E1" s="3"/>
      <c r="F1" s="3"/>
      <c r="G1" s="3"/>
      <c r="H1" s="3"/>
      <c r="I1" s="3"/>
      <c r="J1" s="3"/>
      <c r="K1" s="3"/>
      <c r="L1" s="3"/>
      <c r="M1" s="3"/>
      <c r="N1" s="3"/>
      <c r="O1" s="3"/>
      <c r="P1" s="3"/>
      <c r="Q1" s="3"/>
      <c r="R1" s="3"/>
      <c r="S1" s="3"/>
      <c r="T1" s="3"/>
      <c r="U1" s="3"/>
      <c r="V1" s="3"/>
      <c r="W1" s="3"/>
      <c r="X1" s="3"/>
      <c r="Y1" s="3"/>
      <c r="Z1" s="3"/>
      <c r="AA1" s="3"/>
      <c r="AB1" s="3"/>
      <c r="AC1" s="3"/>
      <c r="AD1" s="3"/>
      <c r="AE1" s="3"/>
      <c r="AF1" s="3"/>
      <c r="AG1" s="3"/>
      <c r="AH1" s="3"/>
      <c r="AI1" s="3"/>
      <c r="AJ1" s="3"/>
      <c r="AK1" s="3"/>
      <c r="AL1" s="3"/>
      <c r="AM1" s="3"/>
      <c r="AN1" s="3"/>
      <c r="AO1" s="3"/>
      <c r="AP1" s="3"/>
      <c r="AQ1" s="3"/>
      <c r="AR1" s="3"/>
      <c r="AS1" s="3"/>
      <c r="AT1" s="1912">
        <f t="shared" ref="AT1:CK1" si="0">AT118</f>
        <v>0</v>
      </c>
      <c r="AU1" s="1912">
        <f t="shared" si="0"/>
        <v>0</v>
      </c>
      <c r="AV1" s="1912">
        <f t="shared" si="0"/>
        <v>0</v>
      </c>
      <c r="AW1" s="1912">
        <f t="shared" si="0"/>
        <v>0</v>
      </c>
      <c r="AX1" s="1912">
        <f t="shared" si="0"/>
        <v>0</v>
      </c>
      <c r="AY1" s="1912">
        <f t="shared" si="0"/>
        <v>0</v>
      </c>
      <c r="AZ1" s="1912">
        <f t="shared" si="0"/>
        <v>0</v>
      </c>
      <c r="BA1" s="1912">
        <f t="shared" si="0"/>
        <v>0</v>
      </c>
      <c r="BB1" s="1912">
        <f t="shared" si="0"/>
        <v>0</v>
      </c>
      <c r="BC1" s="1912">
        <f t="shared" si="0"/>
        <v>0</v>
      </c>
      <c r="BD1" s="1912">
        <f t="shared" si="0"/>
        <v>0</v>
      </c>
      <c r="BE1" s="1912">
        <f t="shared" si="0"/>
        <v>0</v>
      </c>
      <c r="BF1" s="1912">
        <f t="shared" si="0"/>
        <v>0</v>
      </c>
      <c r="BG1" s="1912">
        <f t="shared" si="0"/>
        <v>0</v>
      </c>
      <c r="BH1" s="1912">
        <f t="shared" si="0"/>
        <v>0</v>
      </c>
      <c r="BI1" s="1912">
        <f t="shared" si="0"/>
        <v>0</v>
      </c>
      <c r="BJ1" s="1912">
        <f t="shared" si="0"/>
        <v>0</v>
      </c>
      <c r="BK1" s="1912">
        <f t="shared" si="0"/>
        <v>0</v>
      </c>
      <c r="BL1" s="1912">
        <f t="shared" si="0"/>
        <v>0</v>
      </c>
      <c r="BM1" s="1912">
        <f t="shared" si="0"/>
        <v>0</v>
      </c>
      <c r="BN1" s="1912">
        <f t="shared" si="0"/>
        <v>0</v>
      </c>
      <c r="BO1" s="1912">
        <f t="shared" si="0"/>
        <v>0</v>
      </c>
      <c r="BP1" s="1912">
        <f t="shared" si="0"/>
        <v>0</v>
      </c>
      <c r="BQ1" s="1912">
        <f t="shared" si="0"/>
        <v>0</v>
      </c>
      <c r="BR1" s="1912">
        <f t="shared" si="0"/>
        <v>0</v>
      </c>
      <c r="BS1" s="1912">
        <f t="shared" si="0"/>
        <v>0</v>
      </c>
      <c r="BT1" s="1912">
        <f t="shared" si="0"/>
        <v>0</v>
      </c>
      <c r="BU1" s="1912">
        <f t="shared" si="0"/>
        <v>0</v>
      </c>
      <c r="BV1" s="1912">
        <f t="shared" si="0"/>
        <v>0</v>
      </c>
      <c r="BW1" s="1912">
        <f t="shared" si="0"/>
        <v>0</v>
      </c>
      <c r="BX1" s="1912">
        <f t="shared" si="0"/>
        <v>0</v>
      </c>
      <c r="BY1" s="1912">
        <f t="shared" si="0"/>
        <v>0</v>
      </c>
      <c r="BZ1" s="1912">
        <f t="shared" si="0"/>
        <v>0</v>
      </c>
      <c r="CA1" s="1912">
        <f t="shared" si="0"/>
        <v>0</v>
      </c>
      <c r="CB1" s="1912">
        <f t="shared" si="0"/>
        <v>0</v>
      </c>
      <c r="CC1" s="1912">
        <f t="shared" si="0"/>
        <v>0</v>
      </c>
      <c r="CD1" s="1912">
        <f t="shared" si="0"/>
        <v>0</v>
      </c>
      <c r="CE1" s="1912">
        <f t="shared" si="0"/>
        <v>0</v>
      </c>
      <c r="CF1" s="1912">
        <f t="shared" si="0"/>
        <v>0</v>
      </c>
      <c r="CG1" s="1912">
        <f t="shared" si="0"/>
        <v>0</v>
      </c>
      <c r="CH1" s="1912">
        <f t="shared" si="0"/>
        <v>0</v>
      </c>
      <c r="CI1" s="1912">
        <f t="shared" si="0"/>
        <v>0</v>
      </c>
      <c r="CJ1" s="1912">
        <f t="shared" si="0"/>
        <v>0</v>
      </c>
      <c r="CK1" s="1912">
        <f t="shared" si="0"/>
        <v>0</v>
      </c>
      <c r="CL1" s="1912">
        <f>CL118</f>
        <v>0</v>
      </c>
      <c r="CM1" s="1912">
        <f t="shared" ref="CM1:EU1" si="1">CM118</f>
        <v>0</v>
      </c>
      <c r="CN1" s="1912">
        <f t="shared" si="1"/>
        <v>0</v>
      </c>
      <c r="CO1" s="1912">
        <f t="shared" si="1"/>
        <v>0</v>
      </c>
      <c r="CP1" s="1912">
        <f t="shared" si="1"/>
        <v>0</v>
      </c>
      <c r="CQ1" s="1912">
        <f t="shared" si="1"/>
        <v>0</v>
      </c>
      <c r="CR1" s="1912">
        <f t="shared" si="1"/>
        <v>0</v>
      </c>
      <c r="CS1" s="1912">
        <f t="shared" si="1"/>
        <v>0</v>
      </c>
      <c r="CT1" s="1912">
        <f t="shared" si="1"/>
        <v>0</v>
      </c>
      <c r="CU1" s="1912">
        <f t="shared" si="1"/>
        <v>0</v>
      </c>
      <c r="CV1" s="1912">
        <f t="shared" si="1"/>
        <v>0</v>
      </c>
      <c r="CW1" s="1912">
        <f t="shared" si="1"/>
        <v>0</v>
      </c>
      <c r="CX1" s="1912"/>
      <c r="CY1" s="1912"/>
      <c r="CZ1" s="1912"/>
      <c r="DA1" s="1912"/>
      <c r="DB1" s="1912"/>
      <c r="DC1" s="1912"/>
      <c r="DD1" s="1912">
        <f t="shared" si="1"/>
        <v>0</v>
      </c>
      <c r="DE1" s="1912">
        <f t="shared" si="1"/>
        <v>0</v>
      </c>
      <c r="DF1" s="1912">
        <f t="shared" si="1"/>
        <v>0</v>
      </c>
      <c r="DG1" s="1912">
        <f t="shared" si="1"/>
        <v>0</v>
      </c>
      <c r="DH1" s="1912">
        <f t="shared" si="1"/>
        <v>0</v>
      </c>
      <c r="DI1" s="1912">
        <f t="shared" si="1"/>
        <v>0</v>
      </c>
      <c r="DJ1" s="1912">
        <f t="shared" si="1"/>
        <v>0</v>
      </c>
      <c r="DK1" s="1912">
        <f t="shared" si="1"/>
        <v>0</v>
      </c>
      <c r="DL1" s="1912">
        <f t="shared" si="1"/>
        <v>0</v>
      </c>
      <c r="DM1" s="1912">
        <f t="shared" si="1"/>
        <v>0</v>
      </c>
      <c r="DN1" s="1912">
        <f t="shared" si="1"/>
        <v>0</v>
      </c>
      <c r="DO1" s="1912">
        <f t="shared" si="1"/>
        <v>0</v>
      </c>
      <c r="DP1" s="1912">
        <f t="shared" si="1"/>
        <v>0</v>
      </c>
      <c r="DQ1" s="1912">
        <f t="shared" si="1"/>
        <v>0</v>
      </c>
      <c r="DR1" s="1912">
        <f t="shared" si="1"/>
        <v>0</v>
      </c>
      <c r="DS1" s="1912">
        <f t="shared" si="1"/>
        <v>0</v>
      </c>
      <c r="DT1" s="1912">
        <f t="shared" si="1"/>
        <v>0</v>
      </c>
      <c r="DU1" s="1912">
        <f t="shared" si="1"/>
        <v>0</v>
      </c>
      <c r="DV1" s="1912">
        <f t="shared" si="1"/>
        <v>0</v>
      </c>
      <c r="DW1" s="1912">
        <f t="shared" si="1"/>
        <v>0</v>
      </c>
      <c r="DX1" s="1912">
        <f t="shared" si="1"/>
        <v>0</v>
      </c>
      <c r="DY1" s="1912">
        <f t="shared" si="1"/>
        <v>0</v>
      </c>
      <c r="DZ1" s="1912">
        <f t="shared" si="1"/>
        <v>0</v>
      </c>
      <c r="EA1" s="1912">
        <f t="shared" si="1"/>
        <v>0</v>
      </c>
      <c r="EB1" s="1912">
        <f t="shared" si="1"/>
        <v>0</v>
      </c>
      <c r="EC1" s="1912">
        <f t="shared" si="1"/>
        <v>0</v>
      </c>
      <c r="ED1" s="1912">
        <f t="shared" si="1"/>
        <v>0</v>
      </c>
      <c r="EE1" s="1912">
        <f t="shared" si="1"/>
        <v>0</v>
      </c>
      <c r="EF1" s="1912">
        <f t="shared" si="1"/>
        <v>0</v>
      </c>
      <c r="EG1" s="1912">
        <f t="shared" si="1"/>
        <v>0</v>
      </c>
      <c r="EH1" s="1912">
        <f t="shared" si="1"/>
        <v>0</v>
      </c>
      <c r="EI1" s="1912">
        <f t="shared" si="1"/>
        <v>0</v>
      </c>
      <c r="EJ1" s="1912">
        <f t="shared" si="1"/>
        <v>0</v>
      </c>
      <c r="EK1" s="1912">
        <f t="shared" si="1"/>
        <v>0</v>
      </c>
      <c r="EL1" s="1912">
        <f t="shared" si="1"/>
        <v>0</v>
      </c>
      <c r="EM1" s="1912">
        <f t="shared" si="1"/>
        <v>0</v>
      </c>
      <c r="EN1" s="1912">
        <f t="shared" si="1"/>
        <v>0</v>
      </c>
      <c r="EO1" s="1912">
        <f t="shared" si="1"/>
        <v>0</v>
      </c>
      <c r="EP1" s="1912">
        <f t="shared" si="1"/>
        <v>0</v>
      </c>
      <c r="EQ1" s="1912">
        <f t="shared" si="1"/>
        <v>0</v>
      </c>
      <c r="ER1" s="1912">
        <f t="shared" si="1"/>
        <v>0</v>
      </c>
      <c r="ES1" s="1912">
        <f t="shared" si="1"/>
        <v>0</v>
      </c>
      <c r="ET1" s="1912">
        <f t="shared" si="1"/>
        <v>0</v>
      </c>
      <c r="EU1" s="1912">
        <f t="shared" si="1"/>
        <v>0</v>
      </c>
      <c r="EV1" s="185"/>
      <c r="EW1"/>
      <c r="EX1"/>
      <c r="EY1"/>
      <c r="EZ1"/>
      <c r="FA1"/>
      <c r="FB1"/>
      <c r="FG1" s="185"/>
      <c r="FH1" s="185"/>
      <c r="FI1" s="134"/>
      <c r="FJ1" s="134"/>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row>
    <row r="2" spans="1:260" s="3" customFormat="1" ht="12.75" x14ac:dyDescent="0.2">
      <c r="A2" s="2" t="s">
        <v>591</v>
      </c>
      <c r="R2" s="68"/>
      <c r="S2" s="68"/>
      <c r="T2" s="68"/>
      <c r="U2" s="68"/>
      <c r="V2" s="68"/>
      <c r="W2" s="68"/>
      <c r="X2" s="68"/>
      <c r="Y2" s="68"/>
      <c r="Z2" s="68"/>
      <c r="AA2" s="68"/>
      <c r="AB2" s="68"/>
      <c r="AC2" s="68"/>
      <c r="AD2" s="68"/>
      <c r="AE2" s="68"/>
      <c r="AF2" s="68"/>
      <c r="AG2" s="68"/>
      <c r="AH2" s="68"/>
      <c r="AI2" s="68"/>
      <c r="AJ2" s="68"/>
      <c r="AK2" s="68"/>
      <c r="AL2" s="68"/>
      <c r="AM2" s="68"/>
      <c r="AN2" s="68"/>
      <c r="AO2" s="68"/>
      <c r="AP2" s="1085"/>
      <c r="AQ2" s="68"/>
      <c r="AR2" s="68"/>
      <c r="AT2" s="81"/>
      <c r="AX2" s="93"/>
      <c r="AZ2" s="7"/>
      <c r="BA2" s="1303"/>
      <c r="BF2" s="7"/>
      <c r="BG2" s="7"/>
      <c r="BH2" s="7"/>
      <c r="BI2" s="7"/>
      <c r="BJ2" s="5"/>
      <c r="BK2" s="1086"/>
      <c r="BL2" s="5"/>
      <c r="BM2" s="5"/>
      <c r="BN2" s="7"/>
      <c r="BO2" s="7"/>
      <c r="BP2" s="7"/>
      <c r="BQ2" s="7"/>
      <c r="BR2" s="82"/>
      <c r="BS2" s="82"/>
      <c r="BT2" s="82"/>
      <c r="BU2" s="82"/>
      <c r="BV2" s="82"/>
      <c r="BW2" s="82"/>
      <c r="BX2" s="82"/>
      <c r="BY2" s="82"/>
      <c r="BZ2" s="82"/>
      <c r="CA2" s="82"/>
      <c r="CB2" s="82"/>
      <c r="CC2" s="82"/>
      <c r="CD2" s="82"/>
      <c r="CE2" s="82"/>
      <c r="CF2" s="82"/>
      <c r="CG2" s="82"/>
      <c r="CH2" s="82"/>
      <c r="CI2" s="82"/>
      <c r="CJ2" s="82"/>
      <c r="CK2" s="82"/>
      <c r="CL2" s="82"/>
      <c r="CM2" s="82"/>
      <c r="CN2" s="82"/>
      <c r="CO2" s="82"/>
      <c r="CP2" s="82"/>
      <c r="CQ2" s="82"/>
      <c r="CR2" s="82"/>
      <c r="CS2" s="82"/>
      <c r="CT2" s="82"/>
      <c r="CU2" s="82"/>
      <c r="CV2" s="82"/>
      <c r="CW2" s="82"/>
      <c r="CX2" s="82"/>
      <c r="CY2" s="82"/>
      <c r="CZ2" s="82"/>
      <c r="DA2" s="82"/>
      <c r="DB2" s="82"/>
      <c r="DC2" s="82"/>
      <c r="DW2" s="5"/>
      <c r="DY2" s="7"/>
      <c r="DZ2" s="5"/>
      <c r="EB2" s="82"/>
      <c r="EC2" s="82"/>
      <c r="ED2" s="82"/>
      <c r="EE2" s="82"/>
      <c r="EF2" s="82"/>
      <c r="EG2" s="82"/>
      <c r="EH2" s="82"/>
      <c r="EI2" s="82"/>
      <c r="EJ2" s="82"/>
      <c r="EK2" s="82"/>
      <c r="EL2" s="82"/>
      <c r="EM2" s="82"/>
      <c r="EN2" s="82"/>
      <c r="EO2" s="82"/>
      <c r="EP2" s="82"/>
      <c r="EQ2" s="82"/>
      <c r="ER2" s="82"/>
      <c r="ES2" s="82"/>
      <c r="ET2" s="82"/>
      <c r="EU2" s="82"/>
      <c r="EV2" s="82"/>
      <c r="EW2"/>
      <c r="EX2"/>
      <c r="EY2"/>
      <c r="EZ2"/>
      <c r="FA2"/>
      <c r="FB2"/>
      <c r="FG2" s="82"/>
      <c r="FH2" s="82"/>
      <c r="FI2" s="134"/>
      <c r="FJ2" s="134"/>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row>
    <row r="3" spans="1:260" s="3" customFormat="1" x14ac:dyDescent="0.2">
      <c r="A3" s="1087"/>
      <c r="B3" s="349"/>
      <c r="F3" s="349"/>
      <c r="AZ3" s="7"/>
      <c r="BA3" s="1303"/>
      <c r="BF3" s="7"/>
      <c r="BG3" s="7"/>
      <c r="BH3" s="7"/>
      <c r="BI3" s="7"/>
      <c r="BN3" s="7"/>
      <c r="BO3" s="7"/>
      <c r="BP3" s="7"/>
      <c r="BQ3" s="7"/>
      <c r="DY3" s="7"/>
      <c r="EE3" s="7"/>
      <c r="EF3" s="7"/>
      <c r="EJ3" s="7"/>
      <c r="EK3" s="7"/>
      <c r="EL3" s="7"/>
      <c r="EM3" s="1435"/>
      <c r="EN3" s="7"/>
      <c r="EO3" s="7"/>
      <c r="EP3" s="7"/>
      <c r="EQ3" s="7"/>
      <c r="ER3" s="7"/>
      <c r="ES3" s="7"/>
      <c r="ET3" s="7"/>
      <c r="EU3" s="7"/>
      <c r="EV3" s="7"/>
      <c r="EW3"/>
      <c r="EX3"/>
      <c r="EY3"/>
      <c r="EZ3"/>
      <c r="FA3"/>
      <c r="FB3"/>
      <c r="FG3" s="7"/>
      <c r="FH3" s="7"/>
      <c r="FI3" s="134"/>
      <c r="FJ3" s="134"/>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row>
    <row r="4" spans="1:260" s="4" customFormat="1" ht="11.25" customHeight="1" x14ac:dyDescent="0.2">
      <c r="A4" s="3" t="s">
        <v>288</v>
      </c>
      <c r="B4" s="31">
        <f>'Income Statement'!B5</f>
        <v>1993</v>
      </c>
      <c r="C4" s="32"/>
      <c r="D4" s="33"/>
      <c r="E4" s="32"/>
      <c r="F4" s="31">
        <f>'Income Statement'!F5</f>
        <v>1994</v>
      </c>
      <c r="G4" s="32"/>
      <c r="H4" s="33"/>
      <c r="I4" s="32"/>
      <c r="J4" s="31">
        <f>'Income Statement'!J5</f>
        <v>1995</v>
      </c>
      <c r="K4" s="32"/>
      <c r="L4" s="33"/>
      <c r="M4" s="32"/>
      <c r="N4" s="31">
        <f>'Income Statement'!N5</f>
        <v>1996</v>
      </c>
      <c r="O4" s="32"/>
      <c r="P4" s="33"/>
      <c r="Q4" s="32"/>
      <c r="R4" s="31">
        <f>'Income Statement'!R5</f>
        <v>1997</v>
      </c>
      <c r="S4" s="32"/>
      <c r="T4" s="33"/>
      <c r="U4" s="32"/>
      <c r="V4" s="31">
        <f>'Income Statement'!V5</f>
        <v>1998</v>
      </c>
      <c r="W4" s="32"/>
      <c r="X4" s="33"/>
      <c r="Y4" s="32"/>
      <c r="Z4" s="31">
        <f>'Income Statement'!Z5</f>
        <v>1999</v>
      </c>
      <c r="AA4" s="32"/>
      <c r="AB4" s="33"/>
      <c r="AC4" s="32"/>
      <c r="AD4" s="31">
        <f>'Income Statement'!AD5</f>
        <v>2000</v>
      </c>
      <c r="AE4" s="32"/>
      <c r="AF4" s="33"/>
      <c r="AG4" s="32"/>
      <c r="AH4" s="31">
        <f>'Income Statement'!AH5</f>
        <v>2001</v>
      </c>
      <c r="AI4" s="32"/>
      <c r="AJ4" s="33"/>
      <c r="AK4" s="32"/>
      <c r="AL4" s="31">
        <f>'Income Statement'!AL5</f>
        <v>2002</v>
      </c>
      <c r="AM4" s="32"/>
      <c r="AN4" s="33"/>
      <c r="AO4" s="32"/>
      <c r="AP4" s="31">
        <f>'Income Statement'!AP5</f>
        <v>2003</v>
      </c>
      <c r="AQ4" s="32"/>
      <c r="AR4" s="32"/>
      <c r="AS4" s="32"/>
      <c r="AT4" s="31">
        <f>'Income Statement'!AT5</f>
        <v>2004</v>
      </c>
      <c r="AU4" s="32"/>
      <c r="AV4" s="32"/>
      <c r="AW4" s="32"/>
      <c r="AX4" s="31">
        <f>'Income Statement'!AX5</f>
        <v>2005</v>
      </c>
      <c r="AY4" s="32"/>
      <c r="AZ4" s="32"/>
      <c r="BA4" s="284"/>
      <c r="BB4" s="31">
        <f>'Income Statement'!BB5</f>
        <v>2006</v>
      </c>
      <c r="BC4" s="31"/>
      <c r="BD4" s="32"/>
      <c r="BE4" s="32"/>
      <c r="BF4" s="31">
        <f>'Income Statement'!BF5</f>
        <v>2007</v>
      </c>
      <c r="BG4" s="31"/>
      <c r="BH4" s="32"/>
      <c r="BI4" s="32"/>
      <c r="BJ4" s="31">
        <f>'Income Statement'!BJ5</f>
        <v>2008</v>
      </c>
      <c r="BK4" s="31"/>
      <c r="BL4" s="32"/>
      <c r="BM4" s="32"/>
      <c r="BN4" s="31">
        <f>'Income Statement'!BN5</f>
        <v>2009</v>
      </c>
      <c r="BO4" s="31"/>
      <c r="BP4" s="32"/>
      <c r="BQ4" s="32"/>
      <c r="BR4" s="31">
        <f>'Income Statement'!BR5</f>
        <v>2010</v>
      </c>
      <c r="BS4" s="31"/>
      <c r="BT4" s="32"/>
      <c r="BU4" s="32"/>
      <c r="BV4" s="31">
        <f>'Income Statement'!BV5</f>
        <v>2011</v>
      </c>
      <c r="BW4" s="31"/>
      <c r="BX4" s="32"/>
      <c r="BY4" s="32"/>
      <c r="BZ4" s="31">
        <f>'Income Statement'!CH5</f>
        <v>2012</v>
      </c>
      <c r="CA4" s="31"/>
      <c r="CB4" s="32"/>
      <c r="CC4" s="32"/>
      <c r="CD4" s="31">
        <f>'Income Statement'!CP5</f>
        <v>2013</v>
      </c>
      <c r="CE4" s="31"/>
      <c r="CF4" s="32"/>
      <c r="CG4" s="32"/>
      <c r="CH4" s="31">
        <f>'Income Statement'!CT5</f>
        <v>2014</v>
      </c>
      <c r="CI4" s="31"/>
      <c r="CJ4" s="32"/>
      <c r="CK4" s="32"/>
      <c r="CL4" s="31">
        <f>'Income Statement'!CX5</f>
        <v>2015</v>
      </c>
      <c r="CM4" s="1159"/>
      <c r="CN4" s="1159"/>
      <c r="CO4" s="1159"/>
      <c r="CP4" s="31">
        <f>'Income Statement'!DB5</f>
        <v>2016</v>
      </c>
      <c r="CQ4" s="2716"/>
      <c r="CR4" s="1159"/>
      <c r="CS4" s="1159"/>
      <c r="CT4" s="31">
        <v>2017</v>
      </c>
      <c r="CU4" s="2716"/>
      <c r="CV4" s="1159"/>
      <c r="CW4" s="1159"/>
      <c r="CX4" s="1159" t="s">
        <v>745</v>
      </c>
      <c r="CY4" s="2716"/>
      <c r="CZ4" s="1159"/>
      <c r="DA4" s="1159"/>
      <c r="DY4" s="6"/>
      <c r="EE4" s="6"/>
      <c r="EF4" s="6"/>
      <c r="EJ4" s="6"/>
      <c r="EK4" s="6"/>
      <c r="EL4" s="6"/>
      <c r="EM4" s="51"/>
      <c r="EN4" s="6"/>
      <c r="EO4" s="6"/>
      <c r="EP4" s="6"/>
      <c r="EQ4" s="6"/>
      <c r="ER4" s="6"/>
      <c r="ES4" s="6"/>
      <c r="ET4" s="6"/>
      <c r="EU4" s="6"/>
      <c r="EV4" s="6"/>
      <c r="EW4"/>
      <c r="EX4"/>
      <c r="EY4"/>
      <c r="EZ4"/>
      <c r="FA4"/>
      <c r="FB4"/>
      <c r="FG4" s="7"/>
      <c r="FH4" s="7"/>
      <c r="FI4" s="134"/>
      <c r="FJ4" s="13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row>
    <row r="5" spans="1:260" s="1214" customFormat="1" ht="11.25" customHeight="1" x14ac:dyDescent="0.2">
      <c r="A5" s="1304" t="s">
        <v>132</v>
      </c>
      <c r="B5" s="331" t="str">
        <f>'Income Statement'!B6</f>
        <v>1Q93</v>
      </c>
      <c r="C5" s="331" t="str">
        <f>'Income Statement'!C6</f>
        <v>2Q93</v>
      </c>
      <c r="D5" s="331" t="str">
        <f>'Income Statement'!D6</f>
        <v>3Q93</v>
      </c>
      <c r="E5" s="603" t="str">
        <f>'Income Statement'!E6</f>
        <v>4Q93</v>
      </c>
      <c r="F5" s="331" t="str">
        <f>'Income Statement'!F6</f>
        <v>1Q94</v>
      </c>
      <c r="G5" s="331" t="str">
        <f>'Income Statement'!G6</f>
        <v>2Q94</v>
      </c>
      <c r="H5" s="331" t="str">
        <f>'Income Statement'!H6</f>
        <v>3Q94</v>
      </c>
      <c r="I5" s="603" t="str">
        <f>'Income Statement'!I6</f>
        <v>4Q94</v>
      </c>
      <c r="J5" s="331" t="str">
        <f>'Income Statement'!J6</f>
        <v>1Q95</v>
      </c>
      <c r="K5" s="331" t="str">
        <f>'Income Statement'!K6</f>
        <v>2Q95</v>
      </c>
      <c r="L5" s="331" t="str">
        <f>'Income Statement'!L6</f>
        <v>3Q95</v>
      </c>
      <c r="M5" s="603" t="str">
        <f>'Income Statement'!M6</f>
        <v>4Q95</v>
      </c>
      <c r="N5" s="331" t="str">
        <f>'Income Statement'!N6</f>
        <v>1Q96</v>
      </c>
      <c r="O5" s="331" t="str">
        <f>'Income Statement'!O6</f>
        <v>2Q96</v>
      </c>
      <c r="P5" s="331" t="str">
        <f>'Income Statement'!P6</f>
        <v>3Q96</v>
      </c>
      <c r="Q5" s="603" t="str">
        <f>'Income Statement'!Q6</f>
        <v>4Q96</v>
      </c>
      <c r="R5" s="331" t="str">
        <f>'Income Statement'!R6</f>
        <v>1Q97</v>
      </c>
      <c r="S5" s="331" t="str">
        <f>'Income Statement'!S6</f>
        <v>2Q97</v>
      </c>
      <c r="T5" s="331" t="str">
        <f>'Income Statement'!T6</f>
        <v>3Q97</v>
      </c>
      <c r="U5" s="603" t="str">
        <f>'Income Statement'!U6</f>
        <v>4Q97</v>
      </c>
      <c r="V5" s="331" t="str">
        <f>'Income Statement'!V6</f>
        <v>1Q98</v>
      </c>
      <c r="W5" s="331" t="str">
        <f>'Income Statement'!W6</f>
        <v>2Q98</v>
      </c>
      <c r="X5" s="331" t="str">
        <f>'Income Statement'!X6</f>
        <v>3Q98</v>
      </c>
      <c r="Y5" s="603" t="str">
        <f>'Income Statement'!Y6</f>
        <v>4Q98</v>
      </c>
      <c r="Z5" s="331" t="str">
        <f>'Income Statement'!Z6</f>
        <v>1Q99</v>
      </c>
      <c r="AA5" s="331" t="str">
        <f>'Income Statement'!AA6</f>
        <v>2Q99</v>
      </c>
      <c r="AB5" s="331" t="str">
        <f>'Income Statement'!AB6</f>
        <v>3Q99</v>
      </c>
      <c r="AC5" s="603" t="str">
        <f>'Income Statement'!AC6</f>
        <v>4Q99</v>
      </c>
      <c r="AD5" s="331" t="str">
        <f>'Income Statement'!AD6</f>
        <v>1Q00</v>
      </c>
      <c r="AE5" s="331" t="str">
        <f>'Income Statement'!AE6</f>
        <v>2Q00</v>
      </c>
      <c r="AF5" s="331" t="str">
        <f>'Income Statement'!AF6</f>
        <v>3Q00</v>
      </c>
      <c r="AG5" s="603" t="str">
        <f>'Income Statement'!AG6</f>
        <v>4Q00</v>
      </c>
      <c r="AH5" s="331" t="str">
        <f>'Income Statement'!AH6</f>
        <v>1Q01</v>
      </c>
      <c r="AI5" s="331" t="str">
        <f>'Income Statement'!AI6</f>
        <v>2Q01</v>
      </c>
      <c r="AJ5" s="331" t="str">
        <f>'Income Statement'!AJ6</f>
        <v>3Q01</v>
      </c>
      <c r="AK5" s="603" t="str">
        <f>'Income Statement'!AK6</f>
        <v>4Q01</v>
      </c>
      <c r="AL5" s="331" t="str">
        <f>'Income Statement'!AL6</f>
        <v>1Q02</v>
      </c>
      <c r="AM5" s="331" t="str">
        <f>'Income Statement'!AM6</f>
        <v>2Q02</v>
      </c>
      <c r="AN5" s="331" t="str">
        <f>'Income Statement'!AN6</f>
        <v>3Q02</v>
      </c>
      <c r="AO5" s="603" t="str">
        <f>'Income Statement'!AO6</f>
        <v>4Q02</v>
      </c>
      <c r="AP5" s="331" t="str">
        <f>'Income Statement'!AP6</f>
        <v>1Q03</v>
      </c>
      <c r="AQ5" s="331" t="str">
        <f>'Income Statement'!AQ6</f>
        <v>2Q03</v>
      </c>
      <c r="AR5" s="331" t="str">
        <f>'Income Statement'!AR6</f>
        <v>3Q03</v>
      </c>
      <c r="AS5" s="603" t="str">
        <f>'Income Statement'!AS6</f>
        <v>4Q03</v>
      </c>
      <c r="AT5" s="331" t="str">
        <f>'Income Statement'!AT6</f>
        <v>1Q04</v>
      </c>
      <c r="AU5" s="331" t="str">
        <f>'Income Statement'!AU6</f>
        <v>2Q04</v>
      </c>
      <c r="AV5" s="331" t="str">
        <f>'Income Statement'!AV6</f>
        <v>3Q04</v>
      </c>
      <c r="AW5" s="603" t="str">
        <f>'Income Statement'!AW6</f>
        <v>4Q04</v>
      </c>
      <c r="AX5" s="331" t="str">
        <f>'Income Statement'!AX6</f>
        <v>1Q05</v>
      </c>
      <c r="AY5" s="331" t="str">
        <f>'Income Statement'!AY6</f>
        <v>2Q05</v>
      </c>
      <c r="AZ5" s="331" t="str">
        <f>'Income Statement'!AZ6</f>
        <v>3Q05</v>
      </c>
      <c r="BA5" s="603" t="str">
        <f>'Income Statement'!BA6</f>
        <v>4Q05</v>
      </c>
      <c r="BB5" s="331" t="str">
        <f>'Income Statement'!BB6</f>
        <v>1Q06</v>
      </c>
      <c r="BC5" s="331" t="str">
        <f>'Income Statement'!BC6</f>
        <v>2Q06</v>
      </c>
      <c r="BD5" s="331" t="str">
        <f>'Income Statement'!BD6</f>
        <v>3Q06</v>
      </c>
      <c r="BE5" s="603" t="str">
        <f>'Income Statement'!BE6</f>
        <v>4Q06</v>
      </c>
      <c r="BF5" s="331" t="str">
        <f>'Income Statement'!BF6</f>
        <v>1Q07</v>
      </c>
      <c r="BG5" s="331" t="str">
        <f>'Income Statement'!BG6</f>
        <v>2Q07</v>
      </c>
      <c r="BH5" s="331" t="str">
        <f>'Income Statement'!BH6</f>
        <v>3Q07</v>
      </c>
      <c r="BI5" s="603" t="str">
        <f>'Income Statement'!BI6</f>
        <v>4Q07</v>
      </c>
      <c r="BJ5" s="331" t="str">
        <f>'Income Statement'!BJ6</f>
        <v>1Q08</v>
      </c>
      <c r="BK5" s="331" t="str">
        <f>'Income Statement'!BK6</f>
        <v>2Q08</v>
      </c>
      <c r="BL5" s="331" t="str">
        <f>'Income Statement'!BL6</f>
        <v>3Q08</v>
      </c>
      <c r="BM5" s="603" t="str">
        <f>'Income Statement'!BM6</f>
        <v>4Q08</v>
      </c>
      <c r="BN5" s="331" t="str">
        <f>'Income Statement'!BN6</f>
        <v>1Q09</v>
      </c>
      <c r="BO5" s="331" t="str">
        <f>'Income Statement'!BO6</f>
        <v>2Q09</v>
      </c>
      <c r="BP5" s="331" t="str">
        <f>'Income Statement'!BP6</f>
        <v>3Q09</v>
      </c>
      <c r="BQ5" s="603" t="str">
        <f>'Income Statement'!BQ6</f>
        <v>4Q09</v>
      </c>
      <c r="BR5" s="331" t="str">
        <f>'Income Statement'!BR6</f>
        <v>1Q10</v>
      </c>
      <c r="BS5" s="331" t="str">
        <f>'Income Statement'!BS6</f>
        <v>2Q10</v>
      </c>
      <c r="BT5" s="331" t="str">
        <f>'Income Statement'!BT6</f>
        <v>3Q10</v>
      </c>
      <c r="BU5" s="603" t="str">
        <f>'Income Statement'!BU6</f>
        <v>4Q10</v>
      </c>
      <c r="BV5" s="331" t="str">
        <f>'Income Statement'!BV6</f>
        <v>1Q11</v>
      </c>
      <c r="BW5" s="331" t="str">
        <f>'Income Statement'!BW6</f>
        <v>2Q11</v>
      </c>
      <c r="BX5" s="331" t="str">
        <f>'Income Statement'!BX6</f>
        <v>3Q11</v>
      </c>
      <c r="BY5" s="603" t="str">
        <f>'Income Statement'!BY6</f>
        <v>4Q11</v>
      </c>
      <c r="BZ5" s="331" t="str">
        <f>'Income Statement'!CH6</f>
        <v>1Q12</v>
      </c>
      <c r="CA5" s="331" t="str">
        <f>'Income Statement'!CI6</f>
        <v>2Q12</v>
      </c>
      <c r="CB5" s="331" t="str">
        <f>'Income Statement'!CJ6</f>
        <v>3Q12</v>
      </c>
      <c r="CC5" s="603" t="str">
        <f>'Income Statement'!CK6</f>
        <v>4Q12</v>
      </c>
      <c r="CD5" s="1141" t="str">
        <f>'Income Statement'!CP6</f>
        <v>1Q13</v>
      </c>
      <c r="CE5" s="946" t="str">
        <f>'Income Statement'!CQ6</f>
        <v>2Q13</v>
      </c>
      <c r="CF5" s="946" t="str">
        <f>'Income Statement'!CR6</f>
        <v>3Q13</v>
      </c>
      <c r="CG5" s="696" t="str">
        <f>'Income Statement'!CS6</f>
        <v>4Q13</v>
      </c>
      <c r="CH5" s="1141" t="str">
        <f>'Income Statement'!CT6</f>
        <v>1Q14</v>
      </c>
      <c r="CI5" s="1152" t="str">
        <f>'Income Statement'!CU6</f>
        <v>2Q14</v>
      </c>
      <c r="CJ5" s="1152" t="str">
        <f>'Income Statement'!CV6</f>
        <v>3Q14</v>
      </c>
      <c r="CK5" s="1152" t="str">
        <f>'Income Statement'!CW6</f>
        <v>4Q14</v>
      </c>
      <c r="CL5" s="1152" t="str">
        <f>'Income Statement'!CX6</f>
        <v>1Q15</v>
      </c>
      <c r="CM5" s="1152" t="str">
        <f>'Income Statement'!CY6</f>
        <v>2Q15</v>
      </c>
      <c r="CN5" s="1152" t="str">
        <f>'Income Statement'!CZ6</f>
        <v>3Q15</v>
      </c>
      <c r="CO5" s="1278" t="str">
        <f>'Income Statement'!DA6</f>
        <v>4Q15</v>
      </c>
      <c r="CP5" s="1152" t="str">
        <f>'Income Statement'!DB6</f>
        <v>1Q16</v>
      </c>
      <c r="CQ5" s="1152" t="str">
        <f>'Income Statement'!DC6</f>
        <v>2Q16</v>
      </c>
      <c r="CR5" s="1152" t="str">
        <f>'Income Statement'!DD6</f>
        <v>3Q16</v>
      </c>
      <c r="CS5" s="1278" t="str">
        <f>'Income Statement'!DE6</f>
        <v>4Q16</v>
      </c>
      <c r="CT5" s="1152" t="str">
        <f>'Income Statement'!DF6</f>
        <v>1Q17</v>
      </c>
      <c r="CU5" s="1152" t="str">
        <f>'Income Statement'!DG6</f>
        <v>2Q17</v>
      </c>
      <c r="CV5" s="1152" t="str">
        <f>'Income Statement'!DH6</f>
        <v>3Q17</v>
      </c>
      <c r="CW5" s="1278" t="str">
        <f>'Income Statement'!DI6</f>
        <v>4Q17</v>
      </c>
      <c r="CX5" s="2789" t="str">
        <f>'Income Statement'!DJ6</f>
        <v>1Q18E</v>
      </c>
      <c r="CY5" s="2607" t="str">
        <f>'Income Statement'!DK6</f>
        <v>2Q18E</v>
      </c>
      <c r="CZ5" s="2607" t="str">
        <f>'Income Statement'!DL6</f>
        <v>3Q18E</v>
      </c>
      <c r="DA5" s="1279" t="str">
        <f>'Income Statement'!DM6</f>
        <v>4Q18E</v>
      </c>
      <c r="DB5" s="331"/>
      <c r="DC5" s="1854"/>
      <c r="DD5" s="930">
        <v>1985</v>
      </c>
      <c r="DE5" s="930">
        <v>1986</v>
      </c>
      <c r="DF5" s="930">
        <v>1987</v>
      </c>
      <c r="DG5" s="930">
        <v>1988</v>
      </c>
      <c r="DH5" s="930">
        <v>1989</v>
      </c>
      <c r="DI5" s="930" t="s">
        <v>103</v>
      </c>
      <c r="DJ5" s="930" t="s">
        <v>104</v>
      </c>
      <c r="DK5" s="930">
        <v>1992</v>
      </c>
      <c r="DL5" s="930">
        <v>1993</v>
      </c>
      <c r="DM5" s="930">
        <f>'Income Statement'!DY6</f>
        <v>1994</v>
      </c>
      <c r="DN5" s="930">
        <f>'Income Statement'!DZ6</f>
        <v>1995</v>
      </c>
      <c r="DO5" s="930">
        <f>'Income Statement'!EA6</f>
        <v>1996</v>
      </c>
      <c r="DP5" s="930">
        <f>'Income Statement'!EB6</f>
        <v>1997</v>
      </c>
      <c r="DQ5" s="930">
        <f>'Income Statement'!EC6</f>
        <v>1998</v>
      </c>
      <c r="DR5" s="930">
        <f>'Income Statement'!ED6</f>
        <v>1999</v>
      </c>
      <c r="DS5" s="930">
        <f>'Income Statement'!EE6</f>
        <v>2000</v>
      </c>
      <c r="DT5" s="930">
        <f>'Income Statement'!EF6</f>
        <v>2001</v>
      </c>
      <c r="DU5" s="930">
        <f>'Income Statement'!EG6</f>
        <v>2002</v>
      </c>
      <c r="DV5" s="930">
        <f>'Income Statement'!EH6</f>
        <v>2003</v>
      </c>
      <c r="DW5" s="930">
        <f>'Income Statement'!EI6</f>
        <v>2004</v>
      </c>
      <c r="DX5" s="930">
        <f>'Income Statement'!EJ6</f>
        <v>2005</v>
      </c>
      <c r="DY5" s="930">
        <f>'Income Statement'!EK6</f>
        <v>2006</v>
      </c>
      <c r="DZ5" s="930">
        <f>'Income Statement'!EL6</f>
        <v>2007</v>
      </c>
      <c r="EA5" s="930">
        <f>'Income Statement'!EM6</f>
        <v>2008</v>
      </c>
      <c r="EB5" s="930">
        <f>'Income Statement'!EN6</f>
        <v>2009</v>
      </c>
      <c r="EC5" s="930">
        <f>'Income Statement'!EO6</f>
        <v>2010</v>
      </c>
      <c r="ED5" s="930">
        <f>'Income Statement'!EP6</f>
        <v>2011</v>
      </c>
      <c r="EE5" s="930" t="s">
        <v>357</v>
      </c>
      <c r="EF5" s="1107" t="s">
        <v>358</v>
      </c>
      <c r="EG5" s="1108">
        <f>'Income Statement'!ES6</f>
        <v>2012</v>
      </c>
      <c r="EH5" s="1108">
        <f>'Income Statement'!EU6</f>
        <v>2013</v>
      </c>
      <c r="EI5" s="1108">
        <f>'Income Statement'!EV6</f>
        <v>2014</v>
      </c>
      <c r="EJ5" s="1108">
        <f>'Income Statement'!EW6</f>
        <v>2015</v>
      </c>
      <c r="EK5" s="1108">
        <f>'Income Statement'!EX6</f>
        <v>2016</v>
      </c>
      <c r="EL5" s="1108">
        <f>'Income Statement'!EY6</f>
        <v>2017</v>
      </c>
      <c r="EM5" s="1677">
        <f>'Income Statement'!EZ6</f>
        <v>2018</v>
      </c>
      <c r="EN5" s="1109">
        <f>'Income Statement'!FA6</f>
        <v>2019</v>
      </c>
      <c r="EO5" s="1109">
        <f>'Income Statement'!FB6</f>
        <v>2020</v>
      </c>
      <c r="EP5" s="1109">
        <f>'Income Statement'!FC6</f>
        <v>2021</v>
      </c>
      <c r="EQ5" s="1109">
        <f>'Income Statement'!FD6</f>
        <v>2022</v>
      </c>
      <c r="ER5" s="1109">
        <f>'Income Statement'!FE6</f>
        <v>2023</v>
      </c>
      <c r="ES5" s="1109">
        <f>'Income Statement'!FF6</f>
        <v>2024</v>
      </c>
      <c r="ET5" s="1109">
        <f>'Income Statement'!FG6</f>
        <v>2025</v>
      </c>
      <c r="EU5" s="1109">
        <f>'Income Statement'!FH6</f>
        <v>2026</v>
      </c>
      <c r="EV5" s="1371"/>
      <c r="EW5"/>
      <c r="EX5"/>
      <c r="EY5"/>
      <c r="EZ5"/>
      <c r="FA5"/>
      <c r="FB5"/>
      <c r="FC5" s="4"/>
      <c r="FD5" s="4"/>
      <c r="FE5" s="4"/>
      <c r="FF5" s="4"/>
      <c r="FG5" s="1345"/>
      <c r="FH5" s="1345"/>
      <c r="FI5" s="134"/>
      <c r="FJ5" s="134"/>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row>
    <row r="6" spans="1:260" s="19" customFormat="1" x14ac:dyDescent="0.2">
      <c r="A6" s="115" t="s">
        <v>123</v>
      </c>
      <c r="B6" s="1305"/>
      <c r="C6" s="1305"/>
      <c r="D6" s="1305"/>
      <c r="E6" s="1306"/>
      <c r="F6" s="1305"/>
      <c r="G6" s="1305"/>
      <c r="H6" s="1305"/>
      <c r="I6" s="1306"/>
      <c r="J6" s="1305"/>
      <c r="K6" s="1305"/>
      <c r="L6" s="1305"/>
      <c r="M6" s="1306"/>
      <c r="N6" s="1305"/>
      <c r="O6" s="1305"/>
      <c r="P6" s="1305"/>
      <c r="Q6" s="1306"/>
      <c r="R6" s="1305"/>
      <c r="S6" s="1305"/>
      <c r="T6" s="1305"/>
      <c r="U6" s="1306"/>
      <c r="V6" s="1305"/>
      <c r="W6" s="1305"/>
      <c r="X6" s="1305"/>
      <c r="Y6" s="1306"/>
      <c r="Z6" s="1305"/>
      <c r="AA6" s="1305"/>
      <c r="AB6" s="1305"/>
      <c r="AC6" s="1306"/>
      <c r="AD6" s="1305"/>
      <c r="AE6" s="1305"/>
      <c r="AF6" s="1305"/>
      <c r="AG6" s="1306"/>
      <c r="AH6" s="1305"/>
      <c r="AI6" s="1305"/>
      <c r="AJ6" s="1305"/>
      <c r="AK6" s="1306"/>
      <c r="AL6" s="1305"/>
      <c r="AM6" s="1305"/>
      <c r="AN6" s="1305"/>
      <c r="AO6" s="1306"/>
      <c r="AP6" s="1305"/>
      <c r="AQ6" s="1305"/>
      <c r="AR6" s="1305"/>
      <c r="AS6" s="1306"/>
      <c r="AT6" s="1305"/>
      <c r="AU6" s="1305"/>
      <c r="AV6" s="1305"/>
      <c r="AW6" s="1306"/>
      <c r="AX6" s="1305"/>
      <c r="AY6" s="1305"/>
      <c r="AZ6" s="1307"/>
      <c r="BA6" s="1306"/>
      <c r="BB6" s="1305"/>
      <c r="BC6" s="1305"/>
      <c r="BD6" s="1305"/>
      <c r="BE6" s="1306"/>
      <c r="BF6" s="1307"/>
      <c r="BG6" s="1307"/>
      <c r="BH6" s="1307"/>
      <c r="BI6" s="1308"/>
      <c r="BJ6" s="1305"/>
      <c r="BK6" s="1305"/>
      <c r="BL6" s="1305"/>
      <c r="BM6" s="1306"/>
      <c r="BN6" s="1307"/>
      <c r="BO6" s="1307"/>
      <c r="BP6" s="1307"/>
      <c r="BQ6" s="1308"/>
      <c r="BR6" s="1305"/>
      <c r="BS6" s="1305"/>
      <c r="BT6" s="1305"/>
      <c r="BU6" s="1306"/>
      <c r="BV6" s="1305"/>
      <c r="BW6" s="1305"/>
      <c r="BX6" s="1305"/>
      <c r="BY6" s="1306"/>
      <c r="BZ6" s="1305"/>
      <c r="CA6" s="1305"/>
      <c r="CB6" s="1305"/>
      <c r="CC6" s="1306"/>
      <c r="CD6" s="1309"/>
      <c r="CE6" s="1310"/>
      <c r="CF6" s="1310"/>
      <c r="CG6" s="1308"/>
      <c r="CH6" s="1309"/>
      <c r="CI6" s="1310"/>
      <c r="CJ6" s="1310"/>
      <c r="CK6" s="1311"/>
      <c r="CL6" s="1310"/>
      <c r="CM6" s="1310"/>
      <c r="CN6" s="1310"/>
      <c r="CO6" s="1311"/>
      <c r="CP6" s="1310"/>
      <c r="CQ6" s="1310"/>
      <c r="CR6"/>
      <c r="CS6" s="491"/>
      <c r="CT6" s="1310"/>
      <c r="CU6" s="1310"/>
      <c r="CV6" s="1310"/>
      <c r="CW6" s="491"/>
      <c r="CX6" s="2790"/>
      <c r="CY6" s="1310"/>
      <c r="CZ6" s="1310"/>
      <c r="DA6" s="1310"/>
      <c r="DB6" s="1312"/>
      <c r="DC6" s="1306"/>
      <c r="DD6" s="1313"/>
      <c r="DE6" s="1313"/>
      <c r="DF6" s="1313"/>
      <c r="DG6" s="1313"/>
      <c r="DH6" s="1313"/>
      <c r="DI6" s="1313"/>
      <c r="DJ6" s="1313"/>
      <c r="DK6" s="1314"/>
      <c r="DL6" s="1305"/>
      <c r="DM6" s="1305"/>
      <c r="DN6" s="1305"/>
      <c r="DO6" s="1305"/>
      <c r="DP6" s="1305"/>
      <c r="DQ6" s="1305"/>
      <c r="DR6" s="1305"/>
      <c r="DS6" s="1305"/>
      <c r="DT6" s="1305"/>
      <c r="DU6" s="1305"/>
      <c r="DV6" s="1305"/>
      <c r="DW6" s="1305"/>
      <c r="DX6" s="1305"/>
      <c r="DY6" s="1307"/>
      <c r="DZ6" s="1305"/>
      <c r="EA6" s="1305"/>
      <c r="EB6" s="1305"/>
      <c r="EC6" s="1305"/>
      <c r="ED6" s="1305"/>
      <c r="EE6" s="1315"/>
      <c r="EF6" s="1316"/>
      <c r="EG6" s="1317"/>
      <c r="EH6" s="1317"/>
      <c r="EI6" s="1317"/>
      <c r="EJ6" s="1317"/>
      <c r="EK6" s="39"/>
      <c r="EL6" s="39"/>
      <c r="EM6" s="1567"/>
      <c r="EN6" s="1315"/>
      <c r="EO6" s="1315"/>
      <c r="EP6" s="1315"/>
      <c r="EQ6" s="1315"/>
      <c r="ER6" s="1315"/>
      <c r="ES6" s="1315"/>
      <c r="ET6" s="1315"/>
      <c r="EU6" s="1315"/>
      <c r="EV6" s="1309"/>
      <c r="EW6"/>
      <c r="EX6"/>
      <c r="EY6"/>
      <c r="EZ6"/>
      <c r="FA6"/>
      <c r="FB6"/>
      <c r="FC6" s="4"/>
      <c r="FD6" s="4"/>
      <c r="FE6" s="4"/>
      <c r="FF6" s="4"/>
      <c r="FG6"/>
      <c r="FH6" s="134"/>
      <c r="FI6" s="134"/>
      <c r="FJ6" s="134"/>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row>
    <row r="7" spans="1:260" s="231" customFormat="1" x14ac:dyDescent="0.2">
      <c r="A7" s="1188" t="s">
        <v>476</v>
      </c>
      <c r="B7" s="883">
        <v>95.450999999999993</v>
      </c>
      <c r="C7" s="883">
        <v>43.887999999999998</v>
      </c>
      <c r="D7" s="883">
        <v>74.977000000000004</v>
      </c>
      <c r="E7" s="1189">
        <v>59.872</v>
      </c>
      <c r="F7" s="883">
        <v>10.226000000000001</v>
      </c>
      <c r="G7" s="883">
        <v>47.427</v>
      </c>
      <c r="H7" s="883">
        <v>20.478000000000002</v>
      </c>
      <c r="I7" s="1189">
        <v>144.69999999999999</v>
      </c>
      <c r="J7" s="883">
        <v>51.668999999999997</v>
      </c>
      <c r="K7" s="883">
        <v>43.692999999999998</v>
      </c>
      <c r="L7" s="883">
        <v>107.041</v>
      </c>
      <c r="M7" s="1189">
        <v>86.444999999999993</v>
      </c>
      <c r="N7" s="883">
        <v>20.603999999999999</v>
      </c>
      <c r="O7" s="883">
        <v>30.67</v>
      </c>
      <c r="P7" s="883">
        <v>43.195</v>
      </c>
      <c r="Q7" s="1189">
        <v>89.808000000000007</v>
      </c>
      <c r="R7" s="883">
        <v>94.909000000000006</v>
      </c>
      <c r="S7" s="883">
        <v>101.35299999999999</v>
      </c>
      <c r="T7" s="883">
        <v>122.06</v>
      </c>
      <c r="U7" s="1189">
        <v>520.12699999999995</v>
      </c>
      <c r="V7" s="883">
        <v>397.298</v>
      </c>
      <c r="W7" s="883">
        <v>491.63200000000001</v>
      </c>
      <c r="X7" s="883">
        <v>409.37299999999999</v>
      </c>
      <c r="Y7" s="1189">
        <v>785.77700000000004</v>
      </c>
      <c r="Z7" s="883">
        <v>510.88299999999998</v>
      </c>
      <c r="AA7" s="883">
        <v>473.44400000000002</v>
      </c>
      <c r="AB7" s="883">
        <v>514.79700000000003</v>
      </c>
      <c r="AC7" s="1189">
        <v>750.72299999999996</v>
      </c>
      <c r="AD7" s="883">
        <v>765</v>
      </c>
      <c r="AE7" s="883">
        <v>845</v>
      </c>
      <c r="AF7" s="883">
        <v>729</v>
      </c>
      <c r="AG7" s="1189">
        <v>747</v>
      </c>
      <c r="AH7" s="883">
        <v>466</v>
      </c>
      <c r="AI7" s="883">
        <v>961</v>
      </c>
      <c r="AJ7" s="883">
        <v>843</v>
      </c>
      <c r="AK7" s="1189">
        <v>1861</v>
      </c>
      <c r="AL7" s="883">
        <v>1245</v>
      </c>
      <c r="AM7" s="883">
        <v>1114</v>
      </c>
      <c r="AN7" s="883">
        <v>1149</v>
      </c>
      <c r="AO7" s="1189">
        <v>1914</v>
      </c>
      <c r="AP7" s="883">
        <v>1466</v>
      </c>
      <c r="AQ7" s="883">
        <v>1734</v>
      </c>
      <c r="AR7" s="883">
        <v>1827</v>
      </c>
      <c r="AS7" s="1189">
        <v>245</v>
      </c>
      <c r="AT7" s="883">
        <v>250</v>
      </c>
      <c r="AU7" s="883">
        <f>656</f>
        <v>656</v>
      </c>
      <c r="AV7" s="883">
        <f>683</f>
        <v>683</v>
      </c>
      <c r="AW7" s="1189">
        <v>354</v>
      </c>
      <c r="AX7" s="883">
        <f>604</f>
        <v>604</v>
      </c>
      <c r="AY7" s="883">
        <v>798</v>
      </c>
      <c r="AZ7" s="883">
        <v>812</v>
      </c>
      <c r="BA7" s="1189">
        <v>748</v>
      </c>
      <c r="BB7" s="883">
        <v>772</v>
      </c>
      <c r="BC7" s="883">
        <v>1104</v>
      </c>
      <c r="BD7" s="883">
        <v>1202</v>
      </c>
      <c r="BE7" s="1189">
        <v>1205</v>
      </c>
      <c r="BF7" s="883">
        <v>1366</v>
      </c>
      <c r="BG7" s="883">
        <v>1390</v>
      </c>
      <c r="BH7" s="883">
        <v>1319</v>
      </c>
      <c r="BI7" s="1189">
        <v>1438</v>
      </c>
      <c r="BJ7" s="883">
        <v>1475</v>
      </c>
      <c r="BK7" s="883">
        <v>544</v>
      </c>
      <c r="BL7" s="883">
        <v>569</v>
      </c>
      <c r="BM7" s="1189">
        <v>498</v>
      </c>
      <c r="BN7" s="883">
        <v>535</v>
      </c>
      <c r="BO7" s="883">
        <v>668</v>
      </c>
      <c r="BP7" s="883">
        <v>564</v>
      </c>
      <c r="BQ7" s="1189">
        <v>1826</v>
      </c>
      <c r="BR7" s="883">
        <v>1239</v>
      </c>
      <c r="BS7" s="883">
        <v>843</v>
      </c>
      <c r="BT7" s="883">
        <v>925</v>
      </c>
      <c r="BU7" s="1189">
        <v>1103</v>
      </c>
      <c r="BV7" s="883">
        <v>2208</v>
      </c>
      <c r="BW7" s="883">
        <v>2040</v>
      </c>
      <c r="BX7" s="883">
        <v>2392</v>
      </c>
      <c r="BY7" s="1189">
        <v>1199</v>
      </c>
      <c r="BZ7" s="883">
        <v>1386</v>
      </c>
      <c r="CA7" s="883">
        <v>680</v>
      </c>
      <c r="CB7" s="883">
        <v>309</v>
      </c>
      <c r="CC7" s="1189">
        <v>1826</v>
      </c>
      <c r="CD7" s="1190">
        <v>908</v>
      </c>
      <c r="CE7" s="1191">
        <v>1910</v>
      </c>
      <c r="CF7" s="1191">
        <v>2170</v>
      </c>
      <c r="CG7" s="1189">
        <v>2678</v>
      </c>
      <c r="CH7" s="1190">
        <v>2569</v>
      </c>
      <c r="CI7" s="1191">
        <v>2141</v>
      </c>
      <c r="CJ7" s="1191">
        <v>1929</v>
      </c>
      <c r="CK7" s="1189">
        <v>2432</v>
      </c>
      <c r="CL7" s="1190">
        <v>2173</v>
      </c>
      <c r="CM7" s="1191">
        <v>1800</v>
      </c>
      <c r="CN7" s="1191">
        <v>1697</v>
      </c>
      <c r="CO7" s="1189">
        <v>1976</v>
      </c>
      <c r="CP7" s="1190">
        <v>1845</v>
      </c>
      <c r="CQ7" s="1191">
        <v>1861</v>
      </c>
      <c r="CR7" s="1191">
        <v>1341</v>
      </c>
      <c r="CS7" s="1189">
        <v>2240</v>
      </c>
      <c r="CT7" s="1191">
        <v>1651</v>
      </c>
      <c r="CU7" s="1191">
        <v>1365</v>
      </c>
      <c r="CV7" s="1191">
        <v>1103</v>
      </c>
      <c r="CW7" s="1189">
        <v>1101</v>
      </c>
      <c r="CX7" s="1709">
        <f>'Cash Flow'!CX64</f>
        <v>347.28180202288002</v>
      </c>
      <c r="CY7" s="1191">
        <f>'Cash Flow'!CY64</f>
        <v>120.0294453417786</v>
      </c>
      <c r="CZ7" s="1191">
        <f>'Cash Flow'!CZ64</f>
        <v>144.45918603967405</v>
      </c>
      <c r="DA7" s="1189">
        <f>'Cash Flow'!DA64</f>
        <v>420.24711423226324</v>
      </c>
      <c r="DB7" s="1190"/>
      <c r="DC7" s="1189"/>
      <c r="DD7" s="883">
        <v>0.13700000000000001</v>
      </c>
      <c r="DE7" s="883">
        <v>2.5569999999999999</v>
      </c>
      <c r="DF7" s="883">
        <v>0.63600000000000001</v>
      </c>
      <c r="DG7" s="883">
        <v>0.76900000000000002</v>
      </c>
      <c r="DH7" s="883">
        <v>23.829990000000002</v>
      </c>
      <c r="DI7" s="883">
        <v>27.062999999999999</v>
      </c>
      <c r="DJ7" s="883">
        <v>112.789</v>
      </c>
      <c r="DK7" s="883">
        <v>7.1379999999999999</v>
      </c>
      <c r="DL7" s="883">
        <f>+E7</f>
        <v>59.872</v>
      </c>
      <c r="DM7" s="883">
        <f>+I7</f>
        <v>144.69999999999999</v>
      </c>
      <c r="DN7" s="883">
        <f>+M7</f>
        <v>86.444999999999993</v>
      </c>
      <c r="DO7" s="883">
        <f>+Q7</f>
        <v>89.808000000000007</v>
      </c>
      <c r="DP7" s="883">
        <f>+U7</f>
        <v>520.12699999999995</v>
      </c>
      <c r="DQ7" s="883">
        <f>+Y7</f>
        <v>785.77700000000004</v>
      </c>
      <c r="DR7" s="883">
        <f>+AC7</f>
        <v>750.72299999999996</v>
      </c>
      <c r="DS7" s="883">
        <f>+AG7</f>
        <v>747</v>
      </c>
      <c r="DT7" s="883">
        <f>+AK7</f>
        <v>1861</v>
      </c>
      <c r="DU7" s="883">
        <f>+AO7</f>
        <v>1914</v>
      </c>
      <c r="DV7" s="883">
        <f t="shared" ref="DV7:DV12" si="2">+AS7</f>
        <v>245</v>
      </c>
      <c r="DW7" s="883">
        <f t="shared" ref="DW7:DW12" si="3">+AW7</f>
        <v>354</v>
      </c>
      <c r="DX7" s="883">
        <f t="shared" ref="DX7:DX12" si="4">+BA7</f>
        <v>748</v>
      </c>
      <c r="DY7" s="883">
        <f>BE7</f>
        <v>1205</v>
      </c>
      <c r="DZ7" s="883">
        <f>BI7</f>
        <v>1438</v>
      </c>
      <c r="EA7" s="883">
        <f>BM7</f>
        <v>498</v>
      </c>
      <c r="EB7" s="883">
        <f>BQ7</f>
        <v>1826</v>
      </c>
      <c r="EC7" s="883">
        <f>BU7</f>
        <v>1103</v>
      </c>
      <c r="ED7" s="883">
        <f>BY7</f>
        <v>1199</v>
      </c>
      <c r="EE7" s="883">
        <v>1338</v>
      </c>
      <c r="EF7" s="1190">
        <v>1401</v>
      </c>
      <c r="EG7" s="1191">
        <f>CC7</f>
        <v>1826</v>
      </c>
      <c r="EH7" s="1191">
        <f>CG7</f>
        <v>2678</v>
      </c>
      <c r="EI7" s="1191">
        <f>CK7</f>
        <v>2432</v>
      </c>
      <c r="EJ7" s="1191">
        <f>CO7</f>
        <v>1976</v>
      </c>
      <c r="EK7" s="1191">
        <f>CS7</f>
        <v>2240</v>
      </c>
      <c r="EL7" s="1191">
        <f>CW7</f>
        <v>1101</v>
      </c>
      <c r="EM7" s="1709">
        <f>DA7</f>
        <v>420.24711423226324</v>
      </c>
      <c r="EN7" s="1191">
        <f>'Cash Flow'!EN64</f>
        <v>366.44841623680668</v>
      </c>
      <c r="EO7" s="1191">
        <f>'Cash Flow'!EO64</f>
        <v>206.30428757250911</v>
      </c>
      <c r="EP7" s="1191">
        <f>'Cash Flow'!EP64</f>
        <v>443.20271161897335</v>
      </c>
      <c r="EQ7" s="1191">
        <f>'Cash Flow'!EQ64</f>
        <v>377.94777968659946</v>
      </c>
      <c r="ER7" s="1191">
        <f>'Cash Flow'!ER64</f>
        <v>271.77721207803825</v>
      </c>
      <c r="ES7" s="1191">
        <f>'Cash Flow'!ES64</f>
        <v>622.34481815382765</v>
      </c>
      <c r="ET7" s="1191">
        <f>'Cash Flow'!ET64</f>
        <v>424.82567103742963</v>
      </c>
      <c r="EU7" s="1189">
        <f>'Cash Flow'!EU64</f>
        <v>185.09119860167471</v>
      </c>
      <c r="EV7" s="1190"/>
      <c r="EW7"/>
      <c r="EX7"/>
      <c r="EY7"/>
      <c r="EZ7"/>
      <c r="FA7"/>
      <c r="FB7"/>
      <c r="FG7" s="1191"/>
      <c r="FH7" s="1191"/>
      <c r="FI7" s="1191"/>
      <c r="FJ7" s="1191"/>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row>
    <row r="8" spans="1:260" s="4" customFormat="1" x14ac:dyDescent="0.2">
      <c r="A8" s="598" t="s">
        <v>564</v>
      </c>
      <c r="B8" s="915"/>
      <c r="C8" s="915"/>
      <c r="D8" s="915"/>
      <c r="E8" s="916"/>
      <c r="F8" s="915"/>
      <c r="G8" s="915"/>
      <c r="H8" s="915"/>
      <c r="I8" s="916"/>
      <c r="J8" s="915"/>
      <c r="K8" s="915"/>
      <c r="L8" s="915"/>
      <c r="M8" s="916"/>
      <c r="N8" s="915"/>
      <c r="O8" s="915"/>
      <c r="P8" s="915"/>
      <c r="Q8" s="916"/>
      <c r="R8" s="915"/>
      <c r="S8" s="915"/>
      <c r="T8" s="915"/>
      <c r="U8" s="916"/>
      <c r="V8" s="915"/>
      <c r="W8" s="915"/>
      <c r="X8" s="915"/>
      <c r="Y8" s="916"/>
      <c r="Z8" s="915"/>
      <c r="AA8" s="915"/>
      <c r="AB8" s="915"/>
      <c r="AC8" s="916"/>
      <c r="AD8" s="915"/>
      <c r="AE8" s="915"/>
      <c r="AF8" s="915"/>
      <c r="AG8" s="916"/>
      <c r="AH8" s="915"/>
      <c r="AI8" s="915"/>
      <c r="AJ8" s="915"/>
      <c r="AK8" s="916"/>
      <c r="AL8" s="915"/>
      <c r="AM8" s="915"/>
      <c r="AN8" s="915"/>
      <c r="AO8" s="916"/>
      <c r="AP8" s="915"/>
      <c r="AQ8" s="915"/>
      <c r="AR8" s="915"/>
      <c r="AS8" s="916">
        <v>2355</v>
      </c>
      <c r="AT8" s="915">
        <v>1820</v>
      </c>
      <c r="AU8" s="915">
        <v>1313</v>
      </c>
      <c r="AV8" s="915">
        <v>1830</v>
      </c>
      <c r="AW8" s="916">
        <v>2994</v>
      </c>
      <c r="AX8" s="915">
        <v>2002</v>
      </c>
      <c r="AY8" s="915">
        <v>2027</v>
      </c>
      <c r="AZ8" s="915">
        <v>2285</v>
      </c>
      <c r="BA8" s="916">
        <v>3041</v>
      </c>
      <c r="BB8" s="915">
        <v>1554</v>
      </c>
      <c r="BC8" s="915">
        <v>1564</v>
      </c>
      <c r="BD8" s="915">
        <v>1513</v>
      </c>
      <c r="BE8" s="916">
        <v>2588</v>
      </c>
      <c r="BF8" s="915">
        <v>1436</v>
      </c>
      <c r="BG8" s="915">
        <v>121</v>
      </c>
      <c r="BH8" s="915">
        <v>295</v>
      </c>
      <c r="BI8" s="916">
        <v>64</v>
      </c>
      <c r="BJ8" s="915">
        <v>68</v>
      </c>
      <c r="BK8" s="915">
        <v>0</v>
      </c>
      <c r="BL8" s="915">
        <v>25</v>
      </c>
      <c r="BM8" s="916">
        <v>11</v>
      </c>
      <c r="BN8" s="915">
        <v>8</v>
      </c>
      <c r="BO8" s="915">
        <v>93</v>
      </c>
      <c r="BP8" s="915">
        <v>93</v>
      </c>
      <c r="BQ8" s="916">
        <v>90</v>
      </c>
      <c r="BR8" s="915">
        <v>205</v>
      </c>
      <c r="BS8" s="915">
        <v>2</v>
      </c>
      <c r="BT8" s="915">
        <v>2</v>
      </c>
      <c r="BU8" s="916">
        <v>22</v>
      </c>
      <c r="BV8" s="915">
        <v>20</v>
      </c>
      <c r="BW8" s="915">
        <v>80</v>
      </c>
      <c r="BX8" s="910">
        <v>0</v>
      </c>
      <c r="BY8" s="909">
        <v>0</v>
      </c>
      <c r="BZ8" s="910">
        <v>0</v>
      </c>
      <c r="CA8" s="910">
        <v>0</v>
      </c>
      <c r="CB8" s="910">
        <v>0</v>
      </c>
      <c r="CC8" s="909">
        <v>0</v>
      </c>
      <c r="CD8" s="917">
        <v>0</v>
      </c>
      <c r="CE8" s="910">
        <v>0</v>
      </c>
      <c r="CF8" s="910">
        <v>0</v>
      </c>
      <c r="CG8" s="909">
        <v>223</v>
      </c>
      <c r="CH8" s="1386">
        <v>497</v>
      </c>
      <c r="CI8" s="830">
        <v>939</v>
      </c>
      <c r="CJ8" s="830">
        <v>1209</v>
      </c>
      <c r="CK8" s="828">
        <v>1456</v>
      </c>
      <c r="CL8" s="1386">
        <v>1566</v>
      </c>
      <c r="CM8" s="830">
        <v>1695</v>
      </c>
      <c r="CN8" s="830">
        <v>1650</v>
      </c>
      <c r="CO8" s="828">
        <v>1305</v>
      </c>
      <c r="CP8" s="1386">
        <v>1220</v>
      </c>
      <c r="CQ8" s="830">
        <v>1590</v>
      </c>
      <c r="CR8" s="830">
        <v>1777</v>
      </c>
      <c r="CS8" s="828">
        <v>1681</v>
      </c>
      <c r="CT8" s="830">
        <v>1948</v>
      </c>
      <c r="CU8" s="830">
        <v>2125</v>
      </c>
      <c r="CV8" s="830">
        <v>2237</v>
      </c>
      <c r="CW8" s="828">
        <v>2032</v>
      </c>
      <c r="CX8" s="1698">
        <f t="shared" ref="CX8:DA8" si="5">CW8</f>
        <v>2032</v>
      </c>
      <c r="CY8" s="830">
        <f t="shared" si="5"/>
        <v>2032</v>
      </c>
      <c r="CZ8" s="830">
        <f t="shared" si="5"/>
        <v>2032</v>
      </c>
      <c r="DA8" s="828">
        <f t="shared" si="5"/>
        <v>2032</v>
      </c>
      <c r="DB8" s="665"/>
      <c r="DC8" s="512"/>
      <c r="DD8" s="898">
        <v>0</v>
      </c>
      <c r="DE8" s="898">
        <v>0</v>
      </c>
      <c r="DF8" s="898">
        <v>0</v>
      </c>
      <c r="DG8" s="898">
        <v>0</v>
      </c>
      <c r="DH8" s="910">
        <v>0</v>
      </c>
      <c r="DI8" s="910">
        <v>0</v>
      </c>
      <c r="DJ8" s="910">
        <v>0</v>
      </c>
      <c r="DK8" s="910">
        <v>0</v>
      </c>
      <c r="DL8" s="898"/>
      <c r="DM8" s="898"/>
      <c r="DN8" s="898"/>
      <c r="DO8" s="898"/>
      <c r="DP8" s="898"/>
      <c r="DQ8" s="898"/>
      <c r="DR8" s="898"/>
      <c r="DS8" s="898"/>
      <c r="DT8" s="898"/>
      <c r="DU8" s="898"/>
      <c r="DV8" s="898">
        <f t="shared" si="2"/>
        <v>2355</v>
      </c>
      <c r="DW8" s="898">
        <f t="shared" si="3"/>
        <v>2994</v>
      </c>
      <c r="DX8" s="898">
        <f t="shared" si="4"/>
        <v>3041</v>
      </c>
      <c r="DY8" s="898">
        <f>BE8</f>
        <v>2588</v>
      </c>
      <c r="DZ8" s="898">
        <f>BI8</f>
        <v>64</v>
      </c>
      <c r="EA8" s="898">
        <f>BM8</f>
        <v>11</v>
      </c>
      <c r="EB8" s="898">
        <f>BQ8</f>
        <v>90</v>
      </c>
      <c r="EC8" s="898">
        <f>BU8</f>
        <v>22</v>
      </c>
      <c r="ED8" s="910">
        <f>BY8</f>
        <v>0</v>
      </c>
      <c r="EE8" s="898">
        <v>22</v>
      </c>
      <c r="EF8" s="917">
        <v>0</v>
      </c>
      <c r="EG8" s="910">
        <f>CC8</f>
        <v>0</v>
      </c>
      <c r="EH8" s="830">
        <f>CG8</f>
        <v>223</v>
      </c>
      <c r="EI8" s="830">
        <f>CK8</f>
        <v>1456</v>
      </c>
      <c r="EJ8" s="830">
        <f>CO8</f>
        <v>1305</v>
      </c>
      <c r="EK8" s="830">
        <f>CS8</f>
        <v>1681</v>
      </c>
      <c r="EL8" s="830">
        <f>CW8</f>
        <v>2032</v>
      </c>
      <c r="EM8" s="1698">
        <f t="shared" ref="EM8:EM11" si="6">DA8</f>
        <v>2032</v>
      </c>
      <c r="EN8" s="830">
        <f t="shared" ref="EN8:EU8" si="7">EM8</f>
        <v>2032</v>
      </c>
      <c r="EO8" s="830">
        <f t="shared" si="7"/>
        <v>2032</v>
      </c>
      <c r="EP8" s="830">
        <f t="shared" si="7"/>
        <v>2032</v>
      </c>
      <c r="EQ8" s="830">
        <f t="shared" si="7"/>
        <v>2032</v>
      </c>
      <c r="ER8" s="830">
        <f t="shared" si="7"/>
        <v>2032</v>
      </c>
      <c r="ES8" s="830">
        <f t="shared" si="7"/>
        <v>2032</v>
      </c>
      <c r="ET8" s="830">
        <f t="shared" si="7"/>
        <v>2032</v>
      </c>
      <c r="EU8" s="828">
        <f t="shared" si="7"/>
        <v>2032</v>
      </c>
      <c r="EV8" s="594"/>
      <c r="EW8"/>
      <c r="EX8"/>
      <c r="EY8"/>
      <c r="EZ8"/>
      <c r="FA8"/>
      <c r="FB8"/>
      <c r="FG8" s="830"/>
      <c r="FH8" s="830"/>
      <c r="FI8" s="830"/>
      <c r="FJ8" s="830"/>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row>
    <row r="9" spans="1:260" s="4" customFormat="1" x14ac:dyDescent="0.2">
      <c r="A9" s="599" t="s">
        <v>477</v>
      </c>
      <c r="B9" s="915">
        <v>40.171999999999997</v>
      </c>
      <c r="C9" s="915">
        <v>37.606000000000002</v>
      </c>
      <c r="D9" s="915">
        <v>86.195999999999998</v>
      </c>
      <c r="E9" s="909">
        <v>52.944000000000003</v>
      </c>
      <c r="F9" s="915">
        <v>64.450999999999993</v>
      </c>
      <c r="G9" s="915">
        <v>67.201999999999998</v>
      </c>
      <c r="H9" s="915">
        <v>126.803</v>
      </c>
      <c r="I9" s="909">
        <f>84.44</f>
        <v>84.44</v>
      </c>
      <c r="J9" s="915">
        <v>100.005</v>
      </c>
      <c r="K9" s="915">
        <v>116.474</v>
      </c>
      <c r="L9" s="915">
        <v>191.92</v>
      </c>
      <c r="M9" s="909">
        <v>121.438</v>
      </c>
      <c r="N9" s="915">
        <v>104.732</v>
      </c>
      <c r="O9" s="915">
        <v>125.87</v>
      </c>
      <c r="P9" s="915">
        <v>217.10599999999999</v>
      </c>
      <c r="Q9" s="909">
        <v>79.581000000000003</v>
      </c>
      <c r="R9" s="915">
        <v>84.423000000000002</v>
      </c>
      <c r="S9" s="915">
        <v>101.47</v>
      </c>
      <c r="T9" s="915">
        <v>185.88499999999999</v>
      </c>
      <c r="U9" s="909">
        <v>95.701999999999998</v>
      </c>
      <c r="V9" s="915">
        <v>75.563000000000002</v>
      </c>
      <c r="W9" s="915">
        <v>140.714</v>
      </c>
      <c r="X9" s="915">
        <v>278.46800000000002</v>
      </c>
      <c r="Y9" s="909">
        <v>132.40100000000001</v>
      </c>
      <c r="Z9" s="915">
        <v>145.69900000000001</v>
      </c>
      <c r="AA9" s="915">
        <v>178.49199999999999</v>
      </c>
      <c r="AB9" s="915">
        <v>383.46100000000001</v>
      </c>
      <c r="AC9" s="909">
        <v>189.30099999999999</v>
      </c>
      <c r="AD9" s="915">
        <v>202</v>
      </c>
      <c r="AE9" s="915">
        <v>201</v>
      </c>
      <c r="AF9" s="915">
        <v>427</v>
      </c>
      <c r="AG9" s="909">
        <v>209</v>
      </c>
      <c r="AH9" s="915">
        <v>193</v>
      </c>
      <c r="AI9" s="915">
        <v>236</v>
      </c>
      <c r="AJ9" s="915">
        <v>370</v>
      </c>
      <c r="AK9" s="909">
        <v>221</v>
      </c>
      <c r="AL9" s="915">
        <v>243</v>
      </c>
      <c r="AM9" s="915">
        <v>235</v>
      </c>
      <c r="AN9" s="915">
        <v>575</v>
      </c>
      <c r="AO9" s="909">
        <v>312</v>
      </c>
      <c r="AP9" s="915">
        <v>302</v>
      </c>
      <c r="AQ9" s="915">
        <v>302</v>
      </c>
      <c r="AR9" s="915">
        <v>678</v>
      </c>
      <c r="AS9" s="909">
        <v>343</v>
      </c>
      <c r="AT9" s="915">
        <v>371</v>
      </c>
      <c r="AU9" s="915">
        <v>328</v>
      </c>
      <c r="AV9" s="915">
        <v>742</v>
      </c>
      <c r="AW9" s="909">
        <v>375</v>
      </c>
      <c r="AX9" s="915">
        <v>350</v>
      </c>
      <c r="AY9" s="915">
        <v>389</v>
      </c>
      <c r="AZ9" s="915">
        <v>883</v>
      </c>
      <c r="BA9" s="909">
        <v>449</v>
      </c>
      <c r="BB9" s="915">
        <v>409</v>
      </c>
      <c r="BC9" s="915">
        <v>483</v>
      </c>
      <c r="BD9" s="915">
        <v>1112</v>
      </c>
      <c r="BE9" s="909">
        <v>548</v>
      </c>
      <c r="BF9" s="915">
        <v>476</v>
      </c>
      <c r="BG9" s="915">
        <v>554</v>
      </c>
      <c r="BH9" s="915">
        <v>739</v>
      </c>
      <c r="BI9" s="909">
        <v>549</v>
      </c>
      <c r="BJ9" s="915">
        <v>533</v>
      </c>
      <c r="BK9" s="915">
        <v>1785</v>
      </c>
      <c r="BL9" s="915">
        <v>2638</v>
      </c>
      <c r="BM9" s="909">
        <v>1868</v>
      </c>
      <c r="BN9" s="915">
        <v>1427</v>
      </c>
      <c r="BO9" s="915">
        <v>1770</v>
      </c>
      <c r="BP9" s="915">
        <v>2630</v>
      </c>
      <c r="BQ9" s="909">
        <v>2020</v>
      </c>
      <c r="BR9" s="915">
        <v>1579</v>
      </c>
      <c r="BS9" s="915">
        <v>1720</v>
      </c>
      <c r="BT9" s="915">
        <v>2793</v>
      </c>
      <c r="BU9" s="909">
        <v>2348</v>
      </c>
      <c r="BV9" s="898">
        <v>1742</v>
      </c>
      <c r="BW9" s="898">
        <v>1945</v>
      </c>
      <c r="BX9" s="898">
        <v>3212</v>
      </c>
      <c r="BY9" s="909">
        <v>2288</v>
      </c>
      <c r="BZ9" s="898">
        <v>1846</v>
      </c>
      <c r="CA9" s="898">
        <v>2135</v>
      </c>
      <c r="CB9" s="898">
        <v>2250</v>
      </c>
      <c r="CC9" s="909">
        <v>2704</v>
      </c>
      <c r="CD9" s="917">
        <v>937</v>
      </c>
      <c r="CE9" s="910">
        <v>1188</v>
      </c>
      <c r="CF9" s="910">
        <v>1123</v>
      </c>
      <c r="CG9" s="909">
        <v>1308</v>
      </c>
      <c r="CH9" s="1386">
        <v>871</v>
      </c>
      <c r="CI9" s="830">
        <v>1005</v>
      </c>
      <c r="CJ9" s="830">
        <v>1066</v>
      </c>
      <c r="CK9" s="828">
        <v>1280</v>
      </c>
      <c r="CL9" s="1386">
        <v>995</v>
      </c>
      <c r="CM9" s="830">
        <v>1025</v>
      </c>
      <c r="CN9" s="830">
        <v>1061</v>
      </c>
      <c r="CO9" s="828">
        <v>1162</v>
      </c>
      <c r="CP9" s="1386">
        <v>1097</v>
      </c>
      <c r="CQ9" s="830">
        <v>926</v>
      </c>
      <c r="CR9" s="830">
        <v>1174</v>
      </c>
      <c r="CS9" s="828">
        <v>1347</v>
      </c>
      <c r="CT9" s="830">
        <v>1011</v>
      </c>
      <c r="CU9" s="830">
        <v>965</v>
      </c>
      <c r="CV9" s="830">
        <v>971</v>
      </c>
      <c r="CW9" s="828">
        <v>1049</v>
      </c>
      <c r="CX9" s="1698">
        <f t="shared" ref="CX9:DA10" si="8">(CX100+CW100+CV100+CU100)/CX50</f>
        <v>1083.8712185353465</v>
      </c>
      <c r="CY9" s="830">
        <f>(CY100+CX100+CW100+CV100)/CY50</f>
        <v>1025.1857853195745</v>
      </c>
      <c r="CZ9" s="830">
        <f t="shared" si="8"/>
        <v>1023.8335572979265</v>
      </c>
      <c r="DA9" s="828">
        <f t="shared" si="8"/>
        <v>1053.0816021251139</v>
      </c>
      <c r="DB9" s="594"/>
      <c r="DC9" s="537"/>
      <c r="DD9" s="898">
        <v>3.444</v>
      </c>
      <c r="DE9" s="898">
        <v>6.7960000000000003</v>
      </c>
      <c r="DF9" s="898">
        <v>8.1940000000000008</v>
      </c>
      <c r="DG9" s="898">
        <v>6.4850000000000003</v>
      </c>
      <c r="DH9" s="898">
        <v>7.3179999999999996</v>
      </c>
      <c r="DI9" s="898">
        <v>8.7159999999999993</v>
      </c>
      <c r="DJ9" s="898">
        <v>15.981</v>
      </c>
      <c r="DK9" s="898">
        <v>37.968000000000004</v>
      </c>
      <c r="DL9" s="898">
        <f>+E9</f>
        <v>52.944000000000003</v>
      </c>
      <c r="DM9" s="898">
        <f>+I9</f>
        <v>84.44</v>
      </c>
      <c r="DN9" s="898">
        <f>+M9</f>
        <v>121.438</v>
      </c>
      <c r="DO9" s="898">
        <f>+Q9</f>
        <v>79.581000000000003</v>
      </c>
      <c r="DP9" s="898">
        <f>+U9</f>
        <v>95.701999999999998</v>
      </c>
      <c r="DQ9" s="898">
        <f>+Y9</f>
        <v>132.40100000000001</v>
      </c>
      <c r="DR9" s="898">
        <f>+AC9</f>
        <v>189.30099999999999</v>
      </c>
      <c r="DS9" s="898">
        <f>+AG9</f>
        <v>209</v>
      </c>
      <c r="DT9" s="898">
        <f>+AK9</f>
        <v>221</v>
      </c>
      <c r="DU9" s="898">
        <f>+AO9</f>
        <v>312</v>
      </c>
      <c r="DV9" s="898">
        <f t="shared" si="2"/>
        <v>343</v>
      </c>
      <c r="DW9" s="898">
        <f t="shared" si="3"/>
        <v>375</v>
      </c>
      <c r="DX9" s="898">
        <f t="shared" si="4"/>
        <v>449</v>
      </c>
      <c r="DY9" s="898">
        <f>BE9</f>
        <v>548</v>
      </c>
      <c r="DZ9" s="898">
        <f>BI9</f>
        <v>549</v>
      </c>
      <c r="EA9" s="898">
        <f>BM9</f>
        <v>1868</v>
      </c>
      <c r="EB9" s="898">
        <f>BQ9</f>
        <v>2020</v>
      </c>
      <c r="EC9" s="898">
        <f>BU9</f>
        <v>2348</v>
      </c>
      <c r="ED9" s="898">
        <f>BY9</f>
        <v>2288</v>
      </c>
      <c r="EE9" s="898">
        <v>2280</v>
      </c>
      <c r="EF9" s="917">
        <v>2519</v>
      </c>
      <c r="EG9" s="910">
        <f>CC9</f>
        <v>2704</v>
      </c>
      <c r="EH9" s="830">
        <f>CG9</f>
        <v>1308</v>
      </c>
      <c r="EI9" s="830">
        <f>CK9</f>
        <v>1280</v>
      </c>
      <c r="EJ9" s="830">
        <f>CO9</f>
        <v>1162</v>
      </c>
      <c r="EK9" s="830">
        <f>CS9</f>
        <v>1347</v>
      </c>
      <c r="EL9" s="830">
        <f>CW9</f>
        <v>1049</v>
      </c>
      <c r="EM9" s="1698">
        <f t="shared" si="6"/>
        <v>1053.0816021251139</v>
      </c>
      <c r="EN9" s="830">
        <f t="shared" ref="EN9:EP10" si="9">EN100/EN50</f>
        <v>1063.6957490868022</v>
      </c>
      <c r="EO9" s="830">
        <f t="shared" si="9"/>
        <v>1074.2621083629265</v>
      </c>
      <c r="EP9" s="830">
        <f t="shared" si="9"/>
        <v>1083.6193878776983</v>
      </c>
      <c r="EQ9" s="830">
        <f t="shared" ref="EQ9:ES10" si="10">EQ100/EQ50</f>
        <v>1097.3727201656707</v>
      </c>
      <c r="ER9" s="830">
        <f t="shared" si="10"/>
        <v>1111.6670969423376</v>
      </c>
      <c r="ES9" s="830">
        <f t="shared" si="10"/>
        <v>1126.5293224363586</v>
      </c>
      <c r="ET9" s="830">
        <f>ET100/ET50</f>
        <v>1141.9875391313601</v>
      </c>
      <c r="EU9" s="828">
        <f>EU100/EU50</f>
        <v>1158.0712946909684</v>
      </c>
      <c r="EV9" s="594"/>
      <c r="EW9"/>
      <c r="EX9"/>
      <c r="EY9"/>
      <c r="EZ9"/>
      <c r="FA9"/>
      <c r="FB9"/>
      <c r="FG9" s="830"/>
      <c r="FH9" s="830"/>
      <c r="FI9" s="830"/>
      <c r="FJ9" s="830"/>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row>
    <row r="10" spans="1:260" s="4" customFormat="1" x14ac:dyDescent="0.2">
      <c r="A10" s="599" t="s">
        <v>478</v>
      </c>
      <c r="B10" s="915">
        <v>328.45299999999997</v>
      </c>
      <c r="C10" s="915">
        <v>468.96300000000002</v>
      </c>
      <c r="D10" s="915">
        <v>823.875</v>
      </c>
      <c r="E10" s="909">
        <v>637.95000000000005</v>
      </c>
      <c r="F10" s="915">
        <v>704.51800000000003</v>
      </c>
      <c r="G10" s="915">
        <v>863.5</v>
      </c>
      <c r="H10" s="915">
        <v>1491.08</v>
      </c>
      <c r="I10" s="909">
        <v>907.67700000000002</v>
      </c>
      <c r="J10" s="915">
        <v>1002.391</v>
      </c>
      <c r="K10" s="915">
        <v>1269.06</v>
      </c>
      <c r="L10" s="915">
        <v>1973.9670000000001</v>
      </c>
      <c r="M10" s="909">
        <v>1201.1420000000001</v>
      </c>
      <c r="N10" s="915">
        <v>1368.9590000000001</v>
      </c>
      <c r="O10" s="915">
        <v>1447.3820000000001</v>
      </c>
      <c r="P10" s="915">
        <v>1844.7819999999999</v>
      </c>
      <c r="Q10" s="909">
        <v>1132.059</v>
      </c>
      <c r="R10" s="915">
        <v>1110.0170000000001</v>
      </c>
      <c r="S10" s="915">
        <v>1188.3610000000001</v>
      </c>
      <c r="T10" s="915">
        <v>1679.721</v>
      </c>
      <c r="U10" s="909">
        <v>1060.788</v>
      </c>
      <c r="V10" s="915">
        <v>1101.144</v>
      </c>
      <c r="W10" s="915">
        <v>1167.9659999999999</v>
      </c>
      <c r="X10" s="915">
        <v>1684.9280000000001</v>
      </c>
      <c r="Y10" s="909">
        <v>1046.366</v>
      </c>
      <c r="Z10" s="915">
        <v>1111.396</v>
      </c>
      <c r="AA10" s="915">
        <v>1287.646</v>
      </c>
      <c r="AB10" s="915">
        <v>2082.5430000000001</v>
      </c>
      <c r="AC10" s="909">
        <v>1183.681</v>
      </c>
      <c r="AD10" s="915">
        <v>1314</v>
      </c>
      <c r="AE10" s="915">
        <v>1457</v>
      </c>
      <c r="AF10" s="915">
        <v>2328</v>
      </c>
      <c r="AG10" s="909">
        <v>1767</v>
      </c>
      <c r="AH10" s="915">
        <v>1981</v>
      </c>
      <c r="AI10" s="915">
        <v>2092</v>
      </c>
      <c r="AJ10" s="915">
        <v>3459</v>
      </c>
      <c r="AK10" s="909">
        <v>1875</v>
      </c>
      <c r="AL10" s="915">
        <v>2635</v>
      </c>
      <c r="AM10" s="915">
        <v>2133</v>
      </c>
      <c r="AN10" s="915">
        <v>3423</v>
      </c>
      <c r="AO10" s="909">
        <v>2077</v>
      </c>
      <c r="AP10" s="915">
        <v>2368</v>
      </c>
      <c r="AQ10" s="915">
        <v>2641</v>
      </c>
      <c r="AR10" s="915">
        <v>4428</v>
      </c>
      <c r="AS10" s="909">
        <v>2607</v>
      </c>
      <c r="AT10" s="915">
        <v>2915</v>
      </c>
      <c r="AU10" s="915">
        <v>2987</v>
      </c>
      <c r="AV10" s="915">
        <v>4826</v>
      </c>
      <c r="AW10" s="909">
        <v>2851</v>
      </c>
      <c r="AX10" s="915">
        <v>3266</v>
      </c>
      <c r="AY10" s="915">
        <v>3250</v>
      </c>
      <c r="AZ10" s="915">
        <v>5314</v>
      </c>
      <c r="BA10" s="909">
        <v>3338</v>
      </c>
      <c r="BB10" s="915">
        <v>3737</v>
      </c>
      <c r="BC10" s="915">
        <v>4049</v>
      </c>
      <c r="BD10" s="915">
        <v>6084</v>
      </c>
      <c r="BE10" s="909">
        <v>4028</v>
      </c>
      <c r="BF10" s="915">
        <v>4298</v>
      </c>
      <c r="BG10" s="915">
        <v>4650</v>
      </c>
      <c r="BH10" s="915">
        <v>7451</v>
      </c>
      <c r="BI10" s="909">
        <v>4708</v>
      </c>
      <c r="BJ10" s="915">
        <v>5005</v>
      </c>
      <c r="BK10" s="915">
        <v>6105</v>
      </c>
      <c r="BL10" s="915">
        <v>8207</v>
      </c>
      <c r="BM10" s="909">
        <v>4753</v>
      </c>
      <c r="BN10" s="915">
        <v>5486</v>
      </c>
      <c r="BO10" s="915">
        <v>5738</v>
      </c>
      <c r="BP10" s="915">
        <v>8978</v>
      </c>
      <c r="BQ10" s="909">
        <v>5486</v>
      </c>
      <c r="BR10" s="915">
        <v>6335</v>
      </c>
      <c r="BS10" s="915">
        <v>6346</v>
      </c>
      <c r="BT10" s="915">
        <v>10064</v>
      </c>
      <c r="BU10" s="909">
        <v>5897</v>
      </c>
      <c r="BV10" s="898">
        <v>6356</v>
      </c>
      <c r="BW10" s="898">
        <v>6403</v>
      </c>
      <c r="BX10" s="898">
        <v>9220</v>
      </c>
      <c r="BY10" s="909">
        <v>5731</v>
      </c>
      <c r="BZ10" s="898">
        <v>6065</v>
      </c>
      <c r="CA10" s="898">
        <v>6299</v>
      </c>
      <c r="CB10" s="898">
        <v>8156</v>
      </c>
      <c r="CC10" s="909">
        <v>6571</v>
      </c>
      <c r="CD10" s="917">
        <v>5461</v>
      </c>
      <c r="CE10" s="910">
        <v>5437</v>
      </c>
      <c r="CF10" s="910">
        <v>6978</v>
      </c>
      <c r="CG10" s="909">
        <v>5376</v>
      </c>
      <c r="CH10" s="1386">
        <v>5255</v>
      </c>
      <c r="CI10" s="830">
        <v>5583</v>
      </c>
      <c r="CJ10" s="830">
        <v>6900</v>
      </c>
      <c r="CK10" s="828">
        <v>5174</v>
      </c>
      <c r="CL10" s="1386">
        <v>4930</v>
      </c>
      <c r="CM10" s="830">
        <v>4995</v>
      </c>
      <c r="CN10" s="830">
        <v>6651</v>
      </c>
      <c r="CO10" s="828">
        <v>5051</v>
      </c>
      <c r="CP10" s="1386">
        <v>4719</v>
      </c>
      <c r="CQ10" s="830">
        <v>4908</v>
      </c>
      <c r="CR10" s="830">
        <v>6331</v>
      </c>
      <c r="CS10" s="828">
        <v>4864</v>
      </c>
      <c r="CT10" s="830">
        <v>4637</v>
      </c>
      <c r="CU10" s="830">
        <v>5167</v>
      </c>
      <c r="CV10" s="830">
        <v>6663</v>
      </c>
      <c r="CW10" s="828">
        <v>5209</v>
      </c>
      <c r="CX10" s="1698">
        <f>(CX101+CW101+CV101+CU101)/CX51</f>
        <v>4984.951362797201</v>
      </c>
      <c r="CY10" s="830">
        <f>(CY101+CX101+CW101+CV101)/CY51</f>
        <v>5505.5509428933456</v>
      </c>
      <c r="CZ10" s="830">
        <f>(CZ101+CY101+CX101+CW101)/CZ51</f>
        <v>7045.3460123131736</v>
      </c>
      <c r="DA10" s="828">
        <f t="shared" si="8"/>
        <v>5234.2563073121382</v>
      </c>
      <c r="DB10" s="594"/>
      <c r="DC10" s="537"/>
      <c r="DD10" s="898">
        <v>23.74399</v>
      </c>
      <c r="DE10" s="898">
        <v>62.393999999999998</v>
      </c>
      <c r="DF10" s="898">
        <v>98.349990000000005</v>
      </c>
      <c r="DG10" s="898">
        <v>101.84799000000001</v>
      </c>
      <c r="DH10" s="898">
        <v>92.991</v>
      </c>
      <c r="DI10" s="898">
        <v>95.683999999999997</v>
      </c>
      <c r="DJ10" s="898">
        <v>135.83799999999999</v>
      </c>
      <c r="DK10" s="898">
        <v>249.99100000000001</v>
      </c>
      <c r="DL10" s="898">
        <f>+E10</f>
        <v>637.95000000000005</v>
      </c>
      <c r="DM10" s="898">
        <f>+I10</f>
        <v>907.67700000000002</v>
      </c>
      <c r="DN10" s="898">
        <f>+M10</f>
        <v>1201.1420000000001</v>
      </c>
      <c r="DO10" s="898">
        <f>+Q10</f>
        <v>1132.059</v>
      </c>
      <c r="DP10" s="898">
        <f>+U10</f>
        <v>1060.788</v>
      </c>
      <c r="DQ10" s="898">
        <f>+Y10</f>
        <v>1046.366</v>
      </c>
      <c r="DR10" s="898">
        <f>+AC10</f>
        <v>1183.681</v>
      </c>
      <c r="DS10" s="898">
        <f>+AG10</f>
        <v>1767</v>
      </c>
      <c r="DT10" s="898">
        <f>+AK10</f>
        <v>1875</v>
      </c>
      <c r="DU10" s="898">
        <f>+AO10</f>
        <v>2077</v>
      </c>
      <c r="DV10" s="898">
        <f t="shared" si="2"/>
        <v>2607</v>
      </c>
      <c r="DW10" s="898">
        <f t="shared" si="3"/>
        <v>2851</v>
      </c>
      <c r="DX10" s="898">
        <f t="shared" si="4"/>
        <v>3338</v>
      </c>
      <c r="DY10" s="898">
        <f>BE10</f>
        <v>4028</v>
      </c>
      <c r="DZ10" s="898">
        <f>BI10</f>
        <v>4708</v>
      </c>
      <c r="EA10" s="898">
        <f>BM10</f>
        <v>4753</v>
      </c>
      <c r="EB10" s="898">
        <f>BQ10</f>
        <v>5486</v>
      </c>
      <c r="EC10" s="898">
        <f>BU10</f>
        <v>5897</v>
      </c>
      <c r="ED10" s="898">
        <f>BY10</f>
        <v>5731</v>
      </c>
      <c r="EE10" s="898">
        <v>7370</v>
      </c>
      <c r="EF10" s="917">
        <v>6803</v>
      </c>
      <c r="EG10" s="910">
        <f>CC10</f>
        <v>6571</v>
      </c>
      <c r="EH10" s="830">
        <f>CG10</f>
        <v>5376</v>
      </c>
      <c r="EI10" s="830">
        <f>CK10</f>
        <v>5174</v>
      </c>
      <c r="EJ10" s="830">
        <f>CO10</f>
        <v>5051</v>
      </c>
      <c r="EK10" s="830">
        <f>CS10</f>
        <v>4864</v>
      </c>
      <c r="EL10" s="830">
        <f>CW10</f>
        <v>5209</v>
      </c>
      <c r="EM10" s="1698">
        <f t="shared" si="6"/>
        <v>5234.2563073121382</v>
      </c>
      <c r="EN10" s="830">
        <f t="shared" si="9"/>
        <v>5290.7821555016235</v>
      </c>
      <c r="EO10" s="830">
        <f t="shared" si="9"/>
        <v>5341.4255839716207</v>
      </c>
      <c r="EP10" s="830">
        <f t="shared" si="9"/>
        <v>5391.1586656556274</v>
      </c>
      <c r="EQ10" s="830">
        <f t="shared" si="10"/>
        <v>5462.8291701444605</v>
      </c>
      <c r="ER10" s="830">
        <f t="shared" si="10"/>
        <v>5537.2821089630997</v>
      </c>
      <c r="ES10" s="830">
        <f t="shared" si="10"/>
        <v>5614.6563205058765</v>
      </c>
      <c r="ET10" s="830">
        <f>ET101/ET51</f>
        <v>5695.0976639068067</v>
      </c>
      <c r="EU10" s="828">
        <f>EU101/EU51</f>
        <v>5778.7593746717239</v>
      </c>
      <c r="EV10" s="594"/>
      <c r="EW10"/>
      <c r="EX10"/>
      <c r="EY10"/>
      <c r="EZ10"/>
      <c r="FA10"/>
      <c r="FB10"/>
      <c r="FG10" s="830"/>
      <c r="FH10" s="830"/>
      <c r="FI10" s="830"/>
      <c r="FJ10" s="83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row>
    <row r="11" spans="1:260" s="3" customFormat="1" x14ac:dyDescent="0.2">
      <c r="A11" s="600" t="s">
        <v>479</v>
      </c>
      <c r="B11" s="920">
        <v>10.752000000000001</v>
      </c>
      <c r="C11" s="920">
        <v>11.064</v>
      </c>
      <c r="D11" s="920">
        <f>10.368+4.629</f>
        <v>14.997</v>
      </c>
      <c r="E11" s="909">
        <f>13.088+0.756</f>
        <v>13.843999999999999</v>
      </c>
      <c r="F11" s="920">
        <f>14.88+1.222+42.227</f>
        <v>58.328999999999994</v>
      </c>
      <c r="G11" s="920">
        <f>14.157+5.958+83.06</f>
        <v>103.17500000000001</v>
      </c>
      <c r="H11" s="920">
        <f>16.026+10.517+94.331</f>
        <v>120.874</v>
      </c>
      <c r="I11" s="909">
        <f>15.022+2.606+86.222</f>
        <v>103.85</v>
      </c>
      <c r="J11" s="920">
        <f>103.523+16.218+5.439</f>
        <v>125.18</v>
      </c>
      <c r="K11" s="920">
        <f>18.009+7.035+147.182</f>
        <v>172.226</v>
      </c>
      <c r="L11" s="920">
        <f>21.728+8.249+129.302</f>
        <v>159.279</v>
      </c>
      <c r="M11" s="909">
        <f>20.165+5.116+126.237</f>
        <v>151.518</v>
      </c>
      <c r="N11" s="920">
        <f>28.519+7.742+122.773</f>
        <v>159.03399999999999</v>
      </c>
      <c r="O11" s="920">
        <f>96.935+33.118</f>
        <v>130.053</v>
      </c>
      <c r="P11" s="920">
        <f>91.42+46.241</f>
        <v>137.661</v>
      </c>
      <c r="Q11" s="909">
        <f>53.485+30.102</f>
        <v>83.587000000000003</v>
      </c>
      <c r="R11" s="920">
        <f>56.786+27.847+8.043</f>
        <v>92.676000000000016</v>
      </c>
      <c r="S11" s="920">
        <f>47.205+42.728</f>
        <v>89.932999999999993</v>
      </c>
      <c r="T11" s="920">
        <f>36.883+23.595</f>
        <v>60.478000000000002</v>
      </c>
      <c r="U11" s="909">
        <f>8.215+16.65+8.795</f>
        <v>33.659999999999997</v>
      </c>
      <c r="V11" s="920">
        <f>25.917+29.787</f>
        <v>55.704000000000001</v>
      </c>
      <c r="W11" s="920">
        <f>48.045+22.483</f>
        <v>70.528000000000006</v>
      </c>
      <c r="X11" s="920">
        <f>75.329+31.878</f>
        <v>107.20699999999999</v>
      </c>
      <c r="Y11" s="909">
        <f>73.956+24.591</f>
        <v>98.546999999999997</v>
      </c>
      <c r="Z11" s="920">
        <f>84.258+25.233</f>
        <v>109.491</v>
      </c>
      <c r="AA11" s="920">
        <f>89.699+25.974</f>
        <v>115.673</v>
      </c>
      <c r="AB11" s="920">
        <f>87.377+40.601</f>
        <v>127.97799999999999</v>
      </c>
      <c r="AC11" s="909">
        <f>72.77+41.985</f>
        <v>114.755</v>
      </c>
      <c r="AD11" s="920">
        <f>106+67</f>
        <v>173</v>
      </c>
      <c r="AE11" s="920">
        <f>116+57</f>
        <v>173</v>
      </c>
      <c r="AF11" s="920">
        <f>111+58</f>
        <v>169</v>
      </c>
      <c r="AG11" s="909">
        <f>104+102</f>
        <v>206</v>
      </c>
      <c r="AH11" s="920">
        <f>100+111</f>
        <v>211</v>
      </c>
      <c r="AI11" s="920">
        <f>98+116</f>
        <v>214</v>
      </c>
      <c r="AJ11" s="920">
        <f>83+132</f>
        <v>215</v>
      </c>
      <c r="AK11" s="909">
        <f>79+564</f>
        <v>643</v>
      </c>
      <c r="AL11" s="920">
        <f>81+180</f>
        <v>261</v>
      </c>
      <c r="AM11" s="920">
        <f>58+459+125</f>
        <v>642</v>
      </c>
      <c r="AN11" s="920">
        <f>605+131+35</f>
        <v>771</v>
      </c>
      <c r="AO11" s="909">
        <f>397+188+10</f>
        <v>595</v>
      </c>
      <c r="AP11" s="920">
        <v>227</v>
      </c>
      <c r="AQ11" s="920">
        <v>205</v>
      </c>
      <c r="AR11" s="920">
        <v>207</v>
      </c>
      <c r="AS11" s="909">
        <v>174</v>
      </c>
      <c r="AT11" s="920">
        <v>246</v>
      </c>
      <c r="AU11" s="920">
        <v>312</v>
      </c>
      <c r="AV11" s="920">
        <v>251</v>
      </c>
      <c r="AW11" s="909">
        <v>329</v>
      </c>
      <c r="AX11" s="920">
        <v>383</v>
      </c>
      <c r="AY11" s="920">
        <v>378</v>
      </c>
      <c r="AZ11" s="920">
        <v>400</v>
      </c>
      <c r="BA11" s="909">
        <v>409</v>
      </c>
      <c r="BB11" s="920">
        <v>406</v>
      </c>
      <c r="BC11" s="920">
        <v>687</v>
      </c>
      <c r="BD11" s="920">
        <v>759</v>
      </c>
      <c r="BE11" s="909">
        <v>712</v>
      </c>
      <c r="BF11" s="920">
        <v>730</v>
      </c>
      <c r="BG11" s="920">
        <v>733</v>
      </c>
      <c r="BH11" s="920">
        <v>673</v>
      </c>
      <c r="BI11" s="909">
        <v>583</v>
      </c>
      <c r="BJ11" s="920">
        <v>652</v>
      </c>
      <c r="BK11" s="920">
        <v>894</v>
      </c>
      <c r="BL11" s="920">
        <v>879</v>
      </c>
      <c r="BM11" s="909">
        <v>1062</v>
      </c>
      <c r="BN11" s="920">
        <v>954</v>
      </c>
      <c r="BO11" s="920">
        <v>1035</v>
      </c>
      <c r="BP11" s="920">
        <v>1002</v>
      </c>
      <c r="BQ11" s="909">
        <v>1144</v>
      </c>
      <c r="BR11" s="920">
        <v>1030</v>
      </c>
      <c r="BS11" s="920">
        <v>1048</v>
      </c>
      <c r="BT11" s="920">
        <v>1045</v>
      </c>
      <c r="BU11" s="909">
        <v>1103</v>
      </c>
      <c r="BV11" s="910">
        <v>967</v>
      </c>
      <c r="BW11" s="910">
        <v>1033</v>
      </c>
      <c r="BX11" s="910">
        <v>1085</v>
      </c>
      <c r="BY11" s="909">
        <v>1079</v>
      </c>
      <c r="BZ11" s="910">
        <v>1019</v>
      </c>
      <c r="CA11" s="910">
        <v>1070</v>
      </c>
      <c r="CB11" s="910">
        <v>1131</v>
      </c>
      <c r="CC11" s="909">
        <v>946</v>
      </c>
      <c r="CD11" s="917">
        <f>821+1879</f>
        <v>2700</v>
      </c>
      <c r="CE11" s="910">
        <v>879</v>
      </c>
      <c r="CF11" s="910">
        <v>963</v>
      </c>
      <c r="CG11" s="909">
        <v>900</v>
      </c>
      <c r="CH11" s="1386">
        <v>926</v>
      </c>
      <c r="CI11" s="830">
        <v>943</v>
      </c>
      <c r="CJ11" s="830">
        <v>959</v>
      </c>
      <c r="CK11" s="828">
        <f>703+684</f>
        <v>1387</v>
      </c>
      <c r="CL11" s="1386">
        <v>732</v>
      </c>
      <c r="CM11" s="830">
        <v>730</v>
      </c>
      <c r="CN11" s="830">
        <v>676</v>
      </c>
      <c r="CO11" s="828">
        <v>392</v>
      </c>
      <c r="CP11" s="1386">
        <v>401</v>
      </c>
      <c r="CQ11" s="830">
        <v>409</v>
      </c>
      <c r="CR11" s="830">
        <v>398</v>
      </c>
      <c r="CS11" s="828">
        <v>384</v>
      </c>
      <c r="CT11" s="830">
        <v>409</v>
      </c>
      <c r="CU11" s="830">
        <v>456</v>
      </c>
      <c r="CV11" s="830">
        <v>431</v>
      </c>
      <c r="CW11" s="828">
        <v>438</v>
      </c>
      <c r="CX11" s="1698">
        <f t="shared" ref="CX11:DA11" si="11">CX55*(CX100+CW100+CV100+CU100)</f>
        <v>508.01076175102395</v>
      </c>
      <c r="CY11" s="830">
        <f t="shared" si="11"/>
        <v>508.59838638745401</v>
      </c>
      <c r="CZ11" s="830">
        <f t="shared" si="11"/>
        <v>509.53380868038101</v>
      </c>
      <c r="DA11" s="828">
        <f t="shared" si="11"/>
        <v>423.15007255648879</v>
      </c>
      <c r="DB11" s="594"/>
      <c r="DC11" s="537"/>
      <c r="DD11" s="910">
        <v>1.121</v>
      </c>
      <c r="DE11" s="910">
        <v>2.8540000000000001</v>
      </c>
      <c r="DF11" s="910">
        <v>4.24</v>
      </c>
      <c r="DG11" s="910">
        <v>3.8620000000000001</v>
      </c>
      <c r="DH11" s="910">
        <v>3.8660000000000001</v>
      </c>
      <c r="DI11" s="910">
        <f>7.602+0.541</f>
        <v>8.1430000000000007</v>
      </c>
      <c r="DJ11" s="910">
        <v>8.4830000000000005</v>
      </c>
      <c r="DK11" s="910">
        <v>9.8290000000000006</v>
      </c>
      <c r="DL11" s="898">
        <f>+E11</f>
        <v>13.843999999999999</v>
      </c>
      <c r="DM11" s="898">
        <f>+I11</f>
        <v>103.85</v>
      </c>
      <c r="DN11" s="898">
        <f>+M11</f>
        <v>151.518</v>
      </c>
      <c r="DO11" s="898">
        <f>+Q11</f>
        <v>83.587000000000003</v>
      </c>
      <c r="DP11" s="898">
        <f>+U11</f>
        <v>33.659999999999997</v>
      </c>
      <c r="DQ11" s="898">
        <f>+Y11</f>
        <v>98.546999999999997</v>
      </c>
      <c r="DR11" s="898">
        <f>+AC11</f>
        <v>114.755</v>
      </c>
      <c r="DS11" s="898">
        <f>+AG11</f>
        <v>206</v>
      </c>
      <c r="DT11" s="898">
        <f>+AK11</f>
        <v>643</v>
      </c>
      <c r="DU11" s="898">
        <f>+AO11</f>
        <v>595</v>
      </c>
      <c r="DV11" s="898">
        <f t="shared" si="2"/>
        <v>174</v>
      </c>
      <c r="DW11" s="898">
        <f t="shared" si="3"/>
        <v>329</v>
      </c>
      <c r="DX11" s="898">
        <f t="shared" si="4"/>
        <v>409</v>
      </c>
      <c r="DY11" s="898">
        <f>BE11</f>
        <v>712</v>
      </c>
      <c r="DZ11" s="898">
        <f>BI11</f>
        <v>583</v>
      </c>
      <c r="EA11" s="898">
        <f>BM11</f>
        <v>1062</v>
      </c>
      <c r="EB11" s="898">
        <f>BQ11</f>
        <v>1144</v>
      </c>
      <c r="EC11" s="898">
        <f>BU11</f>
        <v>1103</v>
      </c>
      <c r="ED11" s="898">
        <f>BY11</f>
        <v>1079</v>
      </c>
      <c r="EE11" s="898">
        <v>1040</v>
      </c>
      <c r="EF11" s="917">
        <v>827</v>
      </c>
      <c r="EG11" s="910">
        <f>CC11</f>
        <v>946</v>
      </c>
      <c r="EH11" s="830">
        <f>CG11</f>
        <v>900</v>
      </c>
      <c r="EI11" s="830">
        <f>CK11</f>
        <v>1387</v>
      </c>
      <c r="EJ11" s="830">
        <f>CO11</f>
        <v>392</v>
      </c>
      <c r="EK11" s="830">
        <f>CS11</f>
        <v>384</v>
      </c>
      <c r="EL11" s="830">
        <f>CW11</f>
        <v>438</v>
      </c>
      <c r="EM11" s="1698">
        <f t="shared" si="6"/>
        <v>423.15007255648879</v>
      </c>
      <c r="EN11" s="830">
        <f t="shared" ref="EN11:ES11" si="12">EN55*EN100</f>
        <v>427.41505738567963</v>
      </c>
      <c r="EO11" s="830">
        <f t="shared" si="12"/>
        <v>431.66084012970168</v>
      </c>
      <c r="EP11" s="830">
        <f t="shared" si="12"/>
        <v>435.42078949888332</v>
      </c>
      <c r="EQ11" s="830">
        <f t="shared" si="12"/>
        <v>440.94716422977297</v>
      </c>
      <c r="ER11" s="830">
        <f t="shared" si="12"/>
        <v>446.6909418800426</v>
      </c>
      <c r="ES11" s="830">
        <f t="shared" si="12"/>
        <v>452.66289294580508</v>
      </c>
      <c r="ET11" s="830">
        <f>ET55*ET100</f>
        <v>458.87432566182991</v>
      </c>
      <c r="EU11" s="828">
        <f>EU55*EU100</f>
        <v>465.33711289341284</v>
      </c>
      <c r="EV11" s="594"/>
      <c r="EW11"/>
      <c r="EX11"/>
      <c r="EY11"/>
      <c r="EZ11"/>
      <c r="FA11"/>
      <c r="FB11"/>
      <c r="FC11" s="4"/>
      <c r="FD11" s="4"/>
      <c r="FE11" s="4"/>
      <c r="FF11" s="4"/>
      <c r="FG11" s="830"/>
      <c r="FH11" s="830"/>
      <c r="FI11" s="830"/>
      <c r="FJ11" s="830"/>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row>
    <row r="12" spans="1:260" s="885" customFormat="1" x14ac:dyDescent="0.2">
      <c r="A12" s="1187" t="s">
        <v>480</v>
      </c>
      <c r="B12" s="922">
        <f>+B7+B9+B10+B11</f>
        <v>474.82799999999997</v>
      </c>
      <c r="C12" s="922">
        <f>+C7+C9+C10+C11</f>
        <v>561.52099999999996</v>
      </c>
      <c r="D12" s="922">
        <f>+D7+D9+D10+D11</f>
        <v>1000.045</v>
      </c>
      <c r="E12" s="923">
        <f>+E7+E9+E10+E11</f>
        <v>764.61000000000013</v>
      </c>
      <c r="F12" s="922">
        <f t="shared" ref="F12:AK12" si="13">SUM(F7:F11)</f>
        <v>837.524</v>
      </c>
      <c r="G12" s="922">
        <f t="shared" si="13"/>
        <v>1081.3040000000001</v>
      </c>
      <c r="H12" s="922">
        <f t="shared" si="13"/>
        <v>1759.2349999999999</v>
      </c>
      <c r="I12" s="923">
        <f t="shared" si="13"/>
        <v>1240.6669999999999</v>
      </c>
      <c r="J12" s="922">
        <f t="shared" si="13"/>
        <v>1279.2450000000001</v>
      </c>
      <c r="K12" s="922">
        <f t="shared" si="13"/>
        <v>1601.453</v>
      </c>
      <c r="L12" s="922">
        <f t="shared" si="13"/>
        <v>2432.2069999999999</v>
      </c>
      <c r="M12" s="923">
        <f t="shared" si="13"/>
        <v>1560.5430000000001</v>
      </c>
      <c r="N12" s="922">
        <f t="shared" si="13"/>
        <v>1653.3290000000002</v>
      </c>
      <c r="O12" s="922">
        <f t="shared" si="13"/>
        <v>1733.9749999999999</v>
      </c>
      <c r="P12" s="922">
        <f t="shared" si="13"/>
        <v>2242.7440000000001</v>
      </c>
      <c r="Q12" s="923">
        <f t="shared" si="13"/>
        <v>1385.0349999999999</v>
      </c>
      <c r="R12" s="922">
        <f t="shared" si="13"/>
        <v>1382.0250000000001</v>
      </c>
      <c r="S12" s="922">
        <f t="shared" si="13"/>
        <v>1481.1170000000002</v>
      </c>
      <c r="T12" s="922">
        <f t="shared" si="13"/>
        <v>2048.1439999999998</v>
      </c>
      <c r="U12" s="923">
        <f t="shared" si="13"/>
        <v>1710.277</v>
      </c>
      <c r="V12" s="922">
        <f t="shared" si="13"/>
        <v>1629.7090000000001</v>
      </c>
      <c r="W12" s="922">
        <f t="shared" si="13"/>
        <v>1870.84</v>
      </c>
      <c r="X12" s="922">
        <f t="shared" si="13"/>
        <v>2479.9760000000001</v>
      </c>
      <c r="Y12" s="923">
        <f t="shared" si="13"/>
        <v>2063.0909999999999</v>
      </c>
      <c r="Z12" s="922">
        <f t="shared" si="13"/>
        <v>1877.4690000000001</v>
      </c>
      <c r="AA12" s="922">
        <f t="shared" si="13"/>
        <v>2055.2550000000001</v>
      </c>
      <c r="AB12" s="922">
        <f t="shared" si="13"/>
        <v>3108.7790000000005</v>
      </c>
      <c r="AC12" s="923">
        <f t="shared" si="13"/>
        <v>2238.46</v>
      </c>
      <c r="AD12" s="922">
        <f t="shared" si="13"/>
        <v>2454</v>
      </c>
      <c r="AE12" s="922">
        <f t="shared" si="13"/>
        <v>2676</v>
      </c>
      <c r="AF12" s="922">
        <f t="shared" si="13"/>
        <v>3653</v>
      </c>
      <c r="AG12" s="923">
        <f t="shared" si="13"/>
        <v>2929</v>
      </c>
      <c r="AH12" s="922">
        <f t="shared" si="13"/>
        <v>2851</v>
      </c>
      <c r="AI12" s="922">
        <f t="shared" si="13"/>
        <v>3503</v>
      </c>
      <c r="AJ12" s="922">
        <f t="shared" si="13"/>
        <v>4887</v>
      </c>
      <c r="AK12" s="923">
        <f t="shared" si="13"/>
        <v>4600</v>
      </c>
      <c r="AL12" s="922">
        <f t="shared" ref="AL12:BQ12" si="14">SUM(AL7:AL11)</f>
        <v>4384</v>
      </c>
      <c r="AM12" s="922">
        <f t="shared" si="14"/>
        <v>4124</v>
      </c>
      <c r="AN12" s="922">
        <f t="shared" si="14"/>
        <v>5918</v>
      </c>
      <c r="AO12" s="923">
        <f t="shared" si="14"/>
        <v>4898</v>
      </c>
      <c r="AP12" s="922">
        <f t="shared" si="14"/>
        <v>4363</v>
      </c>
      <c r="AQ12" s="922">
        <f t="shared" si="14"/>
        <v>4882</v>
      </c>
      <c r="AR12" s="922">
        <f t="shared" si="14"/>
        <v>7140</v>
      </c>
      <c r="AS12" s="923">
        <f t="shared" si="14"/>
        <v>5724</v>
      </c>
      <c r="AT12" s="922">
        <f t="shared" si="14"/>
        <v>5602</v>
      </c>
      <c r="AU12" s="922">
        <f t="shared" si="14"/>
        <v>5596</v>
      </c>
      <c r="AV12" s="922">
        <f t="shared" si="14"/>
        <v>8332</v>
      </c>
      <c r="AW12" s="923">
        <f t="shared" si="14"/>
        <v>6903</v>
      </c>
      <c r="AX12" s="922">
        <f t="shared" si="14"/>
        <v>6605</v>
      </c>
      <c r="AY12" s="922">
        <f t="shared" si="14"/>
        <v>6842</v>
      </c>
      <c r="AZ12" s="922">
        <f t="shared" si="14"/>
        <v>9694</v>
      </c>
      <c r="BA12" s="923">
        <f t="shared" si="14"/>
        <v>7985</v>
      </c>
      <c r="BB12" s="922">
        <f t="shared" si="14"/>
        <v>6878</v>
      </c>
      <c r="BC12" s="922">
        <f t="shared" si="14"/>
        <v>7887</v>
      </c>
      <c r="BD12" s="922">
        <f t="shared" si="14"/>
        <v>10670</v>
      </c>
      <c r="BE12" s="923">
        <f t="shared" si="14"/>
        <v>9081</v>
      </c>
      <c r="BF12" s="922">
        <f t="shared" si="14"/>
        <v>8306</v>
      </c>
      <c r="BG12" s="922">
        <f t="shared" si="14"/>
        <v>7448</v>
      </c>
      <c r="BH12" s="922">
        <f t="shared" si="14"/>
        <v>10477</v>
      </c>
      <c r="BI12" s="923">
        <f t="shared" si="14"/>
        <v>7342</v>
      </c>
      <c r="BJ12" s="922">
        <f t="shared" si="14"/>
        <v>7733</v>
      </c>
      <c r="BK12" s="922">
        <f t="shared" si="14"/>
        <v>9328</v>
      </c>
      <c r="BL12" s="922">
        <f t="shared" si="14"/>
        <v>12318</v>
      </c>
      <c r="BM12" s="923">
        <f t="shared" si="14"/>
        <v>8192</v>
      </c>
      <c r="BN12" s="922">
        <f t="shared" si="14"/>
        <v>8410</v>
      </c>
      <c r="BO12" s="922">
        <f t="shared" si="14"/>
        <v>9304</v>
      </c>
      <c r="BP12" s="922">
        <f t="shared" si="14"/>
        <v>13267</v>
      </c>
      <c r="BQ12" s="923">
        <f t="shared" si="14"/>
        <v>10566</v>
      </c>
      <c r="BR12" s="922">
        <f t="shared" ref="BR12:CK12" si="15">SUM(BR7:BR11)</f>
        <v>10388</v>
      </c>
      <c r="BS12" s="922">
        <f t="shared" si="15"/>
        <v>9959</v>
      </c>
      <c r="BT12" s="922">
        <f t="shared" si="15"/>
        <v>14829</v>
      </c>
      <c r="BU12" s="923">
        <f t="shared" si="15"/>
        <v>10473</v>
      </c>
      <c r="BV12" s="922">
        <f t="shared" si="15"/>
        <v>11293</v>
      </c>
      <c r="BW12" s="922">
        <f t="shared" si="15"/>
        <v>11501</v>
      </c>
      <c r="BX12" s="922">
        <f t="shared" si="15"/>
        <v>15909</v>
      </c>
      <c r="BY12" s="923">
        <f t="shared" si="15"/>
        <v>10297</v>
      </c>
      <c r="BZ12" s="922">
        <f t="shared" si="15"/>
        <v>10316</v>
      </c>
      <c r="CA12" s="922">
        <f t="shared" si="15"/>
        <v>10184</v>
      </c>
      <c r="CB12" s="922">
        <f t="shared" si="15"/>
        <v>11846</v>
      </c>
      <c r="CC12" s="923">
        <f t="shared" si="15"/>
        <v>12047</v>
      </c>
      <c r="CD12" s="1089">
        <f t="shared" si="15"/>
        <v>10006</v>
      </c>
      <c r="CE12" s="921">
        <f t="shared" si="15"/>
        <v>9414</v>
      </c>
      <c r="CF12" s="921">
        <f t="shared" si="15"/>
        <v>11234</v>
      </c>
      <c r="CG12" s="924">
        <f t="shared" si="15"/>
        <v>10485</v>
      </c>
      <c r="CH12" s="1401">
        <f t="shared" si="15"/>
        <v>10118</v>
      </c>
      <c r="CI12" s="1402">
        <f t="shared" si="15"/>
        <v>10611</v>
      </c>
      <c r="CJ12" s="1402">
        <f t="shared" si="15"/>
        <v>12063</v>
      </c>
      <c r="CK12" s="1403">
        <f t="shared" si="15"/>
        <v>11729</v>
      </c>
      <c r="CL12" s="1401">
        <f t="shared" ref="CL12:CS12" si="16">SUM(CL7:CL11)</f>
        <v>10396</v>
      </c>
      <c r="CM12" s="1402">
        <f t="shared" si="16"/>
        <v>10245</v>
      </c>
      <c r="CN12" s="1402">
        <f t="shared" si="16"/>
        <v>11735</v>
      </c>
      <c r="CO12" s="1403">
        <f>SUM(CO7:CO11)</f>
        <v>9886</v>
      </c>
      <c r="CP12" s="1401">
        <f>SUM(CP7:CP11)</f>
        <v>9282</v>
      </c>
      <c r="CQ12" s="1402">
        <f t="shared" si="16"/>
        <v>9694</v>
      </c>
      <c r="CR12" s="1402">
        <f t="shared" si="16"/>
        <v>11021</v>
      </c>
      <c r="CS12" s="1403">
        <f t="shared" si="16"/>
        <v>10516</v>
      </c>
      <c r="CT12" s="1402">
        <f>SUM(CT7:CT11)</f>
        <v>9656</v>
      </c>
      <c r="CU12" s="1402">
        <f t="shared" ref="CU12" si="17">SUM(CU7:CU11)</f>
        <v>10078</v>
      </c>
      <c r="CV12" s="1402">
        <f t="shared" ref="CV12:DA12" si="18">SUM(CV7:CV11)</f>
        <v>11405</v>
      </c>
      <c r="CW12" s="1403">
        <f t="shared" si="18"/>
        <v>9829</v>
      </c>
      <c r="CX12" s="1699">
        <f t="shared" si="18"/>
        <v>8956.1151451064525</v>
      </c>
      <c r="CY12" s="1402">
        <f t="shared" si="18"/>
        <v>9191.3645599421525</v>
      </c>
      <c r="CZ12" s="1402">
        <f t="shared" si="18"/>
        <v>10755.172564331155</v>
      </c>
      <c r="DA12" s="1403">
        <f t="shared" si="18"/>
        <v>9162.7350962260043</v>
      </c>
      <c r="DB12" s="1404"/>
      <c r="DC12" s="1405"/>
      <c r="DD12" s="1402">
        <f t="shared" ref="DD12:DK12" si="19">(DD7+DD9+DD10+DD11)</f>
        <v>28.445989999999998</v>
      </c>
      <c r="DE12" s="1402">
        <f t="shared" si="19"/>
        <v>74.600999999999999</v>
      </c>
      <c r="DF12" s="1402">
        <f t="shared" si="19"/>
        <v>111.41999</v>
      </c>
      <c r="DG12" s="1402">
        <f t="shared" si="19"/>
        <v>112.96399000000001</v>
      </c>
      <c r="DH12" s="1402">
        <f t="shared" si="19"/>
        <v>128.00499000000002</v>
      </c>
      <c r="DI12" s="1402">
        <f t="shared" si="19"/>
        <v>139.60599999999999</v>
      </c>
      <c r="DJ12" s="1402">
        <f t="shared" si="19"/>
        <v>273.09100000000001</v>
      </c>
      <c r="DK12" s="1402">
        <f t="shared" si="19"/>
        <v>304.92600000000004</v>
      </c>
      <c r="DL12" s="1406">
        <f>+E12</f>
        <v>764.61000000000013</v>
      </c>
      <c r="DM12" s="1406">
        <f>+I12</f>
        <v>1240.6669999999999</v>
      </c>
      <c r="DN12" s="1406">
        <f>+M12</f>
        <v>1560.5430000000001</v>
      </c>
      <c r="DO12" s="1406">
        <f>+Q12</f>
        <v>1385.0349999999999</v>
      </c>
      <c r="DP12" s="1406">
        <f>+U12</f>
        <v>1710.277</v>
      </c>
      <c r="DQ12" s="1406">
        <f>+Y12</f>
        <v>2063.0909999999999</v>
      </c>
      <c r="DR12" s="1406">
        <f>+AC12</f>
        <v>2238.46</v>
      </c>
      <c r="DS12" s="1406">
        <f>+AG12</f>
        <v>2929</v>
      </c>
      <c r="DT12" s="1406">
        <f>+AK12</f>
        <v>4600</v>
      </c>
      <c r="DU12" s="1406">
        <f>+AO12</f>
        <v>4898</v>
      </c>
      <c r="DV12" s="1406">
        <f t="shared" si="2"/>
        <v>5724</v>
      </c>
      <c r="DW12" s="1406">
        <f t="shared" si="3"/>
        <v>6903</v>
      </c>
      <c r="DX12" s="1406">
        <f t="shared" si="4"/>
        <v>7985</v>
      </c>
      <c r="DY12" s="1406">
        <f t="shared" ref="DY12:ED12" si="20">SUM(DY7:DY11)</f>
        <v>9081</v>
      </c>
      <c r="DZ12" s="1406">
        <f t="shared" si="20"/>
        <v>7342</v>
      </c>
      <c r="EA12" s="1406">
        <f t="shared" si="20"/>
        <v>8192</v>
      </c>
      <c r="EB12" s="1406">
        <f t="shared" si="20"/>
        <v>10566</v>
      </c>
      <c r="EC12" s="1406">
        <f t="shared" si="20"/>
        <v>10473</v>
      </c>
      <c r="ED12" s="1406">
        <f t="shared" si="20"/>
        <v>10297</v>
      </c>
      <c r="EE12" s="1402">
        <f t="shared" ref="EE12:EP12" si="21">SUM(EE7:EE11)</f>
        <v>12050</v>
      </c>
      <c r="EF12" s="1401">
        <f t="shared" si="21"/>
        <v>11550</v>
      </c>
      <c r="EG12" s="1406">
        <f>SUM(EG7:EG11)</f>
        <v>12047</v>
      </c>
      <c r="EH12" s="1406">
        <f>SUM(EH7:EH11)</f>
        <v>10485</v>
      </c>
      <c r="EI12" s="1406">
        <f>SUM(EI7:EI11)</f>
        <v>11729</v>
      </c>
      <c r="EJ12" s="1406">
        <f t="shared" si="21"/>
        <v>9886</v>
      </c>
      <c r="EK12" s="1402">
        <f t="shared" si="21"/>
        <v>10516</v>
      </c>
      <c r="EL12" s="1402">
        <f>SUM(EL7:EL11)</f>
        <v>9829</v>
      </c>
      <c r="EM12" s="1699">
        <f>SUM(EM7:EM11)</f>
        <v>9162.7350962260043</v>
      </c>
      <c r="EN12" s="1406">
        <f t="shared" si="21"/>
        <v>9180.3413782109128</v>
      </c>
      <c r="EO12" s="1406">
        <f t="shared" si="21"/>
        <v>9085.6528200367575</v>
      </c>
      <c r="EP12" s="1406">
        <f t="shared" si="21"/>
        <v>9385.4015546511819</v>
      </c>
      <c r="EQ12" s="1406">
        <f>SUM(EQ7:EQ11)</f>
        <v>9411.0968342265023</v>
      </c>
      <c r="ER12" s="1406">
        <f>SUM(ER7:ER11)</f>
        <v>9399.417359863517</v>
      </c>
      <c r="ES12" s="1406">
        <f>SUM(ES7:ES11)</f>
        <v>9848.1933540418686</v>
      </c>
      <c r="ET12" s="1406">
        <f>SUM(ET7:ET11)</f>
        <v>9752.7851997374255</v>
      </c>
      <c r="EU12" s="1613">
        <f>SUM(EU7:EU11)</f>
        <v>9619.2589808577795</v>
      </c>
      <c r="EV12" s="1372"/>
      <c r="EW12"/>
      <c r="EX12"/>
      <c r="EY12"/>
      <c r="EZ12"/>
      <c r="FA12"/>
      <c r="FB12"/>
      <c r="FC12" s="231"/>
      <c r="FD12" s="231"/>
      <c r="FE12" s="231"/>
      <c r="FF12" s="231"/>
      <c r="FG12"/>
      <c r="FH12" s="1658"/>
      <c r="FI12" s="1658"/>
      <c r="FJ12" s="1658"/>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row>
    <row r="13" spans="1:260" s="4" customFormat="1" x14ac:dyDescent="0.2">
      <c r="A13" s="322"/>
      <c r="B13" s="367"/>
      <c r="C13" s="367"/>
      <c r="D13" s="367"/>
      <c r="E13" s="604"/>
      <c r="F13" s="367"/>
      <c r="G13" s="367"/>
      <c r="H13" s="367"/>
      <c r="I13" s="604"/>
      <c r="J13" s="367"/>
      <c r="K13" s="367"/>
      <c r="L13" s="367"/>
      <c r="M13" s="604"/>
      <c r="N13" s="367"/>
      <c r="O13" s="367"/>
      <c r="P13" s="367"/>
      <c r="Q13" s="604"/>
      <c r="R13" s="367"/>
      <c r="S13" s="367"/>
      <c r="T13" s="367"/>
      <c r="U13" s="604"/>
      <c r="V13" s="367"/>
      <c r="W13" s="367"/>
      <c r="X13" s="367"/>
      <c r="Y13" s="604"/>
      <c r="Z13" s="367"/>
      <c r="AA13" s="367"/>
      <c r="AB13" s="367"/>
      <c r="AC13" s="604"/>
      <c r="AD13" s="367"/>
      <c r="AE13" s="367"/>
      <c r="AF13" s="367"/>
      <c r="AG13" s="604"/>
      <c r="AH13" s="367"/>
      <c r="AI13" s="367"/>
      <c r="AJ13" s="367"/>
      <c r="AK13" s="604"/>
      <c r="AL13" s="367"/>
      <c r="AM13" s="367"/>
      <c r="AN13" s="367"/>
      <c r="AO13" s="604"/>
      <c r="AP13" s="367"/>
      <c r="AQ13" s="367"/>
      <c r="AR13" s="367"/>
      <c r="AS13" s="604"/>
      <c r="AT13" s="367"/>
      <c r="AU13" s="367"/>
      <c r="AV13" s="367"/>
      <c r="AW13" s="604"/>
      <c r="AX13" s="367"/>
      <c r="AY13" s="367"/>
      <c r="AZ13" s="367"/>
      <c r="BA13" s="604"/>
      <c r="BB13" s="367"/>
      <c r="BC13" s="367"/>
      <c r="BD13" s="367"/>
      <c r="BE13" s="604"/>
      <c r="BF13" s="367"/>
      <c r="BG13" s="367"/>
      <c r="BH13" s="367"/>
      <c r="BI13" s="604"/>
      <c r="BJ13" s="367"/>
      <c r="BK13" s="367"/>
      <c r="BL13" s="367"/>
      <c r="BM13" s="604"/>
      <c r="BN13" s="367"/>
      <c r="BO13" s="367"/>
      <c r="BP13" s="367"/>
      <c r="BQ13" s="604"/>
      <c r="BR13" s="367"/>
      <c r="BS13" s="367"/>
      <c r="BT13" s="367"/>
      <c r="BU13" s="604"/>
      <c r="BV13" s="77"/>
      <c r="BW13" s="15"/>
      <c r="BX13" s="15"/>
      <c r="BY13" s="518"/>
      <c r="BZ13" s="77"/>
      <c r="CA13" s="9"/>
      <c r="CB13" s="9"/>
      <c r="CC13" s="645"/>
      <c r="CD13" s="580"/>
      <c r="CE13" s="172"/>
      <c r="CF13" s="172"/>
      <c r="CG13" s="524"/>
      <c r="CH13" s="667"/>
      <c r="CI13" s="172"/>
      <c r="CJ13" s="172"/>
      <c r="CK13" s="524"/>
      <c r="CL13" s="667"/>
      <c r="CM13" s="172"/>
      <c r="CN13" s="172"/>
      <c r="CO13" s="524"/>
      <c r="CP13" s="667"/>
      <c r="CQ13" s="172"/>
      <c r="CR13" s="167"/>
      <c r="CS13" s="537"/>
      <c r="CT13" s="172"/>
      <c r="CU13" s="172"/>
      <c r="CV13" s="172"/>
      <c r="CW13" s="537"/>
      <c r="CX13" s="2720"/>
      <c r="CY13" s="172"/>
      <c r="CZ13" s="172"/>
      <c r="DA13" s="524"/>
      <c r="DB13" s="666"/>
      <c r="DC13" s="648"/>
      <c r="DD13" s="137"/>
      <c r="DE13" s="137"/>
      <c r="DF13" s="137"/>
      <c r="DG13" s="137"/>
      <c r="DH13" s="137"/>
      <c r="DI13" s="137"/>
      <c r="DJ13" s="137"/>
      <c r="DK13" s="137"/>
      <c r="DL13" s="365"/>
      <c r="DM13" s="365"/>
      <c r="DN13" s="365"/>
      <c r="DO13" s="365"/>
      <c r="DP13" s="365"/>
      <c r="DQ13" s="365"/>
      <c r="DR13" s="365"/>
      <c r="DS13" s="365"/>
      <c r="DT13" s="365"/>
      <c r="DU13" s="365"/>
      <c r="DV13" s="365"/>
      <c r="DW13" s="365"/>
      <c r="DX13" s="365"/>
      <c r="DY13" s="365"/>
      <c r="DZ13" s="365"/>
      <c r="EA13" s="365"/>
      <c r="EB13" s="365"/>
      <c r="EC13" s="365"/>
      <c r="ED13" s="58"/>
      <c r="EE13" s="77"/>
      <c r="EF13" s="580"/>
      <c r="EG13" s="154"/>
      <c r="EH13" s="154"/>
      <c r="EI13" s="154"/>
      <c r="EJ13" s="154"/>
      <c r="EK13" s="167"/>
      <c r="EL13" s="167"/>
      <c r="EM13" s="1710"/>
      <c r="EN13" s="154"/>
      <c r="EO13" s="154"/>
      <c r="EP13" s="154"/>
      <c r="EQ13" s="154"/>
      <c r="ER13" s="154"/>
      <c r="ES13" s="154"/>
      <c r="ET13" s="154"/>
      <c r="EU13" s="648"/>
      <c r="EV13" s="594"/>
      <c r="EW13"/>
      <c r="EX13"/>
      <c r="EY13"/>
      <c r="EZ13"/>
      <c r="FA13"/>
      <c r="FB13"/>
      <c r="FG13" s="1318"/>
      <c r="FH13" s="167"/>
      <c r="FI13" s="167"/>
      <c r="FJ13" s="167"/>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row>
    <row r="14" spans="1:260" s="47" customFormat="1" x14ac:dyDescent="0.2">
      <c r="A14" s="1183" t="s">
        <v>488</v>
      </c>
      <c r="B14" s="915">
        <v>134.28899999999999</v>
      </c>
      <c r="C14" s="915">
        <v>152.58600000000001</v>
      </c>
      <c r="D14" s="915">
        <v>208.56399999999999</v>
      </c>
      <c r="E14" s="909">
        <v>233.49200000000002</v>
      </c>
      <c r="F14" s="915">
        <v>221.185</v>
      </c>
      <c r="G14" s="915">
        <v>249.95400000000001</v>
      </c>
      <c r="H14" s="915">
        <v>311.92</v>
      </c>
      <c r="I14" s="909">
        <v>325.59300000000002</v>
      </c>
      <c r="J14" s="915">
        <v>350.03800000000001</v>
      </c>
      <c r="K14" s="915">
        <v>380.03200000000004</v>
      </c>
      <c r="L14" s="915">
        <v>418.45499999999998</v>
      </c>
      <c r="M14" s="909">
        <v>443.71499999999997</v>
      </c>
      <c r="N14" s="915">
        <v>459.52900000000005</v>
      </c>
      <c r="O14" s="915">
        <v>478.96199999999999</v>
      </c>
      <c r="P14" s="915">
        <v>494.24799999999999</v>
      </c>
      <c r="Q14" s="909">
        <v>519.827</v>
      </c>
      <c r="R14" s="915">
        <v>525.96800000000007</v>
      </c>
      <c r="S14" s="915">
        <v>546.95299999999997</v>
      </c>
      <c r="T14" s="915">
        <v>565.22900000000004</v>
      </c>
      <c r="U14" s="909">
        <v>581.572</v>
      </c>
      <c r="V14" s="915">
        <v>592.98299999999995</v>
      </c>
      <c r="W14" s="915">
        <v>608.33100000000002</v>
      </c>
      <c r="X14" s="915">
        <v>671.24900000000002</v>
      </c>
      <c r="Y14" s="909">
        <v>731.96400000000006</v>
      </c>
      <c r="Z14" s="915">
        <v>769.01900000000001</v>
      </c>
      <c r="AA14" s="915">
        <v>876.10599999999999</v>
      </c>
      <c r="AB14" s="915">
        <v>981.80899999999997</v>
      </c>
      <c r="AC14" s="909">
        <v>1093.471</v>
      </c>
      <c r="AD14" s="915">
        <v>1173</v>
      </c>
      <c r="AE14" s="915">
        <v>1354</v>
      </c>
      <c r="AF14" s="915">
        <v>1549</v>
      </c>
      <c r="AG14" s="909">
        <v>1987</v>
      </c>
      <c r="AH14" s="915">
        <v>2103</v>
      </c>
      <c r="AI14" s="915">
        <v>2236</v>
      </c>
      <c r="AJ14" s="915">
        <v>2606</v>
      </c>
      <c r="AK14" s="909">
        <v>2433</v>
      </c>
      <c r="AL14" s="915">
        <v>2892</v>
      </c>
      <c r="AM14" s="915">
        <v>2824</v>
      </c>
      <c r="AN14" s="1184" t="s">
        <v>599</v>
      </c>
      <c r="AO14" s="909">
        <v>3089</v>
      </c>
      <c r="AP14" s="1184"/>
      <c r="AQ14" s="1184"/>
      <c r="AR14" s="1184"/>
      <c r="AS14" s="909">
        <v>3574</v>
      </c>
      <c r="AT14" s="915">
        <v>3668</v>
      </c>
      <c r="AU14" s="915">
        <v>3773</v>
      </c>
      <c r="AV14" s="915">
        <v>3910</v>
      </c>
      <c r="AW14" s="909">
        <v>4192</v>
      </c>
      <c r="AX14" s="915">
        <v>4281</v>
      </c>
      <c r="AY14" s="915">
        <v>3773</v>
      </c>
      <c r="AZ14" s="915">
        <v>4658</v>
      </c>
      <c r="BA14" s="909">
        <v>4836</v>
      </c>
      <c r="BB14" s="915"/>
      <c r="BC14" s="915"/>
      <c r="BD14" s="915"/>
      <c r="BE14" s="909">
        <v>4904</v>
      </c>
      <c r="BF14" s="915">
        <v>5131</v>
      </c>
      <c r="BG14" s="915">
        <v>5328</v>
      </c>
      <c r="BH14" s="915">
        <v>5498</v>
      </c>
      <c r="BI14" s="909">
        <v>5608</v>
      </c>
      <c r="BJ14" s="915">
        <v>5879</v>
      </c>
      <c r="BK14" s="915">
        <v>6671</v>
      </c>
      <c r="BL14" s="915">
        <v>7513</v>
      </c>
      <c r="BM14" s="909">
        <v>6940</v>
      </c>
      <c r="BN14" s="1185"/>
      <c r="BO14" s="915"/>
      <c r="BP14" s="915"/>
      <c r="BQ14" s="909">
        <v>7453</v>
      </c>
      <c r="BR14" s="915">
        <v>7541</v>
      </c>
      <c r="BS14" s="915">
        <v>7649</v>
      </c>
      <c r="BT14" s="915">
        <v>7763</v>
      </c>
      <c r="BU14" s="909">
        <v>7905</v>
      </c>
      <c r="BV14" s="915">
        <v>8002.25</v>
      </c>
      <c r="BW14" s="915">
        <v>8106.5</v>
      </c>
      <c r="BX14" s="915">
        <v>8206.75</v>
      </c>
      <c r="BY14" s="909">
        <v>8252</v>
      </c>
      <c r="BZ14" s="915">
        <v>8288</v>
      </c>
      <c r="CA14" s="915">
        <v>8358</v>
      </c>
      <c r="CB14" s="915">
        <v>8459</v>
      </c>
      <c r="CC14" s="909">
        <v>8574</v>
      </c>
      <c r="CD14" s="1110">
        <v>8644.0589860929522</v>
      </c>
      <c r="CE14" s="920">
        <v>8667.1179721859044</v>
      </c>
      <c r="CF14" s="920">
        <v>8683.1179721859044</v>
      </c>
      <c r="CG14" s="909">
        <v>7575</v>
      </c>
      <c r="CH14" s="1386">
        <f>CG14-'Cash Flow'!CH32</f>
        <v>7686</v>
      </c>
      <c r="CI14" s="830">
        <f>CH14-'Cash Flow'!CI32</f>
        <v>7833</v>
      </c>
      <c r="CJ14" s="830">
        <f>CI14-'Cash Flow'!CJ32</f>
        <v>8000</v>
      </c>
      <c r="CK14" s="828">
        <f>CJ14-'Cash Flow'!CK32</f>
        <v>8136</v>
      </c>
      <c r="CL14" s="1386">
        <f>CK14-'Cash Flow'!CL32</f>
        <v>8260</v>
      </c>
      <c r="CM14" s="830">
        <f>CL14-'Cash Flow'!CM32</f>
        <v>8429</v>
      </c>
      <c r="CN14" s="830">
        <f>CM14-'Cash Flow'!CN32</f>
        <v>8629</v>
      </c>
      <c r="CO14" s="828">
        <f>CN14-'Cash Flow'!CO32</f>
        <v>8785</v>
      </c>
      <c r="CP14" s="1386">
        <f>CO14-'Cash Flow'!CP32</f>
        <v>8921</v>
      </c>
      <c r="CQ14" s="830">
        <f>CP14-'Cash Flow'!CQ32</f>
        <v>9061</v>
      </c>
      <c r="CR14" s="830">
        <f>CQ14-'Cash Flow'!CR32</f>
        <v>9230</v>
      </c>
      <c r="CS14" s="828">
        <f>CR14-'Cash Flow'!CS32</f>
        <v>9365</v>
      </c>
      <c r="CT14" s="830">
        <f>CS14-'Cash Flow'!CT32</f>
        <v>9518</v>
      </c>
      <c r="CU14" s="830">
        <f>CT14-'Cash Flow'!CU32</f>
        <v>9661</v>
      </c>
      <c r="CV14" s="830">
        <f>CU14-'Cash Flow'!CV32</f>
        <v>9854</v>
      </c>
      <c r="CW14" s="828">
        <f>CV14-'Cash Flow'!CW32</f>
        <v>10053</v>
      </c>
      <c r="CX14" s="1698">
        <f>CW14-'Cash Flow'!CX32</f>
        <v>10264.810656017899</v>
      </c>
      <c r="CY14" s="830">
        <f>CX14-'Cash Flow'!CY32</f>
        <v>10476.621312035797</v>
      </c>
      <c r="CZ14" s="830">
        <f>CY14-'Cash Flow'!CZ32</f>
        <v>10688.431968053696</v>
      </c>
      <c r="DA14" s="828">
        <f>CZ14-'Cash Flow'!DA32</f>
        <v>10900.242624071594</v>
      </c>
      <c r="DB14" s="917"/>
      <c r="DC14" s="909"/>
      <c r="DD14" s="1186" t="s">
        <v>599</v>
      </c>
      <c r="DE14" s="1186" t="s">
        <v>599</v>
      </c>
      <c r="DF14" s="1186" t="s">
        <v>599</v>
      </c>
      <c r="DG14" s="1186" t="s">
        <v>599</v>
      </c>
      <c r="DH14" s="1186" t="s">
        <v>599</v>
      </c>
      <c r="DI14" s="898">
        <v>60.879000000000005</v>
      </c>
      <c r="DJ14" s="898">
        <v>87.878999999999991</v>
      </c>
      <c r="DK14" s="898">
        <v>169.86700000000002</v>
      </c>
      <c r="DL14" s="898">
        <f>E14</f>
        <v>233.49200000000002</v>
      </c>
      <c r="DM14" s="898">
        <v>325.59300000000002</v>
      </c>
      <c r="DN14" s="898">
        <v>443.71499999999997</v>
      </c>
      <c r="DO14" s="898">
        <v>519.827</v>
      </c>
      <c r="DP14" s="898">
        <v>581.572</v>
      </c>
      <c r="DQ14" s="898">
        <v>731.96400000000006</v>
      </c>
      <c r="DR14" s="898">
        <v>1093.471</v>
      </c>
      <c r="DS14" s="898">
        <v>1987</v>
      </c>
      <c r="DT14" s="898">
        <v>2433</v>
      </c>
      <c r="DU14" s="898">
        <v>3089</v>
      </c>
      <c r="DV14" s="898">
        <v>3574</v>
      </c>
      <c r="DW14" s="898">
        <v>4192</v>
      </c>
      <c r="DX14" s="898">
        <v>4836</v>
      </c>
      <c r="DY14" s="898">
        <v>4904</v>
      </c>
      <c r="DZ14" s="898">
        <v>5608</v>
      </c>
      <c r="EA14" s="898">
        <v>6940</v>
      </c>
      <c r="EB14" s="898">
        <v>7453</v>
      </c>
      <c r="EC14" s="898">
        <v>7905</v>
      </c>
      <c r="ED14" s="898">
        <v>8252</v>
      </c>
      <c r="EE14" s="898">
        <v>7905</v>
      </c>
      <c r="EF14" s="917">
        <v>8252</v>
      </c>
      <c r="EG14" s="910">
        <f t="shared" ref="EG14:EG20" si="22">CC14</f>
        <v>8574</v>
      </c>
      <c r="EH14" s="830">
        <f t="shared" ref="EH14:EH20" si="23">CG14</f>
        <v>7575</v>
      </c>
      <c r="EI14" s="830">
        <f t="shared" ref="EI14:EI20" si="24">CK14</f>
        <v>8136</v>
      </c>
      <c r="EJ14" s="830">
        <f>CO14</f>
        <v>8785</v>
      </c>
      <c r="EK14" s="830">
        <f>CS14</f>
        <v>9365</v>
      </c>
      <c r="EL14" s="830">
        <f>CW14</f>
        <v>10053</v>
      </c>
      <c r="EM14" s="1698">
        <f>DA14</f>
        <v>10900.242624071594</v>
      </c>
      <c r="EN14" s="830">
        <f>EM14-'Cash Flow'!EN32</f>
        <v>11650.449710723969</v>
      </c>
      <c r="EO14" s="830">
        <f>EN14-'Cash Flow'!EO32</f>
        <v>12409.860490569819</v>
      </c>
      <c r="EP14" s="830">
        <f>EO14-'Cash Flow'!EP32</f>
        <v>13134.361702888245</v>
      </c>
      <c r="EQ14" s="830">
        <f>EP14-'Cash Flow'!EQ32</f>
        <v>13790.591637436179</v>
      </c>
      <c r="ER14" s="830">
        <f>EQ14-'Cash Flow'!ER32</f>
        <v>14470.690422654719</v>
      </c>
      <c r="ES14" s="830">
        <f>ER14-'Cash Flow'!ES32</f>
        <v>15161.816140339124</v>
      </c>
      <c r="ET14" s="830">
        <f>ES14-'Cash Flow'!ET32</f>
        <v>15864.372358450843</v>
      </c>
      <c r="EU14" s="828">
        <f>ET14-'Cash Flow'!EU32</f>
        <v>16578.780506894374</v>
      </c>
      <c r="EV14" s="917"/>
      <c r="EW14"/>
      <c r="EX14"/>
      <c r="EY14"/>
      <c r="EZ14"/>
      <c r="FA14"/>
      <c r="FB14"/>
      <c r="FG14" s="830"/>
      <c r="FH14" s="830"/>
      <c r="FI14" s="830"/>
      <c r="FJ14" s="830"/>
      <c r="FK14"/>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row>
    <row r="15" spans="1:260" s="47" customFormat="1" x14ac:dyDescent="0.2">
      <c r="A15" s="1172" t="s">
        <v>197</v>
      </c>
      <c r="B15" s="1173">
        <v>-45.869</v>
      </c>
      <c r="C15" s="1173">
        <v>-50.890999999999998</v>
      </c>
      <c r="D15" s="1173">
        <v>-56.017000000000003</v>
      </c>
      <c r="E15" s="1174">
        <v>-60.768000000000001</v>
      </c>
      <c r="F15" s="1173">
        <v>-68.906999999999996</v>
      </c>
      <c r="G15" s="1173">
        <v>-77.286000000000001</v>
      </c>
      <c r="H15" s="1173">
        <v>-88.031999999999996</v>
      </c>
      <c r="I15" s="1174">
        <v>-88.116</v>
      </c>
      <c r="J15" s="1173">
        <v>-100.785</v>
      </c>
      <c r="K15" s="1173">
        <v>-111.212</v>
      </c>
      <c r="L15" s="1173">
        <v>-120.66800000000001</v>
      </c>
      <c r="M15" s="1174">
        <v>-132.67599999999999</v>
      </c>
      <c r="N15" s="1173">
        <v>-149.44900000000001</v>
      </c>
      <c r="O15" s="1173">
        <v>-161.44499999999999</v>
      </c>
      <c r="P15" s="1173">
        <v>-173.78299999999999</v>
      </c>
      <c r="Q15" s="1174">
        <v>-188.19399999999999</v>
      </c>
      <c r="R15" s="1173">
        <v>-204.64699999999999</v>
      </c>
      <c r="S15" s="1173">
        <v>-222.72499999999999</v>
      </c>
      <c r="T15" s="1173">
        <v>-238.26900000000001</v>
      </c>
      <c r="U15" s="1174">
        <v>-248.648</v>
      </c>
      <c r="V15" s="1173">
        <v>-265.34500000000003</v>
      </c>
      <c r="W15" s="1173">
        <v>-280.137</v>
      </c>
      <c r="X15" s="1173">
        <v>-297.822</v>
      </c>
      <c r="Y15" s="1174">
        <v>-308.32400000000001</v>
      </c>
      <c r="Z15" s="1173">
        <v>-331.63200000000001</v>
      </c>
      <c r="AA15" s="1173">
        <v>-353.286</v>
      </c>
      <c r="AB15" s="1173">
        <v>-372.72199999999998</v>
      </c>
      <c r="AC15" s="1174">
        <v>-395.387</v>
      </c>
      <c r="AD15" s="1173">
        <v>-429</v>
      </c>
      <c r="AE15" s="1173">
        <v>-465</v>
      </c>
      <c r="AF15" s="1173">
        <v>-499</v>
      </c>
      <c r="AG15" s="1174">
        <v>-543</v>
      </c>
      <c r="AH15" s="1173">
        <v>-607</v>
      </c>
      <c r="AI15" s="1173">
        <v>-678</v>
      </c>
      <c r="AJ15" s="1173">
        <v>-853</v>
      </c>
      <c r="AK15" s="1174">
        <v>-772</v>
      </c>
      <c r="AL15" s="1173">
        <v>-904</v>
      </c>
      <c r="AM15" s="1173">
        <v>-907</v>
      </c>
      <c r="AN15" s="1175" t="s">
        <v>599</v>
      </c>
      <c r="AO15" s="912">
        <v>-1027</v>
      </c>
      <c r="AP15" s="1175"/>
      <c r="AQ15" s="1175"/>
      <c r="AR15" s="1175"/>
      <c r="AS15" s="912">
        <v>-1330</v>
      </c>
      <c r="AT15" s="918">
        <v>1429</v>
      </c>
      <c r="AU15" s="918">
        <v>1522</v>
      </c>
      <c r="AV15" s="918">
        <v>1591</v>
      </c>
      <c r="AW15" s="912">
        <v>-1728</v>
      </c>
      <c r="AX15" s="918">
        <v>-1825</v>
      </c>
      <c r="AY15" s="918">
        <v>-1522</v>
      </c>
      <c r="AZ15" s="918">
        <v>-2021</v>
      </c>
      <c r="BA15" s="912">
        <v>-2124</v>
      </c>
      <c r="BB15" s="918"/>
      <c r="BC15" s="918"/>
      <c r="BD15" s="918"/>
      <c r="BE15" s="912">
        <v>-1966</v>
      </c>
      <c r="BF15" s="918">
        <v>-2105</v>
      </c>
      <c r="BG15" s="918">
        <v>-2210</v>
      </c>
      <c r="BH15" s="918">
        <v>-2238</v>
      </c>
      <c r="BI15" s="912">
        <v>-2302</v>
      </c>
      <c r="BJ15" s="918">
        <v>-2423</v>
      </c>
      <c r="BK15" s="918">
        <v>-2552</v>
      </c>
      <c r="BL15" s="918">
        <v>-3245</v>
      </c>
      <c r="BM15" s="912">
        <v>-2766</v>
      </c>
      <c r="BN15" s="1176"/>
      <c r="BO15" s="918"/>
      <c r="BP15" s="918"/>
      <c r="BQ15" s="1174">
        <v>-3383</v>
      </c>
      <c r="BR15" s="1177">
        <f t="shared" ref="BR15:CF15" si="25">-(BR14-BR16)</f>
        <v>-3559</v>
      </c>
      <c r="BS15" s="1177">
        <f t="shared" si="25"/>
        <v>-3734</v>
      </c>
      <c r="BT15" s="1177">
        <f t="shared" si="25"/>
        <v>-3769</v>
      </c>
      <c r="BU15" s="1178">
        <f t="shared" si="25"/>
        <v>-4082</v>
      </c>
      <c r="BV15" s="1177">
        <f t="shared" si="25"/>
        <v>-4235.25</v>
      </c>
      <c r="BW15" s="1177">
        <f t="shared" si="25"/>
        <v>-4345.5</v>
      </c>
      <c r="BX15" s="1177">
        <f t="shared" si="25"/>
        <v>-4639.75</v>
      </c>
      <c r="BY15" s="1178">
        <f t="shared" si="25"/>
        <v>-4781</v>
      </c>
      <c r="BZ15" s="1177">
        <f t="shared" si="25"/>
        <v>-4881</v>
      </c>
      <c r="CA15" s="1177">
        <f t="shared" si="25"/>
        <v>-4951</v>
      </c>
      <c r="CB15" s="1177">
        <f t="shared" si="25"/>
        <v>-5052</v>
      </c>
      <c r="CC15" s="1178">
        <f t="shared" si="25"/>
        <v>-5304</v>
      </c>
      <c r="CD15" s="1179">
        <f t="shared" si="25"/>
        <v>-5814.0589860929522</v>
      </c>
      <c r="CE15" s="1177">
        <f t="shared" si="25"/>
        <v>-5923.1179721859044</v>
      </c>
      <c r="CF15" s="1177">
        <f t="shared" si="25"/>
        <v>-5957.1179721859044</v>
      </c>
      <c r="CG15" s="1174">
        <v>-4977</v>
      </c>
      <c r="CH15" s="1441">
        <f>CH16-CH14</f>
        <v>-5161</v>
      </c>
      <c r="CI15" s="1442">
        <f t="shared" ref="CI15:CQ15" si="26">-(CI14-CI16)</f>
        <v>-5301</v>
      </c>
      <c r="CJ15" s="1443">
        <f t="shared" si="26"/>
        <v>-5476</v>
      </c>
      <c r="CK15" s="1444">
        <f t="shared" si="26"/>
        <v>-5841</v>
      </c>
      <c r="CL15" s="1441">
        <f t="shared" si="26"/>
        <v>-6016</v>
      </c>
      <c r="CM15" s="1445">
        <f t="shared" si="26"/>
        <v>-6194</v>
      </c>
      <c r="CN15" s="1445">
        <f t="shared" si="26"/>
        <v>-6300</v>
      </c>
      <c r="CO15" s="1446">
        <f>-(CO14-CO16)</f>
        <v>-6439</v>
      </c>
      <c r="CP15" s="1441">
        <f t="shared" si="26"/>
        <v>-6589</v>
      </c>
      <c r="CQ15" s="1445">
        <f t="shared" si="26"/>
        <v>-6766</v>
      </c>
      <c r="CR15" s="1445">
        <f t="shared" ref="CR15:CW15" si="27">-(CR14-CR16)</f>
        <v>-6932</v>
      </c>
      <c r="CS15" s="1446">
        <f t="shared" si="27"/>
        <v>-7072</v>
      </c>
      <c r="CT15" s="1445">
        <f t="shared" si="27"/>
        <v>-7231</v>
      </c>
      <c r="CU15" s="1445">
        <f t="shared" si="27"/>
        <v>-7334</v>
      </c>
      <c r="CV15" s="1445">
        <f t="shared" si="27"/>
        <v>-7502</v>
      </c>
      <c r="CW15" s="1446">
        <f t="shared" si="27"/>
        <v>-7632</v>
      </c>
      <c r="CX15" s="1711">
        <f>CW15-'Cash Flow'!CX9-'Cash Flow'!CX10</f>
        <v>-7785.3176505681686</v>
      </c>
      <c r="CY15" s="1445">
        <f>CX15-'Cash Flow'!CY9-'Cash Flow'!CY10</f>
        <v>-7943.523500034933</v>
      </c>
      <c r="CZ15" s="1445">
        <f>CY15-'Cash Flow'!CZ9-'Cash Flow'!CZ10</f>
        <v>-8108.9274527312264</v>
      </c>
      <c r="DA15" s="1446">
        <f>CZ15-'Cash Flow'!DA9-'Cash Flow'!DA10</f>
        <v>-8376.7441276994214</v>
      </c>
      <c r="DB15" s="1110"/>
      <c r="DC15" s="916"/>
      <c r="DD15" s="1182" t="s">
        <v>599</v>
      </c>
      <c r="DE15" s="1182" t="s">
        <v>599</v>
      </c>
      <c r="DF15" s="1182" t="s">
        <v>599</v>
      </c>
      <c r="DG15" s="1182" t="s">
        <v>599</v>
      </c>
      <c r="DH15" s="1182" t="s">
        <v>599</v>
      </c>
      <c r="DI15" s="1181">
        <v>-21.306999999999999</v>
      </c>
      <c r="DJ15" s="1181">
        <v>-29.629000000000001</v>
      </c>
      <c r="DK15" s="1181">
        <v>-43.424999999999997</v>
      </c>
      <c r="DL15" s="1181">
        <f>+E15</f>
        <v>-60.768000000000001</v>
      </c>
      <c r="DM15" s="1181">
        <f>+I15</f>
        <v>-88.116</v>
      </c>
      <c r="DN15" s="1181">
        <f>+M15</f>
        <v>-132.67599999999999</v>
      </c>
      <c r="DO15" s="1181">
        <f>+Q15</f>
        <v>-188.19399999999999</v>
      </c>
      <c r="DP15" s="1181">
        <f>+U15</f>
        <v>-248.648</v>
      </c>
      <c r="DQ15" s="1181">
        <f>+Y15</f>
        <v>-308.32400000000001</v>
      </c>
      <c r="DR15" s="1181">
        <f>+AC15</f>
        <v>-395.387</v>
      </c>
      <c r="DS15" s="1181">
        <f>+AG15</f>
        <v>-543</v>
      </c>
      <c r="DT15" s="1181">
        <f>+AK15</f>
        <v>-772</v>
      </c>
      <c r="DU15" s="1181">
        <f t="shared" ref="DU15:DU20" si="28">+AO15</f>
        <v>-1027</v>
      </c>
      <c r="DV15" s="1181">
        <f t="shared" ref="DV15:DV20" si="29">+AS15</f>
        <v>-1330</v>
      </c>
      <c r="DW15" s="1181">
        <f t="shared" ref="DW15:DW20" si="30">+AW15</f>
        <v>-1728</v>
      </c>
      <c r="DX15" s="1181">
        <f t="shared" ref="DX15:DX20" si="31">+BA15</f>
        <v>-2124</v>
      </c>
      <c r="DY15" s="1181">
        <f t="shared" ref="DY15:DY20" si="32">BE15</f>
        <v>-1966</v>
      </c>
      <c r="DZ15" s="1181">
        <f t="shared" ref="DZ15:DZ20" si="33">BI15</f>
        <v>-2302</v>
      </c>
      <c r="EA15" s="1181">
        <f t="shared" ref="EA15:EA20" si="34">BM15</f>
        <v>-2766</v>
      </c>
      <c r="EB15" s="1181">
        <f t="shared" ref="EB15:EB20" si="35">BQ15</f>
        <v>-3383</v>
      </c>
      <c r="EC15" s="1181">
        <f t="shared" ref="EC15:EC20" si="36">BU15</f>
        <v>-4082</v>
      </c>
      <c r="ED15" s="1173">
        <f t="shared" ref="ED15:ED20" si="37">BY15</f>
        <v>-4781</v>
      </c>
      <c r="EE15" s="1181">
        <v>-4096</v>
      </c>
      <c r="EF15" s="1180">
        <v>-4761</v>
      </c>
      <c r="EG15" s="1173">
        <f t="shared" si="22"/>
        <v>-5304</v>
      </c>
      <c r="EH15" s="1452">
        <f t="shared" si="23"/>
        <v>-4977</v>
      </c>
      <c r="EI15" s="1452">
        <f t="shared" si="24"/>
        <v>-5841</v>
      </c>
      <c r="EJ15" s="1452">
        <f>CO15</f>
        <v>-6439</v>
      </c>
      <c r="EK15" s="1445">
        <f>CS15</f>
        <v>-7072</v>
      </c>
      <c r="EL15" s="1445">
        <f>CW15</f>
        <v>-7632</v>
      </c>
      <c r="EM15" s="1711">
        <f>DA15</f>
        <v>-8376.7441276994214</v>
      </c>
      <c r="EN15" s="1452">
        <f>EM15-'Cash Flow'!EN9-'Cash Flow'!EN10</f>
        <v>-9128.9946286982176</v>
      </c>
      <c r="EO15" s="1452">
        <f>EN15-'Cash Flow'!EO9-'Cash Flow'!EO10</f>
        <v>-9888.717707326492</v>
      </c>
      <c r="EP15" s="1452">
        <f>EO15-'Cash Flow'!EP9-'Cash Flow'!EP10</f>
        <v>-10655.058296844527</v>
      </c>
      <c r="EQ15" s="1452">
        <f>EP15-'Cash Flow'!EQ9-'Cash Flow'!EQ10</f>
        <v>-11431.125305888927</v>
      </c>
      <c r="ER15" s="1452">
        <f>EQ15-'Cash Flow'!ER9-'Cash Flow'!ER10</f>
        <v>-12217.301363597802</v>
      </c>
      <c r="ES15" s="1452">
        <f>ER15-'Cash Flow'!ES9-'Cash Flow'!ES10</f>
        <v>-13013.988055182419</v>
      </c>
      <c r="ET15" s="1452">
        <f>ES15-'Cash Flow'!ET9-'Cash Flow'!ET10</f>
        <v>-13821.60686834724</v>
      </c>
      <c r="EU15" s="1614">
        <f>ET15-'Cash Flow'!EU9-'Cash Flow'!EU10</f>
        <v>-14640.600187039647</v>
      </c>
      <c r="EV15" s="917"/>
      <c r="EW15"/>
      <c r="EX15"/>
      <c r="EY15"/>
      <c r="EZ15"/>
      <c r="FA15"/>
      <c r="FB15"/>
      <c r="FG15"/>
      <c r="FH15" s="2651"/>
      <c r="FI15" s="2651"/>
      <c r="FJ15" s="2651"/>
      <c r="FK15"/>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row>
    <row r="16" spans="1:260" s="4" customFormat="1" x14ac:dyDescent="0.2">
      <c r="A16" s="423" t="s">
        <v>198</v>
      </c>
      <c r="B16" s="915">
        <f t="shared" ref="B16:AB16" si="38">+B14+B15</f>
        <v>88.419999999999987</v>
      </c>
      <c r="C16" s="915">
        <f t="shared" si="38"/>
        <v>101.69500000000002</v>
      </c>
      <c r="D16" s="915">
        <f t="shared" si="38"/>
        <v>152.547</v>
      </c>
      <c r="E16" s="909">
        <f t="shared" si="38"/>
        <v>172.72400000000002</v>
      </c>
      <c r="F16" s="915">
        <f t="shared" si="38"/>
        <v>152.27800000000002</v>
      </c>
      <c r="G16" s="915">
        <f t="shared" si="38"/>
        <v>172.66800000000001</v>
      </c>
      <c r="H16" s="915">
        <f t="shared" si="38"/>
        <v>223.88800000000003</v>
      </c>
      <c r="I16" s="909">
        <f t="shared" si="38"/>
        <v>237.47700000000003</v>
      </c>
      <c r="J16" s="915">
        <f t="shared" si="38"/>
        <v>249.25300000000001</v>
      </c>
      <c r="K16" s="915">
        <f t="shared" si="38"/>
        <v>268.82000000000005</v>
      </c>
      <c r="L16" s="915">
        <f t="shared" si="38"/>
        <v>297.78699999999998</v>
      </c>
      <c r="M16" s="909">
        <f t="shared" si="38"/>
        <v>311.03899999999999</v>
      </c>
      <c r="N16" s="915">
        <f t="shared" si="38"/>
        <v>310.08000000000004</v>
      </c>
      <c r="O16" s="915">
        <f t="shared" si="38"/>
        <v>317.517</v>
      </c>
      <c r="P16" s="915">
        <f t="shared" si="38"/>
        <v>320.46500000000003</v>
      </c>
      <c r="Q16" s="909">
        <f t="shared" si="38"/>
        <v>331.63300000000004</v>
      </c>
      <c r="R16" s="915">
        <f t="shared" si="38"/>
        <v>321.32100000000008</v>
      </c>
      <c r="S16" s="915">
        <f t="shared" si="38"/>
        <v>324.22799999999995</v>
      </c>
      <c r="T16" s="915">
        <f t="shared" si="38"/>
        <v>326.96000000000004</v>
      </c>
      <c r="U16" s="909">
        <f t="shared" si="38"/>
        <v>332.92399999999998</v>
      </c>
      <c r="V16" s="915">
        <f t="shared" si="38"/>
        <v>327.63799999999992</v>
      </c>
      <c r="W16" s="915">
        <f t="shared" si="38"/>
        <v>328.19400000000002</v>
      </c>
      <c r="X16" s="915">
        <f t="shared" si="38"/>
        <v>373.42700000000002</v>
      </c>
      <c r="Y16" s="909">
        <f t="shared" si="38"/>
        <v>423.64000000000004</v>
      </c>
      <c r="Z16" s="915">
        <f t="shared" si="38"/>
        <v>437.387</v>
      </c>
      <c r="AA16" s="915">
        <f t="shared" si="38"/>
        <v>522.81999999999994</v>
      </c>
      <c r="AB16" s="915">
        <f t="shared" si="38"/>
        <v>609.08699999999999</v>
      </c>
      <c r="AC16" s="909">
        <v>698.08399999999995</v>
      </c>
      <c r="AD16" s="915">
        <v>744</v>
      </c>
      <c r="AE16" s="915">
        <v>889</v>
      </c>
      <c r="AF16" s="915">
        <v>1050</v>
      </c>
      <c r="AG16" s="909">
        <v>1444</v>
      </c>
      <c r="AH16" s="915">
        <f t="shared" ref="AH16:AM16" si="39">+AH14+AH15</f>
        <v>1496</v>
      </c>
      <c r="AI16" s="915">
        <f t="shared" si="39"/>
        <v>1558</v>
      </c>
      <c r="AJ16" s="915">
        <f t="shared" si="39"/>
        <v>1753</v>
      </c>
      <c r="AK16" s="909">
        <f t="shared" si="39"/>
        <v>1661</v>
      </c>
      <c r="AL16" s="915">
        <f t="shared" si="39"/>
        <v>1988</v>
      </c>
      <c r="AM16" s="915">
        <f t="shared" si="39"/>
        <v>1917</v>
      </c>
      <c r="AN16" s="915">
        <v>2025</v>
      </c>
      <c r="AO16" s="909">
        <f>+AO14+AO15</f>
        <v>2062</v>
      </c>
      <c r="AP16" s="915">
        <v>2161</v>
      </c>
      <c r="AQ16" s="915">
        <v>2229</v>
      </c>
      <c r="AR16" s="915">
        <v>2261</v>
      </c>
      <c r="AS16" s="909">
        <f>+AS14+AS15</f>
        <v>2244</v>
      </c>
      <c r="AT16" s="915">
        <v>2239</v>
      </c>
      <c r="AU16" s="915">
        <v>2251</v>
      </c>
      <c r="AV16" s="915">
        <v>2319</v>
      </c>
      <c r="AW16" s="909">
        <f>+AW14+AW15</f>
        <v>2464</v>
      </c>
      <c r="AX16" s="915">
        <v>2456</v>
      </c>
      <c r="AY16" s="915">
        <v>2523</v>
      </c>
      <c r="AZ16" s="915">
        <v>2637</v>
      </c>
      <c r="BA16" s="909">
        <v>2712</v>
      </c>
      <c r="BB16" s="915">
        <v>2712</v>
      </c>
      <c r="BC16" s="915">
        <v>2787</v>
      </c>
      <c r="BD16" s="915">
        <v>2971</v>
      </c>
      <c r="BE16" s="909">
        <v>2938</v>
      </c>
      <c r="BF16" s="915">
        <f t="shared" ref="BF16:BM16" si="40">BF14+BF15</f>
        <v>3026</v>
      </c>
      <c r="BG16" s="915">
        <f t="shared" si="40"/>
        <v>3118</v>
      </c>
      <c r="BH16" s="915">
        <f t="shared" si="40"/>
        <v>3260</v>
      </c>
      <c r="BI16" s="909">
        <f t="shared" si="40"/>
        <v>3306</v>
      </c>
      <c r="BJ16" s="915">
        <f t="shared" si="40"/>
        <v>3456</v>
      </c>
      <c r="BK16" s="915">
        <f t="shared" si="40"/>
        <v>4119</v>
      </c>
      <c r="BL16" s="915">
        <f t="shared" si="40"/>
        <v>4268</v>
      </c>
      <c r="BM16" s="909">
        <f t="shared" si="40"/>
        <v>4174</v>
      </c>
      <c r="BN16" s="915">
        <v>4184</v>
      </c>
      <c r="BO16" s="915">
        <v>4162</v>
      </c>
      <c r="BP16" s="915">
        <v>4123</v>
      </c>
      <c r="BQ16" s="909">
        <f>BQ14+BQ15</f>
        <v>4070</v>
      </c>
      <c r="BR16" s="915">
        <v>3982</v>
      </c>
      <c r="BS16" s="915">
        <v>3915</v>
      </c>
      <c r="BT16" s="915">
        <v>3994</v>
      </c>
      <c r="BU16" s="909">
        <v>3823</v>
      </c>
      <c r="BV16" s="898">
        <v>3767</v>
      </c>
      <c r="BW16" s="898">
        <v>3761</v>
      </c>
      <c r="BX16" s="898">
        <v>3567</v>
      </c>
      <c r="BY16" s="909">
        <v>3471</v>
      </c>
      <c r="BZ16" s="898">
        <v>3407</v>
      </c>
      <c r="CA16" s="898">
        <v>3407</v>
      </c>
      <c r="CB16" s="898">
        <v>3407</v>
      </c>
      <c r="CC16" s="909">
        <v>3270</v>
      </c>
      <c r="CD16" s="917">
        <v>2830</v>
      </c>
      <c r="CE16" s="910">
        <v>2744</v>
      </c>
      <c r="CF16" s="910">
        <v>2726</v>
      </c>
      <c r="CG16" s="909">
        <f>CG14+CG15</f>
        <v>2598</v>
      </c>
      <c r="CH16" s="1386">
        <v>2525</v>
      </c>
      <c r="CI16" s="830">
        <v>2532</v>
      </c>
      <c r="CJ16" s="830">
        <v>2524</v>
      </c>
      <c r="CK16" s="828">
        <v>2295</v>
      </c>
      <c r="CL16" s="1386">
        <v>2244</v>
      </c>
      <c r="CM16" s="830">
        <v>2235</v>
      </c>
      <c r="CN16" s="830">
        <v>2329</v>
      </c>
      <c r="CO16" s="828">
        <v>2346</v>
      </c>
      <c r="CP16" s="1386">
        <v>2332</v>
      </c>
      <c r="CQ16" s="830">
        <v>2295</v>
      </c>
      <c r="CR16" s="830">
        <v>2298</v>
      </c>
      <c r="CS16" s="828">
        <v>2293</v>
      </c>
      <c r="CT16" s="830">
        <v>2287</v>
      </c>
      <c r="CU16" s="830">
        <v>2327</v>
      </c>
      <c r="CV16" s="830">
        <v>2352</v>
      </c>
      <c r="CW16" s="828">
        <v>2421</v>
      </c>
      <c r="CX16" s="1698">
        <f t="shared" ref="CX16:DA16" si="41">CX14+CX15</f>
        <v>2479.4930054497299</v>
      </c>
      <c r="CY16" s="830">
        <f t="shared" si="41"/>
        <v>2533.097812000864</v>
      </c>
      <c r="CZ16" s="830">
        <f t="shared" si="41"/>
        <v>2579.5045153224692</v>
      </c>
      <c r="DA16" s="828">
        <f t="shared" si="41"/>
        <v>2523.4984963721727</v>
      </c>
      <c r="DB16" s="666"/>
      <c r="DC16" s="648"/>
      <c r="DD16" s="898">
        <v>3.278</v>
      </c>
      <c r="DE16" s="898">
        <v>12.928000000000001</v>
      </c>
      <c r="DF16" s="898">
        <v>27.838000000000001</v>
      </c>
      <c r="DG16" s="898">
        <v>24.834</v>
      </c>
      <c r="DH16" s="898">
        <v>27.358990000000002</v>
      </c>
      <c r="DI16" s="898">
        <f>+DI14+DI15</f>
        <v>39.572000000000003</v>
      </c>
      <c r="DJ16" s="898">
        <f>+DJ14+DJ15</f>
        <v>58.249999999999986</v>
      </c>
      <c r="DK16" s="898">
        <f>+DK14+DK15</f>
        <v>126.44200000000002</v>
      </c>
      <c r="DL16" s="898">
        <f>+E16</f>
        <v>172.72400000000002</v>
      </c>
      <c r="DM16" s="898">
        <f>+I16</f>
        <v>237.47700000000003</v>
      </c>
      <c r="DN16" s="898">
        <f>+M16</f>
        <v>311.03899999999999</v>
      </c>
      <c r="DO16" s="898">
        <f>+Q16</f>
        <v>331.63300000000004</v>
      </c>
      <c r="DP16" s="898">
        <f>+U16</f>
        <v>332.92399999999998</v>
      </c>
      <c r="DQ16" s="898">
        <f>+Y16</f>
        <v>423.64000000000004</v>
      </c>
      <c r="DR16" s="898">
        <f>+AC16</f>
        <v>698.08399999999995</v>
      </c>
      <c r="DS16" s="898">
        <f>+AG16</f>
        <v>1444</v>
      </c>
      <c r="DT16" s="898">
        <f>+AK16</f>
        <v>1661</v>
      </c>
      <c r="DU16" s="898">
        <f t="shared" si="28"/>
        <v>2062</v>
      </c>
      <c r="DV16" s="898">
        <f t="shared" si="29"/>
        <v>2244</v>
      </c>
      <c r="DW16" s="898">
        <f t="shared" si="30"/>
        <v>2464</v>
      </c>
      <c r="DX16" s="898">
        <f t="shared" si="31"/>
        <v>2712</v>
      </c>
      <c r="DY16" s="898">
        <f t="shared" si="32"/>
        <v>2938</v>
      </c>
      <c r="DZ16" s="898">
        <f t="shared" si="33"/>
        <v>3306</v>
      </c>
      <c r="EA16" s="898">
        <f t="shared" si="34"/>
        <v>4174</v>
      </c>
      <c r="EB16" s="898">
        <f t="shared" si="35"/>
        <v>4070</v>
      </c>
      <c r="EC16" s="898">
        <f t="shared" si="36"/>
        <v>3823</v>
      </c>
      <c r="ED16" s="915">
        <f t="shared" si="37"/>
        <v>3471</v>
      </c>
      <c r="EE16" s="898">
        <v>3809</v>
      </c>
      <c r="EF16" s="917">
        <v>3491</v>
      </c>
      <c r="EG16" s="910">
        <f t="shared" si="22"/>
        <v>3270</v>
      </c>
      <c r="EH16" s="829">
        <f t="shared" si="23"/>
        <v>2598</v>
      </c>
      <c r="EI16" s="829">
        <f t="shared" si="24"/>
        <v>2295</v>
      </c>
      <c r="EJ16" s="829">
        <f t="shared" ref="EJ16:EP16" si="42">SUM(EJ14:EJ15)</f>
        <v>2346</v>
      </c>
      <c r="EK16" s="830">
        <f t="shared" si="42"/>
        <v>2293</v>
      </c>
      <c r="EL16" s="830">
        <f>SUM(EL14:EL15)</f>
        <v>2421</v>
      </c>
      <c r="EM16" s="1698">
        <f>SUM(EM14:EM15)</f>
        <v>2523.4984963721727</v>
      </c>
      <c r="EN16" s="829">
        <f t="shared" si="42"/>
        <v>2521.4550820257518</v>
      </c>
      <c r="EO16" s="829">
        <f t="shared" si="42"/>
        <v>2521.1427832433274</v>
      </c>
      <c r="EP16" s="829">
        <f t="shared" si="42"/>
        <v>2479.3034060437185</v>
      </c>
      <c r="EQ16" s="829">
        <f>SUM(EQ14:EQ15)</f>
        <v>2359.4663315472517</v>
      </c>
      <c r="ER16" s="829">
        <f>SUM(ER14:ER15)</f>
        <v>2253.3890590569172</v>
      </c>
      <c r="ES16" s="829">
        <f>SUM(ES14:ES15)</f>
        <v>2147.8280851567051</v>
      </c>
      <c r="ET16" s="829">
        <f>SUM(ET14:ET15)</f>
        <v>2042.7654901036021</v>
      </c>
      <c r="EU16" s="827">
        <f>SUM(EU14:EU15)</f>
        <v>1938.1803198547277</v>
      </c>
      <c r="EV16" s="594"/>
      <c r="EW16"/>
      <c r="EX16"/>
      <c r="EY16"/>
      <c r="EZ16"/>
      <c r="FA16"/>
      <c r="FB16"/>
      <c r="FG16" s="830"/>
      <c r="FH16" s="830"/>
      <c r="FI16" s="830"/>
      <c r="FJ16" s="830"/>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row>
    <row r="17" spans="1:260" s="4" customFormat="1" x14ac:dyDescent="0.2">
      <c r="A17" s="599" t="s">
        <v>100</v>
      </c>
      <c r="B17" s="915">
        <v>0</v>
      </c>
      <c r="C17" s="915">
        <v>0</v>
      </c>
      <c r="D17" s="915">
        <v>0</v>
      </c>
      <c r="E17" s="909">
        <v>0</v>
      </c>
      <c r="F17" s="915">
        <v>0</v>
      </c>
      <c r="G17" s="915">
        <v>0</v>
      </c>
      <c r="H17" s="915">
        <v>0</v>
      </c>
      <c r="I17" s="909">
        <v>0</v>
      </c>
      <c r="J17" s="915">
        <v>0</v>
      </c>
      <c r="K17" s="915">
        <v>0</v>
      </c>
      <c r="L17" s="915">
        <v>0</v>
      </c>
      <c r="M17" s="909">
        <v>0</v>
      </c>
      <c r="N17" s="915">
        <v>0</v>
      </c>
      <c r="O17" s="915">
        <v>0</v>
      </c>
      <c r="P17" s="915">
        <v>0</v>
      </c>
      <c r="Q17" s="909">
        <v>0</v>
      </c>
      <c r="R17" s="915">
        <v>0</v>
      </c>
      <c r="S17" s="915">
        <v>0</v>
      </c>
      <c r="T17" s="915">
        <v>0</v>
      </c>
      <c r="U17" s="909">
        <v>0</v>
      </c>
      <c r="V17" s="915">
        <v>0</v>
      </c>
      <c r="W17" s="915">
        <v>0</v>
      </c>
      <c r="X17" s="915">
        <v>0</v>
      </c>
      <c r="Y17" s="909">
        <v>0</v>
      </c>
      <c r="Z17" s="915">
        <v>0</v>
      </c>
      <c r="AA17" s="915">
        <v>0</v>
      </c>
      <c r="AB17" s="915">
        <v>0</v>
      </c>
      <c r="AC17" s="909">
        <v>0</v>
      </c>
      <c r="AD17" s="915">
        <v>0</v>
      </c>
      <c r="AE17" s="915">
        <v>0</v>
      </c>
      <c r="AF17" s="915">
        <v>0</v>
      </c>
      <c r="AG17" s="909">
        <v>385</v>
      </c>
      <c r="AH17" s="915">
        <v>381</v>
      </c>
      <c r="AI17" s="915">
        <v>376</v>
      </c>
      <c r="AJ17" s="915">
        <v>750</v>
      </c>
      <c r="AK17" s="909">
        <v>465</v>
      </c>
      <c r="AL17" s="915">
        <v>791</v>
      </c>
      <c r="AM17" s="915">
        <v>410</v>
      </c>
      <c r="AN17" s="915">
        <v>407</v>
      </c>
      <c r="AO17" s="909">
        <v>429</v>
      </c>
      <c r="AP17" s="915">
        <v>465</v>
      </c>
      <c r="AQ17" s="915">
        <v>459</v>
      </c>
      <c r="AR17" s="915">
        <v>489</v>
      </c>
      <c r="AS17" s="909">
        <v>477</v>
      </c>
      <c r="AT17" s="915">
        <v>467</v>
      </c>
      <c r="AU17" s="915">
        <v>485</v>
      </c>
      <c r="AV17" s="915">
        <v>540</v>
      </c>
      <c r="AW17" s="909">
        <v>513</v>
      </c>
      <c r="AX17" s="915">
        <v>507</v>
      </c>
      <c r="AY17" s="915">
        <v>529</v>
      </c>
      <c r="AZ17" s="915">
        <v>546</v>
      </c>
      <c r="BA17" s="909">
        <v>557</v>
      </c>
      <c r="BB17" s="915">
        <v>955</v>
      </c>
      <c r="BC17" s="915">
        <v>1010</v>
      </c>
      <c r="BD17" s="915">
        <v>991</v>
      </c>
      <c r="BE17" s="909">
        <v>919</v>
      </c>
      <c r="BF17" s="915">
        <v>1049</v>
      </c>
      <c r="BG17" s="915">
        <v>1053</v>
      </c>
      <c r="BH17" s="915">
        <v>1086</v>
      </c>
      <c r="BI17" s="909">
        <v>1088</v>
      </c>
      <c r="BJ17" s="915">
        <v>1085</v>
      </c>
      <c r="BK17" s="915">
        <v>2536</v>
      </c>
      <c r="BL17" s="915">
        <v>2414</v>
      </c>
      <c r="BM17" s="909">
        <v>2203</v>
      </c>
      <c r="BN17" s="915">
        <v>2296</v>
      </c>
      <c r="BO17" s="915">
        <v>2442</v>
      </c>
      <c r="BP17" s="915">
        <v>2421</v>
      </c>
      <c r="BQ17" s="909">
        <v>2452</v>
      </c>
      <c r="BR17" s="915">
        <v>2386</v>
      </c>
      <c r="BS17" s="915">
        <v>2365</v>
      </c>
      <c r="BT17" s="915">
        <v>2441</v>
      </c>
      <c r="BU17" s="909">
        <v>2454</v>
      </c>
      <c r="BV17" s="898">
        <v>2488</v>
      </c>
      <c r="BW17" s="898">
        <v>2486</v>
      </c>
      <c r="BX17" s="898">
        <v>2420</v>
      </c>
      <c r="BY17" s="909">
        <v>1335</v>
      </c>
      <c r="BZ17" s="898">
        <v>1335</v>
      </c>
      <c r="CA17" s="898">
        <v>1342</v>
      </c>
      <c r="CB17" s="898">
        <v>1344</v>
      </c>
      <c r="CC17" s="909">
        <v>528</v>
      </c>
      <c r="CD17" s="917">
        <v>528</v>
      </c>
      <c r="CE17" s="910">
        <v>528</v>
      </c>
      <c r="CF17" s="910">
        <v>528</v>
      </c>
      <c r="CG17" s="909">
        <v>425</v>
      </c>
      <c r="CH17" s="1386">
        <v>425</v>
      </c>
      <c r="CI17" s="830">
        <v>425</v>
      </c>
      <c r="CJ17" s="830">
        <v>425</v>
      </c>
      <c r="CK17" s="828">
        <v>425</v>
      </c>
      <c r="CL17" s="1386">
        <v>425</v>
      </c>
      <c r="CM17" s="830">
        <v>425</v>
      </c>
      <c r="CN17" s="830">
        <v>425</v>
      </c>
      <c r="CO17" s="828">
        <v>425</v>
      </c>
      <c r="CP17" s="1386">
        <v>425</v>
      </c>
      <c r="CQ17" s="830">
        <v>425</v>
      </c>
      <c r="CR17" s="830">
        <v>425</v>
      </c>
      <c r="CS17" s="828">
        <v>425</v>
      </c>
      <c r="CT17" s="830">
        <v>425</v>
      </c>
      <c r="CU17" s="830">
        <v>425</v>
      </c>
      <c r="CV17" s="830">
        <v>425</v>
      </c>
      <c r="CW17" s="828">
        <v>425</v>
      </c>
      <c r="CX17" s="1698">
        <f t="shared" ref="CX17:DA19" si="43">CW17</f>
        <v>425</v>
      </c>
      <c r="CY17" s="830">
        <f t="shared" si="43"/>
        <v>425</v>
      </c>
      <c r="CZ17" s="830">
        <f t="shared" si="43"/>
        <v>425</v>
      </c>
      <c r="DA17" s="828">
        <f t="shared" si="43"/>
        <v>425</v>
      </c>
      <c r="DB17" s="667"/>
      <c r="DC17" s="524"/>
      <c r="DD17" s="898">
        <v>0</v>
      </c>
      <c r="DE17" s="898">
        <v>0</v>
      </c>
      <c r="DF17" s="898">
        <v>0</v>
      </c>
      <c r="DG17" s="898">
        <v>0</v>
      </c>
      <c r="DH17" s="910">
        <v>0</v>
      </c>
      <c r="DI17" s="910">
        <v>0</v>
      </c>
      <c r="DJ17" s="910">
        <v>0</v>
      </c>
      <c r="DK17" s="910">
        <v>0</v>
      </c>
      <c r="DL17" s="898">
        <f>+E17</f>
        <v>0</v>
      </c>
      <c r="DM17" s="898">
        <f>+I17</f>
        <v>0</v>
      </c>
      <c r="DN17" s="898">
        <f>+M17</f>
        <v>0</v>
      </c>
      <c r="DO17" s="898">
        <f>+Q17</f>
        <v>0</v>
      </c>
      <c r="DP17" s="898">
        <f>+U17</f>
        <v>0</v>
      </c>
      <c r="DQ17" s="898">
        <f>+Y17</f>
        <v>0</v>
      </c>
      <c r="DR17" s="898">
        <f>+AC17</f>
        <v>0</v>
      </c>
      <c r="DS17" s="898">
        <f>+AG17</f>
        <v>385</v>
      </c>
      <c r="DT17" s="898">
        <f>+AK17</f>
        <v>465</v>
      </c>
      <c r="DU17" s="898">
        <f t="shared" si="28"/>
        <v>429</v>
      </c>
      <c r="DV17" s="898">
        <f t="shared" si="29"/>
        <v>477</v>
      </c>
      <c r="DW17" s="898">
        <f t="shared" si="30"/>
        <v>513</v>
      </c>
      <c r="DX17" s="898">
        <f t="shared" si="31"/>
        <v>557</v>
      </c>
      <c r="DY17" s="898">
        <f t="shared" si="32"/>
        <v>919</v>
      </c>
      <c r="DZ17" s="898">
        <f t="shared" si="33"/>
        <v>1088</v>
      </c>
      <c r="EA17" s="898">
        <f t="shared" si="34"/>
        <v>2203</v>
      </c>
      <c r="EB17" s="898">
        <f t="shared" si="35"/>
        <v>2452</v>
      </c>
      <c r="EC17" s="898">
        <f t="shared" si="36"/>
        <v>2454</v>
      </c>
      <c r="ED17" s="915">
        <f t="shared" si="37"/>
        <v>1335</v>
      </c>
      <c r="EE17" s="898">
        <v>2443</v>
      </c>
      <c r="EF17" s="917">
        <v>1328</v>
      </c>
      <c r="EG17" s="910">
        <f t="shared" si="22"/>
        <v>528</v>
      </c>
      <c r="EH17" s="830">
        <f t="shared" si="23"/>
        <v>425</v>
      </c>
      <c r="EI17" s="830">
        <f t="shared" si="24"/>
        <v>425</v>
      </c>
      <c r="EJ17" s="830">
        <f>CO17</f>
        <v>425</v>
      </c>
      <c r="EK17" s="830">
        <f>CS17</f>
        <v>425</v>
      </c>
      <c r="EL17" s="830">
        <f>CW17</f>
        <v>425</v>
      </c>
      <c r="EM17" s="1698">
        <f>DA17</f>
        <v>425</v>
      </c>
      <c r="EN17" s="830">
        <f t="shared" ref="EN17:EP19" si="44">EM17</f>
        <v>425</v>
      </c>
      <c r="EO17" s="830">
        <f t="shared" si="44"/>
        <v>425</v>
      </c>
      <c r="EP17" s="830">
        <f t="shared" si="44"/>
        <v>425</v>
      </c>
      <c r="EQ17" s="830">
        <f t="shared" ref="EQ17:EU19" si="45">EP17</f>
        <v>425</v>
      </c>
      <c r="ER17" s="830">
        <f t="shared" si="45"/>
        <v>425</v>
      </c>
      <c r="ES17" s="830">
        <f t="shared" si="45"/>
        <v>425</v>
      </c>
      <c r="ET17" s="830">
        <f t="shared" si="45"/>
        <v>425</v>
      </c>
      <c r="EU17" s="828">
        <f t="shared" si="45"/>
        <v>425</v>
      </c>
      <c r="EV17" s="594"/>
      <c r="EW17"/>
      <c r="EX17"/>
      <c r="EY17"/>
      <c r="EZ17"/>
      <c r="FA17"/>
      <c r="FB17"/>
      <c r="FG17" s="830"/>
      <c r="FH17" s="830"/>
      <c r="FI17" s="830"/>
      <c r="FJ17" s="830"/>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row>
    <row r="18" spans="1:260" s="4" customFormat="1" x14ac:dyDescent="0.2">
      <c r="A18" s="599" t="s">
        <v>555</v>
      </c>
      <c r="B18" s="915">
        <v>0</v>
      </c>
      <c r="C18" s="915">
        <v>0</v>
      </c>
      <c r="D18" s="915">
        <v>0</v>
      </c>
      <c r="E18" s="909">
        <v>0</v>
      </c>
      <c r="F18" s="915">
        <v>0</v>
      </c>
      <c r="G18" s="915">
        <v>0</v>
      </c>
      <c r="H18" s="915">
        <v>0</v>
      </c>
      <c r="I18" s="909">
        <v>0</v>
      </c>
      <c r="J18" s="915">
        <v>0</v>
      </c>
      <c r="K18" s="915">
        <v>0</v>
      </c>
      <c r="L18" s="915">
        <v>0</v>
      </c>
      <c r="M18" s="909">
        <v>0</v>
      </c>
      <c r="N18" s="915">
        <v>0</v>
      </c>
      <c r="O18" s="915">
        <v>0</v>
      </c>
      <c r="P18" s="915">
        <v>0</v>
      </c>
      <c r="Q18" s="909">
        <v>0</v>
      </c>
      <c r="R18" s="915">
        <v>0</v>
      </c>
      <c r="S18" s="915">
        <v>0</v>
      </c>
      <c r="T18" s="915">
        <v>0</v>
      </c>
      <c r="U18" s="909">
        <v>0</v>
      </c>
      <c r="V18" s="915">
        <v>0</v>
      </c>
      <c r="W18" s="915">
        <v>0</v>
      </c>
      <c r="X18" s="915">
        <v>0</v>
      </c>
      <c r="Y18" s="909">
        <v>0</v>
      </c>
      <c r="Z18" s="915">
        <v>0</v>
      </c>
      <c r="AA18" s="915">
        <v>0</v>
      </c>
      <c r="AB18" s="915">
        <v>0</v>
      </c>
      <c r="AC18" s="909">
        <v>0</v>
      </c>
      <c r="AD18" s="915">
        <v>0</v>
      </c>
      <c r="AE18" s="915">
        <v>0</v>
      </c>
      <c r="AF18" s="915">
        <v>0</v>
      </c>
      <c r="AG18" s="909">
        <v>0</v>
      </c>
      <c r="AH18" s="915">
        <v>0</v>
      </c>
      <c r="AI18" s="915">
        <v>0</v>
      </c>
      <c r="AJ18" s="915">
        <v>0</v>
      </c>
      <c r="AK18" s="909">
        <v>0</v>
      </c>
      <c r="AL18" s="898">
        <v>0</v>
      </c>
      <c r="AM18" s="898">
        <v>0</v>
      </c>
      <c r="AN18" s="898">
        <v>32</v>
      </c>
      <c r="AO18" s="909">
        <v>33</v>
      </c>
      <c r="AP18" s="898">
        <v>0</v>
      </c>
      <c r="AQ18" s="898">
        <v>0</v>
      </c>
      <c r="AR18" s="898">
        <v>38</v>
      </c>
      <c r="AS18" s="909">
        <v>37</v>
      </c>
      <c r="AT18" s="898">
        <v>37</v>
      </c>
      <c r="AU18" s="898">
        <v>38</v>
      </c>
      <c r="AV18" s="898">
        <v>42</v>
      </c>
      <c r="AW18" s="909">
        <v>40</v>
      </c>
      <c r="AX18" s="898">
        <v>40</v>
      </c>
      <c r="AY18" s="898">
        <v>42</v>
      </c>
      <c r="AZ18" s="898">
        <v>46</v>
      </c>
      <c r="BA18" s="909">
        <v>44</v>
      </c>
      <c r="BB18" s="898">
        <v>63</v>
      </c>
      <c r="BC18" s="898">
        <v>83</v>
      </c>
      <c r="BD18" s="898">
        <v>83</v>
      </c>
      <c r="BE18" s="909">
        <v>81</v>
      </c>
      <c r="BF18" s="898">
        <v>93</v>
      </c>
      <c r="BG18" s="898">
        <v>93</v>
      </c>
      <c r="BH18" s="898">
        <v>96</v>
      </c>
      <c r="BI18" s="909">
        <f>97+5</f>
        <v>102</v>
      </c>
      <c r="BJ18" s="898">
        <v>98</v>
      </c>
      <c r="BK18" s="898">
        <v>188</v>
      </c>
      <c r="BL18" s="898">
        <v>182</v>
      </c>
      <c r="BM18" s="909">
        <f>173+322</f>
        <v>495</v>
      </c>
      <c r="BN18" s="898">
        <f>167+305</f>
        <v>472</v>
      </c>
      <c r="BO18" s="898">
        <f>318+168</f>
        <v>486</v>
      </c>
      <c r="BP18" s="898">
        <f>292+163</f>
        <v>455</v>
      </c>
      <c r="BQ18" s="909">
        <f>159+279</f>
        <v>438</v>
      </c>
      <c r="BR18" s="898">
        <f>153+247</f>
        <v>400</v>
      </c>
      <c r="BS18" s="898">
        <f>147+227</f>
        <v>374</v>
      </c>
      <c r="BT18" s="898">
        <f>145+220</f>
        <v>365</v>
      </c>
      <c r="BU18" s="909">
        <f>133+203</f>
        <v>336</v>
      </c>
      <c r="BV18" s="898">
        <f>134+194</f>
        <v>328</v>
      </c>
      <c r="BW18" s="898">
        <f>134+179</f>
        <v>313</v>
      </c>
      <c r="BX18" s="898">
        <f>129+165</f>
        <v>294</v>
      </c>
      <c r="BY18" s="909">
        <v>359</v>
      </c>
      <c r="BZ18" s="898">
        <f>130+224</f>
        <v>354</v>
      </c>
      <c r="CA18" s="898">
        <f>221+130</f>
        <v>351</v>
      </c>
      <c r="CB18" s="898">
        <f>213+131</f>
        <v>344</v>
      </c>
      <c r="CC18" s="909">
        <f>131+203</f>
        <v>334</v>
      </c>
      <c r="CD18" s="917">
        <f>105+75</f>
        <v>180</v>
      </c>
      <c r="CE18" s="910">
        <f>103+74</f>
        <v>177</v>
      </c>
      <c r="CF18" s="910">
        <f>103+72</f>
        <v>175</v>
      </c>
      <c r="CG18" s="909">
        <v>101</v>
      </c>
      <c r="CH18" s="1386">
        <v>100</v>
      </c>
      <c r="CI18" s="830">
        <v>100</v>
      </c>
      <c r="CJ18" s="830">
        <v>99</v>
      </c>
      <c r="CK18" s="828">
        <v>57</v>
      </c>
      <c r="CL18" s="1386">
        <v>18</v>
      </c>
      <c r="CM18" s="830">
        <v>18</v>
      </c>
      <c r="CN18" s="830">
        <v>18</v>
      </c>
      <c r="CO18" s="828">
        <v>18</v>
      </c>
      <c r="CP18" s="1386">
        <v>18</v>
      </c>
      <c r="CQ18" s="830">
        <v>18</v>
      </c>
      <c r="CR18" s="830">
        <v>18</v>
      </c>
      <c r="CS18" s="828">
        <v>0</v>
      </c>
      <c r="CT18" s="830">
        <v>0</v>
      </c>
      <c r="CU18" s="830">
        <v>0</v>
      </c>
      <c r="CV18" s="830">
        <v>0</v>
      </c>
      <c r="CW18" s="828">
        <v>0</v>
      </c>
      <c r="CX18" s="1698">
        <f t="shared" si="43"/>
        <v>0</v>
      </c>
      <c r="CY18" s="830">
        <f t="shared" si="43"/>
        <v>0</v>
      </c>
      <c r="CZ18" s="830">
        <f t="shared" si="43"/>
        <v>0</v>
      </c>
      <c r="DA18" s="828">
        <f t="shared" si="43"/>
        <v>0</v>
      </c>
      <c r="DB18" s="666"/>
      <c r="DC18" s="648"/>
      <c r="DD18" s="898">
        <v>0</v>
      </c>
      <c r="DE18" s="898">
        <v>0</v>
      </c>
      <c r="DF18" s="898">
        <v>0</v>
      </c>
      <c r="DG18" s="898">
        <v>0</v>
      </c>
      <c r="DH18" s="910">
        <v>0</v>
      </c>
      <c r="DI18" s="910">
        <v>0</v>
      </c>
      <c r="DJ18" s="910">
        <v>0</v>
      </c>
      <c r="DK18" s="910">
        <v>0</v>
      </c>
      <c r="DL18" s="898"/>
      <c r="DM18" s="898"/>
      <c r="DN18" s="898"/>
      <c r="DO18" s="898"/>
      <c r="DP18" s="898"/>
      <c r="DQ18" s="898"/>
      <c r="DR18" s="898"/>
      <c r="DS18" s="898"/>
      <c r="DT18" s="898"/>
      <c r="DU18" s="898">
        <f t="shared" si="28"/>
        <v>33</v>
      </c>
      <c r="DV18" s="898">
        <f t="shared" si="29"/>
        <v>37</v>
      </c>
      <c r="DW18" s="898">
        <f t="shared" si="30"/>
        <v>40</v>
      </c>
      <c r="DX18" s="898">
        <f t="shared" si="31"/>
        <v>44</v>
      </c>
      <c r="DY18" s="898">
        <f t="shared" si="32"/>
        <v>81</v>
      </c>
      <c r="DZ18" s="898">
        <f t="shared" si="33"/>
        <v>102</v>
      </c>
      <c r="EA18" s="898">
        <f t="shared" si="34"/>
        <v>495</v>
      </c>
      <c r="EB18" s="898">
        <f t="shared" si="35"/>
        <v>438</v>
      </c>
      <c r="EC18" s="898">
        <f t="shared" si="36"/>
        <v>336</v>
      </c>
      <c r="ED18" s="915">
        <f t="shared" si="37"/>
        <v>359</v>
      </c>
      <c r="EE18" s="898">
        <v>335</v>
      </c>
      <c r="EF18" s="917">
        <v>358</v>
      </c>
      <c r="EG18" s="910">
        <f t="shared" si="22"/>
        <v>334</v>
      </c>
      <c r="EH18" s="829">
        <f t="shared" si="23"/>
        <v>101</v>
      </c>
      <c r="EI18" s="829">
        <f t="shared" si="24"/>
        <v>57</v>
      </c>
      <c r="EJ18" s="829">
        <f>CO18</f>
        <v>18</v>
      </c>
      <c r="EK18" s="830">
        <f>CS18</f>
        <v>0</v>
      </c>
      <c r="EL18" s="830">
        <f>CW18</f>
        <v>0</v>
      </c>
      <c r="EM18" s="1698">
        <f t="shared" ref="EM18:EM20" si="46">DA18</f>
        <v>0</v>
      </c>
      <c r="EN18" s="829">
        <f t="shared" si="44"/>
        <v>0</v>
      </c>
      <c r="EO18" s="829">
        <f t="shared" si="44"/>
        <v>0</v>
      </c>
      <c r="EP18" s="829">
        <f t="shared" si="44"/>
        <v>0</v>
      </c>
      <c r="EQ18" s="829">
        <f t="shared" si="45"/>
        <v>0</v>
      </c>
      <c r="ER18" s="829">
        <f t="shared" si="45"/>
        <v>0</v>
      </c>
      <c r="ES18" s="829">
        <f t="shared" si="45"/>
        <v>0</v>
      </c>
      <c r="ET18" s="829">
        <f t="shared" si="45"/>
        <v>0</v>
      </c>
      <c r="EU18" s="827">
        <f t="shared" si="45"/>
        <v>0</v>
      </c>
      <c r="EV18" s="594"/>
      <c r="EW18"/>
      <c r="EX18"/>
      <c r="EY18"/>
      <c r="EZ18"/>
      <c r="FA18"/>
      <c r="FB18"/>
      <c r="FG18" s="830"/>
      <c r="FH18" s="830"/>
      <c r="FI18" s="830"/>
      <c r="FJ18" s="830"/>
      <c r="FK18"/>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row>
    <row r="19" spans="1:260" s="4" customFormat="1" x14ac:dyDescent="0.2">
      <c r="A19" s="599" t="s">
        <v>489</v>
      </c>
      <c r="B19" s="915">
        <v>0</v>
      </c>
      <c r="C19" s="915">
        <v>0</v>
      </c>
      <c r="D19" s="915">
        <v>0</v>
      </c>
      <c r="E19" s="909">
        <v>0</v>
      </c>
      <c r="F19" s="915">
        <v>0</v>
      </c>
      <c r="G19" s="915">
        <v>0</v>
      </c>
      <c r="H19" s="915">
        <v>0</v>
      </c>
      <c r="I19" s="909">
        <v>0</v>
      </c>
      <c r="J19" s="915">
        <v>0</v>
      </c>
      <c r="K19" s="915">
        <v>0</v>
      </c>
      <c r="L19" s="915">
        <v>0</v>
      </c>
      <c r="M19" s="909">
        <v>0</v>
      </c>
      <c r="N19" s="915">
        <v>0</v>
      </c>
      <c r="O19" s="915">
        <v>0</v>
      </c>
      <c r="P19" s="915">
        <v>0</v>
      </c>
      <c r="Q19" s="909">
        <v>0</v>
      </c>
      <c r="R19" s="915">
        <v>0</v>
      </c>
      <c r="S19" s="915">
        <v>0</v>
      </c>
      <c r="T19" s="915">
        <v>0</v>
      </c>
      <c r="U19" s="909">
        <v>0</v>
      </c>
      <c r="V19" s="915">
        <v>0</v>
      </c>
      <c r="W19" s="915">
        <v>0</v>
      </c>
      <c r="X19" s="915">
        <v>0</v>
      </c>
      <c r="Y19" s="909">
        <v>0</v>
      </c>
      <c r="Z19" s="915">
        <v>0</v>
      </c>
      <c r="AA19" s="915">
        <v>0</v>
      </c>
      <c r="AB19" s="915">
        <v>0</v>
      </c>
      <c r="AC19" s="909">
        <v>0</v>
      </c>
      <c r="AD19" s="915">
        <v>0</v>
      </c>
      <c r="AE19" s="915">
        <v>0</v>
      </c>
      <c r="AF19" s="915">
        <v>0</v>
      </c>
      <c r="AG19" s="909">
        <v>0</v>
      </c>
      <c r="AH19" s="915">
        <v>0</v>
      </c>
      <c r="AI19" s="915">
        <v>0</v>
      </c>
      <c r="AJ19" s="915">
        <v>0</v>
      </c>
      <c r="AK19" s="909">
        <v>0</v>
      </c>
      <c r="AL19" s="898">
        <v>0</v>
      </c>
      <c r="AM19" s="898">
        <v>0</v>
      </c>
      <c r="AN19" s="898">
        <v>0</v>
      </c>
      <c r="AO19" s="909">
        <v>0</v>
      </c>
      <c r="AP19" s="898">
        <v>0</v>
      </c>
      <c r="AQ19" s="898">
        <v>0</v>
      </c>
      <c r="AR19" s="898">
        <v>0</v>
      </c>
      <c r="AS19" s="909">
        <v>0</v>
      </c>
      <c r="AT19" s="898">
        <v>0</v>
      </c>
      <c r="AU19" s="898">
        <v>0</v>
      </c>
      <c r="AV19" s="898">
        <v>0</v>
      </c>
      <c r="AW19" s="909">
        <v>0</v>
      </c>
      <c r="AX19" s="898">
        <v>0</v>
      </c>
      <c r="AY19" s="898">
        <v>0</v>
      </c>
      <c r="AZ19" s="898">
        <v>0</v>
      </c>
      <c r="BA19" s="909">
        <v>0</v>
      </c>
      <c r="BB19" s="898">
        <v>0</v>
      </c>
      <c r="BC19" s="898">
        <v>0</v>
      </c>
      <c r="BD19" s="898">
        <v>0</v>
      </c>
      <c r="BE19" s="909">
        <v>0</v>
      </c>
      <c r="BF19" s="898">
        <v>0</v>
      </c>
      <c r="BG19" s="898">
        <v>0</v>
      </c>
      <c r="BH19" s="898">
        <v>0</v>
      </c>
      <c r="BI19" s="909">
        <f>605</f>
        <v>605</v>
      </c>
      <c r="BJ19" s="898">
        <f>529</f>
        <v>529</v>
      </c>
      <c r="BK19" s="898">
        <f>501</f>
        <v>501</v>
      </c>
      <c r="BL19" s="898">
        <f>435</f>
        <v>435</v>
      </c>
      <c r="BM19" s="909">
        <f>395</f>
        <v>395</v>
      </c>
      <c r="BN19" s="898">
        <f>421</f>
        <v>421</v>
      </c>
      <c r="BO19" s="898">
        <f>334</f>
        <v>334</v>
      </c>
      <c r="BP19" s="898">
        <f>332</f>
        <v>332</v>
      </c>
      <c r="BQ19" s="909">
        <f>324</f>
        <v>324</v>
      </c>
      <c r="BR19" s="898">
        <f>323</f>
        <v>323</v>
      </c>
      <c r="BS19" s="898">
        <f>293</f>
        <v>293</v>
      </c>
      <c r="BT19" s="898">
        <v>343</v>
      </c>
      <c r="BU19" s="909">
        <v>328</v>
      </c>
      <c r="BV19" s="898">
        <v>318</v>
      </c>
      <c r="BW19" s="898">
        <v>284</v>
      </c>
      <c r="BX19" s="898">
        <v>146</v>
      </c>
      <c r="BY19" s="909">
        <v>140</v>
      </c>
      <c r="BZ19" s="898">
        <v>128</v>
      </c>
      <c r="CA19" s="898">
        <v>91</v>
      </c>
      <c r="CB19" s="898">
        <v>91</v>
      </c>
      <c r="CC19" s="909">
        <v>86</v>
      </c>
      <c r="CD19" s="917">
        <v>61</v>
      </c>
      <c r="CE19" s="910">
        <v>59</v>
      </c>
      <c r="CF19" s="910">
        <v>41</v>
      </c>
      <c r="CG19" s="909">
        <v>0</v>
      </c>
      <c r="CH19" s="1386">
        <v>0</v>
      </c>
      <c r="CI19" s="830">
        <f>CH19</f>
        <v>0</v>
      </c>
      <c r="CJ19" s="830">
        <f>CI19</f>
        <v>0</v>
      </c>
      <c r="CK19" s="828">
        <v>0</v>
      </c>
      <c r="CL19" s="1386">
        <v>603</v>
      </c>
      <c r="CM19" s="830">
        <v>610</v>
      </c>
      <c r="CN19" s="830">
        <v>636</v>
      </c>
      <c r="CO19" s="828">
        <v>813</v>
      </c>
      <c r="CP19" s="1386">
        <v>813</v>
      </c>
      <c r="CQ19" s="830">
        <v>813</v>
      </c>
      <c r="CR19" s="830">
        <v>780</v>
      </c>
      <c r="CS19" s="828">
        <v>622</v>
      </c>
      <c r="CT19" s="830">
        <v>587</v>
      </c>
      <c r="CU19" s="830">
        <v>614</v>
      </c>
      <c r="CV19" s="830">
        <v>603</v>
      </c>
      <c r="CW19" s="828">
        <v>374</v>
      </c>
      <c r="CX19" s="1698">
        <f t="shared" si="43"/>
        <v>374</v>
      </c>
      <c r="CY19" s="830">
        <f t="shared" si="43"/>
        <v>374</v>
      </c>
      <c r="CZ19" s="830">
        <f t="shared" si="43"/>
        <v>374</v>
      </c>
      <c r="DA19" s="828">
        <f t="shared" si="43"/>
        <v>374</v>
      </c>
      <c r="DB19" s="667"/>
      <c r="DC19" s="524"/>
      <c r="DD19" s="898">
        <v>0</v>
      </c>
      <c r="DE19" s="898">
        <v>0</v>
      </c>
      <c r="DF19" s="898">
        <v>0</v>
      </c>
      <c r="DG19" s="898">
        <v>0</v>
      </c>
      <c r="DH19" s="910">
        <v>0</v>
      </c>
      <c r="DI19" s="910">
        <v>0</v>
      </c>
      <c r="DJ19" s="910">
        <v>0</v>
      </c>
      <c r="DK19" s="910">
        <v>0</v>
      </c>
      <c r="DL19" s="898"/>
      <c r="DM19" s="898"/>
      <c r="DN19" s="898"/>
      <c r="DO19" s="898"/>
      <c r="DP19" s="898"/>
      <c r="DQ19" s="898"/>
      <c r="DR19" s="898"/>
      <c r="DS19" s="898"/>
      <c r="DT19" s="898"/>
      <c r="DU19" s="898">
        <f t="shared" si="28"/>
        <v>0</v>
      </c>
      <c r="DV19" s="898">
        <f t="shared" si="29"/>
        <v>0</v>
      </c>
      <c r="DW19" s="898">
        <f t="shared" si="30"/>
        <v>0</v>
      </c>
      <c r="DX19" s="898">
        <f t="shared" si="31"/>
        <v>0</v>
      </c>
      <c r="DY19" s="898">
        <f t="shared" si="32"/>
        <v>0</v>
      </c>
      <c r="DZ19" s="898">
        <f t="shared" si="33"/>
        <v>605</v>
      </c>
      <c r="EA19" s="898">
        <f t="shared" si="34"/>
        <v>395</v>
      </c>
      <c r="EB19" s="898">
        <f t="shared" si="35"/>
        <v>324</v>
      </c>
      <c r="EC19" s="898">
        <f t="shared" si="36"/>
        <v>328</v>
      </c>
      <c r="ED19" s="898">
        <f t="shared" si="37"/>
        <v>140</v>
      </c>
      <c r="EE19" s="898">
        <v>333</v>
      </c>
      <c r="EF19" s="917">
        <v>142</v>
      </c>
      <c r="EG19" s="910">
        <f t="shared" si="22"/>
        <v>86</v>
      </c>
      <c r="EH19" s="830">
        <f t="shared" si="23"/>
        <v>0</v>
      </c>
      <c r="EI19" s="830">
        <f t="shared" si="24"/>
        <v>0</v>
      </c>
      <c r="EJ19" s="830">
        <f>CO19</f>
        <v>813</v>
      </c>
      <c r="EK19" s="830">
        <f>CS19</f>
        <v>622</v>
      </c>
      <c r="EL19" s="830">
        <f>CW19</f>
        <v>374</v>
      </c>
      <c r="EM19" s="1698">
        <f t="shared" si="46"/>
        <v>374</v>
      </c>
      <c r="EN19" s="830">
        <f t="shared" si="44"/>
        <v>374</v>
      </c>
      <c r="EO19" s="830">
        <f t="shared" si="44"/>
        <v>374</v>
      </c>
      <c r="EP19" s="830">
        <f t="shared" si="44"/>
        <v>374</v>
      </c>
      <c r="EQ19" s="830">
        <f t="shared" si="45"/>
        <v>374</v>
      </c>
      <c r="ER19" s="830">
        <f t="shared" si="45"/>
        <v>374</v>
      </c>
      <c r="ES19" s="830">
        <f t="shared" si="45"/>
        <v>374</v>
      </c>
      <c r="ET19" s="830">
        <f t="shared" si="45"/>
        <v>374</v>
      </c>
      <c r="EU19" s="828">
        <f t="shared" si="45"/>
        <v>374</v>
      </c>
      <c r="EV19" s="594"/>
      <c r="EW19"/>
      <c r="EX19"/>
      <c r="EY19"/>
      <c r="EZ19"/>
      <c r="FA19"/>
      <c r="FB19"/>
      <c r="FG19" s="830"/>
      <c r="FH19" s="830"/>
      <c r="FI19" s="830"/>
      <c r="FJ19" s="830"/>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row>
    <row r="20" spans="1:260" s="3" customFormat="1" x14ac:dyDescent="0.2">
      <c r="A20" s="600" t="s">
        <v>597</v>
      </c>
      <c r="B20" s="910">
        <f>6.23+1.039</f>
        <v>7.2690000000000001</v>
      </c>
      <c r="C20" s="910">
        <v>9.4309999999999992</v>
      </c>
      <c r="D20" s="910">
        <v>17.745000000000001</v>
      </c>
      <c r="E20" s="909">
        <v>15.16</v>
      </c>
      <c r="F20" s="910">
        <f>6.163+8.765</f>
        <v>14.928000000000001</v>
      </c>
      <c r="G20" s="910">
        <v>16.933</v>
      </c>
      <c r="H20" s="910">
        <v>25.483000000000001</v>
      </c>
      <c r="I20" s="909">
        <v>28.981000000000002</v>
      </c>
      <c r="J20" s="910">
        <v>29.544</v>
      </c>
      <c r="K20" s="910">
        <f>11.058+20.151</f>
        <v>31.209</v>
      </c>
      <c r="L20" s="910">
        <v>28.221</v>
      </c>
      <c r="M20" s="909">
        <f>7.204+12.046</f>
        <v>19.25</v>
      </c>
      <c r="N20" s="910">
        <v>15.16</v>
      </c>
      <c r="O20" s="910">
        <v>12.912000000000001</v>
      </c>
      <c r="P20" s="910">
        <v>12.837999999999999</v>
      </c>
      <c r="Q20" s="909">
        <v>17.638999999999999</v>
      </c>
      <c r="R20" s="910">
        <v>17.335000000000001</v>
      </c>
      <c r="S20" s="910">
        <v>15.023</v>
      </c>
      <c r="T20" s="910">
        <v>14.635</v>
      </c>
      <c r="U20" s="909">
        <v>13.145</v>
      </c>
      <c r="V20" s="910">
        <v>9.9480000000000004</v>
      </c>
      <c r="W20" s="910">
        <v>9.8989999999999991</v>
      </c>
      <c r="X20" s="910">
        <v>22.114000000000001</v>
      </c>
      <c r="Y20" s="909">
        <v>25.762</v>
      </c>
      <c r="Z20" s="910">
        <v>28.984000000000002</v>
      </c>
      <c r="AA20" s="910">
        <v>30.099</v>
      </c>
      <c r="AB20" s="910">
        <v>54.186999999999998</v>
      </c>
      <c r="AC20" s="909">
        <v>58.798000000000002</v>
      </c>
      <c r="AD20" s="910">
        <v>63</v>
      </c>
      <c r="AE20" s="910">
        <v>79</v>
      </c>
      <c r="AF20" s="910">
        <v>79</v>
      </c>
      <c r="AG20" s="909">
        <v>82</v>
      </c>
      <c r="AH20" s="910">
        <v>81</v>
      </c>
      <c r="AI20" s="910">
        <v>84</v>
      </c>
      <c r="AJ20" s="910">
        <v>80</v>
      </c>
      <c r="AK20" s="909">
        <v>641</v>
      </c>
      <c r="AL20" s="910">
        <v>92</v>
      </c>
      <c r="AM20" s="910">
        <f>261+92</f>
        <v>353</v>
      </c>
      <c r="AN20" s="910">
        <f>260+96</f>
        <v>356</v>
      </c>
      <c r="AO20" s="909">
        <f>157+115</f>
        <v>272</v>
      </c>
      <c r="AP20" s="910">
        <f>37+123</f>
        <v>160</v>
      </c>
      <c r="AQ20" s="910">
        <f>36+120</f>
        <v>156</v>
      </c>
      <c r="AR20" s="910">
        <v>151</v>
      </c>
      <c r="AS20" s="909">
        <v>170</v>
      </c>
      <c r="AT20" s="910">
        <v>205</v>
      </c>
      <c r="AU20" s="910">
        <f>41+233</f>
        <v>274</v>
      </c>
      <c r="AV20" s="910">
        <f>141+248</f>
        <v>389</v>
      </c>
      <c r="AW20" s="909">
        <f>148+226</f>
        <v>374</v>
      </c>
      <c r="AX20" s="910">
        <f>113+178</f>
        <v>291</v>
      </c>
      <c r="AY20" s="910">
        <f>122+201</f>
        <v>323</v>
      </c>
      <c r="AZ20" s="910">
        <f>114+205</f>
        <v>319</v>
      </c>
      <c r="BA20" s="909">
        <f>218+348</f>
        <v>566</v>
      </c>
      <c r="BB20" s="910">
        <f>302+359</f>
        <v>661</v>
      </c>
      <c r="BC20" s="910">
        <f>277+363</f>
        <v>640</v>
      </c>
      <c r="BD20" s="910">
        <f>320+351</f>
        <v>671</v>
      </c>
      <c r="BE20" s="909">
        <f>318+233</f>
        <v>551</v>
      </c>
      <c r="BF20" s="910">
        <f>348+320</f>
        <v>668</v>
      </c>
      <c r="BG20" s="910">
        <f>200+325</f>
        <v>525</v>
      </c>
      <c r="BH20" s="910">
        <f>230+325</f>
        <v>555</v>
      </c>
      <c r="BI20" s="909">
        <f>315</f>
        <v>315</v>
      </c>
      <c r="BJ20" s="910">
        <f>330</f>
        <v>330</v>
      </c>
      <c r="BK20" s="910">
        <f>488+362</f>
        <v>850</v>
      </c>
      <c r="BL20" s="910">
        <f>1030</f>
        <v>1030</v>
      </c>
      <c r="BM20" s="909">
        <f>367</f>
        <v>367</v>
      </c>
      <c r="BN20" s="910">
        <f>431</f>
        <v>431</v>
      </c>
      <c r="BO20" s="910">
        <f>463</f>
        <v>463</v>
      </c>
      <c r="BP20" s="910">
        <f>502</f>
        <v>502</v>
      </c>
      <c r="BQ20" s="909">
        <f>452</f>
        <v>452</v>
      </c>
      <c r="BR20" s="910">
        <f>477</f>
        <v>477</v>
      </c>
      <c r="BS20" s="910">
        <v>456</v>
      </c>
      <c r="BT20" s="910">
        <f>380</f>
        <v>380</v>
      </c>
      <c r="BU20" s="909">
        <f>435</f>
        <v>435</v>
      </c>
      <c r="BV20" s="910">
        <v>479</v>
      </c>
      <c r="BW20" s="910">
        <v>484</v>
      </c>
      <c r="BX20" s="910">
        <v>412</v>
      </c>
      <c r="BY20" s="909">
        <v>403</v>
      </c>
      <c r="BZ20" s="910">
        <v>471</v>
      </c>
      <c r="CA20" s="910">
        <v>474</v>
      </c>
      <c r="CB20" s="910">
        <v>524</v>
      </c>
      <c r="CC20" s="909">
        <v>522</v>
      </c>
      <c r="CD20" s="917">
        <f>255+471</f>
        <v>726</v>
      </c>
      <c r="CE20" s="910">
        <v>362</v>
      </c>
      <c r="CF20" s="910">
        <v>364</v>
      </c>
      <c r="CG20" s="909">
        <v>404</v>
      </c>
      <c r="CH20" s="1386">
        <v>743</v>
      </c>
      <c r="CI20" s="830">
        <v>681</v>
      </c>
      <c r="CJ20" s="830">
        <v>651</v>
      </c>
      <c r="CK20" s="828">
        <f>583+167</f>
        <v>750</v>
      </c>
      <c r="CL20" s="1386">
        <v>33</v>
      </c>
      <c r="CM20" s="830">
        <v>33</v>
      </c>
      <c r="CN20" s="830">
        <v>32</v>
      </c>
      <c r="CO20" s="828">
        <v>31</v>
      </c>
      <c r="CP20" s="1386">
        <v>31</v>
      </c>
      <c r="CQ20" s="830">
        <f>822-CQ19</f>
        <v>9</v>
      </c>
      <c r="CR20" s="830">
        <v>0</v>
      </c>
      <c r="CS20" s="828">
        <v>0</v>
      </c>
      <c r="CT20" s="830">
        <v>0</v>
      </c>
      <c r="CU20" s="830">
        <v>0</v>
      </c>
      <c r="CV20" s="830">
        <v>0</v>
      </c>
      <c r="CW20" s="828">
        <v>0</v>
      </c>
      <c r="CX20" s="1698">
        <f t="shared" ref="CX20:DA20" si="47">CX56*(CX100+CW100+CV100+CU100)</f>
        <v>0</v>
      </c>
      <c r="CY20" s="830">
        <f t="shared" si="47"/>
        <v>0</v>
      </c>
      <c r="CZ20" s="830">
        <f t="shared" si="47"/>
        <v>0</v>
      </c>
      <c r="DA20" s="828">
        <f t="shared" si="47"/>
        <v>0</v>
      </c>
      <c r="DB20" s="594"/>
      <c r="DC20" s="537"/>
      <c r="DD20" s="910">
        <v>0.14199999999999999</v>
      </c>
      <c r="DE20" s="910">
        <v>5.1200000000000002E-2</v>
      </c>
      <c r="DF20" s="910">
        <v>1.0449999999999999</v>
      </c>
      <c r="DG20" s="910">
        <v>2.1480000000000001</v>
      </c>
      <c r="DH20" s="910">
        <v>1.423</v>
      </c>
      <c r="DI20" s="910">
        <v>6.35</v>
      </c>
      <c r="DJ20" s="910">
        <v>5.8769999999999998</v>
      </c>
      <c r="DK20" s="910">
        <v>7.774</v>
      </c>
      <c r="DL20" s="898">
        <f>+E20</f>
        <v>15.16</v>
      </c>
      <c r="DM20" s="898">
        <f>+I20</f>
        <v>28.981000000000002</v>
      </c>
      <c r="DN20" s="898">
        <f>+M20</f>
        <v>19.25</v>
      </c>
      <c r="DO20" s="898">
        <f>+Q20</f>
        <v>17.638999999999999</v>
      </c>
      <c r="DP20" s="898">
        <f>+U20</f>
        <v>13.145</v>
      </c>
      <c r="DQ20" s="898">
        <f>+Y20</f>
        <v>25.762</v>
      </c>
      <c r="DR20" s="898">
        <f>+AC20</f>
        <v>58.798000000000002</v>
      </c>
      <c r="DS20" s="898">
        <f>+AG20</f>
        <v>82</v>
      </c>
      <c r="DT20" s="898">
        <f>+AK20</f>
        <v>641</v>
      </c>
      <c r="DU20" s="898">
        <f t="shared" si="28"/>
        <v>272</v>
      </c>
      <c r="DV20" s="898">
        <f t="shared" si="29"/>
        <v>170</v>
      </c>
      <c r="DW20" s="898">
        <f t="shared" si="30"/>
        <v>374</v>
      </c>
      <c r="DX20" s="898">
        <f t="shared" si="31"/>
        <v>566</v>
      </c>
      <c r="DY20" s="898">
        <f t="shared" si="32"/>
        <v>551</v>
      </c>
      <c r="DZ20" s="898">
        <f t="shared" si="33"/>
        <v>315</v>
      </c>
      <c r="EA20" s="898">
        <f t="shared" si="34"/>
        <v>367</v>
      </c>
      <c r="EB20" s="898">
        <f t="shared" si="35"/>
        <v>452</v>
      </c>
      <c r="EC20" s="898">
        <f t="shared" si="36"/>
        <v>435</v>
      </c>
      <c r="ED20" s="898">
        <f t="shared" si="37"/>
        <v>403</v>
      </c>
      <c r="EE20" s="910">
        <v>384</v>
      </c>
      <c r="EF20" s="917">
        <v>447</v>
      </c>
      <c r="EG20" s="910">
        <f t="shared" si="22"/>
        <v>522</v>
      </c>
      <c r="EH20" s="830">
        <f t="shared" si="23"/>
        <v>404</v>
      </c>
      <c r="EI20" s="830">
        <f t="shared" si="24"/>
        <v>750</v>
      </c>
      <c r="EJ20" s="830">
        <f>CO20</f>
        <v>31</v>
      </c>
      <c r="EK20" s="830">
        <f>CS20</f>
        <v>0</v>
      </c>
      <c r="EL20" s="830">
        <f>CW20</f>
        <v>0</v>
      </c>
      <c r="EM20" s="1698">
        <f t="shared" si="46"/>
        <v>0</v>
      </c>
      <c r="EN20" s="830">
        <f t="shared" ref="EN20:ES20" si="48">EN56*EN100</f>
        <v>0</v>
      </c>
      <c r="EO20" s="830">
        <f t="shared" si="48"/>
        <v>0</v>
      </c>
      <c r="EP20" s="830">
        <f t="shared" si="48"/>
        <v>0</v>
      </c>
      <c r="EQ20" s="830">
        <f t="shared" si="48"/>
        <v>0</v>
      </c>
      <c r="ER20" s="830">
        <f t="shared" si="48"/>
        <v>0</v>
      </c>
      <c r="ES20" s="830">
        <f t="shared" si="48"/>
        <v>0</v>
      </c>
      <c r="ET20" s="830">
        <f>ET56*ET100</f>
        <v>0</v>
      </c>
      <c r="EU20" s="828">
        <f>EU56*EU100</f>
        <v>0</v>
      </c>
      <c r="EV20" s="594"/>
      <c r="EW20"/>
      <c r="EX20"/>
      <c r="EY20"/>
      <c r="EZ20"/>
      <c r="FA20"/>
      <c r="FB20"/>
      <c r="FC20" s="4"/>
      <c r="FD20" s="4"/>
      <c r="FE20" s="4"/>
      <c r="FF20" s="4"/>
      <c r="FG20" s="830"/>
      <c r="FH20" s="830"/>
      <c r="FI20" s="830"/>
      <c r="FJ20" s="83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row>
    <row r="21" spans="1:260" s="19" customFormat="1" x14ac:dyDescent="0.2">
      <c r="A21" s="340" t="s">
        <v>470</v>
      </c>
      <c r="B21" s="922">
        <f t="shared" ref="B21:W21" si="49">B12+B16+B17+B20</f>
        <v>570.51699999999994</v>
      </c>
      <c r="C21" s="922">
        <f t="shared" si="49"/>
        <v>672.64700000000005</v>
      </c>
      <c r="D21" s="922">
        <f t="shared" si="49"/>
        <v>1170.3369999999998</v>
      </c>
      <c r="E21" s="923">
        <f t="shared" si="49"/>
        <v>952.49400000000014</v>
      </c>
      <c r="F21" s="922">
        <f t="shared" si="49"/>
        <v>1004.73</v>
      </c>
      <c r="G21" s="922">
        <f t="shared" si="49"/>
        <v>1270.9050000000002</v>
      </c>
      <c r="H21" s="922">
        <f t="shared" si="49"/>
        <v>2008.606</v>
      </c>
      <c r="I21" s="923">
        <f t="shared" si="49"/>
        <v>1507.125</v>
      </c>
      <c r="J21" s="922">
        <f t="shared" si="49"/>
        <v>1558.0420000000001</v>
      </c>
      <c r="K21" s="922">
        <f t="shared" si="49"/>
        <v>1901.4820000000002</v>
      </c>
      <c r="L21" s="922">
        <f t="shared" si="49"/>
        <v>2758.2149999999997</v>
      </c>
      <c r="M21" s="923">
        <f t="shared" si="49"/>
        <v>1890.8320000000001</v>
      </c>
      <c r="N21" s="922">
        <f t="shared" si="49"/>
        <v>1978.5690000000002</v>
      </c>
      <c r="O21" s="922">
        <f t="shared" si="49"/>
        <v>2064.4039999999995</v>
      </c>
      <c r="P21" s="922">
        <f t="shared" si="49"/>
        <v>2576.0470000000005</v>
      </c>
      <c r="Q21" s="923">
        <f t="shared" si="49"/>
        <v>1734.3069999999998</v>
      </c>
      <c r="R21" s="922">
        <f t="shared" si="49"/>
        <v>1720.6810000000003</v>
      </c>
      <c r="S21" s="922">
        <f t="shared" si="49"/>
        <v>1820.3680000000002</v>
      </c>
      <c r="T21" s="922">
        <f t="shared" si="49"/>
        <v>2389.739</v>
      </c>
      <c r="U21" s="923">
        <f t="shared" si="49"/>
        <v>2056.346</v>
      </c>
      <c r="V21" s="922">
        <f t="shared" si="49"/>
        <v>1967.2950000000001</v>
      </c>
      <c r="W21" s="922">
        <f t="shared" si="49"/>
        <v>2208.933</v>
      </c>
      <c r="X21" s="922">
        <f>X12+X16+X20</f>
        <v>2875.5170000000003</v>
      </c>
      <c r="Y21" s="923">
        <f t="shared" ref="Y21:AK21" si="50">Y12+Y16+Y17+Y20</f>
        <v>2512.4929999999999</v>
      </c>
      <c r="Z21" s="922">
        <f t="shared" si="50"/>
        <v>2343.84</v>
      </c>
      <c r="AA21" s="922">
        <f t="shared" si="50"/>
        <v>2608.174</v>
      </c>
      <c r="AB21" s="922">
        <f t="shared" si="50"/>
        <v>3772.0530000000003</v>
      </c>
      <c r="AC21" s="923">
        <f t="shared" si="50"/>
        <v>2995.3419999999996</v>
      </c>
      <c r="AD21" s="922">
        <f t="shared" si="50"/>
        <v>3261</v>
      </c>
      <c r="AE21" s="922">
        <f t="shared" si="50"/>
        <v>3644</v>
      </c>
      <c r="AF21" s="922">
        <f t="shared" si="50"/>
        <v>4782</v>
      </c>
      <c r="AG21" s="923">
        <f t="shared" si="50"/>
        <v>4840</v>
      </c>
      <c r="AH21" s="922">
        <f t="shared" si="50"/>
        <v>4809</v>
      </c>
      <c r="AI21" s="922">
        <f t="shared" si="50"/>
        <v>5521</v>
      </c>
      <c r="AJ21" s="922">
        <f t="shared" si="50"/>
        <v>7470</v>
      </c>
      <c r="AK21" s="923">
        <f t="shared" si="50"/>
        <v>7367</v>
      </c>
      <c r="AL21" s="922">
        <f t="shared" ref="AL21:BU21" si="51">AL12+SUM(AL16:AL20)</f>
        <v>7255</v>
      </c>
      <c r="AM21" s="922">
        <f t="shared" si="51"/>
        <v>6804</v>
      </c>
      <c r="AN21" s="922">
        <f t="shared" si="51"/>
        <v>8738</v>
      </c>
      <c r="AO21" s="923">
        <f t="shared" si="51"/>
        <v>7694</v>
      </c>
      <c r="AP21" s="922">
        <f t="shared" si="51"/>
        <v>7149</v>
      </c>
      <c r="AQ21" s="922">
        <f t="shared" si="51"/>
        <v>7726</v>
      </c>
      <c r="AR21" s="922">
        <f t="shared" si="51"/>
        <v>10079</v>
      </c>
      <c r="AS21" s="923">
        <f t="shared" si="51"/>
        <v>8652</v>
      </c>
      <c r="AT21" s="922">
        <f t="shared" si="51"/>
        <v>8550</v>
      </c>
      <c r="AU21" s="922">
        <f t="shared" si="51"/>
        <v>8644</v>
      </c>
      <c r="AV21" s="922">
        <f t="shared" si="51"/>
        <v>11622</v>
      </c>
      <c r="AW21" s="923">
        <f t="shared" si="51"/>
        <v>10294</v>
      </c>
      <c r="AX21" s="922">
        <f t="shared" si="51"/>
        <v>9899</v>
      </c>
      <c r="AY21" s="922">
        <f t="shared" si="51"/>
        <v>10259</v>
      </c>
      <c r="AZ21" s="922">
        <f t="shared" si="51"/>
        <v>13242</v>
      </c>
      <c r="BA21" s="923">
        <f t="shared" si="51"/>
        <v>11864</v>
      </c>
      <c r="BB21" s="922">
        <f t="shared" si="51"/>
        <v>11269</v>
      </c>
      <c r="BC21" s="922">
        <f t="shared" si="51"/>
        <v>12407</v>
      </c>
      <c r="BD21" s="922">
        <f t="shared" si="51"/>
        <v>15386</v>
      </c>
      <c r="BE21" s="923">
        <f t="shared" si="51"/>
        <v>13570</v>
      </c>
      <c r="BF21" s="922">
        <f t="shared" si="51"/>
        <v>13142</v>
      </c>
      <c r="BG21" s="922">
        <f t="shared" si="51"/>
        <v>12237</v>
      </c>
      <c r="BH21" s="922">
        <f t="shared" si="51"/>
        <v>15474</v>
      </c>
      <c r="BI21" s="923">
        <f t="shared" si="51"/>
        <v>12758</v>
      </c>
      <c r="BJ21" s="922">
        <f t="shared" si="51"/>
        <v>13231</v>
      </c>
      <c r="BK21" s="922">
        <f t="shared" si="51"/>
        <v>17522</v>
      </c>
      <c r="BL21" s="922">
        <f t="shared" si="51"/>
        <v>20647</v>
      </c>
      <c r="BM21" s="923">
        <f t="shared" si="51"/>
        <v>15826</v>
      </c>
      <c r="BN21" s="922">
        <f t="shared" si="51"/>
        <v>16214</v>
      </c>
      <c r="BO21" s="922">
        <f t="shared" si="51"/>
        <v>17191</v>
      </c>
      <c r="BP21" s="922">
        <f t="shared" si="51"/>
        <v>21100</v>
      </c>
      <c r="BQ21" s="923">
        <f t="shared" si="51"/>
        <v>18302</v>
      </c>
      <c r="BR21" s="922">
        <f t="shared" si="51"/>
        <v>17956</v>
      </c>
      <c r="BS21" s="922">
        <f t="shared" si="51"/>
        <v>17362</v>
      </c>
      <c r="BT21" s="922">
        <f t="shared" si="51"/>
        <v>22352</v>
      </c>
      <c r="BU21" s="923">
        <f t="shared" si="51"/>
        <v>17849</v>
      </c>
      <c r="BV21" s="922">
        <f>SUM(BV16:BV20)+BV12</f>
        <v>18673</v>
      </c>
      <c r="BW21" s="922">
        <f>SUM(BW16:BW20)+BW12</f>
        <v>18829</v>
      </c>
      <c r="BX21" s="922">
        <f>SUM(BX16:BX20)+BX12</f>
        <v>22748</v>
      </c>
      <c r="BY21" s="923">
        <f>SUM(BY16:BY20)+BY12</f>
        <v>16005</v>
      </c>
      <c r="BZ21" s="922">
        <f>SUM(BZ16:BZ20)+BZ12</f>
        <v>16011</v>
      </c>
      <c r="CA21" s="922">
        <f t="shared" ref="CA21:CK21" si="52">CA12+SUM(CA16:CA20)</f>
        <v>15849</v>
      </c>
      <c r="CB21" s="922">
        <f t="shared" si="52"/>
        <v>17556</v>
      </c>
      <c r="CC21" s="923">
        <f t="shared" si="52"/>
        <v>16787</v>
      </c>
      <c r="CD21" s="1089">
        <f t="shared" si="52"/>
        <v>14331</v>
      </c>
      <c r="CE21" s="921">
        <f t="shared" si="52"/>
        <v>13284</v>
      </c>
      <c r="CF21" s="921">
        <f t="shared" si="52"/>
        <v>15068</v>
      </c>
      <c r="CG21" s="924">
        <f t="shared" si="52"/>
        <v>14013</v>
      </c>
      <c r="CH21" s="1401">
        <f t="shared" si="52"/>
        <v>13911</v>
      </c>
      <c r="CI21" s="1402">
        <f t="shared" si="52"/>
        <v>14349</v>
      </c>
      <c r="CJ21" s="1402">
        <f t="shared" si="52"/>
        <v>15762</v>
      </c>
      <c r="CK21" s="1403">
        <f t="shared" si="52"/>
        <v>15256</v>
      </c>
      <c r="CL21" s="1401">
        <f t="shared" ref="CL21:CS21" si="53">CL12+SUM(CL16:CL20)</f>
        <v>13719</v>
      </c>
      <c r="CM21" s="1402">
        <f t="shared" si="53"/>
        <v>13566</v>
      </c>
      <c r="CN21" s="1402">
        <f t="shared" si="53"/>
        <v>15175</v>
      </c>
      <c r="CO21" s="1403">
        <f>CO12+SUM(CO16:CO20)</f>
        <v>13519</v>
      </c>
      <c r="CP21" s="1401">
        <f>CP12+SUM(CP16:CP20)</f>
        <v>12901</v>
      </c>
      <c r="CQ21" s="1402">
        <f t="shared" si="53"/>
        <v>13254</v>
      </c>
      <c r="CR21" s="1402">
        <f t="shared" si="53"/>
        <v>14542</v>
      </c>
      <c r="CS21" s="1403">
        <f t="shared" si="53"/>
        <v>13856</v>
      </c>
      <c r="CT21" s="1402">
        <f>CT12+SUM(CT16:CT20)</f>
        <v>12955</v>
      </c>
      <c r="CU21" s="1402">
        <f t="shared" ref="CU21" si="54">CU12+SUM(CU16:CU20)</f>
        <v>13444</v>
      </c>
      <c r="CV21" s="1402">
        <f t="shared" ref="CV21:DA21" si="55">CV12+SUM(CV16:CV20)</f>
        <v>14785</v>
      </c>
      <c r="CW21" s="1403">
        <f t="shared" si="55"/>
        <v>13049</v>
      </c>
      <c r="CX21" s="1699">
        <f t="shared" si="55"/>
        <v>12234.608150556181</v>
      </c>
      <c r="CY21" s="1402">
        <f t="shared" si="55"/>
        <v>12523.462371943016</v>
      </c>
      <c r="CZ21" s="1402">
        <f t="shared" si="55"/>
        <v>14133.677079653624</v>
      </c>
      <c r="DA21" s="1403">
        <f t="shared" si="55"/>
        <v>12485.233592598177</v>
      </c>
      <c r="DB21" s="1404"/>
      <c r="DC21" s="1405"/>
      <c r="DD21" s="1402">
        <f t="shared" ref="DD21:DK21" si="56">+DD12+DD16+DD17+DD20</f>
        <v>31.865989999999996</v>
      </c>
      <c r="DE21" s="1402">
        <f t="shared" si="56"/>
        <v>87.580199999999991</v>
      </c>
      <c r="DF21" s="1402">
        <f t="shared" si="56"/>
        <v>140.30298999999999</v>
      </c>
      <c r="DG21" s="1402">
        <f t="shared" si="56"/>
        <v>139.94598999999999</v>
      </c>
      <c r="DH21" s="1402">
        <f t="shared" si="56"/>
        <v>156.78698000000003</v>
      </c>
      <c r="DI21" s="1402">
        <f t="shared" si="56"/>
        <v>185.52799999999999</v>
      </c>
      <c r="DJ21" s="1402">
        <f t="shared" si="56"/>
        <v>337.21800000000002</v>
      </c>
      <c r="DK21" s="1402">
        <f t="shared" si="56"/>
        <v>439.14200000000005</v>
      </c>
      <c r="DL21" s="1406">
        <f>+E21</f>
        <v>952.49400000000014</v>
      </c>
      <c r="DM21" s="1406">
        <f>+I21</f>
        <v>1507.125</v>
      </c>
      <c r="DN21" s="1406">
        <f>+M21</f>
        <v>1890.8320000000001</v>
      </c>
      <c r="DO21" s="1406">
        <f>+Q21</f>
        <v>1734.3069999999998</v>
      </c>
      <c r="DP21" s="1406">
        <f>+U21</f>
        <v>2056.346</v>
      </c>
      <c r="DQ21" s="1406">
        <f>+Y21</f>
        <v>2512.4929999999999</v>
      </c>
      <c r="DR21" s="1406">
        <f>+AC21</f>
        <v>2995.3419999999996</v>
      </c>
      <c r="DS21" s="1406">
        <f>+AG21</f>
        <v>4840</v>
      </c>
      <c r="DT21" s="1406">
        <f>+AK21</f>
        <v>7367</v>
      </c>
      <c r="DU21" s="1406">
        <f t="shared" ref="DU21:EH21" si="57">DU12+SUM(DU16:DU20)</f>
        <v>7694</v>
      </c>
      <c r="DV21" s="1406">
        <f t="shared" si="57"/>
        <v>8652</v>
      </c>
      <c r="DW21" s="1406">
        <f t="shared" si="57"/>
        <v>10294</v>
      </c>
      <c r="DX21" s="1406">
        <f t="shared" si="57"/>
        <v>11864</v>
      </c>
      <c r="DY21" s="1406">
        <f t="shared" si="57"/>
        <v>13570</v>
      </c>
      <c r="DZ21" s="1406">
        <f t="shared" si="57"/>
        <v>12758</v>
      </c>
      <c r="EA21" s="1406">
        <f t="shared" si="57"/>
        <v>15826</v>
      </c>
      <c r="EB21" s="1406">
        <f t="shared" si="57"/>
        <v>18302</v>
      </c>
      <c r="EC21" s="1406">
        <f t="shared" si="57"/>
        <v>17849</v>
      </c>
      <c r="ED21" s="1406">
        <f t="shared" si="57"/>
        <v>16005</v>
      </c>
      <c r="EE21" s="1406">
        <f t="shared" si="57"/>
        <v>19354</v>
      </c>
      <c r="EF21" s="1407">
        <f t="shared" si="57"/>
        <v>17316</v>
      </c>
      <c r="EG21" s="1402">
        <f t="shared" si="57"/>
        <v>16787</v>
      </c>
      <c r="EH21" s="1406">
        <f t="shared" si="57"/>
        <v>14013</v>
      </c>
      <c r="EI21" s="1406">
        <f>EI12+SUM(EI16:EI20)</f>
        <v>15256</v>
      </c>
      <c r="EJ21" s="1406">
        <f t="shared" ref="EJ21:EP21" si="58">SUM(EJ16:EJ20)+EJ12</f>
        <v>13519</v>
      </c>
      <c r="EK21" s="1402">
        <f t="shared" si="58"/>
        <v>13856</v>
      </c>
      <c r="EL21" s="1402">
        <f>SUM(EL16:EL20)+EL12</f>
        <v>13049</v>
      </c>
      <c r="EM21" s="1699">
        <f>SUM(EM16:EM20)+EM12</f>
        <v>12485.233592598177</v>
      </c>
      <c r="EN21" s="1406">
        <f t="shared" si="58"/>
        <v>12500.796460236665</v>
      </c>
      <c r="EO21" s="1406">
        <f t="shared" si="58"/>
        <v>12405.795603280085</v>
      </c>
      <c r="EP21" s="1406">
        <f t="shared" si="58"/>
        <v>12663.7049606949</v>
      </c>
      <c r="EQ21" s="1406">
        <f>SUM(EQ16:EQ20)+EQ12</f>
        <v>12569.563165773754</v>
      </c>
      <c r="ER21" s="1406">
        <f>SUM(ER16:ER20)+ER12</f>
        <v>12451.806418920434</v>
      </c>
      <c r="ES21" s="1406">
        <f>SUM(ES16:ES20)+ES12</f>
        <v>12795.021439198574</v>
      </c>
      <c r="ET21" s="1406">
        <f>SUM(ET16:ET20)+ET12</f>
        <v>12594.550689841028</v>
      </c>
      <c r="EU21" s="1613">
        <f>SUM(EU16:EU20)+EU12</f>
        <v>12356.439300712507</v>
      </c>
      <c r="EV21" s="1091"/>
      <c r="EW21"/>
      <c r="EX21"/>
      <c r="EY21"/>
      <c r="EZ21"/>
      <c r="FA21"/>
      <c r="FB21"/>
      <c r="FC21" s="4"/>
      <c r="FD21" s="4"/>
      <c r="FE21" s="4"/>
      <c r="FF21" s="4"/>
      <c r="FG21"/>
      <c r="FH21" s="1658"/>
      <c r="FI21" s="1658"/>
      <c r="FJ21" s="1658"/>
      <c r="FK2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row>
    <row r="22" spans="1:260" s="4" customFormat="1" x14ac:dyDescent="0.2">
      <c r="A22" s="322"/>
      <c r="B22" s="367"/>
      <c r="C22" s="367"/>
      <c r="D22" s="367"/>
      <c r="E22" s="604"/>
      <c r="F22" s="367"/>
      <c r="G22" s="367"/>
      <c r="H22" s="367"/>
      <c r="I22" s="604"/>
      <c r="J22" s="367"/>
      <c r="K22" s="367"/>
      <c r="L22" s="367"/>
      <c r="M22" s="604"/>
      <c r="N22" s="367"/>
      <c r="O22" s="367"/>
      <c r="P22" s="367"/>
      <c r="Q22" s="604"/>
      <c r="R22" s="367"/>
      <c r="S22" s="367"/>
      <c r="T22" s="367"/>
      <c r="U22" s="604"/>
      <c r="V22" s="367"/>
      <c r="W22" s="367"/>
      <c r="X22" s="367"/>
      <c r="Y22" s="604"/>
      <c r="Z22" s="367"/>
      <c r="AA22" s="367"/>
      <c r="AB22" s="367"/>
      <c r="AC22" s="604"/>
      <c r="AD22" s="367"/>
      <c r="AE22" s="367"/>
      <c r="AF22" s="367"/>
      <c r="AG22" s="604"/>
      <c r="AH22" s="367"/>
      <c r="AI22" s="367"/>
      <c r="AJ22" s="367"/>
      <c r="AK22" s="604"/>
      <c r="AL22" s="367"/>
      <c r="AM22" s="367"/>
      <c r="AN22" s="367"/>
      <c r="AO22" s="604"/>
      <c r="AP22" s="367"/>
      <c r="AQ22" s="367"/>
      <c r="AR22" s="367"/>
      <c r="AS22" s="604"/>
      <c r="AT22" s="367"/>
      <c r="AU22" s="367"/>
      <c r="AV22" s="367"/>
      <c r="AW22" s="604"/>
      <c r="AX22" s="367"/>
      <c r="AY22" s="367"/>
      <c r="AZ22" s="367"/>
      <c r="BA22" s="604"/>
      <c r="BB22" s="367"/>
      <c r="BC22" s="367"/>
      <c r="BD22" s="367"/>
      <c r="BE22" s="604"/>
      <c r="BF22" s="367"/>
      <c r="BG22" s="367"/>
      <c r="BH22" s="367"/>
      <c r="BI22" s="604"/>
      <c r="BJ22" s="367"/>
      <c r="BK22" s="367"/>
      <c r="BL22" s="367"/>
      <c r="BM22" s="604"/>
      <c r="BN22" s="367"/>
      <c r="BO22" s="367"/>
      <c r="BP22" s="367"/>
      <c r="BQ22" s="604"/>
      <c r="BR22" s="367"/>
      <c r="BS22" s="367"/>
      <c r="BT22" s="367"/>
      <c r="BU22" s="604"/>
      <c r="BV22" s="138"/>
      <c r="BW22" s="138"/>
      <c r="BX22" s="138"/>
      <c r="BY22" s="641"/>
      <c r="BZ22" s="138"/>
      <c r="CA22" s="155"/>
      <c r="CB22" s="155"/>
      <c r="CC22" s="646"/>
      <c r="CD22" s="668"/>
      <c r="CE22" s="1090"/>
      <c r="CF22" s="1090"/>
      <c r="CG22" s="651"/>
      <c r="CH22" s="668"/>
      <c r="CI22" s="1090"/>
      <c r="CJ22" s="1090"/>
      <c r="CK22" s="651"/>
      <c r="CL22" s="668"/>
      <c r="CM22" s="1090"/>
      <c r="CN22" s="1090"/>
      <c r="CO22" s="651"/>
      <c r="CP22" s="668"/>
      <c r="CQ22" s="1090"/>
      <c r="CR22" s="1090"/>
      <c r="CS22" s="651"/>
      <c r="CT22" s="1090"/>
      <c r="CU22" s="1090"/>
      <c r="CV22" s="1090"/>
      <c r="CW22" s="651"/>
      <c r="CX22" s="1712"/>
      <c r="CY22" s="1090"/>
      <c r="CZ22" s="1090"/>
      <c r="DA22" s="651"/>
      <c r="DB22" s="668"/>
      <c r="DC22" s="651"/>
      <c r="DD22" s="138"/>
      <c r="DE22" s="138"/>
      <c r="DF22" s="138"/>
      <c r="DG22" s="138"/>
      <c r="DH22" s="138"/>
      <c r="DI22" s="138"/>
      <c r="DJ22" s="138"/>
      <c r="DK22" s="138"/>
      <c r="DL22" s="368"/>
      <c r="DM22" s="368"/>
      <c r="DN22" s="368"/>
      <c r="DO22" s="368"/>
      <c r="DP22" s="368"/>
      <c r="DQ22" s="368"/>
      <c r="DR22" s="368"/>
      <c r="DS22" s="368"/>
      <c r="DT22" s="368"/>
      <c r="DU22" s="368"/>
      <c r="DV22" s="368"/>
      <c r="DW22" s="368"/>
      <c r="DX22" s="368"/>
      <c r="DY22" s="368"/>
      <c r="DZ22" s="368"/>
      <c r="EA22" s="368"/>
      <c r="EB22" s="368"/>
      <c r="EC22" s="368"/>
      <c r="ED22" s="178"/>
      <c r="EE22" s="138"/>
      <c r="EF22" s="1025"/>
      <c r="EG22" s="1090"/>
      <c r="EH22" s="1090"/>
      <c r="EI22" s="1090"/>
      <c r="EJ22" s="1090"/>
      <c r="EK22" s="1090"/>
      <c r="EL22" s="1090"/>
      <c r="EM22" s="1712"/>
      <c r="EN22" s="1090"/>
      <c r="EO22" s="1090"/>
      <c r="EP22" s="1090"/>
      <c r="EQ22" s="1090"/>
      <c r="ER22" s="1090"/>
      <c r="ES22" s="1090"/>
      <c r="ET22" s="1090"/>
      <c r="EU22" s="651"/>
      <c r="EV22" s="668"/>
      <c r="EW22"/>
      <c r="EX22"/>
      <c r="EY22"/>
      <c r="EZ22"/>
      <c r="FA22"/>
      <c r="FB22"/>
      <c r="FG22"/>
      <c r="FH22" s="1090"/>
      <c r="FI22" s="1090"/>
      <c r="FJ22" s="1090"/>
      <c r="FK22"/>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row>
    <row r="23" spans="1:260" s="19" customFormat="1" x14ac:dyDescent="0.2">
      <c r="A23" s="323" t="s">
        <v>33</v>
      </c>
      <c r="B23" s="369"/>
      <c r="C23" s="369"/>
      <c r="D23" s="369"/>
      <c r="E23" s="605"/>
      <c r="F23" s="369"/>
      <c r="G23" s="369"/>
      <c r="H23" s="369"/>
      <c r="I23" s="605"/>
      <c r="J23" s="369"/>
      <c r="K23" s="369"/>
      <c r="L23" s="369"/>
      <c r="M23" s="605"/>
      <c r="N23" s="369"/>
      <c r="O23" s="369"/>
      <c r="P23" s="369"/>
      <c r="Q23" s="605"/>
      <c r="R23" s="369"/>
      <c r="S23" s="369"/>
      <c r="T23" s="369"/>
      <c r="U23" s="605"/>
      <c r="V23" s="369"/>
      <c r="W23" s="369"/>
      <c r="X23" s="369"/>
      <c r="Y23" s="605"/>
      <c r="Z23" s="369"/>
      <c r="AA23" s="369"/>
      <c r="AB23" s="369"/>
      <c r="AC23" s="605"/>
      <c r="AD23" s="369"/>
      <c r="AE23" s="369"/>
      <c r="AF23" s="369"/>
      <c r="AG23" s="605"/>
      <c r="AH23" s="369"/>
      <c r="AI23" s="369"/>
      <c r="AJ23" s="369"/>
      <c r="AK23" s="605"/>
      <c r="AL23" s="369"/>
      <c r="AM23" s="369"/>
      <c r="AN23" s="369"/>
      <c r="AO23" s="605"/>
      <c r="AP23" s="369"/>
      <c r="AQ23" s="369"/>
      <c r="AR23" s="369"/>
      <c r="AS23" s="605"/>
      <c r="AT23" s="369"/>
      <c r="AU23" s="369"/>
      <c r="AV23" s="369"/>
      <c r="AW23" s="605"/>
      <c r="AX23" s="369"/>
      <c r="AY23" s="369"/>
      <c r="AZ23" s="369"/>
      <c r="BA23" s="605"/>
      <c r="BB23" s="369"/>
      <c r="BC23" s="369"/>
      <c r="BD23" s="369"/>
      <c r="BE23" s="605"/>
      <c r="BF23" s="369"/>
      <c r="BG23" s="369"/>
      <c r="BH23" s="369"/>
      <c r="BI23" s="605"/>
      <c r="BJ23" s="369"/>
      <c r="BK23" s="369"/>
      <c r="BL23" s="369"/>
      <c r="BM23" s="605"/>
      <c r="BN23" s="369"/>
      <c r="BO23" s="369"/>
      <c r="BP23" s="369"/>
      <c r="BQ23" s="605"/>
      <c r="BR23" s="369"/>
      <c r="BS23" s="369"/>
      <c r="BT23" s="369"/>
      <c r="BU23" s="605"/>
      <c r="BV23" s="139"/>
      <c r="BW23" s="139"/>
      <c r="BX23" s="139"/>
      <c r="BY23" s="642"/>
      <c r="BZ23" s="139"/>
      <c r="CA23" s="156"/>
      <c r="CB23" s="156"/>
      <c r="CC23" s="647"/>
      <c r="CD23" s="1091"/>
      <c r="CE23" s="355"/>
      <c r="CF23" s="355"/>
      <c r="CG23" s="652"/>
      <c r="CH23" s="1091"/>
      <c r="CI23" s="355"/>
      <c r="CJ23" s="355"/>
      <c r="CK23" s="652"/>
      <c r="CL23" s="1091"/>
      <c r="CM23" s="355"/>
      <c r="CN23" s="355"/>
      <c r="CO23" s="652"/>
      <c r="CP23" s="1091"/>
      <c r="CQ23" s="355"/>
      <c r="CR23" s="197"/>
      <c r="CS23" s="572"/>
      <c r="CT23" s="355"/>
      <c r="CU23" s="355"/>
      <c r="CV23" s="355"/>
      <c r="CW23" s="572"/>
      <c r="CX23" s="2791"/>
      <c r="CY23" s="355"/>
      <c r="CZ23" s="355"/>
      <c r="DA23" s="652"/>
      <c r="DB23" s="578"/>
      <c r="DC23" s="572"/>
      <c r="DD23" s="139"/>
      <c r="DE23" s="139"/>
      <c r="DF23" s="139"/>
      <c r="DG23" s="139"/>
      <c r="DH23" s="139"/>
      <c r="DI23" s="139"/>
      <c r="DJ23" s="139"/>
      <c r="DK23" s="139"/>
      <c r="DL23" s="370"/>
      <c r="DM23" s="370"/>
      <c r="DN23" s="370"/>
      <c r="DO23" s="370"/>
      <c r="DP23" s="370"/>
      <c r="DQ23" s="370"/>
      <c r="DR23" s="370"/>
      <c r="DS23" s="370"/>
      <c r="DT23" s="370"/>
      <c r="DU23" s="370"/>
      <c r="DV23" s="370"/>
      <c r="DW23" s="370"/>
      <c r="DX23" s="370"/>
      <c r="DY23" s="370"/>
      <c r="DZ23" s="370"/>
      <c r="EA23" s="370"/>
      <c r="EB23" s="370"/>
      <c r="EC23" s="370"/>
      <c r="ED23" s="157"/>
      <c r="EE23" s="139"/>
      <c r="EF23" s="1026"/>
      <c r="EG23" s="197"/>
      <c r="EH23" s="197"/>
      <c r="EI23" s="197"/>
      <c r="EJ23" s="197"/>
      <c r="EK23" s="197"/>
      <c r="EL23" s="197"/>
      <c r="EM23" s="1713"/>
      <c r="EN23" s="197"/>
      <c r="EO23" s="197"/>
      <c r="EP23" s="197"/>
      <c r="EQ23" s="197"/>
      <c r="ER23" s="197"/>
      <c r="ES23" s="197"/>
      <c r="ET23" s="197"/>
      <c r="EU23" s="572"/>
      <c r="EV23" s="1091"/>
      <c r="EW23"/>
      <c r="EX23"/>
      <c r="EY23"/>
      <c r="EZ23"/>
      <c r="FA23"/>
      <c r="FB23"/>
      <c r="FC23" s="4"/>
      <c r="FD23" s="4"/>
      <c r="FE23" s="4"/>
      <c r="FF23" s="4"/>
      <c r="FG23"/>
      <c r="FH23" s="197"/>
      <c r="FI23" s="197"/>
      <c r="FJ23" s="197"/>
      <c r="FK23"/>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row>
    <row r="24" spans="1:260" s="4" customFormat="1" x14ac:dyDescent="0.2">
      <c r="A24" s="599" t="s">
        <v>356</v>
      </c>
      <c r="B24" s="915">
        <v>160.15</v>
      </c>
      <c r="C24" s="915">
        <v>229.47</v>
      </c>
      <c r="D24" s="915">
        <v>521.02700000000004</v>
      </c>
      <c r="E24" s="909">
        <v>294.06</v>
      </c>
      <c r="F24" s="915">
        <v>312.66399999999999</v>
      </c>
      <c r="G24" s="915">
        <v>481.44</v>
      </c>
      <c r="H24" s="915">
        <v>787.70699999999999</v>
      </c>
      <c r="I24" s="909">
        <v>406.68200000000002</v>
      </c>
      <c r="J24" s="915">
        <v>448.54500000000002</v>
      </c>
      <c r="K24" s="915">
        <v>662.25699999999995</v>
      </c>
      <c r="L24" s="915">
        <v>1122.865</v>
      </c>
      <c r="M24" s="909">
        <v>673.85199999999998</v>
      </c>
      <c r="N24" s="915">
        <v>515.29700000000003</v>
      </c>
      <c r="O24" s="915">
        <v>619.51499999999999</v>
      </c>
      <c r="P24" s="915">
        <v>1047.941</v>
      </c>
      <c r="Q24" s="909">
        <v>487.80200000000002</v>
      </c>
      <c r="R24" s="915">
        <v>520.35400000000004</v>
      </c>
      <c r="S24" s="915">
        <v>617.87900000000002</v>
      </c>
      <c r="T24" s="915">
        <v>1152.8209999999999</v>
      </c>
      <c r="U24" s="909">
        <v>727.08699999999999</v>
      </c>
      <c r="V24" s="915">
        <v>703.30100000000004</v>
      </c>
      <c r="W24" s="915">
        <v>860.11599999999999</v>
      </c>
      <c r="X24" s="915">
        <v>1534.021</v>
      </c>
      <c r="Y24" s="909">
        <v>1011.746</v>
      </c>
      <c r="Z24" s="915">
        <v>867.32899999999995</v>
      </c>
      <c r="AA24" s="915">
        <v>1058.921</v>
      </c>
      <c r="AB24" s="915">
        <v>2070.2539999999999</v>
      </c>
      <c r="AC24" s="909">
        <v>1313.94</v>
      </c>
      <c r="AD24" s="915">
        <v>1223</v>
      </c>
      <c r="AE24" s="915">
        <v>1479</v>
      </c>
      <c r="AF24" s="915">
        <v>2483</v>
      </c>
      <c r="AG24" s="909">
        <v>1773</v>
      </c>
      <c r="AH24" s="915">
        <v>1822</v>
      </c>
      <c r="AI24" s="915">
        <v>2058</v>
      </c>
      <c r="AJ24" s="915">
        <v>3645</v>
      </c>
      <c r="AK24" s="909">
        <v>2202</v>
      </c>
      <c r="AL24" s="915">
        <v>2424</v>
      </c>
      <c r="AM24" s="915">
        <v>2081</v>
      </c>
      <c r="AN24" s="915">
        <v>3674</v>
      </c>
      <c r="AO24" s="909">
        <v>2195</v>
      </c>
      <c r="AP24" s="915">
        <v>2357</v>
      </c>
      <c r="AQ24" s="915">
        <v>2590</v>
      </c>
      <c r="AR24" s="915">
        <v>4501</v>
      </c>
      <c r="AS24" s="909">
        <v>2460</v>
      </c>
      <c r="AT24" s="915">
        <v>2611</v>
      </c>
      <c r="AU24" s="915">
        <v>2698</v>
      </c>
      <c r="AV24" s="915">
        <v>5008</v>
      </c>
      <c r="AW24" s="909">
        <v>2824</v>
      </c>
      <c r="AX24" s="915">
        <v>3047</v>
      </c>
      <c r="AY24" s="915">
        <v>2760</v>
      </c>
      <c r="AZ24" s="915">
        <v>5325</v>
      </c>
      <c r="BA24" s="909">
        <v>3234</v>
      </c>
      <c r="BB24" s="915">
        <v>3055</v>
      </c>
      <c r="BC24" s="915">
        <v>3858</v>
      </c>
      <c r="BD24" s="915">
        <v>6332</v>
      </c>
      <c r="BE24" s="909">
        <v>3934</v>
      </c>
      <c r="BF24" s="915">
        <v>3957</v>
      </c>
      <c r="BG24" s="915">
        <v>4312</v>
      </c>
      <c r="BH24" s="915">
        <v>7597</v>
      </c>
      <c r="BI24" s="909">
        <v>4297</v>
      </c>
      <c r="BJ24" s="915">
        <v>4697</v>
      </c>
      <c r="BK24" s="915">
        <v>5924</v>
      </c>
      <c r="BL24" s="915">
        <v>8219</v>
      </c>
      <c r="BM24" s="909">
        <v>4997</v>
      </c>
      <c r="BN24" s="915">
        <v>4996</v>
      </c>
      <c r="BO24" s="915">
        <v>5407</v>
      </c>
      <c r="BP24" s="915">
        <v>9083</v>
      </c>
      <c r="BQ24" s="909">
        <v>5276</v>
      </c>
      <c r="BR24" s="915">
        <v>5860</v>
      </c>
      <c r="BS24" s="915">
        <v>5573</v>
      </c>
      <c r="BT24" s="915">
        <v>9858</v>
      </c>
      <c r="BU24" s="909">
        <v>4894</v>
      </c>
      <c r="BV24" s="898">
        <v>5714</v>
      </c>
      <c r="BW24" s="898">
        <v>5830</v>
      </c>
      <c r="BX24" s="898">
        <v>10064</v>
      </c>
      <c r="BY24" s="909">
        <v>5364</v>
      </c>
      <c r="BZ24" s="898">
        <v>5731</v>
      </c>
      <c r="CA24" s="898">
        <v>6055</v>
      </c>
      <c r="CB24" s="898">
        <v>7933</v>
      </c>
      <c r="CC24" s="909">
        <v>6951</v>
      </c>
      <c r="CD24" s="917">
        <v>4776</v>
      </c>
      <c r="CE24" s="910">
        <v>4968</v>
      </c>
      <c r="CF24" s="910">
        <v>6578</v>
      </c>
      <c r="CG24" s="909">
        <v>5122</v>
      </c>
      <c r="CH24" s="1386">
        <v>4952</v>
      </c>
      <c r="CI24" s="830">
        <v>5244</v>
      </c>
      <c r="CJ24" s="830">
        <v>6626</v>
      </c>
      <c r="CK24" s="828">
        <v>5030</v>
      </c>
      <c r="CL24" s="1386">
        <v>4584</v>
      </c>
      <c r="CM24" s="830">
        <v>4680</v>
      </c>
      <c r="CN24" s="830">
        <v>6184</v>
      </c>
      <c r="CO24" s="828">
        <v>4450</v>
      </c>
      <c r="CP24" s="1386">
        <v>4397</v>
      </c>
      <c r="CQ24" s="830">
        <v>4800</v>
      </c>
      <c r="CR24" s="830">
        <v>6233</v>
      </c>
      <c r="CS24" s="828">
        <v>4984</v>
      </c>
      <c r="CT24" s="830">
        <v>4599</v>
      </c>
      <c r="CU24" s="830">
        <v>5072</v>
      </c>
      <c r="CV24" s="830">
        <v>6587</v>
      </c>
      <c r="CW24" s="828">
        <v>4873</v>
      </c>
      <c r="CX24" s="1698">
        <f t="shared" ref="CX24:DA24" si="59">(CX101+CW101+CV101+CU101)/CX52</f>
        <v>4944.0999175122552</v>
      </c>
      <c r="CY24" s="830">
        <f t="shared" si="59"/>
        <v>5404.3263755283624</v>
      </c>
      <c r="CZ24" s="830">
        <f t="shared" si="59"/>
        <v>6964.9848691440611</v>
      </c>
      <c r="DA24" s="828">
        <f t="shared" si="59"/>
        <v>4896.6271809429927</v>
      </c>
      <c r="DB24" s="594"/>
      <c r="DC24" s="537"/>
      <c r="DD24" s="898">
        <v>8.1199999999999992</v>
      </c>
      <c r="DE24" s="898">
        <v>12.282999999999999</v>
      </c>
      <c r="DF24" s="898">
        <v>24.5</v>
      </c>
      <c r="DG24" s="898">
        <v>22.978990000000003</v>
      </c>
      <c r="DH24" s="898">
        <v>29.71</v>
      </c>
      <c r="DI24" s="898">
        <v>41.9</v>
      </c>
      <c r="DJ24" s="898">
        <v>68.67</v>
      </c>
      <c r="DK24" s="898">
        <v>118.33799999999999</v>
      </c>
      <c r="DL24" s="898">
        <f>+E24</f>
        <v>294.06</v>
      </c>
      <c r="DM24" s="898">
        <f>+I24</f>
        <v>406.68200000000002</v>
      </c>
      <c r="DN24" s="898">
        <f>+M24</f>
        <v>673.85199999999998</v>
      </c>
      <c r="DO24" s="898">
        <f>+Q24</f>
        <v>487.80200000000002</v>
      </c>
      <c r="DP24" s="898">
        <f>+U24</f>
        <v>727.08699999999999</v>
      </c>
      <c r="DQ24" s="898">
        <f>+Y24</f>
        <v>1011.746</v>
      </c>
      <c r="DR24" s="898">
        <f>+AC24</f>
        <v>1313.94</v>
      </c>
      <c r="DS24" s="898">
        <f>+AG24</f>
        <v>1773</v>
      </c>
      <c r="DT24" s="898">
        <f>+AK24</f>
        <v>2202</v>
      </c>
      <c r="DU24" s="898">
        <f>+AO24</f>
        <v>2195</v>
      </c>
      <c r="DV24" s="898">
        <f t="shared" ref="DV24:DV30" si="60">+AS24</f>
        <v>2460</v>
      </c>
      <c r="DW24" s="898">
        <f t="shared" ref="DW24:DW30" si="61">+AW24</f>
        <v>2824</v>
      </c>
      <c r="DX24" s="898">
        <f t="shared" ref="DX24:DX30" si="62">+BA24</f>
        <v>3234</v>
      </c>
      <c r="DY24" s="898">
        <f>BE24</f>
        <v>3934</v>
      </c>
      <c r="DZ24" s="898">
        <f t="shared" ref="DZ24:DZ29" si="63">BI24</f>
        <v>4297</v>
      </c>
      <c r="EA24" s="898">
        <f t="shared" ref="EA24:EA29" si="64">BM24</f>
        <v>4997</v>
      </c>
      <c r="EB24" s="898">
        <f t="shared" ref="EB24:EB29" si="65">BQ24</f>
        <v>5276</v>
      </c>
      <c r="EC24" s="898">
        <f t="shared" ref="EC24:EC29" si="66">BU24</f>
        <v>4894</v>
      </c>
      <c r="ED24" s="898">
        <f t="shared" ref="ED24:ED29" si="67">BY24</f>
        <v>5364</v>
      </c>
      <c r="EE24" s="898">
        <v>6604</v>
      </c>
      <c r="EF24" s="917">
        <v>6929</v>
      </c>
      <c r="EG24" s="910">
        <f t="shared" ref="EG24:EG29" si="68">CC24</f>
        <v>6951</v>
      </c>
      <c r="EH24" s="830">
        <f t="shared" ref="EH24:EH29" si="69">CG24</f>
        <v>5122</v>
      </c>
      <c r="EI24" s="830">
        <f t="shared" ref="EI24:EI29" si="70">CK24</f>
        <v>5030</v>
      </c>
      <c r="EJ24" s="830">
        <f t="shared" ref="EJ24:EJ29" si="71">CO24</f>
        <v>4450</v>
      </c>
      <c r="EK24" s="830">
        <f t="shared" ref="EK24:EK29" si="72">CS24</f>
        <v>4984</v>
      </c>
      <c r="EL24" s="830">
        <f t="shared" ref="EL24:EL29" si="73">CW24</f>
        <v>4873</v>
      </c>
      <c r="EM24" s="1698">
        <f>DA24</f>
        <v>4896.6271809429927</v>
      </c>
      <c r="EN24" s="830">
        <f t="shared" ref="EN24:ES24" si="74">EN101/EN52</f>
        <v>4966.9276970748442</v>
      </c>
      <c r="EO24" s="830">
        <f t="shared" si="74"/>
        <v>5014.4711868934319</v>
      </c>
      <c r="EP24" s="830">
        <f t="shared" si="74"/>
        <v>5061.1600532305793</v>
      </c>
      <c r="EQ24" s="830">
        <f t="shared" si="74"/>
        <v>5128.4435291602658</v>
      </c>
      <c r="ER24" s="830">
        <f t="shared" si="74"/>
        <v>5198.3391236258931</v>
      </c>
      <c r="ES24" s="830">
        <f t="shared" si="74"/>
        <v>5270.9771765745527</v>
      </c>
      <c r="ET24" s="830">
        <f>ET101/ET52</f>
        <v>5346.4946189460015</v>
      </c>
      <c r="EU24" s="828">
        <f>EU101/EU52</f>
        <v>5425.0353065361787</v>
      </c>
      <c r="EV24" s="594"/>
      <c r="EW24"/>
      <c r="EX24"/>
      <c r="EY24"/>
      <c r="EZ24"/>
      <c r="FA24"/>
      <c r="FB24"/>
      <c r="FG24" s="830"/>
      <c r="FH24" s="830"/>
      <c r="FI24" s="830"/>
      <c r="FJ24" s="830"/>
      <c r="FK24"/>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row>
    <row r="25" spans="1:260" s="4" customFormat="1" x14ac:dyDescent="0.2">
      <c r="A25" s="599" t="s">
        <v>131</v>
      </c>
      <c r="B25" s="915">
        <v>0</v>
      </c>
      <c r="C25" s="915">
        <v>0</v>
      </c>
      <c r="D25" s="915">
        <v>0</v>
      </c>
      <c r="E25" s="909">
        <v>0</v>
      </c>
      <c r="F25" s="915">
        <v>0</v>
      </c>
      <c r="G25" s="915">
        <v>0</v>
      </c>
      <c r="H25" s="915">
        <v>0</v>
      </c>
      <c r="I25" s="909">
        <v>0</v>
      </c>
      <c r="J25" s="915">
        <v>0</v>
      </c>
      <c r="K25" s="915">
        <v>0</v>
      </c>
      <c r="L25" s="915">
        <v>0</v>
      </c>
      <c r="M25" s="909">
        <v>0</v>
      </c>
      <c r="N25" s="915">
        <v>0</v>
      </c>
      <c r="O25" s="915">
        <v>0</v>
      </c>
      <c r="P25" s="915">
        <v>0</v>
      </c>
      <c r="Q25" s="909">
        <v>0</v>
      </c>
      <c r="R25" s="915">
        <v>0</v>
      </c>
      <c r="S25" s="915">
        <v>0</v>
      </c>
      <c r="T25" s="915">
        <v>0</v>
      </c>
      <c r="U25" s="909">
        <v>0</v>
      </c>
      <c r="V25" s="915">
        <v>0</v>
      </c>
      <c r="W25" s="915">
        <v>0</v>
      </c>
      <c r="X25" s="915">
        <v>0</v>
      </c>
      <c r="Y25" s="909">
        <v>0</v>
      </c>
      <c r="Z25" s="915">
        <v>0</v>
      </c>
      <c r="AA25" s="915">
        <v>0</v>
      </c>
      <c r="AB25" s="915">
        <v>0</v>
      </c>
      <c r="AC25" s="909">
        <v>0</v>
      </c>
      <c r="AD25" s="915">
        <v>0</v>
      </c>
      <c r="AE25" s="915">
        <v>0</v>
      </c>
      <c r="AF25" s="915">
        <v>0</v>
      </c>
      <c r="AG25" s="909">
        <v>0</v>
      </c>
      <c r="AH25" s="915">
        <v>0</v>
      </c>
      <c r="AI25" s="915">
        <v>0</v>
      </c>
      <c r="AJ25" s="915">
        <v>0</v>
      </c>
      <c r="AK25" s="909">
        <v>0</v>
      </c>
      <c r="AL25" s="915">
        <v>0</v>
      </c>
      <c r="AM25" s="915">
        <v>0</v>
      </c>
      <c r="AN25" s="915">
        <v>0</v>
      </c>
      <c r="AO25" s="909">
        <v>0</v>
      </c>
      <c r="AP25" s="915">
        <v>0</v>
      </c>
      <c r="AQ25" s="915">
        <v>0</v>
      </c>
      <c r="AR25" s="915">
        <v>0</v>
      </c>
      <c r="AS25" s="909">
        <v>300</v>
      </c>
      <c r="AT25" s="915">
        <v>289</v>
      </c>
      <c r="AU25" s="915">
        <v>280</v>
      </c>
      <c r="AV25" s="915">
        <v>316</v>
      </c>
      <c r="AW25" s="909">
        <v>410</v>
      </c>
      <c r="AX25" s="915">
        <v>0</v>
      </c>
      <c r="AY25" s="915">
        <v>358</v>
      </c>
      <c r="AZ25" s="915"/>
      <c r="BA25" s="909">
        <v>469</v>
      </c>
      <c r="BB25" s="915">
        <v>0</v>
      </c>
      <c r="BC25" s="915">
        <v>392</v>
      </c>
      <c r="BD25" s="915">
        <v>0</v>
      </c>
      <c r="BE25" s="909">
        <v>496</v>
      </c>
      <c r="BF25" s="915">
        <v>455</v>
      </c>
      <c r="BG25" s="915">
        <v>422</v>
      </c>
      <c r="BH25" s="915">
        <v>471</v>
      </c>
      <c r="BI25" s="909">
        <v>531</v>
      </c>
      <c r="BJ25" s="915">
        <v>481</v>
      </c>
      <c r="BK25" s="915">
        <v>457</v>
      </c>
      <c r="BL25" s="915">
        <v>468</v>
      </c>
      <c r="BM25" s="909">
        <v>479</v>
      </c>
      <c r="BN25" s="915">
        <v>428</v>
      </c>
      <c r="BO25" s="915">
        <v>400</v>
      </c>
      <c r="BP25" s="915">
        <v>425</v>
      </c>
      <c r="BQ25" s="909">
        <v>463</v>
      </c>
      <c r="BR25" s="915">
        <v>424</v>
      </c>
      <c r="BS25" s="915">
        <v>400</v>
      </c>
      <c r="BT25" s="915">
        <v>424</v>
      </c>
      <c r="BU25" s="909">
        <v>474</v>
      </c>
      <c r="BV25" s="898">
        <v>440</v>
      </c>
      <c r="BW25" s="898">
        <v>410</v>
      </c>
      <c r="BX25" s="898">
        <v>428</v>
      </c>
      <c r="BY25" s="909">
        <v>456</v>
      </c>
      <c r="BZ25" s="898">
        <v>416</v>
      </c>
      <c r="CA25" s="898">
        <v>385</v>
      </c>
      <c r="CB25" s="910">
        <v>392</v>
      </c>
      <c r="CC25" s="909">
        <v>428</v>
      </c>
      <c r="CD25" s="917">
        <v>373</v>
      </c>
      <c r="CE25" s="910">
        <v>358</v>
      </c>
      <c r="CF25" s="910">
        <v>368</v>
      </c>
      <c r="CG25" s="909">
        <v>406</v>
      </c>
      <c r="CH25" s="1386">
        <v>362</v>
      </c>
      <c r="CI25" s="830">
        <v>371</v>
      </c>
      <c r="CJ25" s="830">
        <v>381</v>
      </c>
      <c r="CK25" s="828">
        <v>411</v>
      </c>
      <c r="CL25" s="1386">
        <v>385</v>
      </c>
      <c r="CM25" s="830">
        <v>371</v>
      </c>
      <c r="CN25" s="830">
        <v>379</v>
      </c>
      <c r="CO25" s="828">
        <v>409</v>
      </c>
      <c r="CP25" s="1386">
        <v>379</v>
      </c>
      <c r="CQ25" s="830">
        <v>369</v>
      </c>
      <c r="CR25" s="830">
        <v>377</v>
      </c>
      <c r="CS25" s="828">
        <v>427</v>
      </c>
      <c r="CT25" s="830">
        <v>389</v>
      </c>
      <c r="CU25" s="830">
        <v>383</v>
      </c>
      <c r="CV25" s="830">
        <v>375</v>
      </c>
      <c r="CW25" s="828">
        <v>385</v>
      </c>
      <c r="CX25" s="1698">
        <f t="shared" ref="CX25:DA25" si="75">CX57*(CX100+CW100+CV100+CU100)</f>
        <v>417.03848072230454</v>
      </c>
      <c r="CY25" s="830">
        <f t="shared" si="75"/>
        <v>406.88720805947884</v>
      </c>
      <c r="CZ25" s="830">
        <f t="shared" si="75"/>
        <v>395.40430894616111</v>
      </c>
      <c r="DA25" s="828">
        <f t="shared" si="75"/>
        <v>386.4980141259951</v>
      </c>
      <c r="DB25" s="594"/>
      <c r="DC25" s="537"/>
      <c r="DD25" s="898">
        <v>0</v>
      </c>
      <c r="DE25" s="898">
        <v>0</v>
      </c>
      <c r="DF25" s="898">
        <v>0</v>
      </c>
      <c r="DG25" s="898">
        <v>0</v>
      </c>
      <c r="DH25" s="910">
        <v>0</v>
      </c>
      <c r="DI25" s="910">
        <v>0</v>
      </c>
      <c r="DJ25" s="910">
        <v>0</v>
      </c>
      <c r="DK25" s="910">
        <v>0</v>
      </c>
      <c r="DL25" s="898"/>
      <c r="DM25" s="898"/>
      <c r="DN25" s="898"/>
      <c r="DO25" s="898"/>
      <c r="DP25" s="898"/>
      <c r="DQ25" s="898"/>
      <c r="DR25" s="898"/>
      <c r="DS25" s="898"/>
      <c r="DT25" s="898"/>
      <c r="DU25" s="898"/>
      <c r="DV25" s="898">
        <f t="shared" si="60"/>
        <v>300</v>
      </c>
      <c r="DW25" s="898">
        <f t="shared" si="61"/>
        <v>410</v>
      </c>
      <c r="DX25" s="898">
        <f t="shared" si="62"/>
        <v>469</v>
      </c>
      <c r="DY25" s="898">
        <v>496</v>
      </c>
      <c r="DZ25" s="898">
        <f t="shared" si="63"/>
        <v>531</v>
      </c>
      <c r="EA25" s="898">
        <f t="shared" si="64"/>
        <v>479</v>
      </c>
      <c r="EB25" s="898">
        <f t="shared" si="65"/>
        <v>463</v>
      </c>
      <c r="EC25" s="898">
        <f t="shared" si="66"/>
        <v>474</v>
      </c>
      <c r="ED25" s="898">
        <f t="shared" si="67"/>
        <v>456</v>
      </c>
      <c r="EE25" s="898">
        <f>EC25</f>
        <v>474</v>
      </c>
      <c r="EF25" s="917">
        <f>ED25</f>
        <v>456</v>
      </c>
      <c r="EG25" s="910">
        <f t="shared" si="68"/>
        <v>428</v>
      </c>
      <c r="EH25" s="830">
        <f t="shared" si="69"/>
        <v>406</v>
      </c>
      <c r="EI25" s="830">
        <f t="shared" si="70"/>
        <v>411</v>
      </c>
      <c r="EJ25" s="830">
        <f t="shared" si="71"/>
        <v>409</v>
      </c>
      <c r="EK25" s="830">
        <f t="shared" si="72"/>
        <v>427</v>
      </c>
      <c r="EL25" s="830">
        <f t="shared" si="73"/>
        <v>385</v>
      </c>
      <c r="EM25" s="1698">
        <f t="shared" ref="EM25:EM29" si="76">DA25</f>
        <v>386.4980141259951</v>
      </c>
      <c r="EN25" s="830">
        <f t="shared" ref="EN25:ES25" si="77">EN57*EN100</f>
        <v>390.39357807284915</v>
      </c>
      <c r="EO25" s="830">
        <f t="shared" si="77"/>
        <v>394.27160316465836</v>
      </c>
      <c r="EP25" s="830">
        <f t="shared" si="77"/>
        <v>397.705876389813</v>
      </c>
      <c r="EQ25" s="830">
        <f t="shared" si="77"/>
        <v>402.75357222476947</v>
      </c>
      <c r="ER25" s="830">
        <f t="shared" si="77"/>
        <v>407.99984015519533</v>
      </c>
      <c r="ES25" s="830">
        <f t="shared" si="77"/>
        <v>413.45451776739566</v>
      </c>
      <c r="ET25" s="830">
        <f>ET57*ET100</f>
        <v>419.12793380893578</v>
      </c>
      <c r="EU25" s="828">
        <f>EU57*EU100</f>
        <v>425.03093275121336</v>
      </c>
      <c r="EV25" s="594"/>
      <c r="EW25"/>
      <c r="EX25"/>
      <c r="EY25"/>
      <c r="EZ25"/>
      <c r="FA25"/>
      <c r="FB25"/>
      <c r="FG25" s="830"/>
      <c r="FH25" s="830"/>
      <c r="FI25" s="830"/>
      <c r="FJ25" s="830"/>
      <c r="FK25"/>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row>
    <row r="26" spans="1:260" s="4" customFormat="1" x14ac:dyDescent="0.2">
      <c r="A26" s="599" t="s">
        <v>359</v>
      </c>
      <c r="B26" s="915">
        <f>10.654</f>
        <v>10.654</v>
      </c>
      <c r="C26" s="915">
        <f>12.963</f>
        <v>12.962999999999999</v>
      </c>
      <c r="D26" s="915">
        <f>17.304</f>
        <v>17.303999999999998</v>
      </c>
      <c r="E26" s="909">
        <f>19.319</f>
        <v>19.318999999999999</v>
      </c>
      <c r="F26" s="915">
        <f>17.213</f>
        <v>17.213000000000001</v>
      </c>
      <c r="G26" s="915">
        <f>19.181</f>
        <v>19.181000000000001</v>
      </c>
      <c r="H26" s="915">
        <f>26.29</f>
        <v>26.29</v>
      </c>
      <c r="I26" s="909">
        <f>23.785</f>
        <v>23.785</v>
      </c>
      <c r="J26" s="915">
        <f>24.127</f>
        <v>24.126999999999999</v>
      </c>
      <c r="K26" s="915">
        <f>28.801</f>
        <v>28.800999999999998</v>
      </c>
      <c r="L26" s="915">
        <f>34.747</f>
        <v>34.747</v>
      </c>
      <c r="M26" s="909">
        <f>125.582</f>
        <v>125.58199999999999</v>
      </c>
      <c r="N26" s="915">
        <f>28.183</f>
        <v>28.183</v>
      </c>
      <c r="O26" s="915">
        <v>29.042999999999999</v>
      </c>
      <c r="P26" s="915">
        <v>33.686</v>
      </c>
      <c r="Q26" s="909">
        <v>33.662999999999997</v>
      </c>
      <c r="R26" s="915">
        <f>31.881</f>
        <v>31.881</v>
      </c>
      <c r="S26" s="915">
        <f>35.963</f>
        <v>35.963000000000001</v>
      </c>
      <c r="T26" s="915">
        <v>37.688000000000002</v>
      </c>
      <c r="U26" s="909">
        <v>48.771999999999998</v>
      </c>
      <c r="V26" s="915">
        <v>40.701999999999998</v>
      </c>
      <c r="W26" s="915">
        <f>48.403</f>
        <v>48.402999999999999</v>
      </c>
      <c r="X26" s="915">
        <f>59.27</f>
        <v>59.27</v>
      </c>
      <c r="Y26" s="909">
        <f>86.667</f>
        <v>86.667000000000002</v>
      </c>
      <c r="Z26" s="915">
        <f>53.834</f>
        <v>53.834000000000003</v>
      </c>
      <c r="AA26" s="915">
        <f>68.097</f>
        <v>68.096999999999994</v>
      </c>
      <c r="AB26" s="915">
        <f>78.691</f>
        <v>78.691000000000003</v>
      </c>
      <c r="AC26" s="909">
        <f>102.065</f>
        <v>102.065</v>
      </c>
      <c r="AD26" s="915">
        <v>90</v>
      </c>
      <c r="AE26" s="915">
        <v>114</v>
      </c>
      <c r="AF26" s="915">
        <v>106</v>
      </c>
      <c r="AG26" s="909">
        <v>154</v>
      </c>
      <c r="AH26" s="915">
        <v>141</v>
      </c>
      <c r="AI26" s="915">
        <v>142</v>
      </c>
      <c r="AJ26" s="915">
        <v>189</v>
      </c>
      <c r="AK26" s="909">
        <v>174</v>
      </c>
      <c r="AL26" s="915">
        <f>220</f>
        <v>220</v>
      </c>
      <c r="AM26" s="915">
        <v>155</v>
      </c>
      <c r="AN26" s="915">
        <v>175</v>
      </c>
      <c r="AO26" s="909">
        <v>0</v>
      </c>
      <c r="AP26" s="915">
        <v>0</v>
      </c>
      <c r="AQ26" s="915">
        <v>0</v>
      </c>
      <c r="AR26" s="915">
        <v>225</v>
      </c>
      <c r="AS26" s="909">
        <v>269</v>
      </c>
      <c r="AT26" s="915">
        <v>183</v>
      </c>
      <c r="AU26" s="915">
        <v>192</v>
      </c>
      <c r="AV26" s="915">
        <v>220</v>
      </c>
      <c r="AW26" s="909">
        <v>234</v>
      </c>
      <c r="AX26" s="915">
        <v>0</v>
      </c>
      <c r="AY26" s="915">
        <v>216</v>
      </c>
      <c r="AZ26" s="915"/>
      <c r="BA26" s="909">
        <v>354</v>
      </c>
      <c r="BB26" s="915">
        <v>0</v>
      </c>
      <c r="BC26" s="915">
        <v>263</v>
      </c>
      <c r="BD26" s="915">
        <v>0</v>
      </c>
      <c r="BE26" s="909">
        <v>332</v>
      </c>
      <c r="BF26" s="915">
        <v>243</v>
      </c>
      <c r="BG26" s="915">
        <v>287</v>
      </c>
      <c r="BH26" s="915">
        <v>339</v>
      </c>
      <c r="BI26" s="909">
        <v>373</v>
      </c>
      <c r="BJ26" s="915">
        <v>284</v>
      </c>
      <c r="BK26" s="915">
        <v>546</v>
      </c>
      <c r="BL26" s="915">
        <v>410</v>
      </c>
      <c r="BM26" s="909">
        <v>459</v>
      </c>
      <c r="BN26" s="915">
        <v>404</v>
      </c>
      <c r="BO26" s="915">
        <v>427</v>
      </c>
      <c r="BP26" s="915">
        <v>482</v>
      </c>
      <c r="BQ26" s="909">
        <v>544</v>
      </c>
      <c r="BR26" s="915">
        <v>436</v>
      </c>
      <c r="BS26" s="915">
        <v>467</v>
      </c>
      <c r="BT26" s="915">
        <v>464</v>
      </c>
      <c r="BU26" s="909">
        <v>570</v>
      </c>
      <c r="BV26" s="898">
        <v>492</v>
      </c>
      <c r="BW26" s="898">
        <v>489</v>
      </c>
      <c r="BX26" s="898">
        <v>497</v>
      </c>
      <c r="BY26" s="909">
        <v>539</v>
      </c>
      <c r="BZ26" s="898">
        <v>638</v>
      </c>
      <c r="CA26" s="898">
        <v>464</v>
      </c>
      <c r="CB26" s="910">
        <v>429</v>
      </c>
      <c r="CC26" s="909">
        <f>520</f>
        <v>520</v>
      </c>
      <c r="CD26" s="917">
        <v>333</v>
      </c>
      <c r="CE26" s="910">
        <v>343</v>
      </c>
      <c r="CF26" s="910">
        <v>350</v>
      </c>
      <c r="CG26" s="909">
        <v>444</v>
      </c>
      <c r="CH26" s="1386">
        <v>350</v>
      </c>
      <c r="CI26" s="830">
        <v>442</v>
      </c>
      <c r="CJ26" s="830">
        <v>305</v>
      </c>
      <c r="CK26" s="828">
        <v>372</v>
      </c>
      <c r="CL26" s="1386">
        <v>277</v>
      </c>
      <c r="CM26" s="830">
        <v>316</v>
      </c>
      <c r="CN26" s="830">
        <v>330</v>
      </c>
      <c r="CO26" s="828">
        <v>357</v>
      </c>
      <c r="CP26" s="1386">
        <v>277</v>
      </c>
      <c r="CQ26" s="830">
        <v>380</v>
      </c>
      <c r="CR26" s="830">
        <v>380</v>
      </c>
      <c r="CS26" s="828">
        <v>418</v>
      </c>
      <c r="CT26" s="830">
        <v>274</v>
      </c>
      <c r="CU26" s="830">
        <v>427</v>
      </c>
      <c r="CV26" s="830">
        <v>331</v>
      </c>
      <c r="CW26" s="828">
        <v>453</v>
      </c>
      <c r="CX26" s="1698">
        <f t="shared" ref="CX26:DA26" si="78">CX58*(CX101+CX102+CW101+CW102+CV101+CV102+CU101+CU102)</f>
        <v>444.25662878146784</v>
      </c>
      <c r="CY26" s="830">
        <f t="shared" si="78"/>
        <v>444.89612501832659</v>
      </c>
      <c r="CZ26" s="830">
        <f t="shared" si="78"/>
        <v>445.65626562566717</v>
      </c>
      <c r="DA26" s="828">
        <f t="shared" si="78"/>
        <v>444.23274337113367</v>
      </c>
      <c r="DB26" s="594"/>
      <c r="DC26" s="537"/>
      <c r="DD26" s="898">
        <v>0.624</v>
      </c>
      <c r="DE26" s="898">
        <v>0</v>
      </c>
      <c r="DF26" s="898">
        <v>0</v>
      </c>
      <c r="DG26" s="898">
        <v>0</v>
      </c>
      <c r="DH26" s="898">
        <v>3.2229999999999999</v>
      </c>
      <c r="DI26" s="898">
        <f>5.029</f>
        <v>5.0289999999999999</v>
      </c>
      <c r="DJ26" s="898">
        <f>7.924</f>
        <v>7.9240000000000004</v>
      </c>
      <c r="DK26" s="898">
        <f>12.35</f>
        <v>12.35</v>
      </c>
      <c r="DL26" s="898">
        <f>+E26</f>
        <v>19.318999999999999</v>
      </c>
      <c r="DM26" s="898">
        <f>+I26</f>
        <v>23.785</v>
      </c>
      <c r="DN26" s="898">
        <f>+M26</f>
        <v>125.58199999999999</v>
      </c>
      <c r="DO26" s="898">
        <f>+Q26</f>
        <v>33.662999999999997</v>
      </c>
      <c r="DP26" s="898">
        <f>+U26</f>
        <v>48.771999999999998</v>
      </c>
      <c r="DQ26" s="898">
        <f>+Y26</f>
        <v>86.667000000000002</v>
      </c>
      <c r="DR26" s="898">
        <f>+AC26</f>
        <v>102.065</v>
      </c>
      <c r="DS26" s="898">
        <f>+AG26</f>
        <v>154</v>
      </c>
      <c r="DT26" s="898">
        <f>+AK26</f>
        <v>174</v>
      </c>
      <c r="DU26" s="898">
        <f>+AO26</f>
        <v>0</v>
      </c>
      <c r="DV26" s="898">
        <f t="shared" si="60"/>
        <v>269</v>
      </c>
      <c r="DW26" s="898">
        <f t="shared" si="61"/>
        <v>234</v>
      </c>
      <c r="DX26" s="898">
        <f t="shared" si="62"/>
        <v>354</v>
      </c>
      <c r="DY26" s="898">
        <v>332</v>
      </c>
      <c r="DZ26" s="898">
        <f t="shared" si="63"/>
        <v>373</v>
      </c>
      <c r="EA26" s="898">
        <f t="shared" si="64"/>
        <v>459</v>
      </c>
      <c r="EB26" s="898">
        <f t="shared" si="65"/>
        <v>544</v>
      </c>
      <c r="EC26" s="898">
        <f t="shared" si="66"/>
        <v>570</v>
      </c>
      <c r="ED26" s="898">
        <f t="shared" si="67"/>
        <v>539</v>
      </c>
      <c r="EE26" s="898">
        <f>EC26</f>
        <v>570</v>
      </c>
      <c r="EF26" s="917">
        <f>ED26</f>
        <v>539</v>
      </c>
      <c r="EG26" s="910">
        <f t="shared" si="68"/>
        <v>520</v>
      </c>
      <c r="EH26" s="830">
        <f t="shared" si="69"/>
        <v>444</v>
      </c>
      <c r="EI26" s="830">
        <f t="shared" si="70"/>
        <v>372</v>
      </c>
      <c r="EJ26" s="830">
        <f t="shared" si="71"/>
        <v>357</v>
      </c>
      <c r="EK26" s="830">
        <f t="shared" si="72"/>
        <v>418</v>
      </c>
      <c r="EL26" s="830">
        <f t="shared" si="73"/>
        <v>453</v>
      </c>
      <c r="EM26" s="1698">
        <f t="shared" si="76"/>
        <v>444.23274337113367</v>
      </c>
      <c r="EN26" s="830">
        <f t="shared" ref="EN26:ES26" si="79">EN58*EN100</f>
        <v>448.71022319208953</v>
      </c>
      <c r="EO26" s="830">
        <f t="shared" si="79"/>
        <v>453.16754421944904</v>
      </c>
      <c r="EP26" s="830">
        <f t="shared" si="79"/>
        <v>457.11482612139213</v>
      </c>
      <c r="EQ26" s="830">
        <f t="shared" si="79"/>
        <v>462.9165422661348</v>
      </c>
      <c r="ER26" s="830">
        <f t="shared" si="79"/>
        <v>468.94649302917634</v>
      </c>
      <c r="ES26" s="830">
        <f t="shared" si="79"/>
        <v>475.21598552670554</v>
      </c>
      <c r="ET26" s="830">
        <f>ET58*ET100</f>
        <v>481.73689140540313</v>
      </c>
      <c r="EU26" s="828">
        <f>EU58*EU100</f>
        <v>488.5216750741493</v>
      </c>
      <c r="EV26" s="594"/>
      <c r="EW26"/>
      <c r="EX26"/>
      <c r="EY26"/>
      <c r="EZ26"/>
      <c r="FA26"/>
      <c r="FB26"/>
      <c r="FG26" s="830"/>
      <c r="FH26" s="830"/>
      <c r="FI26" s="830"/>
      <c r="FJ26" s="830"/>
      <c r="FK26"/>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row>
    <row r="27" spans="1:260" s="4" customFormat="1" x14ac:dyDescent="0.2">
      <c r="A27" s="599" t="s">
        <v>360</v>
      </c>
      <c r="B27" s="915">
        <f>19.618+18.806</f>
        <v>38.423999999999999</v>
      </c>
      <c r="C27" s="915">
        <f>27.873+23.166</f>
        <v>51.039000000000001</v>
      </c>
      <c r="D27" s="915">
        <f>36.324+35.647</f>
        <v>71.971000000000004</v>
      </c>
      <c r="E27" s="909">
        <f>11.156+37.754</f>
        <v>48.91</v>
      </c>
      <c r="F27" s="915">
        <v>86.237000000000023</v>
      </c>
      <c r="G27" s="915">
        <v>166.23700000000002</v>
      </c>
      <c r="H27" s="915">
        <v>306.66399999999987</v>
      </c>
      <c r="I27" s="909">
        <v>147.51199999999977</v>
      </c>
      <c r="J27" s="915">
        <v>156.18099999999993</v>
      </c>
      <c r="K27" s="915">
        <v>271.99100000000033</v>
      </c>
      <c r="L27" s="915">
        <v>630.05499999999995</v>
      </c>
      <c r="M27" s="909">
        <v>120.84100000000018</v>
      </c>
      <c r="N27" s="915">
        <v>468.16500000000002</v>
      </c>
      <c r="O27" s="915">
        <v>452.53599999999989</v>
      </c>
      <c r="P27" s="915">
        <v>545.505</v>
      </c>
      <c r="Q27" s="909">
        <v>250.12099999999987</v>
      </c>
      <c r="R27" s="915">
        <f>84.215+127.411</f>
        <v>211.626</v>
      </c>
      <c r="S27" s="915">
        <f>63.407+143.597</f>
        <v>207.00400000000002</v>
      </c>
      <c r="T27" s="915">
        <f>50.238+170.221</f>
        <v>220.459</v>
      </c>
      <c r="U27" s="909">
        <f>163.744+24.608+35.565</f>
        <v>223.917</v>
      </c>
      <c r="V27" s="915">
        <v>164.07400000000001</v>
      </c>
      <c r="W27" s="915">
        <v>190.97200000000001</v>
      </c>
      <c r="X27" s="915">
        <v>265.65699999999998</v>
      </c>
      <c r="Y27" s="909">
        <v>258.40600000000001</v>
      </c>
      <c r="Z27" s="915">
        <v>225.93100000000001</v>
      </c>
      <c r="AA27" s="915">
        <v>237.17500000000001</v>
      </c>
      <c r="AB27" s="915">
        <v>359.06200000000001</v>
      </c>
      <c r="AC27" s="909">
        <v>287.88799999999998</v>
      </c>
      <c r="AD27" s="915">
        <v>321</v>
      </c>
      <c r="AE27" s="915">
        <v>317</v>
      </c>
      <c r="AF27" s="915">
        <v>406</v>
      </c>
      <c r="AG27" s="909">
        <v>546</v>
      </c>
      <c r="AH27" s="915">
        <v>535</v>
      </c>
      <c r="AI27" s="915">
        <v>615</v>
      </c>
      <c r="AJ27" s="915">
        <v>713</v>
      </c>
      <c r="AK27" s="909">
        <v>911</v>
      </c>
      <c r="AL27" s="915">
        <v>730</v>
      </c>
      <c r="AM27" s="915">
        <f>614+96+391</f>
        <v>1101</v>
      </c>
      <c r="AN27" s="915">
        <f>726+122+533</f>
        <v>1381</v>
      </c>
      <c r="AO27" s="909">
        <f>1308+320</f>
        <v>1628</v>
      </c>
      <c r="AP27" s="915">
        <v>913</v>
      </c>
      <c r="AQ27" s="915">
        <v>1071</v>
      </c>
      <c r="AR27" s="915">
        <f>1018+99</f>
        <v>1117</v>
      </c>
      <c r="AS27" s="909">
        <v>724</v>
      </c>
      <c r="AT27" s="915">
        <f>705+181</f>
        <v>886</v>
      </c>
      <c r="AU27" s="915">
        <f>844+283</f>
        <v>1127</v>
      </c>
      <c r="AV27" s="915">
        <f>998+342</f>
        <v>1340</v>
      </c>
      <c r="AW27" s="909">
        <v>844</v>
      </c>
      <c r="AX27" s="915">
        <v>1504</v>
      </c>
      <c r="AY27" s="915">
        <v>916</v>
      </c>
      <c r="AZ27" s="915">
        <f>254+1157+328+374</f>
        <v>2113</v>
      </c>
      <c r="BA27" s="909">
        <f>878+703</f>
        <v>1581</v>
      </c>
      <c r="BB27" s="915">
        <v>1824</v>
      </c>
      <c r="BC27" s="915">
        <f>958+399</f>
        <v>1357</v>
      </c>
      <c r="BD27" s="915">
        <v>2363</v>
      </c>
      <c r="BE27" s="909">
        <f>990+489</f>
        <v>1479</v>
      </c>
      <c r="BF27" s="915">
        <f>930+34</f>
        <v>964</v>
      </c>
      <c r="BG27" s="915">
        <f>970+99</f>
        <v>1069</v>
      </c>
      <c r="BH27" s="915">
        <v>1337</v>
      </c>
      <c r="BI27" s="909">
        <f>975+404</f>
        <v>1379</v>
      </c>
      <c r="BJ27" s="915">
        <f>1016+40</f>
        <v>1056</v>
      </c>
      <c r="BK27" s="915">
        <f>1455+44</f>
        <v>1499</v>
      </c>
      <c r="BL27" s="915">
        <f>1749+148</f>
        <v>1897</v>
      </c>
      <c r="BM27" s="909">
        <f>1382+281</f>
        <v>1663</v>
      </c>
      <c r="BN27" s="915">
        <f>1365+92</f>
        <v>1457</v>
      </c>
      <c r="BO27" s="915">
        <f>1543+51</f>
        <v>1594</v>
      </c>
      <c r="BP27" s="915">
        <f>1856+55</f>
        <v>1911</v>
      </c>
      <c r="BQ27" s="909">
        <f>1681+316</f>
        <v>1997</v>
      </c>
      <c r="BR27" s="915">
        <f>1601+51</f>
        <v>1652</v>
      </c>
      <c r="BS27" s="915">
        <f>1589+27</f>
        <v>1616</v>
      </c>
      <c r="BT27" s="915">
        <f>1920+31</f>
        <v>1951</v>
      </c>
      <c r="BU27" s="909">
        <f>1471+256</f>
        <v>1727</v>
      </c>
      <c r="BV27" s="898">
        <f>1544+66</f>
        <v>1610</v>
      </c>
      <c r="BW27" s="898">
        <f>1580+2</f>
        <v>1582</v>
      </c>
      <c r="BX27" s="898">
        <f>1976+11</f>
        <v>1987</v>
      </c>
      <c r="BY27" s="909">
        <f>1685+288</f>
        <v>1973</v>
      </c>
      <c r="BZ27" s="898">
        <f>272+1595</f>
        <v>1867</v>
      </c>
      <c r="CA27" s="898">
        <f>7+1476</f>
        <v>1483</v>
      </c>
      <c r="CB27" s="898">
        <f>1531+9</f>
        <v>1540</v>
      </c>
      <c r="CC27" s="909">
        <f>1639+129</f>
        <v>1768</v>
      </c>
      <c r="CD27" s="917">
        <f>1142+8+1385</f>
        <v>2535</v>
      </c>
      <c r="CE27" s="910">
        <f>1185+130</f>
        <v>1315</v>
      </c>
      <c r="CF27" s="910">
        <f>1233+91</f>
        <v>1324</v>
      </c>
      <c r="CG27" s="909">
        <f>873+399+147</f>
        <v>1419</v>
      </c>
      <c r="CH27" s="1386">
        <f>731+47+394</f>
        <v>1172</v>
      </c>
      <c r="CI27" s="830">
        <f>796+68+287</f>
        <v>1151</v>
      </c>
      <c r="CJ27" s="830">
        <f>449+788+33</f>
        <v>1270</v>
      </c>
      <c r="CK27" s="828">
        <f>782+326+230+585</f>
        <v>1923</v>
      </c>
      <c r="CL27" s="1386">
        <f>304+743+45</f>
        <v>1092</v>
      </c>
      <c r="CM27" s="830">
        <f>285+26+778</f>
        <v>1089</v>
      </c>
      <c r="CN27" s="830">
        <f>306+790+23</f>
        <v>1119</v>
      </c>
      <c r="CO27" s="828">
        <f>802+384+128</f>
        <v>1314</v>
      </c>
      <c r="CP27" s="1386">
        <f>349+791+97</f>
        <v>1237</v>
      </c>
      <c r="CQ27" s="830">
        <f>272+840+96</f>
        <v>1208</v>
      </c>
      <c r="CR27" s="830">
        <f>308+782+43</f>
        <v>1133</v>
      </c>
      <c r="CS27" s="828">
        <f>358+865+26</f>
        <v>1249</v>
      </c>
      <c r="CT27" s="830">
        <f>371+699+93</f>
        <v>1163</v>
      </c>
      <c r="CU27" s="830">
        <f>309+787+83</f>
        <v>1179</v>
      </c>
      <c r="CV27" s="830">
        <f>426+808+80</f>
        <v>1314</v>
      </c>
      <c r="CW27" s="828">
        <f>561+864+137</f>
        <v>1562</v>
      </c>
      <c r="CX27" s="1698">
        <f t="shared" ref="CX27:DA27" si="80">CX59*(CX100+CW100+CV100+CU100)</f>
        <v>1246.8271287404632</v>
      </c>
      <c r="CY27" s="830">
        <f t="shared" si="80"/>
        <v>1252.5326848619466</v>
      </c>
      <c r="CZ27" s="830">
        <f t="shared" si="80"/>
        <v>1385.4966985473484</v>
      </c>
      <c r="DA27" s="828">
        <f t="shared" si="80"/>
        <v>1568.0776573111802</v>
      </c>
      <c r="DB27" s="594"/>
      <c r="DC27" s="537"/>
      <c r="DD27" s="898">
        <v>0</v>
      </c>
      <c r="DE27" s="898">
        <v>0</v>
      </c>
      <c r="DF27" s="898">
        <v>0</v>
      </c>
      <c r="DG27" s="898">
        <v>0</v>
      </c>
      <c r="DH27" s="898">
        <v>0</v>
      </c>
      <c r="DI27" s="898">
        <f>4.444+6.741</f>
        <v>11.184999999999999</v>
      </c>
      <c r="DJ27" s="898">
        <f>4.174+11.59</f>
        <v>15.763999999999999</v>
      </c>
      <c r="DK27" s="898">
        <f>4.871+3.7+18.221</f>
        <v>26.792000000000002</v>
      </c>
      <c r="DL27" s="898">
        <f>+E27</f>
        <v>48.91</v>
      </c>
      <c r="DM27" s="898">
        <f>+I27</f>
        <v>147.51199999999977</v>
      </c>
      <c r="DN27" s="898">
        <f>+M27</f>
        <v>120.84100000000018</v>
      </c>
      <c r="DO27" s="898">
        <f>+Q27</f>
        <v>250.12099999999987</v>
      </c>
      <c r="DP27" s="898">
        <f>+U27</f>
        <v>223.917</v>
      </c>
      <c r="DQ27" s="898">
        <f>+Y27</f>
        <v>258.40600000000001</v>
      </c>
      <c r="DR27" s="898">
        <f>+AC27</f>
        <v>287.88799999999998</v>
      </c>
      <c r="DS27" s="898">
        <f>+AG27</f>
        <v>546</v>
      </c>
      <c r="DT27" s="898">
        <f>+AK27</f>
        <v>911</v>
      </c>
      <c r="DU27" s="898">
        <f>+AO27</f>
        <v>1628</v>
      </c>
      <c r="DV27" s="898">
        <f t="shared" si="60"/>
        <v>724</v>
      </c>
      <c r="DW27" s="898">
        <f t="shared" si="61"/>
        <v>844</v>
      </c>
      <c r="DX27" s="898">
        <f t="shared" si="62"/>
        <v>1581</v>
      </c>
      <c r="DY27" s="898">
        <f>BE27</f>
        <v>1479</v>
      </c>
      <c r="DZ27" s="898">
        <f t="shared" si="63"/>
        <v>1379</v>
      </c>
      <c r="EA27" s="898">
        <f t="shared" si="64"/>
        <v>1663</v>
      </c>
      <c r="EB27" s="898">
        <f t="shared" si="65"/>
        <v>1997</v>
      </c>
      <c r="EC27" s="898">
        <f t="shared" si="66"/>
        <v>1727</v>
      </c>
      <c r="ED27" s="898">
        <f t="shared" si="67"/>
        <v>1973</v>
      </c>
      <c r="EE27" s="898">
        <f>2759-EE26-EE25</f>
        <v>1715</v>
      </c>
      <c r="EF27" s="917">
        <f>2861-EF26-EF25</f>
        <v>1866</v>
      </c>
      <c r="EG27" s="910">
        <f t="shared" si="68"/>
        <v>1768</v>
      </c>
      <c r="EH27" s="830">
        <f t="shared" si="69"/>
        <v>1419</v>
      </c>
      <c r="EI27" s="830">
        <f t="shared" si="70"/>
        <v>1923</v>
      </c>
      <c r="EJ27" s="830">
        <f t="shared" si="71"/>
        <v>1314</v>
      </c>
      <c r="EK27" s="830">
        <f t="shared" si="72"/>
        <v>1249</v>
      </c>
      <c r="EL27" s="830">
        <f t="shared" si="73"/>
        <v>1562</v>
      </c>
      <c r="EM27" s="1698">
        <f t="shared" si="76"/>
        <v>1568.0776573111802</v>
      </c>
      <c r="EN27" s="830">
        <f t="shared" ref="EN27:ES27" si="81">EN59*EN100</f>
        <v>1583.8825167527023</v>
      </c>
      <c r="EO27" s="830">
        <f t="shared" si="81"/>
        <v>1599.6162185537569</v>
      </c>
      <c r="EP27" s="830">
        <f t="shared" si="81"/>
        <v>1613.54955563867</v>
      </c>
      <c r="EQ27" s="830">
        <f t="shared" si="81"/>
        <v>1634.0287787404934</v>
      </c>
      <c r="ER27" s="830">
        <f t="shared" si="81"/>
        <v>1655.3136372010783</v>
      </c>
      <c r="ES27" s="830">
        <f t="shared" si="81"/>
        <v>1677.4440435134338</v>
      </c>
      <c r="ET27" s="830">
        <f>ET59*ET100</f>
        <v>1700.4619028819682</v>
      </c>
      <c r="EU27" s="828">
        <f>EU59*EU100</f>
        <v>1724.4112128763513</v>
      </c>
      <c r="EV27" s="594"/>
      <c r="EW27"/>
      <c r="EX27"/>
      <c r="EY27"/>
      <c r="EZ27"/>
      <c r="FA27"/>
      <c r="FB27"/>
      <c r="FG27" s="830"/>
      <c r="FH27" s="830"/>
      <c r="FI27" s="830"/>
      <c r="FJ27" s="830"/>
      <c r="FK27"/>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row>
    <row r="28" spans="1:260" s="4" customFormat="1" x14ac:dyDescent="0.2">
      <c r="A28" s="599" t="s">
        <v>160</v>
      </c>
      <c r="B28" s="915">
        <v>12.759</v>
      </c>
      <c r="C28" s="915">
        <v>16.75</v>
      </c>
      <c r="D28" s="915">
        <v>17.890999999999998</v>
      </c>
      <c r="E28" s="909">
        <v>19.146000000000001</v>
      </c>
      <c r="F28" s="915">
        <v>19.908999999999999</v>
      </c>
      <c r="G28" s="915">
        <v>20.774000000000001</v>
      </c>
      <c r="H28" s="915">
        <v>22.393999999999998</v>
      </c>
      <c r="I28" s="909">
        <v>24.942</v>
      </c>
      <c r="J28" s="915">
        <v>26.759</v>
      </c>
      <c r="K28" s="915">
        <v>28.645</v>
      </c>
      <c r="L28" s="915">
        <v>32.24</v>
      </c>
      <c r="M28" s="909">
        <v>30.844999999999999</v>
      </c>
      <c r="N28" s="915">
        <v>29.469000000000001</v>
      </c>
      <c r="O28" s="915">
        <v>27.504000000000001</v>
      </c>
      <c r="P28" s="915">
        <v>26.085999999999999</v>
      </c>
      <c r="Q28" s="909">
        <v>24.602</v>
      </c>
      <c r="R28" s="915">
        <v>24.905999999999999</v>
      </c>
      <c r="S28" s="915">
        <v>22.332000000000001</v>
      </c>
      <c r="T28" s="915">
        <v>21.596</v>
      </c>
      <c r="U28" s="909">
        <v>18.975000000000001</v>
      </c>
      <c r="V28" s="915">
        <v>0</v>
      </c>
      <c r="W28" s="915">
        <v>0</v>
      </c>
      <c r="X28" s="915">
        <v>0</v>
      </c>
      <c r="Y28" s="909">
        <v>0</v>
      </c>
      <c r="Z28" s="915">
        <v>10.682</v>
      </c>
      <c r="AA28" s="915">
        <v>0</v>
      </c>
      <c r="AB28" s="915">
        <v>0</v>
      </c>
      <c r="AC28" s="909">
        <v>65.366</v>
      </c>
      <c r="AD28" s="915">
        <v>0</v>
      </c>
      <c r="AE28" s="915">
        <v>0</v>
      </c>
      <c r="AF28" s="915">
        <v>14</v>
      </c>
      <c r="AG28" s="909">
        <v>127</v>
      </c>
      <c r="AH28" s="915">
        <v>18</v>
      </c>
      <c r="AI28" s="915">
        <v>30</v>
      </c>
      <c r="AJ28" s="915">
        <v>79</v>
      </c>
      <c r="AK28" s="909">
        <v>418</v>
      </c>
      <c r="AL28" s="915">
        <v>63</v>
      </c>
      <c r="AM28" s="915">
        <v>0</v>
      </c>
      <c r="AN28" s="915">
        <v>0</v>
      </c>
      <c r="AO28" s="909">
        <v>0</v>
      </c>
      <c r="AP28" s="915">
        <v>0</v>
      </c>
      <c r="AQ28" s="915">
        <v>0</v>
      </c>
      <c r="AR28" s="915">
        <v>0</v>
      </c>
      <c r="AS28" s="909">
        <v>380</v>
      </c>
      <c r="AT28" s="915">
        <v>0</v>
      </c>
      <c r="AU28" s="915">
        <v>0</v>
      </c>
      <c r="AV28" s="915"/>
      <c r="AW28" s="909">
        <v>575</v>
      </c>
      <c r="AX28" s="915">
        <v>0</v>
      </c>
      <c r="AY28" s="915">
        <v>254</v>
      </c>
      <c r="AZ28" s="915"/>
      <c r="BA28" s="909">
        <v>0</v>
      </c>
      <c r="BB28" s="915">
        <v>0</v>
      </c>
      <c r="BC28" s="915">
        <v>77</v>
      </c>
      <c r="BD28" s="915">
        <v>0</v>
      </c>
      <c r="BE28" s="909">
        <v>0</v>
      </c>
      <c r="BF28" s="915">
        <v>48</v>
      </c>
      <c r="BG28" s="915">
        <v>1357</v>
      </c>
      <c r="BH28" s="915">
        <f>146+326</f>
        <v>472</v>
      </c>
      <c r="BI28" s="909">
        <v>156</v>
      </c>
      <c r="BJ28" s="915">
        <v>469</v>
      </c>
      <c r="BK28" s="915">
        <v>1515</v>
      </c>
      <c r="BL28" s="915">
        <v>2153</v>
      </c>
      <c r="BM28" s="909">
        <v>783</v>
      </c>
      <c r="BN28" s="915">
        <v>1017</v>
      </c>
      <c r="BO28" s="915">
        <v>1091</v>
      </c>
      <c r="BP28" s="915">
        <v>741</v>
      </c>
      <c r="BQ28" s="909">
        <f>663</f>
        <v>663</v>
      </c>
      <c r="BR28" s="915">
        <f>197</f>
        <v>197</v>
      </c>
      <c r="BS28" s="915">
        <f>383</f>
        <v>383</v>
      </c>
      <c r="BT28" s="915">
        <f>690</f>
        <v>690</v>
      </c>
      <c r="BU28" s="909">
        <v>557</v>
      </c>
      <c r="BV28" s="898">
        <v>39</v>
      </c>
      <c r="BW28" s="898">
        <v>392</v>
      </c>
      <c r="BX28" s="898">
        <v>163</v>
      </c>
      <c r="BY28" s="909">
        <v>480</v>
      </c>
      <c r="BZ28" s="898">
        <v>306</v>
      </c>
      <c r="CA28" s="898">
        <v>519</v>
      </c>
      <c r="CB28" s="898">
        <v>310</v>
      </c>
      <c r="CC28" s="909">
        <v>596</v>
      </c>
      <c r="CD28" s="917">
        <v>0</v>
      </c>
      <c r="CE28" s="910">
        <v>0</v>
      </c>
      <c r="CF28" s="910">
        <v>0</v>
      </c>
      <c r="CG28" s="909">
        <v>0</v>
      </c>
      <c r="CH28" s="1386">
        <v>0</v>
      </c>
      <c r="CI28" s="830">
        <v>0</v>
      </c>
      <c r="CJ28" s="830">
        <v>0</v>
      </c>
      <c r="CK28" s="828">
        <v>0</v>
      </c>
      <c r="CL28" s="1386">
        <v>0</v>
      </c>
      <c r="CM28" s="830">
        <v>0</v>
      </c>
      <c r="CN28" s="830">
        <v>0</v>
      </c>
      <c r="CO28" s="828">
        <v>0</v>
      </c>
      <c r="CP28" s="1386">
        <v>0</v>
      </c>
      <c r="CQ28" s="830">
        <v>0</v>
      </c>
      <c r="CR28" s="830">
        <v>0</v>
      </c>
      <c r="CS28" s="828">
        <v>0</v>
      </c>
      <c r="CT28" s="830">
        <v>0</v>
      </c>
      <c r="CU28" s="830">
        <v>0</v>
      </c>
      <c r="CV28" s="830">
        <v>0</v>
      </c>
      <c r="CW28" s="828">
        <v>0</v>
      </c>
      <c r="CX28" s="1698">
        <v>0</v>
      </c>
      <c r="CY28" s="830">
        <v>0</v>
      </c>
      <c r="CZ28" s="830">
        <v>0</v>
      </c>
      <c r="DA28" s="828">
        <v>0</v>
      </c>
      <c r="DB28" s="669"/>
      <c r="DC28" s="607"/>
      <c r="DD28" s="898">
        <v>3.9830000000000001</v>
      </c>
      <c r="DE28" s="898">
        <v>8.5969999999999995</v>
      </c>
      <c r="DF28" s="898">
        <v>12.702</v>
      </c>
      <c r="DG28" s="898">
        <v>10.124000000000001</v>
      </c>
      <c r="DH28" s="898">
        <v>13.891999999999999</v>
      </c>
      <c r="DI28" s="898">
        <v>14.377000000000001</v>
      </c>
      <c r="DJ28" s="898">
        <v>14.324</v>
      </c>
      <c r="DK28" s="898">
        <v>16.239999999999998</v>
      </c>
      <c r="DL28" s="898">
        <f>+E28</f>
        <v>19.146000000000001</v>
      </c>
      <c r="DM28" s="898">
        <f>+I28</f>
        <v>24.942</v>
      </c>
      <c r="DN28" s="898">
        <f>+M28</f>
        <v>30.844999999999999</v>
      </c>
      <c r="DO28" s="898">
        <f>+Q28</f>
        <v>24.602</v>
      </c>
      <c r="DP28" s="898">
        <f>+U28</f>
        <v>18.975000000000001</v>
      </c>
      <c r="DQ28" s="898">
        <f>+Y28</f>
        <v>0</v>
      </c>
      <c r="DR28" s="898">
        <f>+AC28</f>
        <v>65.366</v>
      </c>
      <c r="DS28" s="898">
        <f>+AG28</f>
        <v>127</v>
      </c>
      <c r="DT28" s="898">
        <f>+AK28</f>
        <v>418</v>
      </c>
      <c r="DU28" s="898">
        <f>+AO28</f>
        <v>0</v>
      </c>
      <c r="DV28" s="898">
        <f t="shared" si="60"/>
        <v>380</v>
      </c>
      <c r="DW28" s="898">
        <f t="shared" si="61"/>
        <v>575</v>
      </c>
      <c r="DX28" s="898">
        <f t="shared" si="62"/>
        <v>0</v>
      </c>
      <c r="DY28" s="898">
        <v>41</v>
      </c>
      <c r="DZ28" s="898">
        <f t="shared" si="63"/>
        <v>156</v>
      </c>
      <c r="EA28" s="898">
        <f t="shared" si="64"/>
        <v>783</v>
      </c>
      <c r="EB28" s="898">
        <f t="shared" si="65"/>
        <v>663</v>
      </c>
      <c r="EC28" s="898">
        <f t="shared" si="66"/>
        <v>557</v>
      </c>
      <c r="ED28" s="898">
        <f t="shared" si="67"/>
        <v>480</v>
      </c>
      <c r="EE28" s="898">
        <v>557</v>
      </c>
      <c r="EF28" s="917">
        <v>480</v>
      </c>
      <c r="EG28" s="910">
        <f t="shared" si="68"/>
        <v>596</v>
      </c>
      <c r="EH28" s="829">
        <f t="shared" si="69"/>
        <v>0</v>
      </c>
      <c r="EI28" s="829">
        <f t="shared" si="70"/>
        <v>0</v>
      </c>
      <c r="EJ28" s="829">
        <f t="shared" si="71"/>
        <v>0</v>
      </c>
      <c r="EK28" s="830">
        <f t="shared" si="72"/>
        <v>0</v>
      </c>
      <c r="EL28" s="830">
        <f t="shared" si="73"/>
        <v>0</v>
      </c>
      <c r="EM28" s="1698">
        <f t="shared" si="76"/>
        <v>0</v>
      </c>
      <c r="EN28" s="829">
        <v>0</v>
      </c>
      <c r="EO28" s="829">
        <v>0</v>
      </c>
      <c r="EP28" s="829">
        <v>0</v>
      </c>
      <c r="EQ28" s="829">
        <v>0</v>
      </c>
      <c r="ER28" s="829">
        <v>0</v>
      </c>
      <c r="ES28" s="829">
        <v>0</v>
      </c>
      <c r="ET28" s="829">
        <v>0</v>
      </c>
      <c r="EU28" s="827">
        <v>0</v>
      </c>
      <c r="EV28" s="1373"/>
      <c r="EW28"/>
      <c r="EX28"/>
      <c r="EY28"/>
      <c r="EZ28"/>
      <c r="FA28"/>
      <c r="FB28"/>
      <c r="FG28" s="830"/>
      <c r="FH28" s="830"/>
      <c r="FI28" s="830"/>
      <c r="FJ28" s="830"/>
      <c r="FK28"/>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row>
    <row r="29" spans="1:260" s="3" customFormat="1" x14ac:dyDescent="0.2">
      <c r="A29" s="600" t="s">
        <v>371</v>
      </c>
      <c r="B29" s="920">
        <v>5.6660000000000004</v>
      </c>
      <c r="C29" s="920">
        <v>6.3259999999999996</v>
      </c>
      <c r="D29" s="920">
        <v>7.3019999999999996</v>
      </c>
      <c r="E29" s="916">
        <v>8.8989999999999991</v>
      </c>
      <c r="F29" s="920">
        <v>9.0030000000000001</v>
      </c>
      <c r="G29" s="920">
        <v>9.1440000000000001</v>
      </c>
      <c r="H29" s="920">
        <v>12.298</v>
      </c>
      <c r="I29" s="916">
        <v>13.718</v>
      </c>
      <c r="J29" s="920">
        <v>13.664</v>
      </c>
      <c r="K29" s="920">
        <v>23.123999999999999</v>
      </c>
      <c r="L29" s="920">
        <v>23.109000000000002</v>
      </c>
      <c r="M29" s="916">
        <v>23.568000000000001</v>
      </c>
      <c r="N29" s="920">
        <v>23.361999999999998</v>
      </c>
      <c r="O29" s="920">
        <v>16.035</v>
      </c>
      <c r="P29" s="920">
        <v>17.248999999999999</v>
      </c>
      <c r="Q29" s="916">
        <v>21.390999999999998</v>
      </c>
      <c r="R29" s="920">
        <v>21.181000000000001</v>
      </c>
      <c r="S29" s="920">
        <v>16.866</v>
      </c>
      <c r="T29" s="920">
        <v>18.286999999999999</v>
      </c>
      <c r="U29" s="916">
        <v>14.925000000000001</v>
      </c>
      <c r="V29" s="920">
        <v>14.39</v>
      </c>
      <c r="W29" s="920">
        <v>182.078</v>
      </c>
      <c r="X29" s="920">
        <v>32.131999999999998</v>
      </c>
      <c r="Y29" s="916">
        <v>30.088000000000001</v>
      </c>
      <c r="Z29" s="920">
        <v>29.190999999999999</v>
      </c>
      <c r="AA29" s="920">
        <v>10.130000000000001</v>
      </c>
      <c r="AB29" s="920">
        <v>9.0459999999999994</v>
      </c>
      <c r="AC29" s="916">
        <v>15.79</v>
      </c>
      <c r="AD29" s="920">
        <v>16</v>
      </c>
      <c r="AE29" s="920">
        <v>7</v>
      </c>
      <c r="AF29" s="920">
        <v>6</v>
      </c>
      <c r="AG29" s="916">
        <v>115</v>
      </c>
      <c r="AH29" s="920">
        <v>19</v>
      </c>
      <c r="AI29" s="920">
        <v>2</v>
      </c>
      <c r="AJ29" s="920">
        <v>14</v>
      </c>
      <c r="AK29" s="916">
        <v>0</v>
      </c>
      <c r="AL29" s="920">
        <v>12</v>
      </c>
      <c r="AM29" s="920">
        <v>6</v>
      </c>
      <c r="AN29" s="920">
        <v>2</v>
      </c>
      <c r="AO29" s="916">
        <v>1</v>
      </c>
      <c r="AP29" s="920">
        <v>6</v>
      </c>
      <c r="AQ29" s="920">
        <v>14</v>
      </c>
      <c r="AR29" s="920">
        <v>14</v>
      </c>
      <c r="AS29" s="916">
        <v>368</v>
      </c>
      <c r="AT29" s="920">
        <v>369</v>
      </c>
      <c r="AU29" s="920">
        <v>11</v>
      </c>
      <c r="AV29" s="920">
        <v>8</v>
      </c>
      <c r="AW29" s="916">
        <v>72</v>
      </c>
      <c r="AX29" s="920">
        <v>14</v>
      </c>
      <c r="AY29" s="920">
        <v>12</v>
      </c>
      <c r="AZ29" s="920">
        <v>17</v>
      </c>
      <c r="BA29" s="916">
        <v>418</v>
      </c>
      <c r="BB29" s="920">
        <v>418</v>
      </c>
      <c r="BC29" s="920">
        <v>419</v>
      </c>
      <c r="BD29" s="920">
        <v>459</v>
      </c>
      <c r="BE29" s="916">
        <f>41+19</f>
        <v>60</v>
      </c>
      <c r="BF29" s="920">
        <v>19</v>
      </c>
      <c r="BG29" s="920">
        <v>20</v>
      </c>
      <c r="BH29" s="920">
        <v>20</v>
      </c>
      <c r="BI29" s="916">
        <v>33</v>
      </c>
      <c r="BJ29" s="920">
        <v>40</v>
      </c>
      <c r="BK29" s="920">
        <v>39</v>
      </c>
      <c r="BL29" s="920">
        <v>48</v>
      </c>
      <c r="BM29" s="916">
        <v>54</v>
      </c>
      <c r="BN29" s="920">
        <v>54</v>
      </c>
      <c r="BO29" s="920">
        <v>45</v>
      </c>
      <c r="BP29" s="920">
        <v>36</v>
      </c>
      <c r="BQ29" s="916">
        <f>35</f>
        <v>35</v>
      </c>
      <c r="BR29" s="920">
        <v>34</v>
      </c>
      <c r="BS29" s="920">
        <v>32</v>
      </c>
      <c r="BT29" s="920">
        <v>33</v>
      </c>
      <c r="BU29" s="916">
        <v>441</v>
      </c>
      <c r="BV29" s="910">
        <v>441</v>
      </c>
      <c r="BW29" s="915">
        <v>444</v>
      </c>
      <c r="BX29" s="915">
        <v>427</v>
      </c>
      <c r="BY29" s="916">
        <v>43</v>
      </c>
      <c r="BZ29" s="910">
        <v>43</v>
      </c>
      <c r="CA29" s="915">
        <v>542</v>
      </c>
      <c r="CB29" s="915">
        <v>544</v>
      </c>
      <c r="CC29" s="916">
        <v>547</v>
      </c>
      <c r="CD29" s="917">
        <v>544</v>
      </c>
      <c r="CE29" s="910">
        <v>44</v>
      </c>
      <c r="CF29" s="910">
        <v>45</v>
      </c>
      <c r="CG29" s="909">
        <v>45</v>
      </c>
      <c r="CH29" s="1386">
        <v>44</v>
      </c>
      <c r="CI29" s="830">
        <v>43</v>
      </c>
      <c r="CJ29" s="830">
        <v>44</v>
      </c>
      <c r="CK29" s="828">
        <f>41</f>
        <v>41</v>
      </c>
      <c r="CL29" s="1386">
        <v>383</v>
      </c>
      <c r="CM29" s="830">
        <v>382</v>
      </c>
      <c r="CN29" s="830">
        <v>383</v>
      </c>
      <c r="CO29" s="828">
        <v>395</v>
      </c>
      <c r="CP29" s="1386">
        <v>44</v>
      </c>
      <c r="CQ29" s="830">
        <v>43</v>
      </c>
      <c r="CR29" s="830">
        <v>43</v>
      </c>
      <c r="CS29" s="828">
        <v>44</v>
      </c>
      <c r="CT29" s="830">
        <v>45</v>
      </c>
      <c r="CU29" s="830">
        <v>44</v>
      </c>
      <c r="CV29" s="830">
        <v>545</v>
      </c>
      <c r="CW29" s="828">
        <v>544</v>
      </c>
      <c r="CX29" s="1698">
        <v>0</v>
      </c>
      <c r="CY29" s="830">
        <v>0</v>
      </c>
      <c r="CZ29" s="830">
        <v>0</v>
      </c>
      <c r="DA29" s="828">
        <v>0</v>
      </c>
      <c r="DB29" s="669"/>
      <c r="DC29" s="607"/>
      <c r="DD29" s="910">
        <v>3.0640000000000001</v>
      </c>
      <c r="DE29" s="910">
        <v>4.9710000000000001</v>
      </c>
      <c r="DF29" s="910">
        <v>2.1219999999999999</v>
      </c>
      <c r="DG29" s="910">
        <v>5.8140000000000001</v>
      </c>
      <c r="DH29" s="910">
        <v>2.782</v>
      </c>
      <c r="DI29" s="910">
        <v>0.314</v>
      </c>
      <c r="DJ29" s="910">
        <v>38.095999999999997</v>
      </c>
      <c r="DK29" s="910">
        <v>5.74</v>
      </c>
      <c r="DL29" s="898">
        <f>+E29</f>
        <v>8.8989999999999991</v>
      </c>
      <c r="DM29" s="898">
        <f>+I29</f>
        <v>13.718</v>
      </c>
      <c r="DN29" s="898">
        <f>+M29</f>
        <v>23.568000000000001</v>
      </c>
      <c r="DO29" s="898">
        <f>+Q29</f>
        <v>21.390999999999998</v>
      </c>
      <c r="DP29" s="898">
        <f>+U29</f>
        <v>14.925000000000001</v>
      </c>
      <c r="DQ29" s="898">
        <f>+Y29</f>
        <v>30.088000000000001</v>
      </c>
      <c r="DR29" s="898">
        <f>+AC29</f>
        <v>15.79</v>
      </c>
      <c r="DS29" s="898">
        <f>+AG29</f>
        <v>115</v>
      </c>
      <c r="DT29" s="898">
        <f>+AK29</f>
        <v>0</v>
      </c>
      <c r="DU29" s="898">
        <f>+AO29</f>
        <v>1</v>
      </c>
      <c r="DV29" s="898">
        <f t="shared" si="60"/>
        <v>368</v>
      </c>
      <c r="DW29" s="898">
        <f t="shared" si="61"/>
        <v>72</v>
      </c>
      <c r="DX29" s="898">
        <f t="shared" si="62"/>
        <v>418</v>
      </c>
      <c r="DY29" s="898">
        <v>19</v>
      </c>
      <c r="DZ29" s="898">
        <f t="shared" si="63"/>
        <v>33</v>
      </c>
      <c r="EA29" s="898">
        <f t="shared" si="64"/>
        <v>54</v>
      </c>
      <c r="EB29" s="898">
        <f t="shared" si="65"/>
        <v>35</v>
      </c>
      <c r="EC29" s="898">
        <f t="shared" si="66"/>
        <v>441</v>
      </c>
      <c r="ED29" s="898">
        <f t="shared" si="67"/>
        <v>43</v>
      </c>
      <c r="EE29" s="910">
        <v>441</v>
      </c>
      <c r="EF29" s="917">
        <v>46</v>
      </c>
      <c r="EG29" s="910">
        <f t="shared" si="68"/>
        <v>547</v>
      </c>
      <c r="EH29" s="829">
        <f t="shared" si="69"/>
        <v>45</v>
      </c>
      <c r="EI29" s="829">
        <f t="shared" si="70"/>
        <v>41</v>
      </c>
      <c r="EJ29" s="829">
        <f t="shared" si="71"/>
        <v>395</v>
      </c>
      <c r="EK29" s="830">
        <f t="shared" si="72"/>
        <v>44</v>
      </c>
      <c r="EL29" s="830">
        <f t="shared" si="73"/>
        <v>544</v>
      </c>
      <c r="EM29" s="1698">
        <f t="shared" si="76"/>
        <v>0</v>
      </c>
      <c r="EN29" s="829">
        <v>0</v>
      </c>
      <c r="EO29" s="829">
        <v>0</v>
      </c>
      <c r="EP29" s="829">
        <v>0</v>
      </c>
      <c r="EQ29" s="829">
        <v>0</v>
      </c>
      <c r="ER29" s="829">
        <v>0</v>
      </c>
      <c r="ES29" s="829">
        <v>0</v>
      </c>
      <c r="ET29" s="829">
        <v>0</v>
      </c>
      <c r="EU29" s="827">
        <v>0</v>
      </c>
      <c r="EV29" s="1373"/>
      <c r="EW29"/>
      <c r="EX29"/>
      <c r="EY29"/>
      <c r="EZ29"/>
      <c r="FA29"/>
      <c r="FB29"/>
      <c r="FC29" s="4"/>
      <c r="FD29" s="4"/>
      <c r="FE29" s="4"/>
      <c r="FF29" s="4"/>
      <c r="FG29" s="830"/>
      <c r="FH29" s="830"/>
      <c r="FI29" s="830"/>
      <c r="FJ29" s="830"/>
      <c r="FK29"/>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row>
    <row r="30" spans="1:260" s="19" customFormat="1" x14ac:dyDescent="0.2">
      <c r="A30" s="340" t="s">
        <v>49</v>
      </c>
      <c r="B30" s="922">
        <f t="shared" ref="B30:AG30" si="82">SUM(B24:B29)</f>
        <v>227.65300000000002</v>
      </c>
      <c r="C30" s="922">
        <f t="shared" si="82"/>
        <v>316.548</v>
      </c>
      <c r="D30" s="922">
        <f t="shared" si="82"/>
        <v>635.495</v>
      </c>
      <c r="E30" s="923">
        <f t="shared" si="82"/>
        <v>390.334</v>
      </c>
      <c r="F30" s="922">
        <f t="shared" si="82"/>
        <v>445.02600000000001</v>
      </c>
      <c r="G30" s="922">
        <f t="shared" si="82"/>
        <v>696.77599999999995</v>
      </c>
      <c r="H30" s="922">
        <f t="shared" si="82"/>
        <v>1155.3529999999998</v>
      </c>
      <c r="I30" s="923">
        <f t="shared" si="82"/>
        <v>616.63899999999978</v>
      </c>
      <c r="J30" s="922">
        <f t="shared" si="82"/>
        <v>669.27599999999995</v>
      </c>
      <c r="K30" s="922">
        <f t="shared" si="82"/>
        <v>1014.8180000000003</v>
      </c>
      <c r="L30" s="922">
        <f t="shared" si="82"/>
        <v>1843.0159999999998</v>
      </c>
      <c r="M30" s="923">
        <f t="shared" si="82"/>
        <v>974.6880000000001</v>
      </c>
      <c r="N30" s="922">
        <f t="shared" si="82"/>
        <v>1064.4760000000001</v>
      </c>
      <c r="O30" s="922">
        <f t="shared" si="82"/>
        <v>1144.6329999999998</v>
      </c>
      <c r="P30" s="922">
        <f t="shared" si="82"/>
        <v>1670.4670000000001</v>
      </c>
      <c r="Q30" s="923">
        <f t="shared" si="82"/>
        <v>817.57899999999984</v>
      </c>
      <c r="R30" s="922">
        <f t="shared" si="82"/>
        <v>809.94799999999998</v>
      </c>
      <c r="S30" s="922">
        <f t="shared" si="82"/>
        <v>900.04399999999998</v>
      </c>
      <c r="T30" s="922">
        <f t="shared" si="82"/>
        <v>1450.8510000000001</v>
      </c>
      <c r="U30" s="923">
        <f t="shared" si="82"/>
        <v>1033.6760000000002</v>
      </c>
      <c r="V30" s="922">
        <f t="shared" si="82"/>
        <v>922.46699999999998</v>
      </c>
      <c r="W30" s="922">
        <f t="shared" si="82"/>
        <v>1281.569</v>
      </c>
      <c r="X30" s="922">
        <f t="shared" si="82"/>
        <v>1891.08</v>
      </c>
      <c r="Y30" s="923">
        <f t="shared" si="82"/>
        <v>1386.9069999999999</v>
      </c>
      <c r="Z30" s="922">
        <f t="shared" si="82"/>
        <v>1186.9670000000001</v>
      </c>
      <c r="AA30" s="922">
        <f t="shared" si="82"/>
        <v>1374.3230000000001</v>
      </c>
      <c r="AB30" s="922">
        <f t="shared" si="82"/>
        <v>2517.0529999999994</v>
      </c>
      <c r="AC30" s="923">
        <f t="shared" si="82"/>
        <v>1785.049</v>
      </c>
      <c r="AD30" s="922">
        <f t="shared" si="82"/>
        <v>1650</v>
      </c>
      <c r="AE30" s="922">
        <f t="shared" si="82"/>
        <v>1917</v>
      </c>
      <c r="AF30" s="922">
        <f t="shared" si="82"/>
        <v>3015</v>
      </c>
      <c r="AG30" s="923">
        <f t="shared" si="82"/>
        <v>2715</v>
      </c>
      <c r="AH30" s="922">
        <f t="shared" ref="AH30:BM30" si="83">SUM(AH24:AH29)</f>
        <v>2535</v>
      </c>
      <c r="AI30" s="922">
        <f t="shared" si="83"/>
        <v>2847</v>
      </c>
      <c r="AJ30" s="922">
        <f t="shared" si="83"/>
        <v>4640</v>
      </c>
      <c r="AK30" s="923">
        <f t="shared" si="83"/>
        <v>3705</v>
      </c>
      <c r="AL30" s="922">
        <f t="shared" si="83"/>
        <v>3449</v>
      </c>
      <c r="AM30" s="922">
        <f t="shared" si="83"/>
        <v>3343</v>
      </c>
      <c r="AN30" s="922">
        <f t="shared" si="83"/>
        <v>5232</v>
      </c>
      <c r="AO30" s="923">
        <f t="shared" si="83"/>
        <v>3824</v>
      </c>
      <c r="AP30" s="922">
        <f t="shared" si="83"/>
        <v>3276</v>
      </c>
      <c r="AQ30" s="922">
        <f t="shared" si="83"/>
        <v>3675</v>
      </c>
      <c r="AR30" s="922">
        <f t="shared" si="83"/>
        <v>5857</v>
      </c>
      <c r="AS30" s="923">
        <f t="shared" si="83"/>
        <v>4501</v>
      </c>
      <c r="AT30" s="922">
        <f t="shared" si="83"/>
        <v>4338</v>
      </c>
      <c r="AU30" s="922">
        <f t="shared" si="83"/>
        <v>4308</v>
      </c>
      <c r="AV30" s="922">
        <f t="shared" si="83"/>
        <v>6892</v>
      </c>
      <c r="AW30" s="923">
        <f t="shared" si="83"/>
        <v>4959</v>
      </c>
      <c r="AX30" s="922">
        <f t="shared" si="83"/>
        <v>4565</v>
      </c>
      <c r="AY30" s="922">
        <f t="shared" si="83"/>
        <v>4516</v>
      </c>
      <c r="AZ30" s="922">
        <f t="shared" si="83"/>
        <v>7455</v>
      </c>
      <c r="BA30" s="923">
        <f t="shared" si="83"/>
        <v>6056</v>
      </c>
      <c r="BB30" s="922">
        <f t="shared" si="83"/>
        <v>5297</v>
      </c>
      <c r="BC30" s="922">
        <f t="shared" si="83"/>
        <v>6366</v>
      </c>
      <c r="BD30" s="922">
        <f t="shared" si="83"/>
        <v>9154</v>
      </c>
      <c r="BE30" s="923">
        <f t="shared" si="83"/>
        <v>6301</v>
      </c>
      <c r="BF30" s="922">
        <f t="shared" si="83"/>
        <v>5686</v>
      </c>
      <c r="BG30" s="922">
        <f t="shared" si="83"/>
        <v>7467</v>
      </c>
      <c r="BH30" s="922">
        <f t="shared" si="83"/>
        <v>10236</v>
      </c>
      <c r="BI30" s="923">
        <f t="shared" si="83"/>
        <v>6769</v>
      </c>
      <c r="BJ30" s="922">
        <f t="shared" si="83"/>
        <v>7027</v>
      </c>
      <c r="BK30" s="922">
        <f t="shared" si="83"/>
        <v>9980</v>
      </c>
      <c r="BL30" s="922">
        <f t="shared" si="83"/>
        <v>13195</v>
      </c>
      <c r="BM30" s="923">
        <f t="shared" si="83"/>
        <v>8435</v>
      </c>
      <c r="BN30" s="922">
        <f t="shared" ref="BN30:CJ30" si="84">SUM(BN24:BN29)</f>
        <v>8356</v>
      </c>
      <c r="BO30" s="922">
        <f t="shared" si="84"/>
        <v>8964</v>
      </c>
      <c r="BP30" s="922">
        <f t="shared" si="84"/>
        <v>12678</v>
      </c>
      <c r="BQ30" s="923">
        <f t="shared" si="84"/>
        <v>8978</v>
      </c>
      <c r="BR30" s="922">
        <f t="shared" si="84"/>
        <v>8603</v>
      </c>
      <c r="BS30" s="922">
        <f t="shared" si="84"/>
        <v>8471</v>
      </c>
      <c r="BT30" s="922">
        <f t="shared" si="84"/>
        <v>13420</v>
      </c>
      <c r="BU30" s="923">
        <f t="shared" si="84"/>
        <v>8663</v>
      </c>
      <c r="BV30" s="922">
        <f t="shared" si="84"/>
        <v>8736</v>
      </c>
      <c r="BW30" s="922">
        <f t="shared" si="84"/>
        <v>9147</v>
      </c>
      <c r="BX30" s="922">
        <f t="shared" si="84"/>
        <v>13566</v>
      </c>
      <c r="BY30" s="923">
        <f t="shared" si="84"/>
        <v>8855</v>
      </c>
      <c r="BZ30" s="922">
        <f t="shared" si="84"/>
        <v>9001</v>
      </c>
      <c r="CA30" s="922">
        <f t="shared" si="84"/>
        <v>9448</v>
      </c>
      <c r="CB30" s="922">
        <f t="shared" si="84"/>
        <v>11148</v>
      </c>
      <c r="CC30" s="923">
        <f t="shared" si="84"/>
        <v>10810</v>
      </c>
      <c r="CD30" s="1089">
        <f t="shared" si="84"/>
        <v>8561</v>
      </c>
      <c r="CE30" s="921">
        <f t="shared" si="84"/>
        <v>7028</v>
      </c>
      <c r="CF30" s="921">
        <f t="shared" si="84"/>
        <v>8665</v>
      </c>
      <c r="CG30" s="924">
        <f t="shared" si="84"/>
        <v>7436</v>
      </c>
      <c r="CH30" s="1401">
        <f t="shared" si="84"/>
        <v>6880</v>
      </c>
      <c r="CI30" s="1402">
        <f t="shared" si="84"/>
        <v>7251</v>
      </c>
      <c r="CJ30" s="1402">
        <f t="shared" si="84"/>
        <v>8626</v>
      </c>
      <c r="CK30" s="1403">
        <f t="shared" ref="CK30:CS30" si="85">SUM(CK24:CK29)</f>
        <v>7777</v>
      </c>
      <c r="CL30" s="1401">
        <f t="shared" si="85"/>
        <v>6721</v>
      </c>
      <c r="CM30" s="1402">
        <f t="shared" si="85"/>
        <v>6838</v>
      </c>
      <c r="CN30" s="1402">
        <f t="shared" si="85"/>
        <v>8395</v>
      </c>
      <c r="CO30" s="1403">
        <f>SUM(CO24:CO29)</f>
        <v>6925</v>
      </c>
      <c r="CP30" s="1401">
        <f>SUM(CP24:CP29)</f>
        <v>6334</v>
      </c>
      <c r="CQ30" s="1402">
        <f t="shared" si="85"/>
        <v>6800</v>
      </c>
      <c r="CR30" s="1402">
        <f t="shared" si="85"/>
        <v>8166</v>
      </c>
      <c r="CS30" s="1403">
        <f t="shared" si="85"/>
        <v>7122</v>
      </c>
      <c r="CT30" s="1402">
        <f>SUM(CT24:CT29)</f>
        <v>6470</v>
      </c>
      <c r="CU30" s="1402">
        <f t="shared" ref="CU30" si="86">SUM(CU24:CU29)</f>
        <v>7105</v>
      </c>
      <c r="CV30" s="1402">
        <f t="shared" ref="CV30:DA30" si="87">SUM(CV24:CV29)</f>
        <v>9152</v>
      </c>
      <c r="CW30" s="1403">
        <f t="shared" si="87"/>
        <v>7817</v>
      </c>
      <c r="CX30" s="1699">
        <f t="shared" si="87"/>
        <v>7052.2221557564908</v>
      </c>
      <c r="CY30" s="1402">
        <f t="shared" si="87"/>
        <v>7508.6423934681152</v>
      </c>
      <c r="CZ30" s="1402">
        <f t="shared" si="87"/>
        <v>9191.5421422632389</v>
      </c>
      <c r="DA30" s="1403">
        <f t="shared" si="87"/>
        <v>7295.4355957513017</v>
      </c>
      <c r="DB30" s="1404"/>
      <c r="DC30" s="1405"/>
      <c r="DD30" s="1402">
        <f t="shared" ref="DD30:DK30" si="88">SUM(DD24:DD29)</f>
        <v>15.791</v>
      </c>
      <c r="DE30" s="1402">
        <f t="shared" si="88"/>
        <v>25.850999999999999</v>
      </c>
      <c r="DF30" s="1402">
        <f t="shared" si="88"/>
        <v>39.323999999999998</v>
      </c>
      <c r="DG30" s="1402">
        <f t="shared" si="88"/>
        <v>38.916990000000006</v>
      </c>
      <c r="DH30" s="1402">
        <f t="shared" si="88"/>
        <v>49.606999999999999</v>
      </c>
      <c r="DI30" s="1402">
        <f t="shared" si="88"/>
        <v>72.804999999999993</v>
      </c>
      <c r="DJ30" s="1402">
        <f t="shared" si="88"/>
        <v>144.77799999999999</v>
      </c>
      <c r="DK30" s="1402">
        <f t="shared" si="88"/>
        <v>179.46</v>
      </c>
      <c r="DL30" s="1406">
        <f>+E30</f>
        <v>390.334</v>
      </c>
      <c r="DM30" s="1406">
        <f>+I30</f>
        <v>616.63899999999978</v>
      </c>
      <c r="DN30" s="1406">
        <f>+M30</f>
        <v>974.6880000000001</v>
      </c>
      <c r="DO30" s="1406">
        <f>+Q30</f>
        <v>817.57899999999984</v>
      </c>
      <c r="DP30" s="1406">
        <f>+U30</f>
        <v>1033.6760000000002</v>
      </c>
      <c r="DQ30" s="1406">
        <f>+Y30</f>
        <v>1386.9069999999999</v>
      </c>
      <c r="DR30" s="1406">
        <f>+AC30</f>
        <v>1785.049</v>
      </c>
      <c r="DS30" s="1406">
        <f>+AG30</f>
        <v>2715</v>
      </c>
      <c r="DT30" s="1406">
        <f>+AK30</f>
        <v>3705</v>
      </c>
      <c r="DU30" s="1406">
        <f>+AO30</f>
        <v>3824</v>
      </c>
      <c r="DV30" s="1406">
        <f t="shared" si="60"/>
        <v>4501</v>
      </c>
      <c r="DW30" s="1406">
        <f t="shared" si="61"/>
        <v>4959</v>
      </c>
      <c r="DX30" s="1406">
        <f t="shared" si="62"/>
        <v>6056</v>
      </c>
      <c r="DY30" s="1406">
        <f t="shared" ref="DY30:EH30" si="89">SUM(DY24:DY29)</f>
        <v>6301</v>
      </c>
      <c r="DZ30" s="1406">
        <f t="shared" si="89"/>
        <v>6769</v>
      </c>
      <c r="EA30" s="1406">
        <f t="shared" si="89"/>
        <v>8435</v>
      </c>
      <c r="EB30" s="1406">
        <f t="shared" si="89"/>
        <v>8978</v>
      </c>
      <c r="EC30" s="1406">
        <f t="shared" si="89"/>
        <v>8663</v>
      </c>
      <c r="ED30" s="1406">
        <f t="shared" si="89"/>
        <v>8855</v>
      </c>
      <c r="EE30" s="1406">
        <f t="shared" si="89"/>
        <v>10361</v>
      </c>
      <c r="EF30" s="1407">
        <f t="shared" si="89"/>
        <v>10316</v>
      </c>
      <c r="EG30" s="1402">
        <f t="shared" si="89"/>
        <v>10810</v>
      </c>
      <c r="EH30" s="1406">
        <f t="shared" si="89"/>
        <v>7436</v>
      </c>
      <c r="EI30" s="1406">
        <f>SUM(EI24:EI29)</f>
        <v>7777</v>
      </c>
      <c r="EJ30" s="1406">
        <f t="shared" ref="EJ30:EP30" si="90">SUM(EJ24:EJ29)</f>
        <v>6925</v>
      </c>
      <c r="EK30" s="1402">
        <f t="shared" si="90"/>
        <v>7122</v>
      </c>
      <c r="EL30" s="1402">
        <f>SUM(EL24:EL29)</f>
        <v>7817</v>
      </c>
      <c r="EM30" s="1699">
        <f>SUM(EM24:EM29)</f>
        <v>7295.4355957513017</v>
      </c>
      <c r="EN30" s="1406">
        <f t="shared" si="90"/>
        <v>7389.914015092485</v>
      </c>
      <c r="EO30" s="1406">
        <f t="shared" si="90"/>
        <v>7461.5265528312966</v>
      </c>
      <c r="EP30" s="1406">
        <f t="shared" si="90"/>
        <v>7529.5303113804548</v>
      </c>
      <c r="EQ30" s="1406">
        <f>SUM(EQ24:EQ29)</f>
        <v>7628.1424223916629</v>
      </c>
      <c r="ER30" s="1406">
        <f>SUM(ER24:ER29)</f>
        <v>7730.5990940113434</v>
      </c>
      <c r="ES30" s="1406">
        <f>SUM(ES24:ES29)</f>
        <v>7837.0917233820874</v>
      </c>
      <c r="ET30" s="1406">
        <f>SUM(ET24:ET29)</f>
        <v>7947.8213470423088</v>
      </c>
      <c r="EU30" s="1613">
        <f>SUM(EU24:EU29)</f>
        <v>8062.999127237892</v>
      </c>
      <c r="EV30" s="1091"/>
      <c r="EW30"/>
      <c r="EX30"/>
      <c r="EY30"/>
      <c r="EZ30"/>
      <c r="FA30"/>
      <c r="FB30"/>
      <c r="FC30" s="4"/>
      <c r="FD30" s="4"/>
      <c r="FE30" s="4"/>
      <c r="FF30" s="4"/>
      <c r="FG30"/>
      <c r="FH30" s="1658"/>
      <c r="FI30" s="1658"/>
      <c r="FJ30" s="1658"/>
      <c r="FK30"/>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row>
    <row r="31" spans="1:260" s="4" customFormat="1" x14ac:dyDescent="0.2">
      <c r="A31" s="340"/>
      <c r="B31" s="239"/>
      <c r="C31" s="239"/>
      <c r="D31" s="239"/>
      <c r="E31" s="606"/>
      <c r="F31" s="239"/>
      <c r="G31" s="239"/>
      <c r="H31" s="239"/>
      <c r="I31" s="606"/>
      <c r="J31" s="239"/>
      <c r="K31" s="239"/>
      <c r="L31" s="239"/>
      <c r="M31" s="606"/>
      <c r="N31" s="239"/>
      <c r="O31" s="239"/>
      <c r="P31" s="239"/>
      <c r="Q31" s="606"/>
      <c r="R31" s="239"/>
      <c r="S31" s="239"/>
      <c r="T31" s="239"/>
      <c r="U31" s="606"/>
      <c r="V31" s="239"/>
      <c r="W31" s="239"/>
      <c r="X31" s="239"/>
      <c r="Y31" s="606"/>
      <c r="Z31" s="239"/>
      <c r="AA31" s="239"/>
      <c r="AB31" s="239"/>
      <c r="AC31" s="606"/>
      <c r="AD31" s="239"/>
      <c r="AE31" s="239"/>
      <c r="AF31" s="239"/>
      <c r="AG31" s="606"/>
      <c r="AH31" s="239"/>
      <c r="AI31" s="239"/>
      <c r="AJ31" s="239"/>
      <c r="AK31" s="606"/>
      <c r="AL31" s="239"/>
      <c r="AM31" s="239"/>
      <c r="AN31" s="239"/>
      <c r="AO31" s="606"/>
      <c r="AP31" s="239"/>
      <c r="AQ31" s="239"/>
      <c r="AR31" s="239"/>
      <c r="AS31" s="606"/>
      <c r="AT31" s="239"/>
      <c r="AU31" s="239"/>
      <c r="AV31" s="239"/>
      <c r="AW31" s="606"/>
      <c r="AX31" s="239"/>
      <c r="AY31" s="239"/>
      <c r="AZ31" s="239"/>
      <c r="BA31" s="606"/>
      <c r="BB31" s="239"/>
      <c r="BC31" s="239"/>
      <c r="BD31" s="239"/>
      <c r="BE31" s="606"/>
      <c r="BF31" s="239"/>
      <c r="BG31" s="239"/>
      <c r="BH31" s="239"/>
      <c r="BI31" s="606"/>
      <c r="BJ31" s="239"/>
      <c r="BK31" s="239"/>
      <c r="BL31" s="239"/>
      <c r="BM31" s="606"/>
      <c r="BN31" s="239"/>
      <c r="BO31" s="239"/>
      <c r="BP31" s="239"/>
      <c r="BQ31" s="606"/>
      <c r="BR31" s="239"/>
      <c r="BS31" s="239"/>
      <c r="BT31" s="239"/>
      <c r="BU31" s="606"/>
      <c r="BV31" s="127"/>
      <c r="BW31" s="127"/>
      <c r="BX31" s="127"/>
      <c r="BY31" s="643"/>
      <c r="BZ31" s="127"/>
      <c r="CA31" s="58"/>
      <c r="CB31" s="58"/>
      <c r="CC31" s="648"/>
      <c r="CD31" s="594"/>
      <c r="CE31" s="167"/>
      <c r="CF31" s="167"/>
      <c r="CG31" s="537"/>
      <c r="CH31" s="594"/>
      <c r="CI31" s="167"/>
      <c r="CJ31" s="167"/>
      <c r="CK31" s="537"/>
      <c r="CL31" s="594"/>
      <c r="CM31" s="910"/>
      <c r="CN31" s="910"/>
      <c r="CO31" s="909"/>
      <c r="CP31" s="594"/>
      <c r="CQ31" s="910"/>
      <c r="CR31" s="167"/>
      <c r="CS31" s="537"/>
      <c r="CT31" s="167"/>
      <c r="CU31" s="167"/>
      <c r="CV31" s="167"/>
      <c r="CW31" s="537"/>
      <c r="CX31" s="1710"/>
      <c r="CY31" s="167"/>
      <c r="CZ31" s="167"/>
      <c r="DA31" s="537"/>
      <c r="DB31" s="594"/>
      <c r="DC31" s="537"/>
      <c r="DD31" s="137"/>
      <c r="DE31" s="137"/>
      <c r="DF31" s="137"/>
      <c r="DG31" s="137"/>
      <c r="DH31" s="137"/>
      <c r="DI31" s="137"/>
      <c r="DJ31" s="137"/>
      <c r="DK31" s="137"/>
      <c r="DL31" s="365"/>
      <c r="DM31" s="365"/>
      <c r="DN31" s="365"/>
      <c r="DO31" s="365"/>
      <c r="DP31" s="365"/>
      <c r="DQ31" s="365"/>
      <c r="DR31" s="365"/>
      <c r="DS31" s="365"/>
      <c r="DT31" s="365"/>
      <c r="DU31" s="365"/>
      <c r="DV31" s="365"/>
      <c r="DW31" s="365"/>
      <c r="DX31" s="365"/>
      <c r="DY31" s="365"/>
      <c r="DZ31" s="365"/>
      <c r="EA31" s="365"/>
      <c r="EB31" s="365"/>
      <c r="EC31" s="365"/>
      <c r="ED31" s="57"/>
      <c r="EE31" s="137"/>
      <c r="EF31" s="670"/>
      <c r="EG31" s="167"/>
      <c r="EH31" s="167"/>
      <c r="EI31" s="167"/>
      <c r="EJ31" s="167"/>
      <c r="EK31" s="167"/>
      <c r="EL31" s="167"/>
      <c r="EM31" s="1710"/>
      <c r="EN31" s="167"/>
      <c r="EO31" s="167"/>
      <c r="EP31" s="167"/>
      <c r="EQ31" s="167"/>
      <c r="ER31" s="167"/>
      <c r="ES31" s="167"/>
      <c r="ET31" s="167"/>
      <c r="EU31" s="537"/>
      <c r="EV31" s="594"/>
      <c r="EW31"/>
      <c r="EX31"/>
      <c r="EY31"/>
      <c r="EZ31"/>
      <c r="FA31"/>
      <c r="FB31"/>
      <c r="FG31" s="1318"/>
      <c r="FH31" s="167"/>
      <c r="FI31" s="167"/>
      <c r="FJ31" s="167"/>
      <c r="FK31"/>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row>
    <row r="32" spans="1:260" s="4" customFormat="1" x14ac:dyDescent="0.2">
      <c r="A32" s="599" t="s">
        <v>50</v>
      </c>
      <c r="B32" s="915">
        <v>49.081000000000003</v>
      </c>
      <c r="C32" s="915">
        <v>50.906999999999996</v>
      </c>
      <c r="D32" s="915">
        <v>212.50399999999999</v>
      </c>
      <c r="E32" s="916">
        <v>210.81100000000001</v>
      </c>
      <c r="F32" s="915">
        <v>208.71100000000001</v>
      </c>
      <c r="G32" s="915">
        <v>211.01300000000001</v>
      </c>
      <c r="H32" s="915">
        <v>227.096</v>
      </c>
      <c r="I32" s="916">
        <v>227.24700000000001</v>
      </c>
      <c r="J32" s="915">
        <v>224.72300000000001</v>
      </c>
      <c r="K32" s="915">
        <v>212.143</v>
      </c>
      <c r="L32" s="915">
        <v>208.767</v>
      </c>
      <c r="M32" s="916">
        <v>206.28700000000001</v>
      </c>
      <c r="N32" s="915">
        <v>207.85499999999999</v>
      </c>
      <c r="O32" s="915">
        <v>209.92699999999999</v>
      </c>
      <c r="P32" s="915">
        <v>212.768</v>
      </c>
      <c r="Q32" s="916">
        <v>216.625</v>
      </c>
      <c r="R32" s="915">
        <v>212.60900000000001</v>
      </c>
      <c r="S32" s="915">
        <v>217.82</v>
      </c>
      <c r="T32" s="915">
        <v>211.624</v>
      </c>
      <c r="U32" s="916">
        <v>210.39699999999999</v>
      </c>
      <c r="V32" s="915">
        <v>207.24700000000001</v>
      </c>
      <c r="W32" s="915">
        <v>35.295000000000002</v>
      </c>
      <c r="X32" s="915">
        <v>31.83</v>
      </c>
      <c r="Y32" s="916">
        <v>30.509</v>
      </c>
      <c r="Z32" s="915">
        <v>28.402000000000001</v>
      </c>
      <c r="AA32" s="915">
        <v>25.69</v>
      </c>
      <c r="AB32" s="915">
        <v>23.678999999999998</v>
      </c>
      <c r="AC32" s="916">
        <v>14.86</v>
      </c>
      <c r="AD32" s="915">
        <v>13</v>
      </c>
      <c r="AE32" s="915">
        <v>22</v>
      </c>
      <c r="AF32" s="915">
        <v>21</v>
      </c>
      <c r="AG32" s="916">
        <v>181</v>
      </c>
      <c r="AH32" s="915">
        <v>177</v>
      </c>
      <c r="AI32" s="915">
        <v>362</v>
      </c>
      <c r="AJ32" s="915">
        <v>364</v>
      </c>
      <c r="AK32" s="916">
        <v>808</v>
      </c>
      <c r="AL32" s="915">
        <v>812</v>
      </c>
      <c r="AM32" s="915">
        <v>821</v>
      </c>
      <c r="AN32" s="915">
        <v>822</v>
      </c>
      <c r="AO32" s="916">
        <v>828</v>
      </c>
      <c r="AP32" s="915">
        <v>829</v>
      </c>
      <c r="AQ32" s="915">
        <v>840</v>
      </c>
      <c r="AR32" s="915">
        <v>836</v>
      </c>
      <c r="AS32" s="916">
        <v>482</v>
      </c>
      <c r="AT32" s="915">
        <v>477</v>
      </c>
      <c r="AU32" s="915">
        <v>478</v>
      </c>
      <c r="AV32" s="915">
        <v>478</v>
      </c>
      <c r="AW32" s="916">
        <v>528</v>
      </c>
      <c r="AX32" s="915">
        <v>530</v>
      </c>
      <c r="AY32" s="915">
        <v>540</v>
      </c>
      <c r="AZ32" s="915">
        <v>554</v>
      </c>
      <c r="BA32" s="916">
        <v>178</v>
      </c>
      <c r="BB32" s="915">
        <v>180</v>
      </c>
      <c r="BC32" s="915">
        <v>184</v>
      </c>
      <c r="BD32" s="915">
        <v>191</v>
      </c>
      <c r="BE32" s="916">
        <v>590</v>
      </c>
      <c r="BF32" s="915">
        <v>598</v>
      </c>
      <c r="BG32" s="915">
        <v>600</v>
      </c>
      <c r="BH32" s="915">
        <v>642</v>
      </c>
      <c r="BI32" s="916">
        <v>627</v>
      </c>
      <c r="BJ32" s="915">
        <v>650</v>
      </c>
      <c r="BK32" s="915">
        <v>1136</v>
      </c>
      <c r="BL32" s="915">
        <v>1125</v>
      </c>
      <c r="BM32" s="916">
        <v>1126</v>
      </c>
      <c r="BN32" s="915">
        <v>1121</v>
      </c>
      <c r="BO32" s="915">
        <v>1111</v>
      </c>
      <c r="BP32" s="915">
        <v>1104</v>
      </c>
      <c r="BQ32" s="916">
        <v>1104</v>
      </c>
      <c r="BR32" s="915">
        <v>1093</v>
      </c>
      <c r="BS32" s="915">
        <v>1088</v>
      </c>
      <c r="BT32" s="915">
        <v>1101</v>
      </c>
      <c r="BU32" s="916">
        <v>711</v>
      </c>
      <c r="BV32" s="898">
        <v>1700</v>
      </c>
      <c r="BW32" s="898">
        <v>1696</v>
      </c>
      <c r="BX32" s="898">
        <v>1687</v>
      </c>
      <c r="BY32" s="909">
        <v>1685</v>
      </c>
      <c r="BZ32" s="898">
        <v>1678</v>
      </c>
      <c r="CA32" s="898">
        <v>1165</v>
      </c>
      <c r="CB32" s="898">
        <v>1158</v>
      </c>
      <c r="CC32" s="909">
        <v>1153</v>
      </c>
      <c r="CD32" s="917">
        <v>1142</v>
      </c>
      <c r="CE32" s="910">
        <v>1634</v>
      </c>
      <c r="CF32" s="910">
        <v>1624</v>
      </c>
      <c r="CG32" s="909">
        <v>1612</v>
      </c>
      <c r="CH32" s="1386">
        <v>1604</v>
      </c>
      <c r="CI32" s="830">
        <v>1592</v>
      </c>
      <c r="CJ32" s="830">
        <v>1591</v>
      </c>
      <c r="CK32" s="828">
        <v>1580</v>
      </c>
      <c r="CL32" s="1386">
        <v>1224</v>
      </c>
      <c r="CM32" s="830">
        <v>1227</v>
      </c>
      <c r="CN32" s="830">
        <v>1256</v>
      </c>
      <c r="CO32" s="828">
        <v>1339</v>
      </c>
      <c r="CP32" s="1386">
        <v>1334</v>
      </c>
      <c r="CQ32" s="830">
        <v>1341</v>
      </c>
      <c r="CR32" s="830">
        <v>1324</v>
      </c>
      <c r="CS32" s="828">
        <v>1321</v>
      </c>
      <c r="CT32" s="830">
        <v>1302</v>
      </c>
      <c r="CU32" s="830">
        <v>1310</v>
      </c>
      <c r="CV32" s="830">
        <v>784</v>
      </c>
      <c r="CW32" s="828">
        <v>811</v>
      </c>
      <c r="CX32" s="1698">
        <v>1329</v>
      </c>
      <c r="CY32" s="830">
        <v>1279</v>
      </c>
      <c r="CZ32" s="830">
        <v>1279</v>
      </c>
      <c r="DA32" s="828">
        <v>1229</v>
      </c>
      <c r="DB32" s="594"/>
      <c r="DC32" s="537"/>
      <c r="DD32" s="898">
        <v>1.7010000000000001</v>
      </c>
      <c r="DE32" s="898">
        <v>5.9829999999999997</v>
      </c>
      <c r="DF32" s="898">
        <v>42.811999999999998</v>
      </c>
      <c r="DG32" s="898">
        <v>34.781999999999996</v>
      </c>
      <c r="DH32" s="898">
        <v>35.098999999999997</v>
      </c>
      <c r="DI32" s="898">
        <v>35.381</v>
      </c>
      <c r="DJ32" s="898">
        <v>14.884</v>
      </c>
      <c r="DK32" s="898">
        <v>48.13</v>
      </c>
      <c r="DL32" s="898">
        <f>+E32</f>
        <v>210.81100000000001</v>
      </c>
      <c r="DM32" s="898">
        <f>+I32</f>
        <v>227.24700000000001</v>
      </c>
      <c r="DN32" s="898">
        <f>+M32</f>
        <v>206.28700000000001</v>
      </c>
      <c r="DO32" s="898">
        <f>+Q32</f>
        <v>216.625</v>
      </c>
      <c r="DP32" s="898">
        <f>+U32</f>
        <v>210.39699999999999</v>
      </c>
      <c r="DQ32" s="898">
        <f>+Y32</f>
        <v>30.509</v>
      </c>
      <c r="DR32" s="898">
        <f>+AC32</f>
        <v>14.86</v>
      </c>
      <c r="DS32" s="898">
        <f>+AG32</f>
        <v>181</v>
      </c>
      <c r="DT32" s="898">
        <f>+AK32</f>
        <v>808</v>
      </c>
      <c r="DU32" s="898">
        <f>+AO32</f>
        <v>828</v>
      </c>
      <c r="DV32" s="898">
        <f>+AS32</f>
        <v>482</v>
      </c>
      <c r="DW32" s="898">
        <f>+AW32</f>
        <v>528</v>
      </c>
      <c r="DX32" s="898">
        <f>+BA32</f>
        <v>178</v>
      </c>
      <c r="DY32" s="898">
        <f>BE32</f>
        <v>590</v>
      </c>
      <c r="DZ32" s="898">
        <f>BI32</f>
        <v>627</v>
      </c>
      <c r="EA32" s="898">
        <f>BM32</f>
        <v>1126</v>
      </c>
      <c r="EB32" s="898">
        <f>BQ32</f>
        <v>1104</v>
      </c>
      <c r="EC32" s="898">
        <f>BU32</f>
        <v>711</v>
      </c>
      <c r="ED32" s="898">
        <f>BY32</f>
        <v>1685</v>
      </c>
      <c r="EE32" s="898">
        <v>692</v>
      </c>
      <c r="EF32" s="917">
        <v>1685</v>
      </c>
      <c r="EG32" s="910">
        <f>CC32</f>
        <v>1153</v>
      </c>
      <c r="EH32" s="830">
        <f>CG32</f>
        <v>1612</v>
      </c>
      <c r="EI32" s="830">
        <f>CK32</f>
        <v>1580</v>
      </c>
      <c r="EJ32" s="830">
        <f>CO32</f>
        <v>1339</v>
      </c>
      <c r="EK32" s="830">
        <f>CS32</f>
        <v>1321</v>
      </c>
      <c r="EL32" s="830">
        <f>CW32</f>
        <v>811</v>
      </c>
      <c r="EM32" s="1698">
        <f>DA32</f>
        <v>1229</v>
      </c>
      <c r="EN32" s="830">
        <v>1579</v>
      </c>
      <c r="EO32" s="830">
        <v>1829</v>
      </c>
      <c r="EP32" s="830">
        <v>2179</v>
      </c>
      <c r="EQ32" s="830">
        <v>2179</v>
      </c>
      <c r="ER32" s="830">
        <v>2179</v>
      </c>
      <c r="ES32" s="830">
        <v>2679</v>
      </c>
      <c r="ET32" s="830">
        <v>2679</v>
      </c>
      <c r="EU32" s="828">
        <v>2679</v>
      </c>
      <c r="EV32" s="1373"/>
      <c r="EW32"/>
      <c r="EX32"/>
      <c r="EY32"/>
      <c r="EZ32"/>
      <c r="FA32"/>
      <c r="FB32"/>
      <c r="FG32" s="830"/>
      <c r="FH32" s="830"/>
      <c r="FI32" s="830"/>
      <c r="FJ32" s="830"/>
      <c r="FK32"/>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row>
    <row r="33" spans="1:260" s="4" customFormat="1" x14ac:dyDescent="0.2">
      <c r="A33" s="600" t="s">
        <v>186</v>
      </c>
      <c r="B33" s="915">
        <f>1.025+26.781</f>
        <v>27.805999999999997</v>
      </c>
      <c r="C33" s="915">
        <f>3.722+23.988</f>
        <v>27.71</v>
      </c>
      <c r="D33" s="915">
        <f>5.918+26.796</f>
        <v>32.713999999999999</v>
      </c>
      <c r="E33" s="916">
        <f>11.694+28.211</f>
        <v>39.905000000000001</v>
      </c>
      <c r="F33" s="915">
        <f>3.717+29.667</f>
        <v>33.384</v>
      </c>
      <c r="G33" s="915">
        <f>3.583+31.887</f>
        <v>35.47</v>
      </c>
      <c r="H33" s="915">
        <f>36.203+230+12.729</f>
        <v>278.93199999999996</v>
      </c>
      <c r="I33" s="916">
        <f>42.138+230+14.979</f>
        <v>287.11699999999996</v>
      </c>
      <c r="J33" s="915">
        <f>230+45.197+3.443</f>
        <v>278.64</v>
      </c>
      <c r="K33" s="915">
        <f>230+49.558+2.641</f>
        <v>282.19900000000001</v>
      </c>
      <c r="L33" s="915">
        <f>230+55.333+10.437</f>
        <v>295.77</v>
      </c>
      <c r="M33" s="916">
        <f>230+48.243</f>
        <v>278.24299999999999</v>
      </c>
      <c r="N33" s="915">
        <f>41.409+230</f>
        <v>271.40899999999999</v>
      </c>
      <c r="O33" s="915">
        <f>230+39.913</f>
        <v>269.91300000000001</v>
      </c>
      <c r="P33" s="915">
        <f>230+33.127</f>
        <v>263.12700000000001</v>
      </c>
      <c r="Q33" s="916">
        <f>230+28.21+3.578</f>
        <v>261.78799999999995</v>
      </c>
      <c r="R33" s="915">
        <f>230+24.457+3.578</f>
        <v>258.03499999999997</v>
      </c>
      <c r="S33" s="915">
        <f>230+22.085+3.578</f>
        <v>255.66300000000001</v>
      </c>
      <c r="T33" s="915">
        <f>230+18.862+3.578</f>
        <v>252.44</v>
      </c>
      <c r="U33" s="916">
        <f>229.854+17.578+7.095</f>
        <v>254.52700000000002</v>
      </c>
      <c r="V33" s="915">
        <f>0.671+26.187</f>
        <v>26.858000000000001</v>
      </c>
      <c r="W33" s="915">
        <v>26.664000000000001</v>
      </c>
      <c r="X33" s="915">
        <v>59.793999999999997</v>
      </c>
      <c r="Y33" s="916">
        <v>30.943000000000001</v>
      </c>
      <c r="Z33" s="915">
        <v>39.356000000000002</v>
      </c>
      <c r="AA33" s="915">
        <v>42.045000000000002</v>
      </c>
      <c r="AB33" s="915">
        <v>72.932000000000002</v>
      </c>
      <c r="AC33" s="916">
        <v>99.447999999999993</v>
      </c>
      <c r="AD33" s="915">
        <v>141</v>
      </c>
      <c r="AE33" s="915">
        <v>141</v>
      </c>
      <c r="AF33" s="915">
        <v>120</v>
      </c>
      <c r="AG33" s="916">
        <v>122</v>
      </c>
      <c r="AH33" s="915">
        <v>170</v>
      </c>
      <c r="AI33" s="915">
        <v>273</v>
      </c>
      <c r="AJ33" s="915">
        <v>323</v>
      </c>
      <c r="AK33" s="916">
        <v>333</v>
      </c>
      <c r="AL33" s="915">
        <v>321</v>
      </c>
      <c r="AM33" s="915">
        <f>296+18</f>
        <v>314</v>
      </c>
      <c r="AN33" s="915">
        <f>276+19</f>
        <v>295</v>
      </c>
      <c r="AO33" s="916">
        <f>287+25</f>
        <v>312</v>
      </c>
      <c r="AP33" s="915">
        <v>284</v>
      </c>
      <c r="AQ33" s="915">
        <v>281</v>
      </c>
      <c r="AR33" s="915">
        <v>276</v>
      </c>
      <c r="AS33" s="916">
        <v>247</v>
      </c>
      <c r="AT33" s="915">
        <v>251</v>
      </c>
      <c r="AU33" s="915">
        <v>257</v>
      </c>
      <c r="AV33" s="915">
        <v>292</v>
      </c>
      <c r="AW33" s="916">
        <v>358</v>
      </c>
      <c r="AX33" s="915">
        <v>373</v>
      </c>
      <c r="AY33" s="915">
        <v>380</v>
      </c>
      <c r="AZ33" s="915">
        <v>377</v>
      </c>
      <c r="BA33" s="916">
        <v>373</v>
      </c>
      <c r="BB33" s="915">
        <v>383</v>
      </c>
      <c r="BC33" s="915">
        <v>392</v>
      </c>
      <c r="BD33" s="915">
        <v>405</v>
      </c>
      <c r="BE33" s="916">
        <v>443</v>
      </c>
      <c r="BF33" s="915">
        <v>655</v>
      </c>
      <c r="BG33" s="915">
        <v>751</v>
      </c>
      <c r="BH33" s="915">
        <v>811</v>
      </c>
      <c r="BI33" s="916">
        <v>838</v>
      </c>
      <c r="BJ33" s="915">
        <v>880</v>
      </c>
      <c r="BK33" s="915">
        <v>929</v>
      </c>
      <c r="BL33" s="915">
        <v>1093</v>
      </c>
      <c r="BM33" s="916">
        <v>1109</v>
      </c>
      <c r="BN33" s="915">
        <v>1236</v>
      </c>
      <c r="BO33" s="915">
        <v>1217</v>
      </c>
      <c r="BP33" s="915">
        <v>1194</v>
      </c>
      <c r="BQ33" s="916">
        <v>1256</v>
      </c>
      <c r="BR33" s="915">
        <v>1253</v>
      </c>
      <c r="BS33" s="915">
        <v>1181</v>
      </c>
      <c r="BT33" s="915">
        <v>1166</v>
      </c>
      <c r="BU33" s="916">
        <v>1183</v>
      </c>
      <c r="BV33" s="915">
        <v>1184</v>
      </c>
      <c r="BW33" s="910">
        <v>1176</v>
      </c>
      <c r="BX33" s="910">
        <v>1119</v>
      </c>
      <c r="BY33" s="909">
        <v>1099</v>
      </c>
      <c r="BZ33" s="915">
        <v>1025</v>
      </c>
      <c r="CA33" s="910">
        <v>1125</v>
      </c>
      <c r="CB33" s="910">
        <v>1122</v>
      </c>
      <c r="CC33" s="909">
        <v>1109</v>
      </c>
      <c r="CD33" s="917">
        <f>1001+79</f>
        <v>1080</v>
      </c>
      <c r="CE33" s="910">
        <v>1017</v>
      </c>
      <c r="CF33" s="910">
        <v>1035</v>
      </c>
      <c r="CG33" s="909">
        <v>976</v>
      </c>
      <c r="CH33" s="1386">
        <v>1003</v>
      </c>
      <c r="CI33" s="830">
        <v>976</v>
      </c>
      <c r="CJ33" s="830">
        <v>972</v>
      </c>
      <c r="CK33" s="828">
        <f>881+18</f>
        <v>899</v>
      </c>
      <c r="CL33" s="1386">
        <v>906</v>
      </c>
      <c r="CM33" s="830">
        <v>879</v>
      </c>
      <c r="CN33" s="830">
        <v>874</v>
      </c>
      <c r="CO33" s="828">
        <v>877</v>
      </c>
      <c r="CP33" s="1386">
        <v>807</v>
      </c>
      <c r="CQ33" s="830">
        <v>794</v>
      </c>
      <c r="CR33" s="830">
        <v>791</v>
      </c>
      <c r="CS33" s="828">
        <v>704</v>
      </c>
      <c r="CT33" s="830">
        <v>684</v>
      </c>
      <c r="CU33" s="830">
        <v>682</v>
      </c>
      <c r="CV33" s="830">
        <v>697</v>
      </c>
      <c r="CW33" s="828">
        <v>809</v>
      </c>
      <c r="CX33" s="1698">
        <f t="shared" ref="CX33:DA33" si="91">CX60*(CX100+CW100+CV100+CU100)</f>
        <v>733.3015959230238</v>
      </c>
      <c r="CY33" s="830">
        <f t="shared" si="91"/>
        <v>724.53544620512935</v>
      </c>
      <c r="CZ33" s="830">
        <f t="shared" si="91"/>
        <v>734.92480889459796</v>
      </c>
      <c r="DA33" s="828">
        <f t="shared" si="91"/>
        <v>765.90163132724479</v>
      </c>
      <c r="DB33" s="594"/>
      <c r="DC33" s="537"/>
      <c r="DD33" s="898">
        <v>0</v>
      </c>
      <c r="DE33" s="898">
        <v>0</v>
      </c>
      <c r="DF33" s="898">
        <v>0</v>
      </c>
      <c r="DG33" s="898">
        <v>5.8479999999999999</v>
      </c>
      <c r="DH33" s="898">
        <v>5.931</v>
      </c>
      <c r="DI33" s="898">
        <f>2.178+18.423</f>
        <v>20.600999999999999</v>
      </c>
      <c r="DJ33" s="898">
        <f>1.496+18.492</f>
        <v>19.988</v>
      </c>
      <c r="DK33" s="898">
        <f>6.545+22.724</f>
        <v>29.268999999999998</v>
      </c>
      <c r="DL33" s="898">
        <f>+E33</f>
        <v>39.905000000000001</v>
      </c>
      <c r="DM33" s="898">
        <f>+I33</f>
        <v>287.11699999999996</v>
      </c>
      <c r="DN33" s="898">
        <f>+M33</f>
        <v>278.24299999999999</v>
      </c>
      <c r="DO33" s="898">
        <f>+Q33</f>
        <v>261.78799999999995</v>
      </c>
      <c r="DP33" s="898">
        <f>+U33</f>
        <v>254.52700000000002</v>
      </c>
      <c r="DQ33" s="898">
        <f>+Y33</f>
        <v>30.943000000000001</v>
      </c>
      <c r="DR33" s="898">
        <f>+AC33</f>
        <v>99.447999999999993</v>
      </c>
      <c r="DS33" s="898">
        <f>+AG33</f>
        <v>122</v>
      </c>
      <c r="DT33" s="898">
        <f>+AK33</f>
        <v>333</v>
      </c>
      <c r="DU33" s="898">
        <f>+AO33</f>
        <v>312</v>
      </c>
      <c r="DV33" s="898">
        <f>+AS33</f>
        <v>247</v>
      </c>
      <c r="DW33" s="898">
        <f>+AW33</f>
        <v>358</v>
      </c>
      <c r="DX33" s="898">
        <f>+BA33</f>
        <v>373</v>
      </c>
      <c r="DY33" s="898">
        <f>BE33</f>
        <v>443</v>
      </c>
      <c r="DZ33" s="898">
        <f>BI33</f>
        <v>838</v>
      </c>
      <c r="EA33" s="898">
        <f>BM33</f>
        <v>1109</v>
      </c>
      <c r="EB33" s="898">
        <f>BQ33</f>
        <v>1256</v>
      </c>
      <c r="EC33" s="898">
        <f>BU33</f>
        <v>1183</v>
      </c>
      <c r="ED33" s="898">
        <f>BY33</f>
        <v>1099</v>
      </c>
      <c r="EE33" s="898">
        <v>1154</v>
      </c>
      <c r="EF33" s="917">
        <v>1065</v>
      </c>
      <c r="EG33" s="910">
        <f>CC33</f>
        <v>1109</v>
      </c>
      <c r="EH33" s="830">
        <f>CG33</f>
        <v>976</v>
      </c>
      <c r="EI33" s="830">
        <f>CK33</f>
        <v>899</v>
      </c>
      <c r="EJ33" s="830">
        <f>CO33</f>
        <v>877</v>
      </c>
      <c r="EK33" s="830">
        <f>CS33</f>
        <v>704</v>
      </c>
      <c r="EL33" s="830">
        <f>CW33</f>
        <v>809</v>
      </c>
      <c r="EM33" s="1698">
        <f t="shared" ref="EM33:EM34" si="92">DA33</f>
        <v>765.90163132724479</v>
      </c>
      <c r="EN33" s="830">
        <f t="shared" ref="EN33:EU33" si="93">EM33</f>
        <v>765.90163132724479</v>
      </c>
      <c r="EO33" s="830">
        <f t="shared" si="93"/>
        <v>765.90163132724479</v>
      </c>
      <c r="EP33" s="830">
        <f t="shared" si="93"/>
        <v>765.90163132724479</v>
      </c>
      <c r="EQ33" s="830">
        <f t="shared" si="93"/>
        <v>765.90163132724479</v>
      </c>
      <c r="ER33" s="830">
        <f t="shared" si="93"/>
        <v>765.90163132724479</v>
      </c>
      <c r="ES33" s="830">
        <f t="shared" si="93"/>
        <v>765.90163132724479</v>
      </c>
      <c r="ET33" s="830">
        <f t="shared" si="93"/>
        <v>765.90163132724479</v>
      </c>
      <c r="EU33" s="828">
        <f t="shared" si="93"/>
        <v>765.90163132724479</v>
      </c>
      <c r="EV33" s="594"/>
      <c r="EW33"/>
      <c r="EX33"/>
      <c r="EY33"/>
      <c r="EZ33"/>
      <c r="FA33"/>
      <c r="FB33"/>
      <c r="FG33" s="830"/>
      <c r="FH33" s="830"/>
      <c r="FI33" s="830"/>
      <c r="FJ33" s="830"/>
      <c r="FK33"/>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row>
    <row r="34" spans="1:260" s="4" customFormat="1" outlineLevel="1" x14ac:dyDescent="0.2">
      <c r="A34" s="600" t="s">
        <v>373</v>
      </c>
      <c r="B34" s="915"/>
      <c r="C34" s="915"/>
      <c r="D34" s="915"/>
      <c r="E34" s="916"/>
      <c r="F34" s="915"/>
      <c r="G34" s="915"/>
      <c r="H34" s="915"/>
      <c r="I34" s="916"/>
      <c r="J34" s="915"/>
      <c r="K34" s="915"/>
      <c r="L34" s="915"/>
      <c r="M34" s="916"/>
      <c r="N34" s="915"/>
      <c r="O34" s="915"/>
      <c r="P34" s="915"/>
      <c r="Q34" s="916"/>
      <c r="R34" s="915"/>
      <c r="S34" s="915"/>
      <c r="T34" s="915"/>
      <c r="U34" s="916"/>
      <c r="V34" s="915"/>
      <c r="W34" s="915"/>
      <c r="X34" s="915"/>
      <c r="Y34" s="916"/>
      <c r="Z34" s="915"/>
      <c r="AA34" s="915"/>
      <c r="AB34" s="915"/>
      <c r="AC34" s="916"/>
      <c r="AD34" s="915"/>
      <c r="AE34" s="915"/>
      <c r="AF34" s="915"/>
      <c r="AG34" s="916"/>
      <c r="AH34" s="915"/>
      <c r="AI34" s="915"/>
      <c r="AJ34" s="915"/>
      <c r="AK34" s="916"/>
      <c r="AL34" s="915"/>
      <c r="AM34" s="915"/>
      <c r="AN34" s="915"/>
      <c r="AO34" s="916"/>
      <c r="AP34" s="915"/>
      <c r="AQ34" s="915"/>
      <c r="AR34" s="915"/>
      <c r="AS34" s="916"/>
      <c r="AT34" s="915">
        <v>0</v>
      </c>
      <c r="AU34" s="915">
        <v>0</v>
      </c>
      <c r="AV34" s="915">
        <v>0</v>
      </c>
      <c r="AW34" s="916">
        <v>0</v>
      </c>
      <c r="AX34" s="915">
        <v>0</v>
      </c>
      <c r="AY34" s="915">
        <v>0</v>
      </c>
      <c r="AZ34" s="915">
        <v>0</v>
      </c>
      <c r="BA34" s="916">
        <v>0</v>
      </c>
      <c r="BB34" s="915">
        <v>0</v>
      </c>
      <c r="BC34" s="915">
        <v>31</v>
      </c>
      <c r="BD34" s="915">
        <v>34</v>
      </c>
      <c r="BE34" s="916">
        <v>35</v>
      </c>
      <c r="BF34" s="915">
        <v>33</v>
      </c>
      <c r="BG34" s="915">
        <v>38</v>
      </c>
      <c r="BH34" s="915">
        <v>39</v>
      </c>
      <c r="BI34" s="916">
        <v>40</v>
      </c>
      <c r="BJ34" s="915">
        <v>40</v>
      </c>
      <c r="BK34" s="915">
        <v>725</v>
      </c>
      <c r="BL34" s="915">
        <v>674</v>
      </c>
      <c r="BM34" s="916">
        <v>513</v>
      </c>
      <c r="BN34" s="915">
        <v>511</v>
      </c>
      <c r="BO34" s="915">
        <v>593</v>
      </c>
      <c r="BP34" s="915">
        <v>595</v>
      </c>
      <c r="BQ34" s="916">
        <f>644</f>
        <v>644</v>
      </c>
      <c r="BR34" s="915">
        <v>639</v>
      </c>
      <c r="BS34" s="915">
        <v>607</v>
      </c>
      <c r="BT34" s="915">
        <v>664</v>
      </c>
      <c r="BU34" s="916">
        <v>690</v>
      </c>
      <c r="BV34" s="898">
        <v>734</v>
      </c>
      <c r="BW34" s="898">
        <v>723</v>
      </c>
      <c r="BX34" s="898">
        <v>666</v>
      </c>
      <c r="BY34" s="909">
        <v>621</v>
      </c>
      <c r="BZ34" s="898">
        <v>635</v>
      </c>
      <c r="CA34" s="898">
        <v>596</v>
      </c>
      <c r="CB34" s="898">
        <v>621</v>
      </c>
      <c r="CC34" s="909">
        <v>654</v>
      </c>
      <c r="CD34" s="917">
        <v>632</v>
      </c>
      <c r="CE34" s="910">
        <v>3</v>
      </c>
      <c r="CF34" s="910">
        <v>2</v>
      </c>
      <c r="CG34" s="909">
        <v>3</v>
      </c>
      <c r="CH34" s="1386">
        <v>0</v>
      </c>
      <c r="CI34" s="830">
        <f>CH34-'Income Statement'!CU29</f>
        <v>0</v>
      </c>
      <c r="CJ34" s="830">
        <f>CI34-'Income Statement'!CV29</f>
        <v>0</v>
      </c>
      <c r="CK34" s="828">
        <v>0</v>
      </c>
      <c r="CL34" s="1386">
        <v>0</v>
      </c>
      <c r="CM34" s="830">
        <v>0</v>
      </c>
      <c r="CN34" s="830">
        <v>0</v>
      </c>
      <c r="CO34" s="828">
        <v>0</v>
      </c>
      <c r="CP34" s="1386">
        <v>0</v>
      </c>
      <c r="CQ34" s="830">
        <v>0</v>
      </c>
      <c r="CR34" s="830">
        <v>0</v>
      </c>
      <c r="CS34" s="828">
        <v>0</v>
      </c>
      <c r="CT34" s="830">
        <v>0</v>
      </c>
      <c r="CU34" s="830">
        <v>0</v>
      </c>
      <c r="CV34" s="830">
        <v>0</v>
      </c>
      <c r="CW34" s="828">
        <v>0</v>
      </c>
      <c r="CX34" s="1698">
        <f>CW34-'Income Statement'!DJ29</f>
        <v>0</v>
      </c>
      <c r="CY34" s="830">
        <f>CX34-'Income Statement'!DK29</f>
        <v>0</v>
      </c>
      <c r="CZ34" s="830">
        <f>CY34-'Income Statement'!DL29</f>
        <v>0</v>
      </c>
      <c r="DA34" s="828">
        <f>CZ34-'Income Statement'!DM29</f>
        <v>0</v>
      </c>
      <c r="DB34" s="594"/>
      <c r="DC34" s="537"/>
      <c r="DD34" s="898">
        <v>0</v>
      </c>
      <c r="DE34" s="898">
        <v>0</v>
      </c>
      <c r="DF34" s="898">
        <v>0</v>
      </c>
      <c r="DG34" s="898">
        <v>0</v>
      </c>
      <c r="DH34" s="898">
        <v>0</v>
      </c>
      <c r="DI34" s="898">
        <v>0</v>
      </c>
      <c r="DJ34" s="898">
        <v>0</v>
      </c>
      <c r="DK34" s="898">
        <v>0</v>
      </c>
      <c r="DL34" s="898"/>
      <c r="DM34" s="898"/>
      <c r="DN34" s="898"/>
      <c r="DO34" s="898"/>
      <c r="DP34" s="898"/>
      <c r="DQ34" s="898"/>
      <c r="DR34" s="898"/>
      <c r="DS34" s="898"/>
      <c r="DT34" s="898"/>
      <c r="DU34" s="898"/>
      <c r="DV34" s="898">
        <v>0</v>
      </c>
      <c r="DW34" s="898">
        <v>0</v>
      </c>
      <c r="DX34" s="898">
        <v>0</v>
      </c>
      <c r="DY34" s="898">
        <f>BE34</f>
        <v>35</v>
      </c>
      <c r="DZ34" s="898">
        <f>BI34</f>
        <v>40</v>
      </c>
      <c r="EA34" s="898">
        <f>BM34</f>
        <v>513</v>
      </c>
      <c r="EB34" s="898">
        <f>BQ34</f>
        <v>644</v>
      </c>
      <c r="EC34" s="898">
        <f>BU34</f>
        <v>690</v>
      </c>
      <c r="ED34" s="898">
        <f>BY34</f>
        <v>621</v>
      </c>
      <c r="EE34" s="898">
        <f>EC34</f>
        <v>690</v>
      </c>
      <c r="EF34" s="917">
        <f>ED34</f>
        <v>621</v>
      </c>
      <c r="EG34" s="910">
        <f>CC34</f>
        <v>654</v>
      </c>
      <c r="EH34" s="830">
        <f>CG34</f>
        <v>3</v>
      </c>
      <c r="EI34" s="830">
        <f>CK34</f>
        <v>0</v>
      </c>
      <c r="EJ34" s="830">
        <f>CO34</f>
        <v>0</v>
      </c>
      <c r="EK34" s="830">
        <f>CS34</f>
        <v>0</v>
      </c>
      <c r="EL34" s="830">
        <f>CW34</f>
        <v>0</v>
      </c>
      <c r="EM34" s="1698">
        <f t="shared" si="92"/>
        <v>0</v>
      </c>
      <c r="EN34" s="830">
        <f>EM34-'Income Statement'!FA29</f>
        <v>0</v>
      </c>
      <c r="EO34" s="830">
        <f>EN34-'Income Statement'!FB29</f>
        <v>0</v>
      </c>
      <c r="EP34" s="830">
        <f>EO34-'Income Statement'!FC29</f>
        <v>0</v>
      </c>
      <c r="EQ34" s="830">
        <f>EP34-'Income Statement'!FD29</f>
        <v>0</v>
      </c>
      <c r="ER34" s="830">
        <f>EQ34-'Income Statement'!FE29</f>
        <v>0</v>
      </c>
      <c r="ES34" s="830">
        <f>ER34-'Income Statement'!FF29</f>
        <v>0</v>
      </c>
      <c r="ET34" s="830">
        <f>ES34-'Income Statement'!FG29</f>
        <v>0</v>
      </c>
      <c r="EU34" s="828">
        <f>ET34-'Income Statement'!FH29</f>
        <v>0</v>
      </c>
      <c r="EV34" s="594"/>
      <c r="EW34"/>
      <c r="EX34"/>
      <c r="EY34"/>
      <c r="EZ34"/>
      <c r="FA34"/>
      <c r="FB34"/>
      <c r="FG34" s="830"/>
      <c r="FH34" s="830"/>
      <c r="FI34" s="830"/>
      <c r="FJ34" s="830"/>
      <c r="FK34"/>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row>
    <row r="35" spans="1:260" s="4" customFormat="1" x14ac:dyDescent="0.2">
      <c r="A35" s="340" t="s">
        <v>13</v>
      </c>
      <c r="B35" s="922">
        <f t="shared" ref="B35:AK35" si="94">SUM(B30:B34)</f>
        <v>304.54000000000002</v>
      </c>
      <c r="C35" s="922">
        <f t="shared" si="94"/>
        <v>395.16499999999996</v>
      </c>
      <c r="D35" s="922">
        <f t="shared" si="94"/>
        <v>880.71299999999997</v>
      </c>
      <c r="E35" s="923">
        <f t="shared" si="94"/>
        <v>641.04999999999995</v>
      </c>
      <c r="F35" s="922">
        <f t="shared" si="94"/>
        <v>687.12100000000009</v>
      </c>
      <c r="G35" s="922">
        <f t="shared" si="94"/>
        <v>943.25900000000001</v>
      </c>
      <c r="H35" s="922">
        <f t="shared" si="94"/>
        <v>1661.3809999999999</v>
      </c>
      <c r="I35" s="923">
        <f t="shared" si="94"/>
        <v>1131.0029999999997</v>
      </c>
      <c r="J35" s="922">
        <f t="shared" si="94"/>
        <v>1172.6390000000001</v>
      </c>
      <c r="K35" s="922">
        <f t="shared" si="94"/>
        <v>1509.1600000000003</v>
      </c>
      <c r="L35" s="922">
        <f t="shared" si="94"/>
        <v>2347.5529999999999</v>
      </c>
      <c r="M35" s="923">
        <f t="shared" si="94"/>
        <v>1459.2180000000001</v>
      </c>
      <c r="N35" s="922">
        <f t="shared" si="94"/>
        <v>1543.7400000000002</v>
      </c>
      <c r="O35" s="922">
        <f t="shared" si="94"/>
        <v>1624.4729999999997</v>
      </c>
      <c r="P35" s="922">
        <f t="shared" si="94"/>
        <v>2146.3620000000001</v>
      </c>
      <c r="Q35" s="923">
        <f t="shared" si="94"/>
        <v>1295.9919999999997</v>
      </c>
      <c r="R35" s="922">
        <f t="shared" si="94"/>
        <v>1280.5920000000001</v>
      </c>
      <c r="S35" s="922">
        <f t="shared" si="94"/>
        <v>1373.527</v>
      </c>
      <c r="T35" s="922">
        <f t="shared" si="94"/>
        <v>1914.9150000000002</v>
      </c>
      <c r="U35" s="923">
        <f t="shared" si="94"/>
        <v>1498.6000000000001</v>
      </c>
      <c r="V35" s="922">
        <f t="shared" si="94"/>
        <v>1156.5719999999999</v>
      </c>
      <c r="W35" s="922">
        <f t="shared" si="94"/>
        <v>1343.528</v>
      </c>
      <c r="X35" s="922">
        <f t="shared" si="94"/>
        <v>1982.704</v>
      </c>
      <c r="Y35" s="923">
        <f t="shared" si="94"/>
        <v>1448.3589999999999</v>
      </c>
      <c r="Z35" s="922">
        <f t="shared" si="94"/>
        <v>1254.7250000000001</v>
      </c>
      <c r="AA35" s="922">
        <f t="shared" si="94"/>
        <v>1442.0580000000002</v>
      </c>
      <c r="AB35" s="922">
        <f t="shared" si="94"/>
        <v>2613.6639999999993</v>
      </c>
      <c r="AC35" s="923">
        <f t="shared" si="94"/>
        <v>1899.357</v>
      </c>
      <c r="AD35" s="922">
        <f t="shared" si="94"/>
        <v>1804</v>
      </c>
      <c r="AE35" s="922">
        <f t="shared" si="94"/>
        <v>2080</v>
      </c>
      <c r="AF35" s="922">
        <f t="shared" si="94"/>
        <v>3156</v>
      </c>
      <c r="AG35" s="923">
        <f t="shared" si="94"/>
        <v>3018</v>
      </c>
      <c r="AH35" s="922">
        <f t="shared" si="94"/>
        <v>2882</v>
      </c>
      <c r="AI35" s="922">
        <f t="shared" si="94"/>
        <v>3482</v>
      </c>
      <c r="AJ35" s="922">
        <f t="shared" si="94"/>
        <v>5327</v>
      </c>
      <c r="AK35" s="923">
        <f t="shared" si="94"/>
        <v>4846</v>
      </c>
      <c r="AL35" s="922">
        <f t="shared" ref="AL35:BU35" si="95">AL30+SUM(AL32:AL34)</f>
        <v>4582</v>
      </c>
      <c r="AM35" s="922">
        <f t="shared" si="95"/>
        <v>4478</v>
      </c>
      <c r="AN35" s="922">
        <f t="shared" si="95"/>
        <v>6349</v>
      </c>
      <c r="AO35" s="923">
        <f t="shared" si="95"/>
        <v>4964</v>
      </c>
      <c r="AP35" s="922">
        <f t="shared" si="95"/>
        <v>4389</v>
      </c>
      <c r="AQ35" s="922">
        <f t="shared" si="95"/>
        <v>4796</v>
      </c>
      <c r="AR35" s="922">
        <f t="shared" si="95"/>
        <v>6969</v>
      </c>
      <c r="AS35" s="923">
        <f t="shared" si="95"/>
        <v>5230</v>
      </c>
      <c r="AT35" s="922">
        <f t="shared" si="95"/>
        <v>5066</v>
      </c>
      <c r="AU35" s="922">
        <f t="shared" si="95"/>
        <v>5043</v>
      </c>
      <c r="AV35" s="922">
        <f t="shared" si="95"/>
        <v>7662</v>
      </c>
      <c r="AW35" s="923">
        <f t="shared" si="95"/>
        <v>5845</v>
      </c>
      <c r="AX35" s="922">
        <f t="shared" si="95"/>
        <v>5468</v>
      </c>
      <c r="AY35" s="922">
        <f t="shared" si="95"/>
        <v>5436</v>
      </c>
      <c r="AZ35" s="922">
        <f t="shared" si="95"/>
        <v>8386</v>
      </c>
      <c r="BA35" s="923">
        <f t="shared" si="95"/>
        <v>6607</v>
      </c>
      <c r="BB35" s="922">
        <f t="shared" si="95"/>
        <v>5860</v>
      </c>
      <c r="BC35" s="922">
        <f t="shared" si="95"/>
        <v>6973</v>
      </c>
      <c r="BD35" s="922">
        <f t="shared" si="95"/>
        <v>9784</v>
      </c>
      <c r="BE35" s="923">
        <f t="shared" si="95"/>
        <v>7369</v>
      </c>
      <c r="BF35" s="922">
        <f t="shared" si="95"/>
        <v>6972</v>
      </c>
      <c r="BG35" s="922">
        <f t="shared" si="95"/>
        <v>8856</v>
      </c>
      <c r="BH35" s="922">
        <f t="shared" si="95"/>
        <v>11728</v>
      </c>
      <c r="BI35" s="923">
        <f t="shared" si="95"/>
        <v>8274</v>
      </c>
      <c r="BJ35" s="922">
        <f t="shared" si="95"/>
        <v>8597</v>
      </c>
      <c r="BK35" s="922">
        <f t="shared" si="95"/>
        <v>12770</v>
      </c>
      <c r="BL35" s="922">
        <f t="shared" si="95"/>
        <v>16087</v>
      </c>
      <c r="BM35" s="923">
        <f t="shared" si="95"/>
        <v>11183</v>
      </c>
      <c r="BN35" s="922">
        <f t="shared" si="95"/>
        <v>11224</v>
      </c>
      <c r="BO35" s="922">
        <f t="shared" si="95"/>
        <v>11885</v>
      </c>
      <c r="BP35" s="922">
        <f t="shared" si="95"/>
        <v>15571</v>
      </c>
      <c r="BQ35" s="923">
        <f t="shared" si="95"/>
        <v>11982</v>
      </c>
      <c r="BR35" s="922">
        <f t="shared" si="95"/>
        <v>11588</v>
      </c>
      <c r="BS35" s="922">
        <f t="shared" si="95"/>
        <v>11347</v>
      </c>
      <c r="BT35" s="922">
        <f t="shared" si="95"/>
        <v>16351</v>
      </c>
      <c r="BU35" s="923">
        <f t="shared" si="95"/>
        <v>11247</v>
      </c>
      <c r="BV35" s="922">
        <f t="shared" ref="BV35:CJ35" si="96">SUM(BV30:BV34)</f>
        <v>12354</v>
      </c>
      <c r="BW35" s="922">
        <f t="shared" si="96"/>
        <v>12742</v>
      </c>
      <c r="BX35" s="922">
        <f t="shared" si="96"/>
        <v>17038</v>
      </c>
      <c r="BY35" s="923">
        <f t="shared" si="96"/>
        <v>12260</v>
      </c>
      <c r="BZ35" s="922">
        <f t="shared" si="96"/>
        <v>12339</v>
      </c>
      <c r="CA35" s="922">
        <f t="shared" si="96"/>
        <v>12334</v>
      </c>
      <c r="CB35" s="922">
        <f t="shared" si="96"/>
        <v>14049</v>
      </c>
      <c r="CC35" s="923">
        <f t="shared" si="96"/>
        <v>13726</v>
      </c>
      <c r="CD35" s="1089">
        <f t="shared" si="96"/>
        <v>11415</v>
      </c>
      <c r="CE35" s="921">
        <f t="shared" si="96"/>
        <v>9682</v>
      </c>
      <c r="CF35" s="921">
        <f t="shared" si="96"/>
        <v>11326</v>
      </c>
      <c r="CG35" s="924">
        <f t="shared" si="96"/>
        <v>10027</v>
      </c>
      <c r="CH35" s="1401">
        <f t="shared" si="96"/>
        <v>9487</v>
      </c>
      <c r="CI35" s="1402">
        <f t="shared" si="96"/>
        <v>9819</v>
      </c>
      <c r="CJ35" s="1402">
        <f t="shared" si="96"/>
        <v>11189</v>
      </c>
      <c r="CK35" s="1403">
        <f t="shared" ref="CK35:CS35" si="97">SUM(CK30:CK34)</f>
        <v>10256</v>
      </c>
      <c r="CL35" s="1401">
        <f t="shared" si="97"/>
        <v>8851</v>
      </c>
      <c r="CM35" s="1402">
        <f t="shared" si="97"/>
        <v>8944</v>
      </c>
      <c r="CN35" s="1402">
        <f t="shared" si="97"/>
        <v>10525</v>
      </c>
      <c r="CO35" s="1403">
        <f>SUM(CO30:CO34)</f>
        <v>9141</v>
      </c>
      <c r="CP35" s="1401">
        <f>SUM(CP30:CP34)</f>
        <v>8475</v>
      </c>
      <c r="CQ35" s="1402">
        <f t="shared" si="97"/>
        <v>8935</v>
      </c>
      <c r="CR35" s="1402">
        <f t="shared" si="97"/>
        <v>10281</v>
      </c>
      <c r="CS35" s="1403">
        <f t="shared" si="97"/>
        <v>9147</v>
      </c>
      <c r="CT35" s="1402">
        <f>SUM(CT30:CT34)</f>
        <v>8456</v>
      </c>
      <c r="CU35" s="1402">
        <f t="shared" ref="CU35" si="98">SUM(CU30:CU34)</f>
        <v>9097</v>
      </c>
      <c r="CV35" s="1402">
        <f t="shared" ref="CV35:DA35" si="99">SUM(CV30:CV34)</f>
        <v>10633</v>
      </c>
      <c r="CW35" s="1403">
        <f t="shared" si="99"/>
        <v>9437</v>
      </c>
      <c r="CX35" s="1699">
        <f t="shared" si="99"/>
        <v>9114.523751679515</v>
      </c>
      <c r="CY35" s="1402">
        <f t="shared" si="99"/>
        <v>9512.1778396732443</v>
      </c>
      <c r="CZ35" s="1402">
        <f t="shared" si="99"/>
        <v>11205.466951157838</v>
      </c>
      <c r="DA35" s="1403">
        <f t="shared" si="99"/>
        <v>9290.3372270785458</v>
      </c>
      <c r="DB35" s="1404"/>
      <c r="DC35" s="1405"/>
      <c r="DD35" s="1402">
        <f t="shared" ref="DD35:DK35" si="100">SUM(DD30:DD34)</f>
        <v>17.492000000000001</v>
      </c>
      <c r="DE35" s="1402">
        <f t="shared" si="100"/>
        <v>31.834</v>
      </c>
      <c r="DF35" s="1402">
        <f t="shared" si="100"/>
        <v>82.135999999999996</v>
      </c>
      <c r="DG35" s="1402">
        <f t="shared" si="100"/>
        <v>79.546990000000008</v>
      </c>
      <c r="DH35" s="1402">
        <f t="shared" si="100"/>
        <v>90.636999999999986</v>
      </c>
      <c r="DI35" s="1402">
        <f t="shared" si="100"/>
        <v>128.78699999999998</v>
      </c>
      <c r="DJ35" s="1402">
        <f t="shared" si="100"/>
        <v>179.64999999999998</v>
      </c>
      <c r="DK35" s="1402">
        <f t="shared" si="100"/>
        <v>256.85899999999998</v>
      </c>
      <c r="DL35" s="1406">
        <f>+E35</f>
        <v>641.04999999999995</v>
      </c>
      <c r="DM35" s="1406">
        <f>+I35</f>
        <v>1131.0029999999997</v>
      </c>
      <c r="DN35" s="1406">
        <f>+M35</f>
        <v>1459.2180000000001</v>
      </c>
      <c r="DO35" s="1406">
        <f>+Q35</f>
        <v>1295.9919999999997</v>
      </c>
      <c r="DP35" s="1406">
        <f>+U35</f>
        <v>1498.6000000000001</v>
      </c>
      <c r="DQ35" s="1406">
        <f>+Y35</f>
        <v>1448.3589999999999</v>
      </c>
      <c r="DR35" s="1406">
        <f>+AC35</f>
        <v>1899.357</v>
      </c>
      <c r="DS35" s="1406">
        <f>+AG35</f>
        <v>3018</v>
      </c>
      <c r="DT35" s="1406">
        <f>+AK35</f>
        <v>4846</v>
      </c>
      <c r="DU35" s="1406">
        <f>+AO35</f>
        <v>4964</v>
      </c>
      <c r="DV35" s="1406">
        <f>+AS35</f>
        <v>5230</v>
      </c>
      <c r="DW35" s="1406">
        <f>+AW35</f>
        <v>5845</v>
      </c>
      <c r="DX35" s="1406">
        <f>+BA35</f>
        <v>6607</v>
      </c>
      <c r="DY35" s="1406">
        <f>+DY30+SUM(DY32:DY34)</f>
        <v>7369</v>
      </c>
      <c r="DZ35" s="1406">
        <f>+DZ30+SUM(DZ32:DZ34)</f>
        <v>8274</v>
      </c>
      <c r="EA35" s="1406">
        <f>EA30+SUM(EA32:EA34)</f>
        <v>11183</v>
      </c>
      <c r="EB35" s="1406">
        <f>EB30+SUM(EB32:EB34)</f>
        <v>11982</v>
      </c>
      <c r="EC35" s="1406">
        <f>EC30+SUM(EC32:EC34)</f>
        <v>11247</v>
      </c>
      <c r="ED35" s="1406">
        <f t="shared" ref="ED35:EI35" si="101">SUM(ED30:ED34)</f>
        <v>12260</v>
      </c>
      <c r="EE35" s="1406">
        <f t="shared" si="101"/>
        <v>12897</v>
      </c>
      <c r="EF35" s="1407">
        <f t="shared" si="101"/>
        <v>13687</v>
      </c>
      <c r="EG35" s="1406">
        <f t="shared" si="101"/>
        <v>13726</v>
      </c>
      <c r="EH35" s="1406">
        <f t="shared" si="101"/>
        <v>10027</v>
      </c>
      <c r="EI35" s="1406">
        <f t="shared" si="101"/>
        <v>10256</v>
      </c>
      <c r="EJ35" s="1406">
        <f t="shared" ref="EJ35:EP35" si="102">SUM(EJ30:EJ34)</f>
        <v>9141</v>
      </c>
      <c r="EK35" s="1402">
        <f t="shared" si="102"/>
        <v>9147</v>
      </c>
      <c r="EL35" s="1402">
        <f>SUM(EL30:EL34)</f>
        <v>9437</v>
      </c>
      <c r="EM35" s="1699">
        <f>SUM(EM30:EM34)</f>
        <v>9290.3372270785458</v>
      </c>
      <c r="EN35" s="1406">
        <f t="shared" si="102"/>
        <v>9734.8156464197291</v>
      </c>
      <c r="EO35" s="1406">
        <f t="shared" si="102"/>
        <v>10056.42818415854</v>
      </c>
      <c r="EP35" s="1406">
        <f t="shared" si="102"/>
        <v>10474.431942707699</v>
      </c>
      <c r="EQ35" s="1406">
        <f>SUM(EQ30:EQ34)</f>
        <v>10573.044053718906</v>
      </c>
      <c r="ER35" s="1406">
        <f>SUM(ER30:ER34)</f>
        <v>10675.500725338588</v>
      </c>
      <c r="ES35" s="1406">
        <f>SUM(ES30:ES34)</f>
        <v>11281.993354709331</v>
      </c>
      <c r="ET35" s="1406">
        <f>SUM(ET30:ET34)</f>
        <v>11392.722978369553</v>
      </c>
      <c r="EU35" s="1613">
        <f>SUM(EU30:EU34)</f>
        <v>11507.900758565136</v>
      </c>
      <c r="EV35" s="1091"/>
      <c r="EW35"/>
      <c r="EX35"/>
      <c r="EY35"/>
      <c r="EZ35"/>
      <c r="FA35"/>
      <c r="FB35"/>
      <c r="FG35"/>
      <c r="FH35" s="1658"/>
      <c r="FI35" s="1658"/>
      <c r="FJ35" s="1658"/>
      <c r="FK35"/>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row>
    <row r="36" spans="1:260" s="4" customFormat="1" x14ac:dyDescent="0.2">
      <c r="A36" s="340"/>
      <c r="B36" s="239"/>
      <c r="C36" s="239"/>
      <c r="D36" s="239"/>
      <c r="E36" s="606"/>
      <c r="F36" s="239"/>
      <c r="G36" s="239"/>
      <c r="H36" s="239"/>
      <c r="I36" s="606"/>
      <c r="J36" s="239"/>
      <c r="K36" s="239"/>
      <c r="L36" s="239"/>
      <c r="M36" s="606"/>
      <c r="N36" s="239"/>
      <c r="O36" s="239"/>
      <c r="P36" s="239"/>
      <c r="Q36" s="606"/>
      <c r="R36" s="239"/>
      <c r="S36" s="239"/>
      <c r="T36" s="239"/>
      <c r="U36" s="606"/>
      <c r="V36" s="239"/>
      <c r="W36" s="239"/>
      <c r="X36" s="239"/>
      <c r="Y36" s="606"/>
      <c r="Z36" s="239"/>
      <c r="AA36" s="239"/>
      <c r="AB36" s="239"/>
      <c r="AC36" s="606"/>
      <c r="AD36" s="239"/>
      <c r="AE36" s="239"/>
      <c r="AF36" s="239"/>
      <c r="AG36" s="606"/>
      <c r="AH36" s="239"/>
      <c r="AI36" s="239"/>
      <c r="AJ36" s="239"/>
      <c r="AK36" s="606"/>
      <c r="AL36" s="239"/>
      <c r="AM36" s="239"/>
      <c r="AN36" s="239"/>
      <c r="AO36" s="606"/>
      <c r="AP36" s="239"/>
      <c r="AQ36" s="239"/>
      <c r="AR36" s="239"/>
      <c r="AS36" s="606"/>
      <c r="AT36" s="239"/>
      <c r="AU36" s="239"/>
      <c r="AV36" s="239"/>
      <c r="AW36" s="606"/>
      <c r="AX36" s="239"/>
      <c r="AY36" s="239"/>
      <c r="AZ36" s="239"/>
      <c r="BA36" s="606"/>
      <c r="BB36" s="239"/>
      <c r="BC36" s="239"/>
      <c r="BD36" s="239"/>
      <c r="BE36" s="606"/>
      <c r="BF36" s="239"/>
      <c r="BG36" s="239"/>
      <c r="BH36" s="239"/>
      <c r="BI36" s="606"/>
      <c r="BJ36" s="239"/>
      <c r="BK36" s="239"/>
      <c r="BL36" s="239"/>
      <c r="BM36" s="606"/>
      <c r="BN36" s="239"/>
      <c r="BO36" s="239"/>
      <c r="BP36" s="239"/>
      <c r="BQ36" s="606"/>
      <c r="BR36" s="239"/>
      <c r="BS36" s="239"/>
      <c r="BT36" s="239"/>
      <c r="BU36" s="606"/>
      <c r="BV36" s="15"/>
      <c r="BW36" s="15"/>
      <c r="BX36" s="15"/>
      <c r="BY36" s="518"/>
      <c r="BZ36" s="15"/>
      <c r="CA36" s="58"/>
      <c r="CB36" s="58"/>
      <c r="CC36" s="648"/>
      <c r="CD36" s="580"/>
      <c r="CE36" s="167"/>
      <c r="CF36" s="167"/>
      <c r="CG36" s="537"/>
      <c r="CH36" s="594"/>
      <c r="CI36" s="167"/>
      <c r="CJ36" s="167"/>
      <c r="CK36" s="537"/>
      <c r="CL36" s="594"/>
      <c r="CM36" s="167"/>
      <c r="CN36" s="167"/>
      <c r="CO36" s="537"/>
      <c r="CP36" s="167"/>
      <c r="CQ36" s="167"/>
      <c r="CR36" s="167"/>
      <c r="CS36" s="537"/>
      <c r="CT36" s="167"/>
      <c r="CU36" s="167"/>
      <c r="CV36" s="167"/>
      <c r="CW36" s="537"/>
      <c r="CX36" s="1710"/>
      <c r="CY36" s="167"/>
      <c r="CZ36" s="167"/>
      <c r="DA36" s="537"/>
      <c r="DB36" s="666"/>
      <c r="DC36" s="648"/>
      <c r="DD36" s="127"/>
      <c r="DE36" s="127"/>
      <c r="DF36" s="127"/>
      <c r="DG36" s="127"/>
      <c r="DH36" s="127"/>
      <c r="DI36" s="127"/>
      <c r="DJ36" s="127"/>
      <c r="DK36" s="127"/>
      <c r="DL36" s="239"/>
      <c r="DM36" s="239"/>
      <c r="DN36" s="239"/>
      <c r="DO36" s="239"/>
      <c r="DP36" s="239"/>
      <c r="DQ36" s="239"/>
      <c r="DR36" s="239"/>
      <c r="DS36" s="239"/>
      <c r="DT36" s="239"/>
      <c r="DU36" s="239"/>
      <c r="DV36" s="239"/>
      <c r="DW36" s="239"/>
      <c r="DX36" s="239"/>
      <c r="DY36" s="239"/>
      <c r="DZ36" s="239"/>
      <c r="EA36" s="239"/>
      <c r="EB36" s="239"/>
      <c r="EC36" s="239"/>
      <c r="ED36" s="58"/>
      <c r="EE36" s="127"/>
      <c r="EF36" s="1027"/>
      <c r="EG36" s="154"/>
      <c r="EH36" s="154"/>
      <c r="EI36" s="154"/>
      <c r="EJ36" s="154"/>
      <c r="EK36" s="167"/>
      <c r="EL36" s="167"/>
      <c r="EM36" s="1710"/>
      <c r="EN36" s="154"/>
      <c r="EO36" s="154"/>
      <c r="EP36" s="154"/>
      <c r="EQ36" s="154"/>
      <c r="ER36" s="154"/>
      <c r="ES36" s="154"/>
      <c r="ET36" s="154"/>
      <c r="EU36" s="648"/>
      <c r="EV36" s="594"/>
      <c r="EW36"/>
      <c r="EX36"/>
      <c r="EY36"/>
      <c r="EZ36"/>
      <c r="FA36"/>
      <c r="FB36"/>
      <c r="FG36" s="1318"/>
      <c r="FH36" s="167"/>
      <c r="FI36" s="167"/>
      <c r="FJ36" s="167"/>
      <c r="FK36"/>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row>
    <row r="37" spans="1:260" s="4" customFormat="1" hidden="1" outlineLevel="1" x14ac:dyDescent="0.2">
      <c r="A37" s="599" t="s">
        <v>137</v>
      </c>
      <c r="B37" s="915">
        <v>0</v>
      </c>
      <c r="C37" s="915">
        <v>0</v>
      </c>
      <c r="D37" s="915">
        <v>0</v>
      </c>
      <c r="E37" s="916">
        <v>0</v>
      </c>
      <c r="F37" s="915">
        <v>0</v>
      </c>
      <c r="G37" s="915">
        <v>0</v>
      </c>
      <c r="H37" s="915">
        <v>0</v>
      </c>
      <c r="I37" s="916">
        <v>0</v>
      </c>
      <c r="J37" s="915">
        <v>0</v>
      </c>
      <c r="K37" s="915">
        <v>0</v>
      </c>
      <c r="L37" s="915">
        <v>0</v>
      </c>
      <c r="M37" s="916">
        <v>0</v>
      </c>
      <c r="N37" s="915">
        <v>0</v>
      </c>
      <c r="O37" s="915">
        <v>0</v>
      </c>
      <c r="P37" s="915">
        <v>0</v>
      </c>
      <c r="Q37" s="916">
        <v>0</v>
      </c>
      <c r="R37" s="915">
        <v>0</v>
      </c>
      <c r="S37" s="915">
        <v>0</v>
      </c>
      <c r="T37" s="915">
        <v>0</v>
      </c>
      <c r="U37" s="916">
        <v>0</v>
      </c>
      <c r="V37" s="915">
        <v>0</v>
      </c>
      <c r="W37" s="915">
        <v>0</v>
      </c>
      <c r="X37" s="915">
        <v>0</v>
      </c>
      <c r="Y37" s="916">
        <v>0</v>
      </c>
      <c r="Z37" s="915">
        <v>0</v>
      </c>
      <c r="AA37" s="915">
        <v>0</v>
      </c>
      <c r="AB37" s="915">
        <v>0</v>
      </c>
      <c r="AC37" s="916">
        <v>0</v>
      </c>
      <c r="AD37" s="915">
        <v>0</v>
      </c>
      <c r="AE37" s="915">
        <v>0</v>
      </c>
      <c r="AF37" s="915">
        <v>0</v>
      </c>
      <c r="AG37" s="916">
        <v>0</v>
      </c>
      <c r="AH37" s="915">
        <v>0</v>
      </c>
      <c r="AI37" s="915">
        <v>0</v>
      </c>
      <c r="AJ37" s="915">
        <v>0</v>
      </c>
      <c r="AK37" s="916">
        <v>0</v>
      </c>
      <c r="AL37" s="915">
        <v>0</v>
      </c>
      <c r="AM37" s="915">
        <v>0</v>
      </c>
      <c r="AN37" s="915">
        <v>0</v>
      </c>
      <c r="AO37" s="916">
        <v>0</v>
      </c>
      <c r="AP37" s="915"/>
      <c r="AQ37" s="915"/>
      <c r="AR37" s="915">
        <v>0</v>
      </c>
      <c r="AS37" s="916">
        <v>0</v>
      </c>
      <c r="AT37" s="915">
        <v>0</v>
      </c>
      <c r="AU37" s="915">
        <v>0</v>
      </c>
      <c r="AV37" s="915">
        <v>0</v>
      </c>
      <c r="AW37" s="916">
        <v>0</v>
      </c>
      <c r="AX37" s="915">
        <v>0</v>
      </c>
      <c r="AY37" s="915">
        <v>0</v>
      </c>
      <c r="AZ37" s="915"/>
      <c r="BA37" s="916"/>
      <c r="BB37" s="915"/>
      <c r="BC37" s="915"/>
      <c r="BD37" s="915"/>
      <c r="BE37" s="916"/>
      <c r="BF37" s="915"/>
      <c r="BG37" s="915"/>
      <c r="BH37" s="915"/>
      <c r="BI37" s="916"/>
      <c r="BJ37" s="915">
        <v>0</v>
      </c>
      <c r="BK37" s="915">
        <v>0</v>
      </c>
      <c r="BL37" s="915">
        <v>0</v>
      </c>
      <c r="BM37" s="916">
        <v>0</v>
      </c>
      <c r="BN37" s="915">
        <v>0</v>
      </c>
      <c r="BO37" s="915">
        <v>0</v>
      </c>
      <c r="BP37" s="915">
        <v>0</v>
      </c>
      <c r="BQ37" s="916">
        <v>0</v>
      </c>
      <c r="BR37" s="915">
        <v>0</v>
      </c>
      <c r="BS37" s="915">
        <v>0</v>
      </c>
      <c r="BT37" s="915">
        <v>0</v>
      </c>
      <c r="BU37" s="916">
        <v>0</v>
      </c>
      <c r="BV37" s="898">
        <f>BU37</f>
        <v>0</v>
      </c>
      <c r="BW37" s="915">
        <f>BV37</f>
        <v>0</v>
      </c>
      <c r="BX37" s="915">
        <f>BW37</f>
        <v>0</v>
      </c>
      <c r="BY37" s="916">
        <v>0</v>
      </c>
      <c r="BZ37" s="898">
        <v>0</v>
      </c>
      <c r="CA37" s="915">
        <v>0</v>
      </c>
      <c r="CB37" s="915">
        <v>0</v>
      </c>
      <c r="CC37" s="916">
        <v>0</v>
      </c>
      <c r="CD37" s="917">
        <v>0</v>
      </c>
      <c r="CE37" s="910">
        <v>0</v>
      </c>
      <c r="CF37" s="910">
        <v>0</v>
      </c>
      <c r="CG37" s="909">
        <v>0</v>
      </c>
      <c r="CH37" s="1386">
        <f t="shared" ref="CH37:CK38" si="103">CG37</f>
        <v>0</v>
      </c>
      <c r="CI37" s="830">
        <v>0</v>
      </c>
      <c r="CJ37" s="830">
        <f t="shared" si="103"/>
        <v>0</v>
      </c>
      <c r="CK37" s="828">
        <f t="shared" si="103"/>
        <v>0</v>
      </c>
      <c r="CL37" s="1386">
        <v>0</v>
      </c>
      <c r="CM37" s="830">
        <v>0</v>
      </c>
      <c r="CN37" s="1447">
        <v>0</v>
      </c>
      <c r="CO37" s="828">
        <v>0</v>
      </c>
      <c r="CP37" s="1447">
        <v>0</v>
      </c>
      <c r="CQ37" s="830">
        <v>0</v>
      </c>
      <c r="CR37" s="1447">
        <v>0</v>
      </c>
      <c r="CS37" s="828">
        <v>0</v>
      </c>
      <c r="CT37" s="1447">
        <v>0</v>
      </c>
      <c r="CU37" s="1447">
        <v>0</v>
      </c>
      <c r="CV37" s="1447">
        <v>0</v>
      </c>
      <c r="CW37" s="2798">
        <v>0</v>
      </c>
      <c r="CX37" s="1698">
        <f t="shared" ref="CX37:DA38" si="104">CW37</f>
        <v>0</v>
      </c>
      <c r="CY37" s="1447">
        <f t="shared" si="104"/>
        <v>0</v>
      </c>
      <c r="CZ37" s="1447">
        <f t="shared" si="104"/>
        <v>0</v>
      </c>
      <c r="DA37" s="828">
        <f t="shared" si="104"/>
        <v>0</v>
      </c>
      <c r="DB37" s="917"/>
      <c r="DC37" s="909"/>
      <c r="DD37" s="910">
        <v>0</v>
      </c>
      <c r="DE37" s="910">
        <v>0</v>
      </c>
      <c r="DF37" s="910">
        <v>0</v>
      </c>
      <c r="DG37" s="910">
        <v>0</v>
      </c>
      <c r="DH37" s="910">
        <v>0</v>
      </c>
      <c r="DI37" s="910">
        <v>0</v>
      </c>
      <c r="DJ37" s="910">
        <v>0</v>
      </c>
      <c r="DK37" s="910">
        <v>0</v>
      </c>
      <c r="DL37" s="915">
        <f t="shared" ref="DL37:DL42" si="105">+E37</f>
        <v>0</v>
      </c>
      <c r="DM37" s="915">
        <f t="shared" ref="DM37:DM42" si="106">+I37</f>
        <v>0</v>
      </c>
      <c r="DN37" s="915">
        <f t="shared" ref="DN37:DN42" si="107">+M37</f>
        <v>0</v>
      </c>
      <c r="DO37" s="915">
        <f t="shared" ref="DO37:DO42" si="108">+Q37</f>
        <v>0</v>
      </c>
      <c r="DP37" s="915">
        <f t="shared" ref="DP37:DP42" si="109">+U37</f>
        <v>0</v>
      </c>
      <c r="DQ37" s="915">
        <f t="shared" ref="DQ37:DQ42" si="110">+Y37</f>
        <v>0</v>
      </c>
      <c r="DR37" s="915">
        <f t="shared" ref="DR37:DR42" si="111">+AC37</f>
        <v>0</v>
      </c>
      <c r="DS37" s="915">
        <f t="shared" ref="DS37:DS42" si="112">+AG37</f>
        <v>0</v>
      </c>
      <c r="DT37" s="915">
        <f t="shared" ref="DT37:DT42" si="113">+AK37</f>
        <v>0</v>
      </c>
      <c r="DU37" s="915">
        <f t="shared" ref="DU37:DU42" si="114">+AO37</f>
        <v>0</v>
      </c>
      <c r="DV37" s="915">
        <f t="shared" ref="DV37:DV42" si="115">+AS37</f>
        <v>0</v>
      </c>
      <c r="DW37" s="915">
        <f t="shared" ref="DW37:DW42" si="116">+AW37</f>
        <v>0</v>
      </c>
      <c r="DX37" s="915"/>
      <c r="DY37" s="915"/>
      <c r="DZ37" s="915"/>
      <c r="EA37" s="915">
        <f>BM37</f>
        <v>0</v>
      </c>
      <c r="EB37" s="915">
        <f>BQ37</f>
        <v>0</v>
      </c>
      <c r="EC37" s="915">
        <f>BU37</f>
        <v>0</v>
      </c>
      <c r="ED37" s="915">
        <f>BY37</f>
        <v>0</v>
      </c>
      <c r="EE37" s="910">
        <f>EC37</f>
        <v>0</v>
      </c>
      <c r="EF37" s="917">
        <f>BZ37</f>
        <v>0</v>
      </c>
      <c r="EG37" s="920">
        <f>CC37</f>
        <v>0</v>
      </c>
      <c r="EH37" s="830">
        <f>CG37</f>
        <v>0</v>
      </c>
      <c r="EI37" s="830">
        <f>CK37</f>
        <v>0</v>
      </c>
      <c r="EJ37" s="830">
        <f>CO37</f>
        <v>0</v>
      </c>
      <c r="EK37" s="830">
        <f>CS37</f>
        <v>0</v>
      </c>
      <c r="EL37" s="830">
        <f>CW37</f>
        <v>0</v>
      </c>
      <c r="EM37" s="1698">
        <f t="shared" ref="EM37:EM41" si="117">DA37</f>
        <v>0</v>
      </c>
      <c r="EN37" s="830">
        <v>0</v>
      </c>
      <c r="EO37" s="830">
        <v>0</v>
      </c>
      <c r="EP37" s="830">
        <v>0</v>
      </c>
      <c r="EQ37" s="830">
        <v>0</v>
      </c>
      <c r="ER37" s="830">
        <v>0</v>
      </c>
      <c r="ES37" s="830">
        <v>0</v>
      </c>
      <c r="ET37" s="830">
        <v>0</v>
      </c>
      <c r="EU37" s="828">
        <v>0</v>
      </c>
      <c r="EV37" s="594"/>
      <c r="EW37"/>
      <c r="EX37"/>
      <c r="EY37"/>
      <c r="EZ37"/>
      <c r="FA37"/>
      <c r="FB37"/>
      <c r="FG37" s="830"/>
      <c r="FH37" s="830"/>
      <c r="FI37" s="830"/>
      <c r="FJ37" s="830"/>
      <c r="FK37"/>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row>
    <row r="38" spans="1:260" s="4" customFormat="1" hidden="1" outlineLevel="1" x14ac:dyDescent="0.2">
      <c r="A38" s="599" t="s">
        <v>138</v>
      </c>
      <c r="B38" s="915">
        <v>1.3759999999999999</v>
      </c>
      <c r="C38" s="915">
        <v>2.0819999999999999</v>
      </c>
      <c r="D38" s="915">
        <v>2.085</v>
      </c>
      <c r="E38" s="916">
        <v>2.0870000000000002</v>
      </c>
      <c r="F38" s="915">
        <v>4.1849999999999996</v>
      </c>
      <c r="G38" s="915">
        <v>4.2069999999999999</v>
      </c>
      <c r="H38" s="915">
        <v>4.2169999999999996</v>
      </c>
      <c r="I38" s="916">
        <v>4.2210000000000001</v>
      </c>
      <c r="J38" s="915">
        <v>4.2590000000000003</v>
      </c>
      <c r="K38" s="915">
        <v>4.2670000000000003</v>
      </c>
      <c r="L38" s="915">
        <v>4.2709999999999999</v>
      </c>
      <c r="M38" s="916">
        <v>4.2839999999999998</v>
      </c>
      <c r="N38" s="915">
        <v>4.3120000000000003</v>
      </c>
      <c r="O38" s="915">
        <v>4.3220000000000001</v>
      </c>
      <c r="P38" s="915">
        <v>4.327</v>
      </c>
      <c r="Q38" s="916">
        <v>4.3289999999999997</v>
      </c>
      <c r="R38" s="915">
        <v>4.3810000000000002</v>
      </c>
      <c r="S38" s="915">
        <v>4.3810000000000002</v>
      </c>
      <c r="T38" s="915">
        <v>4.391</v>
      </c>
      <c r="U38" s="916">
        <v>4.4630000000000001</v>
      </c>
      <c r="V38" s="915">
        <v>10.031000000000001</v>
      </c>
      <c r="W38" s="915">
        <v>10.077</v>
      </c>
      <c r="X38" s="915">
        <v>10.087999999999999</v>
      </c>
      <c r="Y38" s="916">
        <v>10.180999999999999</v>
      </c>
      <c r="Z38" s="915">
        <v>20.38</v>
      </c>
      <c r="AA38" s="915">
        <v>20.527000000000001</v>
      </c>
      <c r="AB38" s="915">
        <v>20.440999999999999</v>
      </c>
      <c r="AC38" s="916">
        <v>20.038</v>
      </c>
      <c r="AD38" s="915">
        <v>21</v>
      </c>
      <c r="AE38" s="915">
        <v>21</v>
      </c>
      <c r="AF38" s="915">
        <v>21</v>
      </c>
      <c r="AG38" s="916">
        <v>21</v>
      </c>
      <c r="AH38" s="915">
        <v>31</v>
      </c>
      <c r="AI38" s="915">
        <v>31</v>
      </c>
      <c r="AJ38" s="915">
        <v>21</v>
      </c>
      <c r="AK38" s="916">
        <v>31</v>
      </c>
      <c r="AL38" s="915">
        <v>32</v>
      </c>
      <c r="AM38" s="915">
        <v>32</v>
      </c>
      <c r="AN38" s="915">
        <v>32</v>
      </c>
      <c r="AO38" s="916">
        <v>32</v>
      </c>
      <c r="AP38" s="915"/>
      <c r="AQ38" s="915"/>
      <c r="AR38" s="915">
        <v>32</v>
      </c>
      <c r="AS38" s="916">
        <v>32</v>
      </c>
      <c r="AT38" s="915">
        <v>32</v>
      </c>
      <c r="AU38" s="915">
        <v>32</v>
      </c>
      <c r="AV38" s="915">
        <v>33</v>
      </c>
      <c r="AW38" s="916">
        <v>33</v>
      </c>
      <c r="AX38" s="915">
        <v>33</v>
      </c>
      <c r="AY38" s="915">
        <v>49</v>
      </c>
      <c r="AZ38" s="915">
        <f>AY38</f>
        <v>49</v>
      </c>
      <c r="BA38" s="916">
        <v>49</v>
      </c>
      <c r="BB38" s="915"/>
      <c r="BC38" s="915">
        <v>48</v>
      </c>
      <c r="BD38" s="915"/>
      <c r="BE38" s="916">
        <f>DY38</f>
        <v>48</v>
      </c>
      <c r="BF38" s="915">
        <v>47</v>
      </c>
      <c r="BG38" s="915">
        <v>42</v>
      </c>
      <c r="BH38" s="915">
        <v>42</v>
      </c>
      <c r="BI38" s="916">
        <v>41</v>
      </c>
      <c r="BJ38" s="915">
        <v>41</v>
      </c>
      <c r="BK38" s="915">
        <v>41</v>
      </c>
      <c r="BL38" s="915">
        <v>41</v>
      </c>
      <c r="BM38" s="916">
        <v>41</v>
      </c>
      <c r="BN38" s="915">
        <v>42</v>
      </c>
      <c r="BO38" s="915">
        <v>42</v>
      </c>
      <c r="BP38" s="915">
        <v>42</v>
      </c>
      <c r="BQ38" s="916">
        <v>42</v>
      </c>
      <c r="BR38" s="915">
        <v>42</v>
      </c>
      <c r="BS38" s="915">
        <v>40</v>
      </c>
      <c r="BT38" s="915">
        <v>39</v>
      </c>
      <c r="BU38" s="916">
        <v>39</v>
      </c>
      <c r="BV38" s="915">
        <v>38</v>
      </c>
      <c r="BW38" s="898">
        <v>37</v>
      </c>
      <c r="BX38" s="898">
        <v>35</v>
      </c>
      <c r="BY38" s="909">
        <v>34</v>
      </c>
      <c r="BZ38" s="915">
        <f>BY38</f>
        <v>34</v>
      </c>
      <c r="CA38" s="915">
        <v>34</v>
      </c>
      <c r="CB38" s="915">
        <v>34</v>
      </c>
      <c r="CC38" s="916">
        <v>34</v>
      </c>
      <c r="CD38" s="917">
        <v>34</v>
      </c>
      <c r="CE38" s="920">
        <f>EG38</f>
        <v>34</v>
      </c>
      <c r="CF38" s="920">
        <v>35</v>
      </c>
      <c r="CG38" s="909">
        <v>35</v>
      </c>
      <c r="CH38" s="1386">
        <f t="shared" si="103"/>
        <v>35</v>
      </c>
      <c r="CI38" s="830">
        <v>35</v>
      </c>
      <c r="CJ38" s="830">
        <f t="shared" si="103"/>
        <v>35</v>
      </c>
      <c r="CK38" s="828">
        <f t="shared" si="103"/>
        <v>35</v>
      </c>
      <c r="CL38" s="1386">
        <v>35</v>
      </c>
      <c r="CM38" s="830">
        <v>34</v>
      </c>
      <c r="CN38" s="1447">
        <v>34</v>
      </c>
      <c r="CO38" s="828">
        <v>32</v>
      </c>
      <c r="CP38" s="1447">
        <v>32</v>
      </c>
      <c r="CQ38" s="830">
        <v>32</v>
      </c>
      <c r="CR38" s="1447">
        <v>31</v>
      </c>
      <c r="CS38" s="828">
        <v>31</v>
      </c>
      <c r="CT38" s="1447">
        <v>31</v>
      </c>
      <c r="CU38" s="1447">
        <v>30</v>
      </c>
      <c r="CV38" s="1447">
        <v>30</v>
      </c>
      <c r="CW38" s="2798">
        <v>30</v>
      </c>
      <c r="CX38" s="1698">
        <f>CW38</f>
        <v>30</v>
      </c>
      <c r="CY38" s="1447">
        <f>CX38</f>
        <v>30</v>
      </c>
      <c r="CZ38" s="1447">
        <f>CY38</f>
        <v>30</v>
      </c>
      <c r="DA38" s="828">
        <f t="shared" si="104"/>
        <v>30</v>
      </c>
      <c r="DB38" s="917"/>
      <c r="DC38" s="909"/>
      <c r="DD38" s="915">
        <v>0</v>
      </c>
      <c r="DE38" s="915">
        <v>0</v>
      </c>
      <c r="DF38" s="915">
        <v>0</v>
      </c>
      <c r="DG38" s="915">
        <v>0</v>
      </c>
      <c r="DH38" s="915">
        <v>0</v>
      </c>
      <c r="DI38" s="915">
        <v>0.82899999999999996</v>
      </c>
      <c r="DJ38" s="915">
        <v>1.1220000000000001</v>
      </c>
      <c r="DK38" s="915">
        <v>1.149</v>
      </c>
      <c r="DL38" s="915">
        <f t="shared" si="105"/>
        <v>2.0870000000000002</v>
      </c>
      <c r="DM38" s="915">
        <f t="shared" si="106"/>
        <v>4.2210000000000001</v>
      </c>
      <c r="DN38" s="915">
        <f t="shared" si="107"/>
        <v>4.2839999999999998</v>
      </c>
      <c r="DO38" s="915">
        <f t="shared" si="108"/>
        <v>4.3289999999999997</v>
      </c>
      <c r="DP38" s="915">
        <f t="shared" si="109"/>
        <v>4.4630000000000001</v>
      </c>
      <c r="DQ38" s="915">
        <f t="shared" si="110"/>
        <v>10.180999999999999</v>
      </c>
      <c r="DR38" s="915">
        <f t="shared" si="111"/>
        <v>20.038</v>
      </c>
      <c r="DS38" s="915">
        <f t="shared" si="112"/>
        <v>21</v>
      </c>
      <c r="DT38" s="915">
        <f t="shared" si="113"/>
        <v>31</v>
      </c>
      <c r="DU38" s="915">
        <f t="shared" si="114"/>
        <v>32</v>
      </c>
      <c r="DV38" s="915">
        <f t="shared" si="115"/>
        <v>32</v>
      </c>
      <c r="DW38" s="915">
        <f t="shared" si="116"/>
        <v>33</v>
      </c>
      <c r="DX38" s="915">
        <f>+BA38</f>
        <v>49</v>
      </c>
      <c r="DY38" s="915">
        <v>48</v>
      </c>
      <c r="DZ38" s="915">
        <f>BI38</f>
        <v>41</v>
      </c>
      <c r="EA38" s="915">
        <f>BM38</f>
        <v>41</v>
      </c>
      <c r="EB38" s="915">
        <f>BQ38</f>
        <v>42</v>
      </c>
      <c r="EC38" s="915">
        <f>BU38</f>
        <v>39</v>
      </c>
      <c r="ED38" s="915">
        <f>BY38</f>
        <v>34</v>
      </c>
      <c r="EE38" s="915">
        <f>EC38</f>
        <v>39</v>
      </c>
      <c r="EF38" s="1110">
        <f>ED38</f>
        <v>34</v>
      </c>
      <c r="EG38" s="920">
        <f>CC38</f>
        <v>34</v>
      </c>
      <c r="EH38" s="830">
        <f>CG38</f>
        <v>35</v>
      </c>
      <c r="EI38" s="830">
        <f>CK38</f>
        <v>35</v>
      </c>
      <c r="EJ38" s="830">
        <f>CO38</f>
        <v>32</v>
      </c>
      <c r="EK38" s="830">
        <f>CS38</f>
        <v>31</v>
      </c>
      <c r="EL38" s="830">
        <f>CW38</f>
        <v>30</v>
      </c>
      <c r="EM38" s="1698">
        <f t="shared" si="117"/>
        <v>30</v>
      </c>
      <c r="EN38" s="830">
        <f t="shared" ref="EN38:EU38" si="118">EM38</f>
        <v>30</v>
      </c>
      <c r="EO38" s="830">
        <f t="shared" si="118"/>
        <v>30</v>
      </c>
      <c r="EP38" s="830">
        <f t="shared" si="118"/>
        <v>30</v>
      </c>
      <c r="EQ38" s="830">
        <f t="shared" si="118"/>
        <v>30</v>
      </c>
      <c r="ER38" s="830">
        <f t="shared" si="118"/>
        <v>30</v>
      </c>
      <c r="ES38" s="830">
        <f t="shared" si="118"/>
        <v>30</v>
      </c>
      <c r="ET38" s="830">
        <f t="shared" si="118"/>
        <v>30</v>
      </c>
      <c r="EU38" s="828">
        <f t="shared" si="118"/>
        <v>30</v>
      </c>
      <c r="EV38" s="594"/>
      <c r="EW38"/>
      <c r="EX38"/>
      <c r="EY38"/>
      <c r="EZ38"/>
      <c r="FA38"/>
      <c r="FB38"/>
      <c r="FG38" s="830"/>
      <c r="FH38" s="830"/>
      <c r="FI38" s="830"/>
      <c r="FJ38" s="830"/>
      <c r="FK38"/>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row>
    <row r="39" spans="1:260" s="4" customFormat="1" hidden="1" outlineLevel="1" x14ac:dyDescent="0.2">
      <c r="A39" s="599" t="s">
        <v>68</v>
      </c>
      <c r="B39" s="898">
        <v>219.52699999999999</v>
      </c>
      <c r="C39" s="898">
        <v>222.732</v>
      </c>
      <c r="D39" s="898">
        <v>223.71</v>
      </c>
      <c r="E39" s="909">
        <v>224.089</v>
      </c>
      <c r="F39" s="898">
        <v>223.91499999999999</v>
      </c>
      <c r="G39" s="898">
        <v>226.33</v>
      </c>
      <c r="H39" s="898">
        <v>228.197</v>
      </c>
      <c r="I39" s="909">
        <v>228.982</v>
      </c>
      <c r="J39" s="898">
        <v>233.553</v>
      </c>
      <c r="K39" s="898">
        <v>234.75</v>
      </c>
      <c r="L39" s="898">
        <v>235.28399999999999</v>
      </c>
      <c r="M39" s="909">
        <v>236.392</v>
      </c>
      <c r="N39" s="898">
        <v>239.17</v>
      </c>
      <c r="O39" s="898">
        <v>240.47399999999999</v>
      </c>
      <c r="P39" s="898">
        <v>241.196</v>
      </c>
      <c r="Q39" s="909">
        <v>241.3</v>
      </c>
      <c r="R39" s="898">
        <v>245.661</v>
      </c>
      <c r="S39" s="898">
        <v>245.76499999999999</v>
      </c>
      <c r="T39" s="898">
        <v>247.32</v>
      </c>
      <c r="U39" s="909">
        <v>266.14400000000001</v>
      </c>
      <c r="V39" s="898">
        <v>497.82799999999997</v>
      </c>
      <c r="W39" s="898">
        <v>508.32900000000001</v>
      </c>
      <c r="X39" s="898">
        <v>510.14499999999998</v>
      </c>
      <c r="Y39" s="909">
        <v>542.37699999999995</v>
      </c>
      <c r="Z39" s="898">
        <v>509.88400000000001</v>
      </c>
      <c r="AA39" s="898">
        <v>527.71699999999998</v>
      </c>
      <c r="AB39" s="898">
        <v>473.29599999999999</v>
      </c>
      <c r="AC39" s="909">
        <v>247.49</v>
      </c>
      <c r="AD39" s="898">
        <v>535</v>
      </c>
      <c r="AE39" s="898">
        <v>566</v>
      </c>
      <c r="AF39" s="898">
        <v>570</v>
      </c>
      <c r="AG39" s="909">
        <v>577</v>
      </c>
      <c r="AH39" s="898">
        <v>617</v>
      </c>
      <c r="AI39" s="898">
        <v>644</v>
      </c>
      <c r="AJ39" s="898">
        <v>678</v>
      </c>
      <c r="AK39" s="909">
        <v>702</v>
      </c>
      <c r="AL39" s="898">
        <v>766</v>
      </c>
      <c r="AM39" s="898">
        <v>771</v>
      </c>
      <c r="AN39" s="898">
        <v>774</v>
      </c>
      <c r="AO39" s="909">
        <v>778</v>
      </c>
      <c r="AP39" s="898"/>
      <c r="AQ39" s="898"/>
      <c r="AR39" s="898">
        <v>849</v>
      </c>
      <c r="AS39" s="909">
        <v>836</v>
      </c>
      <c r="AT39" s="898">
        <v>832</v>
      </c>
      <c r="AU39" s="898">
        <v>802</v>
      </c>
      <c r="AV39" s="898">
        <v>945</v>
      </c>
      <c r="AW39" s="909">
        <v>952</v>
      </c>
      <c r="AX39" s="898">
        <v>813</v>
      </c>
      <c r="AY39" s="898">
        <v>973</v>
      </c>
      <c r="AZ39" s="898">
        <v>877</v>
      </c>
      <c r="BA39" s="909">
        <v>643</v>
      </c>
      <c r="BB39" s="898"/>
      <c r="BC39" s="898">
        <v>389</v>
      </c>
      <c r="BD39" s="898"/>
      <c r="BE39" s="909">
        <f>DY39</f>
        <v>430</v>
      </c>
      <c r="BF39" s="898">
        <v>101</v>
      </c>
      <c r="BG39" s="898">
        <v>-200</v>
      </c>
      <c r="BH39" s="898">
        <v>74</v>
      </c>
      <c r="BI39" s="909">
        <v>8</v>
      </c>
      <c r="BJ39" s="898">
        <v>72</v>
      </c>
      <c r="BK39" s="898">
        <v>112</v>
      </c>
      <c r="BL39" s="898">
        <v>172</v>
      </c>
      <c r="BM39" s="909">
        <v>205</v>
      </c>
      <c r="BN39" s="898">
        <v>294</v>
      </c>
      <c r="BO39" s="898">
        <v>329</v>
      </c>
      <c r="BP39" s="898">
        <v>404</v>
      </c>
      <c r="BQ39" s="909">
        <v>441</v>
      </c>
      <c r="BR39" s="898">
        <v>474</v>
      </c>
      <c r="BS39" s="898">
        <v>0</v>
      </c>
      <c r="BT39" s="898">
        <v>0</v>
      </c>
      <c r="BU39" s="909">
        <v>18</v>
      </c>
      <c r="BV39" s="915">
        <v>0</v>
      </c>
      <c r="BW39" s="915">
        <v>0</v>
      </c>
      <c r="BX39" s="915">
        <v>0</v>
      </c>
      <c r="BY39" s="916">
        <v>0</v>
      </c>
      <c r="BZ39" s="915">
        <v>20</v>
      </c>
      <c r="CA39" s="915">
        <v>0</v>
      </c>
      <c r="CB39" s="915">
        <v>40</v>
      </c>
      <c r="CC39" s="916">
        <v>54</v>
      </c>
      <c r="CD39" s="917">
        <v>77</v>
      </c>
      <c r="CE39" s="920">
        <v>109</v>
      </c>
      <c r="CF39" s="920">
        <v>253</v>
      </c>
      <c r="CG39" s="909">
        <v>300</v>
      </c>
      <c r="CH39" s="1386">
        <f>CG39+'Cash Flow'!CH46</f>
        <v>300</v>
      </c>
      <c r="CI39" s="830">
        <v>348</v>
      </c>
      <c r="CJ39" s="830">
        <f>CI39+'Cash Flow'!CJ46+'Cash Flow'!CJ45+'Cash Flow'!CJ48</f>
        <v>348</v>
      </c>
      <c r="CK39" s="828">
        <f>CJ39+'Cash Flow'!CK46+'Cash Flow'!CK45+'Cash Flow'!CK48-80</f>
        <v>268</v>
      </c>
      <c r="CL39" s="1386">
        <v>143</v>
      </c>
      <c r="CM39" s="830">
        <v>198</v>
      </c>
      <c r="CN39" s="1447">
        <v>185</v>
      </c>
      <c r="CO39" s="828">
        <v>-55</v>
      </c>
      <c r="CP39" s="1447">
        <v>0</v>
      </c>
      <c r="CQ39" s="830">
        <v>0</v>
      </c>
      <c r="CR39" s="1447">
        <v>0</v>
      </c>
      <c r="CS39" s="828">
        <v>0</v>
      </c>
      <c r="CT39" s="1447">
        <v>0</v>
      </c>
      <c r="CU39" s="1447">
        <v>0</v>
      </c>
      <c r="CV39" s="1447">
        <v>0</v>
      </c>
      <c r="CW39" s="2798">
        <v>0</v>
      </c>
      <c r="CX39" s="1698">
        <f>CW39+'Cash Flow'!CX46+'Cash Flow'!CX45+'Cash Flow'!CX48</f>
        <v>-650</v>
      </c>
      <c r="CY39" s="1447">
        <f>CX39+'Cash Flow'!CY46+'Cash Flow'!CY45+'Cash Flow'!CY48</f>
        <v>-900</v>
      </c>
      <c r="CZ39" s="1447">
        <f>CY39+'Cash Flow'!CZ46+'Cash Flow'!CZ45+'Cash Flow'!CZ48</f>
        <v>-1150</v>
      </c>
      <c r="DA39" s="828">
        <f>CZ39+'Cash Flow'!DA46+'Cash Flow'!DA45+'Cash Flow'!DA48</f>
        <v>-1500</v>
      </c>
      <c r="DB39" s="917"/>
      <c r="DC39" s="909"/>
      <c r="DD39" s="915">
        <v>0</v>
      </c>
      <c r="DE39" s="915">
        <v>0</v>
      </c>
      <c r="DF39" s="915">
        <v>0</v>
      </c>
      <c r="DG39" s="915">
        <v>0</v>
      </c>
      <c r="DH39" s="915">
        <v>0</v>
      </c>
      <c r="DI39" s="915">
        <v>41.384999999999998</v>
      </c>
      <c r="DJ39" s="915">
        <v>132.31800000000001</v>
      </c>
      <c r="DK39" s="915">
        <v>137.15100000000001</v>
      </c>
      <c r="DL39" s="898">
        <f t="shared" si="105"/>
        <v>224.089</v>
      </c>
      <c r="DM39" s="898">
        <f t="shared" si="106"/>
        <v>228.982</v>
      </c>
      <c r="DN39" s="898">
        <f t="shared" si="107"/>
        <v>236.392</v>
      </c>
      <c r="DO39" s="898">
        <f t="shared" si="108"/>
        <v>241.3</v>
      </c>
      <c r="DP39" s="898">
        <f t="shared" si="109"/>
        <v>266.14400000000001</v>
      </c>
      <c r="DQ39" s="898">
        <f t="shared" si="110"/>
        <v>542.37699999999995</v>
      </c>
      <c r="DR39" s="898">
        <f t="shared" si="111"/>
        <v>247.49</v>
      </c>
      <c r="DS39" s="898">
        <f t="shared" si="112"/>
        <v>577</v>
      </c>
      <c r="DT39" s="898">
        <f t="shared" si="113"/>
        <v>702</v>
      </c>
      <c r="DU39" s="898">
        <f t="shared" si="114"/>
        <v>778</v>
      </c>
      <c r="DV39" s="898">
        <f t="shared" si="115"/>
        <v>836</v>
      </c>
      <c r="DW39" s="898">
        <f t="shared" si="116"/>
        <v>952</v>
      </c>
      <c r="DX39" s="898">
        <f>+BA39</f>
        <v>643</v>
      </c>
      <c r="DY39" s="898">
        <v>430</v>
      </c>
      <c r="DZ39" s="898">
        <f>BI39</f>
        <v>8</v>
      </c>
      <c r="EA39" s="898">
        <f>BM39</f>
        <v>205</v>
      </c>
      <c r="EB39" s="898">
        <f>BQ39</f>
        <v>441</v>
      </c>
      <c r="EC39" s="898">
        <f>BU39</f>
        <v>18</v>
      </c>
      <c r="ED39" s="898">
        <f>BY39</f>
        <v>0</v>
      </c>
      <c r="EE39" s="915">
        <f>EC39</f>
        <v>18</v>
      </c>
      <c r="EF39" s="917">
        <f>ED39</f>
        <v>0</v>
      </c>
      <c r="EG39" s="910">
        <f>CC39</f>
        <v>54</v>
      </c>
      <c r="EH39" s="830">
        <f>CG39</f>
        <v>300</v>
      </c>
      <c r="EI39" s="830">
        <f>CK39</f>
        <v>268</v>
      </c>
      <c r="EJ39" s="830">
        <f>CO39</f>
        <v>-55</v>
      </c>
      <c r="EK39" s="830">
        <f>CS39</f>
        <v>0</v>
      </c>
      <c r="EL39" s="830">
        <f>CW39</f>
        <v>0</v>
      </c>
      <c r="EM39" s="1698">
        <f t="shared" si="117"/>
        <v>-1500</v>
      </c>
      <c r="EN39" s="830">
        <f>EM39+'Cash Flow'!EN45+'Cash Flow'!EN46+'Cash Flow'!EN48</f>
        <v>-3000</v>
      </c>
      <c r="EO39" s="830">
        <f>EN39+'Cash Flow'!EO45+'Cash Flow'!EO46+'Cash Flow'!EO48</f>
        <v>-4500</v>
      </c>
      <c r="EP39" s="830">
        <f>EO39+'Cash Flow'!EP45+'Cash Flow'!EP46+'Cash Flow'!EP48</f>
        <v>-5700</v>
      </c>
      <c r="EQ39" s="830">
        <f>EP39+'Cash Flow'!EQ45+'Cash Flow'!EQ46+'Cash Flow'!EQ48</f>
        <v>-6900</v>
      </c>
      <c r="ER39" s="830">
        <f>EQ39+'Cash Flow'!ER45+'Cash Flow'!ER46+'Cash Flow'!ER48</f>
        <v>-8100</v>
      </c>
      <c r="ES39" s="830">
        <f>ER39+'Cash Flow'!ES45+'Cash Flow'!ES46+'Cash Flow'!ES48</f>
        <v>-9300</v>
      </c>
      <c r="ET39" s="830">
        <f>ES39+'Cash Flow'!ET45+'Cash Flow'!ET46+'Cash Flow'!ET48</f>
        <v>-10500</v>
      </c>
      <c r="EU39" s="828">
        <f>ET39+'Cash Flow'!EU45+'Cash Flow'!EU46+'Cash Flow'!EU48</f>
        <v>-11700</v>
      </c>
      <c r="EV39" s="594"/>
      <c r="EW39"/>
      <c r="EX39"/>
      <c r="EY39"/>
      <c r="EZ39"/>
      <c r="FA39"/>
      <c r="FB39"/>
      <c r="FG39" s="830"/>
      <c r="FH39" s="830"/>
      <c r="FI39" s="830"/>
      <c r="FJ39" s="830"/>
      <c r="FK39"/>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row>
    <row r="40" spans="1:260" s="4" customFormat="1" hidden="1" outlineLevel="1" x14ac:dyDescent="0.2">
      <c r="A40" s="599" t="s">
        <v>69</v>
      </c>
      <c r="B40" s="898">
        <v>45.073999999999998</v>
      </c>
      <c r="C40" s="898">
        <v>52.667999999999999</v>
      </c>
      <c r="D40" s="898">
        <v>63.829000000000001</v>
      </c>
      <c r="E40" s="909">
        <v>85.268000000000001</v>
      </c>
      <c r="F40" s="898">
        <v>89.509</v>
      </c>
      <c r="G40" s="898">
        <v>97.108999999999995</v>
      </c>
      <c r="H40" s="898">
        <v>114.81100000000001</v>
      </c>
      <c r="I40" s="909">
        <v>142.91900000000001</v>
      </c>
      <c r="J40" s="898">
        <v>147.59100000000001</v>
      </c>
      <c r="K40" s="898">
        <v>153.30500000000001</v>
      </c>
      <c r="L40" s="898">
        <v>171.107</v>
      </c>
      <c r="M40" s="909">
        <v>190.93799999999999</v>
      </c>
      <c r="N40" s="898">
        <v>191.34700000000001</v>
      </c>
      <c r="O40" s="898">
        <v>195.13499999999999</v>
      </c>
      <c r="P40" s="898">
        <v>184.16200000000001</v>
      </c>
      <c r="Q40" s="909">
        <v>192.68600000000001</v>
      </c>
      <c r="R40" s="898">
        <v>190.047</v>
      </c>
      <c r="S40" s="898">
        <v>196.69499999999999</v>
      </c>
      <c r="T40" s="898">
        <v>223.113</v>
      </c>
      <c r="U40" s="909">
        <v>287.13900000000001</v>
      </c>
      <c r="V40" s="898">
        <v>302.86399999999998</v>
      </c>
      <c r="W40" s="898">
        <v>346.99900000000002</v>
      </c>
      <c r="X40" s="898">
        <v>372.58</v>
      </c>
      <c r="Y40" s="909">
        <v>511.57600000000002</v>
      </c>
      <c r="Z40" s="898">
        <v>558.851</v>
      </c>
      <c r="AA40" s="898">
        <v>617.87199999999996</v>
      </c>
      <c r="AB40" s="898">
        <v>664.65200000000004</v>
      </c>
      <c r="AC40" s="909">
        <v>828.45699999999999</v>
      </c>
      <c r="AD40" s="898">
        <v>901</v>
      </c>
      <c r="AE40" s="898">
        <v>977</v>
      </c>
      <c r="AF40" s="898">
        <v>1035</v>
      </c>
      <c r="AG40" s="909">
        <v>1224</v>
      </c>
      <c r="AH40" s="898">
        <v>1279</v>
      </c>
      <c r="AI40" s="898">
        <v>1364</v>
      </c>
      <c r="AJ40" s="898">
        <v>1444</v>
      </c>
      <c r="AK40" s="909">
        <v>1794</v>
      </c>
      <c r="AL40" s="898">
        <v>1864</v>
      </c>
      <c r="AM40" s="898">
        <v>1523</v>
      </c>
      <c r="AN40" s="898">
        <v>1582</v>
      </c>
      <c r="AO40" s="909">
        <v>1893</v>
      </c>
      <c r="AP40" s="898"/>
      <c r="AQ40" s="898"/>
      <c r="AR40" s="898">
        <v>2032</v>
      </c>
      <c r="AS40" s="909">
        <v>2468</v>
      </c>
      <c r="AT40" s="898">
        <v>2550</v>
      </c>
      <c r="AU40" s="898">
        <v>2667</v>
      </c>
      <c r="AV40" s="898">
        <v>2780</v>
      </c>
      <c r="AW40" s="909">
        <v>3315</v>
      </c>
      <c r="AX40" s="898">
        <v>3449</v>
      </c>
      <c r="AY40" s="898">
        <v>3600</v>
      </c>
      <c r="AZ40" s="898">
        <v>3699</v>
      </c>
      <c r="BA40" s="909">
        <v>4304</v>
      </c>
      <c r="BB40" s="898"/>
      <c r="BC40" s="898">
        <v>4690</v>
      </c>
      <c r="BD40" s="898"/>
      <c r="BE40" s="909">
        <f>DY40</f>
        <v>5507</v>
      </c>
      <c r="BF40" s="898">
        <v>5638</v>
      </c>
      <c r="BG40" s="898">
        <v>3147</v>
      </c>
      <c r="BH40" s="898">
        <v>3320</v>
      </c>
      <c r="BI40" s="909">
        <v>3933</v>
      </c>
      <c r="BJ40" s="898">
        <v>4058</v>
      </c>
      <c r="BK40" s="898">
        <v>4205</v>
      </c>
      <c r="BL40" s="898">
        <v>4202</v>
      </c>
      <c r="BM40" s="909">
        <v>4714</v>
      </c>
      <c r="BN40" s="898">
        <v>4808</v>
      </c>
      <c r="BO40" s="898">
        <v>4908</v>
      </c>
      <c r="BP40" s="898">
        <v>5076</v>
      </c>
      <c r="BQ40" s="909">
        <v>5797</v>
      </c>
      <c r="BR40" s="898">
        <v>5892</v>
      </c>
      <c r="BS40" s="898">
        <v>6000</v>
      </c>
      <c r="BT40" s="898">
        <v>5824</v>
      </c>
      <c r="BU40" s="909">
        <v>6372</v>
      </c>
      <c r="BV40" s="915">
        <v>6045</v>
      </c>
      <c r="BW40" s="915">
        <v>5839</v>
      </c>
      <c r="BX40" s="915">
        <v>5663</v>
      </c>
      <c r="BY40" s="916">
        <v>3621</v>
      </c>
      <c r="BZ40" s="915">
        <v>3520</v>
      </c>
      <c r="CA40" s="915">
        <v>3395</v>
      </c>
      <c r="CB40" s="915">
        <v>3328</v>
      </c>
      <c r="CC40" s="916">
        <v>2861</v>
      </c>
      <c r="CD40" s="917">
        <v>2723</v>
      </c>
      <c r="CE40" s="920">
        <v>2930</v>
      </c>
      <c r="CF40" s="920">
        <v>2926</v>
      </c>
      <c r="CG40" s="909">
        <v>3159</v>
      </c>
      <c r="CH40" s="1386">
        <f>CG40+'Cash Flow'!CH8+'Cash Flow'!CH13+'Cash Flow'!CH14+'Cash Flow'!CH47+'Cash Flow'!CH49+'Cash Flow'!CH45</f>
        <v>3599</v>
      </c>
      <c r="CI40" s="830">
        <v>3649</v>
      </c>
      <c r="CJ40" s="830">
        <f>CI40+'Cash Flow'!CJ8+'Cash Flow'!CJ13+'Cash Flow'!CJ14+'Cash Flow'!CJ47+'Cash Flow'!CJ49+'Cash Flow'!CJ45-42</f>
        <v>3692</v>
      </c>
      <c r="CK40" s="828">
        <f>CJ40+'Cash Flow'!CK8+'Cash Flow'!CK13+'Cash Flow'!CK14+'Cash Flow'!CK47+'Cash Flow'!CK49+'Cash Flow'!CK45</f>
        <v>4199</v>
      </c>
      <c r="CL40" s="1386">
        <f>4806.84083722775+-614.840837227752</f>
        <v>4191.9999999999982</v>
      </c>
      <c r="CM40" s="830">
        <v>4092</v>
      </c>
      <c r="CN40" s="1447">
        <v>4135</v>
      </c>
      <c r="CO40" s="1448">
        <v>4130</v>
      </c>
      <c r="CP40" s="1447">
        <v>4078</v>
      </c>
      <c r="CQ40" s="830">
        <v>3991</v>
      </c>
      <c r="CR40" s="1447">
        <v>3953</v>
      </c>
      <c r="CS40" s="1448">
        <v>4399</v>
      </c>
      <c r="CT40" s="1447">
        <v>4202</v>
      </c>
      <c r="CU40" s="1447">
        <v>3996</v>
      </c>
      <c r="CV40" s="1447">
        <v>3818</v>
      </c>
      <c r="CW40" s="2799">
        <f>4332.19522659898-1054.19522659898</f>
        <v>3278</v>
      </c>
      <c r="CX40" s="1698">
        <f>CW40+'Cash Flow'!CX8+'Cash Flow'!CX13+'Cash Flow'!CX14+'Cash Flow'!CX47+'Cash Flow'!CX49+'Cash Flow'!CX45+26</f>
        <v>3436.0843988766674</v>
      </c>
      <c r="CY40" s="1447">
        <f>CX40+'Cash Flow'!CY8+'Cash Flow'!CY13+'Cash Flow'!CY14+'Cash Flow'!CY47+'Cash Flow'!CY49+'Cash Flow'!CY45</f>
        <v>3577.284532269774</v>
      </c>
      <c r="CZ40" s="1447">
        <f>CY40+'Cash Flow'!CZ8+'Cash Flow'!CZ13+'Cash Flow'!CZ14+'Cash Flow'!CZ47+'Cash Flow'!CZ49+'Cash Flow'!CZ45</f>
        <v>3744.2101284957907</v>
      </c>
      <c r="DA40" s="828">
        <f>CZ40+'Cash Flow'!DA8+'Cash Flow'!DA13+'Cash Flow'!DA14+'Cash Flow'!DA47+'Cash Flow'!DA49+'Cash Flow'!DA45</f>
        <v>4360.896365519633</v>
      </c>
      <c r="DB40" s="917"/>
      <c r="DC40" s="909"/>
      <c r="DD40" s="915">
        <v>0</v>
      </c>
      <c r="DE40" s="915">
        <v>0</v>
      </c>
      <c r="DF40" s="915">
        <v>0</v>
      </c>
      <c r="DG40" s="915">
        <v>0</v>
      </c>
      <c r="DH40" s="915">
        <v>0</v>
      </c>
      <c r="DI40" s="915">
        <v>14.526999999999999</v>
      </c>
      <c r="DJ40" s="915">
        <v>24.128</v>
      </c>
      <c r="DK40" s="915">
        <v>43.982999999999997</v>
      </c>
      <c r="DL40" s="898">
        <f t="shared" si="105"/>
        <v>85.268000000000001</v>
      </c>
      <c r="DM40" s="898">
        <f t="shared" si="106"/>
        <v>142.91900000000001</v>
      </c>
      <c r="DN40" s="898">
        <f t="shared" si="107"/>
        <v>190.93799999999999</v>
      </c>
      <c r="DO40" s="898">
        <f t="shared" si="108"/>
        <v>192.68600000000001</v>
      </c>
      <c r="DP40" s="898">
        <f t="shared" si="109"/>
        <v>287.13900000000001</v>
      </c>
      <c r="DQ40" s="898">
        <f t="shared" si="110"/>
        <v>511.57600000000002</v>
      </c>
      <c r="DR40" s="898">
        <f t="shared" si="111"/>
        <v>828.45699999999999</v>
      </c>
      <c r="DS40" s="898">
        <f t="shared" si="112"/>
        <v>1224</v>
      </c>
      <c r="DT40" s="898">
        <f t="shared" si="113"/>
        <v>1794</v>
      </c>
      <c r="DU40" s="898">
        <f t="shared" si="114"/>
        <v>1893</v>
      </c>
      <c r="DV40" s="898">
        <f t="shared" si="115"/>
        <v>2468</v>
      </c>
      <c r="DW40" s="898">
        <f t="shared" si="116"/>
        <v>3315</v>
      </c>
      <c r="DX40" s="898">
        <f>+BA40</f>
        <v>4304</v>
      </c>
      <c r="DY40" s="898">
        <v>5507</v>
      </c>
      <c r="DZ40" s="898">
        <f>BI40</f>
        <v>3933</v>
      </c>
      <c r="EA40" s="898">
        <f>BM40</f>
        <v>4714</v>
      </c>
      <c r="EB40" s="898">
        <f>BQ40</f>
        <v>5797</v>
      </c>
      <c r="EC40" s="898">
        <f>BU40</f>
        <v>6372</v>
      </c>
      <c r="ED40" s="898">
        <f>BY40</f>
        <v>3621</v>
      </c>
      <c r="EE40" s="915">
        <f>7147-EE41-EE39-EE38-EE34</f>
        <v>6227</v>
      </c>
      <c r="EF40" s="1110">
        <f>4250-EF41-EF39-EF38-EF34</f>
        <v>3505</v>
      </c>
      <c r="EG40" s="910">
        <f>CC40</f>
        <v>2861</v>
      </c>
      <c r="EH40" s="830">
        <f>CG40</f>
        <v>3159</v>
      </c>
      <c r="EI40" s="830">
        <f>CK40</f>
        <v>4199</v>
      </c>
      <c r="EJ40" s="830">
        <f>CO40</f>
        <v>4130</v>
      </c>
      <c r="EK40" s="830">
        <f>CS40</f>
        <v>4399</v>
      </c>
      <c r="EL40" s="830">
        <f>CW40</f>
        <v>3278</v>
      </c>
      <c r="EM40" s="1698">
        <f t="shared" si="117"/>
        <v>4360.896365519633</v>
      </c>
      <c r="EN40" s="830">
        <f>EM40+'Cash Flow'!EN8+'Cash Flow'!EN14+'Cash Flow'!EN13+'Cash Flow'!EN47+'Cash Flow'!EN49</f>
        <v>5431.9808138169365</v>
      </c>
      <c r="EO40" s="830">
        <f>EN40+'Cash Flow'!EO8+'Cash Flow'!EO14+'Cash Flow'!EO13+'Cash Flow'!EO47+'Cash Flow'!EO49</f>
        <v>6515.3674191215459</v>
      </c>
      <c r="EP40" s="830">
        <f>EO40+'Cash Flow'!EP8+'Cash Flow'!EP14+'Cash Flow'!EP13+'Cash Flow'!EP47+'Cash Flow'!EP49</f>
        <v>7555.2730179872042</v>
      </c>
      <c r="EQ40" s="830">
        <f>EP40+'Cash Flow'!EQ8+'Cash Flow'!EQ14+'Cash Flow'!EQ13+'Cash Flow'!EQ47+'Cash Flow'!EQ49</f>
        <v>8562.5191120548498</v>
      </c>
      <c r="ER40" s="830">
        <f>EQ40+'Cash Flow'!ER8+'Cash Flow'!ER14+'Cash Flow'!ER13+'Cash Flow'!ER47+'Cash Flow'!ER49</f>
        <v>9542.3056935818513</v>
      </c>
      <c r="ES40" s="830">
        <f>ER40+'Cash Flow'!ES8+'Cash Flow'!ES14+'Cash Flow'!ES13+'Cash Flow'!ES47+'Cash Flow'!ES49</f>
        <v>10479.028084489244</v>
      </c>
      <c r="ET40" s="830">
        <f>ES40+'Cash Flow'!ET8+'Cash Flow'!ET14+'Cash Flow'!ET13+'Cash Flow'!ET47+'Cash Flow'!ET49</f>
        <v>11367.82771147148</v>
      </c>
      <c r="EU40" s="828">
        <f>ET40+'Cash Flow'!EU8+'Cash Flow'!EU14+'Cash Flow'!EU13+'Cash Flow'!EU47+'Cash Flow'!EU49</f>
        <v>12214.538542147375</v>
      </c>
      <c r="EV40" s="594"/>
      <c r="EW40"/>
      <c r="EX40"/>
      <c r="EY40"/>
      <c r="EZ40"/>
      <c r="FA40"/>
      <c r="FB40"/>
      <c r="FG40" s="830"/>
      <c r="FH40" s="830"/>
      <c r="FI40" s="830"/>
      <c r="FJ40" s="830"/>
      <c r="FK40"/>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row>
    <row r="41" spans="1:260" s="4" customFormat="1" hidden="1" outlineLevel="1" x14ac:dyDescent="0.2">
      <c r="A41" s="602" t="s">
        <v>14</v>
      </c>
      <c r="B41" s="911">
        <v>0</v>
      </c>
      <c r="C41" s="911">
        <v>0</v>
      </c>
      <c r="D41" s="911">
        <v>0</v>
      </c>
      <c r="E41" s="912">
        <v>0</v>
      </c>
      <c r="F41" s="911">
        <v>0</v>
      </c>
      <c r="G41" s="911">
        <v>0</v>
      </c>
      <c r="H41" s="911">
        <v>0</v>
      </c>
      <c r="I41" s="912">
        <v>0</v>
      </c>
      <c r="J41" s="911">
        <v>0</v>
      </c>
      <c r="K41" s="911">
        <v>0</v>
      </c>
      <c r="L41" s="911">
        <v>0</v>
      </c>
      <c r="M41" s="912">
        <v>0</v>
      </c>
      <c r="N41" s="911">
        <f>+M41</f>
        <v>0</v>
      </c>
      <c r="O41" s="911">
        <v>0</v>
      </c>
      <c r="P41" s="911">
        <v>0</v>
      </c>
      <c r="Q41" s="912">
        <v>0</v>
      </c>
      <c r="R41" s="911">
        <v>0</v>
      </c>
      <c r="S41" s="911">
        <v>0</v>
      </c>
      <c r="T41" s="911">
        <v>0</v>
      </c>
      <c r="U41" s="912">
        <v>0</v>
      </c>
      <c r="V41" s="911">
        <v>0</v>
      </c>
      <c r="W41" s="911">
        <v>0</v>
      </c>
      <c r="X41" s="911">
        <v>0</v>
      </c>
      <c r="Y41" s="912">
        <v>0</v>
      </c>
      <c r="Z41" s="911">
        <v>0</v>
      </c>
      <c r="AA41" s="911">
        <v>0</v>
      </c>
      <c r="AB41" s="911">
        <v>0</v>
      </c>
      <c r="AC41" s="912">
        <v>0</v>
      </c>
      <c r="AD41" s="911">
        <v>0</v>
      </c>
      <c r="AE41" s="911">
        <v>0</v>
      </c>
      <c r="AF41" s="911">
        <v>0</v>
      </c>
      <c r="AG41" s="912">
        <v>0</v>
      </c>
      <c r="AH41" s="911">
        <v>0</v>
      </c>
      <c r="AI41" s="911">
        <v>0</v>
      </c>
      <c r="AJ41" s="911">
        <v>0</v>
      </c>
      <c r="AK41" s="912">
        <v>-6</v>
      </c>
      <c r="AL41" s="911">
        <v>11</v>
      </c>
      <c r="AM41" s="911">
        <v>0</v>
      </c>
      <c r="AN41" s="911">
        <v>1</v>
      </c>
      <c r="AO41" s="912">
        <v>27</v>
      </c>
      <c r="AP41" s="911"/>
      <c r="AQ41" s="911"/>
      <c r="AR41" s="911">
        <v>104</v>
      </c>
      <c r="AS41" s="912">
        <v>86</v>
      </c>
      <c r="AT41" s="911">
        <v>70</v>
      </c>
      <c r="AU41" s="911">
        <v>100</v>
      </c>
      <c r="AV41" s="911">
        <v>202</v>
      </c>
      <c r="AW41" s="912">
        <v>149</v>
      </c>
      <c r="AX41" s="911">
        <v>136</v>
      </c>
      <c r="AY41" s="911">
        <v>201</v>
      </c>
      <c r="AZ41" s="911">
        <f>AZ42-SUM(AZ38:AZ40)</f>
        <v>231</v>
      </c>
      <c r="BA41" s="912">
        <v>261</v>
      </c>
      <c r="BB41" s="911">
        <f>BB42-SUM(BB38:BB40)</f>
        <v>5409</v>
      </c>
      <c r="BC41" s="911">
        <v>307</v>
      </c>
      <c r="BD41" s="911">
        <f>BD42-SUM(BD38:BD40)</f>
        <v>5602</v>
      </c>
      <c r="BE41" s="912">
        <f>DY41</f>
        <v>216</v>
      </c>
      <c r="BF41" s="911">
        <v>384</v>
      </c>
      <c r="BG41" s="911">
        <v>392</v>
      </c>
      <c r="BH41" s="911">
        <f>510-200</f>
        <v>310</v>
      </c>
      <c r="BI41" s="912">
        <v>502</v>
      </c>
      <c r="BJ41" s="911">
        <v>463</v>
      </c>
      <c r="BK41" s="911">
        <v>394</v>
      </c>
      <c r="BL41" s="911">
        <v>145</v>
      </c>
      <c r="BM41" s="912">
        <v>-317</v>
      </c>
      <c r="BN41" s="911">
        <v>-154</v>
      </c>
      <c r="BO41" s="911">
        <v>27</v>
      </c>
      <c r="BP41" s="911">
        <v>7</v>
      </c>
      <c r="BQ41" s="912">
        <v>40</v>
      </c>
      <c r="BR41" s="911">
        <v>-40</v>
      </c>
      <c r="BS41" s="911">
        <v>-25</v>
      </c>
      <c r="BT41" s="911">
        <v>138</v>
      </c>
      <c r="BU41" s="912">
        <v>173</v>
      </c>
      <c r="BV41" s="918">
        <v>236</v>
      </c>
      <c r="BW41" s="918">
        <v>211</v>
      </c>
      <c r="BX41" s="918">
        <v>12</v>
      </c>
      <c r="BY41" s="919">
        <v>90</v>
      </c>
      <c r="BZ41" s="918">
        <v>98</v>
      </c>
      <c r="CA41" s="918">
        <v>86</v>
      </c>
      <c r="CB41" s="918">
        <v>105</v>
      </c>
      <c r="CC41" s="919">
        <v>112</v>
      </c>
      <c r="CD41" s="1064">
        <v>82</v>
      </c>
      <c r="CE41" s="918">
        <v>529</v>
      </c>
      <c r="CF41" s="918">
        <v>528</v>
      </c>
      <c r="CG41" s="912">
        <v>492</v>
      </c>
      <c r="CH41" s="1449">
        <f>4424-CH37-CH38-CH39-CH40</f>
        <v>490</v>
      </c>
      <c r="CI41" s="1450">
        <f>494+4</f>
        <v>498</v>
      </c>
      <c r="CJ41" s="1450">
        <f>CI41</f>
        <v>498</v>
      </c>
      <c r="CK41" s="1451">
        <f>CJ41</f>
        <v>498</v>
      </c>
      <c r="CL41" s="1449">
        <v>498</v>
      </c>
      <c r="CM41" s="830">
        <v>298</v>
      </c>
      <c r="CN41" s="1000">
        <v>296</v>
      </c>
      <c r="CO41" s="1451">
        <v>271</v>
      </c>
      <c r="CP41" s="1000">
        <v>316</v>
      </c>
      <c r="CQ41" s="830">
        <v>296</v>
      </c>
      <c r="CR41" s="1000">
        <v>277</v>
      </c>
      <c r="CS41" s="1451">
        <v>279</v>
      </c>
      <c r="CT41" s="1000">
        <v>266</v>
      </c>
      <c r="CU41" s="1000">
        <v>321</v>
      </c>
      <c r="CV41" s="1000">
        <v>304</v>
      </c>
      <c r="CW41" s="2800">
        <v>304</v>
      </c>
      <c r="CX41" s="1701">
        <f t="shared" ref="CX41:DA41" si="119">CW41</f>
        <v>304</v>
      </c>
      <c r="CY41" s="1000">
        <f t="shared" si="119"/>
        <v>304</v>
      </c>
      <c r="CZ41" s="1000">
        <f t="shared" si="119"/>
        <v>304</v>
      </c>
      <c r="DA41" s="1451">
        <f t="shared" si="119"/>
        <v>304</v>
      </c>
      <c r="DB41" s="917"/>
      <c r="DC41" s="909"/>
      <c r="DD41" s="918">
        <v>0</v>
      </c>
      <c r="DE41" s="918">
        <v>0</v>
      </c>
      <c r="DF41" s="918">
        <v>0</v>
      </c>
      <c r="DG41" s="918">
        <v>0</v>
      </c>
      <c r="DH41" s="918">
        <v>0</v>
      </c>
      <c r="DI41" s="910">
        <v>0</v>
      </c>
      <c r="DJ41" s="910">
        <v>0</v>
      </c>
      <c r="DK41" s="910">
        <v>0</v>
      </c>
      <c r="DL41" s="911">
        <f t="shared" si="105"/>
        <v>0</v>
      </c>
      <c r="DM41" s="911">
        <f t="shared" si="106"/>
        <v>0</v>
      </c>
      <c r="DN41" s="911">
        <f t="shared" si="107"/>
        <v>0</v>
      </c>
      <c r="DO41" s="911">
        <f t="shared" si="108"/>
        <v>0</v>
      </c>
      <c r="DP41" s="911">
        <f t="shared" si="109"/>
        <v>0</v>
      </c>
      <c r="DQ41" s="911">
        <f t="shared" si="110"/>
        <v>0</v>
      </c>
      <c r="DR41" s="911">
        <f t="shared" si="111"/>
        <v>0</v>
      </c>
      <c r="DS41" s="911">
        <f t="shared" si="112"/>
        <v>0</v>
      </c>
      <c r="DT41" s="911">
        <f t="shared" si="113"/>
        <v>-6</v>
      </c>
      <c r="DU41" s="911">
        <f t="shared" si="114"/>
        <v>27</v>
      </c>
      <c r="DV41" s="911">
        <f t="shared" si="115"/>
        <v>86</v>
      </c>
      <c r="DW41" s="911">
        <f t="shared" si="116"/>
        <v>149</v>
      </c>
      <c r="DX41" s="911">
        <f>+BA41</f>
        <v>261</v>
      </c>
      <c r="DY41" s="911">
        <f>DY42-DY38-DY39-DY40</f>
        <v>216</v>
      </c>
      <c r="DZ41" s="911">
        <f>BI41</f>
        <v>502</v>
      </c>
      <c r="EA41" s="911">
        <f>BM41</f>
        <v>-317</v>
      </c>
      <c r="EB41" s="911">
        <f>BQ41</f>
        <v>40</v>
      </c>
      <c r="EC41" s="911">
        <f>BU41</f>
        <v>173</v>
      </c>
      <c r="ED41" s="911">
        <f>BY41</f>
        <v>90</v>
      </c>
      <c r="EE41" s="918">
        <f>EC41</f>
        <v>173</v>
      </c>
      <c r="EF41" s="1111">
        <f>ED41</f>
        <v>90</v>
      </c>
      <c r="EG41" s="911">
        <f>CC41</f>
        <v>112</v>
      </c>
      <c r="EH41" s="1450">
        <f>CG41</f>
        <v>492</v>
      </c>
      <c r="EI41" s="1450">
        <f>CK41</f>
        <v>498</v>
      </c>
      <c r="EJ41" s="1450">
        <f>CO41</f>
        <v>271</v>
      </c>
      <c r="EK41" s="1450">
        <f>CS41</f>
        <v>279</v>
      </c>
      <c r="EL41" s="1450">
        <f>CW41</f>
        <v>304</v>
      </c>
      <c r="EM41" s="1701">
        <f t="shared" si="117"/>
        <v>304</v>
      </c>
      <c r="EN41" s="1450">
        <f>EM41</f>
        <v>304</v>
      </c>
      <c r="EO41" s="1450">
        <f t="shared" ref="EO41:EU41" si="120">EN41</f>
        <v>304</v>
      </c>
      <c r="EP41" s="1450">
        <f t="shared" si="120"/>
        <v>304</v>
      </c>
      <c r="EQ41" s="1450">
        <f t="shared" si="120"/>
        <v>304</v>
      </c>
      <c r="ER41" s="1450">
        <f t="shared" si="120"/>
        <v>304</v>
      </c>
      <c r="ES41" s="1450">
        <f t="shared" si="120"/>
        <v>304</v>
      </c>
      <c r="ET41" s="1450">
        <f t="shared" si="120"/>
        <v>304</v>
      </c>
      <c r="EU41" s="1451">
        <f t="shared" si="120"/>
        <v>304</v>
      </c>
      <c r="EV41" s="594"/>
      <c r="EW41"/>
      <c r="EX41"/>
      <c r="EY41"/>
      <c r="EZ41"/>
      <c r="FA41"/>
      <c r="FB41"/>
      <c r="FG41" s="830"/>
      <c r="FH41" s="830"/>
      <c r="FI41" s="830"/>
      <c r="FJ41" s="830"/>
      <c r="FK41"/>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row>
    <row r="42" spans="1:260" s="4" customFormat="1" collapsed="1" x14ac:dyDescent="0.2">
      <c r="A42" s="340" t="s">
        <v>629</v>
      </c>
      <c r="B42" s="922">
        <f t="shared" ref="B42:AO42" si="121">+B37+B38+B39+B40+B41</f>
        <v>265.97699999999998</v>
      </c>
      <c r="C42" s="922">
        <f t="shared" si="121"/>
        <v>277.48199999999997</v>
      </c>
      <c r="D42" s="922">
        <f t="shared" si="121"/>
        <v>289.62400000000002</v>
      </c>
      <c r="E42" s="923">
        <f t="shared" si="121"/>
        <v>311.44399999999996</v>
      </c>
      <c r="F42" s="922">
        <f t="shared" si="121"/>
        <v>317.60899999999998</v>
      </c>
      <c r="G42" s="922">
        <f t="shared" si="121"/>
        <v>327.64600000000002</v>
      </c>
      <c r="H42" s="922">
        <f t="shared" si="121"/>
        <v>347.22500000000002</v>
      </c>
      <c r="I42" s="923">
        <f t="shared" si="121"/>
        <v>376.12200000000001</v>
      </c>
      <c r="J42" s="922">
        <f t="shared" si="121"/>
        <v>385.40300000000002</v>
      </c>
      <c r="K42" s="922">
        <f t="shared" si="121"/>
        <v>392.322</v>
      </c>
      <c r="L42" s="922">
        <f t="shared" si="121"/>
        <v>410.66199999999998</v>
      </c>
      <c r="M42" s="923">
        <f t="shared" si="121"/>
        <v>431.61399999999998</v>
      </c>
      <c r="N42" s="922">
        <f t="shared" si="121"/>
        <v>434.82900000000001</v>
      </c>
      <c r="O42" s="922">
        <f t="shared" si="121"/>
        <v>439.93099999999998</v>
      </c>
      <c r="P42" s="922">
        <f t="shared" si="121"/>
        <v>429.685</v>
      </c>
      <c r="Q42" s="923">
        <f t="shared" si="121"/>
        <v>438.31500000000005</v>
      </c>
      <c r="R42" s="922">
        <f t="shared" si="121"/>
        <v>440.089</v>
      </c>
      <c r="S42" s="922">
        <f t="shared" si="121"/>
        <v>446.84100000000001</v>
      </c>
      <c r="T42" s="922">
        <f t="shared" si="121"/>
        <v>474.82399999999996</v>
      </c>
      <c r="U42" s="923">
        <f t="shared" si="121"/>
        <v>557.74600000000009</v>
      </c>
      <c r="V42" s="922">
        <f t="shared" si="121"/>
        <v>810.72299999999996</v>
      </c>
      <c r="W42" s="922">
        <f t="shared" si="121"/>
        <v>865.40500000000009</v>
      </c>
      <c r="X42" s="922">
        <f t="shared" si="121"/>
        <v>892.81299999999987</v>
      </c>
      <c r="Y42" s="923">
        <f t="shared" si="121"/>
        <v>1064.134</v>
      </c>
      <c r="Z42" s="922">
        <f t="shared" si="121"/>
        <v>1089.115</v>
      </c>
      <c r="AA42" s="922">
        <f t="shared" si="121"/>
        <v>1166.116</v>
      </c>
      <c r="AB42" s="922">
        <f t="shared" si="121"/>
        <v>1158.3890000000001</v>
      </c>
      <c r="AC42" s="923">
        <f t="shared" si="121"/>
        <v>1095.9850000000001</v>
      </c>
      <c r="AD42" s="922">
        <f t="shared" si="121"/>
        <v>1457</v>
      </c>
      <c r="AE42" s="922">
        <f t="shared" si="121"/>
        <v>1564</v>
      </c>
      <c r="AF42" s="922">
        <f t="shared" si="121"/>
        <v>1626</v>
      </c>
      <c r="AG42" s="923">
        <f t="shared" si="121"/>
        <v>1822</v>
      </c>
      <c r="AH42" s="922">
        <f t="shared" si="121"/>
        <v>1927</v>
      </c>
      <c r="AI42" s="922">
        <f t="shared" si="121"/>
        <v>2039</v>
      </c>
      <c r="AJ42" s="922">
        <f t="shared" si="121"/>
        <v>2143</v>
      </c>
      <c r="AK42" s="923">
        <f t="shared" si="121"/>
        <v>2521</v>
      </c>
      <c r="AL42" s="922">
        <f t="shared" si="121"/>
        <v>2673</v>
      </c>
      <c r="AM42" s="922">
        <f t="shared" si="121"/>
        <v>2326</v>
      </c>
      <c r="AN42" s="922">
        <f t="shared" si="121"/>
        <v>2389</v>
      </c>
      <c r="AO42" s="923">
        <f t="shared" si="121"/>
        <v>2730</v>
      </c>
      <c r="AP42" s="922">
        <v>2763</v>
      </c>
      <c r="AQ42" s="922">
        <v>2934</v>
      </c>
      <c r="AR42" s="922">
        <f>+AR37+AR38+AR39+AR40+AR41</f>
        <v>3017</v>
      </c>
      <c r="AS42" s="923">
        <f>+AS37+AS38+AS39+AS40+AS41</f>
        <v>3422</v>
      </c>
      <c r="AT42" s="922">
        <v>3484</v>
      </c>
      <c r="AU42" s="922">
        <f>SUM(AU37:AU41)</f>
        <v>3601</v>
      </c>
      <c r="AV42" s="922">
        <f>SUM(AV37:AV41)</f>
        <v>3960</v>
      </c>
      <c r="AW42" s="923">
        <f>SUM(AW37:AW41)</f>
        <v>4449</v>
      </c>
      <c r="AX42" s="922">
        <f>SUM(AX37:AX41)</f>
        <v>4431</v>
      </c>
      <c r="AY42" s="922">
        <f>SUM(AY37:AY41)</f>
        <v>4823</v>
      </c>
      <c r="AZ42" s="922">
        <v>4856</v>
      </c>
      <c r="BA42" s="923">
        <f>SUM(BA37:BA41)</f>
        <v>5257</v>
      </c>
      <c r="BB42" s="922">
        <v>5409</v>
      </c>
      <c r="BC42" s="922">
        <v>5434</v>
      </c>
      <c r="BD42" s="922">
        <v>5602</v>
      </c>
      <c r="BE42" s="923">
        <v>6201</v>
      </c>
      <c r="BF42" s="922">
        <f>SUM(BF38:BF41)</f>
        <v>6170</v>
      </c>
      <c r="BG42" s="922">
        <f>SUM(BG38:BG41)</f>
        <v>3381</v>
      </c>
      <c r="BH42" s="922">
        <v>3746</v>
      </c>
      <c r="BI42" s="923">
        <f t="shared" ref="BI42:BV42" si="122">SUM(BI38:BI41)</f>
        <v>4484</v>
      </c>
      <c r="BJ42" s="922">
        <f t="shared" si="122"/>
        <v>4634</v>
      </c>
      <c r="BK42" s="922">
        <f t="shared" si="122"/>
        <v>4752</v>
      </c>
      <c r="BL42" s="922">
        <f t="shared" si="122"/>
        <v>4560</v>
      </c>
      <c r="BM42" s="923">
        <f t="shared" si="122"/>
        <v>4643</v>
      </c>
      <c r="BN42" s="922">
        <f t="shared" si="122"/>
        <v>4990</v>
      </c>
      <c r="BO42" s="922">
        <f t="shared" si="122"/>
        <v>5306</v>
      </c>
      <c r="BP42" s="922">
        <f t="shared" si="122"/>
        <v>5529</v>
      </c>
      <c r="BQ42" s="923">
        <f t="shared" si="122"/>
        <v>6320</v>
      </c>
      <c r="BR42" s="922">
        <f t="shared" si="122"/>
        <v>6368</v>
      </c>
      <c r="BS42" s="922">
        <f t="shared" si="122"/>
        <v>6015</v>
      </c>
      <c r="BT42" s="922">
        <f t="shared" si="122"/>
        <v>6001</v>
      </c>
      <c r="BU42" s="923">
        <f t="shared" si="122"/>
        <v>6602</v>
      </c>
      <c r="BV42" s="922">
        <f t="shared" si="122"/>
        <v>6319</v>
      </c>
      <c r="BW42" s="922">
        <f t="shared" ref="BW42:CD42" si="123">SUM(BW37:BW41)</f>
        <v>6087</v>
      </c>
      <c r="BX42" s="922">
        <f t="shared" si="123"/>
        <v>5710</v>
      </c>
      <c r="BY42" s="923">
        <f t="shared" si="123"/>
        <v>3745</v>
      </c>
      <c r="BZ42" s="922">
        <f t="shared" si="123"/>
        <v>3672</v>
      </c>
      <c r="CA42" s="922">
        <f t="shared" si="123"/>
        <v>3515</v>
      </c>
      <c r="CB42" s="922">
        <f t="shared" si="123"/>
        <v>3507</v>
      </c>
      <c r="CC42" s="923">
        <f t="shared" si="123"/>
        <v>3061</v>
      </c>
      <c r="CD42" s="1089">
        <f t="shared" si="123"/>
        <v>2916</v>
      </c>
      <c r="CE42" s="921">
        <f>3605-CE34</f>
        <v>3602</v>
      </c>
      <c r="CF42" s="921">
        <f t="shared" ref="CF42:CN42" si="124">SUM(CF37:CF41)</f>
        <v>3742</v>
      </c>
      <c r="CG42" s="924">
        <f t="shared" si="124"/>
        <v>3986</v>
      </c>
      <c r="CH42" s="1401">
        <f t="shared" si="124"/>
        <v>4424</v>
      </c>
      <c r="CI42" s="1402">
        <f t="shared" si="124"/>
        <v>4530</v>
      </c>
      <c r="CJ42" s="1402">
        <f t="shared" si="124"/>
        <v>4573</v>
      </c>
      <c r="CK42" s="1403">
        <f t="shared" si="124"/>
        <v>5000</v>
      </c>
      <c r="CL42" s="1401">
        <f t="shared" si="124"/>
        <v>4867.9999999999982</v>
      </c>
      <c r="CM42" s="1402">
        <f>SUM(CM37:CM41)</f>
        <v>4622</v>
      </c>
      <c r="CN42" s="1402">
        <f t="shared" si="124"/>
        <v>4650</v>
      </c>
      <c r="CO42" s="1403">
        <f t="shared" ref="CO42:CW42" si="125">SUM(CO37:CO41)</f>
        <v>4378</v>
      </c>
      <c r="CP42" s="1402">
        <f t="shared" si="125"/>
        <v>4426</v>
      </c>
      <c r="CQ42" s="1402">
        <f t="shared" si="125"/>
        <v>4319</v>
      </c>
      <c r="CR42" s="1402">
        <f t="shared" si="125"/>
        <v>4261</v>
      </c>
      <c r="CS42" s="1403">
        <f t="shared" si="125"/>
        <v>4709</v>
      </c>
      <c r="CT42" s="1402">
        <f t="shared" si="125"/>
        <v>4499</v>
      </c>
      <c r="CU42" s="1402">
        <f t="shared" ref="CU42:CV42" si="126">SUM(CU37:CU41)</f>
        <v>4347</v>
      </c>
      <c r="CV42" s="1402">
        <f t="shared" si="126"/>
        <v>4152</v>
      </c>
      <c r="CW42" s="1403">
        <f t="shared" si="125"/>
        <v>3612</v>
      </c>
      <c r="CX42" s="1699">
        <f t="shared" ref="CX42:CY42" si="127">SUM(CX37:CX41)</f>
        <v>3120.0843988766674</v>
      </c>
      <c r="CY42" s="1402">
        <f t="shared" si="127"/>
        <v>3011.284532269774</v>
      </c>
      <c r="CZ42" s="1402">
        <f t="shared" ref="CZ42:DA42" si="128">SUM(CZ37:CZ41)</f>
        <v>2928.2101284957907</v>
      </c>
      <c r="DA42" s="1403">
        <f t="shared" si="128"/>
        <v>3194.896365519633</v>
      </c>
      <c r="DB42" s="1404"/>
      <c r="DC42" s="1405"/>
      <c r="DD42" s="1402">
        <v>14.374000000000001</v>
      </c>
      <c r="DE42" s="1402">
        <v>55.747</v>
      </c>
      <c r="DF42" s="1402">
        <v>58.166989999999998</v>
      </c>
      <c r="DG42" s="1402">
        <v>60.399000000000001</v>
      </c>
      <c r="DH42" s="1402">
        <v>66.149000000000001</v>
      </c>
      <c r="DI42" s="1402">
        <f>+DI37+DI38+DI39+DI40+DI41</f>
        <v>56.741</v>
      </c>
      <c r="DJ42" s="1402">
        <f>+DJ37+DJ38+DJ39+DJ40+DJ41</f>
        <v>157.56800000000004</v>
      </c>
      <c r="DK42" s="1402">
        <f>+DK37+DK38+DK39+DK40+DK41</f>
        <v>182.28300000000002</v>
      </c>
      <c r="DL42" s="1406">
        <f t="shared" si="105"/>
        <v>311.44399999999996</v>
      </c>
      <c r="DM42" s="1406">
        <f t="shared" si="106"/>
        <v>376.12200000000001</v>
      </c>
      <c r="DN42" s="1406">
        <f t="shared" si="107"/>
        <v>431.61399999999998</v>
      </c>
      <c r="DO42" s="1406">
        <f t="shared" si="108"/>
        <v>438.31500000000005</v>
      </c>
      <c r="DP42" s="1406">
        <f t="shared" si="109"/>
        <v>557.74600000000009</v>
      </c>
      <c r="DQ42" s="1406">
        <f t="shared" si="110"/>
        <v>1064.134</v>
      </c>
      <c r="DR42" s="1406">
        <f t="shared" si="111"/>
        <v>1095.9850000000001</v>
      </c>
      <c r="DS42" s="1406">
        <f t="shared" si="112"/>
        <v>1822</v>
      </c>
      <c r="DT42" s="1406">
        <f t="shared" si="113"/>
        <v>2521</v>
      </c>
      <c r="DU42" s="1406">
        <f t="shared" si="114"/>
        <v>2730</v>
      </c>
      <c r="DV42" s="1406">
        <f t="shared" si="115"/>
        <v>3422</v>
      </c>
      <c r="DW42" s="1406">
        <f t="shared" si="116"/>
        <v>4449</v>
      </c>
      <c r="DX42" s="1406">
        <f>+BA42</f>
        <v>5257</v>
      </c>
      <c r="DY42" s="1406">
        <v>6201</v>
      </c>
      <c r="DZ42" s="1406">
        <f>SUM(DZ38:DZ41)</f>
        <v>4484</v>
      </c>
      <c r="EA42" s="1406">
        <f>+EA37+EA38+EA39+EA40+EA41</f>
        <v>4643</v>
      </c>
      <c r="EB42" s="1406">
        <f>+EB37+EB38+EB39+EB40+EB41</f>
        <v>6320</v>
      </c>
      <c r="EC42" s="1406">
        <f>+EC37+EC38+EC39+EC40+EC41</f>
        <v>6602</v>
      </c>
      <c r="ED42" s="1406">
        <f t="shared" ref="ED42:EI42" si="129">SUM(ED37:ED41)</f>
        <v>3745</v>
      </c>
      <c r="EE42" s="1406">
        <f t="shared" si="129"/>
        <v>6457</v>
      </c>
      <c r="EF42" s="1407">
        <f t="shared" si="129"/>
        <v>3629</v>
      </c>
      <c r="EG42" s="1406">
        <f t="shared" si="129"/>
        <v>3061</v>
      </c>
      <c r="EH42" s="1406">
        <f t="shared" si="129"/>
        <v>3986</v>
      </c>
      <c r="EI42" s="1406">
        <f t="shared" si="129"/>
        <v>5000</v>
      </c>
      <c r="EJ42" s="1406">
        <f t="shared" ref="EJ42:EP42" si="130">SUM(EJ37:EJ41)</f>
        <v>4378</v>
      </c>
      <c r="EK42" s="1402">
        <f t="shared" si="130"/>
        <v>4709</v>
      </c>
      <c r="EL42" s="1402">
        <f>SUM(EL37:EL41)</f>
        <v>3612</v>
      </c>
      <c r="EM42" s="1699">
        <f>SUM(EM37:EM41)</f>
        <v>3194.896365519633</v>
      </c>
      <c r="EN42" s="1406">
        <f t="shared" si="130"/>
        <v>2765.9808138169365</v>
      </c>
      <c r="EO42" s="1406">
        <f t="shared" si="130"/>
        <v>2349.3674191215459</v>
      </c>
      <c r="EP42" s="1406">
        <f t="shared" si="130"/>
        <v>2189.2730179872042</v>
      </c>
      <c r="EQ42" s="1406">
        <f>SUM(EQ37:EQ41)</f>
        <v>1996.5191120548498</v>
      </c>
      <c r="ER42" s="1406">
        <f>SUM(ER37:ER41)</f>
        <v>1776.3056935818513</v>
      </c>
      <c r="ES42" s="1406">
        <f>SUM(ES37:ES41)</f>
        <v>1513.0280844892441</v>
      </c>
      <c r="ET42" s="1406">
        <f>SUM(ET37:ET41)</f>
        <v>1201.8277114714801</v>
      </c>
      <c r="EU42" s="1613">
        <f>SUM(EU37:EU41)</f>
        <v>848.53854214737476</v>
      </c>
      <c r="EV42" s="1091"/>
      <c r="EW42"/>
      <c r="EX42"/>
      <c r="EY42"/>
      <c r="EZ42"/>
      <c r="FA42"/>
      <c r="FB42"/>
      <c r="FG42"/>
      <c r="FH42" s="1658"/>
      <c r="FI42" s="1658"/>
      <c r="FJ42" s="1658"/>
      <c r="FK42"/>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row>
    <row r="43" spans="1:260" s="4" customFormat="1" x14ac:dyDescent="0.2">
      <c r="A43" s="35"/>
      <c r="B43" s="240"/>
      <c r="C43" s="240"/>
      <c r="D43" s="240"/>
      <c r="E43" s="608"/>
      <c r="F43" s="240"/>
      <c r="G43" s="240"/>
      <c r="H43" s="240"/>
      <c r="I43" s="608"/>
      <c r="J43" s="240"/>
      <c r="K43" s="240"/>
      <c r="L43" s="240"/>
      <c r="M43" s="608"/>
      <c r="N43" s="240"/>
      <c r="O43" s="240"/>
      <c r="P43" s="240"/>
      <c r="Q43" s="608"/>
      <c r="R43" s="240"/>
      <c r="S43" s="240"/>
      <c r="T43" s="240"/>
      <c r="U43" s="608"/>
      <c r="V43" s="240"/>
      <c r="W43" s="240"/>
      <c r="X43" s="240"/>
      <c r="Y43" s="608"/>
      <c r="Z43" s="240"/>
      <c r="AA43" s="240"/>
      <c r="AB43" s="240"/>
      <c r="AC43" s="608"/>
      <c r="AD43" s="240"/>
      <c r="AE43" s="240"/>
      <c r="AF43" s="240"/>
      <c r="AG43" s="608"/>
      <c r="AH43" s="240"/>
      <c r="AI43" s="240"/>
      <c r="AJ43" s="240"/>
      <c r="AK43" s="608"/>
      <c r="AL43" s="240"/>
      <c r="AM43" s="240"/>
      <c r="AN43" s="240"/>
      <c r="AO43" s="608"/>
      <c r="AP43" s="240"/>
      <c r="AQ43" s="240"/>
      <c r="AR43" s="240"/>
      <c r="AS43" s="608"/>
      <c r="AT43" s="240"/>
      <c r="AU43" s="240"/>
      <c r="AV43" s="240"/>
      <c r="AW43" s="608"/>
      <c r="AX43" s="240"/>
      <c r="AY43" s="240"/>
      <c r="AZ43" s="240"/>
      <c r="BA43" s="608"/>
      <c r="BB43" s="240"/>
      <c r="BC43" s="240"/>
      <c r="BD43" s="240"/>
      <c r="BE43" s="608"/>
      <c r="BF43" s="240"/>
      <c r="BG43" s="240"/>
      <c r="BH43" s="240"/>
      <c r="BI43" s="608"/>
      <c r="BJ43" s="240"/>
      <c r="BK43" s="240"/>
      <c r="BL43" s="240"/>
      <c r="BM43" s="608"/>
      <c r="BN43" s="240"/>
      <c r="BO43" s="240"/>
      <c r="BP43" s="240"/>
      <c r="BQ43" s="608"/>
      <c r="BR43" s="240"/>
      <c r="BS43" s="240"/>
      <c r="BT43" s="240"/>
      <c r="BU43" s="608"/>
      <c r="BV43" s="128"/>
      <c r="BW43" s="128"/>
      <c r="BX43" s="128"/>
      <c r="BY43" s="644"/>
      <c r="BZ43" s="128"/>
      <c r="CA43" s="128"/>
      <c r="CB43" s="128"/>
      <c r="CC43" s="644"/>
      <c r="CD43" s="1092"/>
      <c r="CE43" s="366"/>
      <c r="CF43" s="366"/>
      <c r="CG43" s="653"/>
      <c r="CH43" s="1408"/>
      <c r="CI43" s="1409"/>
      <c r="CJ43" s="1409"/>
      <c r="CK43" s="1410"/>
      <c r="CL43" s="1408"/>
      <c r="CM43" s="1409"/>
      <c r="CN43" s="1409"/>
      <c r="CO43" s="1410"/>
      <c r="CP43" s="1409"/>
      <c r="CQ43" s="1409"/>
      <c r="CR43" s="1409"/>
      <c r="CS43" s="1410"/>
      <c r="CT43" s="1409"/>
      <c r="CU43" s="1409"/>
      <c r="CV43" s="1409"/>
      <c r="CW43" s="1410"/>
      <c r="CX43" s="1714"/>
      <c r="CY43" s="1409"/>
      <c r="CZ43" s="1409"/>
      <c r="DA43" s="1410"/>
      <c r="DB43" s="1411"/>
      <c r="DC43" s="1412"/>
      <c r="DD43" s="1413"/>
      <c r="DE43" s="1413"/>
      <c r="DF43" s="1413"/>
      <c r="DG43" s="1413"/>
      <c r="DH43" s="1413"/>
      <c r="DI43" s="1413"/>
      <c r="DJ43" s="1413"/>
      <c r="DK43" s="1413"/>
      <c r="DL43" s="1409"/>
      <c r="DM43" s="1409"/>
      <c r="DN43" s="1409"/>
      <c r="DO43" s="1409"/>
      <c r="DP43" s="1409"/>
      <c r="DQ43" s="1409"/>
      <c r="DR43" s="1409"/>
      <c r="DS43" s="1409"/>
      <c r="DT43" s="1409"/>
      <c r="DU43" s="1409"/>
      <c r="DV43" s="1409"/>
      <c r="DW43" s="1409"/>
      <c r="DX43" s="1409"/>
      <c r="DY43" s="1409"/>
      <c r="DZ43" s="1409"/>
      <c r="EA43" s="1409"/>
      <c r="EB43" s="1409"/>
      <c r="EC43" s="1409"/>
      <c r="ED43" s="1409"/>
      <c r="EE43" s="1413"/>
      <c r="EF43" s="1414"/>
      <c r="EG43" s="1409"/>
      <c r="EH43" s="1409"/>
      <c r="EI43" s="1409"/>
      <c r="EJ43" s="1409"/>
      <c r="EK43" s="1409"/>
      <c r="EL43" s="1409"/>
      <c r="EM43" s="1714"/>
      <c r="EN43" s="1409"/>
      <c r="EO43" s="1409"/>
      <c r="EP43" s="1409"/>
      <c r="EQ43" s="1409"/>
      <c r="ER43" s="1409"/>
      <c r="ES43" s="1409"/>
      <c r="ET43" s="1409"/>
      <c r="EU43" s="1410"/>
      <c r="EV43" s="594"/>
      <c r="EW43"/>
      <c r="EX43"/>
      <c r="EY43"/>
      <c r="EZ43"/>
      <c r="FA43"/>
      <c r="FB43"/>
      <c r="FG43"/>
      <c r="FH43" s="2652"/>
      <c r="FI43" s="2652"/>
      <c r="FJ43" s="2652"/>
      <c r="FK43"/>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row>
    <row r="44" spans="1:260" s="19" customFormat="1" x14ac:dyDescent="0.2">
      <c r="A44" s="116" t="s">
        <v>312</v>
      </c>
      <c r="B44" s="922">
        <f t="shared" ref="B44:AG44" si="131">+B35+B42</f>
        <v>570.51700000000005</v>
      </c>
      <c r="C44" s="922">
        <f t="shared" si="131"/>
        <v>672.64699999999993</v>
      </c>
      <c r="D44" s="922">
        <f t="shared" si="131"/>
        <v>1170.337</v>
      </c>
      <c r="E44" s="923">
        <f t="shared" si="131"/>
        <v>952.49399999999991</v>
      </c>
      <c r="F44" s="922">
        <f t="shared" si="131"/>
        <v>1004.73</v>
      </c>
      <c r="G44" s="922">
        <f t="shared" si="131"/>
        <v>1270.905</v>
      </c>
      <c r="H44" s="922">
        <f t="shared" si="131"/>
        <v>2008.6059999999998</v>
      </c>
      <c r="I44" s="923">
        <f t="shared" si="131"/>
        <v>1507.1249999999998</v>
      </c>
      <c r="J44" s="922">
        <f t="shared" si="131"/>
        <v>1558.0420000000001</v>
      </c>
      <c r="K44" s="922">
        <f t="shared" si="131"/>
        <v>1901.4820000000004</v>
      </c>
      <c r="L44" s="922">
        <f t="shared" si="131"/>
        <v>2758.2149999999997</v>
      </c>
      <c r="M44" s="923">
        <f t="shared" si="131"/>
        <v>1890.8320000000001</v>
      </c>
      <c r="N44" s="922">
        <f t="shared" si="131"/>
        <v>1978.5690000000002</v>
      </c>
      <c r="O44" s="922">
        <f t="shared" si="131"/>
        <v>2064.4039999999995</v>
      </c>
      <c r="P44" s="922">
        <f t="shared" si="131"/>
        <v>2576.047</v>
      </c>
      <c r="Q44" s="923">
        <f t="shared" si="131"/>
        <v>1734.3069999999998</v>
      </c>
      <c r="R44" s="922">
        <f t="shared" si="131"/>
        <v>1720.681</v>
      </c>
      <c r="S44" s="922">
        <f t="shared" si="131"/>
        <v>1820.3679999999999</v>
      </c>
      <c r="T44" s="922">
        <f t="shared" si="131"/>
        <v>2389.739</v>
      </c>
      <c r="U44" s="923">
        <f t="shared" si="131"/>
        <v>2056.3460000000005</v>
      </c>
      <c r="V44" s="922">
        <f t="shared" si="131"/>
        <v>1967.2949999999998</v>
      </c>
      <c r="W44" s="922">
        <f t="shared" si="131"/>
        <v>2208.933</v>
      </c>
      <c r="X44" s="922">
        <f t="shared" si="131"/>
        <v>2875.5169999999998</v>
      </c>
      <c r="Y44" s="923">
        <f t="shared" si="131"/>
        <v>2512.4929999999999</v>
      </c>
      <c r="Z44" s="922">
        <f t="shared" si="131"/>
        <v>2343.84</v>
      </c>
      <c r="AA44" s="922">
        <f t="shared" si="131"/>
        <v>2608.174</v>
      </c>
      <c r="AB44" s="922">
        <f t="shared" si="131"/>
        <v>3772.0529999999994</v>
      </c>
      <c r="AC44" s="923">
        <f t="shared" si="131"/>
        <v>2995.3420000000001</v>
      </c>
      <c r="AD44" s="922">
        <f t="shared" si="131"/>
        <v>3261</v>
      </c>
      <c r="AE44" s="922">
        <f t="shared" si="131"/>
        <v>3644</v>
      </c>
      <c r="AF44" s="922">
        <f t="shared" si="131"/>
        <v>4782</v>
      </c>
      <c r="AG44" s="923">
        <f t="shared" si="131"/>
        <v>4840</v>
      </c>
      <c r="AH44" s="922">
        <f t="shared" ref="AH44:BM44" si="132">+AH35+AH42</f>
        <v>4809</v>
      </c>
      <c r="AI44" s="922">
        <f t="shared" si="132"/>
        <v>5521</v>
      </c>
      <c r="AJ44" s="922">
        <f t="shared" si="132"/>
        <v>7470</v>
      </c>
      <c r="AK44" s="923">
        <f t="shared" si="132"/>
        <v>7367</v>
      </c>
      <c r="AL44" s="922">
        <f t="shared" si="132"/>
        <v>7255</v>
      </c>
      <c r="AM44" s="922">
        <f t="shared" si="132"/>
        <v>6804</v>
      </c>
      <c r="AN44" s="922">
        <f t="shared" si="132"/>
        <v>8738</v>
      </c>
      <c r="AO44" s="923">
        <f t="shared" si="132"/>
        <v>7694</v>
      </c>
      <c r="AP44" s="922">
        <f t="shared" si="132"/>
        <v>7152</v>
      </c>
      <c r="AQ44" s="922">
        <f t="shared" si="132"/>
        <v>7730</v>
      </c>
      <c r="AR44" s="922">
        <f t="shared" si="132"/>
        <v>9986</v>
      </c>
      <c r="AS44" s="923">
        <f t="shared" si="132"/>
        <v>8652</v>
      </c>
      <c r="AT44" s="922">
        <f t="shared" si="132"/>
        <v>8550</v>
      </c>
      <c r="AU44" s="922">
        <f t="shared" si="132"/>
        <v>8644</v>
      </c>
      <c r="AV44" s="922">
        <f t="shared" si="132"/>
        <v>11622</v>
      </c>
      <c r="AW44" s="923">
        <f t="shared" si="132"/>
        <v>10294</v>
      </c>
      <c r="AX44" s="922">
        <f t="shared" si="132"/>
        <v>9899</v>
      </c>
      <c r="AY44" s="922">
        <f t="shared" si="132"/>
        <v>10259</v>
      </c>
      <c r="AZ44" s="922">
        <f t="shared" si="132"/>
        <v>13242</v>
      </c>
      <c r="BA44" s="923">
        <f t="shared" si="132"/>
        <v>11864</v>
      </c>
      <c r="BB44" s="922">
        <f t="shared" si="132"/>
        <v>11269</v>
      </c>
      <c r="BC44" s="922">
        <f t="shared" si="132"/>
        <v>12407</v>
      </c>
      <c r="BD44" s="922">
        <f t="shared" si="132"/>
        <v>15386</v>
      </c>
      <c r="BE44" s="923">
        <f t="shared" si="132"/>
        <v>13570</v>
      </c>
      <c r="BF44" s="922">
        <f t="shared" si="132"/>
        <v>13142</v>
      </c>
      <c r="BG44" s="922">
        <f t="shared" si="132"/>
        <v>12237</v>
      </c>
      <c r="BH44" s="922">
        <f t="shared" si="132"/>
        <v>15474</v>
      </c>
      <c r="BI44" s="923">
        <f t="shared" si="132"/>
        <v>12758</v>
      </c>
      <c r="BJ44" s="922">
        <f t="shared" si="132"/>
        <v>13231</v>
      </c>
      <c r="BK44" s="922">
        <f t="shared" si="132"/>
        <v>17522</v>
      </c>
      <c r="BL44" s="922">
        <f t="shared" si="132"/>
        <v>20647</v>
      </c>
      <c r="BM44" s="923">
        <f t="shared" si="132"/>
        <v>15826</v>
      </c>
      <c r="BN44" s="922">
        <f t="shared" ref="BN44:BU44" si="133">+BN35+BN42</f>
        <v>16214</v>
      </c>
      <c r="BO44" s="922">
        <f t="shared" si="133"/>
        <v>17191</v>
      </c>
      <c r="BP44" s="922">
        <f t="shared" si="133"/>
        <v>21100</v>
      </c>
      <c r="BQ44" s="923">
        <f t="shared" si="133"/>
        <v>18302</v>
      </c>
      <c r="BR44" s="922">
        <f t="shared" si="133"/>
        <v>17956</v>
      </c>
      <c r="BS44" s="922">
        <f t="shared" si="133"/>
        <v>17362</v>
      </c>
      <c r="BT44" s="922">
        <f t="shared" si="133"/>
        <v>22352</v>
      </c>
      <c r="BU44" s="923">
        <f t="shared" si="133"/>
        <v>17849</v>
      </c>
      <c r="BV44" s="922">
        <f>BV42+BV35</f>
        <v>18673</v>
      </c>
      <c r="BW44" s="922">
        <f>BW42+BW35</f>
        <v>18829</v>
      </c>
      <c r="BX44" s="922">
        <f>BX42+BX35</f>
        <v>22748</v>
      </c>
      <c r="BY44" s="923">
        <f>BY42+BY35</f>
        <v>16005</v>
      </c>
      <c r="BZ44" s="922">
        <f>BZ42+BZ35</f>
        <v>16011</v>
      </c>
      <c r="CA44" s="922">
        <f>+CA35+CA42</f>
        <v>15849</v>
      </c>
      <c r="CB44" s="922">
        <f>+CB35+CB42</f>
        <v>17556</v>
      </c>
      <c r="CC44" s="923">
        <f>+CC35+CC42</f>
        <v>16787</v>
      </c>
      <c r="CD44" s="1089">
        <f>CD42+CD35</f>
        <v>14331</v>
      </c>
      <c r="CE44" s="921">
        <f t="shared" ref="CE44:CJ44" si="134">+CE35+CE42</f>
        <v>13284</v>
      </c>
      <c r="CF44" s="921">
        <f t="shared" si="134"/>
        <v>15068</v>
      </c>
      <c r="CG44" s="924">
        <f t="shared" si="134"/>
        <v>14013</v>
      </c>
      <c r="CH44" s="1401">
        <f t="shared" si="134"/>
        <v>13911</v>
      </c>
      <c r="CI44" s="1402">
        <f t="shared" si="134"/>
        <v>14349</v>
      </c>
      <c r="CJ44" s="1402">
        <f t="shared" si="134"/>
        <v>15762</v>
      </c>
      <c r="CK44" s="1403">
        <f t="shared" ref="CK44:CS44" si="135">+CK35+CK42</f>
        <v>15256</v>
      </c>
      <c r="CL44" s="1401">
        <f t="shared" si="135"/>
        <v>13718.999999999998</v>
      </c>
      <c r="CM44" s="1402">
        <f t="shared" si="135"/>
        <v>13566</v>
      </c>
      <c r="CN44" s="1402">
        <f t="shared" si="135"/>
        <v>15175</v>
      </c>
      <c r="CO44" s="1403">
        <f>+CO35+CO42</f>
        <v>13519</v>
      </c>
      <c r="CP44" s="1402">
        <f>+CP35+CP42</f>
        <v>12901</v>
      </c>
      <c r="CQ44" s="1402">
        <f t="shared" si="135"/>
        <v>13254</v>
      </c>
      <c r="CR44" s="1402">
        <f t="shared" si="135"/>
        <v>14542</v>
      </c>
      <c r="CS44" s="1403">
        <f t="shared" si="135"/>
        <v>13856</v>
      </c>
      <c r="CT44" s="1402">
        <f>+CT35+CT42</f>
        <v>12955</v>
      </c>
      <c r="CU44" s="1402">
        <f t="shared" ref="CU44" si="136">+CU35+CU42</f>
        <v>13444</v>
      </c>
      <c r="CV44" s="1402">
        <f t="shared" ref="CV44:DA44" si="137">+CV35+CV42</f>
        <v>14785</v>
      </c>
      <c r="CW44" s="1403">
        <f t="shared" si="137"/>
        <v>13049</v>
      </c>
      <c r="CX44" s="1699">
        <f t="shared" si="137"/>
        <v>12234.608150556181</v>
      </c>
      <c r="CY44" s="1402">
        <f t="shared" si="137"/>
        <v>12523.462371943018</v>
      </c>
      <c r="CZ44" s="1402">
        <f t="shared" si="137"/>
        <v>14133.677079653629</v>
      </c>
      <c r="DA44" s="1403">
        <f t="shared" si="137"/>
        <v>12485.233592598179</v>
      </c>
      <c r="DB44" s="1404"/>
      <c r="DC44" s="1405"/>
      <c r="DD44" s="1402">
        <f t="shared" ref="DD44:DK44" si="138">+DD35+DD42</f>
        <v>31.866</v>
      </c>
      <c r="DE44" s="1402">
        <f t="shared" si="138"/>
        <v>87.581000000000003</v>
      </c>
      <c r="DF44" s="1402">
        <f t="shared" si="138"/>
        <v>140.30298999999999</v>
      </c>
      <c r="DG44" s="1402">
        <f t="shared" si="138"/>
        <v>139.94598999999999</v>
      </c>
      <c r="DH44" s="1402">
        <f t="shared" si="138"/>
        <v>156.786</v>
      </c>
      <c r="DI44" s="1402">
        <f t="shared" si="138"/>
        <v>185.52799999999996</v>
      </c>
      <c r="DJ44" s="1402">
        <f t="shared" si="138"/>
        <v>337.21800000000002</v>
      </c>
      <c r="DK44" s="1402">
        <f t="shared" si="138"/>
        <v>439.142</v>
      </c>
      <c r="DL44" s="1406">
        <f>+DL35+DL42</f>
        <v>952.49399999999991</v>
      </c>
      <c r="DM44" s="1406">
        <f>+I44</f>
        <v>1507.1249999999998</v>
      </c>
      <c r="DN44" s="1406">
        <f>+M44</f>
        <v>1890.8320000000001</v>
      </c>
      <c r="DO44" s="1406">
        <f>+Q44</f>
        <v>1734.3069999999998</v>
      </c>
      <c r="DP44" s="1406">
        <f>+U44</f>
        <v>2056.3460000000005</v>
      </c>
      <c r="DQ44" s="1406">
        <f>+Y44</f>
        <v>2512.4929999999999</v>
      </c>
      <c r="DR44" s="1406">
        <f>+AC44</f>
        <v>2995.3420000000001</v>
      </c>
      <c r="DS44" s="1406">
        <f>+AG44</f>
        <v>4840</v>
      </c>
      <c r="DT44" s="1406">
        <f>+AK44</f>
        <v>7367</v>
      </c>
      <c r="DU44" s="1406">
        <f>+AO44</f>
        <v>7694</v>
      </c>
      <c r="DV44" s="1406">
        <f>+AS44</f>
        <v>8652</v>
      </c>
      <c r="DW44" s="1406">
        <f>+AW44</f>
        <v>10294</v>
      </c>
      <c r="DX44" s="1406">
        <f t="shared" ref="DX44:EH44" si="139">+DX35+DX42</f>
        <v>11864</v>
      </c>
      <c r="DY44" s="1406">
        <f t="shared" si="139"/>
        <v>13570</v>
      </c>
      <c r="DZ44" s="1406">
        <f t="shared" si="139"/>
        <v>12758</v>
      </c>
      <c r="EA44" s="1406">
        <f t="shared" si="139"/>
        <v>15826</v>
      </c>
      <c r="EB44" s="1406">
        <f t="shared" si="139"/>
        <v>18302</v>
      </c>
      <c r="EC44" s="1406">
        <f t="shared" si="139"/>
        <v>17849</v>
      </c>
      <c r="ED44" s="1406">
        <f t="shared" si="139"/>
        <v>16005</v>
      </c>
      <c r="EE44" s="1406">
        <f t="shared" si="139"/>
        <v>19354</v>
      </c>
      <c r="EF44" s="1407">
        <f t="shared" si="139"/>
        <v>17316</v>
      </c>
      <c r="EG44" s="1406">
        <f t="shared" si="139"/>
        <v>16787</v>
      </c>
      <c r="EH44" s="1406">
        <f t="shared" si="139"/>
        <v>14013</v>
      </c>
      <c r="EI44" s="1406">
        <f>+EI35+EI42</f>
        <v>15256</v>
      </c>
      <c r="EJ44" s="1406">
        <f t="shared" ref="EJ44:EP44" si="140">EJ42+EJ35</f>
        <v>13519</v>
      </c>
      <c r="EK44" s="1402">
        <f t="shared" si="140"/>
        <v>13856</v>
      </c>
      <c r="EL44" s="1402">
        <f>EL42+EL35</f>
        <v>13049</v>
      </c>
      <c r="EM44" s="1699">
        <f>EM42+EM35</f>
        <v>12485.233592598179</v>
      </c>
      <c r="EN44" s="1406">
        <f t="shared" si="140"/>
        <v>12500.796460236666</v>
      </c>
      <c r="EO44" s="1406">
        <f t="shared" si="140"/>
        <v>12405.795603280087</v>
      </c>
      <c r="EP44" s="1406">
        <f t="shared" si="140"/>
        <v>12663.704960694904</v>
      </c>
      <c r="EQ44" s="1406">
        <f>EQ42+EQ35</f>
        <v>12569.563165773756</v>
      </c>
      <c r="ER44" s="1406">
        <f>ER42+ER35</f>
        <v>12451.80641892044</v>
      </c>
      <c r="ES44" s="1406">
        <f>ES42+ES35</f>
        <v>12795.021439198576</v>
      </c>
      <c r="ET44" s="1406">
        <f>ET42+ET35</f>
        <v>12594.550689841033</v>
      </c>
      <c r="EU44" s="1613">
        <f>EU42+EU35</f>
        <v>12356.439300712511</v>
      </c>
      <c r="EV44" s="1091"/>
      <c r="EW44"/>
      <c r="EX44"/>
      <c r="EY44"/>
      <c r="EZ44"/>
      <c r="FA44"/>
      <c r="FB44"/>
      <c r="FC44" s="4"/>
      <c r="FD44" s="4"/>
      <c r="FE44" s="4"/>
      <c r="FF44" s="4"/>
      <c r="FG44"/>
      <c r="FH44" s="1658"/>
      <c r="FI44" s="1658"/>
      <c r="FJ44" s="1658"/>
      <c r="FK44"/>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row>
    <row r="45" spans="1:260" s="38" customFormat="1" x14ac:dyDescent="0.2">
      <c r="A45" s="234" t="s">
        <v>144</v>
      </c>
      <c r="B45" s="74">
        <f t="shared" ref="B45:AO45" si="141">+B21-B44</f>
        <v>0</v>
      </c>
      <c r="C45" s="74">
        <f t="shared" si="141"/>
        <v>0</v>
      </c>
      <c r="D45" s="74">
        <f t="shared" si="141"/>
        <v>0</v>
      </c>
      <c r="E45" s="607">
        <f t="shared" si="141"/>
        <v>0</v>
      </c>
      <c r="F45" s="74">
        <f t="shared" si="141"/>
        <v>0</v>
      </c>
      <c r="G45" s="74">
        <f t="shared" si="141"/>
        <v>0</v>
      </c>
      <c r="H45" s="74">
        <f t="shared" si="141"/>
        <v>0</v>
      </c>
      <c r="I45" s="607">
        <f t="shared" si="141"/>
        <v>0</v>
      </c>
      <c r="J45" s="74">
        <f t="shared" si="141"/>
        <v>0</v>
      </c>
      <c r="K45" s="74">
        <f t="shared" si="141"/>
        <v>0</v>
      </c>
      <c r="L45" s="74">
        <f t="shared" si="141"/>
        <v>0</v>
      </c>
      <c r="M45" s="607">
        <f t="shared" si="141"/>
        <v>0</v>
      </c>
      <c r="N45" s="74">
        <f t="shared" si="141"/>
        <v>0</v>
      </c>
      <c r="O45" s="74">
        <f t="shared" si="141"/>
        <v>0</v>
      </c>
      <c r="P45" s="74">
        <f t="shared" si="141"/>
        <v>0</v>
      </c>
      <c r="Q45" s="607">
        <f t="shared" si="141"/>
        <v>0</v>
      </c>
      <c r="R45" s="74">
        <f t="shared" si="141"/>
        <v>0</v>
      </c>
      <c r="S45" s="74">
        <f t="shared" si="141"/>
        <v>0</v>
      </c>
      <c r="T45" s="74">
        <f t="shared" si="141"/>
        <v>0</v>
      </c>
      <c r="U45" s="607">
        <f t="shared" si="141"/>
        <v>0</v>
      </c>
      <c r="V45" s="74">
        <f t="shared" si="141"/>
        <v>0</v>
      </c>
      <c r="W45" s="74">
        <f t="shared" si="141"/>
        <v>0</v>
      </c>
      <c r="X45" s="74">
        <f t="shared" si="141"/>
        <v>0</v>
      </c>
      <c r="Y45" s="607">
        <f t="shared" si="141"/>
        <v>0</v>
      </c>
      <c r="Z45" s="74">
        <f t="shared" si="141"/>
        <v>0</v>
      </c>
      <c r="AA45" s="74">
        <f t="shared" si="141"/>
        <v>0</v>
      </c>
      <c r="AB45" s="74">
        <f t="shared" si="141"/>
        <v>0</v>
      </c>
      <c r="AC45" s="607">
        <f t="shared" si="141"/>
        <v>0</v>
      </c>
      <c r="AD45" s="74">
        <f t="shared" si="141"/>
        <v>0</v>
      </c>
      <c r="AE45" s="74">
        <f t="shared" si="141"/>
        <v>0</v>
      </c>
      <c r="AF45" s="74">
        <f t="shared" si="141"/>
        <v>0</v>
      </c>
      <c r="AG45" s="607">
        <f t="shared" si="141"/>
        <v>0</v>
      </c>
      <c r="AH45" s="74">
        <f t="shared" si="141"/>
        <v>0</v>
      </c>
      <c r="AI45" s="74">
        <f t="shared" si="141"/>
        <v>0</v>
      </c>
      <c r="AJ45" s="74">
        <f t="shared" si="141"/>
        <v>0</v>
      </c>
      <c r="AK45" s="607">
        <f t="shared" si="141"/>
        <v>0</v>
      </c>
      <c r="AL45" s="74">
        <f t="shared" si="141"/>
        <v>0</v>
      </c>
      <c r="AM45" s="74">
        <f t="shared" si="141"/>
        <v>0</v>
      </c>
      <c r="AN45" s="74">
        <f t="shared" si="141"/>
        <v>0</v>
      </c>
      <c r="AO45" s="607">
        <f t="shared" si="141"/>
        <v>0</v>
      </c>
      <c r="AP45" s="74"/>
      <c r="AQ45" s="74"/>
      <c r="AR45" s="74"/>
      <c r="AS45" s="607">
        <f>+AS21-AS44</f>
        <v>0</v>
      </c>
      <c r="AT45" s="74"/>
      <c r="AU45" s="74"/>
      <c r="AV45" s="74"/>
      <c r="AW45" s="607"/>
      <c r="AX45" s="74">
        <f t="shared" ref="AX45:CJ45" si="142">+AX21-AX44</f>
        <v>0</v>
      </c>
      <c r="AY45" s="74">
        <f t="shared" si="142"/>
        <v>0</v>
      </c>
      <c r="AZ45" s="74">
        <f t="shared" si="142"/>
        <v>0</v>
      </c>
      <c r="BA45" s="607">
        <f t="shared" si="142"/>
        <v>0</v>
      </c>
      <c r="BB45" s="74">
        <f t="shared" si="142"/>
        <v>0</v>
      </c>
      <c r="BC45" s="74">
        <f t="shared" si="142"/>
        <v>0</v>
      </c>
      <c r="BD45" s="74">
        <f t="shared" si="142"/>
        <v>0</v>
      </c>
      <c r="BE45" s="607">
        <f t="shared" si="142"/>
        <v>0</v>
      </c>
      <c r="BF45" s="74">
        <f t="shared" si="142"/>
        <v>0</v>
      </c>
      <c r="BG45" s="74">
        <f t="shared" si="142"/>
        <v>0</v>
      </c>
      <c r="BH45" s="74">
        <f t="shared" si="142"/>
        <v>0</v>
      </c>
      <c r="BI45" s="607">
        <f t="shared" si="142"/>
        <v>0</v>
      </c>
      <c r="BJ45" s="74">
        <f t="shared" si="142"/>
        <v>0</v>
      </c>
      <c r="BK45" s="74">
        <f t="shared" si="142"/>
        <v>0</v>
      </c>
      <c r="BL45" s="74">
        <f t="shared" si="142"/>
        <v>0</v>
      </c>
      <c r="BM45" s="662">
        <f t="shared" si="142"/>
        <v>0</v>
      </c>
      <c r="BN45" s="74">
        <f t="shared" si="142"/>
        <v>0</v>
      </c>
      <c r="BO45" s="74">
        <f t="shared" si="142"/>
        <v>0</v>
      </c>
      <c r="BP45" s="74">
        <f t="shared" si="142"/>
        <v>0</v>
      </c>
      <c r="BQ45" s="662">
        <f t="shared" si="142"/>
        <v>0</v>
      </c>
      <c r="BR45" s="74">
        <f t="shared" si="142"/>
        <v>0</v>
      </c>
      <c r="BS45" s="74">
        <f t="shared" si="142"/>
        <v>0</v>
      </c>
      <c r="BT45" s="74">
        <f t="shared" si="142"/>
        <v>0</v>
      </c>
      <c r="BU45" s="662">
        <f t="shared" si="142"/>
        <v>0</v>
      </c>
      <c r="BV45" s="137">
        <f t="shared" si="142"/>
        <v>0</v>
      </c>
      <c r="BW45" s="137">
        <f t="shared" si="142"/>
        <v>0</v>
      </c>
      <c r="BX45" s="137">
        <f t="shared" si="142"/>
        <v>0</v>
      </c>
      <c r="BY45" s="663">
        <f t="shared" si="142"/>
        <v>0</v>
      </c>
      <c r="BZ45" s="137">
        <f t="shared" si="142"/>
        <v>0</v>
      </c>
      <c r="CA45" s="137">
        <f t="shared" si="142"/>
        <v>0</v>
      </c>
      <c r="CB45" s="137">
        <f t="shared" si="142"/>
        <v>0</v>
      </c>
      <c r="CC45" s="663">
        <f t="shared" si="142"/>
        <v>0</v>
      </c>
      <c r="CD45" s="670">
        <f t="shared" si="142"/>
        <v>0</v>
      </c>
      <c r="CE45" s="1318">
        <f t="shared" si="142"/>
        <v>0</v>
      </c>
      <c r="CF45" s="1318">
        <f t="shared" si="142"/>
        <v>0</v>
      </c>
      <c r="CG45" s="663">
        <f t="shared" si="142"/>
        <v>0</v>
      </c>
      <c r="CH45" s="670">
        <f t="shared" si="142"/>
        <v>0</v>
      </c>
      <c r="CI45" s="1318">
        <f t="shared" si="142"/>
        <v>0</v>
      </c>
      <c r="CJ45" s="1319">
        <f t="shared" si="142"/>
        <v>0</v>
      </c>
      <c r="CK45" s="1320">
        <f t="shared" ref="CK45:CS45" si="143">+CK21-CK44</f>
        <v>0</v>
      </c>
      <c r="CL45" s="670">
        <f t="shared" si="143"/>
        <v>0</v>
      </c>
      <c r="CM45" s="1319">
        <f t="shared" si="143"/>
        <v>0</v>
      </c>
      <c r="CN45" s="1319">
        <f t="shared" si="143"/>
        <v>0</v>
      </c>
      <c r="CO45" s="1320">
        <f>+CO21-CO44</f>
        <v>0</v>
      </c>
      <c r="CP45" s="1319">
        <f>+CP21-CP44</f>
        <v>0</v>
      </c>
      <c r="CQ45" s="1319">
        <f t="shared" si="143"/>
        <v>0</v>
      </c>
      <c r="CR45" s="1319">
        <f t="shared" si="143"/>
        <v>0</v>
      </c>
      <c r="CS45" s="1320">
        <f t="shared" si="143"/>
        <v>0</v>
      </c>
      <c r="CT45" s="1319">
        <f>+CT21-CT44</f>
        <v>0</v>
      </c>
      <c r="CU45" s="1319">
        <f t="shared" ref="CU45" si="144">+CU21-CU44</f>
        <v>0</v>
      </c>
      <c r="CV45" s="1319">
        <f t="shared" ref="CV45:DA45" si="145">+CV21-CV44</f>
        <v>0</v>
      </c>
      <c r="CW45" s="1320">
        <f t="shared" si="145"/>
        <v>0</v>
      </c>
      <c r="CX45" s="2792">
        <f t="shared" si="145"/>
        <v>0</v>
      </c>
      <c r="CY45" s="1319">
        <f t="shared" si="145"/>
        <v>0</v>
      </c>
      <c r="CZ45" s="1319">
        <f t="shared" si="145"/>
        <v>0</v>
      </c>
      <c r="DA45" s="1320">
        <f t="shared" si="145"/>
        <v>0</v>
      </c>
      <c r="DB45" s="1321"/>
      <c r="DC45" s="1320"/>
      <c r="DD45" s="34">
        <v>0</v>
      </c>
      <c r="DE45" s="34">
        <v>0</v>
      </c>
      <c r="DF45" s="34">
        <f>+DF21-DF44</f>
        <v>0</v>
      </c>
      <c r="DG45" s="34">
        <f>+DG21-DG44</f>
        <v>0</v>
      </c>
      <c r="DH45" s="34">
        <v>0</v>
      </c>
      <c r="DI45" s="34">
        <f t="shared" ref="DI45:EP45" si="146">+DI21-DI44</f>
        <v>0</v>
      </c>
      <c r="DJ45" s="34">
        <f t="shared" si="146"/>
        <v>0</v>
      </c>
      <c r="DK45" s="34">
        <f t="shared" si="146"/>
        <v>0</v>
      </c>
      <c r="DL45" s="74">
        <f t="shared" si="146"/>
        <v>0</v>
      </c>
      <c r="DM45" s="74">
        <f t="shared" si="146"/>
        <v>0</v>
      </c>
      <c r="DN45" s="74">
        <f t="shared" si="146"/>
        <v>0</v>
      </c>
      <c r="DO45" s="74">
        <f t="shared" si="146"/>
        <v>0</v>
      </c>
      <c r="DP45" s="74">
        <f t="shared" si="146"/>
        <v>0</v>
      </c>
      <c r="DQ45" s="74">
        <f t="shared" si="146"/>
        <v>0</v>
      </c>
      <c r="DR45" s="74">
        <f t="shared" si="146"/>
        <v>0</v>
      </c>
      <c r="DS45" s="74">
        <f t="shared" si="146"/>
        <v>0</v>
      </c>
      <c r="DT45" s="74">
        <f t="shared" si="146"/>
        <v>0</v>
      </c>
      <c r="DU45" s="74">
        <f t="shared" si="146"/>
        <v>0</v>
      </c>
      <c r="DV45" s="74">
        <f t="shared" si="146"/>
        <v>0</v>
      </c>
      <c r="DW45" s="74">
        <f t="shared" si="146"/>
        <v>0</v>
      </c>
      <c r="DX45" s="74">
        <f t="shared" si="146"/>
        <v>0</v>
      </c>
      <c r="DY45" s="74">
        <f t="shared" si="146"/>
        <v>0</v>
      </c>
      <c r="DZ45" s="74">
        <f t="shared" si="146"/>
        <v>0</v>
      </c>
      <c r="EA45" s="74">
        <f t="shared" si="146"/>
        <v>0</v>
      </c>
      <c r="EB45" s="74">
        <f t="shared" si="146"/>
        <v>0</v>
      </c>
      <c r="EC45" s="74">
        <f t="shared" si="146"/>
        <v>0</v>
      </c>
      <c r="ED45" s="137">
        <f t="shared" si="146"/>
        <v>0</v>
      </c>
      <c r="EE45" s="1322">
        <f t="shared" si="146"/>
        <v>0</v>
      </c>
      <c r="EF45" s="1323">
        <f t="shared" si="146"/>
        <v>0</v>
      </c>
      <c r="EG45" s="1318">
        <f t="shared" si="146"/>
        <v>0</v>
      </c>
      <c r="EH45" s="1318">
        <f t="shared" si="146"/>
        <v>0</v>
      </c>
      <c r="EI45" s="1318">
        <f t="shared" si="146"/>
        <v>0</v>
      </c>
      <c r="EJ45" s="1318">
        <f t="shared" si="146"/>
        <v>0</v>
      </c>
      <c r="EK45" s="1318">
        <f t="shared" si="146"/>
        <v>0</v>
      </c>
      <c r="EL45" s="1318">
        <f t="shared" si="146"/>
        <v>0</v>
      </c>
      <c r="EM45" s="1715">
        <f t="shared" ref="EM45" si="147">+EM21-EM44</f>
        <v>0</v>
      </c>
      <c r="EN45" s="1322">
        <f t="shared" si="146"/>
        <v>0</v>
      </c>
      <c r="EO45" s="1322">
        <f t="shared" si="146"/>
        <v>0</v>
      </c>
      <c r="EP45" s="1322">
        <f t="shared" si="146"/>
        <v>0</v>
      </c>
      <c r="EQ45" s="1322">
        <f>+EQ21-EQ44</f>
        <v>0</v>
      </c>
      <c r="ER45" s="1322">
        <f>+ER21-ER44</f>
        <v>0</v>
      </c>
      <c r="ES45" s="1322">
        <f>+ES21-ES44</f>
        <v>0</v>
      </c>
      <c r="ET45" s="1322">
        <f>+ET21-ET44</f>
        <v>0</v>
      </c>
      <c r="EU45" s="1322">
        <f>+EU21-EU44</f>
        <v>0</v>
      </c>
      <c r="EV45" s="1326"/>
      <c r="EW45"/>
      <c r="EX45"/>
      <c r="EY45"/>
      <c r="EZ45"/>
      <c r="FA45"/>
      <c r="FB45"/>
      <c r="FC45" s="4"/>
      <c r="FD45" s="4"/>
      <c r="FE45" s="4"/>
      <c r="FF45" s="4"/>
      <c r="FG45" s="1319"/>
      <c r="FH45" s="1319"/>
      <c r="FI45" s="1319"/>
      <c r="FJ45" s="1319"/>
      <c r="FK45"/>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row>
    <row r="46" spans="1:260" s="38" customFormat="1" x14ac:dyDescent="0.2">
      <c r="A46" s="234"/>
      <c r="B46" s="34"/>
      <c r="C46" s="34"/>
      <c r="D46" s="34"/>
      <c r="E46" s="607"/>
      <c r="F46" s="34"/>
      <c r="G46" s="34"/>
      <c r="H46" s="34"/>
      <c r="I46" s="607"/>
      <c r="J46" s="34"/>
      <c r="K46" s="34"/>
      <c r="L46" s="34"/>
      <c r="M46" s="607"/>
      <c r="N46" s="34"/>
      <c r="O46" s="34"/>
      <c r="P46" s="34"/>
      <c r="Q46" s="607"/>
      <c r="R46" s="34"/>
      <c r="S46" s="34"/>
      <c r="T46" s="34"/>
      <c r="U46" s="607"/>
      <c r="V46" s="34"/>
      <c r="W46" s="34"/>
      <c r="X46" s="34"/>
      <c r="Y46" s="607"/>
      <c r="Z46" s="34"/>
      <c r="AA46" s="34"/>
      <c r="AB46" s="34"/>
      <c r="AC46" s="607"/>
      <c r="AD46" s="34"/>
      <c r="AE46" s="34"/>
      <c r="AF46" s="34"/>
      <c r="AG46" s="607"/>
      <c r="AH46" s="34"/>
      <c r="AI46" s="34"/>
      <c r="AJ46" s="34"/>
      <c r="AK46" s="607"/>
      <c r="AL46" s="34"/>
      <c r="AM46" s="34"/>
      <c r="AN46" s="34"/>
      <c r="AO46" s="607"/>
      <c r="AP46" s="34"/>
      <c r="AQ46" s="34"/>
      <c r="AR46" s="34"/>
      <c r="AS46" s="607"/>
      <c r="AT46" s="34"/>
      <c r="AU46" s="34"/>
      <c r="AV46" s="34"/>
      <c r="AW46" s="607"/>
      <c r="AX46" s="34"/>
      <c r="AY46" s="34"/>
      <c r="AZ46" s="34"/>
      <c r="BA46" s="1324"/>
      <c r="BB46" s="34"/>
      <c r="BC46" s="34"/>
      <c r="BD46" s="34"/>
      <c r="BE46" s="607"/>
      <c r="BF46" s="74"/>
      <c r="BG46" s="74"/>
      <c r="BH46" s="74"/>
      <c r="BI46" s="607"/>
      <c r="BJ46" s="74"/>
      <c r="BK46" s="74"/>
      <c r="BL46" s="74"/>
      <c r="BM46" s="662"/>
      <c r="BN46" s="74"/>
      <c r="BO46" s="74"/>
      <c r="BP46" s="74"/>
      <c r="BQ46" s="662"/>
      <c r="BR46" s="74"/>
      <c r="BS46" s="74"/>
      <c r="BT46" s="74"/>
      <c r="BU46" s="662"/>
      <c r="BV46" s="1325"/>
      <c r="BW46" s="74"/>
      <c r="BX46" s="74"/>
      <c r="BY46" s="662"/>
      <c r="BZ46" s="1325"/>
      <c r="CA46" s="74"/>
      <c r="CB46" s="74"/>
      <c r="CC46" s="662"/>
      <c r="CD46" s="1326"/>
      <c r="CE46" s="1161"/>
      <c r="CF46" s="1161"/>
      <c r="CG46" s="662"/>
      <c r="CH46" s="1326"/>
      <c r="CI46" s="1161"/>
      <c r="CJ46" s="1161"/>
      <c r="CK46" s="662"/>
      <c r="CL46" s="1161"/>
      <c r="CM46" s="1161"/>
      <c r="CN46" s="1161"/>
      <c r="CO46" s="662"/>
      <c r="CP46" s="1161"/>
      <c r="CQ46" s="1161"/>
      <c r="CR46" s="1161"/>
      <c r="CS46" s="662"/>
      <c r="CT46" s="1161"/>
      <c r="CU46" s="1161"/>
      <c r="CV46" s="1161"/>
      <c r="CW46" s="662"/>
      <c r="CX46" s="1716"/>
      <c r="CY46" s="1161"/>
      <c r="CZ46" s="1161"/>
      <c r="DA46" s="662"/>
      <c r="DB46" s="1326"/>
      <c r="DC46" s="662"/>
      <c r="DD46" s="34"/>
      <c r="DE46" s="34"/>
      <c r="DF46" s="34"/>
      <c r="DG46" s="34"/>
      <c r="DH46" s="34"/>
      <c r="DI46" s="34"/>
      <c r="DJ46" s="34"/>
      <c r="DK46" s="34"/>
      <c r="DL46" s="34"/>
      <c r="DM46" s="34"/>
      <c r="DN46" s="34"/>
      <c r="DO46" s="34"/>
      <c r="DP46" s="34"/>
      <c r="DQ46" s="34"/>
      <c r="DR46" s="34"/>
      <c r="DS46" s="34"/>
      <c r="DT46" s="34"/>
      <c r="DU46" s="34"/>
      <c r="DV46" s="34"/>
      <c r="DW46" s="34"/>
      <c r="DX46" s="34"/>
      <c r="DY46" s="34"/>
      <c r="DZ46" s="74"/>
      <c r="EA46" s="74"/>
      <c r="EB46" s="74"/>
      <c r="EC46" s="74"/>
      <c r="ED46" s="74"/>
      <c r="EE46" s="34"/>
      <c r="EF46" s="669"/>
      <c r="EG46" s="1161"/>
      <c r="EH46" s="1161"/>
      <c r="EI46" s="1161"/>
      <c r="EJ46" s="1161"/>
      <c r="EK46" s="1161"/>
      <c r="EL46" s="1161"/>
      <c r="EM46" s="1716"/>
      <c r="EN46" s="34"/>
      <c r="EO46" s="34"/>
      <c r="EP46" s="34"/>
      <c r="EQ46" s="34"/>
      <c r="ER46" s="34"/>
      <c r="ES46" s="34"/>
      <c r="ET46" s="34"/>
      <c r="EU46" s="34"/>
      <c r="EV46" s="1326"/>
      <c r="EW46"/>
      <c r="EX46"/>
      <c r="EY46"/>
      <c r="EZ46"/>
      <c r="FA46"/>
      <c r="FB46"/>
      <c r="FC46" s="4"/>
      <c r="FD46" s="4"/>
      <c r="FE46" s="4"/>
      <c r="FF46" s="4"/>
      <c r="FG46" s="1161"/>
      <c r="FH46" s="1161"/>
      <c r="FI46" s="1161"/>
      <c r="FJ46" s="1161"/>
      <c r="FK46"/>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row>
    <row r="47" spans="1:260" s="38" customFormat="1" x14ac:dyDescent="0.2">
      <c r="A47" s="234"/>
      <c r="B47" s="34"/>
      <c r="C47" s="34"/>
      <c r="D47" s="34"/>
      <c r="E47" s="607"/>
      <c r="F47" s="34"/>
      <c r="G47" s="34"/>
      <c r="H47" s="34"/>
      <c r="I47" s="607"/>
      <c r="J47" s="34"/>
      <c r="K47" s="34"/>
      <c r="L47" s="34"/>
      <c r="M47" s="607"/>
      <c r="N47" s="34"/>
      <c r="O47" s="34"/>
      <c r="P47" s="34"/>
      <c r="Q47" s="607"/>
      <c r="R47" s="34"/>
      <c r="S47" s="34"/>
      <c r="T47" s="34"/>
      <c r="U47" s="607"/>
      <c r="V47" s="34"/>
      <c r="W47" s="34"/>
      <c r="X47" s="34"/>
      <c r="Y47" s="607"/>
      <c r="Z47" s="34"/>
      <c r="AA47" s="34"/>
      <c r="AB47" s="34"/>
      <c r="AC47" s="607"/>
      <c r="AD47" s="34"/>
      <c r="AE47" s="34"/>
      <c r="AF47" s="34"/>
      <c r="AG47" s="607"/>
      <c r="AH47" s="34"/>
      <c r="AI47" s="34"/>
      <c r="AJ47" s="34"/>
      <c r="AK47" s="607"/>
      <c r="AL47" s="34"/>
      <c r="AM47" s="34"/>
      <c r="AN47" s="34"/>
      <c r="AO47" s="607"/>
      <c r="AP47" s="34"/>
      <c r="AQ47" s="34"/>
      <c r="AR47" s="34"/>
      <c r="AS47" s="607"/>
      <c r="AT47" s="34"/>
      <c r="AU47" s="34"/>
      <c r="AV47" s="34"/>
      <c r="AW47" s="607"/>
      <c r="AX47" s="34"/>
      <c r="AY47" s="34"/>
      <c r="AZ47" s="34"/>
      <c r="BA47" s="1324"/>
      <c r="BB47" s="34"/>
      <c r="BC47" s="34"/>
      <c r="BD47" s="34"/>
      <c r="BE47" s="607"/>
      <c r="BF47" s="74"/>
      <c r="BG47" s="74"/>
      <c r="BH47" s="74"/>
      <c r="BI47" s="607"/>
      <c r="BJ47" s="74"/>
      <c r="BK47" s="74"/>
      <c r="BL47" s="74"/>
      <c r="BM47" s="662"/>
      <c r="BN47" s="74"/>
      <c r="BO47" s="74"/>
      <c r="BP47" s="74"/>
      <c r="BQ47" s="662"/>
      <c r="BR47" s="74"/>
      <c r="BS47" s="74"/>
      <c r="BT47" s="74"/>
      <c r="BU47" s="662"/>
      <c r="BV47" s="1325"/>
      <c r="BW47" s="74"/>
      <c r="BX47" s="74"/>
      <c r="BY47" s="662"/>
      <c r="BZ47" s="1325"/>
      <c r="CA47" s="74"/>
      <c r="CB47" s="74"/>
      <c r="CC47" s="662"/>
      <c r="CD47" s="1326"/>
      <c r="CE47" s="1161"/>
      <c r="CF47" s="1161"/>
      <c r="CG47" s="662"/>
      <c r="CH47" s="1326"/>
      <c r="CI47" s="1161"/>
      <c r="CJ47" s="1161"/>
      <c r="CK47" s="662"/>
      <c r="CL47" s="1161"/>
      <c r="CM47" s="1161"/>
      <c r="CN47" s="1161"/>
      <c r="CO47" s="662"/>
      <c r="CP47" s="1161"/>
      <c r="CQ47" s="1161"/>
      <c r="CR47" s="1161"/>
      <c r="CS47" s="662"/>
      <c r="CT47" s="1161"/>
      <c r="CU47" s="1161"/>
      <c r="CV47" s="1161"/>
      <c r="CW47" s="662"/>
      <c r="CX47" s="1716"/>
      <c r="CY47" s="1161"/>
      <c r="CZ47" s="1161"/>
      <c r="DA47" s="662"/>
      <c r="DB47" s="1326"/>
      <c r="DC47" s="662"/>
      <c r="DD47" s="34"/>
      <c r="DE47" s="34"/>
      <c r="DF47" s="34"/>
      <c r="DG47" s="34"/>
      <c r="DH47" s="34"/>
      <c r="DI47" s="34"/>
      <c r="DJ47" s="34"/>
      <c r="DK47" s="34"/>
      <c r="DL47" s="34"/>
      <c r="DM47" s="34"/>
      <c r="DN47" s="34"/>
      <c r="DO47" s="34"/>
      <c r="DP47" s="34"/>
      <c r="DQ47" s="34"/>
      <c r="DR47" s="34"/>
      <c r="DS47" s="34"/>
      <c r="DT47" s="34"/>
      <c r="DU47" s="34"/>
      <c r="DV47" s="34"/>
      <c r="DW47" s="34"/>
      <c r="DX47" s="34"/>
      <c r="DY47" s="34"/>
      <c r="DZ47" s="74"/>
      <c r="EA47" s="74"/>
      <c r="EB47" s="74"/>
      <c r="EC47" s="74"/>
      <c r="ED47" s="74"/>
      <c r="EE47" s="34"/>
      <c r="EF47" s="669"/>
      <c r="EG47" s="1161"/>
      <c r="EH47" s="1161"/>
      <c r="EI47" s="1161"/>
      <c r="EJ47" s="1161"/>
      <c r="EK47" s="1161"/>
      <c r="EL47" s="1161"/>
      <c r="EM47" s="1716"/>
      <c r="EN47" s="34"/>
      <c r="EO47" s="34"/>
      <c r="EP47" s="34"/>
      <c r="EQ47" s="34"/>
      <c r="ER47" s="34"/>
      <c r="ES47" s="34"/>
      <c r="ET47" s="34"/>
      <c r="EU47" s="34"/>
      <c r="EV47" s="1326"/>
      <c r="EW47"/>
      <c r="EX47"/>
      <c r="EY47"/>
      <c r="EZ47"/>
      <c r="FA47"/>
      <c r="FB47"/>
      <c r="FC47" s="4"/>
      <c r="FD47" s="4"/>
      <c r="FE47" s="4"/>
      <c r="FF47" s="4"/>
      <c r="FG47" s="1161"/>
      <c r="FH47" s="1161"/>
      <c r="FI47" s="1161"/>
      <c r="FJ47" s="1161"/>
      <c r="FK47"/>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row>
    <row r="48" spans="1:260" s="6" customFormat="1" x14ac:dyDescent="0.2">
      <c r="A48" s="1591" t="s">
        <v>590</v>
      </c>
      <c r="B48" s="1591"/>
      <c r="C48" s="1591"/>
      <c r="D48" s="1591"/>
      <c r="E48" s="1591"/>
      <c r="F48" s="1591"/>
      <c r="G48" s="1591"/>
      <c r="H48" s="1591"/>
      <c r="I48" s="1591"/>
      <c r="J48" s="1591"/>
      <c r="K48" s="1591"/>
      <c r="L48" s="1591"/>
      <c r="M48" s="1591"/>
      <c r="N48" s="1591"/>
      <c r="O48" s="1591"/>
      <c r="P48" s="1591"/>
      <c r="Q48" s="1591"/>
      <c r="R48" s="1591"/>
      <c r="S48" s="1591"/>
      <c r="T48" s="1591"/>
      <c r="U48" s="1591"/>
      <c r="V48" s="1591"/>
      <c r="W48" s="1591"/>
      <c r="X48" s="1591"/>
      <c r="Y48" s="1591"/>
      <c r="Z48" s="1591"/>
      <c r="AA48" s="1591"/>
      <c r="AB48" s="1591"/>
      <c r="AC48" s="1591"/>
      <c r="AD48" s="1591"/>
      <c r="AE48" s="1591"/>
      <c r="AF48" s="1591"/>
      <c r="AG48" s="1591"/>
      <c r="AH48" s="1591"/>
      <c r="AI48" s="1591"/>
      <c r="AJ48" s="1591"/>
      <c r="AK48" s="1591"/>
      <c r="AL48" s="1591"/>
      <c r="AM48" s="1591"/>
      <c r="AN48" s="1591"/>
      <c r="AO48" s="1591"/>
      <c r="AP48" s="1591"/>
      <c r="AQ48" s="1591"/>
      <c r="AR48" s="1591"/>
      <c r="AS48" s="1591"/>
      <c r="AT48" s="1591"/>
      <c r="AU48" s="1591"/>
      <c r="AV48" s="1591"/>
      <c r="AW48" s="1591"/>
      <c r="AX48" s="1591"/>
      <c r="AY48" s="1591"/>
      <c r="AZ48" s="1591"/>
      <c r="BA48" s="1591"/>
      <c r="BB48" s="1591"/>
      <c r="BC48" s="1591"/>
      <c r="BD48" s="1591"/>
      <c r="BE48" s="1591"/>
      <c r="BF48" s="1591"/>
      <c r="BG48" s="1591"/>
      <c r="BH48" s="1591"/>
      <c r="BI48" s="1591"/>
      <c r="BJ48" s="1591"/>
      <c r="BK48" s="1591"/>
      <c r="BL48" s="1591"/>
      <c r="BM48" s="1591"/>
      <c r="BN48" s="1591"/>
      <c r="BO48" s="1591"/>
      <c r="BP48" s="1591"/>
      <c r="BQ48" s="1591"/>
      <c r="BR48" s="1591"/>
      <c r="BS48" s="1591"/>
      <c r="BT48" s="1591"/>
      <c r="BU48" s="1591"/>
      <c r="BV48" s="1591"/>
      <c r="BW48" s="1591"/>
      <c r="BX48" s="1591"/>
      <c r="BY48" s="1591"/>
      <c r="BZ48" s="1591"/>
      <c r="CA48" s="1591"/>
      <c r="CB48" s="1591"/>
      <c r="CC48" s="1591"/>
      <c r="CD48" s="1591"/>
      <c r="CE48" s="1591"/>
      <c r="CF48" s="1591"/>
      <c r="CG48" s="1591"/>
      <c r="CH48" s="1591"/>
      <c r="CI48" s="1591"/>
      <c r="CJ48" s="1591"/>
      <c r="CK48" s="1591"/>
      <c r="CL48" s="1591"/>
      <c r="CM48" s="1591"/>
      <c r="CN48" s="1591"/>
      <c r="CO48" s="1592"/>
      <c r="CP48" s="1591"/>
      <c r="CQ48" s="1591"/>
      <c r="CR48" s="1591"/>
      <c r="CS48" s="1592"/>
      <c r="CT48" s="1591"/>
      <c r="CU48" s="1591"/>
      <c r="CV48" s="1591"/>
      <c r="CW48" s="1592"/>
      <c r="CX48" s="1591"/>
      <c r="CY48" s="1591"/>
      <c r="CZ48" s="1591"/>
      <c r="DA48" s="1592"/>
      <c r="DB48" s="671"/>
      <c r="DC48" s="484"/>
      <c r="DD48" s="597"/>
      <c r="DE48" s="597"/>
      <c r="DF48" s="597"/>
      <c r="DG48" s="597"/>
      <c r="DH48" s="597"/>
      <c r="DI48" s="597"/>
      <c r="DJ48" s="597"/>
      <c r="DK48" s="597"/>
      <c r="DL48" s="597"/>
      <c r="DM48" s="597"/>
      <c r="DN48" s="597"/>
      <c r="DO48" s="597"/>
      <c r="DP48" s="597"/>
      <c r="DQ48" s="597"/>
      <c r="DR48" s="597"/>
      <c r="DS48" s="597"/>
      <c r="DT48" s="597"/>
      <c r="DU48" s="597"/>
      <c r="DV48" s="597"/>
      <c r="DW48" s="597"/>
      <c r="DX48" s="597"/>
      <c r="DY48" s="597"/>
      <c r="DZ48" s="597"/>
      <c r="EA48" s="597"/>
      <c r="EB48" s="597"/>
      <c r="EC48" s="597"/>
      <c r="ED48" s="597"/>
      <c r="EE48" s="597"/>
      <c r="EF48" s="1066"/>
      <c r="EG48" s="597"/>
      <c r="EH48" s="1593"/>
      <c r="EI48" s="1593"/>
      <c r="EJ48" s="1593"/>
      <c r="EK48" s="1593"/>
      <c r="EL48" s="1593"/>
      <c r="EM48" s="1593"/>
      <c r="EN48" s="1593"/>
      <c r="EO48" s="1593"/>
      <c r="EP48" s="1593"/>
      <c r="EQ48" s="1593"/>
      <c r="ER48" s="1593"/>
      <c r="ES48" s="1593"/>
      <c r="ET48" s="1593"/>
      <c r="EU48" s="1594"/>
      <c r="EV48" s="671"/>
      <c r="EW48"/>
      <c r="EX48"/>
      <c r="EY48"/>
      <c r="EZ48"/>
      <c r="FA48"/>
      <c r="FB48"/>
      <c r="FG48" s="7"/>
      <c r="FH48" s="134"/>
      <c r="FI48" s="134"/>
      <c r="FJ48" s="134"/>
      <c r="FK48"/>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row>
    <row r="49" spans="1:260" s="6" customFormat="1" x14ac:dyDescent="0.2">
      <c r="A49" s="53"/>
      <c r="B49" s="7"/>
      <c r="C49" s="7"/>
      <c r="D49" s="7"/>
      <c r="E49" s="484"/>
      <c r="F49" s="7"/>
      <c r="G49" s="7"/>
      <c r="H49" s="7"/>
      <c r="I49" s="484"/>
      <c r="J49" s="7"/>
      <c r="K49" s="7"/>
      <c r="L49" s="7"/>
      <c r="M49" s="484"/>
      <c r="N49" s="7"/>
      <c r="O49" s="7"/>
      <c r="P49" s="7"/>
      <c r="Q49" s="484"/>
      <c r="R49" s="7"/>
      <c r="S49" s="7"/>
      <c r="T49" s="7"/>
      <c r="U49" s="484"/>
      <c r="V49" s="7"/>
      <c r="W49" s="7"/>
      <c r="X49" s="7"/>
      <c r="Y49" s="484"/>
      <c r="Z49" s="7"/>
      <c r="AA49" s="7"/>
      <c r="AB49" s="7"/>
      <c r="AC49" s="484"/>
      <c r="AD49" s="7"/>
      <c r="AE49" s="7"/>
      <c r="AF49" s="7"/>
      <c r="AG49" s="484"/>
      <c r="AH49" s="7"/>
      <c r="AI49" s="7"/>
      <c r="AJ49" s="7"/>
      <c r="AK49" s="484"/>
      <c r="AL49" s="7"/>
      <c r="AM49" s="7"/>
      <c r="AN49" s="7"/>
      <c r="AO49" s="484"/>
      <c r="AP49" s="7"/>
      <c r="AQ49" s="7"/>
      <c r="AR49" s="7"/>
      <c r="AS49" s="484"/>
      <c r="AT49" s="7"/>
      <c r="AU49" s="7"/>
      <c r="AV49" s="7"/>
      <c r="AW49" s="484"/>
      <c r="AX49" s="7"/>
      <c r="AY49" s="7"/>
      <c r="AZ49" s="7"/>
      <c r="BA49" s="1327"/>
      <c r="BB49" s="7"/>
      <c r="BC49" s="7"/>
      <c r="BD49" s="7"/>
      <c r="BE49" s="484"/>
      <c r="BF49" s="7"/>
      <c r="BG49" s="7"/>
      <c r="BH49" s="7"/>
      <c r="BI49" s="484"/>
      <c r="BJ49" s="7"/>
      <c r="BK49" s="7"/>
      <c r="BL49" s="7"/>
      <c r="BM49" s="484"/>
      <c r="BN49" s="7"/>
      <c r="BO49" s="7"/>
      <c r="BP49" s="7"/>
      <c r="BQ49" s="484"/>
      <c r="BR49" s="7"/>
      <c r="BS49" s="7"/>
      <c r="BT49" s="7"/>
      <c r="BU49" s="484"/>
      <c r="BV49" s="7"/>
      <c r="BW49" s="7"/>
      <c r="BX49" s="7"/>
      <c r="BY49" s="484"/>
      <c r="BZ49" s="7"/>
      <c r="CA49" s="7"/>
      <c r="CB49" s="7"/>
      <c r="CC49" s="484"/>
      <c r="CD49" s="671"/>
      <c r="CE49" s="7"/>
      <c r="CF49" s="7"/>
      <c r="CG49" s="484"/>
      <c r="CH49" s="671"/>
      <c r="CI49" s="7"/>
      <c r="CJ49" s="7"/>
      <c r="CK49" s="484"/>
      <c r="CL49" s="7"/>
      <c r="CM49" s="7"/>
      <c r="CN49" s="7"/>
      <c r="CO49" s="484"/>
      <c r="CP49" s="7"/>
      <c r="CQ49" s="7"/>
      <c r="CR49" s="7"/>
      <c r="CS49" s="484"/>
      <c r="CT49" s="7"/>
      <c r="CU49" s="7"/>
      <c r="CV49" s="7"/>
      <c r="CW49" s="484"/>
      <c r="CX49" s="1671"/>
      <c r="CY49" s="7"/>
      <c r="CZ49" s="7"/>
      <c r="DA49" s="484"/>
      <c r="DB49" s="671"/>
      <c r="DC49" s="484"/>
      <c r="DD49" s="7"/>
      <c r="DE49" s="7"/>
      <c r="DF49" s="7"/>
      <c r="DG49" s="7"/>
      <c r="DH49" s="7"/>
      <c r="DI49" s="7"/>
      <c r="DJ49" s="7"/>
      <c r="DK49" s="7"/>
      <c r="DL49" s="7"/>
      <c r="DM49" s="7"/>
      <c r="DN49" s="7"/>
      <c r="DO49" s="7"/>
      <c r="DP49" s="7"/>
      <c r="DQ49" s="7"/>
      <c r="DR49" s="7"/>
      <c r="DS49" s="7"/>
      <c r="DT49" s="7"/>
      <c r="DU49" s="7"/>
      <c r="DV49" s="7"/>
      <c r="DW49" s="7"/>
      <c r="DX49" s="7"/>
      <c r="DY49" s="7"/>
      <c r="DZ49" s="7"/>
      <c r="EA49" s="7"/>
      <c r="EB49" s="7"/>
      <c r="EC49" s="7"/>
      <c r="ED49" s="7"/>
      <c r="EE49" s="7"/>
      <c r="EF49" s="671"/>
      <c r="EG49" s="7"/>
      <c r="EH49" s="7"/>
      <c r="EI49" s="7"/>
      <c r="EJ49" s="7"/>
      <c r="EK49" s="7"/>
      <c r="EL49" s="7"/>
      <c r="EM49" s="1671"/>
      <c r="EN49" s="7"/>
      <c r="EO49" s="7"/>
      <c r="EP49" s="7"/>
      <c r="EQ49" s="7"/>
      <c r="ER49" s="7"/>
      <c r="ES49" s="7"/>
      <c r="ET49" s="7"/>
      <c r="EU49" s="7"/>
      <c r="EV49" s="671"/>
      <c r="EW49"/>
      <c r="EX49"/>
      <c r="EY49"/>
      <c r="EZ49"/>
      <c r="FA49"/>
      <c r="FB49"/>
      <c r="FG49" s="7"/>
      <c r="FH49" s="7"/>
      <c r="FI49" s="7"/>
      <c r="FJ49" s="7"/>
      <c r="FK49"/>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row>
    <row r="50" spans="1:260" s="4" customFormat="1" x14ac:dyDescent="0.2">
      <c r="A50" s="4" t="s">
        <v>379</v>
      </c>
      <c r="B50" s="69"/>
      <c r="C50" s="69"/>
      <c r="D50" s="69"/>
      <c r="E50" s="610"/>
      <c r="F50" s="69">
        <f t="shared" ref="F50:O51" si="148">(F100+E100+D100+C100)/F9</f>
        <v>52.970706428139216</v>
      </c>
      <c r="G50" s="69">
        <f t="shared" si="148"/>
        <v>56.310928246183153</v>
      </c>
      <c r="H50" s="69">
        <f t="shared" si="148"/>
        <v>34.11277335709724</v>
      </c>
      <c r="I50" s="610">
        <f t="shared" si="148"/>
        <v>60.155779251539556</v>
      </c>
      <c r="J50" s="69">
        <f t="shared" si="148"/>
        <v>55.045477726113702</v>
      </c>
      <c r="K50" s="69">
        <f t="shared" si="148"/>
        <v>51.595738104641377</v>
      </c>
      <c r="L50" s="69">
        <f t="shared" si="148"/>
        <v>34.331846602751149</v>
      </c>
      <c r="M50" s="610">
        <f t="shared" si="148"/>
        <v>59.43296991057165</v>
      </c>
      <c r="N50" s="69">
        <f t="shared" si="148"/>
        <v>72.374594202345037</v>
      </c>
      <c r="O50" s="69">
        <f t="shared" si="148"/>
        <v>62.927345674108203</v>
      </c>
      <c r="P50" s="69">
        <f t="shared" ref="P50:Y51" si="149">(P100+O100+N100+M100)/P9</f>
        <v>36.842427201459195</v>
      </c>
      <c r="Q50" s="610">
        <f t="shared" si="149"/>
        <v>97.644952941028649</v>
      </c>
      <c r="R50" s="69">
        <f t="shared" si="149"/>
        <v>91.681769186122267</v>
      </c>
      <c r="S50" s="69">
        <f t="shared" si="149"/>
        <v>76.422725928845963</v>
      </c>
      <c r="T50" s="69">
        <f t="shared" si="149"/>
        <v>42.249944858380182</v>
      </c>
      <c r="U50" s="610">
        <f t="shared" si="149"/>
        <v>87.335604271593056</v>
      </c>
      <c r="V50" s="69">
        <f t="shared" si="149"/>
        <v>115.00369228326032</v>
      </c>
      <c r="W50" s="69">
        <f t="shared" si="149"/>
        <v>64.489574598121024</v>
      </c>
      <c r="X50" s="69">
        <f t="shared" si="149"/>
        <v>33.974144246376596</v>
      </c>
      <c r="Y50" s="610">
        <f t="shared" si="149"/>
        <v>76.016389604308117</v>
      </c>
      <c r="Z50" s="69">
        <f t="shared" ref="Z50:AI51" si="150">(Z100+Y100+X100+W100)/Z9</f>
        <v>72.146644795091234</v>
      </c>
      <c r="AA50" s="69">
        <f t="shared" si="150"/>
        <v>61.742643928019191</v>
      </c>
      <c r="AB50" s="69">
        <f t="shared" si="150"/>
        <v>30.343210913234984</v>
      </c>
      <c r="AC50" s="610">
        <f t="shared" si="150"/>
        <v>66.000829366986963</v>
      </c>
      <c r="AD50" s="69">
        <f t="shared" si="150"/>
        <v>64.714405940594062</v>
      </c>
      <c r="AE50" s="69">
        <f t="shared" si="150"/>
        <v>67.437019900497503</v>
      </c>
      <c r="AF50" s="69">
        <f t="shared" si="150"/>
        <v>33.207456674473072</v>
      </c>
      <c r="AG50" s="610">
        <f t="shared" si="150"/>
        <v>73.332866028708125</v>
      </c>
      <c r="AH50" s="69">
        <f t="shared" si="150"/>
        <v>83.211663212435241</v>
      </c>
      <c r="AI50" s="69">
        <f t="shared" si="150"/>
        <v>72.265593220338985</v>
      </c>
      <c r="AJ50" s="69">
        <f t="shared" ref="AJ50:AS51" si="151">(AJ100+AI100+AH100+AG100)/AJ9</f>
        <v>48.861081081081075</v>
      </c>
      <c r="AK50" s="610">
        <f t="shared" si="151"/>
        <v>88.674208144796381</v>
      </c>
      <c r="AL50" s="69">
        <f t="shared" si="151"/>
        <v>82.724279835390945</v>
      </c>
      <c r="AM50" s="69">
        <f t="shared" si="151"/>
        <v>87.497872340425531</v>
      </c>
      <c r="AN50" s="69">
        <f t="shared" si="151"/>
        <v>36.412173913043475</v>
      </c>
      <c r="AO50" s="610">
        <f t="shared" si="151"/>
        <v>67.134615384615387</v>
      </c>
      <c r="AP50" s="69">
        <f t="shared" si="151"/>
        <v>70.900662251655632</v>
      </c>
      <c r="AQ50" s="69">
        <f t="shared" si="151"/>
        <v>73.456953642384107</v>
      </c>
      <c r="AR50" s="69">
        <f t="shared" si="151"/>
        <v>34.048672566371678</v>
      </c>
      <c r="AS50" s="610">
        <f t="shared" si="151"/>
        <v>71.559766763848401</v>
      </c>
      <c r="AT50" s="69">
        <f t="shared" ref="AT50:BC51" si="152">(AT100+AS100+AR100+AQ100)/AT9</f>
        <v>68.345013477088955</v>
      </c>
      <c r="AU50" s="69">
        <f t="shared" si="152"/>
        <v>79.390243902439025</v>
      </c>
      <c r="AV50" s="69">
        <f t="shared" si="152"/>
        <v>35.923180592991912</v>
      </c>
      <c r="AW50" s="610">
        <f t="shared" si="152"/>
        <v>73.154666666666671</v>
      </c>
      <c r="AX50" s="69">
        <f t="shared" si="152"/>
        <v>80.205714285714279</v>
      </c>
      <c r="AY50" s="69">
        <f t="shared" si="152"/>
        <v>73.763496143958875</v>
      </c>
      <c r="AZ50" s="69">
        <f t="shared" si="152"/>
        <v>33.275198187995471</v>
      </c>
      <c r="BA50" s="610">
        <f t="shared" si="152"/>
        <v>68.70378619153675</v>
      </c>
      <c r="BB50" s="69">
        <f t="shared" si="152"/>
        <v>77.479217603911977</v>
      </c>
      <c r="BC50" s="69">
        <f t="shared" si="152"/>
        <v>67.47412008281573</v>
      </c>
      <c r="BD50" s="69">
        <f t="shared" ref="BD50:BM51" si="153">(BD100+BC100+BB100+BA100)/BD9</f>
        <v>30.330935251798561</v>
      </c>
      <c r="BE50" s="610">
        <f t="shared" si="153"/>
        <v>65.572992700729927</v>
      </c>
      <c r="BF50" s="69">
        <f t="shared" si="153"/>
        <v>77.525210084033617</v>
      </c>
      <c r="BG50" s="69">
        <f t="shared" si="153"/>
        <v>68.680505415162457</v>
      </c>
      <c r="BH50" s="69">
        <f t="shared" si="153"/>
        <v>53.45602165087957</v>
      </c>
      <c r="BI50" s="610">
        <f t="shared" si="153"/>
        <v>72.901639344262293</v>
      </c>
      <c r="BJ50" s="69">
        <f t="shared" si="153"/>
        <v>77.084427767354597</v>
      </c>
      <c r="BK50" s="69">
        <f t="shared" si="153"/>
        <v>23.606162464985996</v>
      </c>
      <c r="BL50" s="69">
        <f t="shared" si="153"/>
        <v>16.56899166034875</v>
      </c>
      <c r="BM50" s="610">
        <f t="shared" si="153"/>
        <v>24.097965738758031</v>
      </c>
      <c r="BN50" s="69">
        <f t="shared" ref="BN50:BW51" si="154">(BN100+BM100+BL100+BK100)/BN9</f>
        <v>32.319551506657326</v>
      </c>
      <c r="BO50" s="69">
        <f t="shared" si="154"/>
        <v>26.746327683615821</v>
      </c>
      <c r="BP50" s="69">
        <f t="shared" si="154"/>
        <v>18.199619771863119</v>
      </c>
      <c r="BQ50" s="610">
        <f t="shared" si="154"/>
        <v>24.600990099009902</v>
      </c>
      <c r="BR50" s="69">
        <f t="shared" si="154"/>
        <v>31.910069664344523</v>
      </c>
      <c r="BS50" s="69">
        <f t="shared" si="154"/>
        <v>29.478488372093022</v>
      </c>
      <c r="BT50" s="69">
        <f t="shared" si="154"/>
        <v>18.105621195846759</v>
      </c>
      <c r="BU50" s="610">
        <f t="shared" si="154"/>
        <v>21.410562180579216</v>
      </c>
      <c r="BV50" s="69">
        <f t="shared" si="154"/>
        <v>28.946613088404135</v>
      </c>
      <c r="BW50" s="69">
        <f t="shared" si="154"/>
        <v>25.929562982005141</v>
      </c>
      <c r="BX50" s="69">
        <f t="shared" ref="BX50:CW51" si="155">(BX100+BW100+BV100+BU100)/BX9</f>
        <v>15.766500622665006</v>
      </c>
      <c r="BY50" s="610">
        <f t="shared" si="155"/>
        <v>22.297202797202797</v>
      </c>
      <c r="BZ50" s="69">
        <f t="shared" si="155"/>
        <v>27.998916576381365</v>
      </c>
      <c r="CA50" s="69">
        <f t="shared" si="155"/>
        <v>23.834192037470725</v>
      </c>
      <c r="CB50" s="69">
        <f t="shared" si="155"/>
        <v>22.017777777777777</v>
      </c>
      <c r="CC50" s="610">
        <f t="shared" si="155"/>
        <v>18.35096153846154</v>
      </c>
      <c r="CD50" s="1028">
        <f t="shared" si="155"/>
        <v>50.094983991462115</v>
      </c>
      <c r="CE50" s="271">
        <f t="shared" si="155"/>
        <v>37.984848484848484</v>
      </c>
      <c r="CF50" s="271">
        <f t="shared" si="155"/>
        <v>38.554764024933213</v>
      </c>
      <c r="CG50" s="610">
        <f>(CG100+CF100+CE100+CD100)/CG9</f>
        <v>31.048165137614678</v>
      </c>
      <c r="CH50" s="1028">
        <f t="shared" si="155"/>
        <v>46.293915040183698</v>
      </c>
      <c r="CI50" s="271">
        <f t="shared" si="155"/>
        <v>39.84776119402985</v>
      </c>
      <c r="CJ50" s="271">
        <f t="shared" si="155"/>
        <v>37.668855534709195</v>
      </c>
      <c r="CK50" s="610">
        <f t="shared" si="155"/>
        <v>31.514843750000001</v>
      </c>
      <c r="CL50" s="1028">
        <f t="shared" si="155"/>
        <v>40.460301507537686</v>
      </c>
      <c r="CM50" s="272">
        <f t="shared" si="155"/>
        <v>39.343414634146342</v>
      </c>
      <c r="CN50" s="272">
        <f t="shared" si="155"/>
        <v>37.807728557964182</v>
      </c>
      <c r="CO50" s="656">
        <f t="shared" si="155"/>
        <v>34.017211703958694</v>
      </c>
      <c r="CP50" s="272">
        <f t="shared" si="155"/>
        <v>35.927985414767548</v>
      </c>
      <c r="CQ50" s="272">
        <f t="shared" si="155"/>
        <v>42.568034557235421</v>
      </c>
      <c r="CR50" s="272">
        <f t="shared" si="155"/>
        <v>33.683134582623509</v>
      </c>
      <c r="CS50" s="2037">
        <f t="shared" si="155"/>
        <v>29.252412769116557</v>
      </c>
      <c r="CT50" s="2484">
        <f t="shared" si="155"/>
        <v>39.058358061325421</v>
      </c>
      <c r="CU50" s="272">
        <f t="shared" si="155"/>
        <v>41.3419689119171</v>
      </c>
      <c r="CV50" s="272">
        <f t="shared" si="155"/>
        <v>41.472708547888772</v>
      </c>
      <c r="CW50" s="2037">
        <f t="shared" si="155"/>
        <v>40.182078169685411</v>
      </c>
      <c r="CX50" s="2793">
        <f>+CT50</f>
        <v>39.058358061325421</v>
      </c>
      <c r="CY50" s="2604">
        <f t="shared" ref="CY50" si="156">+CU50</f>
        <v>41.3419689119171</v>
      </c>
      <c r="CZ50" s="2604">
        <f t="shared" ref="CZ50" si="157">+CV50</f>
        <v>41.472708547888772</v>
      </c>
      <c r="DA50" s="1615">
        <f t="shared" ref="DA50" si="158">+CW50</f>
        <v>40.182078169685411</v>
      </c>
      <c r="DB50" s="672"/>
      <c r="DC50" s="610"/>
      <c r="DD50" s="69">
        <f t="shared" ref="DD50:DI51" si="159">+DD100/DD9</f>
        <v>32.849593495934961</v>
      </c>
      <c r="DE50" s="69">
        <f t="shared" si="159"/>
        <v>35.240729841082988</v>
      </c>
      <c r="DF50" s="69">
        <f t="shared" si="159"/>
        <v>53.58066878203563</v>
      </c>
      <c r="DG50" s="69">
        <f t="shared" si="159"/>
        <v>78.130146491904384</v>
      </c>
      <c r="DH50" s="69">
        <f t="shared" si="159"/>
        <v>70.080623121071341</v>
      </c>
      <c r="DI50" s="69">
        <f t="shared" si="159"/>
        <v>76.276158788435069</v>
      </c>
      <c r="DJ50" s="69">
        <f>+DJ100/((DJ9+DI9)/2)</f>
        <v>75.287848726565983</v>
      </c>
      <c r="DK50" s="69">
        <f>+DK100/((DK9+DJ9)/2)</f>
        <v>60.055904650688611</v>
      </c>
      <c r="DL50" s="69"/>
      <c r="DM50" s="69">
        <f t="shared" ref="DM50:EH50" si="160">DM100/DM9</f>
        <v>60.155779251539556</v>
      </c>
      <c r="DN50" s="69">
        <f t="shared" si="160"/>
        <v>59.43296991057165</v>
      </c>
      <c r="DO50" s="69">
        <f t="shared" si="160"/>
        <v>97.644952941028635</v>
      </c>
      <c r="DP50" s="69">
        <f t="shared" si="160"/>
        <v>87.335604271593056</v>
      </c>
      <c r="DQ50" s="69">
        <f t="shared" si="160"/>
        <v>76.016389604308117</v>
      </c>
      <c r="DR50" s="69">
        <f t="shared" si="160"/>
        <v>66.000829366986963</v>
      </c>
      <c r="DS50" s="69">
        <f t="shared" si="160"/>
        <v>73.332866028708125</v>
      </c>
      <c r="DT50" s="69">
        <f t="shared" si="160"/>
        <v>88.674208144796381</v>
      </c>
      <c r="DU50" s="69">
        <f t="shared" si="160"/>
        <v>67.134615384615387</v>
      </c>
      <c r="DV50" s="69">
        <f t="shared" si="160"/>
        <v>71.559766763848401</v>
      </c>
      <c r="DW50" s="69">
        <f t="shared" si="160"/>
        <v>73.154666666666671</v>
      </c>
      <c r="DX50" s="69">
        <f t="shared" si="160"/>
        <v>68.70378619153675</v>
      </c>
      <c r="DY50" s="69">
        <f t="shared" si="160"/>
        <v>65.572992700729927</v>
      </c>
      <c r="DZ50" s="69">
        <f t="shared" si="160"/>
        <v>72.901639344262293</v>
      </c>
      <c r="EA50" s="69">
        <f t="shared" si="160"/>
        <v>24.097965738758031</v>
      </c>
      <c r="EB50" s="69">
        <f t="shared" si="160"/>
        <v>24.600990099009902</v>
      </c>
      <c r="EC50" s="69">
        <f t="shared" si="160"/>
        <v>21.410562180579216</v>
      </c>
      <c r="ED50" s="69">
        <f t="shared" si="160"/>
        <v>22.297202797202797</v>
      </c>
      <c r="EE50" s="69">
        <f t="shared" si="160"/>
        <v>22.049122807017543</v>
      </c>
      <c r="EF50" s="672">
        <f t="shared" si="160"/>
        <v>20.252481143310838</v>
      </c>
      <c r="EG50" s="271">
        <f t="shared" si="160"/>
        <v>18.35096153846154</v>
      </c>
      <c r="EH50" s="271">
        <f t="shared" si="160"/>
        <v>31.048165137614678</v>
      </c>
      <c r="EI50" s="2587">
        <f t="shared" ref="EI50:EK51" si="161">EI100/EI9</f>
        <v>31.514843750000001</v>
      </c>
      <c r="EJ50" s="2587">
        <f t="shared" si="161"/>
        <v>34.017211703958694</v>
      </c>
      <c r="EK50" s="2588">
        <f t="shared" si="161"/>
        <v>29.252412769116557</v>
      </c>
      <c r="EL50" s="2588">
        <f>EL100/EL9</f>
        <v>40.182078169685411</v>
      </c>
      <c r="EM50" s="2589">
        <f>EM100/EM9</f>
        <v>40.182078169685418</v>
      </c>
      <c r="EN50" s="2590">
        <f>EM50</f>
        <v>40.182078169685418</v>
      </c>
      <c r="EO50" s="1616">
        <f>EN50</f>
        <v>40.182078169685418</v>
      </c>
      <c r="EP50" s="1616">
        <f>EO50</f>
        <v>40.182078169685418</v>
      </c>
      <c r="EQ50" s="1616">
        <f t="shared" ref="EQ50:EU52" si="162">EP50</f>
        <v>40.182078169685418</v>
      </c>
      <c r="ER50" s="1616">
        <f t="shared" si="162"/>
        <v>40.182078169685418</v>
      </c>
      <c r="ES50" s="1616">
        <f t="shared" si="162"/>
        <v>40.182078169685418</v>
      </c>
      <c r="ET50" s="1616">
        <f t="shared" si="162"/>
        <v>40.182078169685418</v>
      </c>
      <c r="EU50" s="1616">
        <f t="shared" si="162"/>
        <v>40.182078169685418</v>
      </c>
      <c r="EV50" s="1028"/>
      <c r="EW50"/>
      <c r="EX50"/>
      <c r="EY50"/>
      <c r="EZ50"/>
      <c r="FA50"/>
      <c r="FB50"/>
      <c r="FG50" s="1162"/>
      <c r="FH50" s="2653"/>
      <c r="FI50" s="2653"/>
      <c r="FJ50" s="2604"/>
      <c r="FK5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row>
    <row r="51" spans="1:260" s="4" customFormat="1" x14ac:dyDescent="0.2">
      <c r="A51" s="4" t="s">
        <v>380</v>
      </c>
      <c r="B51" s="69"/>
      <c r="C51" s="69"/>
      <c r="D51" s="69"/>
      <c r="E51" s="610"/>
      <c r="F51" s="69">
        <f t="shared" si="148"/>
        <v>4.1341257427063614</v>
      </c>
      <c r="G51" s="69">
        <f t="shared" si="148"/>
        <v>3.757697741748697</v>
      </c>
      <c r="H51" s="69">
        <f t="shared" si="148"/>
        <v>2.4972275129436383</v>
      </c>
      <c r="I51" s="610">
        <f t="shared" si="148"/>
        <v>4.8355450231745438</v>
      </c>
      <c r="J51" s="69">
        <f t="shared" si="148"/>
        <v>4.7397881664939137</v>
      </c>
      <c r="K51" s="69">
        <f t="shared" si="148"/>
        <v>4.0907624540998846</v>
      </c>
      <c r="L51" s="69">
        <f t="shared" si="148"/>
        <v>2.8934906206638713</v>
      </c>
      <c r="M51" s="610">
        <f t="shared" si="148"/>
        <v>5.2290878180931148</v>
      </c>
      <c r="N51" s="69">
        <f t="shared" si="148"/>
        <v>4.8160704593782571</v>
      </c>
      <c r="O51" s="69">
        <f t="shared" si="148"/>
        <v>4.7525027947010532</v>
      </c>
      <c r="P51" s="69">
        <f t="shared" si="149"/>
        <v>3.7678430296913135</v>
      </c>
      <c r="Q51" s="610">
        <f t="shared" si="149"/>
        <v>5.9288446980236893</v>
      </c>
      <c r="R51" s="69">
        <f t="shared" si="149"/>
        <v>6.0052557753619986</v>
      </c>
      <c r="S51" s="69">
        <f t="shared" si="149"/>
        <v>5.590269286858117</v>
      </c>
      <c r="T51" s="69">
        <f t="shared" si="149"/>
        <v>3.9608798127784315</v>
      </c>
      <c r="U51" s="610">
        <f t="shared" si="149"/>
        <v>6.6234478519741931</v>
      </c>
      <c r="V51" s="69">
        <f t="shared" si="149"/>
        <v>6.5902833780141385</v>
      </c>
      <c r="W51" s="69">
        <f t="shared" si="149"/>
        <v>6.4422508874402169</v>
      </c>
      <c r="X51" s="69">
        <f t="shared" si="149"/>
        <v>4.631717794469556</v>
      </c>
      <c r="Y51" s="610">
        <f t="shared" si="149"/>
        <v>7.8845480453302184</v>
      </c>
      <c r="Z51" s="69">
        <f t="shared" si="150"/>
        <v>7.7237159392331804</v>
      </c>
      <c r="AA51" s="69">
        <f t="shared" si="150"/>
        <v>6.9649981438997983</v>
      </c>
      <c r="AB51" s="69">
        <f t="shared" si="150"/>
        <v>4.5315606928644447</v>
      </c>
      <c r="AC51" s="610">
        <f t="shared" si="150"/>
        <v>8.5332061594297794</v>
      </c>
      <c r="AD51" s="69">
        <f t="shared" si="150"/>
        <v>8.0177245053272461</v>
      </c>
      <c r="AE51" s="69">
        <f t="shared" si="150"/>
        <v>7.480848318462594</v>
      </c>
      <c r="AF51" s="69">
        <f t="shared" si="150"/>
        <v>4.907931701030928</v>
      </c>
      <c r="AG51" s="610">
        <f t="shared" si="150"/>
        <v>6.9423825693265426</v>
      </c>
      <c r="AH51" s="69">
        <f t="shared" si="150"/>
        <v>6.4412241292276633</v>
      </c>
      <c r="AI51" s="69">
        <f t="shared" si="150"/>
        <v>6.4319498087954114</v>
      </c>
      <c r="AJ51" s="69">
        <f t="shared" si="151"/>
        <v>4.0880601329864126</v>
      </c>
      <c r="AK51" s="610">
        <f t="shared" si="151"/>
        <v>8.0890666666666675</v>
      </c>
      <c r="AL51" s="69">
        <f t="shared" si="151"/>
        <v>5.8588235294117643</v>
      </c>
      <c r="AM51" s="69">
        <f t="shared" si="151"/>
        <v>7.357243319268636</v>
      </c>
      <c r="AN51" s="69">
        <f t="shared" si="151"/>
        <v>4.6292725679228743</v>
      </c>
      <c r="AO51" s="610">
        <f t="shared" si="151"/>
        <v>7.5637939335580162</v>
      </c>
      <c r="AP51" s="69">
        <f t="shared" si="151"/>
        <v>6.7867398648648649</v>
      </c>
      <c r="AQ51" s="69">
        <f t="shared" si="151"/>
        <v>6.2945853843241197</v>
      </c>
      <c r="AR51" s="69">
        <f t="shared" si="151"/>
        <v>3.904471544715447</v>
      </c>
      <c r="AS51" s="610">
        <f t="shared" si="151"/>
        <v>7.0782508630609895</v>
      </c>
      <c r="AT51" s="69">
        <f t="shared" si="152"/>
        <v>6.5653516295025733</v>
      </c>
      <c r="AU51" s="69">
        <f t="shared" si="152"/>
        <v>6.6032808838299299</v>
      </c>
      <c r="AV51" s="69">
        <f t="shared" si="152"/>
        <v>4.202652300041442</v>
      </c>
      <c r="AW51" s="610">
        <f t="shared" si="152"/>
        <v>7.3440897930550681</v>
      </c>
      <c r="AX51" s="69">
        <f t="shared" si="152"/>
        <v>6.5309246785058175</v>
      </c>
      <c r="AY51" s="69">
        <f t="shared" si="152"/>
        <v>6.6803076923076921</v>
      </c>
      <c r="AZ51" s="69">
        <f t="shared" si="152"/>
        <v>4.1689875799774185</v>
      </c>
      <c r="BA51" s="610">
        <f t="shared" si="152"/>
        <v>6.9269023367285802</v>
      </c>
      <c r="BB51" s="69">
        <f t="shared" si="152"/>
        <v>6.3569708322183569</v>
      </c>
      <c r="BC51" s="69">
        <f t="shared" si="152"/>
        <v>6.0424796245986663</v>
      </c>
      <c r="BD51" s="69">
        <f t="shared" si="153"/>
        <v>4.1743918474687707</v>
      </c>
      <c r="BE51" s="610">
        <f t="shared" si="153"/>
        <v>6.7440417080436941</v>
      </c>
      <c r="BF51" s="69">
        <f t="shared" si="153"/>
        <v>6.5160539785946954</v>
      </c>
      <c r="BG51" s="69">
        <f t="shared" si="153"/>
        <v>6.2184946236559142</v>
      </c>
      <c r="BH51" s="69">
        <f t="shared" si="153"/>
        <v>4.0301972889545024</v>
      </c>
      <c r="BI51" s="610">
        <f t="shared" si="153"/>
        <v>6.4734494477485134</v>
      </c>
      <c r="BJ51" s="69">
        <f t="shared" si="153"/>
        <v>6.2535464535464538</v>
      </c>
      <c r="BK51" s="69">
        <f t="shared" si="153"/>
        <v>5.2592956592956597</v>
      </c>
      <c r="BL51" s="69">
        <f t="shared" si="153"/>
        <v>4.0399658827829903</v>
      </c>
      <c r="BM51" s="610">
        <f t="shared" si="153"/>
        <v>7.1569535030507048</v>
      </c>
      <c r="BN51" s="69">
        <f t="shared" si="154"/>
        <v>6.3248268319358365</v>
      </c>
      <c r="BO51" s="69">
        <f t="shared" si="154"/>
        <v>6.2070407807598462</v>
      </c>
      <c r="BP51" s="69">
        <f t="shared" si="154"/>
        <v>4.0163733570951212</v>
      </c>
      <c r="BQ51" s="610">
        <f t="shared" si="154"/>
        <v>6.8417790740065625</v>
      </c>
      <c r="BR51" s="69">
        <f t="shared" si="154"/>
        <v>5.9968429360694557</v>
      </c>
      <c r="BS51" s="69">
        <f t="shared" si="154"/>
        <v>5.9995272612669401</v>
      </c>
      <c r="BT51" s="69">
        <f t="shared" si="154"/>
        <v>3.7656995230524641</v>
      </c>
      <c r="BU51" s="610">
        <f t="shared" si="154"/>
        <v>6.3779888078684079</v>
      </c>
      <c r="BV51" s="69">
        <f t="shared" si="154"/>
        <v>5.945405915670233</v>
      </c>
      <c r="BW51" s="69">
        <f t="shared" si="154"/>
        <v>5.9101983445260036</v>
      </c>
      <c r="BX51" s="69">
        <f t="shared" si="155"/>
        <v>4.1313449023861173</v>
      </c>
      <c r="BY51" s="610">
        <f t="shared" si="155"/>
        <v>6.6927237829349151</v>
      </c>
      <c r="BZ51" s="69">
        <f t="shared" si="155"/>
        <v>6.4117065127782356</v>
      </c>
      <c r="CA51" s="69">
        <f t="shared" si="155"/>
        <v>6.0954119701539931</v>
      </c>
      <c r="CB51" s="69">
        <f t="shared" si="155"/>
        <v>4.5864394310936731</v>
      </c>
      <c r="CC51" s="610">
        <f t="shared" si="155"/>
        <v>5.7498097702024049</v>
      </c>
      <c r="CD51" s="1028">
        <f t="shared" si="155"/>
        <v>6.57425379967039</v>
      </c>
      <c r="CE51" s="271">
        <f t="shared" si="155"/>
        <v>6.3535037704616517</v>
      </c>
      <c r="CF51" s="271">
        <f t="shared" si="155"/>
        <v>4.7589567211235311</v>
      </c>
      <c r="CG51" s="610">
        <f t="shared" si="155"/>
        <v>5.8549107142857144</v>
      </c>
      <c r="CH51" s="1028">
        <f t="shared" si="155"/>
        <v>5.9609895337773553</v>
      </c>
      <c r="CI51" s="271">
        <f t="shared" si="155"/>
        <v>5.5849901486655922</v>
      </c>
      <c r="CJ51" s="271">
        <f t="shared" si="155"/>
        <v>4.5371014492753625</v>
      </c>
      <c r="CK51" s="610">
        <f t="shared" si="155"/>
        <v>6.0479319675299577</v>
      </c>
      <c r="CL51" s="1028">
        <f t="shared" si="155"/>
        <v>6.3322515212981747</v>
      </c>
      <c r="CM51" s="272">
        <f t="shared" si="155"/>
        <v>6.2422422422422423</v>
      </c>
      <c r="CN51" s="272">
        <f t="shared" si="155"/>
        <v>4.6507292136520828</v>
      </c>
      <c r="CO51" s="656">
        <f t="shared" si="155"/>
        <v>6.0233617105523658</v>
      </c>
      <c r="CP51" s="272">
        <f t="shared" si="155"/>
        <v>6.4223352405170591</v>
      </c>
      <c r="CQ51" s="272">
        <f t="shared" si="155"/>
        <v>6.1807253463732685</v>
      </c>
      <c r="CR51" s="272">
        <f t="shared" si="155"/>
        <v>4.7968725319854686</v>
      </c>
      <c r="CS51" s="2037">
        <f t="shared" si="155"/>
        <v>6.1977796052631575</v>
      </c>
      <c r="CT51" s="2484">
        <f t="shared" si="155"/>
        <v>6.5065775285745096</v>
      </c>
      <c r="CU51" s="272">
        <f t="shared" si="155"/>
        <v>5.9003290110315465</v>
      </c>
      <c r="CV51" s="272">
        <f t="shared" si="155"/>
        <v>4.6202911601380761</v>
      </c>
      <c r="CW51" s="2037">
        <f t="shared" si="155"/>
        <v>6.1960069111153775</v>
      </c>
      <c r="CX51" s="2793">
        <f>+CT51</f>
        <v>6.5065775285745096</v>
      </c>
      <c r="CY51" s="2604">
        <f t="shared" ref="CY51:DA52" si="163">+CU51</f>
        <v>5.9003290110315465</v>
      </c>
      <c r="CZ51" s="2604">
        <f t="shared" si="163"/>
        <v>4.6202911601380761</v>
      </c>
      <c r="DA51" s="1615">
        <f t="shared" si="163"/>
        <v>6.1960069111153775</v>
      </c>
      <c r="DB51" s="672"/>
      <c r="DC51" s="610"/>
      <c r="DD51" s="69">
        <f t="shared" si="159"/>
        <v>3.5615324130443118</v>
      </c>
      <c r="DE51" s="69">
        <f t="shared" si="159"/>
        <v>2.8730967721255252</v>
      </c>
      <c r="DF51" s="69">
        <f t="shared" si="159"/>
        <v>3.4011879411477315</v>
      </c>
      <c r="DG51" s="69">
        <f t="shared" si="159"/>
        <v>3.8353422585953831</v>
      </c>
      <c r="DH51" s="69">
        <f t="shared" si="159"/>
        <v>4.2209353593358498</v>
      </c>
      <c r="DI51" s="69">
        <f t="shared" si="159"/>
        <v>5.467643493165002</v>
      </c>
      <c r="DJ51" s="69">
        <f>+DJ101/((DJ10+DI10)/2)</f>
        <v>6.4670312108568515</v>
      </c>
      <c r="DK51" s="69">
        <f>+DK101/((DK10+DJ10)/2)</f>
        <v>6.9250574736476516</v>
      </c>
      <c r="DL51" s="69"/>
      <c r="DM51" s="69">
        <f t="shared" ref="DM51:EH51" si="164">DM101/DM10</f>
        <v>4.8355450231745438</v>
      </c>
      <c r="DN51" s="69">
        <f t="shared" si="164"/>
        <v>5.229087818093114</v>
      </c>
      <c r="DO51" s="69">
        <f t="shared" si="164"/>
        <v>5.9288446980236902</v>
      </c>
      <c r="DP51" s="69">
        <f t="shared" si="164"/>
        <v>6.6234478519741922</v>
      </c>
      <c r="DQ51" s="69">
        <f t="shared" si="164"/>
        <v>7.8845480453302184</v>
      </c>
      <c r="DR51" s="69">
        <f t="shared" si="164"/>
        <v>8.5332061594297794</v>
      </c>
      <c r="DS51" s="69">
        <f t="shared" si="164"/>
        <v>6.9423825693265426</v>
      </c>
      <c r="DT51" s="69">
        <f t="shared" si="164"/>
        <v>8.0890666666666675</v>
      </c>
      <c r="DU51" s="69">
        <f t="shared" si="164"/>
        <v>7.5637939335580162</v>
      </c>
      <c r="DV51" s="69">
        <f t="shared" si="164"/>
        <v>7.0782508630609895</v>
      </c>
      <c r="DW51" s="69">
        <f t="shared" si="164"/>
        <v>7.3440897930550681</v>
      </c>
      <c r="DX51" s="69">
        <f t="shared" si="164"/>
        <v>6.9269023367285802</v>
      </c>
      <c r="DY51" s="69">
        <f t="shared" si="164"/>
        <v>6.7440417080436941</v>
      </c>
      <c r="DZ51" s="69">
        <f t="shared" si="164"/>
        <v>6.4734494477485134</v>
      </c>
      <c r="EA51" s="69">
        <f t="shared" si="164"/>
        <v>7.1569535030507048</v>
      </c>
      <c r="EB51" s="69">
        <f t="shared" si="164"/>
        <v>6.8417790740065625</v>
      </c>
      <c r="EC51" s="69">
        <f t="shared" si="164"/>
        <v>6.3779888078684079</v>
      </c>
      <c r="ED51" s="69">
        <f t="shared" si="164"/>
        <v>6.6927237829349151</v>
      </c>
      <c r="EE51" s="69">
        <f t="shared" si="164"/>
        <v>5.1032564450474895</v>
      </c>
      <c r="EF51" s="672">
        <f t="shared" si="164"/>
        <v>5.6381008378656476</v>
      </c>
      <c r="EG51" s="271">
        <f t="shared" si="164"/>
        <v>5.7498097702024049</v>
      </c>
      <c r="EH51" s="271">
        <f t="shared" si="164"/>
        <v>5.8549107142857144</v>
      </c>
      <c r="EI51" s="2587">
        <f t="shared" si="161"/>
        <v>6.0479319675299577</v>
      </c>
      <c r="EJ51" s="2587">
        <f t="shared" si="161"/>
        <v>6.0233617105523658</v>
      </c>
      <c r="EK51" s="2588">
        <f t="shared" si="161"/>
        <v>6.1977796052631575</v>
      </c>
      <c r="EL51" s="2588">
        <f>EL101/EL10</f>
        <v>6.1960069111153775</v>
      </c>
      <c r="EM51" s="2589">
        <f>EM101/EM10</f>
        <v>6.1960069111153766</v>
      </c>
      <c r="EN51" s="2590">
        <f t="shared" ref="EN51:EP52" si="165">EM51</f>
        <v>6.1960069111153766</v>
      </c>
      <c r="EO51" s="1616">
        <f t="shared" si="165"/>
        <v>6.1960069111153766</v>
      </c>
      <c r="EP51" s="1616">
        <f t="shared" si="165"/>
        <v>6.1960069111153766</v>
      </c>
      <c r="EQ51" s="1616">
        <f t="shared" si="162"/>
        <v>6.1960069111153766</v>
      </c>
      <c r="ER51" s="1616">
        <f t="shared" si="162"/>
        <v>6.1960069111153766</v>
      </c>
      <c r="ES51" s="1616">
        <f t="shared" si="162"/>
        <v>6.1960069111153766</v>
      </c>
      <c r="ET51" s="1616">
        <f t="shared" si="162"/>
        <v>6.1960069111153766</v>
      </c>
      <c r="EU51" s="1616">
        <f t="shared" si="162"/>
        <v>6.1960069111153766</v>
      </c>
      <c r="EV51" s="1028"/>
      <c r="EW51"/>
      <c r="EX51"/>
      <c r="EY51"/>
      <c r="EZ51"/>
      <c r="FA51"/>
      <c r="FB51"/>
      <c r="FG51" s="1162"/>
      <c r="FH51" s="2653"/>
      <c r="FI51" s="2653"/>
      <c r="FJ51" s="2604"/>
      <c r="FK51"/>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row>
    <row r="52" spans="1:260" s="4" customFormat="1" x14ac:dyDescent="0.2">
      <c r="A52" s="4" t="s">
        <v>381</v>
      </c>
      <c r="B52" s="69"/>
      <c r="C52" s="69"/>
      <c r="D52" s="69"/>
      <c r="E52" s="610"/>
      <c r="F52" s="69">
        <f t="shared" ref="F52:AK52" si="166">(F101+E101+D101+C101)/F24</f>
        <v>9.3153225187421658</v>
      </c>
      <c r="G52" s="69">
        <f t="shared" si="166"/>
        <v>6.7397224991691589</v>
      </c>
      <c r="H52" s="69">
        <f t="shared" si="166"/>
        <v>4.7270952270323869</v>
      </c>
      <c r="I52" s="610">
        <f t="shared" si="166"/>
        <v>10.792493889574656</v>
      </c>
      <c r="J52" s="69">
        <f t="shared" si="166"/>
        <v>10.59229508744942</v>
      </c>
      <c r="K52" s="69">
        <f t="shared" si="166"/>
        <v>7.8389854693872625</v>
      </c>
      <c r="L52" s="69">
        <f t="shared" si="166"/>
        <v>5.0866800550377835</v>
      </c>
      <c r="M52" s="610">
        <f t="shared" si="166"/>
        <v>9.3208553213465279</v>
      </c>
      <c r="N52" s="69">
        <f t="shared" si="166"/>
        <v>12.794568957319758</v>
      </c>
      <c r="O52" s="69">
        <f t="shared" si="166"/>
        <v>11.103342130537598</v>
      </c>
      <c r="P52" s="69">
        <f t="shared" si="166"/>
        <v>6.6328629188093604</v>
      </c>
      <c r="Q52" s="610">
        <f t="shared" si="166"/>
        <v>13.759275279724148</v>
      </c>
      <c r="R52" s="69">
        <f t="shared" si="166"/>
        <v>12.81038677515691</v>
      </c>
      <c r="S52" s="69">
        <f t="shared" si="166"/>
        <v>10.751713523197907</v>
      </c>
      <c r="T52" s="69">
        <f t="shared" si="166"/>
        <v>5.7712107950844063</v>
      </c>
      <c r="U52" s="610">
        <f t="shared" si="166"/>
        <v>9.663319520222478</v>
      </c>
      <c r="V52" s="69">
        <f t="shared" si="166"/>
        <v>10.318271977432138</v>
      </c>
      <c r="W52" s="69">
        <f t="shared" si="166"/>
        <v>8.7480409619167645</v>
      </c>
      <c r="X52" s="69">
        <f t="shared" si="166"/>
        <v>5.0873560401063607</v>
      </c>
      <c r="Y52" s="610">
        <f t="shared" si="166"/>
        <v>8.1543420977201784</v>
      </c>
      <c r="Z52" s="69">
        <f t="shared" si="166"/>
        <v>9.8971751203983729</v>
      </c>
      <c r="AA52" s="69">
        <f t="shared" si="166"/>
        <v>8.4694250090422223</v>
      </c>
      <c r="AB52" s="69">
        <f t="shared" si="166"/>
        <v>4.5584599764086917</v>
      </c>
      <c r="AC52" s="610">
        <f t="shared" si="166"/>
        <v>7.6872566479443512</v>
      </c>
      <c r="AD52" s="69">
        <f t="shared" si="166"/>
        <v>8.6143008994276382</v>
      </c>
      <c r="AE52" s="69">
        <f t="shared" si="166"/>
        <v>7.3695713319810681</v>
      </c>
      <c r="AF52" s="69">
        <f t="shared" si="166"/>
        <v>4.6015565847764801</v>
      </c>
      <c r="AG52" s="610">
        <f t="shared" si="166"/>
        <v>6.9188888888888895</v>
      </c>
      <c r="AH52" s="69">
        <f t="shared" si="166"/>
        <v>7.0033287596048304</v>
      </c>
      <c r="AI52" s="69">
        <f t="shared" si="166"/>
        <v>6.538211370262391</v>
      </c>
      <c r="AJ52" s="69">
        <f t="shared" si="166"/>
        <v>3.8794513031550069</v>
      </c>
      <c r="AK52" s="610">
        <f t="shared" si="166"/>
        <v>6.8878292461398729</v>
      </c>
      <c r="AL52" s="69">
        <f t="shared" ref="AL52:BQ52" si="167">(AL101+AK101+AJ101+AI101)/AL24</f>
        <v>6.3688118811881189</v>
      </c>
      <c r="AM52" s="69">
        <f t="shared" si="167"/>
        <v>7.5410860163382987</v>
      </c>
      <c r="AN52" s="69">
        <f t="shared" si="167"/>
        <v>4.3130103429504629</v>
      </c>
      <c r="AO52" s="610">
        <f t="shared" si="167"/>
        <v>7.1571753986332576</v>
      </c>
      <c r="AP52" s="69">
        <f t="shared" si="167"/>
        <v>6.8184132371658892</v>
      </c>
      <c r="AQ52" s="69">
        <f t="shared" si="167"/>
        <v>6.4185328185328183</v>
      </c>
      <c r="AR52" s="69">
        <f t="shared" si="167"/>
        <v>3.8411464119084648</v>
      </c>
      <c r="AS52" s="610">
        <f t="shared" si="167"/>
        <v>7.5012195121951217</v>
      </c>
      <c r="AT52" s="69">
        <f t="shared" si="167"/>
        <v>7.3297587131367292</v>
      </c>
      <c r="AU52" s="69">
        <f t="shared" si="167"/>
        <v>7.3106004447739066</v>
      </c>
      <c r="AV52" s="69">
        <f t="shared" si="167"/>
        <v>4.0499201277955272</v>
      </c>
      <c r="AW52" s="610">
        <f t="shared" si="167"/>
        <v>7.4143059490084982</v>
      </c>
      <c r="AX52" s="69">
        <f t="shared" si="167"/>
        <v>7.0003281916639315</v>
      </c>
      <c r="AY52" s="69">
        <f t="shared" si="167"/>
        <v>7.8663043478260866</v>
      </c>
      <c r="AZ52" s="69">
        <f t="shared" si="167"/>
        <v>4.1603755868544603</v>
      </c>
      <c r="BA52" s="610">
        <f t="shared" si="167"/>
        <v>7.149659863945578</v>
      </c>
      <c r="BB52" s="69">
        <f t="shared" si="167"/>
        <v>7.7761047463175119</v>
      </c>
      <c r="BC52" s="69">
        <f t="shared" si="167"/>
        <v>6.341627786417833</v>
      </c>
      <c r="BD52" s="69">
        <f t="shared" si="167"/>
        <v>4.0108970309538847</v>
      </c>
      <c r="BE52" s="610">
        <f t="shared" si="167"/>
        <v>6.9051855617691915</v>
      </c>
      <c r="BF52" s="69">
        <f t="shared" si="167"/>
        <v>7.0775840283042708</v>
      </c>
      <c r="BG52" s="69">
        <f t="shared" si="167"/>
        <v>6.7059369202226344</v>
      </c>
      <c r="BH52" s="69">
        <f t="shared" si="167"/>
        <v>3.9527445044096354</v>
      </c>
      <c r="BI52" s="610">
        <f t="shared" si="167"/>
        <v>7.0926227600651615</v>
      </c>
      <c r="BJ52" s="69">
        <f t="shared" si="167"/>
        <v>6.6636150734511395</v>
      </c>
      <c r="BK52" s="69">
        <f t="shared" si="167"/>
        <v>5.4199864956110737</v>
      </c>
      <c r="BL52" s="69">
        <f t="shared" si="167"/>
        <v>4.0340674047937704</v>
      </c>
      <c r="BM52" s="610">
        <f t="shared" si="167"/>
        <v>6.8074844906944163</v>
      </c>
      <c r="BN52" s="69">
        <f t="shared" si="167"/>
        <v>6.9451561248999196</v>
      </c>
      <c r="BO52" s="69">
        <f t="shared" si="167"/>
        <v>6.5870168300351395</v>
      </c>
      <c r="BP52" s="69">
        <f t="shared" si="167"/>
        <v>3.969943851150501</v>
      </c>
      <c r="BQ52" s="610">
        <f t="shared" si="167"/>
        <v>7.1141015921152384</v>
      </c>
      <c r="BR52" s="69">
        <f t="shared" ref="BR52:CW52" si="168">(BR101+BQ101+BP101+BO101)/BR24</f>
        <v>6.4829351535836182</v>
      </c>
      <c r="BS52" s="69">
        <f t="shared" si="168"/>
        <v>6.8316884981159163</v>
      </c>
      <c r="BT52" s="69">
        <f t="shared" si="168"/>
        <v>3.8443903428687363</v>
      </c>
      <c r="BU52" s="610">
        <f t="shared" si="168"/>
        <v>7.6851246424192885</v>
      </c>
      <c r="BV52" s="69">
        <f t="shared" si="168"/>
        <v>6.6134056702835142</v>
      </c>
      <c r="BW52" s="69">
        <f t="shared" si="168"/>
        <v>6.4910806174957116</v>
      </c>
      <c r="BX52" s="69">
        <f t="shared" si="168"/>
        <v>3.7848767885532593</v>
      </c>
      <c r="BY52" s="610">
        <f t="shared" si="168"/>
        <v>7.1506338553318418</v>
      </c>
      <c r="BZ52" s="69">
        <f t="shared" si="168"/>
        <v>6.7853777700226834</v>
      </c>
      <c r="CA52" s="69">
        <f t="shared" si="168"/>
        <v>6.3410404624277454</v>
      </c>
      <c r="CB52" s="69">
        <f t="shared" si="168"/>
        <v>4.7153661918568011</v>
      </c>
      <c r="CC52" s="610">
        <f t="shared" si="168"/>
        <v>5.4354769097971518</v>
      </c>
      <c r="CD52" s="1028">
        <f t="shared" si="168"/>
        <v>7.517169179229481</v>
      </c>
      <c r="CE52" s="271">
        <f t="shared" si="168"/>
        <v>6.9533011272141705</v>
      </c>
      <c r="CF52" s="271">
        <f t="shared" si="168"/>
        <v>5.0483429613864397</v>
      </c>
      <c r="CG52" s="610">
        <f t="shared" si="168"/>
        <v>6.1452557594689576</v>
      </c>
      <c r="CH52" s="1028">
        <f t="shared" si="168"/>
        <v>6.3257269789983841</v>
      </c>
      <c r="CI52" s="271">
        <f t="shared" si="168"/>
        <v>5.946033562166285</v>
      </c>
      <c r="CJ52" s="271">
        <f t="shared" si="168"/>
        <v>4.7247207968608516</v>
      </c>
      <c r="CK52" s="610">
        <f t="shared" si="168"/>
        <v>6.2210735586481114</v>
      </c>
      <c r="CL52" s="1028">
        <f t="shared" si="168"/>
        <v>6.8102094240837694</v>
      </c>
      <c r="CM52" s="272">
        <f t="shared" si="168"/>
        <v>6.6623931623931627</v>
      </c>
      <c r="CN52" s="272">
        <f t="shared" si="168"/>
        <v>5.0019404915912027</v>
      </c>
      <c r="CO52" s="656">
        <f t="shared" si="168"/>
        <v>6.8368539325842699</v>
      </c>
      <c r="CP52" s="272">
        <f t="shared" si="168"/>
        <v>6.8926540823288605</v>
      </c>
      <c r="CQ52" s="272">
        <f t="shared" si="168"/>
        <v>6.3197916666666663</v>
      </c>
      <c r="CR52" s="272">
        <f t="shared" si="168"/>
        <v>4.8722926359698375</v>
      </c>
      <c r="CS52" s="2037">
        <f t="shared" si="168"/>
        <v>6.0485553772070624</v>
      </c>
      <c r="CT52" s="2484">
        <f t="shared" si="168"/>
        <v>6.560339204174821</v>
      </c>
      <c r="CU52" s="272">
        <f t="shared" si="168"/>
        <v>6.0108438485804419</v>
      </c>
      <c r="CV52" s="272">
        <f t="shared" si="168"/>
        <v>4.6735995141946258</v>
      </c>
      <c r="CW52" s="2037">
        <f t="shared" si="168"/>
        <v>6.6232300430946029</v>
      </c>
      <c r="CX52" s="2793">
        <f t="shared" ref="CX52" si="169">+CT52</f>
        <v>6.560339204174821</v>
      </c>
      <c r="CY52" s="2604">
        <f t="shared" si="163"/>
        <v>6.0108438485804419</v>
      </c>
      <c r="CZ52" s="2604">
        <f t="shared" si="163"/>
        <v>4.6735995141946258</v>
      </c>
      <c r="DA52" s="1615">
        <f t="shared" si="163"/>
        <v>6.6232300430946029</v>
      </c>
      <c r="DB52" s="672"/>
      <c r="DC52" s="610"/>
      <c r="DD52" s="69">
        <f t="shared" ref="DD52:DI52" si="170">+DD101/DD24</f>
        <v>10.414407635467983</v>
      </c>
      <c r="DE52" s="69">
        <f t="shared" si="170"/>
        <v>14.594480175852807</v>
      </c>
      <c r="DF52" s="69">
        <f t="shared" si="170"/>
        <v>13.653338775510203</v>
      </c>
      <c r="DG52" s="69">
        <f t="shared" si="170"/>
        <v>16.999089167974745</v>
      </c>
      <c r="DH52" s="69">
        <f t="shared" si="170"/>
        <v>13.211342982160888</v>
      </c>
      <c r="DI52" s="69">
        <f t="shared" si="170"/>
        <v>12.486062052505968</v>
      </c>
      <c r="DJ52" s="69">
        <f>+DJ101/((DJ24+DI24)/2)</f>
        <v>13.541286063127432</v>
      </c>
      <c r="DK52" s="69">
        <f>+DK101/((DK24+DJ24)/2)</f>
        <v>14.287559890485969</v>
      </c>
      <c r="DL52" s="69"/>
      <c r="DM52" s="69">
        <f t="shared" ref="DM52:EH52" si="171">DM101/DM24</f>
        <v>10.792493889574656</v>
      </c>
      <c r="DN52" s="69">
        <f t="shared" si="171"/>
        <v>9.3208553213465262</v>
      </c>
      <c r="DO52" s="69">
        <f t="shared" si="171"/>
        <v>13.75927527972415</v>
      </c>
      <c r="DP52" s="69">
        <f t="shared" si="171"/>
        <v>9.6633195202224762</v>
      </c>
      <c r="DQ52" s="69">
        <f t="shared" si="171"/>
        <v>8.1543420977201784</v>
      </c>
      <c r="DR52" s="69">
        <f t="shared" si="171"/>
        <v>7.6872566479443512</v>
      </c>
      <c r="DS52" s="69">
        <f t="shared" si="171"/>
        <v>6.9188888888888895</v>
      </c>
      <c r="DT52" s="69">
        <f t="shared" si="171"/>
        <v>6.8878292461398729</v>
      </c>
      <c r="DU52" s="69">
        <f t="shared" si="171"/>
        <v>7.1571753986332576</v>
      </c>
      <c r="DV52" s="69">
        <f t="shared" si="171"/>
        <v>7.5012195121951217</v>
      </c>
      <c r="DW52" s="69">
        <f t="shared" si="171"/>
        <v>7.4143059490084982</v>
      </c>
      <c r="DX52" s="69">
        <f t="shared" si="171"/>
        <v>7.149659863945578</v>
      </c>
      <c r="DY52" s="69">
        <f t="shared" si="171"/>
        <v>6.9051855617691915</v>
      </c>
      <c r="DZ52" s="69">
        <f t="shared" si="171"/>
        <v>7.0926227600651615</v>
      </c>
      <c r="EA52" s="69">
        <f t="shared" si="171"/>
        <v>6.8074844906944163</v>
      </c>
      <c r="EB52" s="69">
        <f t="shared" si="171"/>
        <v>7.1141015921152384</v>
      </c>
      <c r="EC52" s="69">
        <f t="shared" si="171"/>
        <v>7.6851246424192885</v>
      </c>
      <c r="ED52" s="69">
        <f t="shared" si="171"/>
        <v>7.1506338553318418</v>
      </c>
      <c r="EE52" s="69">
        <f t="shared" si="171"/>
        <v>5.695184736523319</v>
      </c>
      <c r="EF52" s="672">
        <f t="shared" si="171"/>
        <v>5.5355751190648004</v>
      </c>
      <c r="EG52" s="271">
        <f t="shared" si="171"/>
        <v>5.4354769097971518</v>
      </c>
      <c r="EH52" s="271">
        <f t="shared" si="171"/>
        <v>6.1452557594689576</v>
      </c>
      <c r="EI52" s="2587">
        <f>EI101/EI24</f>
        <v>6.2210735586481114</v>
      </c>
      <c r="EJ52" s="2587">
        <f>EJ101/EJ24</f>
        <v>6.8368539325842699</v>
      </c>
      <c r="EK52" s="2588">
        <f>EK101/EK24</f>
        <v>6.0485553772070624</v>
      </c>
      <c r="EL52" s="2588">
        <f>EL101/EL24</f>
        <v>6.6232300430946029</v>
      </c>
      <c r="EM52" s="2589">
        <f>EM101/EM24</f>
        <v>6.6232300430946021</v>
      </c>
      <c r="EN52" s="2590">
        <v>6.6</v>
      </c>
      <c r="EO52" s="1616">
        <v>6.6</v>
      </c>
      <c r="EP52" s="1616">
        <f t="shared" si="165"/>
        <v>6.6</v>
      </c>
      <c r="EQ52" s="1616">
        <f t="shared" si="162"/>
        <v>6.6</v>
      </c>
      <c r="ER52" s="1616">
        <f t="shared" si="162"/>
        <v>6.6</v>
      </c>
      <c r="ES52" s="1616">
        <f t="shared" si="162"/>
        <v>6.6</v>
      </c>
      <c r="ET52" s="1616">
        <f t="shared" si="162"/>
        <v>6.6</v>
      </c>
      <c r="EU52" s="1616">
        <f t="shared" si="162"/>
        <v>6.6</v>
      </c>
      <c r="EV52" s="1028"/>
      <c r="EW52"/>
      <c r="EX52"/>
      <c r="EY52"/>
      <c r="EZ52"/>
      <c r="FA52"/>
      <c r="FB52"/>
      <c r="FG52" s="1162"/>
      <c r="FH52" s="2653"/>
      <c r="FI52" s="2653"/>
      <c r="FJ52" s="2604"/>
      <c r="FK52"/>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row>
    <row r="53" spans="1:260" s="4" customFormat="1" x14ac:dyDescent="0.2">
      <c r="B53" s="69"/>
      <c r="C53" s="69"/>
      <c r="D53" s="69"/>
      <c r="E53" s="610"/>
      <c r="F53" s="69"/>
      <c r="G53" s="69"/>
      <c r="H53" s="69"/>
      <c r="I53" s="610"/>
      <c r="J53" s="69"/>
      <c r="K53" s="69"/>
      <c r="L53" s="69"/>
      <c r="M53" s="610"/>
      <c r="N53" s="69"/>
      <c r="O53" s="69"/>
      <c r="P53" s="69"/>
      <c r="Q53" s="610"/>
      <c r="R53" s="69"/>
      <c r="S53" s="69"/>
      <c r="T53" s="69"/>
      <c r="U53" s="610"/>
      <c r="V53" s="69"/>
      <c r="W53" s="69"/>
      <c r="X53" s="69"/>
      <c r="Y53" s="610"/>
      <c r="Z53" s="69"/>
      <c r="AA53" s="69"/>
      <c r="AB53" s="69"/>
      <c r="AC53" s="610"/>
      <c r="AD53" s="69"/>
      <c r="AE53" s="69"/>
      <c r="AF53" s="69"/>
      <c r="AG53" s="610"/>
      <c r="AH53" s="69"/>
      <c r="AI53" s="69"/>
      <c r="AJ53" s="69"/>
      <c r="AK53" s="610"/>
      <c r="AL53" s="69"/>
      <c r="AM53" s="69"/>
      <c r="AN53" s="69"/>
      <c r="AO53" s="610"/>
      <c r="AP53" s="69"/>
      <c r="AQ53" s="69"/>
      <c r="AR53" s="69"/>
      <c r="AS53" s="610"/>
      <c r="AT53" s="69"/>
      <c r="AU53" s="69"/>
      <c r="AV53" s="69"/>
      <c r="AW53" s="610"/>
      <c r="AX53" s="69"/>
      <c r="AY53" s="69"/>
      <c r="AZ53" s="69"/>
      <c r="BA53" s="610"/>
      <c r="BB53" s="69"/>
      <c r="BC53" s="69"/>
      <c r="BD53" s="69"/>
      <c r="BE53" s="610"/>
      <c r="BF53" s="69"/>
      <c r="BG53" s="69"/>
      <c r="BH53" s="69"/>
      <c r="BI53" s="610"/>
      <c r="BJ53" s="69"/>
      <c r="BK53" s="69"/>
      <c r="BL53" s="69"/>
      <c r="BM53" s="610"/>
      <c r="BN53" s="69"/>
      <c r="BO53" s="69"/>
      <c r="BP53" s="69"/>
      <c r="BQ53" s="610"/>
      <c r="BR53" s="69"/>
      <c r="BS53" s="69"/>
      <c r="BT53" s="69"/>
      <c r="BU53" s="610"/>
      <c r="BV53" s="69"/>
      <c r="BW53" s="69"/>
      <c r="BX53" s="69"/>
      <c r="BY53" s="610"/>
      <c r="BZ53" s="69"/>
      <c r="CA53" s="69"/>
      <c r="CB53" s="69"/>
      <c r="CC53" s="610"/>
      <c r="CD53" s="1028"/>
      <c r="CE53" s="271"/>
      <c r="CF53" s="271"/>
      <c r="CG53" s="610"/>
      <c r="CH53" s="1028"/>
      <c r="CI53" s="271"/>
      <c r="CJ53" s="1162"/>
      <c r="CK53" s="654"/>
      <c r="CL53" s="1028"/>
      <c r="CM53" s="1162"/>
      <c r="CN53" s="1162"/>
      <c r="CO53" s="654"/>
      <c r="CP53" s="1162"/>
      <c r="CQ53" s="1162"/>
      <c r="CR53" s="1162"/>
      <c r="CS53" s="2037"/>
      <c r="CT53" s="2484"/>
      <c r="CU53" s="1162"/>
      <c r="CV53" s="1162"/>
      <c r="CW53" s="2037"/>
      <c r="CX53" s="2794"/>
      <c r="CY53" s="1162"/>
      <c r="CZ53" s="1162"/>
      <c r="DA53" s="654"/>
      <c r="DB53" s="672"/>
      <c r="DC53" s="610"/>
      <c r="DD53" s="69"/>
      <c r="DE53" s="69"/>
      <c r="DF53" s="69"/>
      <c r="DG53" s="69"/>
      <c r="DH53" s="69"/>
      <c r="DI53" s="69"/>
      <c r="DJ53" s="69"/>
      <c r="DK53" s="69"/>
      <c r="DL53" s="69"/>
      <c r="DM53" s="69"/>
      <c r="DN53" s="69"/>
      <c r="DO53" s="69"/>
      <c r="DP53" s="69"/>
      <c r="DQ53" s="69"/>
      <c r="DR53" s="69"/>
      <c r="DS53" s="69"/>
      <c r="DT53" s="69"/>
      <c r="DU53" s="69"/>
      <c r="DV53" s="69"/>
      <c r="DW53" s="69"/>
      <c r="DX53" s="69"/>
      <c r="DY53" s="69"/>
      <c r="DZ53" s="69"/>
      <c r="EA53" s="69"/>
      <c r="EB53" s="69"/>
      <c r="EC53" s="69"/>
      <c r="ED53" s="69"/>
      <c r="EE53" s="69"/>
      <c r="EF53" s="672"/>
      <c r="EG53" s="271"/>
      <c r="EH53" s="271"/>
      <c r="EI53" s="271"/>
      <c r="EJ53" s="271"/>
      <c r="EK53" s="272"/>
      <c r="EL53" s="272"/>
      <c r="EM53" s="1720"/>
      <c r="EN53" s="232"/>
      <c r="EO53" s="232"/>
      <c r="EP53" s="232"/>
      <c r="EQ53" s="232"/>
      <c r="ER53" s="232"/>
      <c r="ES53" s="232"/>
      <c r="ET53" s="232"/>
      <c r="EU53" s="232"/>
      <c r="EV53" s="1028"/>
      <c r="EW53"/>
      <c r="EX53"/>
      <c r="EY53"/>
      <c r="EZ53"/>
      <c r="FA53"/>
      <c r="FB53"/>
      <c r="FG53" s="1162"/>
      <c r="FH53" s="1162"/>
      <c r="FI53" s="1162"/>
      <c r="FJ53" s="1162"/>
      <c r="FK53"/>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row>
    <row r="54" spans="1:260" s="3" customFormat="1" x14ac:dyDescent="0.2">
      <c r="A54" s="2041" t="s">
        <v>124</v>
      </c>
      <c r="E54" s="470"/>
      <c r="I54" s="470"/>
      <c r="M54" s="470"/>
      <c r="Q54" s="470"/>
      <c r="U54" s="470"/>
      <c r="Y54" s="470"/>
      <c r="AC54" s="470"/>
      <c r="AG54" s="470"/>
      <c r="AK54" s="470"/>
      <c r="AO54" s="470"/>
      <c r="AS54" s="470"/>
      <c r="AW54" s="470"/>
      <c r="BA54" s="470"/>
      <c r="BE54" s="470"/>
      <c r="BI54" s="470"/>
      <c r="BM54" s="470"/>
      <c r="BQ54" s="470"/>
      <c r="BU54" s="470"/>
      <c r="BY54" s="470"/>
      <c r="CC54" s="470"/>
      <c r="CD54" s="671"/>
      <c r="CE54" s="7"/>
      <c r="CF54" s="7"/>
      <c r="CG54" s="470"/>
      <c r="CH54" s="671"/>
      <c r="CI54" s="7"/>
      <c r="CJ54" s="7"/>
      <c r="CK54" s="484"/>
      <c r="CL54" s="671"/>
      <c r="CM54" s="7"/>
      <c r="CN54" s="7"/>
      <c r="CO54" s="484"/>
      <c r="CP54" s="7"/>
      <c r="CQ54" s="7"/>
      <c r="CR54" s="7"/>
      <c r="CS54" s="503"/>
      <c r="CT54" s="1435"/>
      <c r="CU54" s="7"/>
      <c r="CV54" s="7"/>
      <c r="CW54" s="503"/>
      <c r="CX54" s="1671"/>
      <c r="CY54" s="7"/>
      <c r="CZ54" s="7"/>
      <c r="DA54" s="484"/>
      <c r="DB54" s="413"/>
      <c r="DC54" s="470"/>
      <c r="EF54" s="413"/>
      <c r="EK54" s="7"/>
      <c r="EL54" s="7"/>
      <c r="EM54" s="1671"/>
      <c r="EV54" s="671"/>
      <c r="EW54"/>
      <c r="EX54"/>
      <c r="EY54"/>
      <c r="EZ54"/>
      <c r="FA54"/>
      <c r="FB54"/>
      <c r="FC54" s="4"/>
      <c r="FD54" s="4"/>
      <c r="FE54" s="4"/>
      <c r="FF54" s="4"/>
      <c r="FG54" s="7"/>
      <c r="FH54" s="7"/>
      <c r="FI54" s="7"/>
      <c r="FJ54" s="7"/>
      <c r="FK54"/>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row>
    <row r="55" spans="1:260" s="4" customFormat="1" x14ac:dyDescent="0.2">
      <c r="A55" s="4" t="s">
        <v>294</v>
      </c>
      <c r="B55" s="107"/>
      <c r="C55" s="107"/>
      <c r="D55" s="107"/>
      <c r="E55" s="611"/>
      <c r="F55" s="118">
        <f t="shared" ref="F55:AK55" si="172">+F11/(+F100+E100+D100+C100)</f>
        <v>1.7085162191730261E-2</v>
      </c>
      <c r="G55" s="118">
        <f t="shared" si="172"/>
        <v>2.7264629022672387E-2</v>
      </c>
      <c r="H55" s="118">
        <f t="shared" si="172"/>
        <v>2.79438561384057E-2</v>
      </c>
      <c r="I55" s="612">
        <f t="shared" si="172"/>
        <v>2.0444708334629379E-2</v>
      </c>
      <c r="J55" s="118">
        <f t="shared" si="172"/>
        <v>2.2740059035503957E-2</v>
      </c>
      <c r="K55" s="118">
        <f t="shared" si="172"/>
        <v>2.8658660980617222E-2</v>
      </c>
      <c r="L55" s="118">
        <f t="shared" si="172"/>
        <v>2.4173588337354196E-2</v>
      </c>
      <c r="M55" s="612">
        <f t="shared" si="172"/>
        <v>2.0993371454983711E-2</v>
      </c>
      <c r="N55" s="118">
        <f t="shared" si="172"/>
        <v>2.098091593385485E-2</v>
      </c>
      <c r="O55" s="118">
        <f t="shared" si="172"/>
        <v>1.6419454679626015E-2</v>
      </c>
      <c r="P55" s="118">
        <f t="shared" si="172"/>
        <v>1.7210395873735674E-2</v>
      </c>
      <c r="Q55" s="612">
        <f t="shared" si="172"/>
        <v>1.0756712119127751E-2</v>
      </c>
      <c r="R55" s="118">
        <f t="shared" si="172"/>
        <v>1.1973566062234741E-2</v>
      </c>
      <c r="S55" s="118">
        <f t="shared" si="172"/>
        <v>1.1597353523979401E-2</v>
      </c>
      <c r="T55" s="118">
        <f t="shared" si="172"/>
        <v>7.7006419069090472E-3</v>
      </c>
      <c r="U55" s="612">
        <f t="shared" si="172"/>
        <v>4.0271867408645315E-3</v>
      </c>
      <c r="V55" s="118">
        <f t="shared" si="172"/>
        <v>6.4101088788707612E-3</v>
      </c>
      <c r="W55" s="118">
        <f t="shared" si="172"/>
        <v>7.7720349997234027E-3</v>
      </c>
      <c r="X55" s="118">
        <f t="shared" si="172"/>
        <v>1.1331810967292948E-2</v>
      </c>
      <c r="Y55" s="612">
        <f t="shared" si="172"/>
        <v>9.7914024994023626E-3</v>
      </c>
      <c r="Z55" s="118">
        <f t="shared" si="172"/>
        <v>1.0416113711072639E-2</v>
      </c>
      <c r="AA55" s="118">
        <f t="shared" si="172"/>
        <v>1.0496101471357919E-2</v>
      </c>
      <c r="AB55" s="118">
        <f t="shared" si="172"/>
        <v>1.0998984309830021E-2</v>
      </c>
      <c r="AC55" s="612">
        <f t="shared" si="172"/>
        <v>9.1847918000471113E-3</v>
      </c>
      <c r="AD55" s="118">
        <f t="shared" si="172"/>
        <v>1.3234080281143885E-2</v>
      </c>
      <c r="AE55" s="118">
        <f t="shared" si="172"/>
        <v>1.2762967857756503E-2</v>
      </c>
      <c r="AF55" s="118">
        <f t="shared" si="172"/>
        <v>1.1918544295798804E-2</v>
      </c>
      <c r="AG55" s="612">
        <f t="shared" si="172"/>
        <v>1.3440712008016928E-2</v>
      </c>
      <c r="AH55" s="118">
        <f t="shared" si="172"/>
        <v>1.3138353525197712E-2</v>
      </c>
      <c r="AI55" s="118">
        <f t="shared" si="172"/>
        <v>1.2547875421878334E-2</v>
      </c>
      <c r="AJ55" s="118">
        <f t="shared" si="172"/>
        <v>1.1892513800847411E-2</v>
      </c>
      <c r="AK55" s="612">
        <f t="shared" si="172"/>
        <v>3.281114456294331E-2</v>
      </c>
      <c r="AL55" s="118">
        <f t="shared" ref="AL55:BQ55" si="173">+AL11/(+AL100+AK100+AJ100+AI100)</f>
        <v>1.298378270818824E-2</v>
      </c>
      <c r="AM55" s="118">
        <f t="shared" si="173"/>
        <v>3.1222643711701196E-2</v>
      </c>
      <c r="AN55" s="118">
        <f t="shared" si="173"/>
        <v>3.682475999426852E-2</v>
      </c>
      <c r="AO55" s="612">
        <f t="shared" si="173"/>
        <v>2.84063783061205E-2</v>
      </c>
      <c r="AP55" s="118">
        <f t="shared" si="173"/>
        <v>1.0601531851298338E-2</v>
      </c>
      <c r="AQ55" s="118">
        <f t="shared" si="173"/>
        <v>9.2408943382618104E-3</v>
      </c>
      <c r="AR55" s="118">
        <f t="shared" si="173"/>
        <v>8.966861598440545E-3</v>
      </c>
      <c r="AS55" s="612">
        <f t="shared" si="173"/>
        <v>7.0890201670401306E-3</v>
      </c>
      <c r="AT55" s="118">
        <f t="shared" si="173"/>
        <v>9.7018457169900617E-3</v>
      </c>
      <c r="AU55" s="118">
        <f t="shared" si="173"/>
        <v>1.1981566820276499E-2</v>
      </c>
      <c r="AV55" s="118">
        <f t="shared" si="173"/>
        <v>9.4166197711498777E-3</v>
      </c>
      <c r="AW55" s="612">
        <f t="shared" si="173"/>
        <v>1.1992855320234754E-2</v>
      </c>
      <c r="AX55" s="118">
        <f t="shared" si="173"/>
        <v>1.3643488173268738E-2</v>
      </c>
      <c r="AY55" s="118">
        <f t="shared" si="173"/>
        <v>1.3173485746149021E-2</v>
      </c>
      <c r="AZ55" s="118">
        <f t="shared" si="173"/>
        <v>1.3613777142468178E-2</v>
      </c>
      <c r="BA55" s="612">
        <f t="shared" si="173"/>
        <v>1.3258558091286307E-2</v>
      </c>
      <c r="BB55" s="118">
        <f t="shared" si="173"/>
        <v>1.2812016788159929E-2</v>
      </c>
      <c r="BC55" s="118">
        <f t="shared" si="173"/>
        <v>2.1080085915925129E-2</v>
      </c>
      <c r="BD55" s="118">
        <f t="shared" si="173"/>
        <v>2.2503557874762808E-2</v>
      </c>
      <c r="BE55" s="612">
        <f t="shared" si="173"/>
        <v>1.981410363444092E-2</v>
      </c>
      <c r="BF55" s="118">
        <f t="shared" si="173"/>
        <v>1.9782125630047151E-2</v>
      </c>
      <c r="BG55" s="118">
        <f t="shared" si="173"/>
        <v>1.9264632447633316E-2</v>
      </c>
      <c r="BH55" s="118">
        <f t="shared" si="173"/>
        <v>1.7036249493722153E-2</v>
      </c>
      <c r="BI55" s="612">
        <f t="shared" si="173"/>
        <v>1.4566624191090123E-2</v>
      </c>
      <c r="BJ55" s="118">
        <f t="shared" si="173"/>
        <v>1.5869152509370588E-2</v>
      </c>
      <c r="BK55" s="118">
        <f t="shared" si="173"/>
        <v>2.1216508057051997E-2</v>
      </c>
      <c r="BL55" s="118">
        <f t="shared" si="173"/>
        <v>2.0110274771786132E-2</v>
      </c>
      <c r="BM55" s="612">
        <f t="shared" si="173"/>
        <v>2.3592135954681771E-2</v>
      </c>
      <c r="BN55" s="118">
        <f t="shared" si="173"/>
        <v>2.0685169124024284E-2</v>
      </c>
      <c r="BO55" s="118">
        <f t="shared" si="173"/>
        <v>2.1862656048668175E-2</v>
      </c>
      <c r="BP55" s="118">
        <f t="shared" si="173"/>
        <v>2.0933876527734253E-2</v>
      </c>
      <c r="BQ55" s="612">
        <f t="shared" si="173"/>
        <v>2.3020887833541271E-2</v>
      </c>
      <c r="BR55" s="118">
        <f>+BR11/(+BR100+BQ100+BP100+BO100)</f>
        <v>2.0442186321597271E-2</v>
      </c>
      <c r="BS55" s="118">
        <f>+BS11/(+BS100+BR100+BQ100+BP100)</f>
        <v>2.0669388399108535E-2</v>
      </c>
      <c r="BT55" s="118">
        <f>+BT11/(+BT100+BS100+BR100+BQ100)</f>
        <v>2.0664834186952481E-2</v>
      </c>
      <c r="BU55" s="612">
        <f>+BU11/(+BU100+BT100+BS100+BR100)</f>
        <v>2.1940642902609803E-2</v>
      </c>
      <c r="BV55" s="294">
        <f>+BV11/(BV100+BU100+BT100+BS100)</f>
        <v>1.9176995537927614E-2</v>
      </c>
      <c r="BW55" s="118">
        <f>+BW11/(+BW100+BV100+BU100+BT100)</f>
        <v>2.0482620506414452E-2</v>
      </c>
      <c r="BX55" s="118">
        <f>+BX11/(+BX100+BW100+BV100+BU100)</f>
        <v>2.1424904229690771E-2</v>
      </c>
      <c r="BY55" s="612">
        <f>+BY11/(+BY100+BX100+BW100+BV100)</f>
        <v>2.11502273796456E-2</v>
      </c>
      <c r="BZ55" s="294">
        <f>+BZ11/(BZ100+BY100+BX100+BW100)</f>
        <v>1.9715203343265101E-2</v>
      </c>
      <c r="CA55" s="118">
        <f>+CA11/(+CA100+BZ100+BY100+BX100)</f>
        <v>2.1027394568250601E-2</v>
      </c>
      <c r="CB55" s="118">
        <f>+CB11/(+CB100+CA100+BZ100+BY100)</f>
        <v>2.2830036334275335E-2</v>
      </c>
      <c r="CC55" s="612">
        <f>+CC11/(+CC100+CB100+CA100+BZ100)</f>
        <v>1.9064508978053646E-2</v>
      </c>
      <c r="CD55" s="1093">
        <f>+CD11/(CD100+CC100+CB100+CA100)</f>
        <v>5.7521464027780737E-2</v>
      </c>
      <c r="CE55" s="1094">
        <f>+CE11/(+CE100+CD100+CC100+CB100)</f>
        <v>1.9478792713734875E-2</v>
      </c>
      <c r="CF55" s="1094">
        <f>+CF11/(+CF100+CE100+CD100+CC100)</f>
        <v>2.2241725754671225E-2</v>
      </c>
      <c r="CG55" s="612">
        <f>+CG11/(+CG100+CF100+CE100+CD100)</f>
        <v>2.2161483341951688E-2</v>
      </c>
      <c r="CH55" s="1093">
        <f>+CH11/(CH100+CG100+CF100+CE100)</f>
        <v>2.2965130697882051E-2</v>
      </c>
      <c r="CI55" s="1094">
        <f>+CI11/(+CI100+CH100+CG100+CF100)</f>
        <v>2.3547331885035085E-2</v>
      </c>
      <c r="CJ55" s="1170">
        <f>+CJ11/(+CJ100+CI100+CH100+CG100)</f>
        <v>2.3882455484995641E-2</v>
      </c>
      <c r="CK55" s="1294">
        <f>+CK11/(+CK100+CJ100+CI100+CH100)</f>
        <v>3.4383598998487815E-2</v>
      </c>
      <c r="CL55" s="1093">
        <f t="shared" ref="CL55:CW55" si="174">+CL11/(CL100+CK100+CJ100+CI100)</f>
        <v>1.8182721446668985E-2</v>
      </c>
      <c r="CM55" s="1346">
        <f t="shared" si="174"/>
        <v>1.8102016019044313E-2</v>
      </c>
      <c r="CN55" s="1346">
        <f t="shared" si="174"/>
        <v>1.6851971880141595E-2</v>
      </c>
      <c r="CO55" s="1417">
        <f t="shared" si="174"/>
        <v>9.9170208459825951E-3</v>
      </c>
      <c r="CP55" s="1346">
        <f t="shared" si="174"/>
        <v>1.0174307969451703E-2</v>
      </c>
      <c r="CQ55" s="1346">
        <f t="shared" si="174"/>
        <v>1.0375970368867015E-2</v>
      </c>
      <c r="CR55" s="1346">
        <f t="shared" si="174"/>
        <v>1.0064738013352215E-2</v>
      </c>
      <c r="CS55" s="2038">
        <f t="shared" si="174"/>
        <v>9.7454508539958889E-3</v>
      </c>
      <c r="CT55" s="2485">
        <f t="shared" si="174"/>
        <v>1.0357576985413289E-2</v>
      </c>
      <c r="CU55" s="1346">
        <f t="shared" si="174"/>
        <v>1.1430003759869658E-2</v>
      </c>
      <c r="CV55" s="1346">
        <f t="shared" si="174"/>
        <v>1.0702756394338217E-2</v>
      </c>
      <c r="CW55" s="2038">
        <f t="shared" si="174"/>
        <v>1.0391212545372589E-2</v>
      </c>
      <c r="CX55" s="2795">
        <v>1.2E-2</v>
      </c>
      <c r="CY55" s="2605">
        <v>1.2E-2</v>
      </c>
      <c r="CZ55" s="2605">
        <v>1.2E-2</v>
      </c>
      <c r="DA55" s="1617">
        <v>0.01</v>
      </c>
      <c r="DB55" s="673"/>
      <c r="DC55" s="611"/>
      <c r="DD55" s="107"/>
      <c r="DE55" s="107"/>
      <c r="DF55" s="107"/>
      <c r="DG55" s="107"/>
      <c r="DH55" s="107"/>
      <c r="DI55" s="107"/>
      <c r="DJ55" s="107"/>
      <c r="DK55" s="107"/>
      <c r="DL55" s="107"/>
      <c r="DM55" s="118">
        <f t="shared" ref="DM55:EC55" si="175">+DM11/DM100</f>
        <v>2.0444708334629379E-2</v>
      </c>
      <c r="DN55" s="118">
        <f t="shared" si="175"/>
        <v>2.0993371454983711E-2</v>
      </c>
      <c r="DO55" s="118">
        <f t="shared" si="175"/>
        <v>1.0756712119127753E-2</v>
      </c>
      <c r="DP55" s="118">
        <f t="shared" si="175"/>
        <v>4.0271867408645315E-3</v>
      </c>
      <c r="DQ55" s="118">
        <f t="shared" si="175"/>
        <v>9.7914024994023626E-3</v>
      </c>
      <c r="DR55" s="118">
        <f t="shared" si="175"/>
        <v>9.1847918000471113E-3</v>
      </c>
      <c r="DS55" s="118">
        <f t="shared" si="175"/>
        <v>1.3440712008016928E-2</v>
      </c>
      <c r="DT55" s="118">
        <f t="shared" si="175"/>
        <v>3.281114456294331E-2</v>
      </c>
      <c r="DU55" s="118">
        <f t="shared" si="175"/>
        <v>2.84063783061205E-2</v>
      </c>
      <c r="DV55" s="118">
        <f t="shared" si="175"/>
        <v>7.0890201670401306E-3</v>
      </c>
      <c r="DW55" s="118">
        <f t="shared" si="175"/>
        <v>1.1992855320234754E-2</v>
      </c>
      <c r="DX55" s="118">
        <f t="shared" si="175"/>
        <v>1.3258558091286307E-2</v>
      </c>
      <c r="DY55" s="118">
        <f t="shared" si="175"/>
        <v>1.981410363444092E-2</v>
      </c>
      <c r="DZ55" s="118">
        <f t="shared" si="175"/>
        <v>1.4566624191090123E-2</v>
      </c>
      <c r="EA55" s="118">
        <f t="shared" si="175"/>
        <v>2.3592135954681771E-2</v>
      </c>
      <c r="EB55" s="118">
        <f t="shared" si="175"/>
        <v>2.3020887833541271E-2</v>
      </c>
      <c r="EC55" s="118">
        <f t="shared" si="175"/>
        <v>2.1940642902609803E-2</v>
      </c>
      <c r="ED55" s="107">
        <f>ED11/ED100</f>
        <v>2.11502273796456E-2</v>
      </c>
      <c r="EE55" s="107">
        <f>EE11/EE100</f>
        <v>2.0687460216422662E-2</v>
      </c>
      <c r="EF55" s="673">
        <f t="shared" ref="EF55:EF60" si="176">BZ55</f>
        <v>1.9715203343265101E-2</v>
      </c>
      <c r="EG55" s="109">
        <f t="shared" ref="EG55:EL55" si="177">EG11/EG100</f>
        <v>1.9064508978053646E-2</v>
      </c>
      <c r="EH55" s="109">
        <f t="shared" si="177"/>
        <v>2.2161483341951688E-2</v>
      </c>
      <c r="EI55" s="109">
        <f t="shared" si="177"/>
        <v>3.4383598998487815E-2</v>
      </c>
      <c r="EJ55" s="109">
        <f t="shared" si="177"/>
        <v>9.9170208459825951E-3</v>
      </c>
      <c r="EK55" s="108">
        <f t="shared" si="177"/>
        <v>9.7454508539958889E-3</v>
      </c>
      <c r="EL55" s="108">
        <f t="shared" si="177"/>
        <v>1.0391212545372589E-2</v>
      </c>
      <c r="EM55" s="1721">
        <f t="shared" ref="EM55" si="178">EM11/EM100</f>
        <v>9.9999999999999985E-3</v>
      </c>
      <c r="EN55" s="1619">
        <f t="shared" ref="EN55:EP56" si="179">EM55</f>
        <v>9.9999999999999985E-3</v>
      </c>
      <c r="EO55" s="1619">
        <f t="shared" si="179"/>
        <v>9.9999999999999985E-3</v>
      </c>
      <c r="EP55" s="1619">
        <f t="shared" si="179"/>
        <v>9.9999999999999985E-3</v>
      </c>
      <c r="EQ55" s="1619">
        <f t="shared" ref="EQ55:EU60" si="180">EP55</f>
        <v>9.9999999999999985E-3</v>
      </c>
      <c r="ER55" s="1619">
        <f t="shared" si="180"/>
        <v>9.9999999999999985E-3</v>
      </c>
      <c r="ES55" s="1619">
        <f t="shared" si="180"/>
        <v>9.9999999999999985E-3</v>
      </c>
      <c r="ET55" s="1619">
        <f t="shared" si="180"/>
        <v>9.9999999999999985E-3</v>
      </c>
      <c r="EU55" s="1619">
        <f t="shared" si="180"/>
        <v>9.9999999999999985E-3</v>
      </c>
      <c r="EV55" s="1029"/>
      <c r="EW55"/>
      <c r="EX55"/>
      <c r="EY55"/>
      <c r="EZ55"/>
      <c r="FA55"/>
      <c r="FB55"/>
      <c r="FG55"/>
      <c r="FH55" s="2654"/>
      <c r="FI55" s="2654"/>
      <c r="FJ55" s="2654"/>
      <c r="FK55"/>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row>
    <row r="56" spans="1:260" s="4" customFormat="1" x14ac:dyDescent="0.2">
      <c r="A56" s="4" t="s">
        <v>293</v>
      </c>
      <c r="B56" s="107"/>
      <c r="C56" s="107"/>
      <c r="D56" s="107"/>
      <c r="E56" s="611"/>
      <c r="F56" s="118">
        <f t="shared" ref="F56:AK56" si="181">+F20/(+F100+E100+D100+C100)</f>
        <v>4.3725642681710537E-3</v>
      </c>
      <c r="G56" s="118">
        <f t="shared" si="181"/>
        <v>4.4746495104522558E-3</v>
      </c>
      <c r="H56" s="118">
        <f t="shared" si="181"/>
        <v>5.8912031203980381E-3</v>
      </c>
      <c r="I56" s="612">
        <f t="shared" si="181"/>
        <v>5.7054221689542039E-3</v>
      </c>
      <c r="J56" s="118">
        <f t="shared" si="181"/>
        <v>5.3669300538818415E-3</v>
      </c>
      <c r="K56" s="118">
        <f t="shared" si="181"/>
        <v>5.1932237324450597E-3</v>
      </c>
      <c r="L56" s="118">
        <f t="shared" si="181"/>
        <v>4.2830683044749957E-3</v>
      </c>
      <c r="M56" s="612">
        <f t="shared" si="181"/>
        <v>2.6671577007909056E-3</v>
      </c>
      <c r="N56" s="118">
        <f t="shared" si="181"/>
        <v>2.0000168866861146E-3</v>
      </c>
      <c r="O56" s="118">
        <f t="shared" si="181"/>
        <v>1.6301661539782329E-3</v>
      </c>
      <c r="P56" s="118">
        <f t="shared" si="181"/>
        <v>1.6050084063534229E-3</v>
      </c>
      <c r="Q56" s="612">
        <f t="shared" si="181"/>
        <v>2.2699420372700825E-3</v>
      </c>
      <c r="R56" s="118">
        <f t="shared" si="181"/>
        <v>2.2396496146665718E-3</v>
      </c>
      <c r="S56" s="118">
        <f t="shared" si="181"/>
        <v>1.93729823302617E-3</v>
      </c>
      <c r="T56" s="118">
        <f t="shared" si="181"/>
        <v>1.8634692666360314E-3</v>
      </c>
      <c r="U56" s="612">
        <f t="shared" si="181"/>
        <v>1.5727085474944822E-3</v>
      </c>
      <c r="V56" s="118">
        <f t="shared" si="181"/>
        <v>1.1447609350676133E-3</v>
      </c>
      <c r="W56" s="118">
        <f t="shared" si="181"/>
        <v>1.0908486624072987E-3</v>
      </c>
      <c r="X56" s="118">
        <f t="shared" si="181"/>
        <v>2.337456208369941E-3</v>
      </c>
      <c r="Y56" s="612">
        <f t="shared" si="181"/>
        <v>2.5596528680690805E-3</v>
      </c>
      <c r="Z56" s="118">
        <f t="shared" si="181"/>
        <v>2.7573100967360734E-3</v>
      </c>
      <c r="AA56" s="118">
        <f t="shared" si="181"/>
        <v>2.7311659435339448E-3</v>
      </c>
      <c r="AB56" s="118">
        <f t="shared" si="181"/>
        <v>4.6570657675284758E-3</v>
      </c>
      <c r="AC56" s="612">
        <f t="shared" si="181"/>
        <v>4.7060902641206928E-3</v>
      </c>
      <c r="AD56" s="118">
        <f t="shared" si="181"/>
        <v>4.8193471544049982E-3</v>
      </c>
      <c r="AE56" s="118">
        <f t="shared" si="181"/>
        <v>5.8281760737732011E-3</v>
      </c>
      <c r="AF56" s="118">
        <f t="shared" si="181"/>
        <v>5.5713905288053579E-3</v>
      </c>
      <c r="AG56" s="612">
        <f t="shared" si="181"/>
        <v>5.3501863332882918E-3</v>
      </c>
      <c r="AH56" s="118">
        <f t="shared" si="181"/>
        <v>5.0436333437962775E-3</v>
      </c>
      <c r="AI56" s="118">
        <f t="shared" si="181"/>
        <v>4.9253342777466364E-3</v>
      </c>
      <c r="AJ56" s="118">
        <f t="shared" si="181"/>
        <v>4.4251214142688048E-3</v>
      </c>
      <c r="AK56" s="612">
        <f t="shared" si="181"/>
        <v>3.2709088125733532E-2</v>
      </c>
      <c r="AL56" s="118">
        <f t="shared" ref="AL56:BQ56" si="182">+AL20/(+AL100+AK100+AJ100+AI100)</f>
        <v>4.5766590389016018E-3</v>
      </c>
      <c r="AM56" s="118">
        <f t="shared" si="182"/>
        <v>1.7167590701293648E-2</v>
      </c>
      <c r="AN56" s="118">
        <f t="shared" si="182"/>
        <v>1.7003391125758226E-2</v>
      </c>
      <c r="AO56" s="612">
        <f t="shared" si="182"/>
        <v>1.29857729399408E-2</v>
      </c>
      <c r="AP56" s="118">
        <f t="shared" si="182"/>
        <v>7.4724453577433214E-3</v>
      </c>
      <c r="AQ56" s="118">
        <f t="shared" si="182"/>
        <v>7.0320952037504509E-3</v>
      </c>
      <c r="AR56" s="118">
        <f t="shared" si="182"/>
        <v>6.5410439679445525E-3</v>
      </c>
      <c r="AS56" s="612">
        <f t="shared" si="182"/>
        <v>6.9260541861886332E-3</v>
      </c>
      <c r="AT56" s="118">
        <f t="shared" si="182"/>
        <v>8.0848714308250514E-3</v>
      </c>
      <c r="AU56" s="118">
        <f t="shared" si="182"/>
        <v>1.0522273425499232E-2</v>
      </c>
      <c r="AV56" s="118">
        <f t="shared" si="182"/>
        <v>1.4593884824610766E-2</v>
      </c>
      <c r="AW56" s="612">
        <f t="shared" si="182"/>
        <v>1.3633215470418838E-2</v>
      </c>
      <c r="AX56" s="118">
        <f t="shared" si="182"/>
        <v>1.0366201196922199E-2</v>
      </c>
      <c r="AY56" s="118">
        <f t="shared" si="182"/>
        <v>1.1256708719592947E-2</v>
      </c>
      <c r="AZ56" s="118">
        <f t="shared" si="182"/>
        <v>1.0856987271118371E-2</v>
      </c>
      <c r="BA56" s="612">
        <f t="shared" si="182"/>
        <v>1.8348029045643154E-2</v>
      </c>
      <c r="BB56" s="118">
        <f t="shared" si="182"/>
        <v>2.0858973145255453E-2</v>
      </c>
      <c r="BC56" s="118">
        <f t="shared" si="182"/>
        <v>1.9637925744093281E-2</v>
      </c>
      <c r="BD56" s="118">
        <f t="shared" si="182"/>
        <v>1.9894449715370018E-2</v>
      </c>
      <c r="BE56" s="612">
        <f t="shared" si="182"/>
        <v>1.5333667278900205E-2</v>
      </c>
      <c r="BF56" s="118">
        <f t="shared" si="182"/>
        <v>1.8101999891604791E-2</v>
      </c>
      <c r="BG56" s="118">
        <f t="shared" si="182"/>
        <v>1.3797997319246235E-2</v>
      </c>
      <c r="BH56" s="118">
        <f t="shared" si="182"/>
        <v>1.4049210206561361E-2</v>
      </c>
      <c r="BI56" s="612">
        <f t="shared" si="182"/>
        <v>7.8704744771756242E-3</v>
      </c>
      <c r="BJ56" s="118">
        <f t="shared" si="182"/>
        <v>8.0319330185464628E-3</v>
      </c>
      <c r="BK56" s="118">
        <f t="shared" si="182"/>
        <v>2.0172295132543844E-2</v>
      </c>
      <c r="BL56" s="118">
        <f t="shared" si="182"/>
        <v>2.3564940858862019E-2</v>
      </c>
      <c r="BM56" s="612">
        <f t="shared" si="182"/>
        <v>8.1528379429079197E-3</v>
      </c>
      <c r="BN56" s="118">
        <f t="shared" si="182"/>
        <v>9.3451864700780565E-3</v>
      </c>
      <c r="BO56" s="118">
        <f t="shared" si="182"/>
        <v>9.7801060391626716E-3</v>
      </c>
      <c r="BP56" s="118">
        <f t="shared" si="182"/>
        <v>1.0487830356210174E-2</v>
      </c>
      <c r="BQ56" s="612">
        <f t="shared" si="182"/>
        <v>9.0956654726928807E-3</v>
      </c>
      <c r="BR56" s="118">
        <f>+BR20/(+BR100+BQ100+BP100+BO100)</f>
        <v>9.4669154130115514E-3</v>
      </c>
      <c r="BS56" s="118">
        <f>+BS20/(+BS100+BR100+BQ100+BP100)</f>
        <v>8.993550677474706E-3</v>
      </c>
      <c r="BT56" s="118">
        <f>+BT20/(+BT100+BS100+BR100+BQ100)</f>
        <v>7.5144851588918116E-3</v>
      </c>
      <c r="BU56" s="612">
        <f>+BU20/(+BU100+BT100+BS100+BR100)</f>
        <v>8.6529280712921708E-3</v>
      </c>
      <c r="BV56" s="294">
        <f>+BV20/(BV100+BU100+BT100+BS100)</f>
        <v>9.4992563212692119E-3</v>
      </c>
      <c r="BW56" s="118">
        <f>+BW20/(+BW100+BV100+BU100+BT100)</f>
        <v>9.596890924593024E-3</v>
      </c>
      <c r="BX56" s="118">
        <f>+BX20/(+BX100+BW100+BV100+BU100)</f>
        <v>8.1355396706291223E-3</v>
      </c>
      <c r="BY56" s="612">
        <f>+BY20/(+BY100+BX100+BW100+BV100)</f>
        <v>7.899482515289321E-3</v>
      </c>
      <c r="BZ56" s="294">
        <f>+BZ20/(BZ100+BY100+BX100+BW100)</f>
        <v>9.1127191115582557E-3</v>
      </c>
      <c r="CA56" s="118">
        <f>+CA20/(+CA100+BZ100+BY100+BX100)</f>
        <v>9.3149392760287705E-3</v>
      </c>
      <c r="CB56" s="118">
        <f>+CB20/(+CB100+CA100+BZ100+BY100)</f>
        <v>1.0577311263625353E-2</v>
      </c>
      <c r="CC56" s="612">
        <f>+CC20/(+CC100+CB100+CA100+BZ100)</f>
        <v>1.0519739626367869E-2</v>
      </c>
      <c r="CD56" s="1093">
        <f>+CD20/(CD100+CC100+CB100+CA100)</f>
        <v>1.5466882549692154E-2</v>
      </c>
      <c r="CE56" s="1094">
        <f>+CE20/(+CE100+CD100+CC100+CB100)</f>
        <v>8.0219828923458764E-3</v>
      </c>
      <c r="CF56" s="1094">
        <f>+CF20/(+CF100+CE100+CD100+CC100)</f>
        <v>8.407048987227753E-3</v>
      </c>
      <c r="CG56" s="612">
        <f>+CG20/(+CG100+CF100+CE100+CD100)</f>
        <v>9.948043633498313E-3</v>
      </c>
      <c r="CH56" s="1093">
        <f>+CH20/(CH100+CG100+CF100+CE100)</f>
        <v>1.8426665343980953E-2</v>
      </c>
      <c r="CI56" s="1094">
        <f>+CI20/(+CI100+CH100+CG100+CF100)</f>
        <v>1.7005019102554499E-2</v>
      </c>
      <c r="CJ56" s="1170">
        <f>+CJ20/(+CJ100+CI100+CH100+CG100)</f>
        <v>1.6212177810982442E-2</v>
      </c>
      <c r="CK56" s="1294">
        <f>+CK20/(+CK100+CJ100+CI100+CH100)</f>
        <v>1.8592429162844891E-2</v>
      </c>
      <c r="CL56" s="1093">
        <f t="shared" ref="CL56:CW56" si="183">+CL20/(CL100+CK100+CJ100+CI100)</f>
        <v>8.1971285210392963E-4</v>
      </c>
      <c r="CM56" s="1346">
        <f t="shared" si="183"/>
        <v>8.1831031318967443E-4</v>
      </c>
      <c r="CN56" s="1346">
        <f t="shared" si="183"/>
        <v>7.9772647953333005E-4</v>
      </c>
      <c r="CO56" s="1417">
        <f t="shared" si="183"/>
        <v>7.8425419955474595E-4</v>
      </c>
      <c r="CP56" s="1346">
        <f t="shared" si="183"/>
        <v>7.8654251135412169E-4</v>
      </c>
      <c r="CQ56" s="1346">
        <f t="shared" si="183"/>
        <v>2.2832208635648689E-4</v>
      </c>
      <c r="CR56" s="1346">
        <f t="shared" si="183"/>
        <v>0</v>
      </c>
      <c r="CS56" s="2038">
        <f t="shared" si="183"/>
        <v>0</v>
      </c>
      <c r="CT56" s="2485">
        <f t="shared" si="183"/>
        <v>0</v>
      </c>
      <c r="CU56" s="1346">
        <f t="shared" si="183"/>
        <v>0</v>
      </c>
      <c r="CV56" s="1346">
        <f t="shared" si="183"/>
        <v>0</v>
      </c>
      <c r="CW56" s="2038">
        <f t="shared" si="183"/>
        <v>0</v>
      </c>
      <c r="CX56" s="2795">
        <f t="shared" ref="CX56:DA57" si="184">CT56</f>
        <v>0</v>
      </c>
      <c r="CY56" s="2605">
        <f t="shared" si="184"/>
        <v>0</v>
      </c>
      <c r="CZ56" s="2605">
        <f t="shared" si="184"/>
        <v>0</v>
      </c>
      <c r="DA56" s="1617">
        <f t="shared" si="184"/>
        <v>0</v>
      </c>
      <c r="DB56" s="673"/>
      <c r="DC56" s="611"/>
      <c r="DD56" s="107"/>
      <c r="DE56" s="107"/>
      <c r="DF56" s="107"/>
      <c r="DG56" s="107"/>
      <c r="DH56" s="107"/>
      <c r="DI56" s="107"/>
      <c r="DJ56" s="107"/>
      <c r="DK56" s="107"/>
      <c r="DL56" s="107"/>
      <c r="DM56" s="118">
        <f t="shared" ref="DM56:EC56" si="185">+DM20/DM100</f>
        <v>5.7054221689542039E-3</v>
      </c>
      <c r="DN56" s="118">
        <f t="shared" si="185"/>
        <v>2.6671577007909056E-3</v>
      </c>
      <c r="DO56" s="118">
        <f t="shared" si="185"/>
        <v>2.2699420372700829E-3</v>
      </c>
      <c r="DP56" s="118">
        <f t="shared" si="185"/>
        <v>1.5727085474944822E-3</v>
      </c>
      <c r="DQ56" s="118">
        <f t="shared" si="185"/>
        <v>2.5596528680690805E-3</v>
      </c>
      <c r="DR56" s="118">
        <f t="shared" si="185"/>
        <v>4.7060902641206928E-3</v>
      </c>
      <c r="DS56" s="118">
        <f t="shared" si="185"/>
        <v>5.3501863332882918E-3</v>
      </c>
      <c r="DT56" s="118">
        <f t="shared" si="185"/>
        <v>3.2709088125733532E-2</v>
      </c>
      <c r="DU56" s="118">
        <f t="shared" si="185"/>
        <v>1.29857729399408E-2</v>
      </c>
      <c r="DV56" s="118">
        <f t="shared" si="185"/>
        <v>6.9260541861886332E-3</v>
      </c>
      <c r="DW56" s="118">
        <f t="shared" si="185"/>
        <v>1.3633215470418838E-2</v>
      </c>
      <c r="DX56" s="118">
        <f t="shared" si="185"/>
        <v>1.8348029045643154E-2</v>
      </c>
      <c r="DY56" s="118">
        <f t="shared" si="185"/>
        <v>1.5333667278900205E-2</v>
      </c>
      <c r="DZ56" s="118">
        <f t="shared" si="185"/>
        <v>7.8704744771756242E-3</v>
      </c>
      <c r="EA56" s="118">
        <f t="shared" si="185"/>
        <v>8.1528379429079197E-3</v>
      </c>
      <c r="EB56" s="118">
        <f t="shared" si="185"/>
        <v>9.0956654726928807E-3</v>
      </c>
      <c r="EC56" s="118">
        <f t="shared" si="185"/>
        <v>8.6529280712921708E-3</v>
      </c>
      <c r="ED56" s="107">
        <f>ED20/ED100</f>
        <v>7.899482515289321E-3</v>
      </c>
      <c r="EE56" s="107">
        <f>EE20/EE100</f>
        <v>7.6384468491406746E-3</v>
      </c>
      <c r="EF56" s="673">
        <f t="shared" si="176"/>
        <v>9.1127191115582557E-3</v>
      </c>
      <c r="EG56" s="109">
        <f t="shared" ref="EG56:EL56" si="186">EG20/EG100</f>
        <v>1.0519739626367869E-2</v>
      </c>
      <c r="EH56" s="109">
        <f t="shared" si="186"/>
        <v>9.948043633498313E-3</v>
      </c>
      <c r="EI56" s="109">
        <f t="shared" si="186"/>
        <v>1.8592429162844891E-2</v>
      </c>
      <c r="EJ56" s="109">
        <f t="shared" si="186"/>
        <v>7.8425419955474595E-4</v>
      </c>
      <c r="EK56" s="108">
        <f t="shared" si="186"/>
        <v>0</v>
      </c>
      <c r="EL56" s="108">
        <f t="shared" si="186"/>
        <v>0</v>
      </c>
      <c r="EM56" s="1721">
        <f t="shared" ref="EM56" si="187">EM20/EM100</f>
        <v>0</v>
      </c>
      <c r="EN56" s="1619">
        <f t="shared" si="179"/>
        <v>0</v>
      </c>
      <c r="EO56" s="1619">
        <f t="shared" si="179"/>
        <v>0</v>
      </c>
      <c r="EP56" s="1619">
        <f t="shared" si="179"/>
        <v>0</v>
      </c>
      <c r="EQ56" s="1619">
        <f t="shared" si="180"/>
        <v>0</v>
      </c>
      <c r="ER56" s="1619">
        <f t="shared" si="180"/>
        <v>0</v>
      </c>
      <c r="ES56" s="1619">
        <f t="shared" si="180"/>
        <v>0</v>
      </c>
      <c r="ET56" s="1619">
        <f t="shared" si="180"/>
        <v>0</v>
      </c>
      <c r="EU56" s="1619">
        <f t="shared" si="180"/>
        <v>0</v>
      </c>
      <c r="EV56" s="1029"/>
      <c r="EW56"/>
      <c r="EX56"/>
      <c r="EY56"/>
      <c r="EZ56"/>
      <c r="FA56"/>
      <c r="FB56"/>
      <c r="FG56"/>
      <c r="FH56" s="2654"/>
      <c r="FI56" s="2654"/>
      <c r="FJ56" s="2654"/>
      <c r="FK56"/>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row>
    <row r="57" spans="1:260" s="4" customFormat="1" x14ac:dyDescent="0.2">
      <c r="A57" s="4" t="s">
        <v>315</v>
      </c>
      <c r="E57" s="470"/>
      <c r="F57" s="118">
        <f t="shared" ref="F57:AK57" si="188">+F25/(+F100+E100+D100+C100)</f>
        <v>0</v>
      </c>
      <c r="G57" s="118">
        <f t="shared" si="188"/>
        <v>0</v>
      </c>
      <c r="H57" s="118">
        <f t="shared" si="188"/>
        <v>0</v>
      </c>
      <c r="I57" s="612">
        <f t="shared" si="188"/>
        <v>0</v>
      </c>
      <c r="J57" s="118">
        <f t="shared" si="188"/>
        <v>0</v>
      </c>
      <c r="K57" s="118">
        <f t="shared" si="188"/>
        <v>0</v>
      </c>
      <c r="L57" s="118">
        <f t="shared" si="188"/>
        <v>0</v>
      </c>
      <c r="M57" s="612">
        <f t="shared" si="188"/>
        <v>0</v>
      </c>
      <c r="N57" s="118">
        <f t="shared" si="188"/>
        <v>0</v>
      </c>
      <c r="O57" s="118">
        <f t="shared" si="188"/>
        <v>0</v>
      </c>
      <c r="P57" s="118">
        <f t="shared" si="188"/>
        <v>0</v>
      </c>
      <c r="Q57" s="612">
        <f t="shared" si="188"/>
        <v>0</v>
      </c>
      <c r="R57" s="118">
        <f t="shared" si="188"/>
        <v>0</v>
      </c>
      <c r="S57" s="118">
        <f t="shared" si="188"/>
        <v>0</v>
      </c>
      <c r="T57" s="118">
        <f t="shared" si="188"/>
        <v>0</v>
      </c>
      <c r="U57" s="612">
        <f t="shared" si="188"/>
        <v>0</v>
      </c>
      <c r="V57" s="118">
        <f t="shared" si="188"/>
        <v>0</v>
      </c>
      <c r="W57" s="118">
        <f t="shared" si="188"/>
        <v>0</v>
      </c>
      <c r="X57" s="118">
        <f t="shared" si="188"/>
        <v>0</v>
      </c>
      <c r="Y57" s="612">
        <f t="shared" si="188"/>
        <v>0</v>
      </c>
      <c r="Z57" s="118">
        <f t="shared" si="188"/>
        <v>0</v>
      </c>
      <c r="AA57" s="118">
        <f t="shared" si="188"/>
        <v>0</v>
      </c>
      <c r="AB57" s="118">
        <f t="shared" si="188"/>
        <v>0</v>
      </c>
      <c r="AC57" s="612">
        <f t="shared" si="188"/>
        <v>0</v>
      </c>
      <c r="AD57" s="118">
        <f t="shared" si="188"/>
        <v>0</v>
      </c>
      <c r="AE57" s="118">
        <f t="shared" si="188"/>
        <v>0</v>
      </c>
      <c r="AF57" s="118">
        <f t="shared" si="188"/>
        <v>0</v>
      </c>
      <c r="AG57" s="612">
        <f t="shared" si="188"/>
        <v>0</v>
      </c>
      <c r="AH57" s="118">
        <f t="shared" si="188"/>
        <v>0</v>
      </c>
      <c r="AI57" s="118">
        <f t="shared" si="188"/>
        <v>0</v>
      </c>
      <c r="AJ57" s="118">
        <f t="shared" si="188"/>
        <v>0</v>
      </c>
      <c r="AK57" s="612">
        <f t="shared" si="188"/>
        <v>0</v>
      </c>
      <c r="AL57" s="118">
        <f t="shared" ref="AL57:BQ57" si="189">+AL25/(+AL100+AK100+AJ100+AI100)</f>
        <v>0</v>
      </c>
      <c r="AM57" s="118">
        <f t="shared" si="189"/>
        <v>0</v>
      </c>
      <c r="AN57" s="118">
        <f t="shared" si="189"/>
        <v>0</v>
      </c>
      <c r="AO57" s="612">
        <f t="shared" si="189"/>
        <v>0</v>
      </c>
      <c r="AP57" s="118">
        <f t="shared" si="189"/>
        <v>0</v>
      </c>
      <c r="AQ57" s="118">
        <f t="shared" si="189"/>
        <v>0</v>
      </c>
      <c r="AR57" s="118">
        <f t="shared" si="189"/>
        <v>0</v>
      </c>
      <c r="AS57" s="612">
        <f t="shared" si="189"/>
        <v>1.2222448563862294E-2</v>
      </c>
      <c r="AT57" s="118">
        <f t="shared" si="189"/>
        <v>1.1397696797602145E-2</v>
      </c>
      <c r="AU57" s="118">
        <f t="shared" si="189"/>
        <v>1.0752688172043012E-2</v>
      </c>
      <c r="AV57" s="118">
        <f t="shared" si="189"/>
        <v>1.1855186644156818E-2</v>
      </c>
      <c r="AW57" s="612">
        <f t="shared" si="189"/>
        <v>1.4945503590566107E-2</v>
      </c>
      <c r="AX57" s="118">
        <f t="shared" si="189"/>
        <v>0</v>
      </c>
      <c r="AY57" s="118">
        <f t="shared" si="189"/>
        <v>1.2476475918310448E-2</v>
      </c>
      <c r="AZ57" s="118">
        <f t="shared" si="189"/>
        <v>0</v>
      </c>
      <c r="BA57" s="612">
        <f t="shared" si="189"/>
        <v>1.5203578838174274E-2</v>
      </c>
      <c r="BB57" s="118">
        <f t="shared" si="189"/>
        <v>0</v>
      </c>
      <c r="BC57" s="118">
        <f t="shared" si="189"/>
        <v>1.2028229518257135E-2</v>
      </c>
      <c r="BD57" s="118">
        <f t="shared" si="189"/>
        <v>0</v>
      </c>
      <c r="BE57" s="612">
        <f t="shared" si="189"/>
        <v>1.3803083430734124E-2</v>
      </c>
      <c r="BF57" s="118">
        <f t="shared" si="189"/>
        <v>1.2329955015988294E-2</v>
      </c>
      <c r="BG57" s="118">
        <f t="shared" si="189"/>
        <v>1.1090961654708402E-2</v>
      </c>
      <c r="BH57" s="118">
        <f t="shared" si="189"/>
        <v>1.1922843256379101E-2</v>
      </c>
      <c r="BI57" s="612">
        <f t="shared" si="189"/>
        <v>1.3267371261524623E-2</v>
      </c>
      <c r="BJ57" s="118">
        <f t="shared" si="189"/>
        <v>1.1707150854305603E-2</v>
      </c>
      <c r="BK57" s="118">
        <f t="shared" si="189"/>
        <v>1.0845575147732397E-2</v>
      </c>
      <c r="BL57" s="118">
        <f t="shared" si="189"/>
        <v>1.0707177011599442E-2</v>
      </c>
      <c r="BM57" s="612">
        <f t="shared" si="189"/>
        <v>1.0640897478618239E-2</v>
      </c>
      <c r="BN57" s="118">
        <f t="shared" si="189"/>
        <v>9.2801387684301826E-3</v>
      </c>
      <c r="BO57" s="118">
        <f t="shared" si="189"/>
        <v>8.4493356709828688E-3</v>
      </c>
      <c r="BP57" s="118">
        <f t="shared" si="189"/>
        <v>8.8791392457954667E-3</v>
      </c>
      <c r="BQ57" s="612">
        <f t="shared" si="189"/>
        <v>9.3170201634000076E-3</v>
      </c>
      <c r="BR57" s="118">
        <f t="shared" ref="BR57:CW57" si="190">+BR25/(+BR100+BQ100+BP100+BO100)</f>
        <v>8.4150359226769344E-3</v>
      </c>
      <c r="BS57" s="118">
        <f t="shared" si="190"/>
        <v>7.8890795416444778E-3</v>
      </c>
      <c r="BT57" s="118">
        <f t="shared" si="190"/>
        <v>8.3845834404477054E-3</v>
      </c>
      <c r="BU57" s="612">
        <f t="shared" si="190"/>
        <v>9.4287078294080211E-3</v>
      </c>
      <c r="BV57" s="118">
        <f t="shared" si="190"/>
        <v>8.7258304412493794E-3</v>
      </c>
      <c r="BW57" s="118">
        <f t="shared" si="190"/>
        <v>8.1295976840560745E-3</v>
      </c>
      <c r="BX57" s="118">
        <f t="shared" si="190"/>
        <v>8.4514829588088931E-3</v>
      </c>
      <c r="BY57" s="612">
        <f t="shared" si="190"/>
        <v>8.9383722753645922E-3</v>
      </c>
      <c r="BZ57" s="118">
        <f t="shared" si="190"/>
        <v>8.0486011685949772E-3</v>
      </c>
      <c r="CA57" s="118">
        <f t="shared" si="190"/>
        <v>7.5659316904453091E-3</v>
      </c>
      <c r="CB57" s="118">
        <f t="shared" si="190"/>
        <v>7.9127977392006461E-3</v>
      </c>
      <c r="CC57" s="612">
        <f t="shared" si="190"/>
        <v>8.6253803833054553E-3</v>
      </c>
      <c r="CD57" s="1030">
        <f t="shared" si="190"/>
        <v>7.9464837342082279E-3</v>
      </c>
      <c r="CE57" s="1094">
        <f t="shared" si="190"/>
        <v>7.9333421974028279E-3</v>
      </c>
      <c r="CF57" s="1094">
        <f t="shared" si="190"/>
        <v>8.4994341409335514E-3</v>
      </c>
      <c r="CG57" s="612">
        <f t="shared" si="190"/>
        <v>9.9972913742582062E-3</v>
      </c>
      <c r="CH57" s="1030">
        <f t="shared" si="190"/>
        <v>8.977729279301622E-3</v>
      </c>
      <c r="CI57" s="1094">
        <f t="shared" si="190"/>
        <v>9.2641146652683096E-3</v>
      </c>
      <c r="CJ57" s="1170">
        <f t="shared" si="190"/>
        <v>9.4882330967500927E-3</v>
      </c>
      <c r="CK57" s="1294">
        <f t="shared" si="190"/>
        <v>1.0188651181238999E-2</v>
      </c>
      <c r="CL57" s="1030">
        <f t="shared" si="190"/>
        <v>9.5633166078791798E-3</v>
      </c>
      <c r="CM57" s="1170">
        <f t="shared" si="190"/>
        <v>9.1997917028293699E-3</v>
      </c>
      <c r="CN57" s="1170">
        <f t="shared" si="190"/>
        <v>9.4480729919728772E-3</v>
      </c>
      <c r="CO57" s="1294">
        <f t="shared" si="190"/>
        <v>1.0347095729609391E-2</v>
      </c>
      <c r="CP57" s="1170">
        <f t="shared" si="190"/>
        <v>9.616116509781036E-3</v>
      </c>
      <c r="CQ57" s="1170">
        <f t="shared" si="190"/>
        <v>9.3612055406159626E-3</v>
      </c>
      <c r="CR57" s="1170">
        <f t="shared" si="190"/>
        <v>9.5336839975723245E-3</v>
      </c>
      <c r="CS57" s="2039">
        <f t="shared" si="190"/>
        <v>1.0836738319417304E-2</v>
      </c>
      <c r="CT57" s="2486">
        <f t="shared" si="190"/>
        <v>9.8510940032414916E-3</v>
      </c>
      <c r="CU57" s="1170">
        <f t="shared" si="190"/>
        <v>9.6002005263817521E-3</v>
      </c>
      <c r="CV57" s="1170">
        <f t="shared" si="190"/>
        <v>9.3121430345170109E-3</v>
      </c>
      <c r="CW57" s="2039">
        <f t="shared" si="190"/>
        <v>9.1338283789233945E-3</v>
      </c>
      <c r="CX57" s="2796">
        <f t="shared" si="184"/>
        <v>9.8510940032414916E-3</v>
      </c>
      <c r="CY57" s="2606">
        <f t="shared" si="184"/>
        <v>9.6002005263817521E-3</v>
      </c>
      <c r="CZ57" s="2606">
        <f t="shared" si="184"/>
        <v>9.3121430345170109E-3</v>
      </c>
      <c r="DA57" s="1618">
        <f t="shared" si="184"/>
        <v>9.1338283789233945E-3</v>
      </c>
      <c r="DB57" s="674"/>
      <c r="DC57" s="518"/>
      <c r="DM57" s="118">
        <f t="shared" ref="DM57:EC57" si="191">+DM25/DM100</f>
        <v>0</v>
      </c>
      <c r="DN57" s="118">
        <f t="shared" si="191"/>
        <v>0</v>
      </c>
      <c r="DO57" s="118">
        <f t="shared" si="191"/>
        <v>0</v>
      </c>
      <c r="DP57" s="118">
        <f t="shared" si="191"/>
        <v>0</v>
      </c>
      <c r="DQ57" s="118">
        <f t="shared" si="191"/>
        <v>0</v>
      </c>
      <c r="DR57" s="118">
        <f t="shared" si="191"/>
        <v>0</v>
      </c>
      <c r="DS57" s="118">
        <f t="shared" si="191"/>
        <v>0</v>
      </c>
      <c r="DT57" s="118">
        <f t="shared" si="191"/>
        <v>0</v>
      </c>
      <c r="DU57" s="118">
        <f t="shared" si="191"/>
        <v>0</v>
      </c>
      <c r="DV57" s="118">
        <f t="shared" si="191"/>
        <v>1.2222448563862294E-2</v>
      </c>
      <c r="DW57" s="118">
        <f t="shared" si="191"/>
        <v>1.4945503590566107E-2</v>
      </c>
      <c r="DX57" s="118">
        <f t="shared" si="191"/>
        <v>1.5203578838174274E-2</v>
      </c>
      <c r="DY57" s="118">
        <f t="shared" si="191"/>
        <v>1.3803083430734124E-2</v>
      </c>
      <c r="DZ57" s="118">
        <f t="shared" si="191"/>
        <v>1.3267371261524623E-2</v>
      </c>
      <c r="EA57" s="118">
        <f t="shared" si="191"/>
        <v>1.0640897478618239E-2</v>
      </c>
      <c r="EB57" s="118">
        <f t="shared" si="191"/>
        <v>9.3170201634000076E-3</v>
      </c>
      <c r="EC57" s="118">
        <f t="shared" si="191"/>
        <v>9.4287078294080211E-3</v>
      </c>
      <c r="ED57" s="15">
        <f>ED25/ED100</f>
        <v>8.9383722753645922E-3</v>
      </c>
      <c r="EE57" s="15">
        <f>EE25/EE100</f>
        <v>9.4287078294080211E-3</v>
      </c>
      <c r="EF57" s="674">
        <f t="shared" si="176"/>
        <v>8.0486011685949772E-3</v>
      </c>
      <c r="EG57" s="161">
        <f t="shared" ref="EG57:EL57" si="192">EG25/EG100</f>
        <v>8.6253803833054553E-3</v>
      </c>
      <c r="EH57" s="161">
        <f t="shared" si="192"/>
        <v>9.9972913742582062E-3</v>
      </c>
      <c r="EI57" s="161">
        <f t="shared" si="192"/>
        <v>1.0188651181238999E-2</v>
      </c>
      <c r="EJ57" s="161">
        <f t="shared" si="192"/>
        <v>1.0347095729609391E-2</v>
      </c>
      <c r="EK57" s="70">
        <f t="shared" si="192"/>
        <v>1.0836738319417304E-2</v>
      </c>
      <c r="EL57" s="70">
        <f t="shared" si="192"/>
        <v>9.1338283789233945E-3</v>
      </c>
      <c r="EM57" s="1673">
        <f t="shared" ref="EM57" si="193">EM25/EM100</f>
        <v>9.1338283789233927E-3</v>
      </c>
      <c r="EN57" s="1554">
        <f t="shared" ref="EN57:EP58" si="194">EM57</f>
        <v>9.1338283789233927E-3</v>
      </c>
      <c r="EO57" s="1554">
        <f t="shared" si="194"/>
        <v>9.1338283789233927E-3</v>
      </c>
      <c r="EP57" s="1554">
        <f t="shared" si="194"/>
        <v>9.1338283789233927E-3</v>
      </c>
      <c r="EQ57" s="1554">
        <f t="shared" si="180"/>
        <v>9.1338283789233927E-3</v>
      </c>
      <c r="ER57" s="1554">
        <f t="shared" si="180"/>
        <v>9.1338283789233927E-3</v>
      </c>
      <c r="ES57" s="1554">
        <f t="shared" si="180"/>
        <v>9.1338283789233927E-3</v>
      </c>
      <c r="ET57" s="1554">
        <f t="shared" si="180"/>
        <v>9.1338283789233927E-3</v>
      </c>
      <c r="EU57" s="1554">
        <f t="shared" si="180"/>
        <v>9.1338283789233927E-3</v>
      </c>
      <c r="EV57" s="580"/>
      <c r="EW57"/>
      <c r="EX57"/>
      <c r="EY57"/>
      <c r="EZ57"/>
      <c r="FA57"/>
      <c r="FB57"/>
      <c r="FG57" s="170"/>
      <c r="FH57" s="1606"/>
      <c r="FI57" s="1606"/>
      <c r="FJ57" s="1606"/>
      <c r="FK57"/>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row>
    <row r="58" spans="1:260" s="4" customFormat="1" x14ac:dyDescent="0.2">
      <c r="A58" s="4" t="s">
        <v>571</v>
      </c>
      <c r="B58" s="118">
        <f>B26/((B101+B102)*4)</f>
        <v>6.0776506292142523E-3</v>
      </c>
      <c r="C58" s="118">
        <f>C26/((C101+C102)*4)</f>
        <v>5.8934514175562379E-3</v>
      </c>
      <c r="D58" s="118">
        <f>D26/((D101+D102)*4)</f>
        <v>5.4924475671859893E-3</v>
      </c>
      <c r="E58" s="612">
        <f>E26/((E101+E102)*4)</f>
        <v>4.1866982664611639E-3</v>
      </c>
      <c r="F58" s="118">
        <f t="shared" ref="F58:AK58" si="195">F26/(F101+F102+E101+E102+D102+D101+C102+C101)</f>
        <v>5.1709153808972633E-3</v>
      </c>
      <c r="G58" s="118">
        <f t="shared" si="195"/>
        <v>5.1918643018118611E-3</v>
      </c>
      <c r="H58" s="118">
        <f t="shared" si="195"/>
        <v>6.2318292635229373E-3</v>
      </c>
      <c r="I58" s="612">
        <f t="shared" si="195"/>
        <v>4.7976717827712652E-3</v>
      </c>
      <c r="J58" s="118">
        <f t="shared" si="195"/>
        <v>4.4860350381890311E-3</v>
      </c>
      <c r="K58" s="118">
        <f t="shared" si="195"/>
        <v>4.8969291709293683E-3</v>
      </c>
      <c r="L58" s="118">
        <f t="shared" si="195"/>
        <v>5.3818984082455003E-3</v>
      </c>
      <c r="M58" s="612">
        <f t="shared" si="195"/>
        <v>1.7700407266382095E-2</v>
      </c>
      <c r="N58" s="118">
        <f t="shared" si="195"/>
        <v>3.7774951734165564E-3</v>
      </c>
      <c r="O58" s="118">
        <f t="shared" si="195"/>
        <v>3.7229785058656493E-3</v>
      </c>
      <c r="P58" s="118">
        <f t="shared" si="195"/>
        <v>4.2507297069171966E-3</v>
      </c>
      <c r="Q58" s="612">
        <f t="shared" si="195"/>
        <v>4.3619177614653074E-3</v>
      </c>
      <c r="R58" s="118">
        <f t="shared" si="195"/>
        <v>4.1433060673876938E-3</v>
      </c>
      <c r="S58" s="118">
        <f t="shared" si="195"/>
        <v>4.6651261100478384E-3</v>
      </c>
      <c r="T58" s="118">
        <f t="shared" si="195"/>
        <v>4.8617695509880791E-3</v>
      </c>
      <c r="U58" s="612">
        <f t="shared" si="195"/>
        <v>5.9686558678035484E-3</v>
      </c>
      <c r="V58" s="118">
        <f t="shared" si="195"/>
        <v>4.7965864124451512E-3</v>
      </c>
      <c r="W58" s="118">
        <f t="shared" si="195"/>
        <v>5.4868302131943509E-3</v>
      </c>
      <c r="X58" s="118">
        <f t="shared" si="195"/>
        <v>6.4631407963653747E-3</v>
      </c>
      <c r="Y58" s="612">
        <f t="shared" si="195"/>
        <v>8.9224127813483309E-3</v>
      </c>
      <c r="Z58" s="118">
        <f t="shared" si="195"/>
        <v>5.3240185590021707E-3</v>
      </c>
      <c r="AA58" s="118">
        <f t="shared" si="195"/>
        <v>6.4247059223114097E-3</v>
      </c>
      <c r="AB58" s="118">
        <f t="shared" si="195"/>
        <v>7.0374481566037239E-3</v>
      </c>
      <c r="AC58" s="612">
        <f t="shared" si="195"/>
        <v>8.5376005749674359E-3</v>
      </c>
      <c r="AD58" s="118">
        <f t="shared" si="195"/>
        <v>7.2021698697383547E-3</v>
      </c>
      <c r="AE58" s="118">
        <f t="shared" si="195"/>
        <v>8.801035681174298E-3</v>
      </c>
      <c r="AF58" s="118">
        <f t="shared" si="195"/>
        <v>7.7853368175408635E-3</v>
      </c>
      <c r="AG58" s="612">
        <f t="shared" si="195"/>
        <v>1.046054377982104E-2</v>
      </c>
      <c r="AH58" s="118">
        <f t="shared" si="195"/>
        <v>9.1121837781414604E-3</v>
      </c>
      <c r="AI58" s="118">
        <f t="shared" si="195"/>
        <v>8.6395890184009245E-3</v>
      </c>
      <c r="AJ58" s="118">
        <f t="shared" si="195"/>
        <v>1.0852152343548136E-2</v>
      </c>
      <c r="AK58" s="612">
        <f t="shared" si="195"/>
        <v>9.3247588424437301E-3</v>
      </c>
      <c r="AL58" s="118">
        <f t="shared" ref="AL58:BQ58" si="196">AL26/(AL101+AL102+AK101+AK102+AJ102+AJ101+AI102+AI101)</f>
        <v>1.1502666527240406E-2</v>
      </c>
      <c r="AM58" s="118">
        <f t="shared" si="196"/>
        <v>7.9061463912267274E-3</v>
      </c>
      <c r="AN58" s="118">
        <f t="shared" si="196"/>
        <v>8.7635835545094905E-3</v>
      </c>
      <c r="AO58" s="612">
        <f t="shared" si="196"/>
        <v>0</v>
      </c>
      <c r="AP58" s="118">
        <f t="shared" si="196"/>
        <v>0</v>
      </c>
      <c r="AQ58" s="118">
        <f t="shared" si="196"/>
        <v>0</v>
      </c>
      <c r="AR58" s="118">
        <f t="shared" si="196"/>
        <v>1.0260853703028093E-2</v>
      </c>
      <c r="AS58" s="612">
        <f t="shared" si="196"/>
        <v>1.1574372875521707E-2</v>
      </c>
      <c r="AT58" s="118">
        <f t="shared" si="196"/>
        <v>7.630723042281711E-3</v>
      </c>
      <c r="AU58" s="118">
        <f t="shared" si="196"/>
        <v>7.7880988115036709E-3</v>
      </c>
      <c r="AV58" s="118">
        <f t="shared" si="196"/>
        <v>8.7173594325791505E-3</v>
      </c>
      <c r="AW58" s="612">
        <f t="shared" si="196"/>
        <v>9.0031164633911746E-3</v>
      </c>
      <c r="AX58" s="118">
        <f t="shared" si="196"/>
        <v>0</v>
      </c>
      <c r="AY58" s="118">
        <f t="shared" si="196"/>
        <v>7.9476046802560898E-3</v>
      </c>
      <c r="AZ58" s="118">
        <f t="shared" si="196"/>
        <v>0</v>
      </c>
      <c r="BA58" s="612">
        <f t="shared" si="196"/>
        <v>1.2121627174359677E-2</v>
      </c>
      <c r="BB58" s="118">
        <f t="shared" si="196"/>
        <v>0</v>
      </c>
      <c r="BC58" s="118">
        <f t="shared" si="196"/>
        <v>8.5447870301179375E-3</v>
      </c>
      <c r="BD58" s="118">
        <f t="shared" si="196"/>
        <v>0</v>
      </c>
      <c r="BE58" s="612">
        <f t="shared" si="196"/>
        <v>9.7834094592603501E-3</v>
      </c>
      <c r="BF58" s="118">
        <f t="shared" si="196"/>
        <v>6.9480185280494083E-3</v>
      </c>
      <c r="BG58" s="118">
        <f t="shared" si="196"/>
        <v>7.9611650485436891E-3</v>
      </c>
      <c r="BH58" s="118">
        <f t="shared" si="196"/>
        <v>9.0763052208835335E-3</v>
      </c>
      <c r="BI58" s="612">
        <f t="shared" si="196"/>
        <v>9.8515662141461097E-3</v>
      </c>
      <c r="BJ58" s="118">
        <f t="shared" si="196"/>
        <v>7.2981446266125304E-3</v>
      </c>
      <c r="BK58" s="118">
        <f t="shared" si="196"/>
        <v>1.3640792465086067E-2</v>
      </c>
      <c r="BL58" s="118">
        <f t="shared" si="196"/>
        <v>9.8377963336212688E-3</v>
      </c>
      <c r="BM58" s="612">
        <f t="shared" si="196"/>
        <v>1.0674170368130974E-2</v>
      </c>
      <c r="BN58" s="118">
        <f t="shared" si="196"/>
        <v>9.1745202679686614E-3</v>
      </c>
      <c r="BO58" s="118">
        <f t="shared" si="196"/>
        <v>9.4229283901577851E-3</v>
      </c>
      <c r="BP58" s="118">
        <f t="shared" si="196"/>
        <v>1.0538513676017229E-2</v>
      </c>
      <c r="BQ58" s="612">
        <f t="shared" si="196"/>
        <v>1.1475098614128714E-2</v>
      </c>
      <c r="BR58" s="118">
        <f t="shared" ref="BR58:CW58" si="197">BR26/(BR101+BR102+BQ101+BQ102+BP102+BP101+BO102+BO101)</f>
        <v>9.0580462874475416E-3</v>
      </c>
      <c r="BS58" s="118">
        <f t="shared" si="197"/>
        <v>9.6647350993377488E-3</v>
      </c>
      <c r="BT58" s="118">
        <f t="shared" si="197"/>
        <v>9.6311517944247249E-3</v>
      </c>
      <c r="BU58" s="612">
        <f t="shared" si="197"/>
        <v>1.1890854472630174E-2</v>
      </c>
      <c r="BV58" s="118">
        <f t="shared" si="197"/>
        <v>1.0224863876304086E-2</v>
      </c>
      <c r="BW58" s="118">
        <f t="shared" si="197"/>
        <v>1.0135135135135136E-2</v>
      </c>
      <c r="BX58" s="118">
        <f t="shared" si="197"/>
        <v>1.024446551510904E-2</v>
      </c>
      <c r="BY58" s="612">
        <f t="shared" si="197"/>
        <v>1.1054596168833832E-2</v>
      </c>
      <c r="BZ58" s="118">
        <f t="shared" si="197"/>
        <v>1.2935141820246132E-2</v>
      </c>
      <c r="CA58" s="118">
        <f t="shared" si="197"/>
        <v>9.5300690108445617E-3</v>
      </c>
      <c r="CB58" s="118">
        <f t="shared" si="197"/>
        <v>9.0084414766284492E-3</v>
      </c>
      <c r="CC58" s="612">
        <f t="shared" si="197"/>
        <v>1.0802725610769486E-2</v>
      </c>
      <c r="CD58" s="1030">
        <f t="shared" si="197"/>
        <v>7.2963912443305065E-3</v>
      </c>
      <c r="CE58" s="1094">
        <f t="shared" si="197"/>
        <v>7.8391041023882987E-3</v>
      </c>
      <c r="CF58" s="1094">
        <f t="shared" si="197"/>
        <v>8.3654007026936587E-3</v>
      </c>
      <c r="CG58" s="612">
        <f t="shared" si="197"/>
        <v>1.1255323463800445E-2</v>
      </c>
      <c r="CH58" s="1030">
        <f t="shared" si="197"/>
        <v>8.9418016452915035E-3</v>
      </c>
      <c r="CI58" s="1094">
        <f t="shared" si="197"/>
        <v>1.1385883565172592E-2</v>
      </c>
      <c r="CJ58" s="1170">
        <f t="shared" si="197"/>
        <v>7.8513141297912314E-3</v>
      </c>
      <c r="CK58" s="1294">
        <f t="shared" si="197"/>
        <v>9.5772617269965499E-3</v>
      </c>
      <c r="CL58" s="1030">
        <f t="shared" si="197"/>
        <v>7.1439624490638055E-3</v>
      </c>
      <c r="CM58" s="1170">
        <f t="shared" si="197"/>
        <v>8.1428608240781304E-3</v>
      </c>
      <c r="CN58" s="1170">
        <f t="shared" si="197"/>
        <v>8.5554288084620962E-3</v>
      </c>
      <c r="CO58" s="1294">
        <f t="shared" si="197"/>
        <v>9.3890539936354305E-3</v>
      </c>
      <c r="CP58" s="1170">
        <f t="shared" si="197"/>
        <v>7.3133382616960606E-3</v>
      </c>
      <c r="CQ58" s="1170">
        <f t="shared" si="197"/>
        <v>1.003459293881539E-2</v>
      </c>
      <c r="CR58" s="1170">
        <f t="shared" si="197"/>
        <v>1.0021097046413503E-2</v>
      </c>
      <c r="CS58" s="2039">
        <f t="shared" si="197"/>
        <v>1.1096363153703211E-2</v>
      </c>
      <c r="CT58" s="2486">
        <f t="shared" si="197"/>
        <v>7.2688685502055976E-3</v>
      </c>
      <c r="CU58" s="1170">
        <f t="shared" si="197"/>
        <v>1.1218538174557301E-2</v>
      </c>
      <c r="CV58" s="1170">
        <f t="shared" si="197"/>
        <v>8.6193427425654921E-3</v>
      </c>
      <c r="CW58" s="2039">
        <f t="shared" si="197"/>
        <v>1.1271180114951108E-2</v>
      </c>
      <c r="CX58" s="2796">
        <v>1.0999999999999999E-2</v>
      </c>
      <c r="CY58" s="2606">
        <v>1.0999999999999999E-2</v>
      </c>
      <c r="CZ58" s="2606">
        <v>1.0999999999999999E-2</v>
      </c>
      <c r="DA58" s="1618">
        <v>1.0999999999999999E-2</v>
      </c>
      <c r="DB58" s="675"/>
      <c r="DC58" s="612"/>
      <c r="DD58" s="118">
        <f t="shared" ref="DD58:DK58" si="198">DD26/(DD101+DD102)</f>
        <v>5.9588615098513627E-3</v>
      </c>
      <c r="DE58" s="118">
        <f t="shared" si="198"/>
        <v>0</v>
      </c>
      <c r="DF58" s="118">
        <f t="shared" si="198"/>
        <v>0</v>
      </c>
      <c r="DG58" s="118">
        <f t="shared" si="198"/>
        <v>0</v>
      </c>
      <c r="DH58" s="118">
        <f t="shared" si="198"/>
        <v>6.4498311997326406E-3</v>
      </c>
      <c r="DI58" s="118">
        <f t="shared" si="198"/>
        <v>7.691401811127067E-3</v>
      </c>
      <c r="DJ58" s="118">
        <f t="shared" si="198"/>
        <v>8.698936016054171E-3</v>
      </c>
      <c r="DK58" s="118">
        <f t="shared" si="198"/>
        <v>7.7963726350476934E-3</v>
      </c>
      <c r="DL58" s="118">
        <f t="shared" ref="DL58:EC58" si="199">DL26/((DL101+DL102))</f>
        <v>6.5949649001350473E-3</v>
      </c>
      <c r="DM58" s="118">
        <f t="shared" si="199"/>
        <v>4.7976717827712652E-3</v>
      </c>
      <c r="DN58" s="118">
        <f t="shared" si="199"/>
        <v>1.7700407266382095E-2</v>
      </c>
      <c r="DO58" s="118">
        <f t="shared" si="199"/>
        <v>4.3619177614653074E-3</v>
      </c>
      <c r="DP58" s="118">
        <f t="shared" si="199"/>
        <v>5.9686558678035493E-3</v>
      </c>
      <c r="DQ58" s="118">
        <f t="shared" si="199"/>
        <v>8.9224127813483326E-3</v>
      </c>
      <c r="DR58" s="118">
        <f t="shared" si="199"/>
        <v>8.5376005749674341E-3</v>
      </c>
      <c r="DS58" s="118">
        <f t="shared" si="199"/>
        <v>1.046054377982104E-2</v>
      </c>
      <c r="DT58" s="118">
        <f t="shared" si="199"/>
        <v>9.3247588424437301E-3</v>
      </c>
      <c r="DU58" s="118">
        <f t="shared" si="199"/>
        <v>0</v>
      </c>
      <c r="DV58" s="118">
        <f t="shared" si="199"/>
        <v>1.1574372875521707E-2</v>
      </c>
      <c r="DW58" s="118">
        <f t="shared" si="199"/>
        <v>9.0031164633911746E-3</v>
      </c>
      <c r="DX58" s="118">
        <f t="shared" si="199"/>
        <v>1.2121627174359677E-2</v>
      </c>
      <c r="DY58" s="118">
        <f t="shared" si="199"/>
        <v>9.7834094592603501E-3</v>
      </c>
      <c r="DZ58" s="118">
        <f t="shared" si="199"/>
        <v>9.8515662141461097E-3</v>
      </c>
      <c r="EA58" s="118">
        <f t="shared" si="199"/>
        <v>1.0674170368130974E-2</v>
      </c>
      <c r="EB58" s="118">
        <f t="shared" si="199"/>
        <v>1.1475098614128714E-2</v>
      </c>
      <c r="EC58" s="118">
        <f t="shared" si="199"/>
        <v>1.1890854472630174E-2</v>
      </c>
      <c r="ED58" s="118">
        <f>+ED26/ED100</f>
        <v>1.0565312843029638E-2</v>
      </c>
      <c r="EE58" s="118">
        <f>+EE26/EE100</f>
        <v>1.133831954169319E-2</v>
      </c>
      <c r="EF58" s="674">
        <f t="shared" si="176"/>
        <v>1.2935141820246132E-2</v>
      </c>
      <c r="EG58" s="1094">
        <f t="shared" ref="EG58:EL58" si="200">+EG26/EG100</f>
        <v>1.0479434110558029E-2</v>
      </c>
      <c r="EH58" s="1094">
        <f t="shared" si="200"/>
        <v>1.0932998448696166E-2</v>
      </c>
      <c r="EI58" s="1094">
        <f t="shared" si="200"/>
        <v>9.2218448647710654E-3</v>
      </c>
      <c r="EJ58" s="1094">
        <f t="shared" si="200"/>
        <v>9.0315725561627199E-3</v>
      </c>
      <c r="EK58" s="1170">
        <f t="shared" si="200"/>
        <v>1.0608329315026775E-2</v>
      </c>
      <c r="EL58" s="1170">
        <f t="shared" si="200"/>
        <v>1.0747075988707267E-2</v>
      </c>
      <c r="EM58" s="1722">
        <f t="shared" ref="EM58" si="201">+EM26/EM100</f>
        <v>1.049823153018201E-2</v>
      </c>
      <c r="EN58" s="1620">
        <f t="shared" si="194"/>
        <v>1.049823153018201E-2</v>
      </c>
      <c r="EO58" s="1620">
        <f t="shared" si="194"/>
        <v>1.049823153018201E-2</v>
      </c>
      <c r="EP58" s="1620">
        <f t="shared" si="194"/>
        <v>1.049823153018201E-2</v>
      </c>
      <c r="EQ58" s="1620">
        <f t="shared" si="180"/>
        <v>1.049823153018201E-2</v>
      </c>
      <c r="ER58" s="1620">
        <f t="shared" si="180"/>
        <v>1.049823153018201E-2</v>
      </c>
      <c r="ES58" s="1620">
        <f t="shared" si="180"/>
        <v>1.049823153018201E-2</v>
      </c>
      <c r="ET58" s="1620">
        <f t="shared" si="180"/>
        <v>1.049823153018201E-2</v>
      </c>
      <c r="EU58" s="1620">
        <f t="shared" si="180"/>
        <v>1.049823153018201E-2</v>
      </c>
      <c r="EV58" s="1030"/>
      <c r="EW58"/>
      <c r="EX58"/>
      <c r="EY58"/>
      <c r="EZ58"/>
      <c r="FA58"/>
      <c r="FB58"/>
      <c r="FG58"/>
      <c r="FH58" s="2606"/>
      <c r="FI58" s="2606"/>
      <c r="FJ58" s="2606"/>
      <c r="FK58"/>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row>
    <row r="59" spans="1:260" s="4" customFormat="1" x14ac:dyDescent="0.2">
      <c r="A59" s="4" t="s">
        <v>314</v>
      </c>
      <c r="B59" s="118">
        <f>B27/(B100*4)</f>
        <v>2.1737015154360866E-2</v>
      </c>
      <c r="C59" s="118">
        <f>C27/(C100*4)</f>
        <v>2.2664659490568048E-2</v>
      </c>
      <c r="D59" s="118">
        <f>D27/(D100*4)</f>
        <v>2.225514424670615E-2</v>
      </c>
      <c r="E59" s="612">
        <f>E27/(E100*4)</f>
        <v>1.0248005504714794E-2</v>
      </c>
      <c r="F59" s="118">
        <f t="shared" ref="F59:AK59" si="202">+F27/(+F100+E100+D100+C100)</f>
        <v>2.5259701553742447E-2</v>
      </c>
      <c r="G59" s="118">
        <f t="shared" si="202"/>
        <v>4.3929150810196167E-2</v>
      </c>
      <c r="H59" s="118">
        <f t="shared" si="202"/>
        <v>7.0895103155583852E-2</v>
      </c>
      <c r="I59" s="612">
        <f t="shared" si="202"/>
        <v>2.9040344880672548E-2</v>
      </c>
      <c r="J59" s="118">
        <f t="shared" si="202"/>
        <v>2.8371666082633341E-2</v>
      </c>
      <c r="K59" s="118">
        <f t="shared" si="202"/>
        <v>4.5259704451006633E-2</v>
      </c>
      <c r="L59" s="118">
        <f t="shared" si="202"/>
        <v>9.5622713602494344E-2</v>
      </c>
      <c r="M59" s="612">
        <f t="shared" si="202"/>
        <v>1.6742961232273989E-2</v>
      </c>
      <c r="N59" s="118">
        <f t="shared" si="202"/>
        <v>6.1763714099960745E-2</v>
      </c>
      <c r="O59" s="118">
        <f t="shared" si="202"/>
        <v>5.7133586636980593E-2</v>
      </c>
      <c r="P59" s="118">
        <f t="shared" si="202"/>
        <v>6.8199105055914006E-2</v>
      </c>
      <c r="Q59" s="612">
        <f t="shared" si="202"/>
        <v>3.218777551471342E-2</v>
      </c>
      <c r="R59" s="118">
        <f t="shared" si="202"/>
        <v>2.7341683839251684E-2</v>
      </c>
      <c r="S59" s="118">
        <f t="shared" si="202"/>
        <v>2.6694300967140341E-2</v>
      </c>
      <c r="T59" s="118">
        <f t="shared" si="202"/>
        <v>2.8070964882358239E-2</v>
      </c>
      <c r="U59" s="612">
        <f t="shared" si="202"/>
        <v>2.6790123988537237E-2</v>
      </c>
      <c r="V59" s="118">
        <f t="shared" si="202"/>
        <v>1.8880730363920746E-2</v>
      </c>
      <c r="W59" s="118">
        <f t="shared" si="202"/>
        <v>2.1044706612511028E-2</v>
      </c>
      <c r="X59" s="118">
        <f t="shared" si="202"/>
        <v>2.8080021884187997E-2</v>
      </c>
      <c r="Y59" s="612">
        <f t="shared" si="202"/>
        <v>2.5674623826809208E-2</v>
      </c>
      <c r="Z59" s="118">
        <f t="shared" si="202"/>
        <v>2.1493300699202245E-2</v>
      </c>
      <c r="AA59" s="118">
        <f t="shared" si="202"/>
        <v>2.1521123049193108E-2</v>
      </c>
      <c r="AB59" s="118">
        <f t="shared" si="202"/>
        <v>3.085934538949028E-2</v>
      </c>
      <c r="AC59" s="612">
        <f t="shared" si="202"/>
        <v>2.3042057790353034E-2</v>
      </c>
      <c r="AD59" s="118">
        <f t="shared" si="202"/>
        <v>2.4555721215301658E-2</v>
      </c>
      <c r="AE59" s="118">
        <f t="shared" si="202"/>
        <v>2.3386478675773478E-2</v>
      </c>
      <c r="AF59" s="118">
        <f t="shared" si="202"/>
        <v>2.8632715882214877E-2</v>
      </c>
      <c r="AG59" s="612">
        <f t="shared" si="202"/>
        <v>3.5624411438724482E-2</v>
      </c>
      <c r="AH59" s="118">
        <f t="shared" si="202"/>
        <v>3.3312886900382824E-2</v>
      </c>
      <c r="AI59" s="118">
        <f t="shared" si="202"/>
        <v>3.6060483104930728E-2</v>
      </c>
      <c r="AJ59" s="118">
        <f t="shared" si="202"/>
        <v>3.9438894604670718E-2</v>
      </c>
      <c r="AK59" s="612">
        <f t="shared" si="202"/>
        <v>4.6486707149053424E-2</v>
      </c>
      <c r="AL59" s="118">
        <f t="shared" ref="AL59:BQ59" si="203">+AL27/(+AL100+AK100+AJ100+AI100)</f>
        <v>3.6314794547806187E-2</v>
      </c>
      <c r="AM59" s="118">
        <f t="shared" si="203"/>
        <v>5.3545374963524947E-2</v>
      </c>
      <c r="AN59" s="118">
        <f t="shared" si="203"/>
        <v>6.5959784114247508E-2</v>
      </c>
      <c r="AO59" s="612">
        <f t="shared" si="203"/>
        <v>7.7723670390528021E-2</v>
      </c>
      <c r="AP59" s="118">
        <f t="shared" si="203"/>
        <v>4.263964132262283E-2</v>
      </c>
      <c r="AQ59" s="118">
        <f t="shared" si="203"/>
        <v>4.827803822574829E-2</v>
      </c>
      <c r="AR59" s="118">
        <f t="shared" si="203"/>
        <v>4.8386398094000437E-2</v>
      </c>
      <c r="AS59" s="612">
        <f t="shared" si="203"/>
        <v>2.9496842534121003E-2</v>
      </c>
      <c r="AT59" s="118">
        <f t="shared" si="203"/>
        <v>3.4942419940053634E-2</v>
      </c>
      <c r="AU59" s="118">
        <f t="shared" si="203"/>
        <v>4.327956989247312E-2</v>
      </c>
      <c r="AV59" s="118">
        <f t="shared" si="203"/>
        <v>5.0271993997373851E-2</v>
      </c>
      <c r="AW59" s="612">
        <f t="shared" si="203"/>
        <v>3.0765865927897058E-2</v>
      </c>
      <c r="AX59" s="118">
        <f t="shared" si="203"/>
        <v>5.3576517526360785E-2</v>
      </c>
      <c r="AY59" s="118">
        <f t="shared" si="203"/>
        <v>3.1923050115006624E-2</v>
      </c>
      <c r="AZ59" s="118">
        <f t="shared" si="203"/>
        <v>7.1914777755088144E-2</v>
      </c>
      <c r="BA59" s="612">
        <f t="shared" si="203"/>
        <v>5.1251296680497924E-2</v>
      </c>
      <c r="BB59" s="118">
        <f t="shared" si="203"/>
        <v>5.7559405471930322E-2</v>
      </c>
      <c r="BC59" s="118">
        <f t="shared" si="203"/>
        <v>4.1638539429272786E-2</v>
      </c>
      <c r="BD59" s="118">
        <f t="shared" si="203"/>
        <v>7.0060483870967735E-2</v>
      </c>
      <c r="BE59" s="612">
        <f t="shared" si="203"/>
        <v>4.115879111704792E-2</v>
      </c>
      <c r="BF59" s="118">
        <f t="shared" si="203"/>
        <v>2.6123245352555419E-2</v>
      </c>
      <c r="BG59" s="118">
        <f t="shared" si="203"/>
        <v>2.8095350731950904E-2</v>
      </c>
      <c r="BH59" s="118">
        <f t="shared" si="203"/>
        <v>3.3844673957067639E-2</v>
      </c>
      <c r="BI59" s="612">
        <f t="shared" si="203"/>
        <v>3.4455188266746622E-2</v>
      </c>
      <c r="BJ59" s="118">
        <f t="shared" si="203"/>
        <v>2.5702185659348682E-2</v>
      </c>
      <c r="BK59" s="118">
        <f t="shared" si="203"/>
        <v>3.5574435769039084E-2</v>
      </c>
      <c r="BL59" s="118">
        <f t="shared" si="203"/>
        <v>4.3400672630350731E-2</v>
      </c>
      <c r="BM59" s="612">
        <f t="shared" si="203"/>
        <v>3.694324114184161E-2</v>
      </c>
      <c r="BN59" s="118">
        <f t="shared" si="203"/>
        <v>3.1591500433651346E-2</v>
      </c>
      <c r="BO59" s="118">
        <f t="shared" si="203"/>
        <v>3.3670602648866732E-2</v>
      </c>
      <c r="BP59" s="118">
        <f t="shared" si="203"/>
        <v>3.9924788467565024E-2</v>
      </c>
      <c r="BQ59" s="612">
        <f t="shared" si="203"/>
        <v>4.018593794019399E-2</v>
      </c>
      <c r="BR59" s="118">
        <f t="shared" ref="BR59:CW59" si="204">+BR27/(+BR100+BQ100+BP100+BO100)</f>
        <v>3.2786885245901641E-2</v>
      </c>
      <c r="BS59" s="118">
        <f t="shared" si="204"/>
        <v>3.1871881348243696E-2</v>
      </c>
      <c r="BT59" s="118">
        <f t="shared" si="204"/>
        <v>3.8580948802626115E-2</v>
      </c>
      <c r="BU59" s="612">
        <f t="shared" si="204"/>
        <v>3.4353119032463401E-2</v>
      </c>
      <c r="BV59" s="118">
        <f t="shared" si="204"/>
        <v>3.1928606841844322E-2</v>
      </c>
      <c r="BW59" s="118">
        <f t="shared" si="204"/>
        <v>3.136835008823588E-2</v>
      </c>
      <c r="BX59" s="118">
        <f t="shared" si="204"/>
        <v>3.9236207100825399E-2</v>
      </c>
      <c r="BY59" s="612">
        <f t="shared" si="204"/>
        <v>3.8674141445820917E-2</v>
      </c>
      <c r="BZ59" s="118">
        <f t="shared" si="204"/>
        <v>3.6121967263862555E-2</v>
      </c>
      <c r="CA59" s="118">
        <f t="shared" si="204"/>
        <v>2.914357583618284E-2</v>
      </c>
      <c r="CB59" s="118">
        <f t="shared" si="204"/>
        <v>3.1085991118288251E-2</v>
      </c>
      <c r="CC59" s="612">
        <f t="shared" si="204"/>
        <v>3.5630075975897305E-2</v>
      </c>
      <c r="CD59" s="1030">
        <f t="shared" si="204"/>
        <v>5.4006263448305246E-2</v>
      </c>
      <c r="CE59" s="1094">
        <f t="shared" si="204"/>
        <v>2.9140628462527147E-2</v>
      </c>
      <c r="CF59" s="1094">
        <f t="shared" si="204"/>
        <v>3.0579485876619628E-2</v>
      </c>
      <c r="CG59" s="612">
        <f t="shared" si="204"/>
        <v>3.4941272069143825E-2</v>
      </c>
      <c r="CH59" s="1030">
        <f t="shared" si="204"/>
        <v>2.9066018550667129E-2</v>
      </c>
      <c r="CI59" s="1094">
        <f t="shared" si="204"/>
        <v>2.8741229055859366E-2</v>
      </c>
      <c r="CJ59" s="1170">
        <f t="shared" si="204"/>
        <v>3.1627443655833642E-2</v>
      </c>
      <c r="CK59" s="1294">
        <f t="shared" si="204"/>
        <v>4.7670988373534298E-2</v>
      </c>
      <c r="CL59" s="1030">
        <f t="shared" si="204"/>
        <v>2.7125043469620944E-2</v>
      </c>
      <c r="CM59" s="1170">
        <f t="shared" si="204"/>
        <v>2.7004240335259257E-2</v>
      </c>
      <c r="CN59" s="1170">
        <f t="shared" si="204"/>
        <v>2.7895497831181133E-2</v>
      </c>
      <c r="CO59" s="1294">
        <f t="shared" si="204"/>
        <v>3.3242258652094715E-2</v>
      </c>
      <c r="CP59" s="1170">
        <f t="shared" si="204"/>
        <v>3.1385583436937051E-2</v>
      </c>
      <c r="CQ59" s="1170">
        <f t="shared" si="204"/>
        <v>3.0645897813181795E-2</v>
      </c>
      <c r="CR59" s="1170">
        <f t="shared" si="204"/>
        <v>2.8651628565648391E-2</v>
      </c>
      <c r="CS59" s="2039">
        <f t="shared" si="204"/>
        <v>3.1698094053752256E-2</v>
      </c>
      <c r="CT59" s="2486">
        <f t="shared" si="204"/>
        <v>2.9451985413290114E-2</v>
      </c>
      <c r="CU59" s="1170">
        <f t="shared" si="204"/>
        <v>2.9552575510715627E-2</v>
      </c>
      <c r="CV59" s="1170">
        <f t="shared" si="204"/>
        <v>3.2629749192947602E-2</v>
      </c>
      <c r="CW59" s="2039">
        <f t="shared" si="204"/>
        <v>3.7057246565917773E-2</v>
      </c>
      <c r="CX59" s="2796">
        <f t="shared" ref="CX59:DA60" si="205">CT59</f>
        <v>2.9451985413290114E-2</v>
      </c>
      <c r="CY59" s="2606">
        <f t="shared" si="205"/>
        <v>2.9552575510715627E-2</v>
      </c>
      <c r="CZ59" s="2606">
        <f t="shared" si="205"/>
        <v>3.2629749192947602E-2</v>
      </c>
      <c r="DA59" s="1618">
        <f t="shared" si="205"/>
        <v>3.7057246565917773E-2</v>
      </c>
      <c r="DB59" s="675"/>
      <c r="DC59" s="612"/>
      <c r="DD59" s="118">
        <f t="shared" ref="DD59:DK59" si="206">DD27/DD100</f>
        <v>0</v>
      </c>
      <c r="DE59" s="118">
        <f t="shared" si="206"/>
        <v>0</v>
      </c>
      <c r="DF59" s="118">
        <f t="shared" si="206"/>
        <v>0</v>
      </c>
      <c r="DG59" s="118">
        <f t="shared" si="206"/>
        <v>0</v>
      </c>
      <c r="DH59" s="118">
        <f t="shared" si="206"/>
        <v>0</v>
      </c>
      <c r="DI59" s="118">
        <f t="shared" si="206"/>
        <v>1.6824026846243286E-2</v>
      </c>
      <c r="DJ59" s="118">
        <f t="shared" si="206"/>
        <v>1.6956153220636511E-2</v>
      </c>
      <c r="DK59" s="118">
        <f t="shared" si="206"/>
        <v>1.6538496201800271E-2</v>
      </c>
      <c r="DL59" s="118">
        <f>DL27/(DL100)</f>
        <v>1.6267901843119017E-2</v>
      </c>
      <c r="DM59" s="118">
        <f t="shared" ref="DM59:EE59" si="207">+DM27/DM100</f>
        <v>2.9040344880672548E-2</v>
      </c>
      <c r="DN59" s="118">
        <f t="shared" si="207"/>
        <v>1.6742961232273989E-2</v>
      </c>
      <c r="DO59" s="118">
        <f t="shared" si="207"/>
        <v>3.2187775514713426E-2</v>
      </c>
      <c r="DP59" s="118">
        <f t="shared" si="207"/>
        <v>2.6790123988537237E-2</v>
      </c>
      <c r="DQ59" s="118">
        <f t="shared" si="207"/>
        <v>2.5674623826809208E-2</v>
      </c>
      <c r="DR59" s="118">
        <f t="shared" si="207"/>
        <v>2.3042057790353034E-2</v>
      </c>
      <c r="DS59" s="118">
        <f t="shared" si="207"/>
        <v>3.5624411438724482E-2</v>
      </c>
      <c r="DT59" s="118">
        <f t="shared" si="207"/>
        <v>4.6486707149053424E-2</v>
      </c>
      <c r="DU59" s="118">
        <f t="shared" si="207"/>
        <v>7.7723670390528021E-2</v>
      </c>
      <c r="DV59" s="118">
        <f t="shared" si="207"/>
        <v>2.9496842534121003E-2</v>
      </c>
      <c r="DW59" s="118">
        <f t="shared" si="207"/>
        <v>3.0765865927897058E-2</v>
      </c>
      <c r="DX59" s="118">
        <f t="shared" si="207"/>
        <v>5.1251296680497924E-2</v>
      </c>
      <c r="DY59" s="118">
        <f t="shared" si="207"/>
        <v>4.115879111704792E-2</v>
      </c>
      <c r="DZ59" s="118">
        <f t="shared" si="207"/>
        <v>3.4455188266746622E-2</v>
      </c>
      <c r="EA59" s="118">
        <f t="shared" si="207"/>
        <v>3.694324114184161E-2</v>
      </c>
      <c r="EB59" s="118">
        <f t="shared" si="207"/>
        <v>4.018593794019399E-2</v>
      </c>
      <c r="EC59" s="118">
        <f t="shared" si="207"/>
        <v>3.4353119032463401E-2</v>
      </c>
      <c r="ED59" s="118">
        <f t="shared" si="207"/>
        <v>3.8674141445820917E-2</v>
      </c>
      <c r="EE59" s="118">
        <f t="shared" si="207"/>
        <v>3.411441756842775E-2</v>
      </c>
      <c r="EF59" s="674">
        <f t="shared" si="176"/>
        <v>3.6121967263862555E-2</v>
      </c>
      <c r="EG59" s="1094">
        <f t="shared" ref="EG59:EL59" si="208">+EG27/EG100</f>
        <v>3.5630075975897305E-2</v>
      </c>
      <c r="EH59" s="1094">
        <f t="shared" si="208"/>
        <v>3.4941272069143825E-2</v>
      </c>
      <c r="EI59" s="1094">
        <f t="shared" si="208"/>
        <v>4.7670988373534298E-2</v>
      </c>
      <c r="EJ59" s="1094">
        <f t="shared" si="208"/>
        <v>3.3242258652094715E-2</v>
      </c>
      <c r="EK59" s="1170">
        <f t="shared" si="208"/>
        <v>3.1698094053752256E-2</v>
      </c>
      <c r="EL59" s="1170">
        <f t="shared" si="208"/>
        <v>3.7057246565917773E-2</v>
      </c>
      <c r="EM59" s="1722">
        <f t="shared" ref="EM59" si="209">+EM27/EM100</f>
        <v>3.7057246565917766E-2</v>
      </c>
      <c r="EN59" s="1620">
        <f t="shared" ref="EN59:EP60" si="210">EM59</f>
        <v>3.7057246565917766E-2</v>
      </c>
      <c r="EO59" s="1620">
        <f t="shared" si="210"/>
        <v>3.7057246565917766E-2</v>
      </c>
      <c r="EP59" s="1620">
        <f t="shared" si="210"/>
        <v>3.7057246565917766E-2</v>
      </c>
      <c r="EQ59" s="1620">
        <f t="shared" si="180"/>
        <v>3.7057246565917766E-2</v>
      </c>
      <c r="ER59" s="1620">
        <f t="shared" si="180"/>
        <v>3.7057246565917766E-2</v>
      </c>
      <c r="ES59" s="1620">
        <f t="shared" si="180"/>
        <v>3.7057246565917766E-2</v>
      </c>
      <c r="ET59" s="1620">
        <f t="shared" si="180"/>
        <v>3.7057246565917766E-2</v>
      </c>
      <c r="EU59" s="1620">
        <f t="shared" si="180"/>
        <v>3.7057246565917766E-2</v>
      </c>
      <c r="EV59" s="1030"/>
      <c r="EW59"/>
      <c r="EX59"/>
      <c r="EY59"/>
      <c r="EZ59"/>
      <c r="FA59"/>
      <c r="FB59"/>
      <c r="FG59"/>
      <c r="FH59" s="2606"/>
      <c r="FI59" s="2606"/>
      <c r="FJ59" s="2606"/>
      <c r="FK59"/>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row>
    <row r="60" spans="1:260" s="4" customFormat="1" x14ac:dyDescent="0.2">
      <c r="A60" s="4" t="s">
        <v>295</v>
      </c>
      <c r="B60" s="118">
        <f>B33/(B100*4)</f>
        <v>1.5730258259997871E-2</v>
      </c>
      <c r="C60" s="118">
        <f>C33/(C100*4)</f>
        <v>1.2305055241749263E-2</v>
      </c>
      <c r="D60" s="118">
        <f>D33/(D100*4)</f>
        <v>1.0115946546341511E-2</v>
      </c>
      <c r="E60" s="612">
        <f>E33/(E100*4)</f>
        <v>8.3612075171875661E-3</v>
      </c>
      <c r="F60" s="118">
        <f t="shared" ref="F60:AK60" si="211">+F33/(+F100+E100+D100+C100)</f>
        <v>9.7785159116172589E-3</v>
      </c>
      <c r="G60" s="118">
        <f t="shared" si="211"/>
        <v>9.3731658971086922E-3</v>
      </c>
      <c r="H60" s="118">
        <f t="shared" si="211"/>
        <v>6.4483972404303466E-2</v>
      </c>
      <c r="I60" s="612">
        <f t="shared" si="211"/>
        <v>5.6524057033353704E-2</v>
      </c>
      <c r="J60" s="118">
        <f t="shared" si="211"/>
        <v>5.0617431296156111E-2</v>
      </c>
      <c r="K60" s="118">
        <f t="shared" si="211"/>
        <v>4.6958330740243637E-2</v>
      </c>
      <c r="L60" s="118">
        <f t="shared" si="211"/>
        <v>4.488866845308704E-2</v>
      </c>
      <c r="M60" s="612">
        <f t="shared" si="211"/>
        <v>3.8551582344995533E-2</v>
      </c>
      <c r="N60" s="118">
        <f t="shared" si="211"/>
        <v>3.5806238997268577E-2</v>
      </c>
      <c r="O60" s="118">
        <f t="shared" si="211"/>
        <v>3.4077062973879087E-2</v>
      </c>
      <c r="P60" s="118">
        <f t="shared" si="211"/>
        <v>3.2896171283576657E-2</v>
      </c>
      <c r="Q60" s="612">
        <f t="shared" si="211"/>
        <v>3.3689187938820815E-2</v>
      </c>
      <c r="R60" s="118">
        <f t="shared" si="211"/>
        <v>3.3337639937726496E-2</v>
      </c>
      <c r="S60" s="118">
        <f t="shared" si="211"/>
        <v>3.296914585303666E-2</v>
      </c>
      <c r="T60" s="118">
        <f t="shared" si="211"/>
        <v>3.2143094066935413E-2</v>
      </c>
      <c r="U60" s="612">
        <f t="shared" si="211"/>
        <v>3.0452399274867106E-2</v>
      </c>
      <c r="V60" s="118">
        <f t="shared" si="211"/>
        <v>3.0906704055132647E-3</v>
      </c>
      <c r="W60" s="118">
        <f t="shared" si="211"/>
        <v>2.9383158636658462E-3</v>
      </c>
      <c r="X60" s="118">
        <f t="shared" si="211"/>
        <v>6.3202431275785585E-3</v>
      </c>
      <c r="Y60" s="612">
        <f t="shared" si="211"/>
        <v>3.0744250716816068E-3</v>
      </c>
      <c r="Z60" s="118">
        <f t="shared" si="211"/>
        <v>3.7440207068432552E-3</v>
      </c>
      <c r="AA60" s="118">
        <f t="shared" si="211"/>
        <v>3.815139110797193E-3</v>
      </c>
      <c r="AB60" s="118">
        <f t="shared" si="211"/>
        <v>6.2680923571592235E-3</v>
      </c>
      <c r="AC60" s="612">
        <f t="shared" si="211"/>
        <v>7.959645984323865E-3</v>
      </c>
      <c r="AD60" s="118">
        <f t="shared" si="211"/>
        <v>1.0786157917001663E-2</v>
      </c>
      <c r="AE60" s="118">
        <f t="shared" si="211"/>
        <v>1.0402187675974953E-2</v>
      </c>
      <c r="AF60" s="118">
        <f t="shared" si="211"/>
        <v>8.4628716893245942E-3</v>
      </c>
      <c r="AG60" s="612">
        <f t="shared" si="211"/>
        <v>7.9600333251362392E-3</v>
      </c>
      <c r="AH60" s="118">
        <f t="shared" si="211"/>
        <v>1.0585403314140335E-2</v>
      </c>
      <c r="AI60" s="118">
        <f t="shared" si="211"/>
        <v>1.6007336402676566E-2</v>
      </c>
      <c r="AJ60" s="118">
        <f t="shared" si="211"/>
        <v>1.7866427710110298E-2</v>
      </c>
      <c r="AK60" s="612">
        <f t="shared" si="211"/>
        <v>1.6992396795427873E-2</v>
      </c>
      <c r="AL60" s="118">
        <f t="shared" ref="AL60:BQ60" si="212">+AL33/(+AL100+AK100+AJ100+AI100)</f>
        <v>1.5968560342254502E-2</v>
      </c>
      <c r="AM60" s="118">
        <f t="shared" si="212"/>
        <v>1.527088804590993E-2</v>
      </c>
      <c r="AN60" s="118">
        <f t="shared" si="212"/>
        <v>1.4089888713760329E-2</v>
      </c>
      <c r="AO60" s="612">
        <f t="shared" si="212"/>
        <v>1.4895445431108566E-2</v>
      </c>
      <c r="AP60" s="118">
        <f t="shared" si="212"/>
        <v>1.3263590509994396E-2</v>
      </c>
      <c r="AQ60" s="118">
        <f t="shared" si="212"/>
        <v>1.2666786873422287E-2</v>
      </c>
      <c r="AR60" s="118">
        <f t="shared" si="212"/>
        <v>1.1955815464587394E-2</v>
      </c>
      <c r="AS60" s="612">
        <f t="shared" si="212"/>
        <v>1.0063149317579956E-2</v>
      </c>
      <c r="AT60" s="118">
        <f t="shared" si="212"/>
        <v>9.8990377031077451E-3</v>
      </c>
      <c r="AU60" s="118">
        <f t="shared" si="212"/>
        <v>9.8694316436251928E-3</v>
      </c>
      <c r="AV60" s="118">
        <f t="shared" si="212"/>
        <v>1.0954792721815794E-2</v>
      </c>
      <c r="AW60" s="612">
        <f t="shared" si="212"/>
        <v>1.3049976305908942E-2</v>
      </c>
      <c r="AX60" s="118">
        <f t="shared" si="212"/>
        <v>1.3287261328013679E-2</v>
      </c>
      <c r="AY60" s="118">
        <f t="shared" si="212"/>
        <v>1.3243186728932878E-2</v>
      </c>
      <c r="AZ60" s="118">
        <f t="shared" si="212"/>
        <v>1.2830984956776257E-2</v>
      </c>
      <c r="BA60" s="612">
        <f t="shared" si="212"/>
        <v>1.2091545643153527E-2</v>
      </c>
      <c r="BB60" s="118">
        <f t="shared" si="212"/>
        <v>1.2086212881441509E-2</v>
      </c>
      <c r="BC60" s="118">
        <f t="shared" si="212"/>
        <v>1.2028229518257135E-2</v>
      </c>
      <c r="BD60" s="118">
        <f t="shared" si="212"/>
        <v>1.2007827324478179E-2</v>
      </c>
      <c r="BE60" s="612">
        <f t="shared" si="212"/>
        <v>1.2328157177046809E-2</v>
      </c>
      <c r="BF60" s="118">
        <f t="shared" si="212"/>
        <v>1.7749715462576553E-2</v>
      </c>
      <c r="BG60" s="118">
        <f t="shared" si="212"/>
        <v>1.9737706641436044E-2</v>
      </c>
      <c r="BH60" s="118">
        <f t="shared" si="212"/>
        <v>2.0529566626164439E-2</v>
      </c>
      <c r="BI60" s="612">
        <f t="shared" si="212"/>
        <v>2.0937960672613248E-2</v>
      </c>
      <c r="BJ60" s="118">
        <f t="shared" si="212"/>
        <v>2.1418488049457236E-2</v>
      </c>
      <c r="BK60" s="118">
        <f t="shared" si="212"/>
        <v>2.2047131974274391E-2</v>
      </c>
      <c r="BL60" s="118">
        <f t="shared" si="212"/>
        <v>2.5006291610423483E-2</v>
      </c>
      <c r="BM60" s="612">
        <f t="shared" si="212"/>
        <v>2.4636232366988781E-2</v>
      </c>
      <c r="BN60" s="118">
        <f t="shared" si="212"/>
        <v>2.6799653078924544E-2</v>
      </c>
      <c r="BO60" s="118">
        <f t="shared" si="212"/>
        <v>2.570710377896538E-2</v>
      </c>
      <c r="BP60" s="118">
        <f t="shared" si="212"/>
        <v>2.4945158257599499E-2</v>
      </c>
      <c r="BQ60" s="612">
        <f t="shared" si="212"/>
        <v>2.5274681048013843E-2</v>
      </c>
      <c r="BR60" s="118">
        <f t="shared" ref="BR60:CW60" si="213">+BR33/(+BR100+BQ100+BP100+BO100)</f>
        <v>2.4868018894137259E-2</v>
      </c>
      <c r="BS60" s="118">
        <f t="shared" si="213"/>
        <v>2.3292507346705325E-2</v>
      </c>
      <c r="BT60" s="118">
        <f t="shared" si="213"/>
        <v>2.3057604461231188E-2</v>
      </c>
      <c r="BU60" s="612">
        <f t="shared" si="213"/>
        <v>2.3531985996180775E-2</v>
      </c>
      <c r="BV60" s="118">
        <f t="shared" si="213"/>
        <v>2.3480416460089241E-2</v>
      </c>
      <c r="BW60" s="118">
        <f t="shared" si="213"/>
        <v>2.3318065552316934E-2</v>
      </c>
      <c r="BX60" s="118">
        <f t="shared" si="213"/>
        <v>2.2096283717072784E-2</v>
      </c>
      <c r="BY60" s="612">
        <f t="shared" si="213"/>
        <v>2.1542261251372118E-2</v>
      </c>
      <c r="BZ60" s="118">
        <f t="shared" si="213"/>
        <v>1.9831288937042914E-2</v>
      </c>
      <c r="CA60" s="118">
        <f t="shared" si="213"/>
        <v>2.210824195259993E-2</v>
      </c>
      <c r="CB60" s="118">
        <f t="shared" si="213"/>
        <v>2.2648364957610013E-2</v>
      </c>
      <c r="CC60" s="612">
        <f t="shared" si="213"/>
        <v>2.2349408516555491E-2</v>
      </c>
      <c r="CD60" s="1030">
        <f t="shared" si="213"/>
        <v>2.3008585611112294E-2</v>
      </c>
      <c r="CE60" s="1094">
        <f t="shared" si="213"/>
        <v>2.2536896689270045E-2</v>
      </c>
      <c r="CF60" s="1094">
        <f t="shared" si="213"/>
        <v>2.3904658521375615E-2</v>
      </c>
      <c r="CG60" s="612">
        <f t="shared" si="213"/>
        <v>2.4032897490827609E-2</v>
      </c>
      <c r="CH60" s="1030">
        <f t="shared" si="213"/>
        <v>2.4874758196518031E-2</v>
      </c>
      <c r="CI60" s="1094">
        <f t="shared" si="213"/>
        <v>2.4371363647713935E-2</v>
      </c>
      <c r="CJ60" s="1170">
        <f t="shared" si="213"/>
        <v>2.420620097123646E-2</v>
      </c>
      <c r="CK60" s="1294">
        <f t="shared" si="213"/>
        <v>2.2286125089863409E-2</v>
      </c>
      <c r="CL60" s="1030">
        <f t="shared" si="213"/>
        <v>2.2504843757762433E-2</v>
      </c>
      <c r="CM60" s="1170">
        <f t="shared" si="213"/>
        <v>2.1796811069506782E-2</v>
      </c>
      <c r="CN60" s="1170">
        <f t="shared" si="213"/>
        <v>2.1787904472254076E-2</v>
      </c>
      <c r="CO60" s="1294">
        <f t="shared" si="213"/>
        <v>2.2186804290629428E-2</v>
      </c>
      <c r="CP60" s="1170">
        <f t="shared" si="213"/>
        <v>2.0475477634283104E-2</v>
      </c>
      <c r="CQ60" s="1170">
        <f t="shared" si="213"/>
        <v>2.0143081840783398E-2</v>
      </c>
      <c r="CR60" s="1170">
        <f t="shared" si="213"/>
        <v>2.0003034594375885E-2</v>
      </c>
      <c r="CS60" s="2039">
        <f t="shared" si="213"/>
        <v>1.7866659898992464E-2</v>
      </c>
      <c r="CT60" s="2486">
        <f t="shared" si="213"/>
        <v>1.7321717990275525E-2</v>
      </c>
      <c r="CU60" s="1170">
        <f t="shared" si="213"/>
        <v>1.7094874044366461E-2</v>
      </c>
      <c r="CV60" s="1170">
        <f t="shared" si="213"/>
        <v>1.7308169853488948E-2</v>
      </c>
      <c r="CW60" s="2039">
        <f t="shared" si="213"/>
        <v>1.9192901710516953E-2</v>
      </c>
      <c r="CX60" s="2796">
        <f t="shared" si="205"/>
        <v>1.7321717990275525E-2</v>
      </c>
      <c r="CY60" s="2606">
        <f t="shared" si="205"/>
        <v>1.7094874044366461E-2</v>
      </c>
      <c r="CZ60" s="2606">
        <f t="shared" si="205"/>
        <v>1.7308169853488948E-2</v>
      </c>
      <c r="DA60" s="1618">
        <v>1.8100000000000002E-2</v>
      </c>
      <c r="DB60" s="675"/>
      <c r="DC60" s="612"/>
      <c r="DD60" s="118"/>
      <c r="DE60" s="118"/>
      <c r="DF60" s="118"/>
      <c r="DG60" s="118"/>
      <c r="DH60" s="118"/>
      <c r="DI60" s="118"/>
      <c r="DJ60" s="118"/>
      <c r="DK60" s="118"/>
      <c r="DL60" s="118">
        <f>DL33/(DL100)</f>
        <v>1.3272758598439266E-2</v>
      </c>
      <c r="DM60" s="118">
        <f t="shared" ref="DM60:EC60" si="214">+DM33/DM100</f>
        <v>5.6524057033353704E-2</v>
      </c>
      <c r="DN60" s="118">
        <f t="shared" si="214"/>
        <v>3.8551582344995533E-2</v>
      </c>
      <c r="DO60" s="118">
        <f t="shared" si="214"/>
        <v>3.3689187938820815E-2</v>
      </c>
      <c r="DP60" s="118">
        <f t="shared" si="214"/>
        <v>3.0452399274867106E-2</v>
      </c>
      <c r="DQ60" s="118">
        <f t="shared" si="214"/>
        <v>3.0744250716816068E-3</v>
      </c>
      <c r="DR60" s="118">
        <f t="shared" si="214"/>
        <v>7.959645984323865E-3</v>
      </c>
      <c r="DS60" s="118">
        <f t="shared" si="214"/>
        <v>7.9600333251362392E-3</v>
      </c>
      <c r="DT60" s="118">
        <f t="shared" si="214"/>
        <v>1.6992396795427873E-2</v>
      </c>
      <c r="DU60" s="118">
        <f t="shared" si="214"/>
        <v>1.4895445431108566E-2</v>
      </c>
      <c r="DV60" s="118">
        <f t="shared" si="214"/>
        <v>1.0063149317579956E-2</v>
      </c>
      <c r="DW60" s="118">
        <f t="shared" si="214"/>
        <v>1.3049976305908942E-2</v>
      </c>
      <c r="DX60" s="118">
        <f t="shared" si="214"/>
        <v>1.2091545643153527E-2</v>
      </c>
      <c r="DY60" s="118">
        <f t="shared" si="214"/>
        <v>1.2328157177046809E-2</v>
      </c>
      <c r="DZ60" s="118">
        <f t="shared" si="214"/>
        <v>2.0937960672613248E-2</v>
      </c>
      <c r="EA60" s="118">
        <f t="shared" si="214"/>
        <v>2.4636232366988781E-2</v>
      </c>
      <c r="EB60" s="118">
        <f t="shared" si="214"/>
        <v>2.5274681048013843E-2</v>
      </c>
      <c r="EC60" s="118">
        <f t="shared" si="214"/>
        <v>2.3531985996180775E-2</v>
      </c>
      <c r="ED60" s="118">
        <f>ED33/ED100</f>
        <v>2.1542261251372118E-2</v>
      </c>
      <c r="EE60" s="118">
        <f>EE33/EE100</f>
        <v>2.2955124124761299E-2</v>
      </c>
      <c r="EF60" s="674">
        <f t="shared" si="176"/>
        <v>1.9831288937042914E-2</v>
      </c>
      <c r="EG60" s="1094">
        <f t="shared" ref="EG60:EL60" si="215">EG33/EG100</f>
        <v>2.2349408516555491E-2</v>
      </c>
      <c r="EH60" s="1094">
        <f t="shared" si="215"/>
        <v>2.4032897490827609E-2</v>
      </c>
      <c r="EI60" s="1094">
        <f t="shared" si="215"/>
        <v>2.2286125089863409E-2</v>
      </c>
      <c r="EJ60" s="1094">
        <f t="shared" si="215"/>
        <v>2.2186804290629428E-2</v>
      </c>
      <c r="EK60" s="1170">
        <f t="shared" si="215"/>
        <v>1.7866659898992464E-2</v>
      </c>
      <c r="EL60" s="1170">
        <f t="shared" si="215"/>
        <v>1.9192901710516953E-2</v>
      </c>
      <c r="EM60" s="1722">
        <f t="shared" ref="EM60" si="216">EM33/EM100</f>
        <v>1.8099999999999998E-2</v>
      </c>
      <c r="EN60" s="1620">
        <f t="shared" si="210"/>
        <v>1.8099999999999998E-2</v>
      </c>
      <c r="EO60" s="1620">
        <f t="shared" si="210"/>
        <v>1.8099999999999998E-2</v>
      </c>
      <c r="EP60" s="1620">
        <f t="shared" si="210"/>
        <v>1.8099999999999998E-2</v>
      </c>
      <c r="EQ60" s="1620">
        <f t="shared" si="180"/>
        <v>1.8099999999999998E-2</v>
      </c>
      <c r="ER60" s="1620">
        <f t="shared" si="180"/>
        <v>1.8099999999999998E-2</v>
      </c>
      <c r="ES60" s="1620">
        <f t="shared" si="180"/>
        <v>1.8099999999999998E-2</v>
      </c>
      <c r="ET60" s="1620">
        <f t="shared" si="180"/>
        <v>1.8099999999999998E-2</v>
      </c>
      <c r="EU60" s="1620">
        <f t="shared" si="180"/>
        <v>1.8099999999999998E-2</v>
      </c>
      <c r="EV60" s="1030"/>
      <c r="EW60"/>
      <c r="EX60"/>
      <c r="EY60"/>
      <c r="EZ60"/>
      <c r="FA60"/>
      <c r="FB60"/>
      <c r="FG60"/>
      <c r="FH60" s="2606"/>
      <c r="FI60" s="2606"/>
      <c r="FJ60" s="2606"/>
      <c r="FK6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row>
    <row r="61" spans="1:260" s="4" customFormat="1" x14ac:dyDescent="0.2">
      <c r="E61" s="470"/>
      <c r="I61" s="470"/>
      <c r="M61" s="470"/>
      <c r="Q61" s="470"/>
      <c r="U61" s="470"/>
      <c r="Y61" s="470"/>
      <c r="AC61" s="470"/>
      <c r="AG61" s="470"/>
      <c r="AK61" s="470"/>
      <c r="AO61" s="470"/>
      <c r="AS61" s="470"/>
      <c r="AW61" s="470"/>
      <c r="BA61" s="1328"/>
      <c r="BE61" s="470"/>
      <c r="BF61" s="136"/>
      <c r="BG61" s="136"/>
      <c r="BH61" s="136"/>
      <c r="BI61" s="470"/>
      <c r="BJ61" s="136"/>
      <c r="BK61" s="136"/>
      <c r="BL61" s="136"/>
      <c r="BM61" s="638"/>
      <c r="BN61" s="136"/>
      <c r="BO61" s="136"/>
      <c r="BP61" s="136"/>
      <c r="BQ61" s="638"/>
      <c r="BR61" s="136"/>
      <c r="BS61" s="136"/>
      <c r="BT61" s="136"/>
      <c r="BU61" s="638"/>
      <c r="BV61" s="136"/>
      <c r="BW61" s="136"/>
      <c r="BX61" s="136"/>
      <c r="BY61" s="638"/>
      <c r="BZ61" s="136"/>
      <c r="CA61" s="136"/>
      <c r="CB61" s="136"/>
      <c r="CC61" s="638"/>
      <c r="CD61" s="676"/>
      <c r="CE61" s="252"/>
      <c r="CF61" s="252"/>
      <c r="CG61" s="638"/>
      <c r="CH61" s="676"/>
      <c r="CI61" s="252"/>
      <c r="CJ61" s="252"/>
      <c r="CK61" s="638"/>
      <c r="CL61" s="676"/>
      <c r="CM61" s="252"/>
      <c r="CN61" s="252"/>
      <c r="CO61" s="638"/>
      <c r="CP61" s="252"/>
      <c r="CQ61" s="252"/>
      <c r="CR61" s="252"/>
      <c r="CS61" s="638"/>
      <c r="CT61" s="252"/>
      <c r="CU61" s="252"/>
      <c r="CV61" s="252"/>
      <c r="CW61" s="638"/>
      <c r="CX61" s="1723"/>
      <c r="CY61" s="252"/>
      <c r="CZ61" s="252"/>
      <c r="DA61" s="638"/>
      <c r="DB61" s="676"/>
      <c r="DC61" s="638"/>
      <c r="DZ61" s="136"/>
      <c r="EA61" s="136"/>
      <c r="EB61" s="136"/>
      <c r="EC61" s="136"/>
      <c r="ED61" s="136"/>
      <c r="EE61" s="136"/>
      <c r="EF61" s="676"/>
      <c r="EG61" s="252"/>
      <c r="EH61" s="252"/>
      <c r="EI61" s="252"/>
      <c r="EJ61" s="252"/>
      <c r="EK61" s="252"/>
      <c r="EL61" s="252"/>
      <c r="EM61" s="1723"/>
      <c r="EN61" s="136"/>
      <c r="EO61" s="136"/>
      <c r="EP61" s="136"/>
      <c r="EQ61" s="136"/>
      <c r="ER61" s="136"/>
      <c r="ES61" s="136"/>
      <c r="ET61" s="136"/>
      <c r="EU61" s="136"/>
      <c r="EV61" s="676"/>
      <c r="EW61"/>
      <c r="EX61"/>
      <c r="EY61"/>
      <c r="EZ61"/>
      <c r="FA61"/>
      <c r="FB61"/>
      <c r="FG61" s="252"/>
      <c r="FH61" s="252"/>
      <c r="FI61" s="252"/>
      <c r="FJ61" s="252"/>
      <c r="FK61"/>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row>
    <row r="62" spans="1:260" s="6" customFormat="1" x14ac:dyDescent="0.2">
      <c r="A62" s="79" t="s">
        <v>128</v>
      </c>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s="466"/>
      <c r="CP62"/>
      <c r="CQ62"/>
      <c r="CR62"/>
      <c r="CS62" s="491"/>
      <c r="CT62" s="39"/>
      <c r="CU62" s="2576"/>
      <c r="CV62" s="2670"/>
      <c r="CW62" s="491"/>
      <c r="CX62" s="2713"/>
      <c r="CY62" s="2591"/>
      <c r="CZ62" s="2591"/>
      <c r="DA62" s="466"/>
      <c r="DB62" s="671"/>
      <c r="DC62" s="484"/>
      <c r="DD62" s="597"/>
      <c r="DE62" s="597"/>
      <c r="DF62" s="597"/>
      <c r="DG62" s="597"/>
      <c r="DH62" s="597"/>
      <c r="DI62" s="597"/>
      <c r="DJ62" s="597"/>
      <c r="DK62" s="597"/>
      <c r="DL62" s="597"/>
      <c r="DM62" s="597"/>
      <c r="DN62" s="597"/>
      <c r="DO62" s="597"/>
      <c r="DP62" s="597"/>
      <c r="DQ62" s="597"/>
      <c r="DR62" s="597"/>
      <c r="DS62" s="597"/>
      <c r="DT62" s="597"/>
      <c r="DU62" s="597"/>
      <c r="DV62" s="597"/>
      <c r="DW62" s="597"/>
      <c r="DX62" s="597"/>
      <c r="DY62" s="597"/>
      <c r="DZ62" s="597"/>
      <c r="EA62" s="597"/>
      <c r="EB62" s="597"/>
      <c r="EC62" s="597"/>
      <c r="ED62" s="597"/>
      <c r="EE62" s="597"/>
      <c r="EF62" s="1066"/>
      <c r="EG62" s="597"/>
      <c r="EH62"/>
      <c r="EI62"/>
      <c r="EJ62"/>
      <c r="EK62" s="39"/>
      <c r="EL62" s="39"/>
      <c r="EM62" s="1567"/>
      <c r="EN62"/>
      <c r="EO62"/>
      <c r="EP62"/>
      <c r="EQ62"/>
      <c r="ER62"/>
      <c r="ES62"/>
      <c r="ET62"/>
      <c r="EU62"/>
      <c r="EV62" s="671"/>
      <c r="EW62"/>
      <c r="EX62"/>
      <c r="EY62"/>
      <c r="EZ62"/>
      <c r="FA62"/>
      <c r="FB62"/>
      <c r="FG62" s="7"/>
      <c r="FH62" s="134"/>
      <c r="FI62" s="134"/>
      <c r="FJ62" s="134"/>
      <c r="FK62"/>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row>
    <row r="63" spans="1:260" s="3" customFormat="1" x14ac:dyDescent="0.2">
      <c r="A63" s="401" t="s">
        <v>129</v>
      </c>
      <c r="E63" s="470"/>
      <c r="I63" s="470"/>
      <c r="M63" s="470"/>
      <c r="Q63" s="470"/>
      <c r="U63" s="470"/>
      <c r="Y63" s="470"/>
      <c r="AC63" s="470"/>
      <c r="AG63" s="470"/>
      <c r="AK63" s="470"/>
      <c r="AO63" s="470"/>
      <c r="AS63" s="470"/>
      <c r="AW63" s="470"/>
      <c r="BA63" s="1328"/>
      <c r="BE63" s="470"/>
      <c r="BI63" s="470"/>
      <c r="BM63" s="470"/>
      <c r="BN63" s="7"/>
      <c r="BP63" s="7"/>
      <c r="BQ63" s="484"/>
      <c r="BU63" s="470"/>
      <c r="BY63" s="470"/>
      <c r="CC63" s="470"/>
      <c r="CD63" s="671"/>
      <c r="CE63" s="7"/>
      <c r="CF63" s="7"/>
      <c r="CG63" s="484"/>
      <c r="CH63" s="671"/>
      <c r="CI63" s="7"/>
      <c r="CJ63" s="7"/>
      <c r="CK63" s="1290"/>
      <c r="CL63" s="7"/>
      <c r="CM63" s="7"/>
      <c r="CN63" s="7"/>
      <c r="CO63" s="484"/>
      <c r="CP63" s="7"/>
      <c r="CQ63" s="7"/>
      <c r="CR63" s="7"/>
      <c r="CS63" s="484"/>
      <c r="CT63" s="7"/>
      <c r="CU63" s="7"/>
      <c r="CV63" s="7"/>
      <c r="CW63" s="484"/>
      <c r="CX63" s="1671"/>
      <c r="CY63" s="7"/>
      <c r="CZ63" s="7"/>
      <c r="DA63" s="484"/>
      <c r="DB63" s="413"/>
      <c r="DC63" s="470"/>
      <c r="DJ63" s="161"/>
      <c r="EF63" s="413"/>
      <c r="EK63" s="7"/>
      <c r="EL63" s="7"/>
      <c r="EM63" s="1671"/>
      <c r="EN63" s="7"/>
      <c r="EO63" s="7"/>
      <c r="EP63" s="7"/>
      <c r="EQ63" s="7"/>
      <c r="ER63" s="7"/>
      <c r="ES63" s="7"/>
      <c r="ET63" s="7"/>
      <c r="EU63" s="7"/>
      <c r="EV63" s="671"/>
      <c r="EW63"/>
      <c r="EX63"/>
      <c r="EY63"/>
      <c r="EZ63"/>
      <c r="FA63"/>
      <c r="FB63"/>
      <c r="FC63" s="4"/>
      <c r="FD63" s="4"/>
      <c r="FE63" s="4"/>
      <c r="FF63" s="4"/>
      <c r="FG63" s="7"/>
      <c r="FH63" s="7"/>
      <c r="FI63" s="7"/>
      <c r="FJ63" s="7"/>
      <c r="FK63"/>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row>
    <row r="64" spans="1:260" s="231" customFormat="1" x14ac:dyDescent="0.2">
      <c r="A64" s="1192" t="s">
        <v>130</v>
      </c>
      <c r="B64" s="231">
        <f t="shared" ref="B64:AG64" si="217">B29+B32+B28</f>
        <v>67.506</v>
      </c>
      <c r="C64" s="231">
        <f t="shared" si="217"/>
        <v>73.983000000000004</v>
      </c>
      <c r="D64" s="231">
        <f t="shared" si="217"/>
        <v>237.69699999999997</v>
      </c>
      <c r="E64" s="1193">
        <f t="shared" si="217"/>
        <v>238.85599999999999</v>
      </c>
      <c r="F64" s="231">
        <f t="shared" si="217"/>
        <v>237.62299999999999</v>
      </c>
      <c r="G64" s="231">
        <f t="shared" si="217"/>
        <v>240.93100000000001</v>
      </c>
      <c r="H64" s="231">
        <f t="shared" si="217"/>
        <v>261.78800000000001</v>
      </c>
      <c r="I64" s="1193">
        <f t="shared" si="217"/>
        <v>265.90699999999998</v>
      </c>
      <c r="J64" s="231">
        <f t="shared" si="217"/>
        <v>265.14600000000002</v>
      </c>
      <c r="K64" s="231">
        <f t="shared" si="217"/>
        <v>263.91199999999998</v>
      </c>
      <c r="L64" s="231">
        <f t="shared" si="217"/>
        <v>264.11599999999999</v>
      </c>
      <c r="M64" s="1193">
        <f t="shared" si="217"/>
        <v>260.70000000000005</v>
      </c>
      <c r="N64" s="231">
        <f t="shared" si="217"/>
        <v>260.68599999999998</v>
      </c>
      <c r="O64" s="231">
        <f t="shared" si="217"/>
        <v>253.46599999999998</v>
      </c>
      <c r="P64" s="231">
        <f t="shared" si="217"/>
        <v>256.10300000000001</v>
      </c>
      <c r="Q64" s="1193">
        <f t="shared" si="217"/>
        <v>262.61799999999999</v>
      </c>
      <c r="R64" s="231">
        <f t="shared" si="217"/>
        <v>258.69600000000003</v>
      </c>
      <c r="S64" s="231">
        <f t="shared" si="217"/>
        <v>257.01799999999997</v>
      </c>
      <c r="T64" s="231">
        <f t="shared" si="217"/>
        <v>251.50700000000001</v>
      </c>
      <c r="U64" s="1193">
        <f t="shared" si="217"/>
        <v>244.297</v>
      </c>
      <c r="V64" s="231">
        <f t="shared" si="217"/>
        <v>221.637</v>
      </c>
      <c r="W64" s="231">
        <f t="shared" si="217"/>
        <v>217.37299999999999</v>
      </c>
      <c r="X64" s="231">
        <f t="shared" si="217"/>
        <v>63.961999999999996</v>
      </c>
      <c r="Y64" s="1193">
        <f t="shared" si="217"/>
        <v>60.597000000000001</v>
      </c>
      <c r="Z64" s="231">
        <f t="shared" si="217"/>
        <v>68.275000000000006</v>
      </c>
      <c r="AA64" s="231">
        <f t="shared" si="217"/>
        <v>35.82</v>
      </c>
      <c r="AB64" s="231">
        <f t="shared" si="217"/>
        <v>32.724999999999994</v>
      </c>
      <c r="AC64" s="1193">
        <f t="shared" si="217"/>
        <v>96.015999999999991</v>
      </c>
      <c r="AD64" s="231">
        <f t="shared" si="217"/>
        <v>29</v>
      </c>
      <c r="AE64" s="231">
        <f t="shared" si="217"/>
        <v>29</v>
      </c>
      <c r="AF64" s="231">
        <f t="shared" si="217"/>
        <v>41</v>
      </c>
      <c r="AG64" s="1193">
        <f t="shared" si="217"/>
        <v>423</v>
      </c>
      <c r="AH64" s="231">
        <f t="shared" ref="AH64:BM64" si="218">AH29+AH32+AH28</f>
        <v>214</v>
      </c>
      <c r="AI64" s="231">
        <f t="shared" si="218"/>
        <v>394</v>
      </c>
      <c r="AJ64" s="231">
        <f t="shared" si="218"/>
        <v>457</v>
      </c>
      <c r="AK64" s="1193">
        <f t="shared" si="218"/>
        <v>1226</v>
      </c>
      <c r="AL64" s="231">
        <f t="shared" si="218"/>
        <v>887</v>
      </c>
      <c r="AM64" s="231">
        <f t="shared" si="218"/>
        <v>827</v>
      </c>
      <c r="AN64" s="231">
        <f t="shared" si="218"/>
        <v>824</v>
      </c>
      <c r="AO64" s="1193">
        <f t="shared" si="218"/>
        <v>829</v>
      </c>
      <c r="AP64" s="231">
        <f t="shared" si="218"/>
        <v>835</v>
      </c>
      <c r="AQ64" s="231">
        <f t="shared" si="218"/>
        <v>854</v>
      </c>
      <c r="AR64" s="231">
        <f t="shared" si="218"/>
        <v>850</v>
      </c>
      <c r="AS64" s="1193">
        <f t="shared" si="218"/>
        <v>1230</v>
      </c>
      <c r="AT64" s="231">
        <f t="shared" si="218"/>
        <v>846</v>
      </c>
      <c r="AU64" s="231">
        <f t="shared" si="218"/>
        <v>489</v>
      </c>
      <c r="AV64" s="231">
        <f t="shared" si="218"/>
        <v>486</v>
      </c>
      <c r="AW64" s="1193">
        <f t="shared" si="218"/>
        <v>1175</v>
      </c>
      <c r="AX64" s="231">
        <f t="shared" si="218"/>
        <v>544</v>
      </c>
      <c r="AY64" s="231">
        <f t="shared" si="218"/>
        <v>806</v>
      </c>
      <c r="AZ64" s="231">
        <f t="shared" si="218"/>
        <v>571</v>
      </c>
      <c r="BA64" s="1193">
        <f t="shared" si="218"/>
        <v>596</v>
      </c>
      <c r="BB64" s="231">
        <f t="shared" si="218"/>
        <v>598</v>
      </c>
      <c r="BC64" s="231">
        <f t="shared" si="218"/>
        <v>680</v>
      </c>
      <c r="BD64" s="231">
        <f t="shared" si="218"/>
        <v>650</v>
      </c>
      <c r="BE64" s="1193">
        <f t="shared" si="218"/>
        <v>650</v>
      </c>
      <c r="BF64" s="231">
        <f t="shared" si="218"/>
        <v>665</v>
      </c>
      <c r="BG64" s="231">
        <f t="shared" si="218"/>
        <v>1977</v>
      </c>
      <c r="BH64" s="231">
        <f t="shared" si="218"/>
        <v>1134</v>
      </c>
      <c r="BI64" s="1193">
        <f t="shared" si="218"/>
        <v>816</v>
      </c>
      <c r="BJ64" s="231">
        <f t="shared" si="218"/>
        <v>1159</v>
      </c>
      <c r="BK64" s="231">
        <f t="shared" si="218"/>
        <v>2690</v>
      </c>
      <c r="BL64" s="231">
        <f t="shared" si="218"/>
        <v>3326</v>
      </c>
      <c r="BM64" s="1193">
        <f t="shared" si="218"/>
        <v>1963</v>
      </c>
      <c r="BN64" s="231">
        <f t="shared" ref="BN64:CJ64" si="219">BN29+BN32+BN28</f>
        <v>2192</v>
      </c>
      <c r="BO64" s="231">
        <f t="shared" si="219"/>
        <v>2247</v>
      </c>
      <c r="BP64" s="231">
        <f t="shared" si="219"/>
        <v>1881</v>
      </c>
      <c r="BQ64" s="1193">
        <f t="shared" si="219"/>
        <v>1802</v>
      </c>
      <c r="BR64" s="231">
        <f t="shared" si="219"/>
        <v>1324</v>
      </c>
      <c r="BS64" s="231">
        <f t="shared" si="219"/>
        <v>1503</v>
      </c>
      <c r="BT64" s="231">
        <f t="shared" si="219"/>
        <v>1824</v>
      </c>
      <c r="BU64" s="1193">
        <f t="shared" si="219"/>
        <v>1709</v>
      </c>
      <c r="BV64" s="231">
        <f t="shared" si="219"/>
        <v>2180</v>
      </c>
      <c r="BW64" s="231">
        <f t="shared" si="219"/>
        <v>2532</v>
      </c>
      <c r="BX64" s="231">
        <f t="shared" si="219"/>
        <v>2277</v>
      </c>
      <c r="BY64" s="1193">
        <f t="shared" si="219"/>
        <v>2208</v>
      </c>
      <c r="BZ64" s="231">
        <f t="shared" si="219"/>
        <v>2027</v>
      </c>
      <c r="CA64" s="231">
        <f t="shared" si="219"/>
        <v>2226</v>
      </c>
      <c r="CB64" s="231">
        <f t="shared" si="219"/>
        <v>2012</v>
      </c>
      <c r="CC64" s="1193">
        <f t="shared" si="219"/>
        <v>2296</v>
      </c>
      <c r="CD64" s="1194">
        <f t="shared" si="219"/>
        <v>1686</v>
      </c>
      <c r="CE64" s="880">
        <f t="shared" si="219"/>
        <v>1678</v>
      </c>
      <c r="CF64" s="880">
        <f t="shared" si="219"/>
        <v>1669</v>
      </c>
      <c r="CG64" s="875">
        <f t="shared" si="219"/>
        <v>1657</v>
      </c>
      <c r="CH64" s="1194">
        <f t="shared" si="219"/>
        <v>1648</v>
      </c>
      <c r="CI64" s="880">
        <f t="shared" si="219"/>
        <v>1635</v>
      </c>
      <c r="CJ64" s="880">
        <f t="shared" si="219"/>
        <v>1635</v>
      </c>
      <c r="CK64" s="875">
        <f t="shared" ref="CK64:CS64" si="220">CK29+CK32+CK28</f>
        <v>1621</v>
      </c>
      <c r="CL64" s="880">
        <f t="shared" si="220"/>
        <v>1607</v>
      </c>
      <c r="CM64" s="880">
        <f t="shared" si="220"/>
        <v>1609</v>
      </c>
      <c r="CN64" s="880">
        <f t="shared" si="220"/>
        <v>1639</v>
      </c>
      <c r="CO64" s="875">
        <f>CO29+CO32+CO28</f>
        <v>1734</v>
      </c>
      <c r="CP64" s="880">
        <f>CP29+CP32+CP28</f>
        <v>1378</v>
      </c>
      <c r="CQ64" s="880">
        <f t="shared" si="220"/>
        <v>1384</v>
      </c>
      <c r="CR64" s="880">
        <f t="shared" si="220"/>
        <v>1367</v>
      </c>
      <c r="CS64" s="875">
        <f t="shared" si="220"/>
        <v>1365</v>
      </c>
      <c r="CT64" s="880">
        <f>CT29+CT32+CT28</f>
        <v>1347</v>
      </c>
      <c r="CU64" s="880">
        <f t="shared" ref="CU64" si="221">CU29+CU32+CU28</f>
        <v>1354</v>
      </c>
      <c r="CV64" s="880">
        <f t="shared" ref="CV64:DA64" si="222">CV29+CV32+CV28</f>
        <v>1329</v>
      </c>
      <c r="CW64" s="875">
        <f t="shared" si="222"/>
        <v>1355</v>
      </c>
      <c r="CX64" s="1675">
        <f t="shared" si="222"/>
        <v>1329</v>
      </c>
      <c r="CY64" s="880">
        <f t="shared" si="222"/>
        <v>1279</v>
      </c>
      <c r="CZ64" s="880">
        <f t="shared" si="222"/>
        <v>1279</v>
      </c>
      <c r="DA64" s="875">
        <f t="shared" si="222"/>
        <v>1229</v>
      </c>
      <c r="DB64" s="1195"/>
      <c r="DC64" s="1193"/>
      <c r="DD64" s="231">
        <f t="shared" ref="DD64:DJ64" si="223">DD29+DD32+DD28</f>
        <v>8.7480000000000011</v>
      </c>
      <c r="DE64" s="231">
        <f t="shared" si="223"/>
        <v>19.551000000000002</v>
      </c>
      <c r="DF64" s="231">
        <f t="shared" si="223"/>
        <v>57.635999999999996</v>
      </c>
      <c r="DG64" s="231">
        <f t="shared" si="223"/>
        <v>50.72</v>
      </c>
      <c r="DH64" s="231">
        <f t="shared" si="223"/>
        <v>51.772999999999996</v>
      </c>
      <c r="DI64" s="231">
        <f t="shared" si="223"/>
        <v>50.072000000000003</v>
      </c>
      <c r="DJ64" s="231">
        <f t="shared" si="223"/>
        <v>67.304000000000002</v>
      </c>
      <c r="DK64" s="231">
        <f t="shared" ref="DK64:EH64" si="224">DK29+DK32+DK28</f>
        <v>70.11</v>
      </c>
      <c r="DL64" s="231">
        <f t="shared" si="224"/>
        <v>238.85599999999999</v>
      </c>
      <c r="DM64" s="231">
        <f t="shared" si="224"/>
        <v>265.90699999999998</v>
      </c>
      <c r="DN64" s="231">
        <f t="shared" si="224"/>
        <v>260.70000000000005</v>
      </c>
      <c r="DO64" s="231">
        <f t="shared" si="224"/>
        <v>262.61799999999999</v>
      </c>
      <c r="DP64" s="231">
        <f t="shared" si="224"/>
        <v>244.297</v>
      </c>
      <c r="DQ64" s="231">
        <f t="shared" si="224"/>
        <v>60.597000000000001</v>
      </c>
      <c r="DR64" s="231">
        <f t="shared" si="224"/>
        <v>96.015999999999991</v>
      </c>
      <c r="DS64" s="231">
        <f t="shared" si="224"/>
        <v>423</v>
      </c>
      <c r="DT64" s="231">
        <f t="shared" si="224"/>
        <v>1226</v>
      </c>
      <c r="DU64" s="231">
        <f t="shared" si="224"/>
        <v>829</v>
      </c>
      <c r="DV64" s="231">
        <f t="shared" si="224"/>
        <v>1230</v>
      </c>
      <c r="DW64" s="231">
        <f t="shared" si="224"/>
        <v>1175</v>
      </c>
      <c r="DX64" s="231">
        <f t="shared" si="224"/>
        <v>596</v>
      </c>
      <c r="DY64" s="231">
        <f t="shared" si="224"/>
        <v>650</v>
      </c>
      <c r="DZ64" s="231">
        <f t="shared" si="224"/>
        <v>816</v>
      </c>
      <c r="EA64" s="231">
        <f t="shared" si="224"/>
        <v>1963</v>
      </c>
      <c r="EB64" s="231">
        <f t="shared" si="224"/>
        <v>1802</v>
      </c>
      <c r="EC64" s="231">
        <f t="shared" si="224"/>
        <v>1709</v>
      </c>
      <c r="ED64" s="231">
        <f t="shared" si="224"/>
        <v>2208</v>
      </c>
      <c r="EE64" s="231">
        <f t="shared" si="224"/>
        <v>1690</v>
      </c>
      <c r="EF64" s="1195">
        <f t="shared" si="224"/>
        <v>2211</v>
      </c>
      <c r="EG64" s="1196">
        <f t="shared" si="224"/>
        <v>2296</v>
      </c>
      <c r="EH64" s="1196">
        <f t="shared" si="224"/>
        <v>1657</v>
      </c>
      <c r="EI64" s="1196">
        <f>EI29+EI32+EI28</f>
        <v>1621</v>
      </c>
      <c r="EJ64" s="1196">
        <f t="shared" ref="EJ64:EO64" si="225">EJ29+EJ32+EJ28</f>
        <v>1734</v>
      </c>
      <c r="EK64" s="880">
        <f t="shared" si="225"/>
        <v>1365</v>
      </c>
      <c r="EL64" s="880">
        <f>EL29+EL32+EL28</f>
        <v>1355</v>
      </c>
      <c r="EM64" s="1675">
        <f>EM29+EM32+EM28</f>
        <v>1229</v>
      </c>
      <c r="EN64" s="231">
        <f t="shared" si="225"/>
        <v>1579</v>
      </c>
      <c r="EO64" s="231">
        <f t="shared" si="225"/>
        <v>1829</v>
      </c>
      <c r="EP64" s="231">
        <f t="shared" ref="EP64:EU64" si="226">EP29+EP32+EP28</f>
        <v>2179</v>
      </c>
      <c r="EQ64" s="231">
        <f t="shared" si="226"/>
        <v>2179</v>
      </c>
      <c r="ER64" s="231">
        <f t="shared" si="226"/>
        <v>2179</v>
      </c>
      <c r="ES64" s="231">
        <f t="shared" si="226"/>
        <v>2679</v>
      </c>
      <c r="ET64" s="231">
        <f t="shared" si="226"/>
        <v>2679</v>
      </c>
      <c r="EU64" s="231">
        <f t="shared" si="226"/>
        <v>2679</v>
      </c>
      <c r="EV64" s="1194"/>
      <c r="EW64"/>
      <c r="EX64"/>
      <c r="EY64"/>
      <c r="EZ64"/>
      <c r="FA64"/>
      <c r="FB64"/>
      <c r="FG64" s="880"/>
      <c r="FH64" s="880"/>
      <c r="FI64" s="880"/>
      <c r="FJ64" s="880"/>
      <c r="FK64"/>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row>
    <row r="65" spans="1:260" s="231" customFormat="1" x14ac:dyDescent="0.2">
      <c r="A65" s="1192" t="s">
        <v>45</v>
      </c>
      <c r="B65" s="231">
        <f t="shared" ref="B65:AG65" si="227">B64-B7-B8</f>
        <v>-27.944999999999993</v>
      </c>
      <c r="C65" s="231">
        <f t="shared" si="227"/>
        <v>30.095000000000006</v>
      </c>
      <c r="D65" s="231">
        <f t="shared" si="227"/>
        <v>162.71999999999997</v>
      </c>
      <c r="E65" s="1193">
        <f t="shared" si="227"/>
        <v>178.98399999999998</v>
      </c>
      <c r="F65" s="231">
        <f t="shared" si="227"/>
        <v>227.39699999999999</v>
      </c>
      <c r="G65" s="231">
        <f t="shared" si="227"/>
        <v>193.50400000000002</v>
      </c>
      <c r="H65" s="231">
        <f t="shared" si="227"/>
        <v>241.31</v>
      </c>
      <c r="I65" s="1193">
        <f t="shared" si="227"/>
        <v>121.20699999999999</v>
      </c>
      <c r="J65" s="231">
        <f t="shared" si="227"/>
        <v>213.47700000000003</v>
      </c>
      <c r="K65" s="231">
        <f t="shared" si="227"/>
        <v>220.21899999999999</v>
      </c>
      <c r="L65" s="231">
        <f t="shared" si="227"/>
        <v>157.07499999999999</v>
      </c>
      <c r="M65" s="1193">
        <f t="shared" si="227"/>
        <v>174.25500000000005</v>
      </c>
      <c r="N65" s="231">
        <f t="shared" si="227"/>
        <v>240.08199999999999</v>
      </c>
      <c r="O65" s="231">
        <f t="shared" si="227"/>
        <v>222.79599999999999</v>
      </c>
      <c r="P65" s="231">
        <f t="shared" si="227"/>
        <v>212.90800000000002</v>
      </c>
      <c r="Q65" s="1193">
        <f t="shared" si="227"/>
        <v>172.81</v>
      </c>
      <c r="R65" s="231">
        <f t="shared" si="227"/>
        <v>163.78700000000003</v>
      </c>
      <c r="S65" s="231">
        <f t="shared" si="227"/>
        <v>155.66499999999996</v>
      </c>
      <c r="T65" s="231">
        <f t="shared" si="227"/>
        <v>129.447</v>
      </c>
      <c r="U65" s="1193">
        <f t="shared" si="227"/>
        <v>-275.82999999999993</v>
      </c>
      <c r="V65" s="231">
        <f t="shared" si="227"/>
        <v>-175.661</v>
      </c>
      <c r="W65" s="231">
        <f t="shared" si="227"/>
        <v>-274.25900000000001</v>
      </c>
      <c r="X65" s="231">
        <f t="shared" si="227"/>
        <v>-345.411</v>
      </c>
      <c r="Y65" s="1193">
        <f t="shared" si="227"/>
        <v>-725.18000000000006</v>
      </c>
      <c r="Z65" s="231">
        <f t="shared" si="227"/>
        <v>-442.60799999999995</v>
      </c>
      <c r="AA65" s="231">
        <f t="shared" si="227"/>
        <v>-437.62400000000002</v>
      </c>
      <c r="AB65" s="231">
        <f t="shared" si="227"/>
        <v>-482.072</v>
      </c>
      <c r="AC65" s="1193">
        <f t="shared" si="227"/>
        <v>-654.70699999999999</v>
      </c>
      <c r="AD65" s="231">
        <f t="shared" si="227"/>
        <v>-736</v>
      </c>
      <c r="AE65" s="231">
        <f t="shared" si="227"/>
        <v>-816</v>
      </c>
      <c r="AF65" s="231">
        <f t="shared" si="227"/>
        <v>-688</v>
      </c>
      <c r="AG65" s="1193">
        <f t="shared" si="227"/>
        <v>-324</v>
      </c>
      <c r="AH65" s="231">
        <f t="shared" ref="AH65:BM65" si="228">AH64-AH7-AH8</f>
        <v>-252</v>
      </c>
      <c r="AI65" s="231">
        <f t="shared" si="228"/>
        <v>-567</v>
      </c>
      <c r="AJ65" s="231">
        <f t="shared" si="228"/>
        <v>-386</v>
      </c>
      <c r="AK65" s="1193">
        <f t="shared" si="228"/>
        <v>-635</v>
      </c>
      <c r="AL65" s="231">
        <f t="shared" si="228"/>
        <v>-358</v>
      </c>
      <c r="AM65" s="231">
        <f t="shared" si="228"/>
        <v>-287</v>
      </c>
      <c r="AN65" s="231">
        <f t="shared" si="228"/>
        <v>-325</v>
      </c>
      <c r="AO65" s="1193">
        <f t="shared" si="228"/>
        <v>-1085</v>
      </c>
      <c r="AP65" s="231">
        <f t="shared" si="228"/>
        <v>-631</v>
      </c>
      <c r="AQ65" s="231">
        <f t="shared" si="228"/>
        <v>-880</v>
      </c>
      <c r="AR65" s="231">
        <f t="shared" si="228"/>
        <v>-977</v>
      </c>
      <c r="AS65" s="1193">
        <f t="shared" si="228"/>
        <v>-1370</v>
      </c>
      <c r="AT65" s="231">
        <f t="shared" si="228"/>
        <v>-1224</v>
      </c>
      <c r="AU65" s="231">
        <f t="shared" si="228"/>
        <v>-1480</v>
      </c>
      <c r="AV65" s="231">
        <f t="shared" si="228"/>
        <v>-2027</v>
      </c>
      <c r="AW65" s="1193">
        <f t="shared" si="228"/>
        <v>-2173</v>
      </c>
      <c r="AX65" s="231">
        <f t="shared" si="228"/>
        <v>-2062</v>
      </c>
      <c r="AY65" s="231">
        <f t="shared" si="228"/>
        <v>-2019</v>
      </c>
      <c r="AZ65" s="231">
        <f t="shared" si="228"/>
        <v>-2526</v>
      </c>
      <c r="BA65" s="1193">
        <f t="shared" si="228"/>
        <v>-3193</v>
      </c>
      <c r="BB65" s="231">
        <f t="shared" si="228"/>
        <v>-1728</v>
      </c>
      <c r="BC65" s="231">
        <f t="shared" si="228"/>
        <v>-1988</v>
      </c>
      <c r="BD65" s="231">
        <f t="shared" si="228"/>
        <v>-2065</v>
      </c>
      <c r="BE65" s="1193">
        <f t="shared" si="228"/>
        <v>-3143</v>
      </c>
      <c r="BF65" s="231">
        <f t="shared" si="228"/>
        <v>-2137</v>
      </c>
      <c r="BG65" s="231">
        <f t="shared" si="228"/>
        <v>466</v>
      </c>
      <c r="BH65" s="231">
        <f t="shared" si="228"/>
        <v>-480</v>
      </c>
      <c r="BI65" s="1193">
        <f t="shared" si="228"/>
        <v>-686</v>
      </c>
      <c r="BJ65" s="231">
        <f t="shared" si="228"/>
        <v>-384</v>
      </c>
      <c r="BK65" s="231">
        <f t="shared" si="228"/>
        <v>2146</v>
      </c>
      <c r="BL65" s="231">
        <f t="shared" si="228"/>
        <v>2732</v>
      </c>
      <c r="BM65" s="1193">
        <f t="shared" si="228"/>
        <v>1454</v>
      </c>
      <c r="BN65" s="231">
        <f t="shared" ref="BN65:CJ65" si="229">BN64-BN7-BN8</f>
        <v>1649</v>
      </c>
      <c r="BO65" s="231">
        <f t="shared" si="229"/>
        <v>1486</v>
      </c>
      <c r="BP65" s="231">
        <f t="shared" si="229"/>
        <v>1224</v>
      </c>
      <c r="BQ65" s="1193">
        <f t="shared" si="229"/>
        <v>-114</v>
      </c>
      <c r="BR65" s="231">
        <f t="shared" si="229"/>
        <v>-120</v>
      </c>
      <c r="BS65" s="231">
        <f t="shared" si="229"/>
        <v>658</v>
      </c>
      <c r="BT65" s="231">
        <f t="shared" si="229"/>
        <v>897</v>
      </c>
      <c r="BU65" s="1193">
        <f t="shared" si="229"/>
        <v>584</v>
      </c>
      <c r="BV65" s="231">
        <f t="shared" si="229"/>
        <v>-48</v>
      </c>
      <c r="BW65" s="231">
        <f t="shared" si="229"/>
        <v>412</v>
      </c>
      <c r="BX65" s="231">
        <f t="shared" si="229"/>
        <v>-115</v>
      </c>
      <c r="BY65" s="1193">
        <f t="shared" si="229"/>
        <v>1009</v>
      </c>
      <c r="BZ65" s="231">
        <f t="shared" si="229"/>
        <v>641</v>
      </c>
      <c r="CA65" s="231">
        <f t="shared" si="229"/>
        <v>1546</v>
      </c>
      <c r="CB65" s="231">
        <f t="shared" si="229"/>
        <v>1703</v>
      </c>
      <c r="CC65" s="1193">
        <f t="shared" si="229"/>
        <v>470</v>
      </c>
      <c r="CD65" s="1194">
        <f t="shared" si="229"/>
        <v>778</v>
      </c>
      <c r="CE65" s="880">
        <f t="shared" si="229"/>
        <v>-232</v>
      </c>
      <c r="CF65" s="880">
        <f t="shared" si="229"/>
        <v>-501</v>
      </c>
      <c r="CG65" s="875">
        <f t="shared" si="229"/>
        <v>-1244</v>
      </c>
      <c r="CH65" s="1194">
        <f t="shared" si="229"/>
        <v>-1418</v>
      </c>
      <c r="CI65" s="880">
        <f t="shared" si="229"/>
        <v>-1445</v>
      </c>
      <c r="CJ65" s="880">
        <f t="shared" si="229"/>
        <v>-1503</v>
      </c>
      <c r="CK65" s="875">
        <f t="shared" ref="CK65:CS65" si="230">CK64-CK7-CK8</f>
        <v>-2267</v>
      </c>
      <c r="CL65" s="880">
        <f t="shared" si="230"/>
        <v>-2132</v>
      </c>
      <c r="CM65" s="880">
        <f t="shared" si="230"/>
        <v>-1886</v>
      </c>
      <c r="CN65" s="880">
        <f t="shared" si="230"/>
        <v>-1708</v>
      </c>
      <c r="CO65" s="875">
        <f>CO64-CO7-CO8</f>
        <v>-1547</v>
      </c>
      <c r="CP65" s="880">
        <f>CP64-CP7-CP8</f>
        <v>-1687</v>
      </c>
      <c r="CQ65" s="880">
        <f t="shared" si="230"/>
        <v>-2067</v>
      </c>
      <c r="CR65" s="880">
        <f t="shared" si="230"/>
        <v>-1751</v>
      </c>
      <c r="CS65" s="875">
        <f t="shared" si="230"/>
        <v>-2556</v>
      </c>
      <c r="CT65" s="880">
        <f>CT64-CT7-CT8</f>
        <v>-2252</v>
      </c>
      <c r="CU65" s="880">
        <f t="shared" ref="CU65" si="231">CU64-CU7-CU8</f>
        <v>-2136</v>
      </c>
      <c r="CV65" s="880">
        <f t="shared" ref="CV65:DA65" si="232">CV64-CV7-CV8</f>
        <v>-2011</v>
      </c>
      <c r="CW65" s="875">
        <f t="shared" si="232"/>
        <v>-1778</v>
      </c>
      <c r="CX65" s="1675">
        <f t="shared" si="232"/>
        <v>-1050.2818020228801</v>
      </c>
      <c r="CY65" s="880">
        <f t="shared" si="232"/>
        <v>-873.02944534177868</v>
      </c>
      <c r="CZ65" s="880">
        <f t="shared" si="232"/>
        <v>-897.45918603967402</v>
      </c>
      <c r="DA65" s="875">
        <f t="shared" si="232"/>
        <v>-1223.2471142322634</v>
      </c>
      <c r="DB65" s="1195"/>
      <c r="DC65" s="1193"/>
      <c r="DD65" s="231">
        <f t="shared" ref="DD65:EH65" si="233">DD64-DD7-DD8</f>
        <v>8.6110000000000007</v>
      </c>
      <c r="DE65" s="231">
        <f t="shared" si="233"/>
        <v>16.994000000000003</v>
      </c>
      <c r="DF65" s="231">
        <f t="shared" si="233"/>
        <v>56.999999999999993</v>
      </c>
      <c r="DG65" s="231">
        <f t="shared" si="233"/>
        <v>49.951000000000001</v>
      </c>
      <c r="DH65" s="231">
        <f t="shared" si="233"/>
        <v>27.943009999999994</v>
      </c>
      <c r="DI65" s="231">
        <f t="shared" si="233"/>
        <v>23.009000000000004</v>
      </c>
      <c r="DJ65" s="231">
        <f t="shared" si="233"/>
        <v>-45.484999999999999</v>
      </c>
      <c r="DK65" s="231">
        <f t="shared" si="233"/>
        <v>62.972000000000001</v>
      </c>
      <c r="DL65" s="231">
        <f t="shared" si="233"/>
        <v>178.98399999999998</v>
      </c>
      <c r="DM65" s="231">
        <f t="shared" si="233"/>
        <v>121.20699999999999</v>
      </c>
      <c r="DN65" s="231">
        <f t="shared" si="233"/>
        <v>174.25500000000005</v>
      </c>
      <c r="DO65" s="231">
        <f t="shared" si="233"/>
        <v>172.81</v>
      </c>
      <c r="DP65" s="231">
        <f t="shared" si="233"/>
        <v>-275.82999999999993</v>
      </c>
      <c r="DQ65" s="231">
        <f t="shared" si="233"/>
        <v>-725.18000000000006</v>
      </c>
      <c r="DR65" s="231">
        <f t="shared" si="233"/>
        <v>-654.70699999999999</v>
      </c>
      <c r="DS65" s="231">
        <f t="shared" si="233"/>
        <v>-324</v>
      </c>
      <c r="DT65" s="231">
        <f t="shared" si="233"/>
        <v>-635</v>
      </c>
      <c r="DU65" s="231">
        <f t="shared" si="233"/>
        <v>-1085</v>
      </c>
      <c r="DV65" s="231">
        <f t="shared" si="233"/>
        <v>-1370</v>
      </c>
      <c r="DW65" s="231">
        <f t="shared" si="233"/>
        <v>-2173</v>
      </c>
      <c r="DX65" s="231">
        <f t="shared" si="233"/>
        <v>-3193</v>
      </c>
      <c r="DY65" s="231">
        <f t="shared" si="233"/>
        <v>-3143</v>
      </c>
      <c r="DZ65" s="231">
        <f t="shared" si="233"/>
        <v>-686</v>
      </c>
      <c r="EA65" s="231">
        <f t="shared" si="233"/>
        <v>1454</v>
      </c>
      <c r="EB65" s="231">
        <f t="shared" si="233"/>
        <v>-114</v>
      </c>
      <c r="EC65" s="231">
        <f t="shared" si="233"/>
        <v>584</v>
      </c>
      <c r="ED65" s="231">
        <f t="shared" si="233"/>
        <v>1009</v>
      </c>
      <c r="EE65" s="231">
        <f t="shared" si="233"/>
        <v>330</v>
      </c>
      <c r="EF65" s="1195">
        <f t="shared" si="233"/>
        <v>810</v>
      </c>
      <c r="EG65" s="1196">
        <f t="shared" si="233"/>
        <v>470</v>
      </c>
      <c r="EH65" s="1196">
        <f t="shared" si="233"/>
        <v>-1244</v>
      </c>
      <c r="EI65" s="1196">
        <f t="shared" ref="EI65:EP65" si="234">EI64-EI7-EI8</f>
        <v>-2267</v>
      </c>
      <c r="EJ65" s="1196">
        <f t="shared" si="234"/>
        <v>-1547</v>
      </c>
      <c r="EK65" s="880">
        <f t="shared" si="234"/>
        <v>-2556</v>
      </c>
      <c r="EL65" s="880">
        <f>EL64-EL7-EL8</f>
        <v>-1778</v>
      </c>
      <c r="EM65" s="1675">
        <f>EM64-EM7-EM8</f>
        <v>-1223.2471142322634</v>
      </c>
      <c r="EN65" s="231">
        <f t="shared" si="234"/>
        <v>-819.44841623680668</v>
      </c>
      <c r="EO65" s="231">
        <f t="shared" si="234"/>
        <v>-409.30428757250911</v>
      </c>
      <c r="EP65" s="231">
        <f t="shared" si="234"/>
        <v>-296.20271161897335</v>
      </c>
      <c r="EQ65" s="231">
        <f>EQ64-EQ7-EQ8</f>
        <v>-230.94777968659946</v>
      </c>
      <c r="ER65" s="231">
        <f>ER64-ER7-ER8</f>
        <v>-124.77721207803825</v>
      </c>
      <c r="ES65" s="231">
        <f>ES64-ES7-ES8</f>
        <v>24.655181846172127</v>
      </c>
      <c r="ET65" s="231">
        <f>ET64-ET7-ET8</f>
        <v>222.17432896257014</v>
      </c>
      <c r="EU65" s="231">
        <f>EU64-EU7-EU8</f>
        <v>461.90880139832552</v>
      </c>
      <c r="EV65" s="1194"/>
      <c r="EW65"/>
      <c r="EX65"/>
      <c r="EY65"/>
      <c r="EZ65"/>
      <c r="FA65"/>
      <c r="FB65"/>
      <c r="FG65" s="880"/>
      <c r="FH65" s="880"/>
      <c r="FI65" s="880"/>
      <c r="FJ65" s="880"/>
      <c r="FK65"/>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row>
    <row r="66" spans="1:260" s="231" customFormat="1" x14ac:dyDescent="0.2">
      <c r="A66" s="1192" t="s">
        <v>145</v>
      </c>
      <c r="B66" s="231">
        <f t="shared" ref="B66:AG66" si="235">+B64+B42</f>
        <v>333.48299999999995</v>
      </c>
      <c r="C66" s="231">
        <f t="shared" si="235"/>
        <v>351.46499999999997</v>
      </c>
      <c r="D66" s="231">
        <f t="shared" si="235"/>
        <v>527.32100000000003</v>
      </c>
      <c r="E66" s="1193">
        <f t="shared" si="235"/>
        <v>550.29999999999995</v>
      </c>
      <c r="F66" s="231">
        <f t="shared" si="235"/>
        <v>555.23199999999997</v>
      </c>
      <c r="G66" s="231">
        <f t="shared" si="235"/>
        <v>568.577</v>
      </c>
      <c r="H66" s="231">
        <f t="shared" si="235"/>
        <v>609.01300000000003</v>
      </c>
      <c r="I66" s="1193">
        <f t="shared" si="235"/>
        <v>642.029</v>
      </c>
      <c r="J66" s="231">
        <f t="shared" si="235"/>
        <v>650.54899999999998</v>
      </c>
      <c r="K66" s="231">
        <f t="shared" si="235"/>
        <v>656.23399999999992</v>
      </c>
      <c r="L66" s="231">
        <f t="shared" si="235"/>
        <v>674.77800000000002</v>
      </c>
      <c r="M66" s="1193">
        <f t="shared" si="235"/>
        <v>692.31400000000008</v>
      </c>
      <c r="N66" s="231">
        <f t="shared" si="235"/>
        <v>695.51499999999999</v>
      </c>
      <c r="O66" s="231">
        <f t="shared" si="235"/>
        <v>693.39699999999993</v>
      </c>
      <c r="P66" s="231">
        <f t="shared" si="235"/>
        <v>685.78800000000001</v>
      </c>
      <c r="Q66" s="1193">
        <f t="shared" si="235"/>
        <v>700.93299999999999</v>
      </c>
      <c r="R66" s="231">
        <f t="shared" si="235"/>
        <v>698.78500000000008</v>
      </c>
      <c r="S66" s="231">
        <f t="shared" si="235"/>
        <v>703.85899999999992</v>
      </c>
      <c r="T66" s="231">
        <f t="shared" si="235"/>
        <v>726.3309999999999</v>
      </c>
      <c r="U66" s="1193">
        <f t="shared" si="235"/>
        <v>802.04300000000012</v>
      </c>
      <c r="V66" s="231">
        <f t="shared" si="235"/>
        <v>1032.3599999999999</v>
      </c>
      <c r="W66" s="231">
        <f t="shared" si="235"/>
        <v>1082.778</v>
      </c>
      <c r="X66" s="231">
        <f t="shared" si="235"/>
        <v>956.77499999999986</v>
      </c>
      <c r="Y66" s="1193">
        <f t="shared" si="235"/>
        <v>1124.731</v>
      </c>
      <c r="Z66" s="231">
        <f t="shared" si="235"/>
        <v>1157.3900000000001</v>
      </c>
      <c r="AA66" s="231">
        <f t="shared" si="235"/>
        <v>1201.9359999999999</v>
      </c>
      <c r="AB66" s="231">
        <f t="shared" si="235"/>
        <v>1191.114</v>
      </c>
      <c r="AC66" s="1193">
        <f t="shared" si="235"/>
        <v>1192.0010000000002</v>
      </c>
      <c r="AD66" s="231">
        <f t="shared" si="235"/>
        <v>1486</v>
      </c>
      <c r="AE66" s="231">
        <f t="shared" si="235"/>
        <v>1593</v>
      </c>
      <c r="AF66" s="231">
        <f t="shared" si="235"/>
        <v>1667</v>
      </c>
      <c r="AG66" s="1193">
        <f t="shared" si="235"/>
        <v>2245</v>
      </c>
      <c r="AH66" s="231">
        <f t="shared" ref="AH66:BM66" si="236">+AH64+AH42</f>
        <v>2141</v>
      </c>
      <c r="AI66" s="231">
        <f t="shared" si="236"/>
        <v>2433</v>
      </c>
      <c r="AJ66" s="231">
        <f t="shared" si="236"/>
        <v>2600</v>
      </c>
      <c r="AK66" s="1193">
        <f t="shared" si="236"/>
        <v>3747</v>
      </c>
      <c r="AL66" s="231">
        <f t="shared" si="236"/>
        <v>3560</v>
      </c>
      <c r="AM66" s="231">
        <f t="shared" si="236"/>
        <v>3153</v>
      </c>
      <c r="AN66" s="231">
        <f t="shared" si="236"/>
        <v>3213</v>
      </c>
      <c r="AO66" s="1193">
        <f t="shared" si="236"/>
        <v>3559</v>
      </c>
      <c r="AP66" s="231">
        <f t="shared" si="236"/>
        <v>3598</v>
      </c>
      <c r="AQ66" s="231">
        <f t="shared" si="236"/>
        <v>3788</v>
      </c>
      <c r="AR66" s="231">
        <f t="shared" si="236"/>
        <v>3867</v>
      </c>
      <c r="AS66" s="1193">
        <f t="shared" si="236"/>
        <v>4652</v>
      </c>
      <c r="AT66" s="231">
        <f t="shared" si="236"/>
        <v>4330</v>
      </c>
      <c r="AU66" s="231">
        <f t="shared" si="236"/>
        <v>4090</v>
      </c>
      <c r="AV66" s="231">
        <f t="shared" si="236"/>
        <v>4446</v>
      </c>
      <c r="AW66" s="1193">
        <f t="shared" si="236"/>
        <v>5624</v>
      </c>
      <c r="AX66" s="231">
        <f t="shared" si="236"/>
        <v>4975</v>
      </c>
      <c r="AY66" s="231">
        <f t="shared" si="236"/>
        <v>5629</v>
      </c>
      <c r="AZ66" s="231">
        <f t="shared" si="236"/>
        <v>5427</v>
      </c>
      <c r="BA66" s="1193">
        <f t="shared" si="236"/>
        <v>5853</v>
      </c>
      <c r="BB66" s="231">
        <f t="shared" si="236"/>
        <v>6007</v>
      </c>
      <c r="BC66" s="231">
        <f t="shared" si="236"/>
        <v>6114</v>
      </c>
      <c r="BD66" s="231">
        <f t="shared" si="236"/>
        <v>6252</v>
      </c>
      <c r="BE66" s="1193">
        <f t="shared" si="236"/>
        <v>6851</v>
      </c>
      <c r="BF66" s="231">
        <f t="shared" si="236"/>
        <v>6835</v>
      </c>
      <c r="BG66" s="231">
        <f t="shared" si="236"/>
        <v>5358</v>
      </c>
      <c r="BH66" s="231">
        <f t="shared" si="236"/>
        <v>4880</v>
      </c>
      <c r="BI66" s="1193">
        <f t="shared" si="236"/>
        <v>5300</v>
      </c>
      <c r="BJ66" s="231">
        <f t="shared" si="236"/>
        <v>5793</v>
      </c>
      <c r="BK66" s="231">
        <f t="shared" si="236"/>
        <v>7442</v>
      </c>
      <c r="BL66" s="231">
        <f t="shared" si="236"/>
        <v>7886</v>
      </c>
      <c r="BM66" s="1193">
        <f t="shared" si="236"/>
        <v>6606</v>
      </c>
      <c r="BN66" s="231">
        <f t="shared" ref="BN66:CJ66" si="237">+BN64+BN42</f>
        <v>7182</v>
      </c>
      <c r="BO66" s="231">
        <f t="shared" si="237"/>
        <v>7553</v>
      </c>
      <c r="BP66" s="231">
        <f t="shared" si="237"/>
        <v>7410</v>
      </c>
      <c r="BQ66" s="1193">
        <f t="shared" si="237"/>
        <v>8122</v>
      </c>
      <c r="BR66" s="231">
        <f t="shared" si="237"/>
        <v>7692</v>
      </c>
      <c r="BS66" s="231">
        <f t="shared" si="237"/>
        <v>7518</v>
      </c>
      <c r="BT66" s="231">
        <f t="shared" si="237"/>
        <v>7825</v>
      </c>
      <c r="BU66" s="1193">
        <f t="shared" si="237"/>
        <v>8311</v>
      </c>
      <c r="BV66" s="231">
        <f t="shared" si="237"/>
        <v>8499</v>
      </c>
      <c r="BW66" s="231">
        <f t="shared" si="237"/>
        <v>8619</v>
      </c>
      <c r="BX66" s="231">
        <f t="shared" si="237"/>
        <v>7987</v>
      </c>
      <c r="BY66" s="1193">
        <f t="shared" si="237"/>
        <v>5953</v>
      </c>
      <c r="BZ66" s="231">
        <f t="shared" si="237"/>
        <v>5699</v>
      </c>
      <c r="CA66" s="231">
        <f t="shared" si="237"/>
        <v>5741</v>
      </c>
      <c r="CB66" s="231">
        <f t="shared" si="237"/>
        <v>5519</v>
      </c>
      <c r="CC66" s="1193">
        <f t="shared" si="237"/>
        <v>5357</v>
      </c>
      <c r="CD66" s="1194">
        <f t="shared" si="237"/>
        <v>4602</v>
      </c>
      <c r="CE66" s="880">
        <f t="shared" si="237"/>
        <v>5280</v>
      </c>
      <c r="CF66" s="880">
        <f t="shared" si="237"/>
        <v>5411</v>
      </c>
      <c r="CG66" s="875">
        <f t="shared" si="237"/>
        <v>5643</v>
      </c>
      <c r="CH66" s="1194">
        <f t="shared" si="237"/>
        <v>6072</v>
      </c>
      <c r="CI66" s="880">
        <f t="shared" si="237"/>
        <v>6165</v>
      </c>
      <c r="CJ66" s="880">
        <f t="shared" si="237"/>
        <v>6208</v>
      </c>
      <c r="CK66" s="875">
        <f t="shared" ref="CK66:CS66" si="238">+CK64+CK42</f>
        <v>6621</v>
      </c>
      <c r="CL66" s="880">
        <f t="shared" si="238"/>
        <v>6474.9999999999982</v>
      </c>
      <c r="CM66" s="880">
        <f t="shared" si="238"/>
        <v>6231</v>
      </c>
      <c r="CN66" s="880">
        <f t="shared" si="238"/>
        <v>6289</v>
      </c>
      <c r="CO66" s="875">
        <f>+CO64+CO42</f>
        <v>6112</v>
      </c>
      <c r="CP66" s="880">
        <f>+CP64+CP42</f>
        <v>5804</v>
      </c>
      <c r="CQ66" s="880">
        <f t="shared" si="238"/>
        <v>5703</v>
      </c>
      <c r="CR66" s="880">
        <f t="shared" si="238"/>
        <v>5628</v>
      </c>
      <c r="CS66" s="875">
        <f t="shared" si="238"/>
        <v>6074</v>
      </c>
      <c r="CT66" s="880">
        <f>+CT64+CT42</f>
        <v>5846</v>
      </c>
      <c r="CU66" s="880">
        <f t="shared" ref="CU66" si="239">+CU64+CU42</f>
        <v>5701</v>
      </c>
      <c r="CV66" s="880">
        <f t="shared" ref="CV66:DA66" si="240">+CV64+CV42</f>
        <v>5481</v>
      </c>
      <c r="CW66" s="875">
        <f t="shared" si="240"/>
        <v>4967</v>
      </c>
      <c r="CX66" s="1675">
        <f t="shared" si="240"/>
        <v>4449.0843988766674</v>
      </c>
      <c r="CY66" s="880">
        <f t="shared" si="240"/>
        <v>4290.284532269774</v>
      </c>
      <c r="CZ66" s="880">
        <f t="shared" si="240"/>
        <v>4207.2101284957907</v>
      </c>
      <c r="DA66" s="875">
        <f t="shared" si="240"/>
        <v>4423.896365519633</v>
      </c>
      <c r="DB66" s="1195"/>
      <c r="DC66" s="1193"/>
      <c r="DD66" s="231">
        <f t="shared" ref="DD66:EH66" si="241">+DD64+DD42</f>
        <v>23.122</v>
      </c>
      <c r="DE66" s="231">
        <f t="shared" si="241"/>
        <v>75.298000000000002</v>
      </c>
      <c r="DF66" s="231">
        <f t="shared" si="241"/>
        <v>115.80298999999999</v>
      </c>
      <c r="DG66" s="231">
        <f t="shared" si="241"/>
        <v>111.119</v>
      </c>
      <c r="DH66" s="231">
        <f t="shared" si="241"/>
        <v>117.922</v>
      </c>
      <c r="DI66" s="231">
        <f t="shared" si="241"/>
        <v>106.813</v>
      </c>
      <c r="DJ66" s="231">
        <f t="shared" si="241"/>
        <v>224.87200000000004</v>
      </c>
      <c r="DK66" s="231">
        <f t="shared" si="241"/>
        <v>252.39300000000003</v>
      </c>
      <c r="DL66" s="231">
        <f t="shared" si="241"/>
        <v>550.29999999999995</v>
      </c>
      <c r="DM66" s="231">
        <f t="shared" si="241"/>
        <v>642.029</v>
      </c>
      <c r="DN66" s="231">
        <f t="shared" si="241"/>
        <v>692.31400000000008</v>
      </c>
      <c r="DO66" s="231">
        <f t="shared" si="241"/>
        <v>700.93299999999999</v>
      </c>
      <c r="DP66" s="231">
        <f t="shared" si="241"/>
        <v>802.04300000000012</v>
      </c>
      <c r="DQ66" s="231">
        <f t="shared" si="241"/>
        <v>1124.731</v>
      </c>
      <c r="DR66" s="231">
        <f t="shared" si="241"/>
        <v>1192.0010000000002</v>
      </c>
      <c r="DS66" s="231">
        <f t="shared" si="241"/>
        <v>2245</v>
      </c>
      <c r="DT66" s="231">
        <f t="shared" si="241"/>
        <v>3747</v>
      </c>
      <c r="DU66" s="231">
        <f t="shared" si="241"/>
        <v>3559</v>
      </c>
      <c r="DV66" s="231">
        <f t="shared" si="241"/>
        <v>4652</v>
      </c>
      <c r="DW66" s="231">
        <f t="shared" si="241"/>
        <v>5624</v>
      </c>
      <c r="DX66" s="231">
        <f t="shared" si="241"/>
        <v>5853</v>
      </c>
      <c r="DY66" s="231">
        <f t="shared" si="241"/>
        <v>6851</v>
      </c>
      <c r="DZ66" s="231">
        <f t="shared" si="241"/>
        <v>5300</v>
      </c>
      <c r="EA66" s="231">
        <f t="shared" si="241"/>
        <v>6606</v>
      </c>
      <c r="EB66" s="231">
        <f t="shared" si="241"/>
        <v>8122</v>
      </c>
      <c r="EC66" s="231">
        <f t="shared" si="241"/>
        <v>8311</v>
      </c>
      <c r="ED66" s="231">
        <f t="shared" si="241"/>
        <v>5953</v>
      </c>
      <c r="EE66" s="231">
        <f t="shared" si="241"/>
        <v>8147</v>
      </c>
      <c r="EF66" s="1195">
        <f t="shared" si="241"/>
        <v>5840</v>
      </c>
      <c r="EG66" s="1196">
        <f t="shared" si="241"/>
        <v>5357</v>
      </c>
      <c r="EH66" s="1196">
        <f t="shared" si="241"/>
        <v>5643</v>
      </c>
      <c r="EI66" s="1196">
        <f t="shared" ref="EI66:EP66" si="242">+EI64+EI42</f>
        <v>6621</v>
      </c>
      <c r="EJ66" s="1196">
        <f t="shared" si="242"/>
        <v>6112</v>
      </c>
      <c r="EK66" s="880">
        <f t="shared" si="242"/>
        <v>6074</v>
      </c>
      <c r="EL66" s="880">
        <f>+EL64+EL42</f>
        <v>4967</v>
      </c>
      <c r="EM66" s="1675">
        <f>+EM64+EM42</f>
        <v>4423.896365519633</v>
      </c>
      <c r="EN66" s="231">
        <f t="shared" si="242"/>
        <v>4344.9808138169365</v>
      </c>
      <c r="EO66" s="231">
        <f t="shared" si="242"/>
        <v>4178.3674191215459</v>
      </c>
      <c r="EP66" s="231">
        <f t="shared" si="242"/>
        <v>4368.2730179872042</v>
      </c>
      <c r="EQ66" s="231">
        <f>+EQ64+EQ42</f>
        <v>4175.5191120548498</v>
      </c>
      <c r="ER66" s="231">
        <f>+ER64+ER42</f>
        <v>3955.3056935818513</v>
      </c>
      <c r="ES66" s="231">
        <f>+ES64+ES42</f>
        <v>4192.0280844892441</v>
      </c>
      <c r="ET66" s="231">
        <f>+ET64+ET42</f>
        <v>3880.8277114714801</v>
      </c>
      <c r="EU66" s="231">
        <f>+EU64+EU42</f>
        <v>3527.5385421473748</v>
      </c>
      <c r="EV66" s="1194"/>
      <c r="EW66"/>
      <c r="EX66"/>
      <c r="EY66"/>
      <c r="EZ66"/>
      <c r="FA66"/>
      <c r="FB66"/>
      <c r="FG66" s="880"/>
      <c r="FH66" s="880"/>
      <c r="FI66" s="880"/>
      <c r="FJ66" s="880"/>
      <c r="FK66"/>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row>
    <row r="67" spans="1:260" s="4" customFormat="1" x14ac:dyDescent="0.2">
      <c r="A67" s="295" t="s">
        <v>296</v>
      </c>
      <c r="B67" s="100">
        <f t="shared" ref="B67:AG67" si="243">+B64/B42</f>
        <v>0.25380390033724726</v>
      </c>
      <c r="C67" s="100">
        <f t="shared" si="243"/>
        <v>0.26662269985080117</v>
      </c>
      <c r="D67" s="100">
        <f t="shared" si="243"/>
        <v>0.82070891915034649</v>
      </c>
      <c r="E67" s="614">
        <f t="shared" si="243"/>
        <v>0.76693081260194462</v>
      </c>
      <c r="F67" s="100">
        <f t="shared" si="243"/>
        <v>0.74816204830467647</v>
      </c>
      <c r="G67" s="100">
        <f t="shared" si="243"/>
        <v>0.73533936016310286</v>
      </c>
      <c r="H67" s="100">
        <f t="shared" si="243"/>
        <v>0.75394340845273233</v>
      </c>
      <c r="I67" s="614">
        <f t="shared" si="243"/>
        <v>0.70697007885739194</v>
      </c>
      <c r="J67" s="100">
        <f t="shared" si="243"/>
        <v>0.6879707734501288</v>
      </c>
      <c r="K67" s="100">
        <f t="shared" si="243"/>
        <v>0.67269232926014844</v>
      </c>
      <c r="L67" s="100">
        <f t="shared" si="243"/>
        <v>0.64314691887732489</v>
      </c>
      <c r="M67" s="614">
        <f t="shared" si="243"/>
        <v>0.60401191805641163</v>
      </c>
      <c r="N67" s="100">
        <f t="shared" si="243"/>
        <v>0.59951383187413898</v>
      </c>
      <c r="O67" s="100">
        <f t="shared" si="243"/>
        <v>0.57614944161698078</v>
      </c>
      <c r="P67" s="100">
        <f t="shared" si="243"/>
        <v>0.59602499505451667</v>
      </c>
      <c r="Q67" s="614">
        <f t="shared" si="243"/>
        <v>0.59915357676556802</v>
      </c>
      <c r="R67" s="100">
        <f t="shared" si="243"/>
        <v>0.58782655326536226</v>
      </c>
      <c r="S67" s="100">
        <f t="shared" si="243"/>
        <v>0.57518893745202426</v>
      </c>
      <c r="T67" s="100">
        <f t="shared" si="243"/>
        <v>0.52968468316681561</v>
      </c>
      <c r="U67" s="614">
        <f t="shared" si="243"/>
        <v>0.43800762354189893</v>
      </c>
      <c r="V67" s="100">
        <f t="shared" si="243"/>
        <v>0.27338190726055633</v>
      </c>
      <c r="W67" s="100">
        <f t="shared" si="243"/>
        <v>0.25118066107776127</v>
      </c>
      <c r="X67" s="100">
        <f t="shared" si="243"/>
        <v>7.1640981930146633E-2</v>
      </c>
      <c r="Y67" s="614">
        <f t="shared" si="243"/>
        <v>5.6944896037529107E-2</v>
      </c>
      <c r="Z67" s="100">
        <f t="shared" si="243"/>
        <v>6.2688513150585573E-2</v>
      </c>
      <c r="AA67" s="100">
        <f t="shared" si="243"/>
        <v>3.0717355734763953E-2</v>
      </c>
      <c r="AB67" s="100">
        <f t="shared" si="243"/>
        <v>2.8250440914062539E-2</v>
      </c>
      <c r="AC67" s="614">
        <f t="shared" si="243"/>
        <v>8.7607038417496577E-2</v>
      </c>
      <c r="AD67" s="100">
        <f t="shared" si="243"/>
        <v>1.9903912148249828E-2</v>
      </c>
      <c r="AE67" s="100">
        <f t="shared" si="243"/>
        <v>1.8542199488491048E-2</v>
      </c>
      <c r="AF67" s="100">
        <f t="shared" si="243"/>
        <v>2.5215252152521524E-2</v>
      </c>
      <c r="AG67" s="614">
        <f t="shared" si="243"/>
        <v>0.23216245883644346</v>
      </c>
      <c r="AH67" s="100">
        <f t="shared" ref="AH67:BM67" si="244">+AH64/AH42</f>
        <v>0.11105345096004152</v>
      </c>
      <c r="AI67" s="100">
        <f t="shared" si="244"/>
        <v>0.19323197645904855</v>
      </c>
      <c r="AJ67" s="100">
        <f t="shared" si="244"/>
        <v>0.21325244983667754</v>
      </c>
      <c r="AK67" s="614">
        <f t="shared" si="244"/>
        <v>0.48631495438318129</v>
      </c>
      <c r="AL67" s="100">
        <f t="shared" si="244"/>
        <v>0.33183688739244294</v>
      </c>
      <c r="AM67" s="100">
        <f t="shared" si="244"/>
        <v>0.35554600171969047</v>
      </c>
      <c r="AN67" s="100">
        <f t="shared" si="244"/>
        <v>0.34491419003767265</v>
      </c>
      <c r="AO67" s="614">
        <f t="shared" si="244"/>
        <v>0.30366300366300364</v>
      </c>
      <c r="AP67" s="100">
        <f t="shared" si="244"/>
        <v>0.3022077452044879</v>
      </c>
      <c r="AQ67" s="100">
        <f t="shared" si="244"/>
        <v>0.29107021131561006</v>
      </c>
      <c r="AR67" s="100">
        <f t="shared" si="244"/>
        <v>0.28173682466025851</v>
      </c>
      <c r="AS67" s="614">
        <f t="shared" si="244"/>
        <v>0.35943892460549387</v>
      </c>
      <c r="AT67" s="100">
        <f t="shared" si="244"/>
        <v>0.24282433983926521</v>
      </c>
      <c r="AU67" s="100">
        <f t="shared" si="244"/>
        <v>0.13579561232990836</v>
      </c>
      <c r="AV67" s="100">
        <f t="shared" si="244"/>
        <v>0.12272727272727273</v>
      </c>
      <c r="AW67" s="614">
        <f t="shared" si="244"/>
        <v>0.26410429309957295</v>
      </c>
      <c r="AX67" s="100">
        <f t="shared" si="244"/>
        <v>0.12277138343489054</v>
      </c>
      <c r="AY67" s="100">
        <f t="shared" si="244"/>
        <v>0.16711590296495957</v>
      </c>
      <c r="AZ67" s="100">
        <f t="shared" si="244"/>
        <v>0.11758649093904448</v>
      </c>
      <c r="BA67" s="614">
        <f t="shared" si="244"/>
        <v>0.11337264599581511</v>
      </c>
      <c r="BB67" s="100">
        <f t="shared" si="244"/>
        <v>0.11055647994083934</v>
      </c>
      <c r="BC67" s="100">
        <f t="shared" si="244"/>
        <v>0.12513801987486198</v>
      </c>
      <c r="BD67" s="100">
        <f t="shared" si="244"/>
        <v>0.11602998928953945</v>
      </c>
      <c r="BE67" s="614">
        <f t="shared" si="244"/>
        <v>0.10482180293501048</v>
      </c>
      <c r="BF67" s="100">
        <f t="shared" si="244"/>
        <v>0.10777957860615883</v>
      </c>
      <c r="BG67" s="100">
        <f t="shared" si="244"/>
        <v>0.58473824312333633</v>
      </c>
      <c r="BH67" s="100">
        <f t="shared" si="244"/>
        <v>0.30272290443139349</v>
      </c>
      <c r="BI67" s="614">
        <f t="shared" si="244"/>
        <v>0.18198037466547726</v>
      </c>
      <c r="BJ67" s="100">
        <f t="shared" si="244"/>
        <v>0.25010789814415191</v>
      </c>
      <c r="BK67" s="100">
        <f t="shared" si="244"/>
        <v>0.56607744107744107</v>
      </c>
      <c r="BL67" s="100">
        <f t="shared" si="244"/>
        <v>0.72938596491228069</v>
      </c>
      <c r="BM67" s="614">
        <f t="shared" si="244"/>
        <v>0.42278699116950247</v>
      </c>
      <c r="BN67" s="100">
        <f t="shared" ref="BN67:CJ67" si="245">+BN64/BN42</f>
        <v>0.43927855711422847</v>
      </c>
      <c r="BO67" s="100">
        <f t="shared" si="245"/>
        <v>0.42348284960422161</v>
      </c>
      <c r="BP67" s="100">
        <f t="shared" si="245"/>
        <v>0.34020618556701032</v>
      </c>
      <c r="BQ67" s="614">
        <f t="shared" si="245"/>
        <v>0.28512658227848103</v>
      </c>
      <c r="BR67" s="100">
        <f t="shared" si="245"/>
        <v>0.20791457286432161</v>
      </c>
      <c r="BS67" s="100">
        <f t="shared" si="245"/>
        <v>0.24987531172069827</v>
      </c>
      <c r="BT67" s="100">
        <f t="shared" si="245"/>
        <v>0.30394934177637062</v>
      </c>
      <c r="BU67" s="614">
        <f t="shared" si="245"/>
        <v>0.25886095122690095</v>
      </c>
      <c r="BV67" s="100">
        <f t="shared" si="245"/>
        <v>0.34499129609115364</v>
      </c>
      <c r="BW67" s="100">
        <f t="shared" si="245"/>
        <v>0.41596845736816168</v>
      </c>
      <c r="BX67" s="100">
        <f t="shared" si="245"/>
        <v>0.3987740805604203</v>
      </c>
      <c r="BY67" s="614">
        <f t="shared" si="245"/>
        <v>0.58958611481975964</v>
      </c>
      <c r="BZ67" s="100">
        <f t="shared" si="245"/>
        <v>0.55201525054466227</v>
      </c>
      <c r="CA67" s="100">
        <f t="shared" si="245"/>
        <v>0.63328591749644381</v>
      </c>
      <c r="CB67" s="100">
        <f t="shared" si="245"/>
        <v>0.57370972341032223</v>
      </c>
      <c r="CC67" s="614">
        <f t="shared" si="245"/>
        <v>0.75008167265599479</v>
      </c>
      <c r="CD67" s="940">
        <f t="shared" si="245"/>
        <v>0.57818930041152261</v>
      </c>
      <c r="CE67" s="113">
        <f t="shared" si="245"/>
        <v>0.46585230427540253</v>
      </c>
      <c r="CF67" s="113">
        <f t="shared" si="245"/>
        <v>0.446018172100481</v>
      </c>
      <c r="CG67" s="493">
        <f t="shared" si="245"/>
        <v>0.4157049673858505</v>
      </c>
      <c r="CH67" s="940">
        <f t="shared" si="245"/>
        <v>0.37251356238698013</v>
      </c>
      <c r="CI67" s="113">
        <f t="shared" si="245"/>
        <v>0.36092715231788081</v>
      </c>
      <c r="CJ67" s="113">
        <f t="shared" si="245"/>
        <v>0.35753334791165536</v>
      </c>
      <c r="CK67" s="493">
        <f t="shared" ref="CK67:CS67" si="246">+CK64/CK42</f>
        <v>0.32419999999999999</v>
      </c>
      <c r="CL67" s="113">
        <f t="shared" si="246"/>
        <v>0.33011503697617106</v>
      </c>
      <c r="CM67" s="113">
        <f t="shared" si="246"/>
        <v>0.34811769796624836</v>
      </c>
      <c r="CN67" s="113">
        <f t="shared" si="246"/>
        <v>0.3524731182795699</v>
      </c>
      <c r="CO67" s="493">
        <f>+CO64/CO42</f>
        <v>0.39607126541799909</v>
      </c>
      <c r="CP67" s="113">
        <f>+CP64/CP42</f>
        <v>0.31134206958879351</v>
      </c>
      <c r="CQ67" s="113">
        <f t="shared" si="246"/>
        <v>0.32044454734892336</v>
      </c>
      <c r="CR67" s="113">
        <f t="shared" si="246"/>
        <v>0.32081670969256043</v>
      </c>
      <c r="CS67" s="493">
        <f t="shared" si="246"/>
        <v>0.28987046081970697</v>
      </c>
      <c r="CT67" s="113">
        <f>+CT64/CT42</f>
        <v>0.29939986663703044</v>
      </c>
      <c r="CU67" s="113">
        <f t="shared" ref="CU67" si="247">+CU64/CU42</f>
        <v>0.31147918104439842</v>
      </c>
      <c r="CV67" s="113">
        <f t="shared" ref="CV67:DA67" si="248">+CV64/CV42</f>
        <v>0.32008670520231214</v>
      </c>
      <c r="CW67" s="493">
        <f t="shared" si="248"/>
        <v>0.37513842746400888</v>
      </c>
      <c r="CX67" s="1724">
        <f t="shared" si="248"/>
        <v>0.42595001612087274</v>
      </c>
      <c r="CY67" s="113">
        <f t="shared" si="248"/>
        <v>0.42473568548367829</v>
      </c>
      <c r="CZ67" s="113">
        <f t="shared" si="248"/>
        <v>0.43678559388667126</v>
      </c>
      <c r="DA67" s="493">
        <f t="shared" si="248"/>
        <v>0.38467601430324005</v>
      </c>
      <c r="DB67" s="678"/>
      <c r="DC67" s="614"/>
      <c r="DD67" s="100">
        <f t="shared" ref="DD67:EH67" si="249">+DD64/DD42</f>
        <v>0.60859885905106448</v>
      </c>
      <c r="DE67" s="100">
        <f t="shared" si="249"/>
        <v>0.35070945521732116</v>
      </c>
      <c r="DF67" s="100">
        <f t="shared" si="249"/>
        <v>0.99087128283584891</v>
      </c>
      <c r="DG67" s="100">
        <f t="shared" si="249"/>
        <v>0.83974900246692818</v>
      </c>
      <c r="DH67" s="100">
        <f t="shared" si="249"/>
        <v>0.78267245158656962</v>
      </c>
      <c r="DI67" s="100">
        <f t="shared" si="249"/>
        <v>0.88246594173525317</v>
      </c>
      <c r="DJ67" s="100">
        <f t="shared" si="249"/>
        <v>0.42714256701868392</v>
      </c>
      <c r="DK67" s="100">
        <f t="shared" si="249"/>
        <v>0.38462171458665917</v>
      </c>
      <c r="DL67" s="100">
        <f t="shared" si="249"/>
        <v>0.76693081260194462</v>
      </c>
      <c r="DM67" s="100">
        <f t="shared" si="249"/>
        <v>0.70697007885739194</v>
      </c>
      <c r="DN67" s="100">
        <f t="shared" si="249"/>
        <v>0.60401191805641163</v>
      </c>
      <c r="DO67" s="100">
        <f t="shared" si="249"/>
        <v>0.59915357676556802</v>
      </c>
      <c r="DP67" s="100">
        <f t="shared" si="249"/>
        <v>0.43800762354189893</v>
      </c>
      <c r="DQ67" s="100">
        <f t="shared" si="249"/>
        <v>5.6944896037529107E-2</v>
      </c>
      <c r="DR67" s="100">
        <f t="shared" si="249"/>
        <v>8.7607038417496577E-2</v>
      </c>
      <c r="DS67" s="100">
        <f t="shared" si="249"/>
        <v>0.23216245883644346</v>
      </c>
      <c r="DT67" s="100">
        <f t="shared" si="249"/>
        <v>0.48631495438318129</v>
      </c>
      <c r="DU67" s="100">
        <f t="shared" si="249"/>
        <v>0.30366300366300364</v>
      </c>
      <c r="DV67" s="100">
        <f t="shared" si="249"/>
        <v>0.35943892460549387</v>
      </c>
      <c r="DW67" s="100">
        <f t="shared" si="249"/>
        <v>0.26410429309957295</v>
      </c>
      <c r="DX67" s="100">
        <f t="shared" si="249"/>
        <v>0.11337264599581511</v>
      </c>
      <c r="DY67" s="100">
        <f t="shared" si="249"/>
        <v>0.10482180293501048</v>
      </c>
      <c r="DZ67" s="100">
        <f t="shared" si="249"/>
        <v>0.18198037466547726</v>
      </c>
      <c r="EA67" s="100">
        <f t="shared" si="249"/>
        <v>0.42278699116950247</v>
      </c>
      <c r="EB67" s="100">
        <f t="shared" si="249"/>
        <v>0.28512658227848103</v>
      </c>
      <c r="EC67" s="100">
        <f t="shared" si="249"/>
        <v>0.25886095122690095</v>
      </c>
      <c r="ED67" s="100">
        <f t="shared" si="249"/>
        <v>0.58958611481975964</v>
      </c>
      <c r="EE67" s="100">
        <f t="shared" si="249"/>
        <v>0.2617314542357132</v>
      </c>
      <c r="EF67" s="678">
        <f t="shared" si="249"/>
        <v>0.60925874896665744</v>
      </c>
      <c r="EG67" s="126">
        <f t="shared" si="249"/>
        <v>0.75008167265599479</v>
      </c>
      <c r="EH67" s="126">
        <f t="shared" si="249"/>
        <v>0.4157049673858505</v>
      </c>
      <c r="EI67" s="126">
        <f t="shared" ref="EI67:EP67" si="250">+EI64/EI42</f>
        <v>0.32419999999999999</v>
      </c>
      <c r="EJ67" s="126">
        <f t="shared" si="250"/>
        <v>0.39607126541799909</v>
      </c>
      <c r="EK67" s="113">
        <f t="shared" si="250"/>
        <v>0.28987046081970697</v>
      </c>
      <c r="EL67" s="113">
        <f>+EL64/EL42</f>
        <v>0.37513842746400888</v>
      </c>
      <c r="EM67" s="1724">
        <f>+EM64/EM42</f>
        <v>0.38467601430324005</v>
      </c>
      <c r="EN67" s="100">
        <f t="shared" si="250"/>
        <v>0.57086440806545102</v>
      </c>
      <c r="EO67" s="100">
        <f t="shared" si="250"/>
        <v>0.77850743358136931</v>
      </c>
      <c r="EP67" s="100">
        <f t="shared" si="250"/>
        <v>0.99530756652879726</v>
      </c>
      <c r="EQ67" s="100">
        <f>+EQ64/EQ42</f>
        <v>1.0913995197157607</v>
      </c>
      <c r="ER67" s="100">
        <f>+ER64/ER42</f>
        <v>1.2267032684031605</v>
      </c>
      <c r="ES67" s="100">
        <f>+ES64/ES42</f>
        <v>1.770621462657354</v>
      </c>
      <c r="ET67" s="100">
        <f>+ET64/ET42</f>
        <v>2.2291048662207302</v>
      </c>
      <c r="EU67" s="100">
        <f>+EU64/EU42</f>
        <v>3.1571930642305572</v>
      </c>
      <c r="EV67" s="940"/>
      <c r="EW67"/>
      <c r="EX67"/>
      <c r="EY67"/>
      <c r="EZ67"/>
      <c r="FA67"/>
      <c r="FB67"/>
      <c r="FG67" s="113"/>
      <c r="FH67" s="113"/>
      <c r="FI67" s="113"/>
      <c r="FJ67" s="113"/>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row>
    <row r="68" spans="1:260" s="4" customFormat="1" x14ac:dyDescent="0.2">
      <c r="A68" s="295" t="s">
        <v>297</v>
      </c>
      <c r="B68" s="100">
        <f t="shared" ref="B68:AG68" si="251">+B64/B66</f>
        <v>0.20242711022750789</v>
      </c>
      <c r="C68" s="100">
        <f t="shared" si="251"/>
        <v>0.21049891169817767</v>
      </c>
      <c r="D68" s="100">
        <f t="shared" si="251"/>
        <v>0.45076338700715496</v>
      </c>
      <c r="E68" s="614">
        <f t="shared" si="251"/>
        <v>0.43404688351808107</v>
      </c>
      <c r="F68" s="100">
        <f t="shared" si="251"/>
        <v>0.42797065010662211</v>
      </c>
      <c r="G68" s="100">
        <f t="shared" si="251"/>
        <v>0.42374383768601265</v>
      </c>
      <c r="H68" s="100">
        <f t="shared" si="251"/>
        <v>0.42985617712593982</v>
      </c>
      <c r="I68" s="614">
        <f t="shared" si="251"/>
        <v>0.41416664979307788</v>
      </c>
      <c r="J68" s="100">
        <f t="shared" si="251"/>
        <v>0.40757268092026894</v>
      </c>
      <c r="K68" s="100">
        <f t="shared" si="251"/>
        <v>0.40216142412615014</v>
      </c>
      <c r="L68" s="100">
        <f t="shared" si="251"/>
        <v>0.39141169392007441</v>
      </c>
      <c r="M68" s="614">
        <f t="shared" si="251"/>
        <v>0.37656323575718537</v>
      </c>
      <c r="N68" s="100">
        <f t="shared" si="251"/>
        <v>0.37481003285335324</v>
      </c>
      <c r="O68" s="100">
        <f t="shared" si="251"/>
        <v>0.36554239490508322</v>
      </c>
      <c r="P68" s="100">
        <f t="shared" si="251"/>
        <v>0.37344339650154273</v>
      </c>
      <c r="Q68" s="614">
        <f t="shared" si="251"/>
        <v>0.37466919092124357</v>
      </c>
      <c r="R68" s="100">
        <f t="shared" si="251"/>
        <v>0.37020829010353684</v>
      </c>
      <c r="S68" s="100">
        <f t="shared" si="251"/>
        <v>0.36515552120524142</v>
      </c>
      <c r="T68" s="100">
        <f t="shared" si="251"/>
        <v>0.34627050201629839</v>
      </c>
      <c r="U68" s="614">
        <f t="shared" si="251"/>
        <v>0.304593394618493</v>
      </c>
      <c r="V68" s="100">
        <f t="shared" si="251"/>
        <v>0.2146896431477392</v>
      </c>
      <c r="W68" s="100">
        <f t="shared" si="251"/>
        <v>0.20075491005543147</v>
      </c>
      <c r="X68" s="100">
        <f t="shared" si="251"/>
        <v>6.6851663139191567E-2</v>
      </c>
      <c r="Y68" s="614">
        <f t="shared" si="251"/>
        <v>5.3876882561252427E-2</v>
      </c>
      <c r="Z68" s="100">
        <f t="shared" si="251"/>
        <v>5.8990487216927741E-2</v>
      </c>
      <c r="AA68" s="100">
        <f t="shared" si="251"/>
        <v>2.9801919569760787E-2</v>
      </c>
      <c r="AB68" s="100">
        <f t="shared" si="251"/>
        <v>2.7474280379543851E-2</v>
      </c>
      <c r="AC68" s="614">
        <f t="shared" si="251"/>
        <v>8.0550267994741589E-2</v>
      </c>
      <c r="AD68" s="100">
        <f t="shared" si="251"/>
        <v>1.9515477792732168E-2</v>
      </c>
      <c r="AE68" s="100">
        <f t="shared" si="251"/>
        <v>1.820464532328939E-2</v>
      </c>
      <c r="AF68" s="100">
        <f t="shared" si="251"/>
        <v>2.4595080983803239E-2</v>
      </c>
      <c r="AG68" s="614">
        <f t="shared" si="251"/>
        <v>0.18841870824053453</v>
      </c>
      <c r="AH68" s="100">
        <f t="shared" ref="AH68:BM68" si="252">+AH64/AH66</f>
        <v>9.9953292853806636E-2</v>
      </c>
      <c r="AI68" s="100">
        <f t="shared" si="252"/>
        <v>0.16193999177969584</v>
      </c>
      <c r="AJ68" s="100">
        <f t="shared" si="252"/>
        <v>0.17576923076923076</v>
      </c>
      <c r="AK68" s="614">
        <f t="shared" si="252"/>
        <v>0.3271950894048572</v>
      </c>
      <c r="AL68" s="100">
        <f t="shared" si="252"/>
        <v>0.24915730337078651</v>
      </c>
      <c r="AM68" s="100">
        <f t="shared" si="252"/>
        <v>0.2622898826514431</v>
      </c>
      <c r="AN68" s="100">
        <f t="shared" si="252"/>
        <v>0.25645813881107998</v>
      </c>
      <c r="AO68" s="614">
        <f t="shared" si="252"/>
        <v>0.23293059848271985</v>
      </c>
      <c r="AP68" s="100">
        <f t="shared" si="252"/>
        <v>0.23207337409672041</v>
      </c>
      <c r="AQ68" s="100">
        <f t="shared" si="252"/>
        <v>0.22544878563885956</v>
      </c>
      <c r="AR68" s="100">
        <f t="shared" si="252"/>
        <v>0.21980863718644944</v>
      </c>
      <c r="AS68" s="614">
        <f t="shared" si="252"/>
        <v>0.26440240756663802</v>
      </c>
      <c r="AT68" s="100">
        <f t="shared" si="252"/>
        <v>0.19538106235565819</v>
      </c>
      <c r="AU68" s="100">
        <f t="shared" si="252"/>
        <v>0.119559902200489</v>
      </c>
      <c r="AV68" s="100">
        <f t="shared" si="252"/>
        <v>0.10931174089068826</v>
      </c>
      <c r="AW68" s="614">
        <f t="shared" si="252"/>
        <v>0.20892603129445234</v>
      </c>
      <c r="AX68" s="100">
        <f t="shared" si="252"/>
        <v>0.1093467336683417</v>
      </c>
      <c r="AY68" s="100">
        <f t="shared" si="252"/>
        <v>0.14318706697459585</v>
      </c>
      <c r="AZ68" s="100">
        <f t="shared" si="252"/>
        <v>0.10521466740372214</v>
      </c>
      <c r="BA68" s="614">
        <f t="shared" si="252"/>
        <v>0.10182812233042884</v>
      </c>
      <c r="BB68" s="100">
        <f t="shared" si="252"/>
        <v>9.9550524388213754E-2</v>
      </c>
      <c r="BC68" s="100">
        <f t="shared" si="252"/>
        <v>0.11122015047432122</v>
      </c>
      <c r="BD68" s="100">
        <f t="shared" si="252"/>
        <v>0.10396673064619322</v>
      </c>
      <c r="BE68" s="614">
        <f t="shared" si="252"/>
        <v>9.4876660341555979E-2</v>
      </c>
      <c r="BF68" s="100">
        <f t="shared" si="252"/>
        <v>9.7293343087051939E-2</v>
      </c>
      <c r="BG68" s="100">
        <f t="shared" si="252"/>
        <v>0.36898096304591266</v>
      </c>
      <c r="BH68" s="100">
        <f t="shared" si="252"/>
        <v>0.23237704918032787</v>
      </c>
      <c r="BI68" s="614">
        <f t="shared" si="252"/>
        <v>0.15396226415094338</v>
      </c>
      <c r="BJ68" s="100">
        <f t="shared" si="252"/>
        <v>0.20006904885206284</v>
      </c>
      <c r="BK68" s="100">
        <f t="shared" si="252"/>
        <v>0.36146197258801399</v>
      </c>
      <c r="BL68" s="100">
        <f t="shared" si="252"/>
        <v>0.42176008115647984</v>
      </c>
      <c r="BM68" s="614">
        <f t="shared" si="252"/>
        <v>0.29715410233121403</v>
      </c>
      <c r="BN68" s="100">
        <f t="shared" ref="BN68:CJ68" si="253">+BN64/BN66</f>
        <v>0.30520746310219993</v>
      </c>
      <c r="BO68" s="100">
        <f t="shared" si="253"/>
        <v>0.29749768303985169</v>
      </c>
      <c r="BP68" s="100">
        <f t="shared" si="253"/>
        <v>0.25384615384615383</v>
      </c>
      <c r="BQ68" s="614">
        <f t="shared" si="253"/>
        <v>0.2218665353361241</v>
      </c>
      <c r="BR68" s="100">
        <f t="shared" si="253"/>
        <v>0.17212688507540302</v>
      </c>
      <c r="BS68" s="100">
        <f t="shared" si="253"/>
        <v>0.19992019154030327</v>
      </c>
      <c r="BT68" s="100">
        <f t="shared" si="253"/>
        <v>0.23309904153354633</v>
      </c>
      <c r="BU68" s="614">
        <f t="shared" si="253"/>
        <v>0.20563109132475033</v>
      </c>
      <c r="BV68" s="100">
        <f t="shared" si="253"/>
        <v>0.25650076479585832</v>
      </c>
      <c r="BW68" s="100">
        <f t="shared" si="253"/>
        <v>0.29376957883745214</v>
      </c>
      <c r="BX68" s="100">
        <f t="shared" si="253"/>
        <v>0.28508826843620882</v>
      </c>
      <c r="BY68" s="614">
        <f t="shared" si="253"/>
        <v>0.37090542583571307</v>
      </c>
      <c r="BZ68" s="100">
        <f t="shared" si="253"/>
        <v>0.35567643446218633</v>
      </c>
      <c r="CA68" s="100">
        <f t="shared" si="253"/>
        <v>0.38773732799163907</v>
      </c>
      <c r="CB68" s="100">
        <f t="shared" si="253"/>
        <v>0.36455879688349341</v>
      </c>
      <c r="CC68" s="614">
        <f t="shared" si="253"/>
        <v>0.42859809594922532</v>
      </c>
      <c r="CD68" s="940">
        <f t="shared" si="253"/>
        <v>0.3663624511082138</v>
      </c>
      <c r="CE68" s="113">
        <f t="shared" si="253"/>
        <v>0.31780303030303031</v>
      </c>
      <c r="CF68" s="113">
        <f t="shared" si="253"/>
        <v>0.30844575863980778</v>
      </c>
      <c r="CG68" s="493">
        <f t="shared" si="253"/>
        <v>0.29363813574339892</v>
      </c>
      <c r="CH68" s="940">
        <f t="shared" si="253"/>
        <v>0.27140974967061926</v>
      </c>
      <c r="CI68" s="113">
        <f t="shared" si="253"/>
        <v>0.26520681265206814</v>
      </c>
      <c r="CJ68" s="113">
        <f t="shared" si="253"/>
        <v>0.26336984536082475</v>
      </c>
      <c r="CK68" s="493">
        <f t="shared" ref="CK68:CS68" si="254">+CK64/CK66</f>
        <v>0.24482706539797613</v>
      </c>
      <c r="CL68" s="113">
        <f t="shared" si="254"/>
        <v>0.24818532818532826</v>
      </c>
      <c r="CM68" s="113">
        <f t="shared" si="254"/>
        <v>0.25822500401219706</v>
      </c>
      <c r="CN68" s="113">
        <f t="shared" si="254"/>
        <v>0.26061377007473369</v>
      </c>
      <c r="CO68" s="493">
        <f>+CO64/CO66</f>
        <v>0.28370418848167539</v>
      </c>
      <c r="CP68" s="113">
        <f>+CP64/CP66</f>
        <v>0.23742246726395588</v>
      </c>
      <c r="CQ68" s="113">
        <f t="shared" si="254"/>
        <v>0.24267929160091181</v>
      </c>
      <c r="CR68" s="113">
        <f t="shared" si="254"/>
        <v>0.24289267945984364</v>
      </c>
      <c r="CS68" s="493">
        <f t="shared" si="254"/>
        <v>0.22472835034573593</v>
      </c>
      <c r="CT68" s="113">
        <f>+CT64/CT66</f>
        <v>0.23041395826205952</v>
      </c>
      <c r="CU68" s="113">
        <f t="shared" ref="CU68" si="255">+CU64/CU66</f>
        <v>0.23750219259778987</v>
      </c>
      <c r="CV68" s="113">
        <f t="shared" ref="CV68:DA68" si="256">+CV64/CV66</f>
        <v>0.24247400109469075</v>
      </c>
      <c r="CW68" s="493">
        <f t="shared" si="256"/>
        <v>0.2728004831890477</v>
      </c>
      <c r="CX68" s="1724">
        <f t="shared" si="256"/>
        <v>0.29871314653764586</v>
      </c>
      <c r="CY68" s="113">
        <f t="shared" si="256"/>
        <v>0.29811542576719158</v>
      </c>
      <c r="CZ68" s="113">
        <f t="shared" si="256"/>
        <v>0.30400193024285255</v>
      </c>
      <c r="DA68" s="493">
        <f t="shared" si="256"/>
        <v>0.27780940113764196</v>
      </c>
      <c r="DB68" s="678"/>
      <c r="DC68" s="614"/>
      <c r="DD68" s="100">
        <f t="shared" ref="DD68:DI68" si="257">+DD64/DD66</f>
        <v>0.37834097396418997</v>
      </c>
      <c r="DE68" s="100">
        <f t="shared" si="257"/>
        <v>0.25964833063295178</v>
      </c>
      <c r="DF68" s="100">
        <f t="shared" si="257"/>
        <v>0.49770735626083573</v>
      </c>
      <c r="DG68" s="100">
        <f t="shared" si="257"/>
        <v>0.45644759222095233</v>
      </c>
      <c r="DH68" s="100">
        <f t="shared" si="257"/>
        <v>0.43904445311307472</v>
      </c>
      <c r="DI68" s="100">
        <f t="shared" si="257"/>
        <v>0.46878188984486907</v>
      </c>
      <c r="DJ68" s="100">
        <f t="shared" ref="DJ68:EH68" si="258">+DJ64/DJ66</f>
        <v>0.2992991568536767</v>
      </c>
      <c r="DK68" s="100">
        <f t="shared" si="258"/>
        <v>0.27778107950695935</v>
      </c>
      <c r="DL68" s="100">
        <f t="shared" si="258"/>
        <v>0.43404688351808107</v>
      </c>
      <c r="DM68" s="100">
        <f t="shared" si="258"/>
        <v>0.41416664979307788</v>
      </c>
      <c r="DN68" s="100">
        <f t="shared" si="258"/>
        <v>0.37656323575718537</v>
      </c>
      <c r="DO68" s="100">
        <f t="shared" si="258"/>
        <v>0.37466919092124357</v>
      </c>
      <c r="DP68" s="100">
        <f t="shared" si="258"/>
        <v>0.304593394618493</v>
      </c>
      <c r="DQ68" s="100">
        <f t="shared" si="258"/>
        <v>5.3876882561252427E-2</v>
      </c>
      <c r="DR68" s="100">
        <f t="shared" si="258"/>
        <v>8.0550267994741589E-2</v>
      </c>
      <c r="DS68" s="100">
        <f t="shared" si="258"/>
        <v>0.18841870824053453</v>
      </c>
      <c r="DT68" s="100">
        <f t="shared" si="258"/>
        <v>0.3271950894048572</v>
      </c>
      <c r="DU68" s="100">
        <f t="shared" si="258"/>
        <v>0.23293059848271985</v>
      </c>
      <c r="DV68" s="100">
        <f t="shared" si="258"/>
        <v>0.26440240756663802</v>
      </c>
      <c r="DW68" s="100">
        <f t="shared" si="258"/>
        <v>0.20892603129445234</v>
      </c>
      <c r="DX68" s="100">
        <f t="shared" si="258"/>
        <v>0.10182812233042884</v>
      </c>
      <c r="DY68" s="100">
        <f t="shared" si="258"/>
        <v>9.4876660341555979E-2</v>
      </c>
      <c r="DZ68" s="100">
        <f t="shared" si="258"/>
        <v>0.15396226415094338</v>
      </c>
      <c r="EA68" s="100">
        <f t="shared" si="258"/>
        <v>0.29715410233121403</v>
      </c>
      <c r="EB68" s="100">
        <f t="shared" si="258"/>
        <v>0.2218665353361241</v>
      </c>
      <c r="EC68" s="100">
        <f t="shared" si="258"/>
        <v>0.20563109132475033</v>
      </c>
      <c r="ED68" s="100">
        <f t="shared" si="258"/>
        <v>0.37090542583571307</v>
      </c>
      <c r="EE68" s="100">
        <f t="shared" si="258"/>
        <v>0.20743832085430219</v>
      </c>
      <c r="EF68" s="678">
        <f t="shared" si="258"/>
        <v>0.37859589041095892</v>
      </c>
      <c r="EG68" s="126">
        <f t="shared" si="258"/>
        <v>0.42859809594922532</v>
      </c>
      <c r="EH68" s="126">
        <f t="shared" si="258"/>
        <v>0.29363813574339892</v>
      </c>
      <c r="EI68" s="126">
        <f>+EI64/EI66</f>
        <v>0.24482706539797613</v>
      </c>
      <c r="EJ68" s="126">
        <f t="shared" ref="EJ68:EP68" si="259">+EJ64/EJ66</f>
        <v>0.28370418848167539</v>
      </c>
      <c r="EK68" s="113">
        <f t="shared" si="259"/>
        <v>0.22472835034573593</v>
      </c>
      <c r="EL68" s="113">
        <f>+EL64/EL66</f>
        <v>0.2728004831890477</v>
      </c>
      <c r="EM68" s="1724">
        <f>+EM64/EM66</f>
        <v>0.27780940113764196</v>
      </c>
      <c r="EN68" s="100">
        <f t="shared" si="259"/>
        <v>0.36340781873623407</v>
      </c>
      <c r="EO68" s="100">
        <f t="shared" si="259"/>
        <v>0.43773077294014667</v>
      </c>
      <c r="EP68" s="100">
        <f t="shared" si="259"/>
        <v>0.49882413279287913</v>
      </c>
      <c r="EQ68" s="100">
        <f>+EQ64/EQ66</f>
        <v>0.52185128160691718</v>
      </c>
      <c r="ER68" s="100">
        <f>+ER64/ER66</f>
        <v>0.55090558576440607</v>
      </c>
      <c r="ES68" s="100">
        <f>+ES64/ES66</f>
        <v>0.63907014600223244</v>
      </c>
      <c r="ET68" s="100">
        <f>+ET64/ET66</f>
        <v>0.69031665386253716</v>
      </c>
      <c r="EU68" s="100">
        <f>+EU64/EU66</f>
        <v>0.75945307698017939</v>
      </c>
      <c r="EV68" s="940"/>
      <c r="EW68"/>
      <c r="EX68"/>
      <c r="EY68"/>
      <c r="EZ68"/>
      <c r="FA68"/>
      <c r="FB68"/>
      <c r="FG68" s="113"/>
      <c r="FH68" s="113"/>
      <c r="FI68" s="113"/>
      <c r="FJ68" s="113"/>
      <c r="FK68"/>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row>
    <row r="69" spans="1:260" s="6" customFormat="1" x14ac:dyDescent="0.2">
      <c r="A69" s="295" t="s">
        <v>298</v>
      </c>
      <c r="B69" s="319"/>
      <c r="C69" s="319"/>
      <c r="D69" s="319"/>
      <c r="E69" s="615">
        <f t="shared" ref="E69:AJ69" si="260">+E64/(E112+D112+C112+B112)</f>
        <v>2.3983934129932725</v>
      </c>
      <c r="F69" s="319">
        <f t="shared" si="260"/>
        <v>2.1353804401549259</v>
      </c>
      <c r="G69" s="319">
        <f t="shared" si="260"/>
        <v>2.0170367021632853</v>
      </c>
      <c r="H69" s="319">
        <f t="shared" si="260"/>
        <v>1.8528679010248565</v>
      </c>
      <c r="I69" s="615">
        <f t="shared" si="260"/>
        <v>1.656627894661425</v>
      </c>
      <c r="J69" s="319">
        <f t="shared" si="260"/>
        <v>1.5617861707829943</v>
      </c>
      <c r="K69" s="319">
        <f t="shared" si="260"/>
        <v>1.4992444469692638</v>
      </c>
      <c r="L69" s="319">
        <f t="shared" si="260"/>
        <v>1.4308095692120979</v>
      </c>
      <c r="M69" s="615">
        <f t="shared" si="260"/>
        <v>1.4694112209584123</v>
      </c>
      <c r="N69" s="319">
        <f t="shared" si="260"/>
        <v>1.4619573446692056</v>
      </c>
      <c r="O69" s="319">
        <f t="shared" si="260"/>
        <v>1.3894943426015256</v>
      </c>
      <c r="P69" s="319">
        <f t="shared" si="260"/>
        <v>1.8392918701522547</v>
      </c>
      <c r="Q69" s="615">
        <f t="shared" si="260"/>
        <v>2.1875718450645594</v>
      </c>
      <c r="R69" s="319">
        <f t="shared" si="260"/>
        <v>2.3022417613712212</v>
      </c>
      <c r="S69" s="319">
        <f t="shared" si="260"/>
        <v>2.254049550537168</v>
      </c>
      <c r="T69" s="319">
        <f t="shared" si="260"/>
        <v>1.4755470812555038</v>
      </c>
      <c r="U69" s="615">
        <f t="shared" si="260"/>
        <v>0.94534134090750899</v>
      </c>
      <c r="V69" s="319">
        <f t="shared" si="260"/>
        <v>0.80158336919844275</v>
      </c>
      <c r="W69" s="319">
        <f t="shared" si="260"/>
        <v>0.66784952777726603</v>
      </c>
      <c r="X69" s="319">
        <f t="shared" si="260"/>
        <v>0.17495172293065053</v>
      </c>
      <c r="Y69" s="615">
        <f t="shared" si="260"/>
        <v>0.14105151428391843</v>
      </c>
      <c r="Z69" s="319">
        <f t="shared" si="260"/>
        <v>0.14090102360904727</v>
      </c>
      <c r="AA69" s="319">
        <f t="shared" si="260"/>
        <v>7.0306565675400293E-2</v>
      </c>
      <c r="AB69" s="319">
        <f t="shared" si="260"/>
        <v>5.9848973926147492E-2</v>
      </c>
      <c r="AC69" s="615">
        <f t="shared" si="260"/>
        <v>0.14799013563501848</v>
      </c>
      <c r="AD69" s="319">
        <f t="shared" si="260"/>
        <v>4.1788007994478224E-2</v>
      </c>
      <c r="AE69" s="319">
        <f t="shared" si="260"/>
        <v>3.9496030648919794E-2</v>
      </c>
      <c r="AF69" s="319">
        <f t="shared" si="260"/>
        <v>5.7370580366388167E-2</v>
      </c>
      <c r="AG69" s="615">
        <f t="shared" si="260"/>
        <v>0.54964974447134263</v>
      </c>
      <c r="AH69" s="319">
        <f t="shared" si="260"/>
        <v>0.27224281005466494</v>
      </c>
      <c r="AI69" s="319">
        <f t="shared" si="260"/>
        <v>0.46423231410382559</v>
      </c>
      <c r="AJ69" s="319">
        <f t="shared" si="260"/>
        <v>0.49314772849897481</v>
      </c>
      <c r="AK69" s="615">
        <f t="shared" ref="AK69:BP69" si="261">+AK64/(AK112+AJ112+AI112+AH112)</f>
        <v>1</v>
      </c>
      <c r="AL69" s="319">
        <f t="shared" si="261"/>
        <v>0.69134840218238502</v>
      </c>
      <c r="AM69" s="319">
        <f t="shared" si="261"/>
        <v>0.64458300857365547</v>
      </c>
      <c r="AN69" s="319">
        <f t="shared" si="261"/>
        <v>0.62852784134248663</v>
      </c>
      <c r="AO69" s="615">
        <f t="shared" si="261"/>
        <v>0.62803030303030305</v>
      </c>
      <c r="AP69" s="319">
        <f t="shared" si="261"/>
        <v>0.633535660091047</v>
      </c>
      <c r="AQ69" s="319">
        <f t="shared" si="261"/>
        <v>0.5997191011235955</v>
      </c>
      <c r="AR69" s="319">
        <f t="shared" si="261"/>
        <v>0.57239057239057234</v>
      </c>
      <c r="AS69" s="615">
        <f t="shared" si="261"/>
        <v>0.72824156305506216</v>
      </c>
      <c r="AT69" s="319">
        <f t="shared" si="261"/>
        <v>0.47959183673469385</v>
      </c>
      <c r="AU69" s="319">
        <f t="shared" si="261"/>
        <v>0.27348993288590606</v>
      </c>
      <c r="AV69" s="319">
        <f t="shared" si="261"/>
        <v>0.26528384279475981</v>
      </c>
      <c r="AW69" s="615">
        <f t="shared" si="261"/>
        <v>0.61809573908469229</v>
      </c>
      <c r="AX69" s="319">
        <f t="shared" si="261"/>
        <v>0.27726809378185524</v>
      </c>
      <c r="AY69" s="319">
        <f t="shared" si="261"/>
        <v>0.4048216976393772</v>
      </c>
      <c r="AZ69" s="319">
        <f t="shared" si="261"/>
        <v>0.29252049180327871</v>
      </c>
      <c r="BA69" s="615">
        <f t="shared" si="261"/>
        <v>0.28380952380952379</v>
      </c>
      <c r="BB69" s="319">
        <f t="shared" si="261"/>
        <v>0.27058823529411763</v>
      </c>
      <c r="BC69" s="319">
        <f t="shared" si="261"/>
        <v>0.29681361850720211</v>
      </c>
      <c r="BD69" s="319">
        <f t="shared" si="261"/>
        <v>0.2813852813852814</v>
      </c>
      <c r="BE69" s="615">
        <f t="shared" si="261"/>
        <v>0.259170653907496</v>
      </c>
      <c r="BF69" s="319">
        <f t="shared" si="261"/>
        <v>0.27131782945736432</v>
      </c>
      <c r="BG69" s="319">
        <f t="shared" si="261"/>
        <v>0.77804014167650526</v>
      </c>
      <c r="BH69" s="319">
        <f t="shared" si="261"/>
        <v>0.41798746774788059</v>
      </c>
      <c r="BI69" s="615">
        <f t="shared" si="261"/>
        <v>0.29770156877052173</v>
      </c>
      <c r="BJ69" s="319">
        <f t="shared" si="261"/>
        <v>0.4184115523465704</v>
      </c>
      <c r="BK69" s="319">
        <f t="shared" si="261"/>
        <v>0.98751835535976507</v>
      </c>
      <c r="BL69" s="319">
        <f t="shared" si="261"/>
        <v>1.2068214804063861</v>
      </c>
      <c r="BM69" s="615">
        <f t="shared" si="261"/>
        <v>0.69932312076950476</v>
      </c>
      <c r="BN69" s="319">
        <f t="shared" si="261"/>
        <v>0.74507138001359619</v>
      </c>
      <c r="BO69" s="319">
        <f t="shared" si="261"/>
        <v>0.76040609137055837</v>
      </c>
      <c r="BP69" s="319">
        <f t="shared" si="261"/>
        <v>0.61895360315893388</v>
      </c>
      <c r="BQ69" s="615">
        <f t="shared" ref="BQ69:CH69" si="262">+BQ64/(BQ112+BP112+BO112+BN112)</f>
        <v>0.56084656084656082</v>
      </c>
      <c r="BR69" s="319">
        <f t="shared" si="262"/>
        <v>0.41323345817727841</v>
      </c>
      <c r="BS69" s="319">
        <f t="shared" si="262"/>
        <v>0.44986530978748879</v>
      </c>
      <c r="BT69" s="319">
        <f t="shared" si="262"/>
        <v>0.54140694568121106</v>
      </c>
      <c r="BU69" s="615">
        <f t="shared" si="262"/>
        <v>0.51569100784550392</v>
      </c>
      <c r="BV69" s="319">
        <f t="shared" si="262"/>
        <v>0.66503965832824896</v>
      </c>
      <c r="BW69" s="319">
        <f t="shared" si="262"/>
        <v>0.80202724105163126</v>
      </c>
      <c r="BX69" s="319">
        <f t="shared" si="262"/>
        <v>0.73904576436222003</v>
      </c>
      <c r="BY69" s="615">
        <f t="shared" si="262"/>
        <v>0.68935373087730256</v>
      </c>
      <c r="BZ69" s="319">
        <f t="shared" si="262"/>
        <v>0.61257177394983375</v>
      </c>
      <c r="CA69" s="319">
        <f t="shared" si="262"/>
        <v>0.71050111714012132</v>
      </c>
      <c r="CB69" s="319">
        <f t="shared" si="262"/>
        <v>0.70745428973277069</v>
      </c>
      <c r="CC69" s="615">
        <f t="shared" si="262"/>
        <v>0.95587010824313068</v>
      </c>
      <c r="CD69" s="679">
        <f t="shared" si="262"/>
        <v>0.76986301369863008</v>
      </c>
      <c r="CE69" s="1096">
        <f t="shared" si="262"/>
        <v>0.75927601809954748</v>
      </c>
      <c r="CF69" s="1096">
        <f t="shared" si="262"/>
        <v>0.74575513851653263</v>
      </c>
      <c r="CG69" s="615">
        <f t="shared" si="262"/>
        <v>0.88185204896221392</v>
      </c>
      <c r="CH69" s="679">
        <f t="shared" si="262"/>
        <v>0.89225771521386033</v>
      </c>
      <c r="CI69" s="1096">
        <f t="shared" ref="CI69:CP69" si="263">+CI64/(CI112+CH112+CG112+CF112)</f>
        <v>0.872</v>
      </c>
      <c r="CJ69" s="1096">
        <f t="shared" si="263"/>
        <v>0.83503575076608783</v>
      </c>
      <c r="CK69" s="615">
        <f t="shared" si="263"/>
        <v>0.75290292614955878</v>
      </c>
      <c r="CL69" s="1096">
        <f t="shared" si="263"/>
        <v>0.75023342670401494</v>
      </c>
      <c r="CM69" s="1096">
        <f t="shared" si="263"/>
        <v>0.73705909299129635</v>
      </c>
      <c r="CN69" s="1096">
        <f t="shared" si="263"/>
        <v>0.74230072463768115</v>
      </c>
      <c r="CO69" s="615">
        <f t="shared" si="263"/>
        <v>0.80203515263644776</v>
      </c>
      <c r="CP69" s="1096">
        <f t="shared" si="263"/>
        <v>0.62836297309621525</v>
      </c>
      <c r="CQ69" s="1096">
        <f t="shared" ref="CQ69:DA69" si="264">+CQ64/(CQ112+CP112+CO112+CN112)</f>
        <v>0.62709560489352056</v>
      </c>
      <c r="CR69" s="1096">
        <f t="shared" si="264"/>
        <v>0.60008779631255482</v>
      </c>
      <c r="CS69" s="615">
        <f t="shared" si="264"/>
        <v>0.57184750733137835</v>
      </c>
      <c r="CT69" s="1096">
        <f t="shared" si="264"/>
        <v>0.55069501226492235</v>
      </c>
      <c r="CU69" s="1096">
        <f t="shared" si="264"/>
        <v>0.54399357171554841</v>
      </c>
      <c r="CV69" s="1096">
        <f t="shared" si="264"/>
        <v>0.52508889766890554</v>
      </c>
      <c r="CW69" s="615">
        <f t="shared" si="264"/>
        <v>0.51267499054105181</v>
      </c>
      <c r="CX69" s="1725">
        <f t="shared" si="264"/>
        <v>0.50675259392028493</v>
      </c>
      <c r="CY69" s="1096">
        <f t="shared" si="264"/>
        <v>0.4912391036972214</v>
      </c>
      <c r="CZ69" s="1096">
        <f t="shared" si="264"/>
        <v>0.4906262742882615</v>
      </c>
      <c r="DA69" s="615">
        <f t="shared" si="264"/>
        <v>0.45944671831521022</v>
      </c>
      <c r="DB69" s="679"/>
      <c r="DC69" s="615"/>
      <c r="DD69" s="101"/>
      <c r="DE69" s="101"/>
      <c r="DF69" s="101"/>
      <c r="DG69" s="101"/>
      <c r="DH69" s="101"/>
      <c r="DI69" s="101"/>
      <c r="DJ69" s="101"/>
      <c r="DK69" s="101"/>
      <c r="DL69" s="319">
        <f t="shared" ref="DL69:EH69" si="265">+DL64/DL112</f>
        <v>2.3983934129932725</v>
      </c>
      <c r="DM69" s="319">
        <f t="shared" si="265"/>
        <v>1.6566278946614248</v>
      </c>
      <c r="DN69" s="319">
        <f t="shared" si="265"/>
        <v>1.4694112209584125</v>
      </c>
      <c r="DO69" s="319">
        <f t="shared" si="265"/>
        <v>2.1875718450645665</v>
      </c>
      <c r="DP69" s="319">
        <f t="shared" si="265"/>
        <v>0.94534134090750899</v>
      </c>
      <c r="DQ69" s="319">
        <f t="shared" si="265"/>
        <v>0.14105151428391827</v>
      </c>
      <c r="DR69" s="319">
        <f t="shared" si="265"/>
        <v>0.1479901356350185</v>
      </c>
      <c r="DS69" s="319">
        <f t="shared" si="265"/>
        <v>0.54964974447134263</v>
      </c>
      <c r="DT69" s="319">
        <f t="shared" si="265"/>
        <v>1</v>
      </c>
      <c r="DU69" s="319">
        <f t="shared" si="265"/>
        <v>0.62803030303030305</v>
      </c>
      <c r="DV69" s="319">
        <f t="shared" si="265"/>
        <v>0.72824156305506216</v>
      </c>
      <c r="DW69" s="319">
        <f t="shared" si="265"/>
        <v>0.61809573908469229</v>
      </c>
      <c r="DX69" s="319">
        <f t="shared" si="265"/>
        <v>0.28380952380952379</v>
      </c>
      <c r="DY69" s="319">
        <f t="shared" si="265"/>
        <v>0.259170653907496</v>
      </c>
      <c r="DZ69" s="319">
        <f t="shared" si="265"/>
        <v>0.29770156877052173</v>
      </c>
      <c r="EA69" s="319">
        <f t="shared" si="265"/>
        <v>0.69932312076950476</v>
      </c>
      <c r="EB69" s="319">
        <f t="shared" si="265"/>
        <v>0.56084656084656082</v>
      </c>
      <c r="EC69" s="319">
        <f t="shared" si="265"/>
        <v>0.51569100784550392</v>
      </c>
      <c r="ED69" s="319">
        <f t="shared" si="265"/>
        <v>0.68935373087730256</v>
      </c>
      <c r="EE69" s="320">
        <f t="shared" si="265"/>
        <v>0.50995775497887752</v>
      </c>
      <c r="EF69" s="1112">
        <f t="shared" si="265"/>
        <v>0.69029035279425544</v>
      </c>
      <c r="EG69" s="1096">
        <f t="shared" si="265"/>
        <v>0.95587010824313068</v>
      </c>
      <c r="EH69" s="1096">
        <f t="shared" si="265"/>
        <v>0.55178155178155175</v>
      </c>
      <c r="EI69" s="1096">
        <f t="shared" ref="EI69:EP69" si="266">+EI64/EI112</f>
        <v>0.75290292614955878</v>
      </c>
      <c r="EJ69" s="1096">
        <f t="shared" si="266"/>
        <v>0.80203515263644776</v>
      </c>
      <c r="EK69" s="1096">
        <f t="shared" si="266"/>
        <v>0.57184750733137835</v>
      </c>
      <c r="EL69" s="1096">
        <f>+EL64/EL112</f>
        <v>0.51267499054105181</v>
      </c>
      <c r="EM69" s="1725">
        <f>+EM64/EM112</f>
        <v>0.45944671831521022</v>
      </c>
      <c r="EN69" s="320">
        <f t="shared" si="266"/>
        <v>0.5799730472783674</v>
      </c>
      <c r="EO69" s="320">
        <f t="shared" si="266"/>
        <v>0.65721579948005926</v>
      </c>
      <c r="EP69" s="320">
        <f t="shared" si="266"/>
        <v>0.78108813907558838</v>
      </c>
      <c r="EQ69" s="320">
        <f>+EQ64/EQ112</f>
        <v>0.77608341580951368</v>
      </c>
      <c r="ER69" s="320">
        <f>+ER64/ER112</f>
        <v>0.77090254298162875</v>
      </c>
      <c r="ES69" s="320">
        <f>+ES64/ES112</f>
        <v>0.94120790549948796</v>
      </c>
      <c r="ET69" s="320">
        <f>+ET64/ET112</f>
        <v>0.93439936997357165</v>
      </c>
      <c r="EU69" s="320">
        <f>+EU64/EU112</f>
        <v>0.92736935476454607</v>
      </c>
      <c r="EV69" s="679"/>
      <c r="EW69"/>
      <c r="EX69"/>
      <c r="EY69"/>
      <c r="EZ69"/>
      <c r="FA69"/>
      <c r="FB69"/>
      <c r="FC69" s="4"/>
      <c r="FD69" s="4"/>
      <c r="FE69" s="4"/>
      <c r="FF69" s="4"/>
      <c r="FG69"/>
      <c r="FH69" s="2655"/>
      <c r="FI69" s="2655"/>
      <c r="FJ69" s="2655"/>
      <c r="FK69"/>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row>
    <row r="70" spans="1:260" s="6" customFormat="1" x14ac:dyDescent="0.2">
      <c r="A70" s="295" t="s">
        <v>299</v>
      </c>
      <c r="B70" s="319"/>
      <c r="C70" s="319"/>
      <c r="D70" s="319"/>
      <c r="E70" s="615"/>
      <c r="F70" s="319">
        <v>3.7402319892846174</v>
      </c>
      <c r="G70" s="319">
        <v>3.5139370124086291</v>
      </c>
      <c r="H70" s="319">
        <v>3.5471911718977056</v>
      </c>
      <c r="I70" s="615">
        <v>2.8550096893222774</v>
      </c>
      <c r="J70" s="319">
        <v>3.3485066164593382</v>
      </c>
      <c r="K70" s="319">
        <v>3.4899564743856657</v>
      </c>
      <c r="L70" s="319">
        <v>3.321564010223883</v>
      </c>
      <c r="M70" s="615">
        <v>3.605113235252587</v>
      </c>
      <c r="N70" s="319">
        <v>3.9807015085799553</v>
      </c>
      <c r="O70" s="319">
        <v>3.9978224309581472</v>
      </c>
      <c r="P70" s="319">
        <v>4.7038487632147943</v>
      </c>
      <c r="Q70" s="615">
        <v>4.9678338370324768</v>
      </c>
      <c r="R70" s="319">
        <v>5.1183046972341808</v>
      </c>
      <c r="S70" s="319">
        <v>5.1219313729376177</v>
      </c>
      <c r="T70" s="319">
        <v>4.1805893369347364</v>
      </c>
      <c r="U70" s="615">
        <v>2.4252120992953041</v>
      </c>
      <c r="V70" s="319">
        <v>2.5938205912176846</v>
      </c>
      <c r="W70" s="319">
        <v>2.1731307134601692</v>
      </c>
      <c r="X70" s="319">
        <v>1.9747715480544028</v>
      </c>
      <c r="Y70" s="615">
        <v>1.2457137107702081</v>
      </c>
      <c r="Z70" s="319">
        <v>1.6596840602376524</v>
      </c>
      <c r="AA70" s="319">
        <v>1.6516252593133203</v>
      </c>
      <c r="AB70" s="319">
        <v>1.5719026011184178</v>
      </c>
      <c r="AC70" s="615">
        <v>1.3335914689781023</v>
      </c>
      <c r="AD70" s="319">
        <v>1.2193044105680124</v>
      </c>
      <c r="AE70" s="319">
        <v>1.2042311382746091</v>
      </c>
      <c r="AF70" s="319">
        <v>1.5092582298682062</v>
      </c>
      <c r="AG70" s="615">
        <v>1.9392753669270903</v>
      </c>
      <c r="AH70" s="319">
        <v>2.3077531629263661</v>
      </c>
      <c r="AI70" s="319">
        <v>2.1888707979223794</v>
      </c>
      <c r="AJ70" s="319">
        <v>2.450667465761569</v>
      </c>
      <c r="AK70" s="615">
        <v>2.0710928319623974</v>
      </c>
      <c r="AL70" s="319">
        <v>2.1617591602784847</v>
      </c>
      <c r="AM70" s="319">
        <v>2.2070964254198424</v>
      </c>
      <c r="AN70" s="319">
        <v>2.1344848181138332</v>
      </c>
      <c r="AO70" s="615">
        <v>1.3835227272727273</v>
      </c>
      <c r="AP70" s="319">
        <v>1.6378515173958079</v>
      </c>
      <c r="AQ70" s="319">
        <v>1.3745493431379376</v>
      </c>
      <c r="AR70" s="319">
        <v>1.207709532316501</v>
      </c>
      <c r="AS70" s="615">
        <v>1.100602688919796</v>
      </c>
      <c r="AT70" s="319">
        <v>1.1076423665524864</v>
      </c>
      <c r="AU70" s="319">
        <v>0.98314194851467274</v>
      </c>
      <c r="AV70" s="319">
        <v>0.73343842592614505</v>
      </c>
      <c r="AW70" s="615">
        <v>0.76093294460641403</v>
      </c>
      <c r="AX70" s="319">
        <v>0.82044079241652401</v>
      </c>
      <c r="AY70" s="319">
        <v>0.8595953012563744</v>
      </c>
      <c r="AZ70" s="319">
        <v>0.69823135934510561</v>
      </c>
      <c r="BA70" s="615">
        <v>0.43657923104563423</v>
      </c>
      <c r="BB70" s="319">
        <v>0.98780809626853838</v>
      </c>
      <c r="BC70" s="319">
        <v>0.93310585419266145</v>
      </c>
      <c r="BD70" s="319">
        <v>0.96091982910278972</v>
      </c>
      <c r="BE70" s="615">
        <v>0.6477030727106784</v>
      </c>
      <c r="BF70" s="319">
        <v>1.0066909400416115</v>
      </c>
      <c r="BG70" s="319">
        <v>1.7965603545268767</v>
      </c>
      <c r="BH70" s="319">
        <v>1.4748204570184986</v>
      </c>
      <c r="BI70" s="615">
        <v>1.4528671328671328</v>
      </c>
      <c r="BJ70" s="319">
        <v>1.6132452009376388</v>
      </c>
      <c r="BK70" s="319">
        <v>2.4079008389898395</v>
      </c>
      <c r="BL70" s="319">
        <v>2.6447777383758528</v>
      </c>
      <c r="BM70" s="615">
        <v>2.3812301166489926</v>
      </c>
      <c r="BN70" s="319">
        <v>2.4126096426679227</v>
      </c>
      <c r="BO70" s="319">
        <v>2.4221750890233698</v>
      </c>
      <c r="BP70" s="319">
        <v>2.3669627267896454</v>
      </c>
      <c r="BQ70" s="615">
        <v>2.0258215962441315</v>
      </c>
      <c r="BR70" s="319">
        <v>1.9979110237753821</v>
      </c>
      <c r="BS70" s="319">
        <v>2.1364625427416848</v>
      </c>
      <c r="BT70" s="319">
        <v>2.1568909253842383</v>
      </c>
      <c r="BU70" s="615">
        <v>2.1148409893992932</v>
      </c>
      <c r="BV70" s="319">
        <v>2.0070084360804672</v>
      </c>
      <c r="BW70" s="319">
        <v>2.2013354314634457</v>
      </c>
      <c r="BX70" s="319">
        <v>2.1640778823014655</v>
      </c>
      <c r="BY70" s="615">
        <v>2.3732330141358871</v>
      </c>
      <c r="BZ70" s="319">
        <v>2.3127027024121132</v>
      </c>
      <c r="CA70" s="319">
        <v>2.5594431343403223</v>
      </c>
      <c r="CB70" s="319">
        <v>2.7839239959508513</v>
      </c>
      <c r="CC70" s="615">
        <v>2.6900921658986174</v>
      </c>
      <c r="CD70" s="679">
        <v>2.8257283415290892</v>
      </c>
      <c r="CE70" s="1096">
        <v>2.4230109916614984</v>
      </c>
      <c r="CF70" s="1096">
        <v>2.1758080321403006</v>
      </c>
      <c r="CG70" s="615">
        <v>1.9771591720199857</v>
      </c>
      <c r="CH70" s="679">
        <v>1.9207778177889809</v>
      </c>
      <c r="CI70" s="1096">
        <v>1.8859492313192707</v>
      </c>
      <c r="CJ70" s="1096">
        <v>1.8034782608695652</v>
      </c>
      <c r="CK70" s="615">
        <v>1.4287109375</v>
      </c>
      <c r="CL70" s="1096">
        <v>1.4498403079190894</v>
      </c>
      <c r="CM70" s="1096">
        <v>1.4790622473726758</v>
      </c>
      <c r="CN70" s="1096">
        <v>1.497787432617266</v>
      </c>
      <c r="CO70" s="615">
        <v>1.5470646113479829</v>
      </c>
      <c r="CP70" s="1096">
        <v>1.4793542629999188</v>
      </c>
      <c r="CQ70" s="1096">
        <v>1.3459485686559922</v>
      </c>
      <c r="CR70" s="1096">
        <v>1.4109643224428448</v>
      </c>
      <c r="CS70" s="615">
        <v>1.1122667482410522</v>
      </c>
      <c r="CT70" s="1096">
        <v>1.2006104257660295</v>
      </c>
      <c r="CU70" s="1096">
        <v>1.232399528949939</v>
      </c>
      <c r="CV70" s="1096">
        <v>1.2678657162725842</v>
      </c>
      <c r="CW70" s="615">
        <v>1.306559100022622</v>
      </c>
      <c r="CX70" s="1725">
        <v>1.5288651889299962</v>
      </c>
      <c r="CY70" s="1096">
        <v>1.5972690165889516</v>
      </c>
      <c r="CZ70" s="1096">
        <v>1.5991304931996722</v>
      </c>
      <c r="DA70" s="615">
        <v>1.4894724729348989</v>
      </c>
      <c r="DB70" s="679"/>
      <c r="DC70" s="615"/>
      <c r="DD70" s="101"/>
      <c r="DE70" s="69">
        <v>1.106776664702416</v>
      </c>
      <c r="DF70" s="69">
        <v>2.4011314563327413</v>
      </c>
      <c r="DG70" s="69">
        <v>1.5096904295441704</v>
      </c>
      <c r="DH70" s="69">
        <v>-3.2763786715351979</v>
      </c>
      <c r="DI70" s="69">
        <v>4.6969192852741966</v>
      </c>
      <c r="DJ70" s="69">
        <v>3.0831678799911746</v>
      </c>
      <c r="DK70" s="69">
        <v>1.4980108792725484</v>
      </c>
      <c r="DL70" s="69">
        <v>3.3209902543172936</v>
      </c>
      <c r="DM70" s="69">
        <v>3.0978710037076032</v>
      </c>
      <c r="DN70" s="69">
        <v>2.0743123994013475</v>
      </c>
      <c r="DO70" s="319">
        <v>2.2884020866619226</v>
      </c>
      <c r="DP70" s="319">
        <v>1.8765946107983897</v>
      </c>
      <c r="DQ70" s="319">
        <v>1.308642035413307</v>
      </c>
      <c r="DR70" s="319">
        <v>6.7308394160584026E-2</v>
      </c>
      <c r="DS70" s="319">
        <v>0.84789289301459125</v>
      </c>
      <c r="DT70" s="319">
        <v>1.63689776733255</v>
      </c>
      <c r="DU70" s="319">
        <v>0.56874999999999998</v>
      </c>
      <c r="DV70" s="319">
        <v>0.54937413073713492</v>
      </c>
      <c r="DW70" s="319">
        <v>0.57559350270720533</v>
      </c>
      <c r="DX70" s="319">
        <v>1.2583542939274164</v>
      </c>
      <c r="DY70" s="319">
        <v>1.6467903863705506</v>
      </c>
      <c r="DZ70" s="319">
        <v>1.337062937062937</v>
      </c>
      <c r="EA70" s="319">
        <v>2.2179215270413573</v>
      </c>
      <c r="EB70" s="319">
        <v>2.1941314553990612</v>
      </c>
      <c r="EC70" s="319"/>
      <c r="ED70" s="319"/>
      <c r="EE70" s="320">
        <v>2.0629416961130742</v>
      </c>
      <c r="EF70" s="1112">
        <v>2.4006583588055492</v>
      </c>
      <c r="EG70" s="1096">
        <v>2.6900921658986174</v>
      </c>
      <c r="EH70" s="1096">
        <v>1.9771591720199857</v>
      </c>
      <c r="EI70" s="1096">
        <v>1.4287109375</v>
      </c>
      <c r="EJ70" s="1096">
        <v>1.5470646113479829</v>
      </c>
      <c r="EK70" s="1096">
        <v>1.1122667482410522</v>
      </c>
      <c r="EL70" s="1096">
        <v>1.306559100022622</v>
      </c>
      <c r="EM70" s="1725">
        <v>1.4894724729348989</v>
      </c>
      <c r="EN70" s="320">
        <v>1.5944654602588886</v>
      </c>
      <c r="EO70" s="320">
        <v>1.6921568610791631</v>
      </c>
      <c r="EP70" s="320">
        <v>1.7314376408362622</v>
      </c>
      <c r="EQ70" s="320">
        <v>1.7582745734889842</v>
      </c>
      <c r="ER70" s="320">
        <v>1.7956692178828513</v>
      </c>
      <c r="ES70" s="320">
        <v>1.8439600166886394</v>
      </c>
      <c r="ET70" s="320">
        <v>1.9040865820390849</v>
      </c>
      <c r="EU70" s="320">
        <v>1.9742078514981403</v>
      </c>
      <c r="EV70" s="679"/>
      <c r="EW70"/>
      <c r="EX70"/>
      <c r="EY70"/>
      <c r="EZ70"/>
      <c r="FA70"/>
      <c r="FB70"/>
      <c r="FC70" s="4"/>
      <c r="FD70" s="4"/>
      <c r="FE70" s="4"/>
      <c r="FF70" s="4"/>
      <c r="FG70"/>
      <c r="FH70" s="2655"/>
      <c r="FI70" s="2655"/>
      <c r="FJ70" s="2655"/>
      <c r="FK7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row>
    <row r="71" spans="1:260" s="4" customFormat="1" x14ac:dyDescent="0.2">
      <c r="A71" s="6" t="s">
        <v>460</v>
      </c>
      <c r="B71" s="69"/>
      <c r="C71" s="69"/>
      <c r="D71" s="69"/>
      <c r="E71" s="610"/>
      <c r="F71" s="69">
        <f t="shared" ref="F71:AK71" si="267">F21/F42</f>
        <v>3.1634179132203437</v>
      </c>
      <c r="G71" s="69">
        <f t="shared" si="267"/>
        <v>3.8788967361115354</v>
      </c>
      <c r="H71" s="69">
        <f t="shared" si="267"/>
        <v>5.7847390020879832</v>
      </c>
      <c r="I71" s="610">
        <f t="shared" si="267"/>
        <v>4.0070110230191265</v>
      </c>
      <c r="J71" s="69">
        <f t="shared" si="267"/>
        <v>4.0426307008507978</v>
      </c>
      <c r="K71" s="69">
        <f t="shared" si="267"/>
        <v>4.8467381385698491</v>
      </c>
      <c r="L71" s="69">
        <f t="shared" si="267"/>
        <v>6.7165089538355138</v>
      </c>
      <c r="M71" s="610">
        <f t="shared" si="267"/>
        <v>4.3808402878497921</v>
      </c>
      <c r="N71" s="69">
        <f t="shared" si="267"/>
        <v>4.5502231911855011</v>
      </c>
      <c r="O71" s="69">
        <f t="shared" si="267"/>
        <v>4.6925631519488276</v>
      </c>
      <c r="P71" s="69">
        <f t="shared" si="267"/>
        <v>5.9951988084294321</v>
      </c>
      <c r="Q71" s="610">
        <f t="shared" si="267"/>
        <v>3.9567594081881743</v>
      </c>
      <c r="R71" s="69">
        <f t="shared" si="267"/>
        <v>3.9098477807897956</v>
      </c>
      <c r="S71" s="69">
        <f t="shared" si="267"/>
        <v>4.073860724508271</v>
      </c>
      <c r="T71" s="69">
        <f t="shared" si="267"/>
        <v>5.0328942934645262</v>
      </c>
      <c r="U71" s="610">
        <f t="shared" si="267"/>
        <v>3.6868861453062856</v>
      </c>
      <c r="V71" s="69">
        <f t="shared" si="267"/>
        <v>2.426593300054396</v>
      </c>
      <c r="W71" s="69">
        <f t="shared" si="267"/>
        <v>2.5524846748054375</v>
      </c>
      <c r="X71" s="69">
        <f t="shared" si="267"/>
        <v>3.2207382733002325</v>
      </c>
      <c r="Y71" s="610">
        <f t="shared" si="267"/>
        <v>2.3610682489235377</v>
      </c>
      <c r="Z71" s="69">
        <f t="shared" si="267"/>
        <v>2.1520592407596997</v>
      </c>
      <c r="AA71" s="69">
        <f t="shared" si="267"/>
        <v>2.2366334052529937</v>
      </c>
      <c r="AB71" s="69">
        <f t="shared" si="267"/>
        <v>3.2562921436581322</v>
      </c>
      <c r="AC71" s="610">
        <f t="shared" si="267"/>
        <v>2.7330136817565926</v>
      </c>
      <c r="AD71" s="69">
        <f t="shared" si="267"/>
        <v>2.2381606039807824</v>
      </c>
      <c r="AE71" s="69">
        <f t="shared" si="267"/>
        <v>2.3299232736572888</v>
      </c>
      <c r="AF71" s="69">
        <f t="shared" si="267"/>
        <v>2.9409594095940959</v>
      </c>
      <c r="AG71" s="610">
        <f t="shared" si="267"/>
        <v>2.6564215148188803</v>
      </c>
      <c r="AH71" s="69">
        <f t="shared" si="267"/>
        <v>2.4955889984431758</v>
      </c>
      <c r="AI71" s="69">
        <f t="shared" si="267"/>
        <v>2.7076998528690535</v>
      </c>
      <c r="AJ71" s="69">
        <f t="shared" si="267"/>
        <v>3.4857676154923003</v>
      </c>
      <c r="AK71" s="610">
        <f t="shared" si="267"/>
        <v>2.9222530741769139</v>
      </c>
      <c r="AL71" s="69">
        <f t="shared" ref="AL71:BQ71" si="268">AL21/AL42</f>
        <v>2.7141788252899364</v>
      </c>
      <c r="AM71" s="69">
        <f t="shared" si="268"/>
        <v>2.9251934651762683</v>
      </c>
      <c r="AN71" s="69">
        <f t="shared" si="268"/>
        <v>3.6575973210548347</v>
      </c>
      <c r="AO71" s="610">
        <f t="shared" si="268"/>
        <v>2.8183150183150185</v>
      </c>
      <c r="AP71" s="69">
        <f t="shared" si="268"/>
        <v>2.5874049945711182</v>
      </c>
      <c r="AQ71" s="69">
        <f t="shared" si="268"/>
        <v>2.6332651670074982</v>
      </c>
      <c r="AR71" s="69">
        <f t="shared" si="268"/>
        <v>3.340735830294995</v>
      </c>
      <c r="AS71" s="610">
        <f t="shared" si="268"/>
        <v>2.5283459964932788</v>
      </c>
      <c r="AT71" s="69">
        <f t="shared" si="268"/>
        <v>2.4540757749712974</v>
      </c>
      <c r="AU71" s="69">
        <f t="shared" si="268"/>
        <v>2.4004443210219382</v>
      </c>
      <c r="AV71" s="69">
        <f t="shared" si="268"/>
        <v>2.934848484848485</v>
      </c>
      <c r="AW71" s="610">
        <f t="shared" si="268"/>
        <v>2.3137783771634077</v>
      </c>
      <c r="AX71" s="69">
        <f t="shared" si="268"/>
        <v>2.23403294967276</v>
      </c>
      <c r="AY71" s="69">
        <f t="shared" si="268"/>
        <v>2.1270993157785609</v>
      </c>
      <c r="AZ71" s="69">
        <f t="shared" si="268"/>
        <v>2.7269357495881383</v>
      </c>
      <c r="BA71" s="610">
        <f t="shared" si="268"/>
        <v>2.2568004565341448</v>
      </c>
      <c r="BB71" s="69">
        <f t="shared" si="268"/>
        <v>2.0833795525975227</v>
      </c>
      <c r="BC71" s="69">
        <f t="shared" si="268"/>
        <v>2.2832167832167833</v>
      </c>
      <c r="BD71" s="69">
        <f t="shared" si="268"/>
        <v>2.7465191003213136</v>
      </c>
      <c r="BE71" s="610">
        <f t="shared" si="268"/>
        <v>2.1883567166586033</v>
      </c>
      <c r="BF71" s="69">
        <f t="shared" si="268"/>
        <v>2.1299837925445706</v>
      </c>
      <c r="BG71" s="69">
        <f t="shared" si="268"/>
        <v>3.6193433895297251</v>
      </c>
      <c r="BH71" s="69">
        <f t="shared" si="268"/>
        <v>4.1308061932728242</v>
      </c>
      <c r="BI71" s="610">
        <f t="shared" si="268"/>
        <v>2.8452274754683318</v>
      </c>
      <c r="BJ71" s="69">
        <f t="shared" si="268"/>
        <v>2.8552006905481226</v>
      </c>
      <c r="BK71" s="69">
        <f t="shared" si="268"/>
        <v>3.6872895622895623</v>
      </c>
      <c r="BL71" s="69">
        <f t="shared" si="268"/>
        <v>4.5278508771929822</v>
      </c>
      <c r="BM71" s="610">
        <f t="shared" si="268"/>
        <v>3.4085720439371094</v>
      </c>
      <c r="BN71" s="69">
        <f t="shared" si="268"/>
        <v>3.2492985971943886</v>
      </c>
      <c r="BO71" s="69">
        <f t="shared" si="268"/>
        <v>3.2399170750094233</v>
      </c>
      <c r="BP71" s="69">
        <f t="shared" si="268"/>
        <v>3.8162416350153734</v>
      </c>
      <c r="BQ71" s="610">
        <f t="shared" si="268"/>
        <v>2.8958860759493672</v>
      </c>
      <c r="BR71" s="69">
        <f t="shared" ref="BR71:CJ71" si="269">BR21/BR42</f>
        <v>2.8197236180904524</v>
      </c>
      <c r="BS71" s="69">
        <f t="shared" si="269"/>
        <v>2.8864505403158769</v>
      </c>
      <c r="BT71" s="69">
        <f t="shared" si="269"/>
        <v>3.7247125479086818</v>
      </c>
      <c r="BU71" s="610">
        <f t="shared" si="269"/>
        <v>2.7035746743411089</v>
      </c>
      <c r="BV71" s="69">
        <f t="shared" si="269"/>
        <v>2.9550561797752808</v>
      </c>
      <c r="BW71" s="69">
        <f t="shared" si="269"/>
        <v>3.0933136191884345</v>
      </c>
      <c r="BX71" s="69">
        <f t="shared" si="269"/>
        <v>3.9838879159369527</v>
      </c>
      <c r="BY71" s="610">
        <f t="shared" si="269"/>
        <v>4.2736982643524701</v>
      </c>
      <c r="BZ71" s="69">
        <f t="shared" si="269"/>
        <v>4.3602941176470589</v>
      </c>
      <c r="CA71" s="69">
        <f t="shared" si="269"/>
        <v>4.5089615931721196</v>
      </c>
      <c r="CB71" s="69">
        <f t="shared" si="269"/>
        <v>5.0059880239520957</v>
      </c>
      <c r="CC71" s="610">
        <f t="shared" si="269"/>
        <v>5.4841555047370143</v>
      </c>
      <c r="CD71" s="1028">
        <f t="shared" si="269"/>
        <v>4.9146090534979425</v>
      </c>
      <c r="CE71" s="271">
        <f t="shared" si="269"/>
        <v>3.687951138256524</v>
      </c>
      <c r="CF71" s="271">
        <f t="shared" si="269"/>
        <v>4.02672367717798</v>
      </c>
      <c r="CG71" s="656">
        <f t="shared" si="269"/>
        <v>3.5155544405418966</v>
      </c>
      <c r="CH71" s="1028">
        <f t="shared" si="269"/>
        <v>3.1444394213381557</v>
      </c>
      <c r="CI71" s="271">
        <f t="shared" si="269"/>
        <v>3.1675496688741722</v>
      </c>
      <c r="CJ71" s="272">
        <f t="shared" si="269"/>
        <v>3.446752678766674</v>
      </c>
      <c r="CK71" s="656">
        <f t="shared" ref="CK71:CS71" si="270">CK21/CK42</f>
        <v>3.0512000000000001</v>
      </c>
      <c r="CL71" s="272">
        <f t="shared" si="270"/>
        <v>2.8182004930156133</v>
      </c>
      <c r="CM71" s="272">
        <f t="shared" si="270"/>
        <v>2.9350930333189096</v>
      </c>
      <c r="CN71" s="272">
        <f t="shared" si="270"/>
        <v>3.263440860215054</v>
      </c>
      <c r="CO71" s="656">
        <f>CO21/CO42</f>
        <v>3.0879396984924625</v>
      </c>
      <c r="CP71" s="272">
        <f>CP21/CP42</f>
        <v>2.9148215092634433</v>
      </c>
      <c r="CQ71" s="272">
        <f t="shared" si="270"/>
        <v>3.0687659180365827</v>
      </c>
      <c r="CR71" s="272">
        <f t="shared" si="270"/>
        <v>3.4128138934522414</v>
      </c>
      <c r="CS71" s="656">
        <f t="shared" si="270"/>
        <v>2.9424506264599701</v>
      </c>
      <c r="CT71" s="272">
        <f>CT21/CT42</f>
        <v>2.8795287841742612</v>
      </c>
      <c r="CU71" s="272">
        <f t="shared" ref="CU71" si="271">CU21/CU42</f>
        <v>3.0927076144467449</v>
      </c>
      <c r="CV71" s="272">
        <f t="shared" ref="CV71:DA71" si="272">CV21/CV42</f>
        <v>3.5609344894026975</v>
      </c>
      <c r="CW71" s="656">
        <f t="shared" si="272"/>
        <v>3.6126799557032117</v>
      </c>
      <c r="CX71" s="1720">
        <f t="shared" si="272"/>
        <v>3.9212426929736393</v>
      </c>
      <c r="CY71" s="272">
        <f t="shared" si="272"/>
        <v>4.1588439211698738</v>
      </c>
      <c r="CZ71" s="272">
        <f t="shared" si="272"/>
        <v>4.826729114182128</v>
      </c>
      <c r="DA71" s="656">
        <f t="shared" si="272"/>
        <v>3.9078681009321312</v>
      </c>
      <c r="DB71" s="672"/>
      <c r="DC71" s="610"/>
      <c r="DD71" s="69">
        <f>+DD21/DD42</f>
        <v>2.2169187421733683</v>
      </c>
      <c r="DE71" s="69">
        <f t="shared" ref="DE71:DL71" si="273">+AVERAGE(DE21,DD21)/+AVERAGE(DE42,DD42)</f>
        <v>1.7034296430455926</v>
      </c>
      <c r="DF71" s="69">
        <f t="shared" si="273"/>
        <v>2.0004846639117813</v>
      </c>
      <c r="DG71" s="69">
        <f t="shared" si="273"/>
        <v>2.363654029287825</v>
      </c>
      <c r="DH71" s="69">
        <f t="shared" si="273"/>
        <v>2.3448254417296206</v>
      </c>
      <c r="DI71" s="69">
        <f t="shared" si="273"/>
        <v>2.7855397509968265</v>
      </c>
      <c r="DJ71" s="69">
        <f t="shared" si="273"/>
        <v>2.439216271831794</v>
      </c>
      <c r="DK71" s="69">
        <f t="shared" si="273"/>
        <v>2.284412875054068</v>
      </c>
      <c r="DL71" s="69">
        <f t="shared" si="273"/>
        <v>2.8186345895606282</v>
      </c>
      <c r="DM71" s="69">
        <f t="shared" ref="DM71:EH71" si="274">DM21/DM42</f>
        <v>4.0070110230191265</v>
      </c>
      <c r="DN71" s="69">
        <f t="shared" si="274"/>
        <v>4.3808402878497921</v>
      </c>
      <c r="DO71" s="69">
        <f t="shared" si="274"/>
        <v>3.9567594081881743</v>
      </c>
      <c r="DP71" s="69">
        <f t="shared" si="274"/>
        <v>3.6868861453062856</v>
      </c>
      <c r="DQ71" s="69">
        <f t="shared" si="274"/>
        <v>2.3610682489235377</v>
      </c>
      <c r="DR71" s="69">
        <f t="shared" si="274"/>
        <v>2.7330136817565926</v>
      </c>
      <c r="DS71" s="69">
        <f t="shared" si="274"/>
        <v>2.6564215148188803</v>
      </c>
      <c r="DT71" s="69">
        <f t="shared" si="274"/>
        <v>2.9222530741769139</v>
      </c>
      <c r="DU71" s="69">
        <f t="shared" si="274"/>
        <v>2.8183150183150185</v>
      </c>
      <c r="DV71" s="69">
        <f t="shared" si="274"/>
        <v>2.5283459964932788</v>
      </c>
      <c r="DW71" s="69">
        <f t="shared" si="274"/>
        <v>2.3137783771634077</v>
      </c>
      <c r="DX71" s="69">
        <f t="shared" si="274"/>
        <v>2.2568004565341448</v>
      </c>
      <c r="DY71" s="69">
        <f t="shared" si="274"/>
        <v>2.1883567166586033</v>
      </c>
      <c r="DZ71" s="69">
        <f t="shared" si="274"/>
        <v>2.8452274754683318</v>
      </c>
      <c r="EA71" s="69">
        <f t="shared" si="274"/>
        <v>3.4085720439371094</v>
      </c>
      <c r="EB71" s="69">
        <f t="shared" si="274"/>
        <v>2.8958860759493672</v>
      </c>
      <c r="EC71" s="69">
        <f t="shared" si="274"/>
        <v>2.7035746743411089</v>
      </c>
      <c r="ED71" s="69">
        <f t="shared" si="274"/>
        <v>4.2736982643524701</v>
      </c>
      <c r="EE71" s="69">
        <f t="shared" si="274"/>
        <v>2.9973671983893451</v>
      </c>
      <c r="EF71" s="672">
        <f t="shared" si="274"/>
        <v>4.7715624138881232</v>
      </c>
      <c r="EG71" s="271">
        <f t="shared" si="274"/>
        <v>5.4841555047370143</v>
      </c>
      <c r="EH71" s="271">
        <f t="shared" si="274"/>
        <v>3.5155544405418966</v>
      </c>
      <c r="EI71" s="271">
        <f t="shared" ref="EI71:EP71" si="275">EI21/EI42</f>
        <v>3.0512000000000001</v>
      </c>
      <c r="EJ71" s="271">
        <f t="shared" si="275"/>
        <v>3.0879396984924625</v>
      </c>
      <c r="EK71" s="272">
        <f t="shared" si="275"/>
        <v>2.9424506264599701</v>
      </c>
      <c r="EL71" s="272">
        <f>EL21/EL42</f>
        <v>3.6126799557032117</v>
      </c>
      <c r="EM71" s="1720">
        <f>EM21/EM42</f>
        <v>3.9078681009321312</v>
      </c>
      <c r="EN71" s="69">
        <f t="shared" si="275"/>
        <v>4.5194805393411581</v>
      </c>
      <c r="EO71" s="69">
        <f t="shared" si="275"/>
        <v>5.2804833770610244</v>
      </c>
      <c r="EP71" s="69">
        <f t="shared" si="275"/>
        <v>5.7844338539090865</v>
      </c>
      <c r="EQ71" s="69">
        <f>EQ21/EQ42</f>
        <v>6.295738963819363</v>
      </c>
      <c r="ER71" s="69">
        <f>ER21/ER42</f>
        <v>7.0099456776563338</v>
      </c>
      <c r="ES71" s="69">
        <f>ES21/ES42</f>
        <v>8.4565657243023455</v>
      </c>
      <c r="ET71" s="69">
        <f>ET21/ET42</f>
        <v>10.479497659794061</v>
      </c>
      <c r="EU71" s="69">
        <f>EU21/EU42</f>
        <v>14.562024807314447</v>
      </c>
      <c r="EV71" s="1028"/>
      <c r="EW71"/>
      <c r="EX71"/>
      <c r="EY71"/>
      <c r="EZ71"/>
      <c r="FA71"/>
      <c r="FB71"/>
      <c r="FG71" s="272"/>
      <c r="FH71" s="272"/>
      <c r="FI71" s="272"/>
      <c r="FJ71" s="272"/>
      <c r="FK71"/>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row>
    <row r="72" spans="1:260" s="4" customFormat="1" x14ac:dyDescent="0.2">
      <c r="E72" s="470"/>
      <c r="I72" s="470"/>
      <c r="M72" s="470"/>
      <c r="Q72" s="470"/>
      <c r="U72" s="470"/>
      <c r="Y72" s="470"/>
      <c r="AC72" s="470"/>
      <c r="AG72" s="470"/>
      <c r="AK72" s="470"/>
      <c r="AO72" s="470"/>
      <c r="AS72" s="470"/>
      <c r="AW72" s="470"/>
      <c r="BA72" s="470"/>
      <c r="BE72" s="470"/>
      <c r="BI72" s="470"/>
      <c r="BM72" s="470"/>
      <c r="BQ72" s="484"/>
      <c r="BU72" s="484"/>
      <c r="BY72" s="484"/>
      <c r="CC72" s="484"/>
      <c r="CD72" s="671"/>
      <c r="CE72" s="7"/>
      <c r="CF72" s="7"/>
      <c r="CG72" s="484"/>
      <c r="CH72" s="671"/>
      <c r="CI72" s="7"/>
      <c r="CJ72" s="7"/>
      <c r="CK72" s="484"/>
      <c r="CL72" s="7"/>
      <c r="CM72" s="7"/>
      <c r="CN72" s="7"/>
      <c r="CO72" s="484"/>
      <c r="CP72" s="7"/>
      <c r="CQ72" s="7"/>
      <c r="CR72" s="7"/>
      <c r="CS72" s="484"/>
      <c r="CT72" s="7"/>
      <c r="CU72" s="7"/>
      <c r="CV72" s="7"/>
      <c r="CW72" s="484"/>
      <c r="CX72" s="1671"/>
      <c r="CY72" s="7"/>
      <c r="CZ72" s="7"/>
      <c r="DA72" s="484"/>
      <c r="DB72" s="413"/>
      <c r="DC72" s="470"/>
      <c r="EE72" s="6"/>
      <c r="EF72" s="671"/>
      <c r="EG72" s="3"/>
      <c r="EH72" s="3"/>
      <c r="EI72" s="3"/>
      <c r="EJ72" s="3"/>
      <c r="EK72" s="7"/>
      <c r="EL72" s="7"/>
      <c r="EM72" s="1671"/>
      <c r="EN72" s="6"/>
      <c r="EO72" s="6"/>
      <c r="EP72" s="6"/>
      <c r="EQ72" s="6"/>
      <c r="ER72" s="6"/>
      <c r="ES72" s="6"/>
      <c r="ET72" s="6"/>
      <c r="EU72" s="6"/>
      <c r="EV72" s="671"/>
      <c r="EW72"/>
      <c r="EX72"/>
      <c r="EY72"/>
      <c r="EZ72"/>
      <c r="FA72"/>
      <c r="FB72"/>
      <c r="FG72" s="7"/>
      <c r="FH72" s="7"/>
      <c r="FI72" s="7"/>
      <c r="FJ72" s="7"/>
      <c r="FK72"/>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row>
    <row r="73" spans="1:260" s="273" customFormat="1" x14ac:dyDescent="0.2">
      <c r="A73" s="401" t="s">
        <v>146</v>
      </c>
      <c r="E73" s="616"/>
      <c r="I73" s="616"/>
      <c r="M73" s="616"/>
      <c r="Q73" s="616"/>
      <c r="U73" s="616"/>
      <c r="Y73" s="616"/>
      <c r="AC73" s="616"/>
      <c r="AG73" s="616"/>
      <c r="AK73" s="616"/>
      <c r="AO73" s="616"/>
      <c r="AS73" s="616"/>
      <c r="AW73" s="616"/>
      <c r="BA73" s="616"/>
      <c r="BE73" s="616"/>
      <c r="BI73" s="616"/>
      <c r="BM73" s="616"/>
      <c r="BQ73" s="639"/>
      <c r="BU73" s="639"/>
      <c r="BY73" s="639"/>
      <c r="CC73" s="639"/>
      <c r="CD73" s="1031"/>
      <c r="CE73" s="274"/>
      <c r="CF73" s="274"/>
      <c r="CG73" s="639"/>
      <c r="CH73" s="1031"/>
      <c r="CI73" s="274"/>
      <c r="CJ73" s="274"/>
      <c r="CK73" s="639"/>
      <c r="CL73" s="274"/>
      <c r="CM73" s="274"/>
      <c r="CN73" s="274"/>
      <c r="CO73" s="639"/>
      <c r="CP73" s="274"/>
      <c r="CQ73" s="274"/>
      <c r="CR73" s="274"/>
      <c r="CS73" s="639"/>
      <c r="CT73" s="274"/>
      <c r="CU73" s="274"/>
      <c r="CV73" s="274"/>
      <c r="CW73" s="639"/>
      <c r="CX73" s="1726"/>
      <c r="CY73" s="274"/>
      <c r="CZ73" s="274"/>
      <c r="DA73" s="639"/>
      <c r="DB73" s="680"/>
      <c r="DC73" s="616"/>
      <c r="EE73" s="274"/>
      <c r="EF73" s="1031"/>
      <c r="EK73" s="274"/>
      <c r="EL73" s="274"/>
      <c r="EM73" s="1726"/>
      <c r="EN73" s="274"/>
      <c r="EO73" s="274"/>
      <c r="EP73" s="274"/>
      <c r="EQ73" s="274"/>
      <c r="ER73" s="274"/>
      <c r="ES73" s="274"/>
      <c r="ET73" s="274"/>
      <c r="EU73" s="274"/>
      <c r="EV73" s="1031"/>
      <c r="EW73"/>
      <c r="EX73"/>
      <c r="EY73"/>
      <c r="EZ73"/>
      <c r="FA73"/>
      <c r="FB73"/>
      <c r="FC73" s="4"/>
      <c r="FD73" s="4"/>
      <c r="FE73" s="4"/>
      <c r="FF73" s="4"/>
      <c r="FG73" s="274"/>
      <c r="FH73" s="274"/>
      <c r="FI73" s="274"/>
      <c r="FJ73" s="274"/>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row>
    <row r="74" spans="1:260" s="231" customFormat="1" x14ac:dyDescent="0.2">
      <c r="A74" s="1197" t="s">
        <v>162</v>
      </c>
      <c r="B74" s="231">
        <f t="shared" ref="B74:AG74" si="276">+B12-B30</f>
        <v>247.17499999999995</v>
      </c>
      <c r="C74" s="231">
        <f t="shared" si="276"/>
        <v>244.97299999999996</v>
      </c>
      <c r="D74" s="231">
        <f t="shared" si="276"/>
        <v>364.54999999999995</v>
      </c>
      <c r="E74" s="1193">
        <f t="shared" si="276"/>
        <v>374.27600000000012</v>
      </c>
      <c r="F74" s="231">
        <f t="shared" si="276"/>
        <v>392.49799999999999</v>
      </c>
      <c r="G74" s="231">
        <f t="shared" si="276"/>
        <v>384.52800000000013</v>
      </c>
      <c r="H74" s="231">
        <f t="shared" si="276"/>
        <v>603.88200000000006</v>
      </c>
      <c r="I74" s="1193">
        <f t="shared" si="276"/>
        <v>624.02800000000013</v>
      </c>
      <c r="J74" s="231">
        <f t="shared" si="276"/>
        <v>609.96900000000016</v>
      </c>
      <c r="K74" s="231">
        <f t="shared" si="276"/>
        <v>586.63499999999965</v>
      </c>
      <c r="L74" s="231">
        <f t="shared" si="276"/>
        <v>589.19100000000003</v>
      </c>
      <c r="M74" s="1193">
        <f t="shared" si="276"/>
        <v>585.85500000000002</v>
      </c>
      <c r="N74" s="231">
        <f t="shared" si="276"/>
        <v>588.85300000000007</v>
      </c>
      <c r="O74" s="231">
        <f t="shared" si="276"/>
        <v>589.3420000000001</v>
      </c>
      <c r="P74" s="231">
        <f t="shared" si="276"/>
        <v>572.27700000000004</v>
      </c>
      <c r="Q74" s="1193">
        <f t="shared" si="276"/>
        <v>567.45600000000002</v>
      </c>
      <c r="R74" s="231">
        <f t="shared" si="276"/>
        <v>572.07700000000011</v>
      </c>
      <c r="S74" s="231">
        <f t="shared" si="276"/>
        <v>581.07300000000021</v>
      </c>
      <c r="T74" s="231">
        <f t="shared" si="276"/>
        <v>597.29299999999967</v>
      </c>
      <c r="U74" s="1193">
        <f t="shared" si="276"/>
        <v>676.60099999999989</v>
      </c>
      <c r="V74" s="231">
        <f t="shared" si="276"/>
        <v>707.24200000000008</v>
      </c>
      <c r="W74" s="231">
        <f t="shared" si="276"/>
        <v>589.27099999999996</v>
      </c>
      <c r="X74" s="231">
        <f t="shared" si="276"/>
        <v>588.89600000000019</v>
      </c>
      <c r="Y74" s="1193">
        <f t="shared" si="276"/>
        <v>676.18399999999997</v>
      </c>
      <c r="Z74" s="231">
        <f t="shared" si="276"/>
        <v>690.50199999999995</v>
      </c>
      <c r="AA74" s="231">
        <f t="shared" si="276"/>
        <v>680.93200000000002</v>
      </c>
      <c r="AB74" s="231">
        <f t="shared" si="276"/>
        <v>591.72600000000102</v>
      </c>
      <c r="AC74" s="1193">
        <f t="shared" si="276"/>
        <v>453.41100000000006</v>
      </c>
      <c r="AD74" s="231">
        <f t="shared" si="276"/>
        <v>804</v>
      </c>
      <c r="AE74" s="231">
        <f t="shared" si="276"/>
        <v>759</v>
      </c>
      <c r="AF74" s="231">
        <f t="shared" si="276"/>
        <v>638</v>
      </c>
      <c r="AG74" s="1193">
        <f t="shared" si="276"/>
        <v>214</v>
      </c>
      <c r="AH74" s="231">
        <f t="shared" ref="AH74:BM74" si="277">+AH12-AH30</f>
        <v>316</v>
      </c>
      <c r="AI74" s="231">
        <f t="shared" si="277"/>
        <v>656</v>
      </c>
      <c r="AJ74" s="231">
        <f t="shared" si="277"/>
        <v>247</v>
      </c>
      <c r="AK74" s="1193">
        <f t="shared" si="277"/>
        <v>895</v>
      </c>
      <c r="AL74" s="231">
        <f t="shared" si="277"/>
        <v>935</v>
      </c>
      <c r="AM74" s="231">
        <f t="shared" si="277"/>
        <v>781</v>
      </c>
      <c r="AN74" s="231">
        <f t="shared" si="277"/>
        <v>686</v>
      </c>
      <c r="AO74" s="1193">
        <f t="shared" si="277"/>
        <v>1074</v>
      </c>
      <c r="AP74" s="231">
        <f t="shared" si="277"/>
        <v>1087</v>
      </c>
      <c r="AQ74" s="231">
        <f t="shared" si="277"/>
        <v>1207</v>
      </c>
      <c r="AR74" s="231">
        <f t="shared" si="277"/>
        <v>1283</v>
      </c>
      <c r="AS74" s="1193">
        <f t="shared" si="277"/>
        <v>1223</v>
      </c>
      <c r="AT74" s="231">
        <f t="shared" si="277"/>
        <v>1264</v>
      </c>
      <c r="AU74" s="231">
        <f t="shared" si="277"/>
        <v>1288</v>
      </c>
      <c r="AV74" s="231">
        <f t="shared" si="277"/>
        <v>1440</v>
      </c>
      <c r="AW74" s="1193">
        <f t="shared" si="277"/>
        <v>1944</v>
      </c>
      <c r="AX74" s="231">
        <f t="shared" si="277"/>
        <v>2040</v>
      </c>
      <c r="AY74" s="231">
        <f t="shared" si="277"/>
        <v>2326</v>
      </c>
      <c r="AZ74" s="231">
        <f t="shared" si="277"/>
        <v>2239</v>
      </c>
      <c r="BA74" s="1193">
        <f t="shared" si="277"/>
        <v>1929</v>
      </c>
      <c r="BB74" s="231">
        <f t="shared" si="277"/>
        <v>1581</v>
      </c>
      <c r="BC74" s="231">
        <f t="shared" si="277"/>
        <v>1521</v>
      </c>
      <c r="BD74" s="231">
        <f t="shared" si="277"/>
        <v>1516</v>
      </c>
      <c r="BE74" s="1193">
        <f t="shared" si="277"/>
        <v>2780</v>
      </c>
      <c r="BF74" s="231">
        <f t="shared" si="277"/>
        <v>2620</v>
      </c>
      <c r="BG74" s="231">
        <f t="shared" si="277"/>
        <v>-19</v>
      </c>
      <c r="BH74" s="231">
        <f t="shared" si="277"/>
        <v>241</v>
      </c>
      <c r="BI74" s="1193">
        <f t="shared" si="277"/>
        <v>573</v>
      </c>
      <c r="BJ74" s="231">
        <f t="shared" si="277"/>
        <v>706</v>
      </c>
      <c r="BK74" s="231">
        <f t="shared" si="277"/>
        <v>-652</v>
      </c>
      <c r="BL74" s="231">
        <f t="shared" si="277"/>
        <v>-877</v>
      </c>
      <c r="BM74" s="1193">
        <f t="shared" si="277"/>
        <v>-243</v>
      </c>
      <c r="BN74" s="231">
        <f t="shared" ref="BN74:CJ74" si="278">+BN12-BN30</f>
        <v>54</v>
      </c>
      <c r="BO74" s="231">
        <f t="shared" si="278"/>
        <v>340</v>
      </c>
      <c r="BP74" s="231">
        <f t="shared" si="278"/>
        <v>589</v>
      </c>
      <c r="BQ74" s="1193">
        <f t="shared" si="278"/>
        <v>1588</v>
      </c>
      <c r="BR74" s="231">
        <f t="shared" si="278"/>
        <v>1785</v>
      </c>
      <c r="BS74" s="231">
        <f t="shared" si="278"/>
        <v>1488</v>
      </c>
      <c r="BT74" s="231">
        <f t="shared" si="278"/>
        <v>1409</v>
      </c>
      <c r="BU74" s="1193">
        <f t="shared" si="278"/>
        <v>1810</v>
      </c>
      <c r="BV74" s="231">
        <f t="shared" si="278"/>
        <v>2557</v>
      </c>
      <c r="BW74" s="231">
        <f t="shared" si="278"/>
        <v>2354</v>
      </c>
      <c r="BX74" s="231">
        <f t="shared" si="278"/>
        <v>2343</v>
      </c>
      <c r="BY74" s="1193">
        <f t="shared" si="278"/>
        <v>1442</v>
      </c>
      <c r="BZ74" s="231">
        <f t="shared" si="278"/>
        <v>1315</v>
      </c>
      <c r="CA74" s="231">
        <f t="shared" si="278"/>
        <v>736</v>
      </c>
      <c r="CB74" s="231">
        <f t="shared" si="278"/>
        <v>698</v>
      </c>
      <c r="CC74" s="1193">
        <f t="shared" si="278"/>
        <v>1237</v>
      </c>
      <c r="CD74" s="1194">
        <f t="shared" si="278"/>
        <v>1445</v>
      </c>
      <c r="CE74" s="880">
        <f t="shared" si="278"/>
        <v>2386</v>
      </c>
      <c r="CF74" s="880">
        <f t="shared" si="278"/>
        <v>2569</v>
      </c>
      <c r="CG74" s="875">
        <f t="shared" si="278"/>
        <v>3049</v>
      </c>
      <c r="CH74" s="1194">
        <f t="shared" si="278"/>
        <v>3238</v>
      </c>
      <c r="CI74" s="880">
        <f t="shared" si="278"/>
        <v>3360</v>
      </c>
      <c r="CJ74" s="880">
        <f t="shared" si="278"/>
        <v>3437</v>
      </c>
      <c r="CK74" s="875">
        <f t="shared" ref="CK74:CS74" si="279">+CK12-CK30</f>
        <v>3952</v>
      </c>
      <c r="CL74" s="880">
        <f t="shared" si="279"/>
        <v>3675</v>
      </c>
      <c r="CM74" s="880">
        <f t="shared" si="279"/>
        <v>3407</v>
      </c>
      <c r="CN74" s="880">
        <f t="shared" si="279"/>
        <v>3340</v>
      </c>
      <c r="CO74" s="875">
        <f>+CO12-CO30</f>
        <v>2961</v>
      </c>
      <c r="CP74" s="880">
        <f>+CP12-CP30</f>
        <v>2948</v>
      </c>
      <c r="CQ74" s="880">
        <f t="shared" si="279"/>
        <v>2894</v>
      </c>
      <c r="CR74" s="880">
        <f t="shared" si="279"/>
        <v>2855</v>
      </c>
      <c r="CS74" s="875">
        <f t="shared" si="279"/>
        <v>3394</v>
      </c>
      <c r="CT74" s="880">
        <f>+CT12-CT30</f>
        <v>3186</v>
      </c>
      <c r="CU74" s="880">
        <f t="shared" ref="CU74" si="280">+CU12-CU30</f>
        <v>2973</v>
      </c>
      <c r="CV74" s="880">
        <f t="shared" ref="CV74:DA74" si="281">+CV12-CV30</f>
        <v>2253</v>
      </c>
      <c r="CW74" s="875">
        <f t="shared" si="281"/>
        <v>2012</v>
      </c>
      <c r="CX74" s="1675">
        <f t="shared" si="281"/>
        <v>1903.8929893499617</v>
      </c>
      <c r="CY74" s="880">
        <f t="shared" si="281"/>
        <v>1682.7221664740373</v>
      </c>
      <c r="CZ74" s="880">
        <f t="shared" si="281"/>
        <v>1563.6304220679158</v>
      </c>
      <c r="DA74" s="875">
        <f t="shared" si="281"/>
        <v>1867.2995004747027</v>
      </c>
      <c r="DB74" s="1195"/>
      <c r="DC74" s="1193"/>
      <c r="DD74" s="231">
        <f t="shared" ref="DD74:DK74" si="282">+DD12-DD30</f>
        <v>12.654989999999998</v>
      </c>
      <c r="DE74" s="231">
        <f t="shared" si="282"/>
        <v>48.75</v>
      </c>
      <c r="DF74" s="231">
        <f t="shared" si="282"/>
        <v>72.09599</v>
      </c>
      <c r="DG74" s="231">
        <f t="shared" si="282"/>
        <v>74.046999999999997</v>
      </c>
      <c r="DH74" s="231">
        <f t="shared" si="282"/>
        <v>78.397990000000021</v>
      </c>
      <c r="DI74" s="231">
        <f t="shared" si="282"/>
        <v>66.801000000000002</v>
      </c>
      <c r="DJ74" s="231">
        <f t="shared" si="282"/>
        <v>128.31300000000002</v>
      </c>
      <c r="DK74" s="231">
        <f t="shared" si="282"/>
        <v>125.46600000000004</v>
      </c>
      <c r="DL74" s="231">
        <f t="shared" ref="DL74:EH74" si="283">+DL12-DL30</f>
        <v>374.27600000000012</v>
      </c>
      <c r="DM74" s="231">
        <f t="shared" si="283"/>
        <v>624.02800000000013</v>
      </c>
      <c r="DN74" s="231">
        <f t="shared" si="283"/>
        <v>585.85500000000002</v>
      </c>
      <c r="DO74" s="231">
        <f t="shared" si="283"/>
        <v>567.45600000000002</v>
      </c>
      <c r="DP74" s="231">
        <f t="shared" si="283"/>
        <v>676.60099999999989</v>
      </c>
      <c r="DQ74" s="231">
        <f t="shared" si="283"/>
        <v>676.18399999999997</v>
      </c>
      <c r="DR74" s="231">
        <f t="shared" si="283"/>
        <v>453.41100000000006</v>
      </c>
      <c r="DS74" s="231">
        <f t="shared" si="283"/>
        <v>214</v>
      </c>
      <c r="DT74" s="231">
        <f t="shared" si="283"/>
        <v>895</v>
      </c>
      <c r="DU74" s="231">
        <f t="shared" si="283"/>
        <v>1074</v>
      </c>
      <c r="DV74" s="231">
        <f t="shared" si="283"/>
        <v>1223</v>
      </c>
      <c r="DW74" s="231">
        <f t="shared" si="283"/>
        <v>1944</v>
      </c>
      <c r="DX74" s="231">
        <f t="shared" si="283"/>
        <v>1929</v>
      </c>
      <c r="DY74" s="231">
        <f t="shared" si="283"/>
        <v>2780</v>
      </c>
      <c r="DZ74" s="231">
        <f t="shared" si="283"/>
        <v>573</v>
      </c>
      <c r="EA74" s="231">
        <f t="shared" si="283"/>
        <v>-243</v>
      </c>
      <c r="EB74" s="231">
        <f t="shared" si="283"/>
        <v>1588</v>
      </c>
      <c r="EC74" s="231">
        <f t="shared" si="283"/>
        <v>1810</v>
      </c>
      <c r="ED74" s="231">
        <f t="shared" si="283"/>
        <v>1442</v>
      </c>
      <c r="EE74" s="231">
        <f t="shared" si="283"/>
        <v>1689</v>
      </c>
      <c r="EF74" s="1195">
        <f t="shared" si="283"/>
        <v>1234</v>
      </c>
      <c r="EG74" s="1196">
        <f t="shared" si="283"/>
        <v>1237</v>
      </c>
      <c r="EH74" s="1196">
        <f t="shared" si="283"/>
        <v>3049</v>
      </c>
      <c r="EI74" s="1196">
        <f>+EI12-EI30</f>
        <v>3952</v>
      </c>
      <c r="EJ74" s="1196">
        <f t="shared" ref="EJ74:EP74" si="284">+EJ12-EJ30</f>
        <v>2961</v>
      </c>
      <c r="EK74" s="880">
        <f t="shared" si="284"/>
        <v>3394</v>
      </c>
      <c r="EL74" s="880">
        <f>+EL12-EL30</f>
        <v>2012</v>
      </c>
      <c r="EM74" s="1675">
        <f>+EM12-EM30</f>
        <v>1867.2995004747027</v>
      </c>
      <c r="EN74" s="231">
        <f t="shared" si="284"/>
        <v>1790.4273631184278</v>
      </c>
      <c r="EO74" s="231">
        <f t="shared" si="284"/>
        <v>1624.1262672054609</v>
      </c>
      <c r="EP74" s="231">
        <f t="shared" si="284"/>
        <v>1855.8712432707271</v>
      </c>
      <c r="EQ74" s="231">
        <f>+EQ12-EQ30</f>
        <v>1782.9544118348394</v>
      </c>
      <c r="ER74" s="231">
        <f>+ER12-ER30</f>
        <v>1668.8182658521737</v>
      </c>
      <c r="ES74" s="231">
        <f>+ES12-ES30</f>
        <v>2011.1016306597812</v>
      </c>
      <c r="ET74" s="231">
        <f>+ET12-ET30</f>
        <v>1804.9638526951167</v>
      </c>
      <c r="EU74" s="231">
        <f>+EU12-EU30</f>
        <v>1556.2598536198875</v>
      </c>
      <c r="EV74" s="1194"/>
      <c r="EW74"/>
      <c r="EX74"/>
      <c r="EY74"/>
      <c r="EZ74"/>
      <c r="FA74"/>
      <c r="FB74"/>
      <c r="FG74" s="880"/>
      <c r="FH74" s="880"/>
      <c r="FI74" s="880"/>
      <c r="FJ74" s="880"/>
      <c r="FK74"/>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row>
    <row r="75" spans="1:260" s="231" customFormat="1" x14ac:dyDescent="0.2">
      <c r="A75" s="1197" t="s">
        <v>83</v>
      </c>
      <c r="B75" s="231">
        <f t="shared" ref="B75:AG75" si="285">B9+B10+B11+B16+B20-(B24+B25+B26+B27)</f>
        <v>265.83800000000002</v>
      </c>
      <c r="C75" s="231">
        <f t="shared" si="285"/>
        <v>335.28700000000015</v>
      </c>
      <c r="D75" s="231">
        <f t="shared" si="285"/>
        <v>485.05799999999988</v>
      </c>
      <c r="E75" s="1193">
        <f t="shared" si="285"/>
        <v>530.33300000000008</v>
      </c>
      <c r="F75" s="231">
        <f t="shared" si="285"/>
        <v>578.39</v>
      </c>
      <c r="G75" s="231">
        <f t="shared" si="285"/>
        <v>556.62000000000012</v>
      </c>
      <c r="H75" s="231">
        <f t="shared" si="285"/>
        <v>867.4670000000001</v>
      </c>
      <c r="I75" s="1193">
        <f t="shared" si="285"/>
        <v>784.44600000000014</v>
      </c>
      <c r="J75" s="231">
        <f t="shared" si="285"/>
        <v>877.5200000000001</v>
      </c>
      <c r="K75" s="231">
        <f t="shared" si="285"/>
        <v>894.73999999999967</v>
      </c>
      <c r="L75" s="231">
        <f t="shared" si="285"/>
        <v>863.50700000000006</v>
      </c>
      <c r="M75" s="1193">
        <f t="shared" si="285"/>
        <v>884.11200000000008</v>
      </c>
      <c r="N75" s="231">
        <f t="shared" si="285"/>
        <v>946.31999999999994</v>
      </c>
      <c r="O75" s="231">
        <f t="shared" si="285"/>
        <v>932.6400000000001</v>
      </c>
      <c r="P75" s="231">
        <f t="shared" si="285"/>
        <v>905.72000000000025</v>
      </c>
      <c r="Q75" s="1193">
        <f t="shared" si="285"/>
        <v>872.9129999999999</v>
      </c>
      <c r="R75" s="231">
        <f t="shared" si="285"/>
        <v>861.91100000000017</v>
      </c>
      <c r="S75" s="231">
        <f t="shared" si="285"/>
        <v>858.1690000000001</v>
      </c>
      <c r="T75" s="231">
        <f t="shared" si="285"/>
        <v>856.71100000000001</v>
      </c>
      <c r="U75" s="1193">
        <f t="shared" si="285"/>
        <v>536.44299999999998</v>
      </c>
      <c r="V75" s="231">
        <f t="shared" si="285"/>
        <v>661.92000000000007</v>
      </c>
      <c r="W75" s="231">
        <f t="shared" si="285"/>
        <v>617.80999999999972</v>
      </c>
      <c r="X75" s="231">
        <f t="shared" si="285"/>
        <v>607.19600000000037</v>
      </c>
      <c r="Y75" s="1193">
        <f t="shared" si="285"/>
        <v>369.89700000000016</v>
      </c>
      <c r="Z75" s="231">
        <f t="shared" si="285"/>
        <v>685.86299999999983</v>
      </c>
      <c r="AA75" s="231">
        <f t="shared" si="285"/>
        <v>770.53700000000003</v>
      </c>
      <c r="AB75" s="231">
        <f t="shared" si="285"/>
        <v>749.24900000000025</v>
      </c>
      <c r="AC75" s="1193">
        <f t="shared" si="285"/>
        <v>540.72599999999966</v>
      </c>
      <c r="AD75" s="231">
        <f t="shared" si="285"/>
        <v>862</v>
      </c>
      <c r="AE75" s="231">
        <f t="shared" si="285"/>
        <v>889</v>
      </c>
      <c r="AF75" s="231">
        <f t="shared" si="285"/>
        <v>1058</v>
      </c>
      <c r="AG75" s="1193">
        <f t="shared" si="285"/>
        <v>1235</v>
      </c>
      <c r="AH75" s="231">
        <f t="shared" ref="AH75:BM75" si="286">AH9+AH10+AH11+AH16+AH20-(AH24+AH25+AH26+AH27)</f>
        <v>1464</v>
      </c>
      <c r="AI75" s="231">
        <f t="shared" si="286"/>
        <v>1369</v>
      </c>
      <c r="AJ75" s="231">
        <f t="shared" si="286"/>
        <v>1330</v>
      </c>
      <c r="AK75" s="1193">
        <f t="shared" si="286"/>
        <v>1754</v>
      </c>
      <c r="AL75" s="231">
        <f t="shared" si="286"/>
        <v>1845</v>
      </c>
      <c r="AM75" s="231">
        <f t="shared" si="286"/>
        <v>1943</v>
      </c>
      <c r="AN75" s="231">
        <f t="shared" si="286"/>
        <v>1920</v>
      </c>
      <c r="AO75" s="1193">
        <f t="shared" si="286"/>
        <v>1495</v>
      </c>
      <c r="AP75" s="231">
        <f t="shared" si="286"/>
        <v>1948</v>
      </c>
      <c r="AQ75" s="231">
        <f t="shared" si="286"/>
        <v>1872</v>
      </c>
      <c r="AR75" s="231">
        <f t="shared" si="286"/>
        <v>1882</v>
      </c>
      <c r="AS75" s="1193">
        <f t="shared" si="286"/>
        <v>1785</v>
      </c>
      <c r="AT75" s="231">
        <f t="shared" si="286"/>
        <v>2007</v>
      </c>
      <c r="AU75" s="231">
        <f t="shared" si="286"/>
        <v>1855</v>
      </c>
      <c r="AV75" s="231">
        <f t="shared" si="286"/>
        <v>1643</v>
      </c>
      <c r="AW75" s="1193">
        <f t="shared" si="286"/>
        <v>2081</v>
      </c>
      <c r="AX75" s="231">
        <f t="shared" si="286"/>
        <v>2195</v>
      </c>
      <c r="AY75" s="231">
        <f t="shared" si="286"/>
        <v>2613</v>
      </c>
      <c r="AZ75" s="231">
        <f t="shared" si="286"/>
        <v>2115</v>
      </c>
      <c r="BA75" s="1193">
        <f t="shared" si="286"/>
        <v>1836</v>
      </c>
      <c r="BB75" s="231">
        <f t="shared" si="286"/>
        <v>3046</v>
      </c>
      <c r="BC75" s="231">
        <f t="shared" si="286"/>
        <v>2776</v>
      </c>
      <c r="BD75" s="231">
        <f t="shared" si="286"/>
        <v>2902</v>
      </c>
      <c r="BE75" s="1193">
        <f t="shared" si="286"/>
        <v>2536</v>
      </c>
      <c r="BF75" s="231">
        <f t="shared" si="286"/>
        <v>3579</v>
      </c>
      <c r="BG75" s="231">
        <f t="shared" si="286"/>
        <v>3490</v>
      </c>
      <c r="BH75" s="231">
        <f t="shared" si="286"/>
        <v>2934</v>
      </c>
      <c r="BI75" s="1193">
        <f t="shared" si="286"/>
        <v>2881</v>
      </c>
      <c r="BJ75" s="231">
        <f t="shared" si="286"/>
        <v>3458</v>
      </c>
      <c r="BK75" s="231">
        <f t="shared" si="286"/>
        <v>5327</v>
      </c>
      <c r="BL75" s="231">
        <f t="shared" si="286"/>
        <v>6028</v>
      </c>
      <c r="BM75" s="1193">
        <f t="shared" si="286"/>
        <v>4626</v>
      </c>
      <c r="BN75" s="231">
        <f t="shared" ref="BN75:CJ75" si="287">BN9+BN10+BN11+BN16+BN20-(BN24+BN25+BN26+BN27)</f>
        <v>5197</v>
      </c>
      <c r="BO75" s="231">
        <f t="shared" si="287"/>
        <v>5340</v>
      </c>
      <c r="BP75" s="231">
        <f t="shared" si="287"/>
        <v>5334</v>
      </c>
      <c r="BQ75" s="1193">
        <f t="shared" si="287"/>
        <v>4892</v>
      </c>
      <c r="BR75" s="231">
        <f t="shared" si="287"/>
        <v>5031</v>
      </c>
      <c r="BS75" s="231">
        <f t="shared" si="287"/>
        <v>5429</v>
      </c>
      <c r="BT75" s="231">
        <f t="shared" si="287"/>
        <v>5579</v>
      </c>
      <c r="BU75" s="1193">
        <f t="shared" si="287"/>
        <v>5941</v>
      </c>
      <c r="BV75" s="231">
        <f t="shared" si="287"/>
        <v>5055</v>
      </c>
      <c r="BW75" s="231">
        <f t="shared" si="287"/>
        <v>5315</v>
      </c>
      <c r="BX75" s="231">
        <f t="shared" si="287"/>
        <v>4520</v>
      </c>
      <c r="BY75" s="1193">
        <f t="shared" si="287"/>
        <v>4640</v>
      </c>
      <c r="BZ75" s="231">
        <f t="shared" si="287"/>
        <v>4156</v>
      </c>
      <c r="CA75" s="231">
        <f t="shared" si="287"/>
        <v>4998</v>
      </c>
      <c r="CB75" s="231">
        <f t="shared" si="287"/>
        <v>5174</v>
      </c>
      <c r="CC75" s="1193">
        <f t="shared" si="287"/>
        <v>4346</v>
      </c>
      <c r="CD75" s="1194">
        <f t="shared" si="287"/>
        <v>4637</v>
      </c>
      <c r="CE75" s="880">
        <f t="shared" si="287"/>
        <v>3626</v>
      </c>
      <c r="CF75" s="880">
        <f t="shared" si="287"/>
        <v>3534</v>
      </c>
      <c r="CG75" s="875">
        <f t="shared" si="287"/>
        <v>3195</v>
      </c>
      <c r="CH75" s="1194">
        <f t="shared" si="287"/>
        <v>3484</v>
      </c>
      <c r="CI75" s="880">
        <f t="shared" si="287"/>
        <v>3536</v>
      </c>
      <c r="CJ75" s="880">
        <f t="shared" si="287"/>
        <v>3518</v>
      </c>
      <c r="CK75" s="875">
        <f t="shared" ref="CK75:CS75" si="288">CK9+CK10+CK11+CK16+CK20-(CK24+CK25+CK26+CK27)</f>
        <v>3150</v>
      </c>
      <c r="CL75" s="880">
        <f t="shared" si="288"/>
        <v>2596</v>
      </c>
      <c r="CM75" s="880">
        <f t="shared" si="288"/>
        <v>2562</v>
      </c>
      <c r="CN75" s="880">
        <f t="shared" si="288"/>
        <v>2737</v>
      </c>
      <c r="CO75" s="875">
        <f>CO9+CO10+CO11+CO16+CO20-(CO24+CO25+CO26+CO27)</f>
        <v>2452</v>
      </c>
      <c r="CP75" s="880">
        <f>CP9+CP10+CP11+CP16+CP20-(CP24+CP25+CP26+CP27)</f>
        <v>2290</v>
      </c>
      <c r="CQ75" s="880">
        <f t="shared" si="288"/>
        <v>1790</v>
      </c>
      <c r="CR75" s="880">
        <f t="shared" si="288"/>
        <v>2078</v>
      </c>
      <c r="CS75" s="875">
        <f t="shared" si="288"/>
        <v>1810</v>
      </c>
      <c r="CT75" s="880">
        <f>CT9+CT10+CT11+CT16+CT20-(CT24+CT25+CT26+CT27)</f>
        <v>1919</v>
      </c>
      <c r="CU75" s="880">
        <f t="shared" ref="CU75" si="289">CU9+CU10+CU11+CU16+CU20-(CU24+CU25+CU26+CU27)</f>
        <v>1854</v>
      </c>
      <c r="CV75" s="880">
        <f t="shared" ref="CV75:DA75" si="290">CV9+CV10+CV11+CV16+CV20-(CV24+CV25+CV26+CV27)</f>
        <v>1810</v>
      </c>
      <c r="CW75" s="875">
        <f t="shared" si="290"/>
        <v>1844</v>
      </c>
      <c r="CX75" s="1675">
        <f t="shared" si="290"/>
        <v>2004.1041927768101</v>
      </c>
      <c r="CY75" s="880">
        <f t="shared" si="290"/>
        <v>2063.790533133124</v>
      </c>
      <c r="CZ75" s="880">
        <f t="shared" si="290"/>
        <v>1966.6757513507109</v>
      </c>
      <c r="DA75" s="875">
        <f t="shared" si="290"/>
        <v>1938.5508826146124</v>
      </c>
      <c r="DB75" s="1195"/>
      <c r="DC75" s="1193"/>
      <c r="DD75" s="231">
        <f t="shared" ref="DD75:EP75" si="291">DD9+DD10+DD11+DD16+DD20-(DD24+DD25+DD26+DD27)</f>
        <v>22.984989999999996</v>
      </c>
      <c r="DE75" s="231">
        <f t="shared" si="291"/>
        <v>72.740199999999987</v>
      </c>
      <c r="DF75" s="231">
        <f t="shared" si="291"/>
        <v>115.16699</v>
      </c>
      <c r="DG75" s="231">
        <f t="shared" si="291"/>
        <v>116.19799999999998</v>
      </c>
      <c r="DH75" s="231">
        <f t="shared" si="291"/>
        <v>100.02399</v>
      </c>
      <c r="DI75" s="231">
        <f t="shared" si="291"/>
        <v>100.351</v>
      </c>
      <c r="DJ75" s="231">
        <f t="shared" si="291"/>
        <v>132.07099999999997</v>
      </c>
      <c r="DK75" s="231">
        <f t="shared" si="291"/>
        <v>274.524</v>
      </c>
      <c r="DL75" s="231">
        <f t="shared" si="291"/>
        <v>530.33300000000008</v>
      </c>
      <c r="DM75" s="231">
        <f t="shared" si="291"/>
        <v>784.44600000000014</v>
      </c>
      <c r="DN75" s="231">
        <f t="shared" si="291"/>
        <v>884.11200000000008</v>
      </c>
      <c r="DO75" s="231">
        <f t="shared" si="291"/>
        <v>872.9129999999999</v>
      </c>
      <c r="DP75" s="231">
        <f t="shared" si="291"/>
        <v>536.44299999999998</v>
      </c>
      <c r="DQ75" s="231">
        <f t="shared" si="291"/>
        <v>369.89700000000016</v>
      </c>
      <c r="DR75" s="231">
        <f t="shared" si="291"/>
        <v>540.72599999999966</v>
      </c>
      <c r="DS75" s="231">
        <f t="shared" si="291"/>
        <v>1235</v>
      </c>
      <c r="DT75" s="231">
        <f t="shared" si="291"/>
        <v>1754</v>
      </c>
      <c r="DU75" s="231">
        <f t="shared" si="291"/>
        <v>1495</v>
      </c>
      <c r="DV75" s="231">
        <f t="shared" si="291"/>
        <v>1785</v>
      </c>
      <c r="DW75" s="231">
        <f t="shared" si="291"/>
        <v>2081</v>
      </c>
      <c r="DX75" s="231">
        <f t="shared" si="291"/>
        <v>1836</v>
      </c>
      <c r="DY75" s="231">
        <f t="shared" si="291"/>
        <v>2536</v>
      </c>
      <c r="DZ75" s="231">
        <f t="shared" si="291"/>
        <v>2881</v>
      </c>
      <c r="EA75" s="231">
        <f t="shared" si="291"/>
        <v>4626</v>
      </c>
      <c r="EB75" s="231">
        <f t="shared" si="291"/>
        <v>4892</v>
      </c>
      <c r="EC75" s="231">
        <f t="shared" si="291"/>
        <v>5941</v>
      </c>
      <c r="ED75" s="231">
        <f t="shared" si="291"/>
        <v>4640</v>
      </c>
      <c r="EE75" s="231">
        <f t="shared" si="291"/>
        <v>5520</v>
      </c>
      <c r="EF75" s="1195">
        <f t="shared" si="291"/>
        <v>4297</v>
      </c>
      <c r="EG75" s="1196">
        <f t="shared" si="291"/>
        <v>4346</v>
      </c>
      <c r="EH75" s="1196">
        <f t="shared" si="291"/>
        <v>3195</v>
      </c>
      <c r="EI75" s="1196">
        <f t="shared" si="291"/>
        <v>3150</v>
      </c>
      <c r="EJ75" s="1196">
        <f t="shared" si="291"/>
        <v>2452</v>
      </c>
      <c r="EK75" s="880">
        <f t="shared" si="291"/>
        <v>1810</v>
      </c>
      <c r="EL75" s="880">
        <f>EL9+EL10+EL11+EL16+EL20-(EL24+EL25+EL26+EL27)</f>
        <v>1844</v>
      </c>
      <c r="EM75" s="1675">
        <f>EM9+EM10+EM11+EM16+EM20-(EM24+EM25+EM26+EM27)</f>
        <v>1938.5508826146124</v>
      </c>
      <c r="EN75" s="231">
        <f t="shared" si="291"/>
        <v>1913.4340289073716</v>
      </c>
      <c r="EO75" s="231">
        <f t="shared" si="291"/>
        <v>1906.9647628762787</v>
      </c>
      <c r="EP75" s="231">
        <f t="shared" si="291"/>
        <v>1859.9719376954727</v>
      </c>
      <c r="EQ75" s="231">
        <f>EQ9+EQ10+EQ11+EQ16+EQ20-(EQ24+EQ25+EQ26+EQ27)</f>
        <v>1732.4729636954935</v>
      </c>
      <c r="ER75" s="231">
        <f>ER9+ER10+ER11+ER16+ER20-(ER24+ER25+ER26+ER27)</f>
        <v>1618.4301128310535</v>
      </c>
      <c r="ES75" s="231">
        <f>ES9+ES10+ES11+ES16+ES20-(ES24+ES25+ES26+ES27)</f>
        <v>1504.5848976626585</v>
      </c>
      <c r="ET75" s="231">
        <f>ET9+ET10+ET11+ET16+ET20-(ET24+ET25+ET26+ET27)</f>
        <v>1390.9036717612889</v>
      </c>
      <c r="EU75" s="231">
        <f>EU9+EU10+EU11+EU16+EU20-(EU24+EU25+EU26+EU27)</f>
        <v>1277.3489748729426</v>
      </c>
      <c r="EV75" s="1194"/>
      <c r="EW75"/>
      <c r="EX75"/>
      <c r="EY75"/>
      <c r="EZ75"/>
      <c r="FA75"/>
      <c r="FB75"/>
      <c r="FG75" s="880"/>
      <c r="FH75" s="880"/>
      <c r="FI75" s="880"/>
      <c r="FJ75" s="880"/>
      <c r="FK75"/>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row>
    <row r="76" spans="1:260" s="4" customFormat="1" x14ac:dyDescent="0.2">
      <c r="A76" s="40" t="s">
        <v>148</v>
      </c>
      <c r="B76" s="18">
        <f t="shared" ref="B76:AG76" si="292">+B12/B30</f>
        <v>2.0857533175490768</v>
      </c>
      <c r="C76" s="18">
        <f t="shared" si="292"/>
        <v>1.7738889520704599</v>
      </c>
      <c r="D76" s="18">
        <f t="shared" si="292"/>
        <v>1.5736473142983027</v>
      </c>
      <c r="E76" s="617">
        <f t="shared" si="292"/>
        <v>1.9588608729959474</v>
      </c>
      <c r="F76" s="18">
        <f t="shared" si="292"/>
        <v>1.8819664469042259</v>
      </c>
      <c r="G76" s="18">
        <f t="shared" si="292"/>
        <v>1.5518674581214051</v>
      </c>
      <c r="H76" s="18">
        <f t="shared" si="292"/>
        <v>1.5226818123984618</v>
      </c>
      <c r="I76" s="617">
        <f t="shared" si="292"/>
        <v>2.0119826997643684</v>
      </c>
      <c r="J76" s="18">
        <f t="shared" si="292"/>
        <v>1.9113863338891581</v>
      </c>
      <c r="K76" s="18">
        <f t="shared" si="292"/>
        <v>1.5780691710237693</v>
      </c>
      <c r="L76" s="18">
        <f t="shared" si="292"/>
        <v>1.3196884888682465</v>
      </c>
      <c r="M76" s="617">
        <f t="shared" si="292"/>
        <v>1.6010692652418004</v>
      </c>
      <c r="N76" s="18">
        <f t="shared" si="292"/>
        <v>1.5531857928220083</v>
      </c>
      <c r="O76" s="18">
        <f t="shared" si="292"/>
        <v>1.514874199852704</v>
      </c>
      <c r="P76" s="18">
        <f t="shared" si="292"/>
        <v>1.3425850375972708</v>
      </c>
      <c r="Q76" s="617">
        <f t="shared" si="292"/>
        <v>1.6940687077334424</v>
      </c>
      <c r="R76" s="18">
        <f t="shared" si="292"/>
        <v>1.7063132448009009</v>
      </c>
      <c r="S76" s="18">
        <f t="shared" si="292"/>
        <v>1.6456051037504835</v>
      </c>
      <c r="T76" s="18">
        <f t="shared" si="292"/>
        <v>1.4116845906299127</v>
      </c>
      <c r="U76" s="617">
        <f t="shared" si="292"/>
        <v>1.6545581013779944</v>
      </c>
      <c r="V76" s="18">
        <f t="shared" si="292"/>
        <v>1.7666854207250775</v>
      </c>
      <c r="W76" s="18">
        <f t="shared" si="292"/>
        <v>1.4598043492000821</v>
      </c>
      <c r="X76" s="18">
        <f t="shared" si="292"/>
        <v>1.3114072381919328</v>
      </c>
      <c r="Y76" s="617">
        <f t="shared" si="292"/>
        <v>1.4875481917677249</v>
      </c>
      <c r="Z76" s="18">
        <f t="shared" si="292"/>
        <v>1.5817364762457591</v>
      </c>
      <c r="AA76" s="18">
        <f t="shared" si="292"/>
        <v>1.495467222770775</v>
      </c>
      <c r="AB76" s="18">
        <f t="shared" si="292"/>
        <v>1.2350868257442338</v>
      </c>
      <c r="AC76" s="617">
        <f t="shared" si="292"/>
        <v>1.254004792025317</v>
      </c>
      <c r="AD76" s="18">
        <f t="shared" si="292"/>
        <v>1.4872727272727273</v>
      </c>
      <c r="AE76" s="18">
        <f t="shared" si="292"/>
        <v>1.3959311424100156</v>
      </c>
      <c r="AF76" s="18">
        <f t="shared" si="292"/>
        <v>1.2116086235489221</v>
      </c>
      <c r="AG76" s="617">
        <f t="shared" si="292"/>
        <v>1.0788213627992633</v>
      </c>
      <c r="AH76" s="18">
        <f t="shared" ref="AH76:BM76" si="293">+AH12/AH30</f>
        <v>1.1246548323471401</v>
      </c>
      <c r="AI76" s="18">
        <f t="shared" si="293"/>
        <v>1.2304179838426414</v>
      </c>
      <c r="AJ76" s="18">
        <f t="shared" si="293"/>
        <v>1.0532327586206895</v>
      </c>
      <c r="AK76" s="617">
        <f t="shared" si="293"/>
        <v>1.2415654520917678</v>
      </c>
      <c r="AL76" s="18">
        <f t="shared" si="293"/>
        <v>1.2710930704552044</v>
      </c>
      <c r="AM76" s="18">
        <f t="shared" si="293"/>
        <v>1.233622494765181</v>
      </c>
      <c r="AN76" s="18">
        <f t="shared" si="293"/>
        <v>1.1311162079510704</v>
      </c>
      <c r="AO76" s="617">
        <f t="shared" si="293"/>
        <v>1.280857740585774</v>
      </c>
      <c r="AP76" s="18">
        <f t="shared" si="293"/>
        <v>1.3318070818070817</v>
      </c>
      <c r="AQ76" s="18">
        <f t="shared" si="293"/>
        <v>1.32843537414966</v>
      </c>
      <c r="AR76" s="18">
        <f t="shared" si="293"/>
        <v>1.2190541232712993</v>
      </c>
      <c r="AS76" s="617">
        <f t="shared" si="293"/>
        <v>1.2717173961341923</v>
      </c>
      <c r="AT76" s="18">
        <f t="shared" si="293"/>
        <v>1.2913785154449056</v>
      </c>
      <c r="AU76" s="18">
        <f t="shared" si="293"/>
        <v>1.2989786443825442</v>
      </c>
      <c r="AV76" s="18">
        <f t="shared" si="293"/>
        <v>1.2089378990133488</v>
      </c>
      <c r="AW76" s="617">
        <f t="shared" si="293"/>
        <v>1.3920145190562614</v>
      </c>
      <c r="AX76" s="18">
        <f t="shared" si="293"/>
        <v>1.4468784227820373</v>
      </c>
      <c r="AY76" s="18">
        <f t="shared" si="293"/>
        <v>1.5150575730735163</v>
      </c>
      <c r="AZ76" s="18">
        <f t="shared" si="293"/>
        <v>1.300335345405768</v>
      </c>
      <c r="BA76" s="617">
        <f t="shared" si="293"/>
        <v>1.3185270805812417</v>
      </c>
      <c r="BB76" s="18">
        <f t="shared" si="293"/>
        <v>1.2984708325467245</v>
      </c>
      <c r="BC76" s="18">
        <f t="shared" si="293"/>
        <v>1.2389255419415646</v>
      </c>
      <c r="BD76" s="18">
        <f t="shared" si="293"/>
        <v>1.1656106620056805</v>
      </c>
      <c r="BE76" s="617">
        <f t="shared" si="293"/>
        <v>1.441199809554039</v>
      </c>
      <c r="BF76" s="18">
        <f t="shared" si="293"/>
        <v>1.4607808652831515</v>
      </c>
      <c r="BG76" s="18">
        <f t="shared" si="293"/>
        <v>0.99745547073791352</v>
      </c>
      <c r="BH76" s="18">
        <f t="shared" si="293"/>
        <v>1.0235443532629933</v>
      </c>
      <c r="BI76" s="617">
        <f t="shared" si="293"/>
        <v>1.0846506130890825</v>
      </c>
      <c r="BJ76" s="18">
        <f t="shared" si="293"/>
        <v>1.1004696171908352</v>
      </c>
      <c r="BK76" s="18">
        <f t="shared" si="293"/>
        <v>0.93466933867735469</v>
      </c>
      <c r="BL76" s="18">
        <f t="shared" si="293"/>
        <v>0.93353543008715423</v>
      </c>
      <c r="BM76" s="617">
        <f t="shared" si="293"/>
        <v>0.97119146413752222</v>
      </c>
      <c r="BN76" s="18">
        <f t="shared" ref="BN76:CJ76" si="294">+BN12/BN30</f>
        <v>1.0064624222115846</v>
      </c>
      <c r="BO76" s="18">
        <f t="shared" si="294"/>
        <v>1.0379294957608212</v>
      </c>
      <c r="BP76" s="18">
        <f t="shared" si="294"/>
        <v>1.0464584319293264</v>
      </c>
      <c r="BQ76" s="617">
        <f t="shared" si="294"/>
        <v>1.1768768099799509</v>
      </c>
      <c r="BR76" s="18">
        <f t="shared" si="294"/>
        <v>1.2074857607811229</v>
      </c>
      <c r="BS76" s="18">
        <f t="shared" si="294"/>
        <v>1.1756581277299021</v>
      </c>
      <c r="BT76" s="18">
        <f t="shared" si="294"/>
        <v>1.1049925484351715</v>
      </c>
      <c r="BU76" s="617">
        <f t="shared" si="294"/>
        <v>1.2089345492323675</v>
      </c>
      <c r="BV76" s="18">
        <f t="shared" si="294"/>
        <v>1.2926968864468864</v>
      </c>
      <c r="BW76" s="18">
        <f t="shared" si="294"/>
        <v>1.2573521373127801</v>
      </c>
      <c r="BX76" s="18">
        <f t="shared" si="294"/>
        <v>1.1727111897390534</v>
      </c>
      <c r="BY76" s="617">
        <f t="shared" si="294"/>
        <v>1.1628458498023715</v>
      </c>
      <c r="BZ76" s="18">
        <f t="shared" si="294"/>
        <v>1.1460948783468503</v>
      </c>
      <c r="CA76" s="18">
        <f t="shared" si="294"/>
        <v>1.077900084674005</v>
      </c>
      <c r="CB76" s="18">
        <f t="shared" si="294"/>
        <v>1.0626121277359168</v>
      </c>
      <c r="CC76" s="617">
        <f t="shared" si="294"/>
        <v>1.1144310823311749</v>
      </c>
      <c r="CD76" s="1032">
        <f t="shared" si="294"/>
        <v>1.1687886929097069</v>
      </c>
      <c r="CE76" s="1097">
        <f t="shared" si="294"/>
        <v>1.3394991462720547</v>
      </c>
      <c r="CF76" s="1097">
        <f t="shared" si="294"/>
        <v>1.2964800923254471</v>
      </c>
      <c r="CG76" s="636">
        <f t="shared" si="294"/>
        <v>1.4100322754168908</v>
      </c>
      <c r="CH76" s="1032">
        <f t="shared" si="294"/>
        <v>1.4706395348837209</v>
      </c>
      <c r="CI76" s="1097">
        <f t="shared" si="294"/>
        <v>1.4633843607778239</v>
      </c>
      <c r="CJ76" s="1097">
        <f t="shared" si="294"/>
        <v>1.3984465569209368</v>
      </c>
      <c r="CK76" s="636">
        <f t="shared" ref="CK76:CS76" si="295">+CK12/CK30</f>
        <v>1.5081651022245082</v>
      </c>
      <c r="CL76" s="1097">
        <f t="shared" si="295"/>
        <v>1.5467936319000148</v>
      </c>
      <c r="CM76" s="1097">
        <f t="shared" si="295"/>
        <v>1.4982451009066979</v>
      </c>
      <c r="CN76" s="1097">
        <f t="shared" si="295"/>
        <v>1.3978558665872542</v>
      </c>
      <c r="CO76" s="636">
        <f>+CO12/CO30</f>
        <v>1.4275812274368231</v>
      </c>
      <c r="CP76" s="1097">
        <f>+CP12/CP30</f>
        <v>1.4654246921376697</v>
      </c>
      <c r="CQ76" s="1097">
        <f t="shared" si="295"/>
        <v>1.4255882352941176</v>
      </c>
      <c r="CR76" s="1097">
        <f t="shared" si="295"/>
        <v>1.3496203771736468</v>
      </c>
      <c r="CS76" s="636">
        <f t="shared" si="295"/>
        <v>1.4765515304689694</v>
      </c>
      <c r="CT76" s="1097">
        <f>+CT12/CT30</f>
        <v>1.4924265842349305</v>
      </c>
      <c r="CU76" s="1097">
        <f t="shared" ref="CU76" si="296">+CU12/CU30</f>
        <v>1.4184377199155525</v>
      </c>
      <c r="CV76" s="1097">
        <f t="shared" ref="CV76:DA76" si="297">+CV12/CV30</f>
        <v>1.2461756993006994</v>
      </c>
      <c r="CW76" s="636">
        <f t="shared" si="297"/>
        <v>1.2573877446590764</v>
      </c>
      <c r="CX76" s="1727">
        <f t="shared" si="297"/>
        <v>1.2699706485842732</v>
      </c>
      <c r="CY76" s="1097">
        <f t="shared" si="297"/>
        <v>1.2241047153794224</v>
      </c>
      <c r="CZ76" s="1097">
        <f t="shared" si="297"/>
        <v>1.1701162218337937</v>
      </c>
      <c r="DA76" s="636">
        <f t="shared" si="297"/>
        <v>1.2559544904436106</v>
      </c>
      <c r="DB76" s="681"/>
      <c r="DC76" s="617"/>
      <c r="DD76" s="87">
        <f t="shared" ref="DD76:DK76" si="298">+DD12/DD30</f>
        <v>1.8014052308276864</v>
      </c>
      <c r="DE76" s="18">
        <f t="shared" si="298"/>
        <v>2.8858071254496926</v>
      </c>
      <c r="DF76" s="18">
        <f t="shared" si="298"/>
        <v>2.8333839385616928</v>
      </c>
      <c r="DG76" s="18">
        <f t="shared" si="298"/>
        <v>2.902690829892034</v>
      </c>
      <c r="DH76" s="18">
        <f t="shared" si="298"/>
        <v>2.5803815993710568</v>
      </c>
      <c r="DI76" s="18">
        <f t="shared" si="298"/>
        <v>1.917533136460408</v>
      </c>
      <c r="DJ76" s="18">
        <f t="shared" si="298"/>
        <v>1.8862741576758901</v>
      </c>
      <c r="DK76" s="18">
        <f t="shared" si="298"/>
        <v>1.6991307255098631</v>
      </c>
      <c r="DL76" s="18">
        <f t="shared" ref="DL76:EH76" si="299">+DL12/DL30</f>
        <v>1.9588608729959474</v>
      </c>
      <c r="DM76" s="18">
        <f t="shared" si="299"/>
        <v>2.0119826997643684</v>
      </c>
      <c r="DN76" s="18">
        <f t="shared" si="299"/>
        <v>1.6010692652418004</v>
      </c>
      <c r="DO76" s="18">
        <f t="shared" si="299"/>
        <v>1.6940687077334424</v>
      </c>
      <c r="DP76" s="18">
        <f t="shared" si="299"/>
        <v>1.6545581013779944</v>
      </c>
      <c r="DQ76" s="18">
        <f t="shared" si="299"/>
        <v>1.4875481917677249</v>
      </c>
      <c r="DR76" s="18">
        <f t="shared" si="299"/>
        <v>1.254004792025317</v>
      </c>
      <c r="DS76" s="18">
        <f t="shared" si="299"/>
        <v>1.0788213627992633</v>
      </c>
      <c r="DT76" s="18">
        <f t="shared" si="299"/>
        <v>1.2415654520917678</v>
      </c>
      <c r="DU76" s="18">
        <f t="shared" si="299"/>
        <v>1.280857740585774</v>
      </c>
      <c r="DV76" s="18">
        <f t="shared" si="299"/>
        <v>1.2717173961341923</v>
      </c>
      <c r="DW76" s="18">
        <f t="shared" si="299"/>
        <v>1.3920145190562614</v>
      </c>
      <c r="DX76" s="18">
        <f t="shared" si="299"/>
        <v>1.3185270805812417</v>
      </c>
      <c r="DY76" s="18">
        <f t="shared" si="299"/>
        <v>1.441199809554039</v>
      </c>
      <c r="DZ76" s="18">
        <f t="shared" si="299"/>
        <v>1.0846506130890825</v>
      </c>
      <c r="EA76" s="18">
        <f t="shared" si="299"/>
        <v>0.97119146413752222</v>
      </c>
      <c r="EB76" s="18">
        <f t="shared" si="299"/>
        <v>1.1768768099799509</v>
      </c>
      <c r="EC76" s="18">
        <f t="shared" si="299"/>
        <v>1.2089345492323675</v>
      </c>
      <c r="ED76" s="18">
        <f t="shared" si="299"/>
        <v>1.1628458498023715</v>
      </c>
      <c r="EE76" s="18">
        <f t="shared" si="299"/>
        <v>1.1630151529775119</v>
      </c>
      <c r="EF76" s="681">
        <f t="shared" si="299"/>
        <v>1.1196200077549439</v>
      </c>
      <c r="EG76" s="1113">
        <f t="shared" si="299"/>
        <v>1.1144310823311749</v>
      </c>
      <c r="EH76" s="1113">
        <f t="shared" si="299"/>
        <v>1.4100322754168908</v>
      </c>
      <c r="EI76" s="1113">
        <f>+EI12/EI30</f>
        <v>1.5081651022245082</v>
      </c>
      <c r="EJ76" s="1113">
        <f t="shared" ref="EJ76:EP76" si="300">+EJ12/EJ30</f>
        <v>1.4275812274368231</v>
      </c>
      <c r="EK76" s="1097">
        <f t="shared" si="300"/>
        <v>1.4765515304689694</v>
      </c>
      <c r="EL76" s="1097">
        <f>+EL12/EL30</f>
        <v>1.2573877446590764</v>
      </c>
      <c r="EM76" s="1727">
        <f>+EM12/EM30</f>
        <v>1.2559544904436106</v>
      </c>
      <c r="EN76" s="18">
        <f t="shared" si="300"/>
        <v>1.2422798640771493</v>
      </c>
      <c r="EO76" s="18">
        <f t="shared" si="300"/>
        <v>1.2176667543438791</v>
      </c>
      <c r="EP76" s="18">
        <f t="shared" si="300"/>
        <v>1.2464790188128578</v>
      </c>
      <c r="EQ76" s="18">
        <f>+EQ12/EQ30</f>
        <v>1.2337337602141711</v>
      </c>
      <c r="ER76" s="18">
        <f>+ER12/ER30</f>
        <v>1.2158717902141576</v>
      </c>
      <c r="ES76" s="18">
        <f>+ES12/ES30</f>
        <v>1.2566132567594721</v>
      </c>
      <c r="ET76" s="18">
        <f>+ET12/ET30</f>
        <v>1.227101714278821</v>
      </c>
      <c r="EU76" s="18">
        <f>+EU12/EU30</f>
        <v>1.1930125290926341</v>
      </c>
      <c r="EV76" s="1032"/>
      <c r="EW76"/>
      <c r="EX76"/>
      <c r="EY76"/>
      <c r="EZ76"/>
      <c r="FA76"/>
      <c r="FB76"/>
      <c r="FG76" s="1097"/>
      <c r="FH76" s="1097"/>
      <c r="FI76" s="1097"/>
      <c r="FJ76" s="1097"/>
      <c r="FK76"/>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row>
    <row r="77" spans="1:260" s="4" customFormat="1" x14ac:dyDescent="0.2">
      <c r="A77" s="40" t="s">
        <v>70</v>
      </c>
      <c r="B77" s="18">
        <f t="shared" ref="B77:AG77" si="301">+(B12-B10)/B30</f>
        <v>0.64297417560937031</v>
      </c>
      <c r="C77" s="18">
        <f t="shared" si="301"/>
        <v>0.29239799335329852</v>
      </c>
      <c r="D77" s="18">
        <f t="shared" si="301"/>
        <v>0.27721697259616512</v>
      </c>
      <c r="E77" s="617">
        <f t="shared" si="301"/>
        <v>0.32449133306347916</v>
      </c>
      <c r="F77" s="18">
        <f t="shared" si="301"/>
        <v>0.29887242543132303</v>
      </c>
      <c r="G77" s="18">
        <f t="shared" si="301"/>
        <v>0.31258826366005732</v>
      </c>
      <c r="H77" s="18">
        <f t="shared" si="301"/>
        <v>0.23209789562151137</v>
      </c>
      <c r="I77" s="617">
        <f t="shared" si="301"/>
        <v>0.54000801117023089</v>
      </c>
      <c r="J77" s="18">
        <f t="shared" si="301"/>
        <v>0.41366192721687339</v>
      </c>
      <c r="K77" s="18">
        <f t="shared" si="301"/>
        <v>0.32753951940150838</v>
      </c>
      <c r="L77" s="18">
        <f t="shared" si="301"/>
        <v>0.24863593153830452</v>
      </c>
      <c r="M77" s="617">
        <f t="shared" si="301"/>
        <v>0.36873440526609541</v>
      </c>
      <c r="N77" s="18">
        <f t="shared" si="301"/>
        <v>0.26714552512221984</v>
      </c>
      <c r="O77" s="18">
        <f t="shared" si="301"/>
        <v>0.2503798160633145</v>
      </c>
      <c r="P77" s="18">
        <f t="shared" si="301"/>
        <v>0.23823397888135486</v>
      </c>
      <c r="Q77" s="617">
        <f t="shared" si="301"/>
        <v>0.30942086330495272</v>
      </c>
      <c r="R77" s="18">
        <f t="shared" si="301"/>
        <v>0.33583390538651869</v>
      </c>
      <c r="S77" s="18">
        <f t="shared" si="301"/>
        <v>0.3252685424268148</v>
      </c>
      <c r="T77" s="18">
        <f t="shared" si="301"/>
        <v>0.25393579354461604</v>
      </c>
      <c r="U77" s="617">
        <f t="shared" si="301"/>
        <v>0.62832937980566439</v>
      </c>
      <c r="V77" s="18">
        <f t="shared" si="301"/>
        <v>0.57299068692972221</v>
      </c>
      <c r="W77" s="18">
        <f t="shared" si="301"/>
        <v>0.54844803518187479</v>
      </c>
      <c r="X77" s="18">
        <f t="shared" si="301"/>
        <v>0.42042007741607973</v>
      </c>
      <c r="Y77" s="617">
        <f t="shared" si="301"/>
        <v>0.73308808737716369</v>
      </c>
      <c r="Z77" s="18">
        <f t="shared" si="301"/>
        <v>0.64540378965885326</v>
      </c>
      <c r="AA77" s="18">
        <f t="shared" si="301"/>
        <v>0.55853609377126057</v>
      </c>
      <c r="AB77" s="18">
        <f t="shared" si="301"/>
        <v>0.40771330599713257</v>
      </c>
      <c r="AC77" s="617">
        <f t="shared" si="301"/>
        <v>0.59089638435695602</v>
      </c>
      <c r="AD77" s="18">
        <f t="shared" si="301"/>
        <v>0.69090909090909092</v>
      </c>
      <c r="AE77" s="18">
        <f t="shared" si="301"/>
        <v>0.63588941053729786</v>
      </c>
      <c r="AF77" s="18">
        <f t="shared" si="301"/>
        <v>0.43946932006633499</v>
      </c>
      <c r="AG77" s="617">
        <f t="shared" si="301"/>
        <v>0.42799263351749539</v>
      </c>
      <c r="AH77" s="18">
        <f t="shared" ref="AH77:BM77" si="302">+(AH12-AH10)/AH30</f>
        <v>0.34319526627218933</v>
      </c>
      <c r="AI77" s="18">
        <f t="shared" si="302"/>
        <v>0.49560941341763259</v>
      </c>
      <c r="AJ77" s="18">
        <f t="shared" si="302"/>
        <v>0.30775862068965515</v>
      </c>
      <c r="AK77" s="617">
        <f t="shared" si="302"/>
        <v>0.7354925775978407</v>
      </c>
      <c r="AL77" s="18">
        <f t="shared" si="302"/>
        <v>0.50710350826326467</v>
      </c>
      <c r="AM77" s="18">
        <f t="shared" si="302"/>
        <v>0.59557283876757405</v>
      </c>
      <c r="AN77" s="18">
        <f t="shared" si="302"/>
        <v>0.47687308868501527</v>
      </c>
      <c r="AO77" s="617">
        <f t="shared" si="302"/>
        <v>0.73770920502092052</v>
      </c>
      <c r="AP77" s="18">
        <f t="shared" si="302"/>
        <v>0.60897435897435892</v>
      </c>
      <c r="AQ77" s="18">
        <f t="shared" si="302"/>
        <v>0.60979591836734692</v>
      </c>
      <c r="AR77" s="18">
        <f t="shared" si="302"/>
        <v>0.46303568379716581</v>
      </c>
      <c r="AS77" s="617">
        <f t="shared" si="302"/>
        <v>0.69251277493890251</v>
      </c>
      <c r="AT77" s="18">
        <f t="shared" si="302"/>
        <v>0.61940986629783312</v>
      </c>
      <c r="AU77" s="18">
        <f t="shared" si="302"/>
        <v>0.60561745589600746</v>
      </c>
      <c r="AV77" s="18">
        <f t="shared" si="302"/>
        <v>0.50870574579222283</v>
      </c>
      <c r="AW77" s="617">
        <f t="shared" si="302"/>
        <v>0.81710022181891506</v>
      </c>
      <c r="AX77" s="18">
        <f t="shared" si="302"/>
        <v>0.73143483023001099</v>
      </c>
      <c r="AY77" s="18">
        <f t="shared" si="302"/>
        <v>0.79539415411868908</v>
      </c>
      <c r="AZ77" s="18">
        <f t="shared" si="302"/>
        <v>0.58752515090543256</v>
      </c>
      <c r="BA77" s="617">
        <f t="shared" si="302"/>
        <v>0.767338177014531</v>
      </c>
      <c r="BB77" s="18">
        <f t="shared" si="302"/>
        <v>0.59297715688125352</v>
      </c>
      <c r="BC77" s="18">
        <f t="shared" si="302"/>
        <v>0.60289035501099597</v>
      </c>
      <c r="BD77" s="18">
        <f t="shared" si="302"/>
        <v>0.50098317675333193</v>
      </c>
      <c r="BE77" s="617">
        <f t="shared" si="302"/>
        <v>0.80193620060307891</v>
      </c>
      <c r="BF77" s="18">
        <f t="shared" si="302"/>
        <v>0.70488920154766088</v>
      </c>
      <c r="BG77" s="18">
        <f t="shared" si="302"/>
        <v>0.37471541449042456</v>
      </c>
      <c r="BH77" s="18">
        <f t="shared" si="302"/>
        <v>0.29562329034779211</v>
      </c>
      <c r="BI77" s="617">
        <f t="shared" si="302"/>
        <v>0.38912690205347911</v>
      </c>
      <c r="BJ77" s="18">
        <f t="shared" si="302"/>
        <v>0.38821687775722213</v>
      </c>
      <c r="BK77" s="18">
        <f t="shared" si="302"/>
        <v>0.32294589178356714</v>
      </c>
      <c r="BL77" s="18">
        <f t="shared" si="302"/>
        <v>0.31155740810913224</v>
      </c>
      <c r="BM77" s="617">
        <f t="shared" si="302"/>
        <v>0.40770598695909899</v>
      </c>
      <c r="BN77" s="18">
        <f t="shared" ref="BN77:CJ77" si="303">+(BN12-BN10)/BN30</f>
        <v>0.34992819530876018</v>
      </c>
      <c r="BO77" s="18">
        <f t="shared" si="303"/>
        <v>0.39781347612672913</v>
      </c>
      <c r="BP77" s="18">
        <f t="shared" si="303"/>
        <v>0.33830257138349895</v>
      </c>
      <c r="BQ77" s="617">
        <f t="shared" si="303"/>
        <v>0.56582757852528398</v>
      </c>
      <c r="BR77" s="18">
        <f t="shared" si="303"/>
        <v>0.47111472742066723</v>
      </c>
      <c r="BS77" s="18">
        <f t="shared" si="303"/>
        <v>0.42651398890331721</v>
      </c>
      <c r="BT77" s="18">
        <f t="shared" si="303"/>
        <v>0.35506706408345751</v>
      </c>
      <c r="BU77" s="617">
        <f t="shared" si="303"/>
        <v>0.52822347916426182</v>
      </c>
      <c r="BV77" s="18">
        <f t="shared" si="303"/>
        <v>0.56513278388278387</v>
      </c>
      <c r="BW77" s="18">
        <f t="shared" si="303"/>
        <v>0.5573412047665901</v>
      </c>
      <c r="BX77" s="18">
        <f t="shared" si="303"/>
        <v>0.49307091257555652</v>
      </c>
      <c r="BY77" s="617">
        <f t="shared" si="303"/>
        <v>0.5156408808582722</v>
      </c>
      <c r="BZ77" s="18">
        <f t="shared" si="303"/>
        <v>0.47228085768247974</v>
      </c>
      <c r="CA77" s="18">
        <f t="shared" si="303"/>
        <v>0.41119813717188824</v>
      </c>
      <c r="CB77" s="18">
        <f t="shared" si="303"/>
        <v>0.33100107642626481</v>
      </c>
      <c r="CC77" s="617">
        <f t="shared" si="303"/>
        <v>0.50656799259944496</v>
      </c>
      <c r="CD77" s="1032">
        <f t="shared" si="303"/>
        <v>0.53089592337343772</v>
      </c>
      <c r="CE77" s="1097">
        <f t="shared" si="303"/>
        <v>0.56587933978372229</v>
      </c>
      <c r="CF77" s="1097">
        <f t="shared" si="303"/>
        <v>0.49117137911136755</v>
      </c>
      <c r="CG77" s="636">
        <f t="shared" si="303"/>
        <v>0.68706293706293708</v>
      </c>
      <c r="CH77" s="1032">
        <f t="shared" si="303"/>
        <v>0.70683139534883721</v>
      </c>
      <c r="CI77" s="1097">
        <f t="shared" si="303"/>
        <v>0.69342159702110051</v>
      </c>
      <c r="CJ77" s="1097">
        <f t="shared" si="303"/>
        <v>0.59853929979132858</v>
      </c>
      <c r="CK77" s="636">
        <f t="shared" ref="CK77:CS77" si="304">+(CK12-CK10)/CK30</f>
        <v>0.84287000128584288</v>
      </c>
      <c r="CL77" s="1097">
        <f t="shared" si="304"/>
        <v>0.81327183454843033</v>
      </c>
      <c r="CM77" s="1097">
        <f t="shared" si="304"/>
        <v>0.76776835331968407</v>
      </c>
      <c r="CN77" s="1097">
        <f t="shared" si="304"/>
        <v>0.60559857057772482</v>
      </c>
      <c r="CO77" s="636">
        <f>+(CO12-CO10)/CO30</f>
        <v>0.69819494584837549</v>
      </c>
      <c r="CP77" s="1097">
        <f>+(CP12-CP10)/CP30</f>
        <v>0.72039785285759395</v>
      </c>
      <c r="CQ77" s="1097">
        <f t="shared" si="304"/>
        <v>0.70382352941176474</v>
      </c>
      <c r="CR77" s="1097">
        <f t="shared" si="304"/>
        <v>0.57433259857947583</v>
      </c>
      <c r="CS77" s="636">
        <f t="shared" si="304"/>
        <v>0.79359730412805396</v>
      </c>
      <c r="CT77" s="1097">
        <f>+(CT12-CT10)/CT30</f>
        <v>0.77573415765069553</v>
      </c>
      <c r="CU77" s="1097">
        <f t="shared" ref="CU77" si="305">+(CU12-CU10)/CU30</f>
        <v>0.69120337790288533</v>
      </c>
      <c r="CV77" s="1097">
        <f t="shared" ref="CV77:DA77" si="306">+(CV12-CV10)/CV30</f>
        <v>0.51813811188811187</v>
      </c>
      <c r="CW77" s="636">
        <f t="shared" si="306"/>
        <v>0.59101957272610972</v>
      </c>
      <c r="CX77" s="1727">
        <f t="shared" si="306"/>
        <v>0.56310815153032645</v>
      </c>
      <c r="CY77" s="1097">
        <f t="shared" si="306"/>
        <v>0.49087616960625979</v>
      </c>
      <c r="CZ77" s="1097">
        <f t="shared" si="306"/>
        <v>0.4036130710819445</v>
      </c>
      <c r="DA77" s="636">
        <f t="shared" si="306"/>
        <v>0.5384844725655209</v>
      </c>
      <c r="DB77" s="681"/>
      <c r="DC77" s="617"/>
      <c r="DD77" s="87">
        <f t="shared" ref="DD77:DK77" si="307">+(DD12-DD10)/DD30</f>
        <v>0.29776454942688863</v>
      </c>
      <c r="DE77" s="18">
        <f t="shared" si="307"/>
        <v>0.47220610421260306</v>
      </c>
      <c r="DF77" s="18">
        <f t="shared" si="307"/>
        <v>0.33236700233953803</v>
      </c>
      <c r="DG77" s="18">
        <f t="shared" si="307"/>
        <v>0.28563360115980185</v>
      </c>
      <c r="DH77" s="18">
        <f t="shared" si="307"/>
        <v>0.70582760497510477</v>
      </c>
      <c r="DI77" s="18">
        <f t="shared" si="307"/>
        <v>0.6032827415699471</v>
      </c>
      <c r="DJ77" s="18">
        <f t="shared" si="307"/>
        <v>0.94802387103012908</v>
      </c>
      <c r="DK77" s="18">
        <f t="shared" si="307"/>
        <v>0.30611278279282306</v>
      </c>
      <c r="DL77" s="18">
        <f t="shared" ref="DL77:EH77" si="308">+(DL12-DL10)/DL30</f>
        <v>0.32449133306347916</v>
      </c>
      <c r="DM77" s="18">
        <f t="shared" si="308"/>
        <v>0.54000801117023089</v>
      </c>
      <c r="DN77" s="18">
        <f t="shared" si="308"/>
        <v>0.36873440526609541</v>
      </c>
      <c r="DO77" s="18">
        <f t="shared" si="308"/>
        <v>0.30942086330495272</v>
      </c>
      <c r="DP77" s="18">
        <f t="shared" si="308"/>
        <v>0.62832937980566439</v>
      </c>
      <c r="DQ77" s="18">
        <f t="shared" si="308"/>
        <v>0.73308808737716369</v>
      </c>
      <c r="DR77" s="18">
        <f t="shared" si="308"/>
        <v>0.59089638435695602</v>
      </c>
      <c r="DS77" s="18">
        <f t="shared" si="308"/>
        <v>0.42799263351749539</v>
      </c>
      <c r="DT77" s="18">
        <f t="shared" si="308"/>
        <v>0.7354925775978407</v>
      </c>
      <c r="DU77" s="18">
        <f t="shared" si="308"/>
        <v>0.73770920502092052</v>
      </c>
      <c r="DV77" s="18">
        <f t="shared" si="308"/>
        <v>0.69251277493890251</v>
      </c>
      <c r="DW77" s="18">
        <f t="shared" si="308"/>
        <v>0.81710022181891506</v>
      </c>
      <c r="DX77" s="18">
        <f t="shared" si="308"/>
        <v>0.767338177014531</v>
      </c>
      <c r="DY77" s="18">
        <f t="shared" si="308"/>
        <v>0.80193620060307891</v>
      </c>
      <c r="DZ77" s="18">
        <f t="shared" si="308"/>
        <v>0.38912690205347911</v>
      </c>
      <c r="EA77" s="18">
        <f t="shared" si="308"/>
        <v>0.40770598695909899</v>
      </c>
      <c r="EB77" s="18">
        <f t="shared" si="308"/>
        <v>0.56582757852528398</v>
      </c>
      <c r="EC77" s="18">
        <f t="shared" si="308"/>
        <v>0.52822347916426182</v>
      </c>
      <c r="ED77" s="18">
        <f t="shared" si="308"/>
        <v>0.5156408808582722</v>
      </c>
      <c r="EE77" s="18">
        <f t="shared" si="308"/>
        <v>0.451693851944793</v>
      </c>
      <c r="EF77" s="681">
        <f t="shared" si="308"/>
        <v>0.46015897634742148</v>
      </c>
      <c r="EG77" s="1113">
        <f t="shared" si="308"/>
        <v>0.50656799259944496</v>
      </c>
      <c r="EH77" s="1113">
        <f t="shared" si="308"/>
        <v>0.68706293706293708</v>
      </c>
      <c r="EI77" s="1113">
        <f>+(EI12-EI10)/EI30</f>
        <v>0.84287000128584288</v>
      </c>
      <c r="EJ77" s="1113">
        <f t="shared" ref="EJ77:EP77" si="309">+(EJ12-EJ10)/EJ30</f>
        <v>0.69819494584837549</v>
      </c>
      <c r="EK77" s="1097">
        <f t="shared" si="309"/>
        <v>0.79359730412805396</v>
      </c>
      <c r="EL77" s="1097">
        <f>+(EL12-EL10)/EL30</f>
        <v>0.59101957272610972</v>
      </c>
      <c r="EM77" s="1727">
        <f>+(EM12-EM10)/EM30</f>
        <v>0.5384844725655209</v>
      </c>
      <c r="EN77" s="18">
        <f t="shared" si="309"/>
        <v>0.5263334884229518</v>
      </c>
      <c r="EO77" s="18">
        <f t="shared" si="309"/>
        <v>0.50180445108037308</v>
      </c>
      <c r="EP77" s="18">
        <f t="shared" si="309"/>
        <v>0.53047703160959248</v>
      </c>
      <c r="EQ77" s="18">
        <f>+(EQ12-EQ10)/EQ30</f>
        <v>0.51759228465534279</v>
      </c>
      <c r="ER77" s="18">
        <f>+(ER12-ER10)/ER30</f>
        <v>0.49959067905775817</v>
      </c>
      <c r="ES77" s="18">
        <f>+(ES12-ES10)/ES30</f>
        <v>0.5401923548891443</v>
      </c>
      <c r="ET77" s="18">
        <f>+(ET12-ET10)/ET30</f>
        <v>0.51054085876510558</v>
      </c>
      <c r="EU77" s="18">
        <f>+(EU12-EU10)/EU30</f>
        <v>0.47631154928596398</v>
      </c>
      <c r="EV77" s="1032"/>
      <c r="EW77"/>
      <c r="EX77"/>
      <c r="EY77"/>
      <c r="EZ77"/>
      <c r="FA77"/>
      <c r="FB77"/>
      <c r="FG77" s="1097"/>
      <c r="FH77" s="1097"/>
      <c r="FI77" s="1097"/>
      <c r="FJ77" s="1097"/>
      <c r="FK77"/>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row>
    <row r="78" spans="1:260" s="4" customFormat="1" x14ac:dyDescent="0.2">
      <c r="A78" s="4" t="s">
        <v>378</v>
      </c>
      <c r="B78" s="233">
        <f t="shared" ref="B78:AG78" si="310">+B42/B107</f>
        <v>0.71586367269820506</v>
      </c>
      <c r="C78" s="233">
        <f t="shared" si="310"/>
        <v>0.74058594156598034</v>
      </c>
      <c r="D78" s="233">
        <f t="shared" si="310"/>
        <v>0.77156527391494323</v>
      </c>
      <c r="E78" s="618">
        <f t="shared" si="310"/>
        <v>0.82901846794329181</v>
      </c>
      <c r="F78" s="233">
        <f t="shared" si="310"/>
        <v>0.84316645694291792</v>
      </c>
      <c r="G78" s="233">
        <f t="shared" si="310"/>
        <v>0.8654078282528137</v>
      </c>
      <c r="H78" s="233">
        <f t="shared" si="310"/>
        <v>0.91499005230773289</v>
      </c>
      <c r="I78" s="618">
        <f t="shared" si="310"/>
        <v>0.98994062282862738</v>
      </c>
      <c r="J78" s="233">
        <f t="shared" si="310"/>
        <v>1.005365909648203</v>
      </c>
      <c r="K78" s="233">
        <f t="shared" si="310"/>
        <v>1.0215920631200688</v>
      </c>
      <c r="L78" s="233">
        <f t="shared" si="310"/>
        <v>1.0684723360522446</v>
      </c>
      <c r="M78" s="618">
        <f t="shared" si="310"/>
        <v>1.1193947787477501</v>
      </c>
      <c r="N78" s="233">
        <f t="shared" si="310"/>
        <v>1.1203583464737346</v>
      </c>
      <c r="O78" s="233">
        <f t="shared" si="310"/>
        <v>1.1309338351353992</v>
      </c>
      <c r="P78" s="233">
        <f t="shared" si="310"/>
        <v>1.1032925329368837</v>
      </c>
      <c r="Q78" s="618">
        <f t="shared" si="310"/>
        <v>1.1250875936578344</v>
      </c>
      <c r="R78" s="233">
        <f t="shared" si="310"/>
        <v>1.1162575395557179</v>
      </c>
      <c r="S78" s="233">
        <f t="shared" si="310"/>
        <v>1.1332024741515074</v>
      </c>
      <c r="T78" s="233">
        <f t="shared" si="310"/>
        <v>1.2016175971899563</v>
      </c>
      <c r="U78" s="618">
        <f t="shared" si="310"/>
        <v>1.3886921923940707</v>
      </c>
      <c r="V78" s="233">
        <f t="shared" si="310"/>
        <v>1.7960389459342705</v>
      </c>
      <c r="W78" s="233">
        <f t="shared" si="310"/>
        <v>1.9084273317676119</v>
      </c>
      <c r="X78" s="233">
        <f t="shared" si="310"/>
        <v>1.9666827470598207</v>
      </c>
      <c r="Y78" s="618">
        <f t="shared" si="310"/>
        <v>2.3226785143277464</v>
      </c>
      <c r="Z78" s="233">
        <f t="shared" si="310"/>
        <v>2.3750581980467262</v>
      </c>
      <c r="AA78" s="233">
        <f t="shared" si="310"/>
        <v>2.5248393714511508</v>
      </c>
      <c r="AB78" s="233">
        <f t="shared" si="310"/>
        <v>2.5186489746420477</v>
      </c>
      <c r="AC78" s="618">
        <f t="shared" si="310"/>
        <v>2.4309156370899374</v>
      </c>
      <c r="AD78" s="233">
        <f t="shared" si="310"/>
        <v>3.1319946581971685</v>
      </c>
      <c r="AE78" s="233">
        <f t="shared" si="310"/>
        <v>3.3484000631571624</v>
      </c>
      <c r="AF78" s="233">
        <f t="shared" si="310"/>
        <v>3.4783892234110998</v>
      </c>
      <c r="AG78" s="618">
        <f t="shared" si="310"/>
        <v>3.8905811422122718</v>
      </c>
      <c r="AH78" s="233">
        <f t="shared" ref="AH78:BM78" si="311">+AH42/AH107</f>
        <v>4.0785399377318914</v>
      </c>
      <c r="AI78" s="233">
        <f t="shared" si="311"/>
        <v>4.2977436318989959</v>
      </c>
      <c r="AJ78" s="233">
        <f t="shared" si="311"/>
        <v>4.4996666719159277</v>
      </c>
      <c r="AK78" s="618">
        <f t="shared" si="311"/>
        <v>5.2664343669833631</v>
      </c>
      <c r="AL78" s="233">
        <f t="shared" si="311"/>
        <v>5.5448723932565391</v>
      </c>
      <c r="AM78" s="233">
        <f t="shared" si="311"/>
        <v>4.8220395817720263</v>
      </c>
      <c r="AN78" s="233">
        <f t="shared" si="311"/>
        <v>4.950397596290828</v>
      </c>
      <c r="AO78" s="618">
        <f t="shared" si="311"/>
        <v>5.6527707894622417</v>
      </c>
      <c r="AP78" s="233">
        <f t="shared" si="311"/>
        <v>5.7134172252395325</v>
      </c>
      <c r="AQ78" s="233">
        <f t="shared" si="311"/>
        <v>6.0439950931164574</v>
      </c>
      <c r="AR78" s="233">
        <f t="shared" si="311"/>
        <v>6.1949891839225968</v>
      </c>
      <c r="AS78" s="618">
        <f t="shared" si="311"/>
        <v>7.0270980672400052</v>
      </c>
      <c r="AT78" s="233">
        <f t="shared" si="311"/>
        <v>7.1500767032482164</v>
      </c>
      <c r="AU78" s="233">
        <f t="shared" si="311"/>
        <v>7.4003972498718129</v>
      </c>
      <c r="AV78" s="233">
        <f t="shared" si="311"/>
        <v>8.046940486169321</v>
      </c>
      <c r="AW78" s="618">
        <f t="shared" si="311"/>
        <v>9.0332640965822222</v>
      </c>
      <c r="AX78" s="233">
        <f t="shared" si="311"/>
        <v>9.0852053244101079</v>
      </c>
      <c r="AY78" s="233">
        <f t="shared" si="311"/>
        <v>9.7940070343023766</v>
      </c>
      <c r="AZ78" s="233">
        <f t="shared" si="311"/>
        <v>9.9117009507558294</v>
      </c>
      <c r="BA78" s="618">
        <f t="shared" si="311"/>
        <v>10.836985516328658</v>
      </c>
      <c r="BB78" s="233">
        <f t="shared" si="311"/>
        <v>11.175296582330263</v>
      </c>
      <c r="BC78" s="233">
        <f t="shared" si="311"/>
        <v>11.314940135346173</v>
      </c>
      <c r="BD78" s="233">
        <f t="shared" si="311"/>
        <v>11.62416714564654</v>
      </c>
      <c r="BE78" s="618">
        <f t="shared" si="311"/>
        <v>12.901145312126163</v>
      </c>
      <c r="BF78" s="233">
        <f t="shared" si="311"/>
        <v>13.019679340279975</v>
      </c>
      <c r="BG78" s="233">
        <f t="shared" si="311"/>
        <v>8.0928342153828474</v>
      </c>
      <c r="BH78" s="233">
        <f t="shared" si="311"/>
        <v>8.9300187849834565</v>
      </c>
      <c r="BI78" s="618">
        <f t="shared" si="311"/>
        <v>10.888906297755831</v>
      </c>
      <c r="BJ78" s="233">
        <f t="shared" si="311"/>
        <v>11.249484135654116</v>
      </c>
      <c r="BK78" s="233">
        <f t="shared" si="311"/>
        <v>11.524693693431507</v>
      </c>
      <c r="BL78" s="233">
        <f t="shared" si="311"/>
        <v>11.029705221452778</v>
      </c>
      <c r="BM78" s="618">
        <f t="shared" si="311"/>
        <v>11.153544519937476</v>
      </c>
      <c r="BN78" s="233">
        <f t="shared" ref="BN78:CJ78" si="312">+BN42/BN107</f>
        <v>11.984849612954205</v>
      </c>
      <c r="BO78" s="233">
        <f t="shared" si="312"/>
        <v>12.738303016044116</v>
      </c>
      <c r="BP78" s="233">
        <f t="shared" si="312"/>
        <v>13.226260190607418</v>
      </c>
      <c r="BQ78" s="618">
        <f t="shared" si="312"/>
        <v>15.090194954812985</v>
      </c>
      <c r="BR78" s="233">
        <f t="shared" si="312"/>
        <v>15.159666906313829</v>
      </c>
      <c r="BS78" s="233">
        <f t="shared" si="312"/>
        <v>14.927002861319085</v>
      </c>
      <c r="BT78" s="233">
        <f t="shared" si="312"/>
        <v>15.228374870263178</v>
      </c>
      <c r="BU78" s="618">
        <f t="shared" si="312"/>
        <v>16.816526146870782</v>
      </c>
      <c r="BV78" s="233">
        <f t="shared" si="312"/>
        <v>16.718567690488221</v>
      </c>
      <c r="BW78" s="233">
        <f t="shared" si="312"/>
        <v>16.65134753635558</v>
      </c>
      <c r="BX78" s="233">
        <f t="shared" si="312"/>
        <v>16.130353596560365</v>
      </c>
      <c r="BY78" s="618">
        <f t="shared" si="312"/>
        <v>10.969537199765671</v>
      </c>
      <c r="BZ78" s="233">
        <f t="shared" si="312"/>
        <v>10.729093315646303</v>
      </c>
      <c r="CA78" s="233">
        <f t="shared" si="312"/>
        <v>10.444834041541617</v>
      </c>
      <c r="CB78" s="233">
        <f t="shared" si="312"/>
        <v>10.377888911904833</v>
      </c>
      <c r="CC78" s="618">
        <f t="shared" si="312"/>
        <v>9.0488240371767432</v>
      </c>
      <c r="CD78" s="1098">
        <f t="shared" si="312"/>
        <v>8.5830340848884443</v>
      </c>
      <c r="CE78" s="1099">
        <f t="shared" si="312"/>
        <v>10.598793585405325</v>
      </c>
      <c r="CF78" s="1099">
        <f t="shared" si="312"/>
        <v>11.073299203977156</v>
      </c>
      <c r="CG78" s="657">
        <f t="shared" si="312"/>
        <v>11.510251227259602</v>
      </c>
      <c r="CH78" s="1098">
        <f t="shared" si="312"/>
        <v>12.734599884858953</v>
      </c>
      <c r="CI78" s="1099">
        <f t="shared" si="312"/>
        <v>12.968794732321786</v>
      </c>
      <c r="CJ78" s="1099">
        <f t="shared" si="312"/>
        <v>13.061982290774063</v>
      </c>
      <c r="CK78" s="657">
        <f t="shared" ref="CK78:CS78" si="313">+CK42/CK107</f>
        <v>14.236902050113896</v>
      </c>
      <c r="CL78" s="1099">
        <f t="shared" si="313"/>
        <v>13.790368271954669</v>
      </c>
      <c r="CM78" s="1099">
        <f t="shared" si="313"/>
        <v>13.436046511627907</v>
      </c>
      <c r="CN78" s="1099">
        <f t="shared" si="313"/>
        <v>13.478260869565217</v>
      </c>
      <c r="CO78" s="657">
        <f>+CO42/CO107</f>
        <v>13.521568724345927</v>
      </c>
      <c r="CP78" s="1099">
        <f>+CP42/CP107</f>
        <v>13.660493827160494</v>
      </c>
      <c r="CQ78" s="1099">
        <f t="shared" si="313"/>
        <v>13.624605678233438</v>
      </c>
      <c r="CR78" s="1099">
        <f t="shared" si="313"/>
        <v>13.613418530351439</v>
      </c>
      <c r="CS78" s="657">
        <f t="shared" si="313"/>
        <v>15.136222790799337</v>
      </c>
      <c r="CT78" s="1099">
        <f>+CT42/CT107</f>
        <v>14.752639760923159</v>
      </c>
      <c r="CU78" s="1099">
        <f t="shared" ref="CU78" si="314">+CU42/CU107</f>
        <v>14.299342105263158</v>
      </c>
      <c r="CV78" s="1099">
        <f t="shared" ref="CV78:DA78" si="315">+CV42/CV107</f>
        <v>13.88628762541806</v>
      </c>
      <c r="CW78" s="657">
        <f t="shared" si="315"/>
        <v>12.459468782338739</v>
      </c>
      <c r="CX78" s="1728">
        <f t="shared" si="315"/>
        <v>11.015643982035817</v>
      </c>
      <c r="CY78" s="1099">
        <f t="shared" si="315"/>
        <v>10.677507938950159</v>
      </c>
      <c r="CZ78" s="1099">
        <f t="shared" si="315"/>
        <v>10.426818560985652</v>
      </c>
      <c r="DA78" s="657">
        <f t="shared" si="315"/>
        <v>11.477205151057598</v>
      </c>
      <c r="DB78" s="682"/>
      <c r="DC78" s="618"/>
      <c r="DD78" s="297"/>
      <c r="DE78" s="297"/>
      <c r="DF78" s="297"/>
      <c r="DG78" s="297"/>
      <c r="DH78" s="297"/>
      <c r="DI78" s="297"/>
      <c r="DJ78" s="297"/>
      <c r="DK78" s="297"/>
      <c r="DL78" s="233">
        <f t="shared" ref="DL78:EH78" si="316">+DL42/DL107</f>
        <v>0.82901846794329181</v>
      </c>
      <c r="DM78" s="233">
        <f t="shared" si="316"/>
        <v>0.98994062282862738</v>
      </c>
      <c r="DN78" s="233">
        <f t="shared" si="316"/>
        <v>1.1193947787477501</v>
      </c>
      <c r="DO78" s="233">
        <f t="shared" si="316"/>
        <v>1.1250875936578344</v>
      </c>
      <c r="DP78" s="233">
        <f t="shared" si="316"/>
        <v>1.3886921923940707</v>
      </c>
      <c r="DQ78" s="233">
        <f t="shared" si="316"/>
        <v>2.3226785143277464</v>
      </c>
      <c r="DR78" s="233">
        <f t="shared" si="316"/>
        <v>2.4309156370899374</v>
      </c>
      <c r="DS78" s="233">
        <f t="shared" si="316"/>
        <v>3.8905811422122718</v>
      </c>
      <c r="DT78" s="233">
        <f t="shared" si="316"/>
        <v>5.2664343669833631</v>
      </c>
      <c r="DU78" s="233">
        <f t="shared" si="316"/>
        <v>5.6527707894622417</v>
      </c>
      <c r="DV78" s="233">
        <f t="shared" si="316"/>
        <v>7.0270980672400052</v>
      </c>
      <c r="DW78" s="233">
        <f t="shared" si="316"/>
        <v>9.0332640965822222</v>
      </c>
      <c r="DX78" s="233">
        <f t="shared" si="316"/>
        <v>10.836985516328658</v>
      </c>
      <c r="DY78" s="233">
        <f t="shared" si="316"/>
        <v>12.901145312126163</v>
      </c>
      <c r="DZ78" s="233">
        <f t="shared" si="316"/>
        <v>10.888906297755831</v>
      </c>
      <c r="EA78" s="233">
        <f t="shared" si="316"/>
        <v>11.153544519937476</v>
      </c>
      <c r="EB78" s="233">
        <f t="shared" si="316"/>
        <v>15.090194954812985</v>
      </c>
      <c r="EC78" s="233">
        <f t="shared" si="316"/>
        <v>16.816526146870782</v>
      </c>
      <c r="ED78" s="233">
        <f t="shared" si="316"/>
        <v>10.969537199765671</v>
      </c>
      <c r="EE78" s="233">
        <f t="shared" si="316"/>
        <v>16.447184085177923</v>
      </c>
      <c r="EF78" s="682">
        <f t="shared" si="316"/>
        <v>10.629759812536614</v>
      </c>
      <c r="EG78" s="1114">
        <f t="shared" si="316"/>
        <v>9.0488240371767432</v>
      </c>
      <c r="EH78" s="1114">
        <f t="shared" si="316"/>
        <v>11.510251227259602</v>
      </c>
      <c r="EI78" s="1114">
        <f t="shared" ref="EI78:EP78" si="317">+EI42/EI107</f>
        <v>14.236902050113896</v>
      </c>
      <c r="EJ78" s="1114">
        <f t="shared" si="317"/>
        <v>13.521568724345927</v>
      </c>
      <c r="EK78" s="1099">
        <f t="shared" si="317"/>
        <v>15.136222790799337</v>
      </c>
      <c r="EL78" s="1099">
        <f>+EL42/EL107</f>
        <v>12.023968042609855</v>
      </c>
      <c r="EM78" s="1728">
        <f>+EM42/EM107</f>
        <v>11.477205151057598</v>
      </c>
      <c r="EN78" s="233">
        <f t="shared" si="317"/>
        <v>10.320015197875525</v>
      </c>
      <c r="EO78" s="233">
        <f t="shared" si="317"/>
        <v>9.0796047513552569</v>
      </c>
      <c r="EP78" s="233">
        <f t="shared" si="317"/>
        <v>8.607122689762539</v>
      </c>
      <c r="EQ78" s="233">
        <f>+EQ42/EQ107</f>
        <v>7.9500156839833105</v>
      </c>
      <c r="ER78" s="233">
        <f>+ER42/ER107</f>
        <v>7.1332933963213305</v>
      </c>
      <c r="ES78" s="233">
        <f>+ES42/ES107</f>
        <v>6.1024412269395878</v>
      </c>
      <c r="ET78" s="233">
        <f>+ET42/ET107</f>
        <v>4.8491984439745393</v>
      </c>
      <c r="EU78" s="233">
        <f>+EU42/EU107</f>
        <v>3.4123272709600636</v>
      </c>
      <c r="EV78" s="1098"/>
      <c r="EW78"/>
      <c r="EX78"/>
      <c r="EY78"/>
      <c r="EZ78"/>
      <c r="FA78"/>
      <c r="FB78"/>
      <c r="FG78" s="1099"/>
      <c r="FH78" s="1099"/>
      <c r="FI78" s="1099"/>
      <c r="FJ78" s="1099"/>
      <c r="FK78"/>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row>
    <row r="79" spans="1:260" s="4" customFormat="1" x14ac:dyDescent="0.2">
      <c r="A79" s="40"/>
      <c r="E79" s="470"/>
      <c r="I79" s="470"/>
      <c r="M79" s="470"/>
      <c r="Q79" s="470"/>
      <c r="U79" s="470"/>
      <c r="Y79" s="470"/>
      <c r="AC79" s="470"/>
      <c r="AG79" s="470"/>
      <c r="AK79" s="470"/>
      <c r="AO79" s="470"/>
      <c r="AS79" s="470"/>
      <c r="AW79" s="470"/>
      <c r="BA79" s="470"/>
      <c r="BE79" s="470"/>
      <c r="BI79" s="470"/>
      <c r="BM79" s="470"/>
      <c r="BQ79" s="484"/>
      <c r="BU79" s="484"/>
      <c r="BY79" s="484"/>
      <c r="CC79" s="484"/>
      <c r="CD79" s="671"/>
      <c r="CE79" s="7"/>
      <c r="CF79" s="7"/>
      <c r="CG79" s="484"/>
      <c r="CH79" s="671"/>
      <c r="CI79" s="7"/>
      <c r="CJ79" s="7"/>
      <c r="CK79" s="484"/>
      <c r="CL79" s="7"/>
      <c r="CM79" s="7"/>
      <c r="CN79" s="7"/>
      <c r="CO79" s="484"/>
      <c r="CP79" s="7"/>
      <c r="CQ79" s="7"/>
      <c r="CR79" s="7"/>
      <c r="CS79" s="484"/>
      <c r="CT79" s="7"/>
      <c r="CU79" s="7"/>
      <c r="CV79" s="7"/>
      <c r="CW79" s="484"/>
      <c r="CX79" s="1671"/>
      <c r="CY79" s="7"/>
      <c r="CZ79" s="7"/>
      <c r="DA79" s="484"/>
      <c r="DB79" s="413"/>
      <c r="DC79" s="470"/>
      <c r="EF79" s="413"/>
      <c r="EG79" s="3"/>
      <c r="EH79" s="3"/>
      <c r="EI79" s="3"/>
      <c r="EJ79" s="3"/>
      <c r="EK79" s="7"/>
      <c r="EL79" s="7"/>
      <c r="EM79" s="1671"/>
      <c r="EN79" s="6"/>
      <c r="EO79" s="6"/>
      <c r="EP79" s="6"/>
      <c r="EQ79" s="6"/>
      <c r="ER79" s="6"/>
      <c r="ES79" s="6"/>
      <c r="ET79" s="6"/>
      <c r="EU79" s="6"/>
      <c r="EV79" s="671"/>
      <c r="EW79"/>
      <c r="EX79"/>
      <c r="EY79"/>
      <c r="EZ79"/>
      <c r="FA79"/>
      <c r="FB79"/>
      <c r="FG79" s="7"/>
      <c r="FH79" s="7"/>
      <c r="FI79" s="7"/>
      <c r="FJ79" s="7"/>
      <c r="FK79"/>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row>
    <row r="80" spans="1:260" s="3" customFormat="1" x14ac:dyDescent="0.2">
      <c r="A80" s="401" t="s">
        <v>318</v>
      </c>
      <c r="B80" s="235"/>
      <c r="C80" s="235"/>
      <c r="D80" s="235"/>
      <c r="E80" s="619"/>
      <c r="F80" s="235"/>
      <c r="G80" s="235"/>
      <c r="H80" s="235"/>
      <c r="I80" s="619"/>
      <c r="J80" s="235"/>
      <c r="K80" s="235"/>
      <c r="L80" s="235"/>
      <c r="M80" s="619"/>
      <c r="N80" s="235"/>
      <c r="O80" s="235"/>
      <c r="P80" s="235"/>
      <c r="Q80" s="619"/>
      <c r="R80" s="235"/>
      <c r="S80" s="235"/>
      <c r="T80" s="235"/>
      <c r="U80" s="619"/>
      <c r="V80" s="235"/>
      <c r="W80" s="235"/>
      <c r="X80" s="235"/>
      <c r="Y80" s="619"/>
      <c r="Z80" s="235"/>
      <c r="AA80" s="235"/>
      <c r="AB80" s="235"/>
      <c r="AC80" s="619"/>
      <c r="AD80" s="235"/>
      <c r="AE80" s="235"/>
      <c r="AF80" s="235"/>
      <c r="AG80" s="619"/>
      <c r="AH80" s="235"/>
      <c r="AI80" s="235"/>
      <c r="AJ80" s="235"/>
      <c r="AK80" s="619"/>
      <c r="AL80" s="235"/>
      <c r="AM80" s="235"/>
      <c r="AN80" s="235"/>
      <c r="AO80" s="619"/>
      <c r="AP80" s="235"/>
      <c r="AQ80" s="235"/>
      <c r="AR80" s="235"/>
      <c r="AS80" s="619"/>
      <c r="AT80" s="235"/>
      <c r="AU80" s="235"/>
      <c r="AV80" s="235"/>
      <c r="AW80" s="619"/>
      <c r="AX80" s="235"/>
      <c r="AY80" s="235"/>
      <c r="AZ80" s="235"/>
      <c r="BA80" s="619"/>
      <c r="BB80" s="235"/>
      <c r="BC80" s="235"/>
      <c r="BD80" s="235"/>
      <c r="BE80" s="619"/>
      <c r="BF80" s="235"/>
      <c r="BG80" s="235"/>
      <c r="BH80" s="235"/>
      <c r="BI80" s="619"/>
      <c r="BJ80" s="235"/>
      <c r="BK80" s="235"/>
      <c r="BL80" s="235"/>
      <c r="BM80" s="619"/>
      <c r="BN80" s="235"/>
      <c r="BO80" s="235"/>
      <c r="BP80" s="235"/>
      <c r="BQ80" s="619"/>
      <c r="BR80" s="235"/>
      <c r="BS80" s="235"/>
      <c r="BT80" s="235"/>
      <c r="BU80" s="619"/>
      <c r="BV80" s="235"/>
      <c r="BW80" s="235"/>
      <c r="BX80" s="235"/>
      <c r="BY80" s="619"/>
      <c r="BZ80" s="235"/>
      <c r="CA80" s="235"/>
      <c r="CB80" s="235"/>
      <c r="CC80" s="619"/>
      <c r="CD80" s="1033"/>
      <c r="CE80" s="275"/>
      <c r="CF80" s="275"/>
      <c r="CG80" s="658"/>
      <c r="CH80" s="1033"/>
      <c r="CI80" s="275"/>
      <c r="CJ80" s="275"/>
      <c r="CK80" s="658"/>
      <c r="CL80" s="275"/>
      <c r="CM80" s="275"/>
      <c r="CN80" s="275"/>
      <c r="CO80" s="658"/>
      <c r="CP80" s="275"/>
      <c r="CQ80" s="275"/>
      <c r="CR80" s="275"/>
      <c r="CS80" s="658"/>
      <c r="CT80" s="275"/>
      <c r="CU80" s="275"/>
      <c r="CV80" s="275"/>
      <c r="CW80" s="658"/>
      <c r="CX80" s="1729"/>
      <c r="CY80" s="275"/>
      <c r="CZ80" s="275"/>
      <c r="DA80" s="658"/>
      <c r="DB80" s="683"/>
      <c r="DC80" s="619"/>
      <c r="DD80" s="235"/>
      <c r="DE80" s="235"/>
      <c r="DF80" s="235"/>
      <c r="DG80" s="235"/>
      <c r="DH80" s="235"/>
      <c r="DI80" s="235"/>
      <c r="DJ80" s="235"/>
      <c r="DK80" s="235"/>
      <c r="DL80" s="235"/>
      <c r="DM80" s="235"/>
      <c r="DN80" s="235"/>
      <c r="DO80" s="235"/>
      <c r="DP80" s="235"/>
      <c r="DQ80" s="235"/>
      <c r="DR80" s="235"/>
      <c r="DS80" s="235"/>
      <c r="DT80" s="235"/>
      <c r="DU80" s="235"/>
      <c r="DV80" s="235"/>
      <c r="DW80" s="235"/>
      <c r="DX80" s="235"/>
      <c r="DY80" s="235"/>
      <c r="DZ80" s="235"/>
      <c r="EA80" s="235"/>
      <c r="EB80" s="235"/>
      <c r="EC80" s="235"/>
      <c r="ED80" s="235"/>
      <c r="EE80" s="235"/>
      <c r="EF80" s="683"/>
      <c r="EG80" s="235"/>
      <c r="EH80" s="235"/>
      <c r="EI80" s="235"/>
      <c r="EJ80" s="235"/>
      <c r="EK80" s="275"/>
      <c r="EL80" s="275"/>
      <c r="EM80" s="1729"/>
      <c r="EN80" s="235"/>
      <c r="EO80" s="235"/>
      <c r="EP80" s="235"/>
      <c r="EQ80" s="235"/>
      <c r="ER80" s="235"/>
      <c r="ES80" s="235"/>
      <c r="ET80" s="235"/>
      <c r="EU80" s="235"/>
      <c r="EV80" s="1033"/>
      <c r="EW80"/>
      <c r="EX80"/>
      <c r="EY80"/>
      <c r="EZ80"/>
      <c r="FA80"/>
      <c r="FB80"/>
      <c r="FC80" s="4"/>
      <c r="FD80" s="4"/>
      <c r="FE80" s="4"/>
      <c r="FF80" s="4"/>
      <c r="FG80" s="275"/>
      <c r="FH80" s="275"/>
      <c r="FI80" s="275"/>
      <c r="FJ80" s="275"/>
      <c r="FK80"/>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row>
    <row r="81" spans="1:260" s="4" customFormat="1" x14ac:dyDescent="0.2">
      <c r="A81" s="41" t="s">
        <v>127</v>
      </c>
      <c r="B81" s="42"/>
      <c r="C81" s="42"/>
      <c r="D81" s="42"/>
      <c r="E81" s="620"/>
      <c r="F81" s="42">
        <f t="shared" ref="F81:AK81" si="318">365/F50</f>
        <v>6.8906009493221312</v>
      </c>
      <c r="G81" s="42">
        <f t="shared" si="318"/>
        <v>6.4818679316432739</v>
      </c>
      <c r="H81" s="42">
        <f t="shared" si="318"/>
        <v>10.699804327813791</v>
      </c>
      <c r="I81" s="620">
        <f t="shared" si="318"/>
        <v>6.067579948948274</v>
      </c>
      <c r="J81" s="42">
        <f t="shared" si="318"/>
        <v>6.6308807749131979</v>
      </c>
      <c r="K81" s="42">
        <f t="shared" si="318"/>
        <v>7.0742277057795562</v>
      </c>
      <c r="L81" s="42">
        <f t="shared" si="318"/>
        <v>10.631528336455723</v>
      </c>
      <c r="M81" s="620">
        <f t="shared" si="318"/>
        <v>6.1413723821847164</v>
      </c>
      <c r="N81" s="42">
        <f t="shared" si="318"/>
        <v>5.0432061695507713</v>
      </c>
      <c r="O81" s="42">
        <f t="shared" si="318"/>
        <v>5.8003399967048228</v>
      </c>
      <c r="P81" s="42">
        <f t="shared" si="318"/>
        <v>9.9070562860620566</v>
      </c>
      <c r="Q81" s="620">
        <f t="shared" si="318"/>
        <v>3.7380324226326045</v>
      </c>
      <c r="R81" s="42">
        <f t="shared" si="318"/>
        <v>3.9811622663936279</v>
      </c>
      <c r="S81" s="42">
        <f t="shared" si="318"/>
        <v>4.7760662232833253</v>
      </c>
      <c r="T81" s="42">
        <f t="shared" si="318"/>
        <v>8.639064529515073</v>
      </c>
      <c r="U81" s="620">
        <f t="shared" si="318"/>
        <v>4.1792806386835819</v>
      </c>
      <c r="V81" s="42">
        <f t="shared" si="318"/>
        <v>3.1738111425238871</v>
      </c>
      <c r="W81" s="42">
        <f t="shared" si="318"/>
        <v>5.6598295503508362</v>
      </c>
      <c r="X81" s="42">
        <f t="shared" si="318"/>
        <v>10.743464128281257</v>
      </c>
      <c r="Y81" s="620">
        <f t="shared" si="318"/>
        <v>4.8015961018400457</v>
      </c>
      <c r="Z81" s="42">
        <f t="shared" si="318"/>
        <v>5.0591403250513203</v>
      </c>
      <c r="AA81" s="42">
        <f t="shared" si="318"/>
        <v>5.9116354075397917</v>
      </c>
      <c r="AB81" s="42">
        <f t="shared" si="318"/>
        <v>12.02904995927098</v>
      </c>
      <c r="AC81" s="620">
        <f t="shared" si="318"/>
        <v>5.5302335364677981</v>
      </c>
      <c r="AD81" s="42">
        <f t="shared" si="318"/>
        <v>5.6401661221314363</v>
      </c>
      <c r="AE81" s="42">
        <f t="shared" si="318"/>
        <v>5.4124574386376061</v>
      </c>
      <c r="AF81" s="42">
        <f t="shared" si="318"/>
        <v>10.991507226164039</v>
      </c>
      <c r="AG81" s="620">
        <f t="shared" si="318"/>
        <v>4.9773044443280172</v>
      </c>
      <c r="AH81" s="42">
        <f t="shared" si="318"/>
        <v>4.3864043321447994</v>
      </c>
      <c r="AI81" s="42">
        <f t="shared" si="318"/>
        <v>5.0508130319654194</v>
      </c>
      <c r="AJ81" s="42">
        <f t="shared" si="318"/>
        <v>7.4701580874625257</v>
      </c>
      <c r="AK81" s="620">
        <f t="shared" si="318"/>
        <v>4.1161912537633309</v>
      </c>
      <c r="AL81" s="42">
        <f t="shared" ref="AL81:BQ81" si="319">365/AL50</f>
        <v>4.4122475375584518</v>
      </c>
      <c r="AM81" s="42">
        <f t="shared" si="319"/>
        <v>4.171530006808676</v>
      </c>
      <c r="AN81" s="42">
        <f t="shared" si="319"/>
        <v>10.024119978984574</v>
      </c>
      <c r="AO81" s="620">
        <f t="shared" si="319"/>
        <v>5.4368375823546264</v>
      </c>
      <c r="AP81" s="42">
        <f t="shared" si="319"/>
        <v>5.1480478236502893</v>
      </c>
      <c r="AQ81" s="42">
        <f t="shared" si="319"/>
        <v>4.9688965019834113</v>
      </c>
      <c r="AR81" s="42">
        <f t="shared" si="319"/>
        <v>10.719948018193634</v>
      </c>
      <c r="AS81" s="620">
        <f t="shared" si="319"/>
        <v>5.1006314931757988</v>
      </c>
      <c r="AT81" s="42">
        <f t="shared" si="319"/>
        <v>5.3405505600252399</v>
      </c>
      <c r="AU81" s="42">
        <f t="shared" si="319"/>
        <v>4.5975422427035326</v>
      </c>
      <c r="AV81" s="42">
        <f t="shared" si="319"/>
        <v>10.160570249484151</v>
      </c>
      <c r="AW81" s="620">
        <f t="shared" si="319"/>
        <v>4.9894287901432577</v>
      </c>
      <c r="AX81" s="42">
        <f t="shared" si="319"/>
        <v>4.550797948133372</v>
      </c>
      <c r="AY81" s="42">
        <f t="shared" si="319"/>
        <v>4.9482470202829854</v>
      </c>
      <c r="AZ81" s="42">
        <f t="shared" si="319"/>
        <v>10.969130760329453</v>
      </c>
      <c r="BA81" s="620">
        <f t="shared" si="319"/>
        <v>5.3126620850622404</v>
      </c>
      <c r="BB81" s="42">
        <f t="shared" si="319"/>
        <v>4.7109407049764904</v>
      </c>
      <c r="BC81" s="42">
        <f t="shared" si="319"/>
        <v>5.4094814360233201</v>
      </c>
      <c r="BD81" s="42">
        <f t="shared" si="319"/>
        <v>12.033918406072106</v>
      </c>
      <c r="BE81" s="620">
        <f t="shared" si="319"/>
        <v>5.5663160238214502</v>
      </c>
      <c r="BF81" s="42">
        <f t="shared" si="319"/>
        <v>4.708145899951222</v>
      </c>
      <c r="BG81" s="42">
        <f t="shared" si="319"/>
        <v>5.314462929380535</v>
      </c>
      <c r="BH81" s="42">
        <f t="shared" si="319"/>
        <v>6.8280427298501412</v>
      </c>
      <c r="BI81" s="620">
        <f t="shared" si="319"/>
        <v>5.006746120980436</v>
      </c>
      <c r="BJ81" s="42">
        <f t="shared" si="319"/>
        <v>4.7350679063427927</v>
      </c>
      <c r="BK81" s="42">
        <f t="shared" si="319"/>
        <v>15.462064219094856</v>
      </c>
      <c r="BL81" s="42">
        <f t="shared" si="319"/>
        <v>22.029101558031524</v>
      </c>
      <c r="BM81" s="620">
        <f t="shared" si="319"/>
        <v>15.146506719982227</v>
      </c>
      <c r="BN81" s="42">
        <f t="shared" si="319"/>
        <v>11.293473547267995</v>
      </c>
      <c r="BO81" s="42">
        <f t="shared" si="319"/>
        <v>13.646733275596205</v>
      </c>
      <c r="BP81" s="42">
        <f t="shared" si="319"/>
        <v>20.055364044709076</v>
      </c>
      <c r="BQ81" s="620">
        <f t="shared" si="319"/>
        <v>14.836801223487745</v>
      </c>
      <c r="BR81" s="42">
        <f t="shared" ref="BR81:CJ81" si="320">365/BR50</f>
        <v>11.438395586075497</v>
      </c>
      <c r="BS81" s="42">
        <f t="shared" si="320"/>
        <v>12.381910340611009</v>
      </c>
      <c r="BT81" s="42">
        <f t="shared" si="320"/>
        <v>20.159485060017008</v>
      </c>
      <c r="BU81" s="620">
        <f t="shared" si="320"/>
        <v>17.047660725652452</v>
      </c>
      <c r="BV81" s="42">
        <f t="shared" si="320"/>
        <v>12.609419930589985</v>
      </c>
      <c r="BW81" s="42">
        <f t="shared" si="320"/>
        <v>14.076596672813436</v>
      </c>
      <c r="BX81" s="42">
        <f t="shared" si="320"/>
        <v>23.150349512262547</v>
      </c>
      <c r="BY81" s="620">
        <f t="shared" si="320"/>
        <v>16.369766347812451</v>
      </c>
      <c r="BZ81" s="42">
        <f t="shared" si="320"/>
        <v>13.036218705258678</v>
      </c>
      <c r="CA81" s="42">
        <f t="shared" si="320"/>
        <v>15.314133553433164</v>
      </c>
      <c r="CB81" s="42">
        <f t="shared" si="320"/>
        <v>16.577513120710538</v>
      </c>
      <c r="CC81" s="620">
        <f t="shared" si="320"/>
        <v>19.88996594183914</v>
      </c>
      <c r="CD81" s="691">
        <f t="shared" si="320"/>
        <v>7.2861586314152404</v>
      </c>
      <c r="CE81" s="196">
        <f t="shared" si="320"/>
        <v>9.609094535301157</v>
      </c>
      <c r="CF81" s="196">
        <f t="shared" si="320"/>
        <v>9.4670531445596691</v>
      </c>
      <c r="CG81" s="631">
        <f t="shared" si="320"/>
        <v>11.755928196793972</v>
      </c>
      <c r="CH81" s="691">
        <f t="shared" si="320"/>
        <v>7.8844055354397105</v>
      </c>
      <c r="CI81" s="196">
        <f t="shared" si="320"/>
        <v>9.1598621619596976</v>
      </c>
      <c r="CJ81" s="196">
        <f t="shared" si="320"/>
        <v>9.6897024031876473</v>
      </c>
      <c r="CK81" s="631">
        <f>365/CK50</f>
        <v>11.581843873174844</v>
      </c>
      <c r="CL81" s="196">
        <f t="shared" ref="CL81:CN83" si="321">365/CL50</f>
        <v>9.0211883352377171</v>
      </c>
      <c r="CM81" s="196">
        <f t="shared" si="321"/>
        <v>9.2772832097602098</v>
      </c>
      <c r="CN81" s="196">
        <f t="shared" si="321"/>
        <v>9.6541107842648461</v>
      </c>
      <c r="CO81" s="631">
        <f t="shared" ref="CO81:CP83" si="322">365/CO50</f>
        <v>10.729862376037239</v>
      </c>
      <c r="CP81" s="196">
        <f t="shared" si="322"/>
        <v>10.15921142770152</v>
      </c>
      <c r="CQ81" s="196">
        <f t="shared" ref="CQ81:CS83" si="323">365/CQ50</f>
        <v>8.5745091075143343</v>
      </c>
      <c r="CR81" s="196">
        <f t="shared" si="323"/>
        <v>10.836283633420999</v>
      </c>
      <c r="CS81" s="631">
        <f t="shared" si="323"/>
        <v>12.477603228180595</v>
      </c>
      <c r="CT81" s="196">
        <f t="shared" ref="CT81:CW83" si="324">365/CT50</f>
        <v>9.3449908833063215</v>
      </c>
      <c r="CU81" s="196">
        <f t="shared" si="324"/>
        <v>8.8288006015791449</v>
      </c>
      <c r="CV81" s="196">
        <f t="shared" si="324"/>
        <v>8.8009684628755895</v>
      </c>
      <c r="CW81" s="631">
        <f t="shared" si="324"/>
        <v>9.083651633413206</v>
      </c>
      <c r="CX81" s="1718">
        <f t="shared" ref="CX81:CY81" si="325">365/CX50</f>
        <v>9.3449908833063215</v>
      </c>
      <c r="CY81" s="196">
        <f t="shared" si="325"/>
        <v>8.8288006015791449</v>
      </c>
      <c r="CZ81" s="196">
        <f t="shared" ref="CZ81:DA81" si="326">365/CZ50</f>
        <v>8.8009684628755895</v>
      </c>
      <c r="DA81" s="631">
        <f t="shared" si="326"/>
        <v>9.083651633413206</v>
      </c>
      <c r="DB81" s="684"/>
      <c r="DC81" s="620"/>
      <c r="DD81" s="42">
        <f t="shared" ref="DD81:DK82" si="327">+DD9/DD100*365</f>
        <v>11.111248607845564</v>
      </c>
      <c r="DE81" s="42">
        <f t="shared" si="327"/>
        <v>10.3573337341751</v>
      </c>
      <c r="DF81" s="42">
        <f t="shared" si="327"/>
        <v>6.8121583454810501</v>
      </c>
      <c r="DG81" s="42">
        <f t="shared" si="327"/>
        <v>4.6716922518226713</v>
      </c>
      <c r="DH81" s="42">
        <f t="shared" si="327"/>
        <v>5.2082870234961485</v>
      </c>
      <c r="DI81" s="42">
        <f t="shared" si="327"/>
        <v>4.7852435911513282</v>
      </c>
      <c r="DJ81" s="42">
        <f t="shared" si="327"/>
        <v>6.2741908072781092</v>
      </c>
      <c r="DK81" s="42">
        <f t="shared" si="327"/>
        <v>8.5546346925699002</v>
      </c>
      <c r="DL81" s="42"/>
      <c r="DM81" s="42">
        <f t="shared" ref="DM81:EH81" si="328">365/DM50</f>
        <v>6.067579948948274</v>
      </c>
      <c r="DN81" s="42">
        <f t="shared" si="328"/>
        <v>6.1413723821847164</v>
      </c>
      <c r="DO81" s="42">
        <f t="shared" si="328"/>
        <v>3.7380324226326054</v>
      </c>
      <c r="DP81" s="42">
        <f t="shared" si="328"/>
        <v>4.1792806386835819</v>
      </c>
      <c r="DQ81" s="42">
        <f t="shared" si="328"/>
        <v>4.8015961018400457</v>
      </c>
      <c r="DR81" s="42">
        <f t="shared" si="328"/>
        <v>5.5302335364677981</v>
      </c>
      <c r="DS81" s="42">
        <f t="shared" si="328"/>
        <v>4.9773044443280172</v>
      </c>
      <c r="DT81" s="42">
        <f t="shared" si="328"/>
        <v>4.1161912537633309</v>
      </c>
      <c r="DU81" s="42">
        <f t="shared" si="328"/>
        <v>5.4368375823546264</v>
      </c>
      <c r="DV81" s="42">
        <f t="shared" si="328"/>
        <v>5.1006314931757988</v>
      </c>
      <c r="DW81" s="42">
        <f t="shared" si="328"/>
        <v>4.9894287901432577</v>
      </c>
      <c r="DX81" s="42">
        <f t="shared" si="328"/>
        <v>5.3126620850622404</v>
      </c>
      <c r="DY81" s="42">
        <f t="shared" si="328"/>
        <v>5.5663160238214502</v>
      </c>
      <c r="DZ81" s="42">
        <f t="shared" si="328"/>
        <v>5.006746120980436</v>
      </c>
      <c r="EA81" s="42">
        <f t="shared" si="328"/>
        <v>15.146506719982227</v>
      </c>
      <c r="EB81" s="42">
        <f t="shared" si="328"/>
        <v>14.836801223487745</v>
      </c>
      <c r="EC81" s="42">
        <f t="shared" si="328"/>
        <v>17.047660725652452</v>
      </c>
      <c r="ED81" s="42">
        <f t="shared" si="328"/>
        <v>16.369766347812451</v>
      </c>
      <c r="EE81" s="42">
        <f t="shared" si="328"/>
        <v>16.553946530872057</v>
      </c>
      <c r="EF81" s="684">
        <f t="shared" si="328"/>
        <v>18.022483142543514</v>
      </c>
      <c r="EG81" s="44">
        <f t="shared" si="328"/>
        <v>19.88996594183914</v>
      </c>
      <c r="EH81" s="44">
        <f t="shared" si="328"/>
        <v>11.755928196793972</v>
      </c>
      <c r="EI81" s="44">
        <f t="shared" ref="EI81:EP83" si="329">365/EI50</f>
        <v>11.581843873174844</v>
      </c>
      <c r="EJ81" s="44">
        <f t="shared" si="329"/>
        <v>10.729862376037239</v>
      </c>
      <c r="EK81" s="196">
        <f t="shared" si="329"/>
        <v>12.477603228180595</v>
      </c>
      <c r="EL81" s="196">
        <f t="shared" ref="EL81:EM83" si="330">365/EL50</f>
        <v>9.083651633413206</v>
      </c>
      <c r="EM81" s="1718">
        <f t="shared" si="330"/>
        <v>9.0836516334132043</v>
      </c>
      <c r="EN81" s="42">
        <f t="shared" si="329"/>
        <v>9.0836516334132043</v>
      </c>
      <c r="EO81" s="42">
        <f t="shared" si="329"/>
        <v>9.0836516334132043</v>
      </c>
      <c r="EP81" s="42">
        <f t="shared" si="329"/>
        <v>9.0836516334132043</v>
      </c>
      <c r="EQ81" s="42">
        <f t="shared" ref="EQ81:ER83" si="331">365/EQ50</f>
        <v>9.0836516334132043</v>
      </c>
      <c r="ER81" s="42">
        <f t="shared" si="331"/>
        <v>9.0836516334132043</v>
      </c>
      <c r="ES81" s="42">
        <f t="shared" ref="ES81:ET83" si="332">365/ES50</f>
        <v>9.0836516334132043</v>
      </c>
      <c r="ET81" s="42">
        <f t="shared" si="332"/>
        <v>9.0836516334132043</v>
      </c>
      <c r="EU81" s="42">
        <f>365/EU50</f>
        <v>9.0836516334132043</v>
      </c>
      <c r="EV81" s="691"/>
      <c r="EW81"/>
      <c r="EX81"/>
      <c r="EY81"/>
      <c r="EZ81"/>
      <c r="FA81"/>
      <c r="FB81"/>
      <c r="FG81" s="196"/>
      <c r="FH81" s="196"/>
      <c r="FI81" s="196"/>
      <c r="FJ81" s="196"/>
      <c r="FK81"/>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row>
    <row r="82" spans="1:260" s="4" customFormat="1" x14ac:dyDescent="0.2">
      <c r="A82" s="1904" t="s">
        <v>697</v>
      </c>
      <c r="B82" s="42"/>
      <c r="C82" s="42"/>
      <c r="D82" s="42"/>
      <c r="E82" s="620"/>
      <c r="F82" s="42">
        <f t="shared" ref="F82:AK82" si="333">365/F51</f>
        <v>88.289525456247162</v>
      </c>
      <c r="G82" s="42">
        <f t="shared" si="333"/>
        <v>97.13394346351609</v>
      </c>
      <c r="H82" s="42">
        <f t="shared" si="333"/>
        <v>146.16209300439417</v>
      </c>
      <c r="I82" s="620">
        <f t="shared" si="333"/>
        <v>75.482701174474201</v>
      </c>
      <c r="J82" s="42">
        <f t="shared" si="333"/>
        <v>77.00766092886289</v>
      </c>
      <c r="K82" s="42">
        <f t="shared" si="333"/>
        <v>89.225420467567375</v>
      </c>
      <c r="L82" s="42">
        <f t="shared" si="333"/>
        <v>126.14521622892138</v>
      </c>
      <c r="M82" s="620">
        <f t="shared" si="333"/>
        <v>69.801849327729229</v>
      </c>
      <c r="N82" s="42">
        <f t="shared" si="333"/>
        <v>75.787927747037287</v>
      </c>
      <c r="O82" s="42">
        <f t="shared" si="333"/>
        <v>76.801638161468901</v>
      </c>
      <c r="P82" s="42">
        <f t="shared" si="333"/>
        <v>96.872400767158069</v>
      </c>
      <c r="Q82" s="620">
        <f t="shared" si="333"/>
        <v>61.563427377625267</v>
      </c>
      <c r="R82" s="42">
        <f t="shared" si="333"/>
        <v>60.7800922481104</v>
      </c>
      <c r="S82" s="42">
        <f t="shared" si="333"/>
        <v>65.29202463610477</v>
      </c>
      <c r="T82" s="42">
        <f t="shared" si="333"/>
        <v>92.151243474354274</v>
      </c>
      <c r="U82" s="620">
        <f t="shared" si="333"/>
        <v>55.107250507182243</v>
      </c>
      <c r="V82" s="42">
        <f t="shared" si="333"/>
        <v>55.384568320336186</v>
      </c>
      <c r="W82" s="42">
        <f t="shared" si="333"/>
        <v>56.657215991324144</v>
      </c>
      <c r="X82" s="42">
        <f t="shared" si="333"/>
        <v>78.804455754153167</v>
      </c>
      <c r="Y82" s="620">
        <f t="shared" si="333"/>
        <v>46.293078297135693</v>
      </c>
      <c r="Z82" s="42">
        <f t="shared" si="333"/>
        <v>47.257046073633518</v>
      </c>
      <c r="AA82" s="42">
        <f t="shared" si="333"/>
        <v>52.404895515970871</v>
      </c>
      <c r="AB82" s="42">
        <f t="shared" si="333"/>
        <v>80.546201350616769</v>
      </c>
      <c r="AC82" s="620">
        <f t="shared" si="333"/>
        <v>42.774074970244321</v>
      </c>
      <c r="AD82" s="42">
        <f t="shared" si="333"/>
        <v>45.524138395810645</v>
      </c>
      <c r="AE82" s="42">
        <f t="shared" si="333"/>
        <v>48.791257951212138</v>
      </c>
      <c r="AF82" s="42">
        <f t="shared" si="333"/>
        <v>74.369413071361706</v>
      </c>
      <c r="AG82" s="620">
        <f t="shared" si="333"/>
        <v>52.575610225324624</v>
      </c>
      <c r="AH82" s="42">
        <f t="shared" si="333"/>
        <v>56.666247389805612</v>
      </c>
      <c r="AI82" s="42">
        <f t="shared" si="333"/>
        <v>56.747955262473965</v>
      </c>
      <c r="AJ82" s="42">
        <f t="shared" si="333"/>
        <v>89.284400944797241</v>
      </c>
      <c r="AK82" s="620">
        <f t="shared" si="333"/>
        <v>45.122634667369944</v>
      </c>
      <c r="AL82" s="42">
        <f t="shared" ref="AL82:BQ82" si="334">365/AL51</f>
        <v>62.299196787148595</v>
      </c>
      <c r="AM82" s="42">
        <f t="shared" si="334"/>
        <v>49.610973045306821</v>
      </c>
      <c r="AN82" s="42">
        <f t="shared" si="334"/>
        <v>78.846081029912924</v>
      </c>
      <c r="AO82" s="620">
        <f t="shared" si="334"/>
        <v>48.256206238064927</v>
      </c>
      <c r="AP82" s="42">
        <f t="shared" si="334"/>
        <v>53.781345280318583</v>
      </c>
      <c r="AQ82" s="42">
        <f t="shared" si="334"/>
        <v>57.986345043310877</v>
      </c>
      <c r="AR82" s="42">
        <f t="shared" si="334"/>
        <v>93.482561166059341</v>
      </c>
      <c r="AS82" s="620">
        <f t="shared" si="334"/>
        <v>51.566411965534058</v>
      </c>
      <c r="AT82" s="42">
        <f t="shared" si="334"/>
        <v>55.59488974814505</v>
      </c>
      <c r="AU82" s="42">
        <f t="shared" si="334"/>
        <v>55.275552626242138</v>
      </c>
      <c r="AV82" s="42">
        <f t="shared" si="334"/>
        <v>86.849916181836122</v>
      </c>
      <c r="AW82" s="620">
        <f t="shared" si="334"/>
        <v>49.699828063807431</v>
      </c>
      <c r="AX82" s="42">
        <f t="shared" si="334"/>
        <v>55.887951242381625</v>
      </c>
      <c r="AY82" s="42">
        <f t="shared" si="334"/>
        <v>54.638201833172126</v>
      </c>
      <c r="AZ82" s="42">
        <f t="shared" si="334"/>
        <v>87.551232283109144</v>
      </c>
      <c r="BA82" s="620">
        <f t="shared" si="334"/>
        <v>52.693106132687483</v>
      </c>
      <c r="BB82" s="42">
        <f t="shared" si="334"/>
        <v>57.417284054554642</v>
      </c>
      <c r="BC82" s="42">
        <f t="shared" si="334"/>
        <v>60.405665004496036</v>
      </c>
      <c r="BD82" s="42">
        <f t="shared" si="334"/>
        <v>87.437886364531238</v>
      </c>
      <c r="BE82" s="620">
        <f t="shared" si="334"/>
        <v>54.12184796613289</v>
      </c>
      <c r="BF82" s="42">
        <f t="shared" si="334"/>
        <v>56.015496679283011</v>
      </c>
      <c r="BG82" s="42">
        <f t="shared" si="334"/>
        <v>58.695877714759995</v>
      </c>
      <c r="BH82" s="42">
        <f t="shared" si="334"/>
        <v>90.566285923607182</v>
      </c>
      <c r="BI82" s="620">
        <f t="shared" si="334"/>
        <v>56.384158545788623</v>
      </c>
      <c r="BJ82" s="42">
        <f t="shared" si="334"/>
        <v>58.366880731013765</v>
      </c>
      <c r="BK82" s="42">
        <f t="shared" si="334"/>
        <v>69.400928117603087</v>
      </c>
      <c r="BL82" s="42">
        <f t="shared" si="334"/>
        <v>90.347297623356255</v>
      </c>
      <c r="BM82" s="620">
        <f t="shared" si="334"/>
        <v>50.999353264544197</v>
      </c>
      <c r="BN82" s="42">
        <f t="shared" si="334"/>
        <v>57.709089861087094</v>
      </c>
      <c r="BO82" s="42">
        <f t="shared" si="334"/>
        <v>58.804189128481582</v>
      </c>
      <c r="BP82" s="42">
        <f t="shared" si="334"/>
        <v>90.878005491000863</v>
      </c>
      <c r="BQ82" s="620">
        <f t="shared" si="334"/>
        <v>53.348697181222356</v>
      </c>
      <c r="BR82" s="42">
        <f t="shared" ref="BR82:CJ82" si="335">365/BR51</f>
        <v>60.865359305080283</v>
      </c>
      <c r="BS82" s="42">
        <f t="shared" si="335"/>
        <v>60.838126756494098</v>
      </c>
      <c r="BT82" s="42">
        <f t="shared" si="335"/>
        <v>96.927542350519815</v>
      </c>
      <c r="BU82" s="620">
        <f t="shared" si="335"/>
        <v>57.228071574805242</v>
      </c>
      <c r="BV82" s="42">
        <f t="shared" si="335"/>
        <v>61.391939453280052</v>
      </c>
      <c r="BW82" s="42">
        <f t="shared" si="335"/>
        <v>61.757656633987793</v>
      </c>
      <c r="BX82" s="42">
        <f t="shared" si="335"/>
        <v>88.348953821112602</v>
      </c>
      <c r="BY82" s="620">
        <f t="shared" si="335"/>
        <v>54.536839086453227</v>
      </c>
      <c r="BZ82" s="42">
        <f t="shared" si="335"/>
        <v>56.92712217450562</v>
      </c>
      <c r="CA82" s="42">
        <f t="shared" si="335"/>
        <v>59.88110431045709</v>
      </c>
      <c r="CB82" s="42">
        <f t="shared" si="335"/>
        <v>79.582431095784216</v>
      </c>
      <c r="CC82" s="620">
        <f t="shared" si="335"/>
        <v>63.480361018474404</v>
      </c>
      <c r="CD82" s="691">
        <f t="shared" si="335"/>
        <v>55.51960893543535</v>
      </c>
      <c r="CE82" s="196">
        <f t="shared" si="335"/>
        <v>57.448616257526631</v>
      </c>
      <c r="CF82" s="196">
        <f t="shared" si="335"/>
        <v>76.697482534329083</v>
      </c>
      <c r="CG82" s="631">
        <f t="shared" si="335"/>
        <v>62.340831109416698</v>
      </c>
      <c r="CH82" s="691">
        <f t="shared" si="335"/>
        <v>61.231444533120509</v>
      </c>
      <c r="CI82" s="196">
        <f t="shared" si="335"/>
        <v>65.353741060261058</v>
      </c>
      <c r="CJ82" s="196">
        <f t="shared" si="335"/>
        <v>80.447837475244356</v>
      </c>
      <c r="CK82" s="631">
        <f>365/CK51</f>
        <v>60.351207976479607</v>
      </c>
      <c r="CL82" s="196">
        <f t="shared" si="321"/>
        <v>57.641424819014667</v>
      </c>
      <c r="CM82" s="196">
        <f t="shared" si="321"/>
        <v>58.472578576010264</v>
      </c>
      <c r="CN82" s="196">
        <f t="shared" si="321"/>
        <v>78.482316048105517</v>
      </c>
      <c r="CO82" s="631">
        <f t="shared" si="322"/>
        <v>60.597390218248755</v>
      </c>
      <c r="CP82" s="196">
        <f t="shared" si="322"/>
        <v>56.832909888804565</v>
      </c>
      <c r="CQ82" s="196">
        <f t="shared" si="323"/>
        <v>59.054557441898794</v>
      </c>
      <c r="CR82" s="196">
        <f t="shared" si="323"/>
        <v>76.091244361026042</v>
      </c>
      <c r="CS82" s="631">
        <f t="shared" si="323"/>
        <v>58.892058647913494</v>
      </c>
      <c r="CT82" s="196">
        <f t="shared" si="324"/>
        <v>56.097079977461803</v>
      </c>
      <c r="CU82" s="196">
        <f t="shared" si="324"/>
        <v>61.860957129268208</v>
      </c>
      <c r="CV82" s="196">
        <f t="shared" si="324"/>
        <v>78.999350332954364</v>
      </c>
      <c r="CW82" s="631">
        <f t="shared" si="324"/>
        <v>58.908907823392717</v>
      </c>
      <c r="CX82" s="1718">
        <f t="shared" ref="CX82:CY82" si="336">365/CX51</f>
        <v>56.097079977461803</v>
      </c>
      <c r="CY82" s="196">
        <f t="shared" si="336"/>
        <v>61.860957129268208</v>
      </c>
      <c r="CZ82" s="196">
        <f t="shared" ref="CZ82:DA82" si="337">365/CZ51</f>
        <v>78.999350332954364</v>
      </c>
      <c r="DA82" s="631">
        <f t="shared" si="337"/>
        <v>58.908907823392717</v>
      </c>
      <c r="DB82" s="684"/>
      <c r="DC82" s="620"/>
      <c r="DD82" s="42">
        <f t="shared" si="327"/>
        <v>102.48397534251465</v>
      </c>
      <c r="DE82" s="42">
        <f t="shared" si="327"/>
        <v>127.04062165298106</v>
      </c>
      <c r="DF82" s="42">
        <f t="shared" si="327"/>
        <v>107.31544575476494</v>
      </c>
      <c r="DG82" s="42">
        <f t="shared" si="327"/>
        <v>95.16751710541574</v>
      </c>
      <c r="DH82" s="42">
        <f t="shared" si="327"/>
        <v>86.473724169382109</v>
      </c>
      <c r="DI82" s="42">
        <f t="shared" si="327"/>
        <v>66.756364136813161</v>
      </c>
      <c r="DJ82" s="42">
        <f t="shared" si="327"/>
        <v>66.228804616432683</v>
      </c>
      <c r="DK82" s="42">
        <f t="shared" si="327"/>
        <v>68.30130230009641</v>
      </c>
      <c r="DL82" s="42"/>
      <c r="DM82" s="42">
        <f t="shared" ref="DM82:EH82" si="338">365/DM51</f>
        <v>75.482701174474201</v>
      </c>
      <c r="DN82" s="42">
        <f t="shared" si="338"/>
        <v>69.801849327729244</v>
      </c>
      <c r="DO82" s="42">
        <f t="shared" si="338"/>
        <v>61.56342737762526</v>
      </c>
      <c r="DP82" s="42">
        <f t="shared" si="338"/>
        <v>55.10725050718225</v>
      </c>
      <c r="DQ82" s="42">
        <f t="shared" si="338"/>
        <v>46.293078297135693</v>
      </c>
      <c r="DR82" s="42">
        <f t="shared" si="338"/>
        <v>42.774074970244321</v>
      </c>
      <c r="DS82" s="42">
        <f t="shared" si="338"/>
        <v>52.575610225324624</v>
      </c>
      <c r="DT82" s="42">
        <f t="shared" si="338"/>
        <v>45.122634667369944</v>
      </c>
      <c r="DU82" s="42">
        <f t="shared" si="338"/>
        <v>48.256206238064927</v>
      </c>
      <c r="DV82" s="42">
        <f t="shared" si="338"/>
        <v>51.566411965534058</v>
      </c>
      <c r="DW82" s="42">
        <f t="shared" si="338"/>
        <v>49.699828063807431</v>
      </c>
      <c r="DX82" s="42">
        <f t="shared" si="338"/>
        <v>52.693106132687483</v>
      </c>
      <c r="DY82" s="42">
        <f t="shared" si="338"/>
        <v>54.12184796613289</v>
      </c>
      <c r="DZ82" s="42">
        <f t="shared" si="338"/>
        <v>56.384158545788623</v>
      </c>
      <c r="EA82" s="42">
        <f t="shared" si="338"/>
        <v>50.999353264544197</v>
      </c>
      <c r="EB82" s="42">
        <f t="shared" si="338"/>
        <v>53.348697181222356</v>
      </c>
      <c r="EC82" s="42">
        <f t="shared" si="338"/>
        <v>57.228071574805242</v>
      </c>
      <c r="ED82" s="42">
        <f t="shared" si="338"/>
        <v>54.536839086453227</v>
      </c>
      <c r="EE82" s="42">
        <f t="shared" si="338"/>
        <v>71.522958708888368</v>
      </c>
      <c r="EF82" s="684">
        <f t="shared" si="338"/>
        <v>64.738111377620186</v>
      </c>
      <c r="EG82" s="44">
        <f t="shared" si="338"/>
        <v>63.480361018474404</v>
      </c>
      <c r="EH82" s="44">
        <f t="shared" si="338"/>
        <v>62.340831109416698</v>
      </c>
      <c r="EI82" s="44">
        <f t="shared" si="329"/>
        <v>60.351207976479607</v>
      </c>
      <c r="EJ82" s="44">
        <f t="shared" si="329"/>
        <v>60.597390218248755</v>
      </c>
      <c r="EK82" s="196">
        <f t="shared" si="329"/>
        <v>58.892058647913494</v>
      </c>
      <c r="EL82" s="196">
        <f t="shared" si="330"/>
        <v>58.908907823392717</v>
      </c>
      <c r="EM82" s="1718">
        <f t="shared" si="330"/>
        <v>58.908907823392724</v>
      </c>
      <c r="EN82" s="42">
        <f t="shared" si="329"/>
        <v>58.908907823392724</v>
      </c>
      <c r="EO82" s="42">
        <f t="shared" si="329"/>
        <v>58.908907823392724</v>
      </c>
      <c r="EP82" s="42">
        <f t="shared" si="329"/>
        <v>58.908907823392724</v>
      </c>
      <c r="EQ82" s="42">
        <f t="shared" si="331"/>
        <v>58.908907823392724</v>
      </c>
      <c r="ER82" s="42">
        <f t="shared" si="331"/>
        <v>58.908907823392724</v>
      </c>
      <c r="ES82" s="42">
        <f t="shared" si="332"/>
        <v>58.908907823392724</v>
      </c>
      <c r="ET82" s="42">
        <f t="shared" si="332"/>
        <v>58.908907823392724</v>
      </c>
      <c r="EU82" s="42">
        <f>365/EU51</f>
        <v>58.908907823392724</v>
      </c>
      <c r="EV82" s="691"/>
      <c r="EW82"/>
      <c r="EX82"/>
      <c r="EY82"/>
      <c r="EZ82"/>
      <c r="FA82"/>
      <c r="FB82"/>
      <c r="FG82" s="196"/>
      <c r="FH82" s="196"/>
      <c r="FI82" s="196"/>
      <c r="FJ82" s="196"/>
      <c r="FK82"/>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row>
    <row r="83" spans="1:260" s="1242" customFormat="1" x14ac:dyDescent="0.2">
      <c r="A83" s="270" t="s">
        <v>382</v>
      </c>
      <c r="B83" s="43"/>
      <c r="C83" s="43"/>
      <c r="D83" s="43"/>
      <c r="E83" s="621"/>
      <c r="F83" s="43">
        <f t="shared" ref="F83:AK83" si="339">365/F52</f>
        <v>39.182755000230031</v>
      </c>
      <c r="G83" s="43">
        <f t="shared" si="339"/>
        <v>54.156532415836921</v>
      </c>
      <c r="H83" s="43">
        <f t="shared" si="339"/>
        <v>77.214437719111189</v>
      </c>
      <c r="I83" s="621">
        <f t="shared" si="339"/>
        <v>33.819801404065011</v>
      </c>
      <c r="J83" s="43">
        <f t="shared" si="339"/>
        <v>34.45900977895532</v>
      </c>
      <c r="K83" s="43">
        <f t="shared" si="339"/>
        <v>46.562147796471216</v>
      </c>
      <c r="L83" s="43">
        <f t="shared" si="339"/>
        <v>71.756036560331452</v>
      </c>
      <c r="M83" s="621">
        <f t="shared" si="339"/>
        <v>39.159496356957789</v>
      </c>
      <c r="N83" s="43">
        <f t="shared" si="339"/>
        <v>28.527729321524657</v>
      </c>
      <c r="O83" s="43">
        <f t="shared" si="339"/>
        <v>32.872985062410891</v>
      </c>
      <c r="P83" s="43">
        <f t="shared" si="339"/>
        <v>55.029028108652625</v>
      </c>
      <c r="Q83" s="621">
        <f t="shared" si="339"/>
        <v>26.527559960797419</v>
      </c>
      <c r="R83" s="43">
        <f t="shared" si="339"/>
        <v>28.492504278468925</v>
      </c>
      <c r="S83" s="43">
        <f t="shared" si="339"/>
        <v>33.948077133237938</v>
      </c>
      <c r="T83" s="43">
        <f t="shared" si="339"/>
        <v>63.244960712730602</v>
      </c>
      <c r="U83" s="621">
        <f t="shared" si="339"/>
        <v>37.771699387168418</v>
      </c>
      <c r="V83" s="43">
        <f t="shared" si="339"/>
        <v>35.374140243474749</v>
      </c>
      <c r="W83" s="43">
        <f t="shared" si="339"/>
        <v>41.723627219965103</v>
      </c>
      <c r="X83" s="43">
        <f t="shared" si="339"/>
        <v>71.746501939810955</v>
      </c>
      <c r="Y83" s="621">
        <f t="shared" si="339"/>
        <v>44.761428405370445</v>
      </c>
      <c r="Z83" s="43">
        <f t="shared" si="339"/>
        <v>36.879210033146137</v>
      </c>
      <c r="AA83" s="43">
        <f t="shared" si="339"/>
        <v>43.096195976741591</v>
      </c>
      <c r="AB83" s="43">
        <f t="shared" si="339"/>
        <v>80.070901552054266</v>
      </c>
      <c r="AC83" s="621">
        <f t="shared" si="339"/>
        <v>47.481177839639919</v>
      </c>
      <c r="AD83" s="43">
        <f t="shared" si="339"/>
        <v>42.371401261854203</v>
      </c>
      <c r="AE83" s="43">
        <f t="shared" si="339"/>
        <v>49.527982505039638</v>
      </c>
      <c r="AF83" s="43">
        <f t="shared" si="339"/>
        <v>79.320984817951512</v>
      </c>
      <c r="AG83" s="621">
        <f t="shared" si="339"/>
        <v>52.754135217600769</v>
      </c>
      <c r="AH83" s="43">
        <f t="shared" si="339"/>
        <v>52.118073066242211</v>
      </c>
      <c r="AI83" s="43">
        <f t="shared" si="339"/>
        <v>55.825665358590548</v>
      </c>
      <c r="AJ83" s="43">
        <f t="shared" si="339"/>
        <v>94.085470206356163</v>
      </c>
      <c r="AK83" s="621">
        <f t="shared" si="339"/>
        <v>52.992022153359265</v>
      </c>
      <c r="AL83" s="43">
        <f t="shared" ref="AL83:BQ83" si="340">365/AL52</f>
        <v>57.310532452390206</v>
      </c>
      <c r="AM83" s="43">
        <f t="shared" si="340"/>
        <v>48.401516599757855</v>
      </c>
      <c r="AN83" s="43">
        <f t="shared" si="340"/>
        <v>84.627666288022212</v>
      </c>
      <c r="AO83" s="621">
        <f t="shared" si="340"/>
        <v>50.997772119669001</v>
      </c>
      <c r="AP83" s="43">
        <f t="shared" si="340"/>
        <v>53.531516395992782</v>
      </c>
      <c r="AQ83" s="43">
        <f t="shared" si="340"/>
        <v>56.866578440808475</v>
      </c>
      <c r="AR83" s="43">
        <f t="shared" si="340"/>
        <v>95.023714500549474</v>
      </c>
      <c r="AS83" s="621">
        <f t="shared" si="340"/>
        <v>48.658754674036743</v>
      </c>
      <c r="AT83" s="43">
        <f t="shared" si="340"/>
        <v>49.797000731528897</v>
      </c>
      <c r="AU83" s="43">
        <f t="shared" si="340"/>
        <v>49.927499493003445</v>
      </c>
      <c r="AV83" s="43">
        <f t="shared" si="340"/>
        <v>90.125234197810869</v>
      </c>
      <c r="AW83" s="621">
        <f t="shared" si="340"/>
        <v>49.229152736651066</v>
      </c>
      <c r="AX83" s="43">
        <f t="shared" si="340"/>
        <v>52.140412564463197</v>
      </c>
      <c r="AY83" s="43">
        <f t="shared" si="340"/>
        <v>46.400442172170791</v>
      </c>
      <c r="AZ83" s="43">
        <f t="shared" si="340"/>
        <v>87.732463663446779</v>
      </c>
      <c r="BA83" s="621">
        <f t="shared" si="340"/>
        <v>51.051379638439585</v>
      </c>
      <c r="BB83" s="43">
        <f t="shared" si="340"/>
        <v>46.938668125947132</v>
      </c>
      <c r="BC83" s="43">
        <f t="shared" si="340"/>
        <v>57.556200441428921</v>
      </c>
      <c r="BD83" s="43">
        <f t="shared" si="340"/>
        <v>91.002086860652838</v>
      </c>
      <c r="BE83" s="621">
        <f t="shared" si="340"/>
        <v>52.858825694827907</v>
      </c>
      <c r="BF83" s="43">
        <f t="shared" si="340"/>
        <v>51.571270442048132</v>
      </c>
      <c r="BG83" s="43">
        <f t="shared" si="340"/>
        <v>54.429381657214002</v>
      </c>
      <c r="BH83" s="43">
        <f t="shared" si="340"/>
        <v>92.340903793000095</v>
      </c>
      <c r="BI83" s="621">
        <f t="shared" si="340"/>
        <v>51.461922105194084</v>
      </c>
      <c r="BJ83" s="43">
        <f t="shared" si="340"/>
        <v>54.775072686028302</v>
      </c>
      <c r="BK83" s="43">
        <f t="shared" si="340"/>
        <v>67.343341223371127</v>
      </c>
      <c r="BL83" s="43">
        <f t="shared" si="340"/>
        <v>90.47940041018218</v>
      </c>
      <c r="BM83" s="621">
        <f t="shared" si="340"/>
        <v>53.617455977893407</v>
      </c>
      <c r="BN83" s="43">
        <f t="shared" si="340"/>
        <v>52.554614098795319</v>
      </c>
      <c r="BO83" s="43">
        <f t="shared" si="340"/>
        <v>55.412033917340523</v>
      </c>
      <c r="BP83" s="43">
        <f t="shared" si="340"/>
        <v>91.940846945284122</v>
      </c>
      <c r="BQ83" s="621">
        <f t="shared" si="340"/>
        <v>51.30654872915224</v>
      </c>
      <c r="BR83" s="43">
        <f t="shared" ref="BR83:CJ83" si="341">365/BR52</f>
        <v>56.30165833113977</v>
      </c>
      <c r="BS83" s="43">
        <f t="shared" si="341"/>
        <v>53.427494549943525</v>
      </c>
      <c r="BT83" s="43">
        <f t="shared" si="341"/>
        <v>94.943532640244868</v>
      </c>
      <c r="BU83" s="621">
        <f t="shared" si="341"/>
        <v>47.494350057164127</v>
      </c>
      <c r="BV83" s="43">
        <f t="shared" si="341"/>
        <v>55.190928577099157</v>
      </c>
      <c r="BW83" s="43">
        <f t="shared" si="341"/>
        <v>56.231007055466009</v>
      </c>
      <c r="BX83" s="43">
        <f t="shared" si="341"/>
        <v>96.436428552676489</v>
      </c>
      <c r="BY83" s="621">
        <f t="shared" si="341"/>
        <v>51.044425904682448</v>
      </c>
      <c r="BZ83" s="43">
        <f t="shared" si="341"/>
        <v>53.792141332579014</v>
      </c>
      <c r="CA83" s="43">
        <f t="shared" si="341"/>
        <v>57.561531449407475</v>
      </c>
      <c r="CB83" s="43">
        <f t="shared" si="341"/>
        <v>77.406501456946557</v>
      </c>
      <c r="CC83" s="621">
        <f t="shared" si="341"/>
        <v>67.151421311735746</v>
      </c>
      <c r="CD83" s="1100">
        <f t="shared" si="341"/>
        <v>48.555512227731043</v>
      </c>
      <c r="CE83" s="142">
        <f t="shared" si="341"/>
        <v>52.493052339045853</v>
      </c>
      <c r="CF83" s="142">
        <f t="shared" si="341"/>
        <v>72.300951577933034</v>
      </c>
      <c r="CG83" s="659">
        <f t="shared" si="341"/>
        <v>59.395412377684586</v>
      </c>
      <c r="CH83" s="1100">
        <f t="shared" si="341"/>
        <v>57.700877893056671</v>
      </c>
      <c r="CI83" s="142">
        <f t="shared" si="341"/>
        <v>61.385459093678847</v>
      </c>
      <c r="CJ83" s="142">
        <f t="shared" si="341"/>
        <v>77.253242189995518</v>
      </c>
      <c r="CK83" s="659">
        <f>365/CK52</f>
        <v>58.67154544292471</v>
      </c>
      <c r="CL83" s="142">
        <f t="shared" si="321"/>
        <v>53.596002306361719</v>
      </c>
      <c r="CM83" s="142">
        <f t="shared" si="321"/>
        <v>54.785118665811417</v>
      </c>
      <c r="CN83" s="142">
        <f t="shared" si="321"/>
        <v>72.971679813785087</v>
      </c>
      <c r="CO83" s="659">
        <f t="shared" si="322"/>
        <v>53.387128582697869</v>
      </c>
      <c r="CP83" s="142">
        <f t="shared" si="322"/>
        <v>52.954927904444517</v>
      </c>
      <c r="CQ83" s="142">
        <f t="shared" si="323"/>
        <v>57.755068402835015</v>
      </c>
      <c r="CR83" s="142">
        <f t="shared" si="323"/>
        <v>74.913398531397149</v>
      </c>
      <c r="CS83" s="659">
        <f t="shared" si="323"/>
        <v>60.344987726398195</v>
      </c>
      <c r="CT83" s="142">
        <f t="shared" si="324"/>
        <v>55.637367008054092</v>
      </c>
      <c r="CU83" s="142">
        <f t="shared" si="324"/>
        <v>60.723587102699511</v>
      </c>
      <c r="CV83" s="142">
        <f t="shared" si="324"/>
        <v>78.09826214065292</v>
      </c>
      <c r="CW83" s="659">
        <f t="shared" si="324"/>
        <v>55.109062742060416</v>
      </c>
      <c r="CX83" s="1730">
        <f t="shared" ref="CX83:CY83" si="342">365/CX52</f>
        <v>55.637367008054092</v>
      </c>
      <c r="CY83" s="142">
        <f t="shared" si="342"/>
        <v>60.723587102699511</v>
      </c>
      <c r="CZ83" s="142">
        <f t="shared" ref="CZ83:DA83" si="343">365/CZ52</f>
        <v>78.09826214065292</v>
      </c>
      <c r="DA83" s="659">
        <f t="shared" si="343"/>
        <v>55.109062742060416</v>
      </c>
      <c r="DB83" s="684"/>
      <c r="DC83" s="620"/>
      <c r="DD83" s="43">
        <f t="shared" ref="DD83:DK83" si="344">365/DD52</f>
        <v>35.047600667841373</v>
      </c>
      <c r="DE83" s="43">
        <f t="shared" si="344"/>
        <v>25.00945532845412</v>
      </c>
      <c r="DF83" s="43">
        <f t="shared" si="344"/>
        <v>26.73338778165347</v>
      </c>
      <c r="DG83" s="43">
        <f t="shared" si="344"/>
        <v>21.471738655717974</v>
      </c>
      <c r="DH83" s="43">
        <f t="shared" si="344"/>
        <v>27.6277741402108</v>
      </c>
      <c r="DI83" s="43">
        <f t="shared" si="344"/>
        <v>29.232595390373223</v>
      </c>
      <c r="DJ83" s="43">
        <f t="shared" si="344"/>
        <v>26.954603742836913</v>
      </c>
      <c r="DK83" s="43">
        <f t="shared" si="344"/>
        <v>25.5466995622571</v>
      </c>
      <c r="DL83" s="43"/>
      <c r="DM83" s="43">
        <f t="shared" ref="DM83:EH83" si="345">365/DM52</f>
        <v>33.819801404065011</v>
      </c>
      <c r="DN83" s="43">
        <f t="shared" si="345"/>
        <v>39.159496356957796</v>
      </c>
      <c r="DO83" s="43">
        <f t="shared" si="345"/>
        <v>26.527559960797415</v>
      </c>
      <c r="DP83" s="43">
        <f t="shared" si="345"/>
        <v>37.771699387168425</v>
      </c>
      <c r="DQ83" s="43">
        <f t="shared" si="345"/>
        <v>44.761428405370445</v>
      </c>
      <c r="DR83" s="43">
        <f t="shared" si="345"/>
        <v>47.481177839639919</v>
      </c>
      <c r="DS83" s="43">
        <f t="shared" si="345"/>
        <v>52.754135217600769</v>
      </c>
      <c r="DT83" s="43">
        <f t="shared" si="345"/>
        <v>52.992022153359265</v>
      </c>
      <c r="DU83" s="43">
        <f t="shared" si="345"/>
        <v>50.997772119669001</v>
      </c>
      <c r="DV83" s="43">
        <f t="shared" si="345"/>
        <v>48.658754674036743</v>
      </c>
      <c r="DW83" s="43">
        <f t="shared" si="345"/>
        <v>49.229152736651066</v>
      </c>
      <c r="DX83" s="43">
        <f t="shared" si="345"/>
        <v>51.051379638439585</v>
      </c>
      <c r="DY83" s="43">
        <f t="shared" si="345"/>
        <v>52.858825694827907</v>
      </c>
      <c r="DZ83" s="43">
        <f t="shared" si="345"/>
        <v>51.461922105194084</v>
      </c>
      <c r="EA83" s="43">
        <f t="shared" si="345"/>
        <v>53.617455977893407</v>
      </c>
      <c r="EB83" s="43">
        <f t="shared" si="345"/>
        <v>51.30654872915224</v>
      </c>
      <c r="EC83" s="43">
        <f t="shared" si="345"/>
        <v>47.494350057164127</v>
      </c>
      <c r="ED83" s="43">
        <f t="shared" si="345"/>
        <v>51.044425904682448</v>
      </c>
      <c r="EE83" s="43">
        <f t="shared" si="345"/>
        <v>64.089229214857355</v>
      </c>
      <c r="EF83" s="1115">
        <f t="shared" si="345"/>
        <v>65.937141516320779</v>
      </c>
      <c r="EG83" s="43">
        <f t="shared" si="345"/>
        <v>67.151421311735746</v>
      </c>
      <c r="EH83" s="43">
        <f t="shared" si="345"/>
        <v>59.395412377684586</v>
      </c>
      <c r="EI83" s="43">
        <f t="shared" si="329"/>
        <v>58.67154544292471</v>
      </c>
      <c r="EJ83" s="43">
        <f t="shared" si="329"/>
        <v>53.387128582697869</v>
      </c>
      <c r="EK83" s="142">
        <f t="shared" si="329"/>
        <v>60.344987726398195</v>
      </c>
      <c r="EL83" s="142">
        <f t="shared" si="330"/>
        <v>55.109062742060416</v>
      </c>
      <c r="EM83" s="1730">
        <f t="shared" si="330"/>
        <v>55.109062742060424</v>
      </c>
      <c r="EN83" s="43">
        <f t="shared" si="329"/>
        <v>55.303030303030305</v>
      </c>
      <c r="EO83" s="43">
        <f t="shared" si="329"/>
        <v>55.303030303030305</v>
      </c>
      <c r="EP83" s="43">
        <f t="shared" si="329"/>
        <v>55.303030303030305</v>
      </c>
      <c r="EQ83" s="43">
        <f t="shared" si="331"/>
        <v>55.303030303030305</v>
      </c>
      <c r="ER83" s="43">
        <f t="shared" si="331"/>
        <v>55.303030303030305</v>
      </c>
      <c r="ES83" s="43">
        <f t="shared" si="332"/>
        <v>55.303030303030305</v>
      </c>
      <c r="ET83" s="43">
        <f t="shared" si="332"/>
        <v>55.303030303030305</v>
      </c>
      <c r="EU83" s="43">
        <f>365/EU52</f>
        <v>55.303030303030305</v>
      </c>
      <c r="EV83" s="691"/>
      <c r="EW83"/>
      <c r="EX83"/>
      <c r="EY83"/>
      <c r="EZ83"/>
      <c r="FA83"/>
      <c r="FB83"/>
      <c r="FC83" s="4"/>
      <c r="FD83" s="4"/>
      <c r="FE83" s="4"/>
      <c r="FF83" s="4"/>
      <c r="FG83" s="196"/>
      <c r="FH83" s="196"/>
      <c r="FI83" s="196"/>
      <c r="FJ83" s="196"/>
      <c r="FK8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row>
    <row r="84" spans="1:260" s="4" customFormat="1" x14ac:dyDescent="0.2">
      <c r="A84" s="41" t="s">
        <v>383</v>
      </c>
      <c r="B84" s="42"/>
      <c r="C84" s="42"/>
      <c r="D84" s="42"/>
      <c r="E84" s="620"/>
      <c r="F84" s="42">
        <f t="shared" ref="F84:AK84" si="346">+F81+F82-F83</f>
        <v>55.997371405339265</v>
      </c>
      <c r="G84" s="42">
        <f t="shared" si="346"/>
        <v>49.459278979322448</v>
      </c>
      <c r="H84" s="42">
        <f t="shared" si="346"/>
        <v>79.647459613096757</v>
      </c>
      <c r="I84" s="620">
        <f t="shared" si="346"/>
        <v>47.730479719357469</v>
      </c>
      <c r="J84" s="42">
        <f t="shared" si="346"/>
        <v>49.179531924820765</v>
      </c>
      <c r="K84" s="42">
        <f t="shared" si="346"/>
        <v>49.737500376875708</v>
      </c>
      <c r="L84" s="42">
        <f t="shared" si="346"/>
        <v>65.020708005045648</v>
      </c>
      <c r="M84" s="620">
        <f t="shared" si="346"/>
        <v>36.783725352956154</v>
      </c>
      <c r="N84" s="42">
        <f t="shared" si="346"/>
        <v>52.303404595063398</v>
      </c>
      <c r="O84" s="42">
        <f t="shared" si="346"/>
        <v>49.728993095762831</v>
      </c>
      <c r="P84" s="42">
        <f t="shared" si="346"/>
        <v>51.750428944567503</v>
      </c>
      <c r="Q84" s="620">
        <f t="shared" si="346"/>
        <v>38.773899839460455</v>
      </c>
      <c r="R84" s="42">
        <f t="shared" si="346"/>
        <v>36.268750236035103</v>
      </c>
      <c r="S84" s="42">
        <f t="shared" si="346"/>
        <v>36.120013726150155</v>
      </c>
      <c r="T84" s="42">
        <f t="shared" si="346"/>
        <v>37.545347291138739</v>
      </c>
      <c r="U84" s="620">
        <f t="shared" si="346"/>
        <v>21.514831758697404</v>
      </c>
      <c r="V84" s="42">
        <f t="shared" si="346"/>
        <v>23.184239219385326</v>
      </c>
      <c r="W84" s="42">
        <f t="shared" si="346"/>
        <v>20.593418321709876</v>
      </c>
      <c r="X84" s="42">
        <f t="shared" si="346"/>
        <v>17.801417942623473</v>
      </c>
      <c r="Y84" s="620">
        <f t="shared" si="346"/>
        <v>6.3332459936052956</v>
      </c>
      <c r="Z84" s="42">
        <f t="shared" si="346"/>
        <v>15.436976365538698</v>
      </c>
      <c r="AA84" s="42">
        <f t="shared" si="346"/>
        <v>15.220334946769071</v>
      </c>
      <c r="AB84" s="42">
        <f t="shared" si="346"/>
        <v>12.504349757833481</v>
      </c>
      <c r="AC84" s="620">
        <f t="shared" si="346"/>
        <v>0.82313066707219917</v>
      </c>
      <c r="AD84" s="42">
        <f t="shared" si="346"/>
        <v>8.7929032560878824</v>
      </c>
      <c r="AE84" s="42">
        <f t="shared" si="346"/>
        <v>4.6757328848101096</v>
      </c>
      <c r="AF84" s="42">
        <f t="shared" si="346"/>
        <v>6.0399354795742397</v>
      </c>
      <c r="AG84" s="620">
        <f t="shared" si="346"/>
        <v>4.7987794520518747</v>
      </c>
      <c r="AH84" s="42">
        <f t="shared" si="346"/>
        <v>8.9345786557082008</v>
      </c>
      <c r="AI84" s="42">
        <f t="shared" si="346"/>
        <v>5.9731029358488357</v>
      </c>
      <c r="AJ84" s="42">
        <f t="shared" si="346"/>
        <v>2.6690888259036001</v>
      </c>
      <c r="AK84" s="620">
        <f t="shared" si="346"/>
        <v>-3.7531962322259886</v>
      </c>
      <c r="AL84" s="42">
        <f t="shared" ref="AL84:BQ84" si="347">+AL81+AL82-AL83</f>
        <v>9.4009118723168399</v>
      </c>
      <c r="AM84" s="42">
        <f t="shared" si="347"/>
        <v>5.3809864523576394</v>
      </c>
      <c r="AN84" s="42">
        <f t="shared" si="347"/>
        <v>4.2425347208752839</v>
      </c>
      <c r="AO84" s="620">
        <f t="shared" si="347"/>
        <v>2.6952717007505527</v>
      </c>
      <c r="AP84" s="42">
        <f t="shared" si="347"/>
        <v>5.3978767079760885</v>
      </c>
      <c r="AQ84" s="42">
        <f t="shared" si="347"/>
        <v>6.0886631044858106</v>
      </c>
      <c r="AR84" s="42">
        <f t="shared" si="347"/>
        <v>9.1787946837035008</v>
      </c>
      <c r="AS84" s="620">
        <f t="shared" si="347"/>
        <v>8.0082887846731126</v>
      </c>
      <c r="AT84" s="42">
        <f t="shared" si="347"/>
        <v>11.138439576641396</v>
      </c>
      <c r="AU84" s="42">
        <f t="shared" si="347"/>
        <v>9.9455953759422258</v>
      </c>
      <c r="AV84" s="42">
        <f t="shared" si="347"/>
        <v>6.8852522335094051</v>
      </c>
      <c r="AW84" s="620">
        <f t="shared" si="347"/>
        <v>5.4601041172996219</v>
      </c>
      <c r="AX84" s="42">
        <f t="shared" si="347"/>
        <v>8.2983366260517997</v>
      </c>
      <c r="AY84" s="42">
        <f t="shared" si="347"/>
        <v>13.186006681284319</v>
      </c>
      <c r="AZ84" s="42">
        <f t="shared" si="347"/>
        <v>10.787899379991813</v>
      </c>
      <c r="BA84" s="620">
        <f t="shared" si="347"/>
        <v>6.954388579310141</v>
      </c>
      <c r="BB84" s="42">
        <f t="shared" si="347"/>
        <v>15.189556633584004</v>
      </c>
      <c r="BC84" s="42">
        <f t="shared" si="347"/>
        <v>8.2589459990904359</v>
      </c>
      <c r="BD84" s="42">
        <f t="shared" si="347"/>
        <v>8.4697179099505036</v>
      </c>
      <c r="BE84" s="620">
        <f t="shared" si="347"/>
        <v>6.8293382951264334</v>
      </c>
      <c r="BF84" s="42">
        <f t="shared" si="347"/>
        <v>9.1523721371860987</v>
      </c>
      <c r="BG84" s="42">
        <f t="shared" si="347"/>
        <v>9.5809589869265253</v>
      </c>
      <c r="BH84" s="42">
        <f t="shared" si="347"/>
        <v>5.0534248604572269</v>
      </c>
      <c r="BI84" s="620">
        <f t="shared" si="347"/>
        <v>9.9289825615749763</v>
      </c>
      <c r="BJ84" s="42">
        <f t="shared" si="347"/>
        <v>8.3268759513282546</v>
      </c>
      <c r="BK84" s="42">
        <f t="shared" si="347"/>
        <v>17.519651113326816</v>
      </c>
      <c r="BL84" s="42">
        <f t="shared" si="347"/>
        <v>21.896998771205602</v>
      </c>
      <c r="BM84" s="620">
        <f t="shared" si="347"/>
        <v>12.528404006633018</v>
      </c>
      <c r="BN84" s="42">
        <f t="shared" si="347"/>
        <v>16.447949309559768</v>
      </c>
      <c r="BO84" s="42">
        <f t="shared" si="347"/>
        <v>17.038888486737264</v>
      </c>
      <c r="BP84" s="42">
        <f t="shared" si="347"/>
        <v>18.992522590425821</v>
      </c>
      <c r="BQ84" s="620">
        <f t="shared" si="347"/>
        <v>16.878949675557863</v>
      </c>
      <c r="BR84" s="42">
        <f t="shared" ref="BR84:CJ84" si="348">+BR81+BR82-BR83</f>
        <v>16.002096560016007</v>
      </c>
      <c r="BS84" s="42">
        <f t="shared" si="348"/>
        <v>19.792542547161581</v>
      </c>
      <c r="BT84" s="42">
        <f t="shared" si="348"/>
        <v>22.143494770291952</v>
      </c>
      <c r="BU84" s="620">
        <f t="shared" si="348"/>
        <v>26.781382243293564</v>
      </c>
      <c r="BV84" s="42">
        <f t="shared" si="348"/>
        <v>18.810430806770881</v>
      </c>
      <c r="BW84" s="42">
        <f t="shared" si="348"/>
        <v>19.603246251335221</v>
      </c>
      <c r="BX84" s="42">
        <f t="shared" si="348"/>
        <v>15.062874780698664</v>
      </c>
      <c r="BY84" s="620">
        <f t="shared" si="348"/>
        <v>19.862179529583237</v>
      </c>
      <c r="BZ84" s="42">
        <f t="shared" si="348"/>
        <v>16.171199547185289</v>
      </c>
      <c r="CA84" s="42">
        <f t="shared" si="348"/>
        <v>17.633706414482781</v>
      </c>
      <c r="CB84" s="42">
        <f t="shared" si="348"/>
        <v>18.753442759548193</v>
      </c>
      <c r="CC84" s="620">
        <f t="shared" si="348"/>
        <v>16.218905648577802</v>
      </c>
      <c r="CD84" s="691">
        <f t="shared" si="348"/>
        <v>14.250255339119548</v>
      </c>
      <c r="CE84" s="196">
        <f t="shared" si="348"/>
        <v>14.564658453781938</v>
      </c>
      <c r="CF84" s="196">
        <f t="shared" si="348"/>
        <v>13.86358410095572</v>
      </c>
      <c r="CG84" s="631">
        <f t="shared" si="348"/>
        <v>14.701346928526085</v>
      </c>
      <c r="CH84" s="691">
        <f t="shared" si="348"/>
        <v>11.41497217550355</v>
      </c>
      <c r="CI84" s="196">
        <f t="shared" si="348"/>
        <v>13.128144128541905</v>
      </c>
      <c r="CJ84" s="196">
        <f t="shared" si="348"/>
        <v>12.88429768843649</v>
      </c>
      <c r="CK84" s="631">
        <f t="shared" ref="CK84:CS84" si="349">+CK81+CK82-CK83</f>
        <v>13.261506406729737</v>
      </c>
      <c r="CL84" s="196">
        <f t="shared" si="349"/>
        <v>13.066610847890665</v>
      </c>
      <c r="CM84" s="196">
        <f t="shared" si="349"/>
        <v>12.96474311995906</v>
      </c>
      <c r="CN84" s="196">
        <f t="shared" si="349"/>
        <v>15.164747018585274</v>
      </c>
      <c r="CO84" s="631">
        <f>+CO81+CO82-CO83</f>
        <v>17.940124011588125</v>
      </c>
      <c r="CP84" s="196">
        <f>+CP81+CP82-CP83</f>
        <v>14.037193412061569</v>
      </c>
      <c r="CQ84" s="196">
        <f t="shared" si="349"/>
        <v>9.8739981465781099</v>
      </c>
      <c r="CR84" s="196">
        <f t="shared" si="349"/>
        <v>12.014129463049898</v>
      </c>
      <c r="CS84" s="631">
        <f t="shared" si="349"/>
        <v>11.02467414969589</v>
      </c>
      <c r="CT84" s="196">
        <f>+CT81+CT82-CT83</f>
        <v>9.8047038527140344</v>
      </c>
      <c r="CU84" s="196">
        <f t="shared" ref="CU84" si="350">+CU81+CU82-CU83</f>
        <v>9.9661706281478359</v>
      </c>
      <c r="CV84" s="196">
        <f t="shared" ref="CV84:DA84" si="351">+CV81+CV82-CV83</f>
        <v>9.7020566551770315</v>
      </c>
      <c r="CW84" s="631">
        <f t="shared" si="351"/>
        <v>12.883496714745505</v>
      </c>
      <c r="CX84" s="1718">
        <f t="shared" si="351"/>
        <v>9.8047038527140344</v>
      </c>
      <c r="CY84" s="196">
        <f t="shared" si="351"/>
        <v>9.9661706281478359</v>
      </c>
      <c r="CZ84" s="196">
        <f t="shared" si="351"/>
        <v>9.7020566551770315</v>
      </c>
      <c r="DA84" s="631">
        <f t="shared" si="351"/>
        <v>12.883496714745505</v>
      </c>
      <c r="DB84" s="684"/>
      <c r="DC84" s="620"/>
      <c r="DD84" s="42">
        <f t="shared" ref="DD84:DK84" si="352">+DD81+DD82-DD83</f>
        <v>78.547623282518856</v>
      </c>
      <c r="DE84" s="42">
        <f t="shared" si="352"/>
        <v>112.38850005870205</v>
      </c>
      <c r="DF84" s="42">
        <f t="shared" si="352"/>
        <v>87.394216318592527</v>
      </c>
      <c r="DG84" s="42">
        <f t="shared" si="352"/>
        <v>78.367470701520446</v>
      </c>
      <c r="DH84" s="42">
        <f t="shared" si="352"/>
        <v>64.05423705266746</v>
      </c>
      <c r="DI84" s="42">
        <f t="shared" si="352"/>
        <v>42.30901233759127</v>
      </c>
      <c r="DJ84" s="42">
        <f t="shared" si="352"/>
        <v>45.548391680873877</v>
      </c>
      <c r="DK84" s="42">
        <f t="shared" si="352"/>
        <v>51.309237430409212</v>
      </c>
      <c r="DL84" s="42"/>
      <c r="DM84" s="42">
        <f t="shared" ref="DM84:EH84" si="353">+DM81+DM82-DM83</f>
        <v>47.730479719357469</v>
      </c>
      <c r="DN84" s="42">
        <f t="shared" si="353"/>
        <v>36.783725352956161</v>
      </c>
      <c r="DO84" s="42">
        <f t="shared" si="353"/>
        <v>38.773899839460441</v>
      </c>
      <c r="DP84" s="42">
        <f t="shared" si="353"/>
        <v>21.514831758697404</v>
      </c>
      <c r="DQ84" s="42">
        <f t="shared" si="353"/>
        <v>6.3332459936052956</v>
      </c>
      <c r="DR84" s="42">
        <f t="shared" si="353"/>
        <v>0.82313066707219917</v>
      </c>
      <c r="DS84" s="42">
        <f t="shared" si="353"/>
        <v>4.7987794520518747</v>
      </c>
      <c r="DT84" s="42">
        <f t="shared" si="353"/>
        <v>-3.7531962322259886</v>
      </c>
      <c r="DU84" s="42">
        <f t="shared" si="353"/>
        <v>2.6952717007505527</v>
      </c>
      <c r="DV84" s="42">
        <f t="shared" si="353"/>
        <v>8.0082887846731126</v>
      </c>
      <c r="DW84" s="42">
        <f t="shared" si="353"/>
        <v>5.4601041172996219</v>
      </c>
      <c r="DX84" s="42">
        <f t="shared" si="353"/>
        <v>6.954388579310141</v>
      </c>
      <c r="DY84" s="42">
        <f t="shared" si="353"/>
        <v>6.8293382951264334</v>
      </c>
      <c r="DZ84" s="42">
        <f t="shared" si="353"/>
        <v>9.9289825615749763</v>
      </c>
      <c r="EA84" s="42">
        <f t="shared" si="353"/>
        <v>12.528404006633018</v>
      </c>
      <c r="EB84" s="42">
        <f t="shared" si="353"/>
        <v>16.878949675557863</v>
      </c>
      <c r="EC84" s="42">
        <f t="shared" si="353"/>
        <v>26.781382243293564</v>
      </c>
      <c r="ED84" s="42">
        <f t="shared" si="353"/>
        <v>19.862179529583237</v>
      </c>
      <c r="EE84" s="42">
        <f t="shared" si="353"/>
        <v>23.987676024903067</v>
      </c>
      <c r="EF84" s="684">
        <f t="shared" si="353"/>
        <v>16.823453003842914</v>
      </c>
      <c r="EG84" s="44">
        <f t="shared" si="353"/>
        <v>16.218905648577802</v>
      </c>
      <c r="EH84" s="44">
        <f t="shared" si="353"/>
        <v>14.701346928526085</v>
      </c>
      <c r="EI84" s="44">
        <f>+EI81+EI82-EI83</f>
        <v>13.261506406729737</v>
      </c>
      <c r="EJ84" s="44">
        <f t="shared" ref="EJ84:EP84" si="354">+EJ81+EJ82-EJ83</f>
        <v>17.940124011588125</v>
      </c>
      <c r="EK84" s="196">
        <f t="shared" si="354"/>
        <v>11.02467414969589</v>
      </c>
      <c r="EL84" s="196">
        <f>+EL81+EL82-EL83</f>
        <v>12.883496714745505</v>
      </c>
      <c r="EM84" s="1718">
        <f>+EM81+EM82-EM83</f>
        <v>12.883496714745512</v>
      </c>
      <c r="EN84" s="42">
        <f t="shared" si="354"/>
        <v>12.689529153775631</v>
      </c>
      <c r="EO84" s="42">
        <f t="shared" si="354"/>
        <v>12.689529153775631</v>
      </c>
      <c r="EP84" s="42">
        <f t="shared" si="354"/>
        <v>12.689529153775631</v>
      </c>
      <c r="EQ84" s="42">
        <f>+EQ81+EQ82-EQ83</f>
        <v>12.689529153775631</v>
      </c>
      <c r="ER84" s="42">
        <f>+ER81+ER82-ER83</f>
        <v>12.689529153775631</v>
      </c>
      <c r="ES84" s="42">
        <f>+ES81+ES82-ES83</f>
        <v>12.689529153775631</v>
      </c>
      <c r="ET84" s="42">
        <f>+ET81+ET82-ET83</f>
        <v>12.689529153775631</v>
      </c>
      <c r="EU84" s="42">
        <f>+EU81+EU82-EU83</f>
        <v>12.689529153775631</v>
      </c>
      <c r="EV84" s="691"/>
      <c r="EW84"/>
      <c r="EX84"/>
      <c r="EY84"/>
      <c r="EZ84"/>
      <c r="FA84"/>
      <c r="FB84"/>
      <c r="FG84" s="196"/>
      <c r="FH84" s="196"/>
      <c r="FI84" s="196"/>
      <c r="FJ84" s="196"/>
      <c r="FK84"/>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row>
    <row r="85" spans="1:260" s="279" customFormat="1" ht="11.25" customHeight="1" x14ac:dyDescent="0.2">
      <c r="A85" s="295"/>
      <c r="B85" s="302"/>
      <c r="C85" s="302"/>
      <c r="D85" s="302"/>
      <c r="E85" s="622"/>
      <c r="F85" s="302"/>
      <c r="G85" s="302"/>
      <c r="H85" s="302"/>
      <c r="I85" s="622"/>
      <c r="J85" s="302"/>
      <c r="K85" s="302"/>
      <c r="L85" s="302"/>
      <c r="M85" s="622"/>
      <c r="N85" s="302"/>
      <c r="O85" s="302"/>
      <c r="P85" s="302"/>
      <c r="Q85" s="622"/>
      <c r="R85" s="302"/>
      <c r="S85" s="302"/>
      <c r="T85" s="302"/>
      <c r="U85" s="622"/>
      <c r="V85" s="302"/>
      <c r="W85" s="302"/>
      <c r="X85" s="302"/>
      <c r="Y85" s="622"/>
      <c r="Z85" s="302"/>
      <c r="AA85" s="302"/>
      <c r="AB85" s="302"/>
      <c r="AC85" s="622"/>
      <c r="AD85" s="302"/>
      <c r="AE85" s="302"/>
      <c r="AF85" s="302"/>
      <c r="AG85" s="622"/>
      <c r="AH85" s="302"/>
      <c r="AI85" s="302"/>
      <c r="AJ85" s="302"/>
      <c r="AK85" s="622"/>
      <c r="AL85" s="302"/>
      <c r="AM85" s="302"/>
      <c r="AN85" s="302"/>
      <c r="AO85" s="622"/>
      <c r="AP85" s="303"/>
      <c r="AQ85" s="299"/>
      <c r="AR85" s="299"/>
      <c r="AS85" s="634"/>
      <c r="AT85" s="299"/>
      <c r="AW85" s="637"/>
      <c r="BA85" s="637"/>
      <c r="BE85" s="637"/>
      <c r="BI85" s="637"/>
      <c r="BM85" s="637"/>
      <c r="BQ85" s="637"/>
      <c r="BU85" s="637"/>
      <c r="BY85" s="637"/>
      <c r="CC85" s="637"/>
      <c r="CD85" s="1101"/>
      <c r="CE85" s="338"/>
      <c r="CF85" s="338"/>
      <c r="CG85" s="634"/>
      <c r="CH85" s="1101"/>
      <c r="CI85" s="338"/>
      <c r="CJ85" s="338"/>
      <c r="CK85" s="634"/>
      <c r="CL85" s="338"/>
      <c r="CM85" s="338"/>
      <c r="CN85" s="338"/>
      <c r="CO85" s="634"/>
      <c r="CP85" s="338"/>
      <c r="CQ85" s="338"/>
      <c r="CR85" s="338"/>
      <c r="CS85" s="634"/>
      <c r="CT85" s="338"/>
      <c r="CU85" s="338"/>
      <c r="CV85" s="338"/>
      <c r="CW85" s="634"/>
      <c r="CX85" s="1731"/>
      <c r="CY85" s="338"/>
      <c r="CZ85" s="338"/>
      <c r="DA85" s="634"/>
      <c r="DB85" s="685"/>
      <c r="DC85" s="637"/>
      <c r="DD85" s="295"/>
      <c r="DE85" s="300"/>
      <c r="DF85" s="300"/>
      <c r="DG85" s="300"/>
      <c r="DH85" s="300"/>
      <c r="DI85" s="300"/>
      <c r="DJ85" s="301"/>
      <c r="DK85" s="301"/>
      <c r="DL85" s="302"/>
      <c r="DM85" s="302"/>
      <c r="DN85" s="302"/>
      <c r="DO85" s="302"/>
      <c r="DP85" s="302"/>
      <c r="DQ85" s="302"/>
      <c r="DR85" s="302"/>
      <c r="DS85" s="302"/>
      <c r="DT85" s="302"/>
      <c r="DU85" s="302"/>
      <c r="DV85" s="299"/>
      <c r="EE85" s="303"/>
      <c r="EF85" s="1116"/>
      <c r="EG85" s="357"/>
      <c r="EH85" s="357"/>
      <c r="EI85" s="357"/>
      <c r="EJ85" s="357"/>
      <c r="EK85" s="338"/>
      <c r="EL85" s="338"/>
      <c r="EM85" s="1731"/>
      <c r="EN85" s="302"/>
      <c r="EO85" s="302"/>
      <c r="EP85" s="304"/>
      <c r="EQ85" s="304"/>
      <c r="ER85" s="304"/>
      <c r="ES85" s="304"/>
      <c r="ET85" s="304"/>
      <c r="EU85" s="304"/>
      <c r="EV85" s="1101"/>
      <c r="EW85"/>
      <c r="EX85"/>
      <c r="EY85"/>
      <c r="EZ85"/>
      <c r="FA85"/>
      <c r="FB85"/>
      <c r="FC85" s="4"/>
      <c r="FD85" s="4"/>
      <c r="FE85" s="4"/>
      <c r="FF85" s="4"/>
      <c r="FG85"/>
      <c r="FH85" s="2656"/>
      <c r="FI85" s="2656"/>
      <c r="FJ85" s="2656"/>
      <c r="FK85"/>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row>
    <row r="86" spans="1:260" s="279" customFormat="1" ht="11.25" customHeight="1" x14ac:dyDescent="0.2">
      <c r="A86" s="2040" t="s">
        <v>56</v>
      </c>
      <c r="B86" s="302"/>
      <c r="C86" s="302"/>
      <c r="D86" s="302"/>
      <c r="E86" s="622"/>
      <c r="F86" s="302"/>
      <c r="G86" s="302"/>
      <c r="H86" s="302"/>
      <c r="I86" s="622"/>
      <c r="J86" s="302"/>
      <c r="K86" s="302"/>
      <c r="L86" s="302"/>
      <c r="M86" s="622"/>
      <c r="N86" s="302"/>
      <c r="O86" s="302"/>
      <c r="P86" s="302"/>
      <c r="Q86" s="622"/>
      <c r="R86" s="302"/>
      <c r="S86" s="302"/>
      <c r="T86" s="302"/>
      <c r="U86" s="622"/>
      <c r="V86" s="302"/>
      <c r="W86" s="302"/>
      <c r="X86" s="302"/>
      <c r="Y86" s="622"/>
      <c r="Z86" s="302"/>
      <c r="AA86" s="302"/>
      <c r="AB86" s="302"/>
      <c r="AC86" s="622"/>
      <c r="AD86" s="302"/>
      <c r="AE86" s="302"/>
      <c r="AF86" s="302"/>
      <c r="AG86" s="622"/>
      <c r="AH86" s="302"/>
      <c r="AI86" s="302"/>
      <c r="AJ86" s="302"/>
      <c r="AK86" s="622"/>
      <c r="AL86" s="302"/>
      <c r="AM86" s="302"/>
      <c r="AN86" s="302"/>
      <c r="AO86" s="622"/>
      <c r="AP86" s="303"/>
      <c r="AQ86" s="299"/>
      <c r="AR86" s="299"/>
      <c r="AS86" s="634"/>
      <c r="AT86" s="299"/>
      <c r="AW86" s="637"/>
      <c r="BA86" s="637"/>
      <c r="BE86" s="637"/>
      <c r="BI86" s="637"/>
      <c r="BM86" s="637"/>
      <c r="BQ86" s="637"/>
      <c r="BU86" s="637"/>
      <c r="BY86" s="637"/>
      <c r="CC86" s="637"/>
      <c r="CD86" s="1101"/>
      <c r="CE86" s="338"/>
      <c r="CF86" s="338"/>
      <c r="CG86" s="634"/>
      <c r="CH86" s="1101"/>
      <c r="CI86" s="338"/>
      <c r="CJ86" s="338"/>
      <c r="CK86" s="634"/>
      <c r="CL86" s="338"/>
      <c r="CM86" s="338"/>
      <c r="CN86" s="338"/>
      <c r="CO86" s="634"/>
      <c r="CP86" s="338"/>
      <c r="CQ86" s="338"/>
      <c r="CR86" s="338"/>
      <c r="CS86" s="634"/>
      <c r="CT86" s="338"/>
      <c r="CU86" s="338"/>
      <c r="CV86" s="338"/>
      <c r="CW86" s="634"/>
      <c r="CX86" s="1731"/>
      <c r="CY86" s="338"/>
      <c r="CZ86" s="338"/>
      <c r="DA86" s="634"/>
      <c r="DB86" s="685"/>
      <c r="DC86" s="637"/>
      <c r="DD86" s="295"/>
      <c r="DE86" s="300"/>
      <c r="DF86" s="300"/>
      <c r="DG86" s="300"/>
      <c r="DH86" s="300"/>
      <c r="DI86" s="300"/>
      <c r="DJ86" s="301"/>
      <c r="DK86" s="301"/>
      <c r="DL86" s="302"/>
      <c r="DM86" s="302"/>
      <c r="DN86" s="302"/>
      <c r="DO86" s="302"/>
      <c r="DP86" s="302"/>
      <c r="DQ86" s="302"/>
      <c r="DR86" s="302"/>
      <c r="DS86" s="302"/>
      <c r="DT86" s="302"/>
      <c r="DU86" s="302"/>
      <c r="DV86" s="299"/>
      <c r="EE86" s="303"/>
      <c r="EF86" s="1116"/>
      <c r="EG86" s="357"/>
      <c r="EH86" s="357"/>
      <c r="EI86" s="357"/>
      <c r="EJ86" s="357"/>
      <c r="EK86" s="338"/>
      <c r="EL86" s="338"/>
      <c r="EM86" s="1731"/>
      <c r="EN86" s="302"/>
      <c r="EO86" s="302"/>
      <c r="EP86" s="304"/>
      <c r="EQ86" s="304"/>
      <c r="ER86" s="304"/>
      <c r="ES86" s="304"/>
      <c r="ET86" s="304"/>
      <c r="EU86" s="304"/>
      <c r="EV86" s="1101"/>
      <c r="EW86"/>
      <c r="EX86"/>
      <c r="EY86"/>
      <c r="EZ86"/>
      <c r="FA86"/>
      <c r="FB86"/>
      <c r="FC86" s="4"/>
      <c r="FD86" s="4"/>
      <c r="FE86" s="4"/>
      <c r="FF86" s="4"/>
      <c r="FG86"/>
      <c r="FH86" s="2656"/>
      <c r="FI86" s="2656"/>
      <c r="FJ86" s="2656"/>
      <c r="FK86"/>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row>
    <row r="87" spans="1:260" s="279" customFormat="1" ht="11.25" customHeight="1" x14ac:dyDescent="0.2">
      <c r="A87" s="295" t="s">
        <v>485</v>
      </c>
      <c r="B87" s="306"/>
      <c r="C87" s="306"/>
      <c r="D87" s="306"/>
      <c r="E87" s="623"/>
      <c r="F87" s="100">
        <f t="shared" ref="F87:AK87" si="355">+(F10/B10-1)</f>
        <v>1.1449583349824786</v>
      </c>
      <c r="G87" s="100">
        <f t="shared" si="355"/>
        <v>0.84129664813642013</v>
      </c>
      <c r="H87" s="100">
        <f t="shared" si="355"/>
        <v>0.80983765741162173</v>
      </c>
      <c r="I87" s="614">
        <f t="shared" si="355"/>
        <v>0.42280272748648007</v>
      </c>
      <c r="J87" s="100">
        <f t="shared" si="355"/>
        <v>0.42280395958655403</v>
      </c>
      <c r="K87" s="100">
        <f t="shared" si="355"/>
        <v>0.46966994788650829</v>
      </c>
      <c r="L87" s="100">
        <f t="shared" si="355"/>
        <v>0.32385049762588203</v>
      </c>
      <c r="M87" s="614">
        <f t="shared" si="355"/>
        <v>0.32331435080981463</v>
      </c>
      <c r="N87" s="100">
        <f t="shared" si="355"/>
        <v>0.36569362653894544</v>
      </c>
      <c r="O87" s="100">
        <f t="shared" si="355"/>
        <v>0.14051502687028194</v>
      </c>
      <c r="P87" s="100">
        <f t="shared" si="355"/>
        <v>-6.5444356465938935E-2</v>
      </c>
      <c r="Q87" s="614">
        <f t="shared" si="355"/>
        <v>-5.7514432098786039E-2</v>
      </c>
      <c r="R87" s="100">
        <f t="shared" si="355"/>
        <v>-0.18915248740101054</v>
      </c>
      <c r="S87" s="100">
        <f t="shared" si="355"/>
        <v>-0.17895828468227459</v>
      </c>
      <c r="T87" s="100">
        <f t="shared" si="355"/>
        <v>-8.9474528697699784E-2</v>
      </c>
      <c r="U87" s="614">
        <f t="shared" si="355"/>
        <v>-6.2956966023855587E-2</v>
      </c>
      <c r="V87" s="100">
        <f t="shared" si="355"/>
        <v>-7.993571269629296E-3</v>
      </c>
      <c r="W87" s="100">
        <f t="shared" si="355"/>
        <v>-1.7162293276201557E-2</v>
      </c>
      <c r="X87" s="100">
        <f t="shared" si="355"/>
        <v>3.0999195699763504E-3</v>
      </c>
      <c r="Y87" s="614">
        <f t="shared" si="355"/>
        <v>-1.3595553494194945E-2</v>
      </c>
      <c r="Z87" s="100">
        <f t="shared" si="355"/>
        <v>9.3103172700390591E-3</v>
      </c>
      <c r="AA87" s="100">
        <f t="shared" si="355"/>
        <v>0.10246873624745922</v>
      </c>
      <c r="AB87" s="100">
        <f t="shared" si="355"/>
        <v>0.23598337733125696</v>
      </c>
      <c r="AC87" s="614">
        <f t="shared" si="355"/>
        <v>0.13123037254650871</v>
      </c>
      <c r="AD87" s="100">
        <f t="shared" si="355"/>
        <v>0.18229685908533066</v>
      </c>
      <c r="AE87" s="100">
        <f t="shared" si="355"/>
        <v>0.13152217301960323</v>
      </c>
      <c r="AF87" s="100">
        <f t="shared" si="355"/>
        <v>0.11786407291470091</v>
      </c>
      <c r="AG87" s="614">
        <f t="shared" si="355"/>
        <v>0.49280084752564246</v>
      </c>
      <c r="AH87" s="100">
        <f t="shared" si="355"/>
        <v>0.50761035007610356</v>
      </c>
      <c r="AI87" s="100">
        <f t="shared" si="355"/>
        <v>0.43582704186684973</v>
      </c>
      <c r="AJ87" s="100">
        <f t="shared" si="355"/>
        <v>0.48582474226804129</v>
      </c>
      <c r="AK87" s="614">
        <f t="shared" si="355"/>
        <v>6.1120543293718077E-2</v>
      </c>
      <c r="AL87" s="100">
        <f t="shared" ref="AL87:BQ87" si="356">+(AL10/AH10-1)</f>
        <v>0.33013629480060569</v>
      </c>
      <c r="AM87" s="100">
        <f t="shared" si="356"/>
        <v>1.9598470363288767E-2</v>
      </c>
      <c r="AN87" s="100">
        <f t="shared" si="356"/>
        <v>-1.0407632263660038E-2</v>
      </c>
      <c r="AO87" s="614">
        <f t="shared" si="356"/>
        <v>0.10773333333333324</v>
      </c>
      <c r="AP87" s="101">
        <f t="shared" si="356"/>
        <v>-0.10132827324478177</v>
      </c>
      <c r="AQ87" s="101">
        <f t="shared" si="356"/>
        <v>0.23816221284575723</v>
      </c>
      <c r="AR87" s="101">
        <f t="shared" si="356"/>
        <v>0.29360210341805426</v>
      </c>
      <c r="AS87" s="493">
        <f t="shared" si="356"/>
        <v>0.25517573423206552</v>
      </c>
      <c r="AT87" s="101">
        <f t="shared" si="356"/>
        <v>0.23099662162162171</v>
      </c>
      <c r="AU87" s="100">
        <f t="shared" si="356"/>
        <v>0.13101098068913286</v>
      </c>
      <c r="AV87" s="100">
        <f t="shared" si="356"/>
        <v>8.9882565492321653E-2</v>
      </c>
      <c r="AW87" s="614">
        <f t="shared" si="356"/>
        <v>9.359416954353672E-2</v>
      </c>
      <c r="AX87" s="100">
        <f t="shared" si="356"/>
        <v>0.12041166380789026</v>
      </c>
      <c r="AY87" s="100">
        <f t="shared" si="356"/>
        <v>8.8048208905256109E-2</v>
      </c>
      <c r="AZ87" s="100">
        <f t="shared" si="356"/>
        <v>0.10111893907998337</v>
      </c>
      <c r="BA87" s="614">
        <f t="shared" si="356"/>
        <v>0.17081725710277085</v>
      </c>
      <c r="BB87" s="100">
        <f t="shared" si="356"/>
        <v>0.14421310471524795</v>
      </c>
      <c r="BC87" s="100">
        <f t="shared" si="356"/>
        <v>0.24584615384615383</v>
      </c>
      <c r="BD87" s="100">
        <f t="shared" si="356"/>
        <v>0.14490026345502449</v>
      </c>
      <c r="BE87" s="614">
        <f t="shared" si="356"/>
        <v>0.20671060515278605</v>
      </c>
      <c r="BF87" s="100">
        <f t="shared" si="356"/>
        <v>0.15012041744715021</v>
      </c>
      <c r="BG87" s="100">
        <f t="shared" si="356"/>
        <v>0.14843171153371193</v>
      </c>
      <c r="BH87" s="100">
        <f t="shared" si="356"/>
        <v>0.22468770545693628</v>
      </c>
      <c r="BI87" s="614">
        <f t="shared" si="356"/>
        <v>0.16881827209533262</v>
      </c>
      <c r="BJ87" s="100">
        <f t="shared" si="356"/>
        <v>0.16449511400651473</v>
      </c>
      <c r="BK87" s="100">
        <f t="shared" si="356"/>
        <v>0.31290322580645169</v>
      </c>
      <c r="BL87" s="100">
        <f t="shared" si="356"/>
        <v>0.10146289088712934</v>
      </c>
      <c r="BM87" s="614">
        <f t="shared" si="356"/>
        <v>9.5581988105353233E-3</v>
      </c>
      <c r="BN87" s="100">
        <f t="shared" si="356"/>
        <v>9.6103896103896025E-2</v>
      </c>
      <c r="BO87" s="100">
        <f t="shared" si="356"/>
        <v>-6.0114660114660157E-2</v>
      </c>
      <c r="BP87" s="100">
        <f t="shared" si="356"/>
        <v>9.3944193980748159E-2</v>
      </c>
      <c r="BQ87" s="614">
        <f t="shared" si="356"/>
        <v>0.15421838838628243</v>
      </c>
      <c r="BR87" s="100">
        <f t="shared" ref="BR87:CH87" si="357">+(BR10/BN10-1)</f>
        <v>0.15475756471017132</v>
      </c>
      <c r="BS87" s="100">
        <f t="shared" si="357"/>
        <v>0.10596026490066235</v>
      </c>
      <c r="BT87" s="100">
        <f t="shared" si="357"/>
        <v>0.12096235241701936</v>
      </c>
      <c r="BU87" s="614">
        <f t="shared" si="357"/>
        <v>7.491797302223846E-2</v>
      </c>
      <c r="BV87" s="100">
        <f t="shared" si="357"/>
        <v>3.3149171270718814E-3</v>
      </c>
      <c r="BW87" s="100">
        <f t="shared" si="357"/>
        <v>8.9820359281436168E-3</v>
      </c>
      <c r="BX87" s="100">
        <f t="shared" si="357"/>
        <v>-8.3863275039745666E-2</v>
      </c>
      <c r="BY87" s="614">
        <f t="shared" si="357"/>
        <v>-2.8149906732236718E-2</v>
      </c>
      <c r="BZ87" s="100">
        <f t="shared" si="357"/>
        <v>-4.5783511642542463E-2</v>
      </c>
      <c r="CA87" s="100">
        <f t="shared" si="357"/>
        <v>-1.6242386381383755E-2</v>
      </c>
      <c r="CB87" s="100">
        <f t="shared" si="357"/>
        <v>-0.11540130151843819</v>
      </c>
      <c r="CC87" s="614">
        <f t="shared" si="357"/>
        <v>0.14657127900889888</v>
      </c>
      <c r="CD87" s="940">
        <f t="shared" si="357"/>
        <v>-9.9587798845836795E-2</v>
      </c>
      <c r="CE87" s="113">
        <f t="shared" si="357"/>
        <v>-0.13684711859025245</v>
      </c>
      <c r="CF87" s="113">
        <f t="shared" si="357"/>
        <v>-0.1444335458558117</v>
      </c>
      <c r="CG87" s="493">
        <f t="shared" si="357"/>
        <v>-0.18185968650129358</v>
      </c>
      <c r="CH87" s="940">
        <f t="shared" si="357"/>
        <v>-3.772202893242993E-2</v>
      </c>
      <c r="CI87" s="113">
        <f t="shared" ref="CI87:CP87" si="358">+(CI10/CE10-1)</f>
        <v>2.6853043958065204E-2</v>
      </c>
      <c r="CJ87" s="113">
        <f t="shared" si="358"/>
        <v>-1.1177987962166847E-2</v>
      </c>
      <c r="CK87" s="493">
        <f t="shared" si="358"/>
        <v>-3.7574404761904767E-2</v>
      </c>
      <c r="CL87" s="113">
        <f t="shared" si="358"/>
        <v>-6.1845861084681264E-2</v>
      </c>
      <c r="CM87" s="113">
        <f t="shared" si="358"/>
        <v>-0.10531972058033312</v>
      </c>
      <c r="CN87" s="113">
        <f t="shared" si="358"/>
        <v>-3.60869565217391E-2</v>
      </c>
      <c r="CO87" s="493">
        <f t="shared" si="358"/>
        <v>-2.3772709702357897E-2</v>
      </c>
      <c r="CP87" s="113">
        <f t="shared" si="358"/>
        <v>-4.2799188640973651E-2</v>
      </c>
      <c r="CQ87" s="113">
        <f t="shared" ref="CQ87:DA87" si="359">+(CQ10/CM10-1)</f>
        <v>-1.7417417417417425E-2</v>
      </c>
      <c r="CR87" s="113">
        <f t="shared" si="359"/>
        <v>-4.8113065704405322E-2</v>
      </c>
      <c r="CS87" s="493">
        <f t="shared" si="359"/>
        <v>-3.7022371807562848E-2</v>
      </c>
      <c r="CT87" s="113">
        <f t="shared" si="359"/>
        <v>-1.7376562831108333E-2</v>
      </c>
      <c r="CU87" s="113">
        <f t="shared" si="359"/>
        <v>5.2770986145069365E-2</v>
      </c>
      <c r="CV87" s="113">
        <f t="shared" si="359"/>
        <v>5.2440372768914889E-2</v>
      </c>
      <c r="CW87" s="493">
        <f t="shared" si="359"/>
        <v>7.092927631578938E-2</v>
      </c>
      <c r="CX87" s="1724">
        <f t="shared" si="359"/>
        <v>7.5038033814363025E-2</v>
      </c>
      <c r="CY87" s="113">
        <f t="shared" si="359"/>
        <v>6.5521761736664574E-2</v>
      </c>
      <c r="CZ87" s="113">
        <f t="shared" si="359"/>
        <v>5.7383462751489311E-2</v>
      </c>
      <c r="DA87" s="493">
        <f t="shared" si="359"/>
        <v>4.848590384361362E-3</v>
      </c>
      <c r="DB87" s="678"/>
      <c r="DC87" s="614"/>
      <c r="DD87" s="305"/>
      <c r="DE87" s="306"/>
      <c r="DF87" s="306"/>
      <c r="DG87" s="306"/>
      <c r="DH87" s="306"/>
      <c r="DI87" s="306"/>
      <c r="DJ87" s="306"/>
      <c r="DK87" s="306"/>
      <c r="DL87" s="306"/>
      <c r="DM87" s="100">
        <f t="shared" ref="DM87:ED87" si="360">+(DM10/DL10-1)</f>
        <v>0.42280272748648007</v>
      </c>
      <c r="DN87" s="100">
        <f t="shared" si="360"/>
        <v>0.32331435080981463</v>
      </c>
      <c r="DO87" s="100">
        <f t="shared" si="360"/>
        <v>-5.7514432098786039E-2</v>
      </c>
      <c r="DP87" s="100">
        <f t="shared" si="360"/>
        <v>-6.2956966023855587E-2</v>
      </c>
      <c r="DQ87" s="100">
        <f t="shared" si="360"/>
        <v>-1.3595553494194945E-2</v>
      </c>
      <c r="DR87" s="100">
        <f t="shared" si="360"/>
        <v>0.13123037254650871</v>
      </c>
      <c r="DS87" s="100">
        <f t="shared" si="360"/>
        <v>0.49280084752564246</v>
      </c>
      <c r="DT87" s="100">
        <f t="shared" si="360"/>
        <v>6.1120543293718077E-2</v>
      </c>
      <c r="DU87" s="100">
        <f t="shared" si="360"/>
        <v>0.10773333333333324</v>
      </c>
      <c r="DV87" s="101">
        <f t="shared" si="360"/>
        <v>0.25517573423206552</v>
      </c>
      <c r="DW87" s="100">
        <f t="shared" si="360"/>
        <v>9.359416954353672E-2</v>
      </c>
      <c r="DX87" s="100">
        <f t="shared" si="360"/>
        <v>0.17081725710277085</v>
      </c>
      <c r="DY87" s="100">
        <f t="shared" si="360"/>
        <v>0.20671060515278605</v>
      </c>
      <c r="DZ87" s="100">
        <f t="shared" si="360"/>
        <v>0.16881827209533262</v>
      </c>
      <c r="EA87" s="100">
        <f t="shared" si="360"/>
        <v>9.5581988105353233E-3</v>
      </c>
      <c r="EB87" s="100">
        <f t="shared" si="360"/>
        <v>0.15421838838628243</v>
      </c>
      <c r="EC87" s="100">
        <f t="shared" si="360"/>
        <v>7.491797302223846E-2</v>
      </c>
      <c r="ED87" s="100">
        <f t="shared" si="360"/>
        <v>-2.8149906732236718E-2</v>
      </c>
      <c r="EE87" s="100">
        <f>+(EE10/EB10-1)</f>
        <v>0.34341961356179374</v>
      </c>
      <c r="EF87" s="673">
        <f t="shared" ref="EF87:EF95" si="361">BZ87</f>
        <v>-4.5783511642542463E-2</v>
      </c>
      <c r="EG87" s="126">
        <f>+(EG10/ED10-1)</f>
        <v>0.14657127900889888</v>
      </c>
      <c r="EH87" s="126">
        <f>+(EH10/EG10-1)</f>
        <v>-0.18185968650129358</v>
      </c>
      <c r="EI87" s="126">
        <f>+(EI10/EH10-1)</f>
        <v>-3.7574404761904767E-2</v>
      </c>
      <c r="EJ87" s="126">
        <f t="shared" ref="EJ87:EP87" si="362">+(EJ10/EI10-1)</f>
        <v>-2.3772709702357897E-2</v>
      </c>
      <c r="EK87" s="113">
        <f t="shared" si="362"/>
        <v>-3.7022371807562848E-2</v>
      </c>
      <c r="EL87" s="113">
        <f t="shared" si="362"/>
        <v>7.092927631578938E-2</v>
      </c>
      <c r="EM87" s="1724">
        <f t="shared" si="362"/>
        <v>4.848590384361362E-3</v>
      </c>
      <c r="EN87" s="100">
        <f t="shared" si="362"/>
        <v>1.0799212891145604E-2</v>
      </c>
      <c r="EO87" s="100">
        <f t="shared" si="362"/>
        <v>9.5720116575459535E-3</v>
      </c>
      <c r="EP87" s="100">
        <f t="shared" si="362"/>
        <v>9.3108255281593166E-3</v>
      </c>
      <c r="EQ87" s="100">
        <f>+(EQ10/EP10-1)</f>
        <v>1.3294081835396598E-2</v>
      </c>
      <c r="ER87" s="100">
        <f>+(ER10/EQ10-1)</f>
        <v>1.3629007332965903E-2</v>
      </c>
      <c r="ES87" s="100">
        <f>+(ES10/ER10-1)</f>
        <v>1.397331940475488E-2</v>
      </c>
      <c r="ET87" s="100">
        <f>+(ET10/ES10-1)</f>
        <v>1.4327028905962047E-2</v>
      </c>
      <c r="EU87" s="100">
        <f>+(EU10/ET10-1)</f>
        <v>1.4690127492480221E-2</v>
      </c>
      <c r="EV87" s="940"/>
      <c r="EW87"/>
      <c r="EX87"/>
      <c r="EY87"/>
      <c r="EZ87"/>
      <c r="FA87"/>
      <c r="FB87"/>
      <c r="FC87" s="4"/>
      <c r="FD87" s="4"/>
      <c r="FE87" s="4"/>
      <c r="FF87" s="4"/>
      <c r="FG87" s="113"/>
      <c r="FH87" s="113"/>
      <c r="FI87" s="113"/>
      <c r="FJ87" s="113"/>
      <c r="FK87"/>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row>
    <row r="88" spans="1:260" s="279" customFormat="1" ht="11.25" customHeight="1" x14ac:dyDescent="0.2">
      <c r="A88" s="307" t="s">
        <v>57</v>
      </c>
      <c r="B88" s="306"/>
      <c r="C88" s="306"/>
      <c r="D88" s="306"/>
      <c r="E88" s="623"/>
      <c r="F88" s="306">
        <f t="shared" ref="F88:AK88" si="363">F87-(F100/B100-1)</f>
        <v>0.22288664311134387</v>
      </c>
      <c r="G88" s="306">
        <f t="shared" si="363"/>
        <v>0.18373865318100435</v>
      </c>
      <c r="H88" s="306">
        <f t="shared" si="363"/>
        <v>0.14018883666740667</v>
      </c>
      <c r="I88" s="623">
        <f t="shared" si="363"/>
        <v>-0.20909293771824111</v>
      </c>
      <c r="J88" s="306">
        <f t="shared" si="363"/>
        <v>-7.7865925037886807E-2</v>
      </c>
      <c r="K88" s="306">
        <f t="shared" si="363"/>
        <v>-7.121533371216815E-2</v>
      </c>
      <c r="L88" s="306">
        <f t="shared" si="363"/>
        <v>-0.10538014737649215</v>
      </c>
      <c r="M88" s="623">
        <f t="shared" si="363"/>
        <v>5.5257708453670951E-4</v>
      </c>
      <c r="N88" s="306">
        <f t="shared" si="363"/>
        <v>8.1294304048165511E-2</v>
      </c>
      <c r="O88" s="306">
        <f t="shared" si="363"/>
        <v>-9.6446092420133134E-2</v>
      </c>
      <c r="P88" s="306">
        <f t="shared" si="363"/>
        <v>-0.10589837110458344</v>
      </c>
      <c r="Q88" s="623">
        <f t="shared" si="363"/>
        <v>3.1021127491268841E-2</v>
      </c>
      <c r="R88" s="306">
        <f t="shared" si="363"/>
        <v>-0.17044170107522183</v>
      </c>
      <c r="S88" s="306">
        <f t="shared" si="363"/>
        <v>-0.18714656336711233</v>
      </c>
      <c r="T88" s="306">
        <f t="shared" si="363"/>
        <v>-0.1388023900693568</v>
      </c>
      <c r="U88" s="623">
        <f t="shared" si="363"/>
        <v>-0.27788922475482236</v>
      </c>
      <c r="V88" s="306">
        <f t="shared" si="363"/>
        <v>-0.21454288093984841</v>
      </c>
      <c r="W88" s="306">
        <f t="shared" si="363"/>
        <v>-0.23161753651679218</v>
      </c>
      <c r="X88" s="306">
        <f t="shared" si="363"/>
        <v>-0.18021607722256583</v>
      </c>
      <c r="Y88" s="623">
        <f t="shared" si="363"/>
        <v>-0.22534649034905541</v>
      </c>
      <c r="Z88" s="306">
        <f t="shared" si="363"/>
        <v>-0.22131902687918226</v>
      </c>
      <c r="AA88" s="306">
        <f t="shared" si="363"/>
        <v>-0.13119916011973531</v>
      </c>
      <c r="AB88" s="306">
        <f t="shared" si="363"/>
        <v>-1.0707952985252733E-2</v>
      </c>
      <c r="AC88" s="623">
        <f t="shared" si="363"/>
        <v>-0.11720063065658826</v>
      </c>
      <c r="AD88" s="306">
        <f t="shared" si="363"/>
        <v>-6.0127675516592261E-2</v>
      </c>
      <c r="AE88" s="306">
        <f t="shared" si="363"/>
        <v>-4.8081718830439879E-2</v>
      </c>
      <c r="AF88" s="306">
        <f t="shared" si="363"/>
        <v>-8.3190077311039001E-2</v>
      </c>
      <c r="AG88" s="623">
        <f t="shared" si="363"/>
        <v>0.22696368708374881</v>
      </c>
      <c r="AH88" s="306">
        <f t="shared" si="363"/>
        <v>0.26019072378237373</v>
      </c>
      <c r="AI88" s="306">
        <f t="shared" si="363"/>
        <v>0.12191876743167396</v>
      </c>
      <c r="AJ88" s="306">
        <f t="shared" si="363"/>
        <v>0.21146835119389484</v>
      </c>
      <c r="AK88" s="623">
        <f t="shared" si="363"/>
        <v>-0.21689322556522428</v>
      </c>
      <c r="AL88" s="306">
        <f t="shared" ref="AL88:BQ88" si="364">AL87-(AL100/AH100-1)</f>
        <v>0.19353905379438441</v>
      </c>
      <c r="AM88" s="306">
        <f t="shared" si="364"/>
        <v>-9.0872230885510552E-2</v>
      </c>
      <c r="AN88" s="306">
        <f t="shared" si="364"/>
        <v>-8.9255403499993169E-2</v>
      </c>
      <c r="AO88" s="623">
        <f t="shared" si="364"/>
        <v>0.10644393505253102</v>
      </c>
      <c r="AP88" s="316">
        <f t="shared" si="364"/>
        <v>-0.21222784487733759</v>
      </c>
      <c r="AQ88" s="316">
        <f t="shared" si="364"/>
        <v>7.1207195544719104E-2</v>
      </c>
      <c r="AR88" s="316">
        <f t="shared" si="364"/>
        <v>0.11800280503567273</v>
      </c>
      <c r="AS88" s="626">
        <f t="shared" si="364"/>
        <v>4.6276034704236135E-2</v>
      </c>
      <c r="AT88" s="316">
        <f t="shared" si="364"/>
        <v>5.7260546214595198E-2</v>
      </c>
      <c r="AU88" s="306">
        <f t="shared" si="364"/>
        <v>4.2504173088511177E-3</v>
      </c>
      <c r="AV88" s="306">
        <f t="shared" si="364"/>
        <v>-1.2073667929429099E-2</v>
      </c>
      <c r="AW88" s="623">
        <f t="shared" si="364"/>
        <v>1.5122663597280095E-3</v>
      </c>
      <c r="AX88" s="306">
        <f t="shared" si="364"/>
        <v>3.7845420703468413E-3</v>
      </c>
      <c r="AY88" s="306">
        <f t="shared" si="364"/>
        <v>-1.4254422673691369E-2</v>
      </c>
      <c r="AZ88" s="306">
        <f t="shared" si="364"/>
        <v>-2.3864016752446204E-3</v>
      </c>
      <c r="BA88" s="623">
        <f t="shared" si="364"/>
        <v>1.1935713805924619E-2</v>
      </c>
      <c r="BB88" s="306">
        <f t="shared" si="364"/>
        <v>6.7498814396675932E-3</v>
      </c>
      <c r="BC88" s="306">
        <f t="shared" si="364"/>
        <v>0.11140867249730269</v>
      </c>
      <c r="BD88" s="306">
        <f t="shared" si="364"/>
        <v>-1.0246294145520807E-2</v>
      </c>
      <c r="BE88" s="623">
        <f t="shared" si="364"/>
        <v>4.0741615063510928E-4</v>
      </c>
      <c r="BF88" s="306">
        <f t="shared" si="364"/>
        <v>1.1019971980847476E-2</v>
      </c>
      <c r="BG88" s="306">
        <f t="shared" si="364"/>
        <v>-2.4297905049570634E-3</v>
      </c>
      <c r="BH88" s="306">
        <f t="shared" si="364"/>
        <v>5.2965765176044011E-2</v>
      </c>
      <c r="BI88" s="623">
        <f t="shared" si="364"/>
        <v>0.12858259491105484</v>
      </c>
      <c r="BJ88" s="306">
        <f t="shared" si="364"/>
        <v>3.0396463823595621E-2</v>
      </c>
      <c r="BK88" s="306">
        <f t="shared" si="364"/>
        <v>0.19278894009216607</v>
      </c>
      <c r="BL88" s="306">
        <f t="shared" si="364"/>
        <v>-5.687715746097699E-2</v>
      </c>
      <c r="BM88" s="623">
        <f t="shared" si="364"/>
        <v>-8.7773743356702738E-2</v>
      </c>
      <c r="BN88" s="306">
        <f t="shared" si="364"/>
        <v>-2.6810453173078397E-2</v>
      </c>
      <c r="BO88" s="306">
        <f t="shared" si="364"/>
        <v>-0.18469378469378472</v>
      </c>
      <c r="BP88" s="306">
        <f t="shared" si="364"/>
        <v>4.837897658944379E-2</v>
      </c>
      <c r="BQ88" s="623">
        <f t="shared" si="364"/>
        <v>2.99994261477603E-2</v>
      </c>
      <c r="BR88" s="306">
        <f t="shared" ref="BR88:CH88" si="365">BR87-(BR100/BN100-1)</f>
        <v>8.6208778182187196E-2</v>
      </c>
      <c r="BS88" s="306">
        <f t="shared" si="365"/>
        <v>7.7199604403474842E-2</v>
      </c>
      <c r="BT88" s="306">
        <f t="shared" si="365"/>
        <v>0.13210673032786435</v>
      </c>
      <c r="BU88" s="623">
        <f t="shared" si="365"/>
        <v>9.2860339964786598E-2</v>
      </c>
      <c r="BV88" s="306">
        <f t="shared" si="365"/>
        <v>-1.0868822559587876E-2</v>
      </c>
      <c r="BW88" s="306">
        <f t="shared" si="365"/>
        <v>8.2765063399965477E-3</v>
      </c>
      <c r="BX88" s="306">
        <f t="shared" si="365"/>
        <v>-0.10144107150736548</v>
      </c>
      <c r="BY88" s="623">
        <f t="shared" si="365"/>
        <v>-5.1156796496016343E-2</v>
      </c>
      <c r="BZ88" s="306">
        <f t="shared" si="365"/>
        <v>-0.10702665606667416</v>
      </c>
      <c r="CA88" s="306">
        <f t="shared" si="365"/>
        <v>5.4260830327878651E-2</v>
      </c>
      <c r="CB88" s="306">
        <f t="shared" si="365"/>
        <v>-4.1524379759966257E-3</v>
      </c>
      <c r="CC88" s="623">
        <f t="shared" si="365"/>
        <v>0.14170056343463555</v>
      </c>
      <c r="CD88" s="1102">
        <f t="shared" si="365"/>
        <v>0.13141995309214771</v>
      </c>
      <c r="CE88" s="1103">
        <f t="shared" si="365"/>
        <v>3.5050103368598373E-2</v>
      </c>
      <c r="CF88" s="1103">
        <f t="shared" si="365"/>
        <v>2.5658521474235751E-2</v>
      </c>
      <c r="CG88" s="626">
        <f t="shared" si="365"/>
        <v>-2.1127234822758467E-2</v>
      </c>
      <c r="CH88" s="1102">
        <f t="shared" si="365"/>
        <v>-5.3519572478420985E-3</v>
      </c>
      <c r="CI88" s="1103">
        <f t="shared" ref="CI88:CP88" si="366">CI87-(CI100/CE100-1)</f>
        <v>5.8339190053783074E-2</v>
      </c>
      <c r="CJ88" s="1103">
        <f t="shared" si="366"/>
        <v>-2.3280184286685102E-2</v>
      </c>
      <c r="CK88" s="626">
        <f t="shared" si="366"/>
        <v>-5.0693834351922651E-2</v>
      </c>
      <c r="CL88" s="1103">
        <f t="shared" si="366"/>
        <v>-5.2469775889635528E-2</v>
      </c>
      <c r="CM88" s="1103">
        <f t="shared" si="366"/>
        <v>-0.11347671313264418</v>
      </c>
      <c r="CN88" s="1103">
        <f t="shared" si="366"/>
        <v>-1.2504139869834785E-2</v>
      </c>
      <c r="CO88" s="626">
        <f t="shared" si="366"/>
        <v>1.7468756973692545E-2</v>
      </c>
      <c r="CP88" s="1103">
        <f t="shared" si="366"/>
        <v>-2.9361469547727559E-2</v>
      </c>
      <c r="CQ88" s="1103">
        <f t="shared" ref="CQ88:DA88" si="367">CQ87-(CQ100/CM100-1)</f>
        <v>-1.8003721357379932E-2</v>
      </c>
      <c r="CR88" s="1103">
        <f t="shared" si="367"/>
        <v>-6.240039986927659E-2</v>
      </c>
      <c r="CS88" s="626">
        <f t="shared" si="367"/>
        <v>-2.6672228667285358E-2</v>
      </c>
      <c r="CT88" s="1103">
        <f t="shared" si="367"/>
        <v>-2.7444074379136318E-2</v>
      </c>
      <c r="CU88" s="1103">
        <f t="shared" si="367"/>
        <v>5.0738104741447909E-3</v>
      </c>
      <c r="CV88" s="1103">
        <f t="shared" si="367"/>
        <v>1.0517510834873622E-2</v>
      </c>
      <c r="CW88" s="626">
        <f t="shared" si="367"/>
        <v>-6.8590082829737886E-2</v>
      </c>
      <c r="CX88" s="1732">
        <f t="shared" si="367"/>
        <v>5.355232251996056E-2</v>
      </c>
      <c r="CY88" s="1103">
        <f t="shared" si="367"/>
        <v>6.0044276311328693E-2</v>
      </c>
      <c r="CZ88" s="1103">
        <f t="shared" si="367"/>
        <v>4.9019529517163596E-2</v>
      </c>
      <c r="DA88" s="626">
        <f t="shared" si="367"/>
        <v>1.4361281116392899E-2</v>
      </c>
      <c r="DB88" s="686"/>
      <c r="DC88" s="623"/>
      <c r="DD88" s="305"/>
      <c r="DE88" s="306"/>
      <c r="DF88" s="306"/>
      <c r="DG88" s="306"/>
      <c r="DH88" s="306"/>
      <c r="DI88" s="306"/>
      <c r="DJ88" s="306"/>
      <c r="DK88" s="306"/>
      <c r="DL88" s="306"/>
      <c r="DM88" s="306">
        <f t="shared" ref="DM88:ED88" si="368">DM87-(DM100/DL100-1)</f>
        <v>-0.26670219745366697</v>
      </c>
      <c r="DN88" s="306">
        <f t="shared" si="368"/>
        <v>-9.756256082455339E-2</v>
      </c>
      <c r="DO88" s="306">
        <f t="shared" si="368"/>
        <v>-0.1341708998315122</v>
      </c>
      <c r="DP88" s="306">
        <f t="shared" si="368"/>
        <v>-0.13856280401776155</v>
      </c>
      <c r="DQ88" s="306">
        <f t="shared" si="368"/>
        <v>-0.2177609998012433</v>
      </c>
      <c r="DR88" s="306">
        <f t="shared" si="368"/>
        <v>-0.11014691980932767</v>
      </c>
      <c r="DS88" s="306">
        <f t="shared" si="368"/>
        <v>0.26608876287524597</v>
      </c>
      <c r="DT88" s="306">
        <f t="shared" si="368"/>
        <v>-0.21750874418738753</v>
      </c>
      <c r="DU88" s="306">
        <f t="shared" si="368"/>
        <v>3.8896266435338722E-2</v>
      </c>
      <c r="DV88" s="316">
        <f t="shared" si="368"/>
        <v>8.3352951839245959E-2</v>
      </c>
      <c r="DW88" s="306">
        <f t="shared" si="368"/>
        <v>-2.4067268631244199E-2</v>
      </c>
      <c r="DX88" s="306">
        <f t="shared" si="368"/>
        <v>4.6332147927689693E-2</v>
      </c>
      <c r="DY88" s="306">
        <f t="shared" si="368"/>
        <v>4.1837679841582709E-2</v>
      </c>
      <c r="DZ88" s="306">
        <f t="shared" si="368"/>
        <v>5.5026320183494182E-2</v>
      </c>
      <c r="EA88" s="306">
        <f t="shared" si="368"/>
        <v>-0.11517008242775262</v>
      </c>
      <c r="EB88" s="306">
        <f t="shared" si="368"/>
        <v>5.0275258318527305E-2</v>
      </c>
      <c r="EC88" s="306">
        <f t="shared" si="368"/>
        <v>6.3286790183263886E-2</v>
      </c>
      <c r="ED88" s="306">
        <f t="shared" si="368"/>
        <v>-4.2949397502446751E-2</v>
      </c>
      <c r="EE88" s="306">
        <f>EE87-(EC100/EB100-1)</f>
        <v>0.33178843072281916</v>
      </c>
      <c r="EF88" s="673">
        <f t="shared" si="361"/>
        <v>-0.10702665606667416</v>
      </c>
      <c r="EG88" s="1117">
        <f>EG87-(EG100/ED100-1)</f>
        <v>0.17391564156182349</v>
      </c>
      <c r="EH88" s="1117">
        <f>EH87-(EH100/EG100-1)</f>
        <v>-2.8333777797084903E-4</v>
      </c>
      <c r="EI88" s="1117">
        <f>EI87-(EI100/EH100-1)</f>
        <v>-3.0876712018559349E-2</v>
      </c>
      <c r="EJ88" s="1117">
        <f t="shared" ref="EJ88:EP88" si="369">EJ87-(EJ100/EI100-1)</f>
        <v>-3.6680963009350087E-3</v>
      </c>
      <c r="EK88" s="1103">
        <f t="shared" si="369"/>
        <v>-3.386005648677759E-2</v>
      </c>
      <c r="EL88" s="1103">
        <f t="shared" si="369"/>
        <v>1.1883936418812802E-3</v>
      </c>
      <c r="EM88" s="1732">
        <f t="shared" si="369"/>
        <v>9.5764460255565176E-4</v>
      </c>
      <c r="EN88" s="306">
        <f t="shared" si="369"/>
        <v>7.2008232778864034E-4</v>
      </c>
      <c r="EO88" s="306">
        <f t="shared" si="369"/>
        <v>-3.6161765816355995E-4</v>
      </c>
      <c r="EP88" s="306">
        <f t="shared" si="369"/>
        <v>6.0040053790100245E-4</v>
      </c>
      <c r="EQ88" s="306">
        <f>EQ87-(EQ100/EP100-1)</f>
        <v>6.0204952051834404E-4</v>
      </c>
      <c r="ER88" s="306">
        <f>ER87-(ER100/EQ100-1)</f>
        <v>6.0300758466813598E-4</v>
      </c>
      <c r="ES88" s="306">
        <f>ES87-(ES100/ER100-1)</f>
        <v>6.0400629393253524E-4</v>
      </c>
      <c r="ET88" s="306">
        <f>ET87-(ET100/ES100-1)</f>
        <v>6.050454767425606E-4</v>
      </c>
      <c r="EU88" s="306">
        <f>EU87-(EU100/ET100-1)</f>
        <v>6.0612481427035902E-4</v>
      </c>
      <c r="EV88" s="1102"/>
      <c r="EW88"/>
      <c r="EX88"/>
      <c r="EY88"/>
      <c r="EZ88"/>
      <c r="FA88"/>
      <c r="FB88"/>
      <c r="FC88" s="4"/>
      <c r="FD88" s="4"/>
      <c r="FE88" s="4"/>
      <c r="FF88" s="4"/>
      <c r="FG88" s="1103"/>
      <c r="FH88" s="1103"/>
      <c r="FI88" s="1103"/>
      <c r="FJ88" s="1103"/>
      <c r="FK88"/>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row>
    <row r="89" spans="1:260" s="279" customFormat="1" ht="11.25" customHeight="1" x14ac:dyDescent="0.2">
      <c r="A89" s="295" t="s">
        <v>58</v>
      </c>
      <c r="B89" s="309"/>
      <c r="C89" s="310"/>
      <c r="D89" s="309"/>
      <c r="E89" s="624"/>
      <c r="F89" s="296">
        <f t="shared" ref="F89:AK89" si="370">F10-F24</f>
        <v>391.85400000000004</v>
      </c>
      <c r="G89" s="296">
        <f t="shared" si="370"/>
        <v>382.06</v>
      </c>
      <c r="H89" s="296">
        <f t="shared" si="370"/>
        <v>703.37299999999993</v>
      </c>
      <c r="I89" s="632">
        <f t="shared" si="370"/>
        <v>500.995</v>
      </c>
      <c r="J89" s="296">
        <f t="shared" si="370"/>
        <v>553.846</v>
      </c>
      <c r="K89" s="296">
        <f t="shared" si="370"/>
        <v>606.803</v>
      </c>
      <c r="L89" s="296">
        <f t="shared" si="370"/>
        <v>851.10200000000009</v>
      </c>
      <c r="M89" s="632">
        <f t="shared" si="370"/>
        <v>527.29000000000008</v>
      </c>
      <c r="N89" s="296">
        <f t="shared" si="370"/>
        <v>853.66200000000003</v>
      </c>
      <c r="O89" s="296">
        <f t="shared" si="370"/>
        <v>827.86700000000008</v>
      </c>
      <c r="P89" s="296">
        <f t="shared" si="370"/>
        <v>796.84099999999989</v>
      </c>
      <c r="Q89" s="632">
        <f t="shared" si="370"/>
        <v>644.25699999999995</v>
      </c>
      <c r="R89" s="296">
        <f t="shared" si="370"/>
        <v>589.66300000000001</v>
      </c>
      <c r="S89" s="296">
        <f t="shared" si="370"/>
        <v>570.48200000000008</v>
      </c>
      <c r="T89" s="296">
        <f t="shared" si="370"/>
        <v>526.90000000000009</v>
      </c>
      <c r="U89" s="632">
        <f t="shared" si="370"/>
        <v>333.70100000000002</v>
      </c>
      <c r="V89" s="296">
        <f t="shared" si="370"/>
        <v>397.84299999999996</v>
      </c>
      <c r="W89" s="296">
        <f t="shared" si="370"/>
        <v>307.84999999999991</v>
      </c>
      <c r="X89" s="296">
        <f t="shared" si="370"/>
        <v>150.90700000000015</v>
      </c>
      <c r="Y89" s="632">
        <f t="shared" si="370"/>
        <v>34.620000000000005</v>
      </c>
      <c r="Z89" s="296">
        <f t="shared" si="370"/>
        <v>244.06700000000001</v>
      </c>
      <c r="AA89" s="296">
        <f t="shared" si="370"/>
        <v>228.72499999999991</v>
      </c>
      <c r="AB89" s="296">
        <f t="shared" si="370"/>
        <v>12.289000000000215</v>
      </c>
      <c r="AC89" s="632">
        <f t="shared" si="370"/>
        <v>-130.25900000000001</v>
      </c>
      <c r="AD89" s="296">
        <f t="shared" si="370"/>
        <v>91</v>
      </c>
      <c r="AE89" s="296">
        <f t="shared" si="370"/>
        <v>-22</v>
      </c>
      <c r="AF89" s="296">
        <f t="shared" si="370"/>
        <v>-155</v>
      </c>
      <c r="AG89" s="632">
        <f t="shared" si="370"/>
        <v>-6</v>
      </c>
      <c r="AH89" s="296">
        <f t="shared" si="370"/>
        <v>159</v>
      </c>
      <c r="AI89" s="296">
        <f t="shared" si="370"/>
        <v>34</v>
      </c>
      <c r="AJ89" s="296">
        <f t="shared" si="370"/>
        <v>-186</v>
      </c>
      <c r="AK89" s="632">
        <f t="shared" si="370"/>
        <v>-327</v>
      </c>
      <c r="AL89" s="296">
        <f t="shared" ref="AL89:BQ89" si="371">AL10-AL24</f>
        <v>211</v>
      </c>
      <c r="AM89" s="296">
        <f t="shared" si="371"/>
        <v>52</v>
      </c>
      <c r="AN89" s="296">
        <f t="shared" si="371"/>
        <v>-251</v>
      </c>
      <c r="AO89" s="632">
        <f t="shared" si="371"/>
        <v>-118</v>
      </c>
      <c r="AP89" s="318">
        <f t="shared" si="371"/>
        <v>11</v>
      </c>
      <c r="AQ89" s="318">
        <f t="shared" si="371"/>
        <v>51</v>
      </c>
      <c r="AR89" s="318">
        <f t="shared" si="371"/>
        <v>-73</v>
      </c>
      <c r="AS89" s="635">
        <f t="shared" si="371"/>
        <v>147</v>
      </c>
      <c r="AT89" s="318">
        <f t="shared" si="371"/>
        <v>304</v>
      </c>
      <c r="AU89" s="296">
        <f t="shared" si="371"/>
        <v>289</v>
      </c>
      <c r="AV89" s="296">
        <f t="shared" si="371"/>
        <v>-182</v>
      </c>
      <c r="AW89" s="632">
        <f t="shared" si="371"/>
        <v>27</v>
      </c>
      <c r="AX89" s="296">
        <f t="shared" si="371"/>
        <v>219</v>
      </c>
      <c r="AY89" s="296">
        <f t="shared" si="371"/>
        <v>490</v>
      </c>
      <c r="AZ89" s="296">
        <f t="shared" si="371"/>
        <v>-11</v>
      </c>
      <c r="BA89" s="632">
        <f t="shared" si="371"/>
        <v>104</v>
      </c>
      <c r="BB89" s="296">
        <f t="shared" si="371"/>
        <v>682</v>
      </c>
      <c r="BC89" s="296">
        <f t="shared" si="371"/>
        <v>191</v>
      </c>
      <c r="BD89" s="296">
        <f t="shared" si="371"/>
        <v>-248</v>
      </c>
      <c r="BE89" s="632">
        <f t="shared" si="371"/>
        <v>94</v>
      </c>
      <c r="BF89" s="296">
        <f t="shared" si="371"/>
        <v>341</v>
      </c>
      <c r="BG89" s="296">
        <f t="shared" si="371"/>
        <v>338</v>
      </c>
      <c r="BH89" s="296">
        <f t="shared" si="371"/>
        <v>-146</v>
      </c>
      <c r="BI89" s="632">
        <f t="shared" si="371"/>
        <v>411</v>
      </c>
      <c r="BJ89" s="296">
        <f t="shared" si="371"/>
        <v>308</v>
      </c>
      <c r="BK89" s="296">
        <f t="shared" si="371"/>
        <v>181</v>
      </c>
      <c r="BL89" s="296">
        <f t="shared" si="371"/>
        <v>-12</v>
      </c>
      <c r="BM89" s="632">
        <f t="shared" si="371"/>
        <v>-244</v>
      </c>
      <c r="BN89" s="63">
        <f t="shared" si="371"/>
        <v>490</v>
      </c>
      <c r="BO89" s="63">
        <f t="shared" si="371"/>
        <v>331</v>
      </c>
      <c r="BP89" s="63">
        <f t="shared" si="371"/>
        <v>-105</v>
      </c>
      <c r="BQ89" s="613">
        <f t="shared" si="371"/>
        <v>210</v>
      </c>
      <c r="BR89" s="63">
        <f t="shared" ref="BR89:CJ89" si="372">BR10-BR24</f>
        <v>475</v>
      </c>
      <c r="BS89" s="63">
        <f t="shared" si="372"/>
        <v>773</v>
      </c>
      <c r="BT89" s="63">
        <f t="shared" si="372"/>
        <v>206</v>
      </c>
      <c r="BU89" s="613">
        <f t="shared" si="372"/>
        <v>1003</v>
      </c>
      <c r="BV89" s="63">
        <f t="shared" si="372"/>
        <v>642</v>
      </c>
      <c r="BW89" s="63">
        <f t="shared" si="372"/>
        <v>573</v>
      </c>
      <c r="BX89" s="63">
        <f t="shared" si="372"/>
        <v>-844</v>
      </c>
      <c r="BY89" s="613">
        <f t="shared" si="372"/>
        <v>367</v>
      </c>
      <c r="BZ89" s="63">
        <f t="shared" si="372"/>
        <v>334</v>
      </c>
      <c r="CA89" s="63">
        <f t="shared" si="372"/>
        <v>244</v>
      </c>
      <c r="CB89" s="63">
        <f t="shared" si="372"/>
        <v>223</v>
      </c>
      <c r="CC89" s="613">
        <f t="shared" si="372"/>
        <v>-380</v>
      </c>
      <c r="CD89" s="732">
        <f t="shared" si="372"/>
        <v>685</v>
      </c>
      <c r="CE89" s="1095">
        <f t="shared" si="372"/>
        <v>469</v>
      </c>
      <c r="CF89" s="1095">
        <f t="shared" si="372"/>
        <v>400</v>
      </c>
      <c r="CG89" s="655">
        <f t="shared" si="372"/>
        <v>254</v>
      </c>
      <c r="CH89" s="732">
        <f t="shared" si="372"/>
        <v>303</v>
      </c>
      <c r="CI89" s="1095">
        <f t="shared" si="372"/>
        <v>339</v>
      </c>
      <c r="CJ89" s="1095">
        <f t="shared" si="372"/>
        <v>274</v>
      </c>
      <c r="CK89" s="655">
        <f t="shared" ref="CK89:CS89" si="373">CK10-CK24</f>
        <v>144</v>
      </c>
      <c r="CL89" s="1095">
        <f t="shared" si="373"/>
        <v>346</v>
      </c>
      <c r="CM89" s="1095">
        <f t="shared" si="373"/>
        <v>315</v>
      </c>
      <c r="CN89" s="1095">
        <f t="shared" si="373"/>
        <v>467</v>
      </c>
      <c r="CO89" s="655">
        <f>CO10-CO24</f>
        <v>601</v>
      </c>
      <c r="CP89" s="1095">
        <f>CP10-CP24</f>
        <v>322</v>
      </c>
      <c r="CQ89" s="1095">
        <f t="shared" si="373"/>
        <v>108</v>
      </c>
      <c r="CR89" s="1095">
        <f t="shared" si="373"/>
        <v>98</v>
      </c>
      <c r="CS89" s="655">
        <f t="shared" si="373"/>
        <v>-120</v>
      </c>
      <c r="CT89" s="1095">
        <f>CT10-CT24</f>
        <v>38</v>
      </c>
      <c r="CU89" s="1095">
        <f t="shared" ref="CU89" si="374">CU10-CU24</f>
        <v>95</v>
      </c>
      <c r="CV89" s="1095">
        <f t="shared" ref="CV89:DA89" si="375">CV10-CV24</f>
        <v>76</v>
      </c>
      <c r="CW89" s="655">
        <f t="shared" si="375"/>
        <v>336</v>
      </c>
      <c r="CX89" s="1676">
        <f t="shared" si="375"/>
        <v>40.851445284945839</v>
      </c>
      <c r="CY89" s="1095">
        <f t="shared" si="375"/>
        <v>101.22456736498316</v>
      </c>
      <c r="CZ89" s="1095">
        <f t="shared" si="375"/>
        <v>80.361143169112438</v>
      </c>
      <c r="DA89" s="655">
        <f t="shared" si="375"/>
        <v>337.62912636914552</v>
      </c>
      <c r="DB89" s="677"/>
      <c r="DC89" s="613"/>
      <c r="DD89" s="305"/>
      <c r="DE89" s="239"/>
      <c r="DF89" s="239"/>
      <c r="DG89" s="239"/>
      <c r="DH89" s="239"/>
      <c r="DI89" s="239"/>
      <c r="DJ89" s="239"/>
      <c r="DK89" s="239"/>
      <c r="DL89" s="309"/>
      <c r="DM89" s="296">
        <f t="shared" ref="DM89:EE89" si="376">DM10-DM24</f>
        <v>500.995</v>
      </c>
      <c r="DN89" s="296">
        <f t="shared" si="376"/>
        <v>527.29000000000008</v>
      </c>
      <c r="DO89" s="296">
        <f t="shared" si="376"/>
        <v>644.25699999999995</v>
      </c>
      <c r="DP89" s="296">
        <f t="shared" si="376"/>
        <v>333.70100000000002</v>
      </c>
      <c r="DQ89" s="296">
        <f t="shared" si="376"/>
        <v>34.620000000000005</v>
      </c>
      <c r="DR89" s="296">
        <f t="shared" si="376"/>
        <v>-130.25900000000001</v>
      </c>
      <c r="DS89" s="296">
        <f t="shared" si="376"/>
        <v>-6</v>
      </c>
      <c r="DT89" s="296">
        <f t="shared" si="376"/>
        <v>-327</v>
      </c>
      <c r="DU89" s="296">
        <f t="shared" si="376"/>
        <v>-118</v>
      </c>
      <c r="DV89" s="318">
        <f t="shared" si="376"/>
        <v>147</v>
      </c>
      <c r="DW89" s="296">
        <f t="shared" si="376"/>
        <v>27</v>
      </c>
      <c r="DX89" s="296">
        <f t="shared" si="376"/>
        <v>104</v>
      </c>
      <c r="DY89" s="296">
        <f t="shared" si="376"/>
        <v>94</v>
      </c>
      <c r="DZ89" s="296">
        <f t="shared" si="376"/>
        <v>411</v>
      </c>
      <c r="EA89" s="296">
        <f t="shared" si="376"/>
        <v>-244</v>
      </c>
      <c r="EB89" s="63">
        <f t="shared" si="376"/>
        <v>210</v>
      </c>
      <c r="EC89" s="63">
        <f t="shared" si="376"/>
        <v>1003</v>
      </c>
      <c r="ED89" s="63">
        <f t="shared" si="376"/>
        <v>367</v>
      </c>
      <c r="EE89" s="63">
        <f t="shared" si="376"/>
        <v>766</v>
      </c>
      <c r="EF89" s="677">
        <f t="shared" si="361"/>
        <v>334</v>
      </c>
      <c r="EG89" s="1037">
        <f>EG10-EG24</f>
        <v>-380</v>
      </c>
      <c r="EH89" s="1037">
        <f>EH10-EH24</f>
        <v>254</v>
      </c>
      <c r="EI89" s="1037">
        <f>EI10-EI24</f>
        <v>144</v>
      </c>
      <c r="EJ89" s="1037">
        <f>EJ10-EJ24</f>
        <v>601</v>
      </c>
      <c r="EK89" s="1095">
        <f t="shared" ref="EK89:EP89" si="377">EK10-EK24</f>
        <v>-120</v>
      </c>
      <c r="EL89" s="1095">
        <f>EL10-EL24</f>
        <v>336</v>
      </c>
      <c r="EM89" s="1676">
        <f>EM10-EM24</f>
        <v>337.62912636914552</v>
      </c>
      <c r="EN89" s="63">
        <f t="shared" si="377"/>
        <v>323.85445842677927</v>
      </c>
      <c r="EO89" s="63">
        <f t="shared" si="377"/>
        <v>326.95439707818878</v>
      </c>
      <c r="EP89" s="63">
        <f t="shared" si="377"/>
        <v>329.99861242504812</v>
      </c>
      <c r="EQ89" s="63">
        <f>EQ10-EQ24</f>
        <v>334.38564098419465</v>
      </c>
      <c r="ER89" s="63">
        <f>ER10-ER24</f>
        <v>338.94298533720666</v>
      </c>
      <c r="ES89" s="63">
        <f>ES10-ES24</f>
        <v>343.67914393132378</v>
      </c>
      <c r="ET89" s="63">
        <f>ET10-ET24</f>
        <v>348.60304496080516</v>
      </c>
      <c r="EU89" s="63">
        <f>EU10-EU24</f>
        <v>353.72406813554517</v>
      </c>
      <c r="EV89" s="1374"/>
      <c r="EW89"/>
      <c r="EX89"/>
      <c r="EY89"/>
      <c r="EZ89"/>
      <c r="FA89"/>
      <c r="FB89"/>
      <c r="FC89" s="4"/>
      <c r="FD89" s="4"/>
      <c r="FE89" s="4"/>
      <c r="FF89" s="4"/>
      <c r="FG89" s="1095"/>
      <c r="FH89" s="1095"/>
      <c r="FI89" s="1095"/>
      <c r="FJ89" s="1095"/>
      <c r="FK89"/>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row>
    <row r="90" spans="1:260" s="279" customFormat="1" ht="11.25" customHeight="1" x14ac:dyDescent="0.2">
      <c r="A90" s="307" t="s">
        <v>59</v>
      </c>
      <c r="B90" s="311"/>
      <c r="C90" s="161"/>
      <c r="D90" s="306"/>
      <c r="E90" s="623"/>
      <c r="F90" s="311" t="s">
        <v>122</v>
      </c>
      <c r="G90" s="311" t="s">
        <v>122</v>
      </c>
      <c r="H90" s="311" t="s">
        <v>122</v>
      </c>
      <c r="I90" s="633" t="s">
        <v>122</v>
      </c>
      <c r="J90" s="306">
        <f t="shared" ref="J90:AO90" si="378">(J89/F89)-1</f>
        <v>0.41339886794571434</v>
      </c>
      <c r="K90" s="306">
        <f t="shared" si="378"/>
        <v>0.58824006700518239</v>
      </c>
      <c r="L90" s="306">
        <f t="shared" si="378"/>
        <v>0.21002938696822326</v>
      </c>
      <c r="M90" s="623">
        <f t="shared" si="378"/>
        <v>5.2485553748041536E-2</v>
      </c>
      <c r="N90" s="306">
        <f t="shared" si="378"/>
        <v>0.54133459481516533</v>
      </c>
      <c r="O90" s="306">
        <f t="shared" si="378"/>
        <v>0.36430933927485531</v>
      </c>
      <c r="P90" s="306">
        <f t="shared" si="378"/>
        <v>-6.3753815641368727E-2</v>
      </c>
      <c r="Q90" s="623">
        <f t="shared" si="378"/>
        <v>0.22182669878055683</v>
      </c>
      <c r="R90" s="306">
        <f t="shared" si="378"/>
        <v>-0.30925471673800642</v>
      </c>
      <c r="S90" s="306">
        <f t="shared" si="378"/>
        <v>-0.31090138874964213</v>
      </c>
      <c r="T90" s="306">
        <f t="shared" si="378"/>
        <v>-0.33876394412436084</v>
      </c>
      <c r="U90" s="623">
        <f t="shared" si="378"/>
        <v>-0.48203744778869295</v>
      </c>
      <c r="V90" s="306">
        <f t="shared" si="378"/>
        <v>-0.32530445356076276</v>
      </c>
      <c r="W90" s="306">
        <f t="shared" si="378"/>
        <v>-0.46036860058687235</v>
      </c>
      <c r="X90" s="306">
        <f t="shared" si="378"/>
        <v>-0.71359460998291868</v>
      </c>
      <c r="Y90" s="623">
        <f t="shared" si="378"/>
        <v>-0.8962544313622075</v>
      </c>
      <c r="Z90" s="306">
        <f t="shared" si="378"/>
        <v>-0.3865243324628056</v>
      </c>
      <c r="AA90" s="306">
        <f t="shared" si="378"/>
        <v>-0.25702452493097294</v>
      </c>
      <c r="AB90" s="306">
        <f t="shared" si="378"/>
        <v>-0.91856573916385453</v>
      </c>
      <c r="AC90" s="623">
        <f t="shared" si="378"/>
        <v>-4.7625361062969382</v>
      </c>
      <c r="AD90" s="306">
        <f t="shared" si="378"/>
        <v>-0.62715156084190005</v>
      </c>
      <c r="AE90" s="306">
        <f t="shared" si="378"/>
        <v>-1.096185375450869</v>
      </c>
      <c r="AF90" s="306">
        <f t="shared" si="378"/>
        <v>-13.612905850760622</v>
      </c>
      <c r="AG90" s="623">
        <f t="shared" si="378"/>
        <v>-0.95393792367513952</v>
      </c>
      <c r="AH90" s="306">
        <f t="shared" si="378"/>
        <v>0.74725274725274726</v>
      </c>
      <c r="AI90" s="306">
        <f t="shared" si="378"/>
        <v>-2.5454545454545454</v>
      </c>
      <c r="AJ90" s="306">
        <f t="shared" si="378"/>
        <v>0.19999999999999996</v>
      </c>
      <c r="AK90" s="623">
        <f t="shared" si="378"/>
        <v>53.5</v>
      </c>
      <c r="AL90" s="306">
        <f t="shared" si="378"/>
        <v>0.32704402515723263</v>
      </c>
      <c r="AM90" s="306">
        <f t="shared" si="378"/>
        <v>0.52941176470588225</v>
      </c>
      <c r="AN90" s="306">
        <f t="shared" si="378"/>
        <v>0.34946236559139776</v>
      </c>
      <c r="AO90" s="623">
        <f t="shared" si="378"/>
        <v>-0.63914373088685017</v>
      </c>
      <c r="AP90" s="316">
        <f t="shared" ref="AP90:BU90" si="379">(AP89/AL89)-1</f>
        <v>-0.94786729857819907</v>
      </c>
      <c r="AQ90" s="316">
        <f t="shared" si="379"/>
        <v>-1.9230769230769273E-2</v>
      </c>
      <c r="AR90" s="316">
        <f t="shared" si="379"/>
        <v>-0.70916334661354585</v>
      </c>
      <c r="AS90" s="626">
        <f t="shared" si="379"/>
        <v>-2.2457627118644066</v>
      </c>
      <c r="AT90" s="316">
        <f t="shared" si="379"/>
        <v>26.636363636363637</v>
      </c>
      <c r="AU90" s="306">
        <f t="shared" si="379"/>
        <v>4.666666666666667</v>
      </c>
      <c r="AV90" s="306">
        <f t="shared" si="379"/>
        <v>1.493150684931507</v>
      </c>
      <c r="AW90" s="623">
        <f t="shared" si="379"/>
        <v>-0.81632653061224492</v>
      </c>
      <c r="AX90" s="306">
        <f t="shared" si="379"/>
        <v>-0.27960526315789469</v>
      </c>
      <c r="AY90" s="306">
        <f t="shared" si="379"/>
        <v>0.69550173010380623</v>
      </c>
      <c r="AZ90" s="306">
        <f t="shared" si="379"/>
        <v>-0.93956043956043955</v>
      </c>
      <c r="BA90" s="623">
        <f t="shared" si="379"/>
        <v>2.8518518518518516</v>
      </c>
      <c r="BB90" s="306">
        <f t="shared" si="379"/>
        <v>2.1141552511415527</v>
      </c>
      <c r="BC90" s="306">
        <f t="shared" si="379"/>
        <v>-0.61020408163265305</v>
      </c>
      <c r="BD90" s="306">
        <f t="shared" si="379"/>
        <v>21.545454545454547</v>
      </c>
      <c r="BE90" s="623">
        <f t="shared" si="379"/>
        <v>-9.6153846153846145E-2</v>
      </c>
      <c r="BF90" s="306">
        <f t="shared" si="379"/>
        <v>-0.5</v>
      </c>
      <c r="BG90" s="306">
        <f t="shared" si="379"/>
        <v>0.76963350785340312</v>
      </c>
      <c r="BH90" s="306">
        <f t="shared" si="379"/>
        <v>-0.41129032258064513</v>
      </c>
      <c r="BI90" s="623">
        <f t="shared" si="379"/>
        <v>3.3723404255319149</v>
      </c>
      <c r="BJ90" s="306">
        <f t="shared" si="379"/>
        <v>-9.6774193548387122E-2</v>
      </c>
      <c r="BK90" s="306">
        <f t="shared" si="379"/>
        <v>-0.46449704142011838</v>
      </c>
      <c r="BL90" s="306">
        <f t="shared" si="379"/>
        <v>-0.9178082191780822</v>
      </c>
      <c r="BM90" s="623">
        <f t="shared" si="379"/>
        <v>-1.5936739659367398</v>
      </c>
      <c r="BN90" s="306">
        <f t="shared" si="379"/>
        <v>0.59090909090909083</v>
      </c>
      <c r="BO90" s="306">
        <f t="shared" si="379"/>
        <v>0.82872928176795591</v>
      </c>
      <c r="BP90" s="306">
        <f t="shared" si="379"/>
        <v>7.75</v>
      </c>
      <c r="BQ90" s="623">
        <f t="shared" si="379"/>
        <v>-1.860655737704918</v>
      </c>
      <c r="BR90" s="306">
        <f t="shared" si="379"/>
        <v>-3.0612244897959218E-2</v>
      </c>
      <c r="BS90" s="306">
        <f t="shared" si="379"/>
        <v>1.3353474320241694</v>
      </c>
      <c r="BT90" s="306">
        <f t="shared" si="379"/>
        <v>-2.961904761904762</v>
      </c>
      <c r="BU90" s="623">
        <f t="shared" si="379"/>
        <v>3.7761904761904761</v>
      </c>
      <c r="BV90" s="306">
        <f t="shared" ref="BV90:CH90" si="380">(BV89/BR89)-1</f>
        <v>0.35157894736842099</v>
      </c>
      <c r="BW90" s="306">
        <f t="shared" si="380"/>
        <v>-0.25873221216041398</v>
      </c>
      <c r="BX90" s="306">
        <f t="shared" si="380"/>
        <v>-5.0970873786407767</v>
      </c>
      <c r="BY90" s="623">
        <f t="shared" si="380"/>
        <v>-0.63409770687936184</v>
      </c>
      <c r="BZ90" s="306">
        <f t="shared" si="380"/>
        <v>-0.47975077881619943</v>
      </c>
      <c r="CA90" s="306">
        <f t="shared" si="380"/>
        <v>-0.57417102966841194</v>
      </c>
      <c r="CB90" s="306">
        <f t="shared" si="380"/>
        <v>-1.264218009478673</v>
      </c>
      <c r="CC90" s="623">
        <f t="shared" si="380"/>
        <v>-2.0354223433242504</v>
      </c>
      <c r="CD90" s="1102">
        <f t="shared" si="380"/>
        <v>1.0508982035928143</v>
      </c>
      <c r="CE90" s="1103">
        <f t="shared" si="380"/>
        <v>0.92213114754098369</v>
      </c>
      <c r="CF90" s="1103">
        <f t="shared" si="380"/>
        <v>0.79372197309417047</v>
      </c>
      <c r="CG90" s="626">
        <f t="shared" si="380"/>
        <v>-1.668421052631579</v>
      </c>
      <c r="CH90" s="1102">
        <f t="shared" si="380"/>
        <v>-0.55766423357664241</v>
      </c>
      <c r="CI90" s="1103">
        <f t="shared" ref="CI90:CP90" si="381">(CI89/CE89)-1</f>
        <v>-0.27718550106609807</v>
      </c>
      <c r="CJ90" s="1103">
        <f t="shared" si="381"/>
        <v>-0.31499999999999995</v>
      </c>
      <c r="CK90" s="626">
        <f t="shared" si="381"/>
        <v>-0.43307086614173229</v>
      </c>
      <c r="CL90" s="1103">
        <f t="shared" si="381"/>
        <v>0.14191419141914197</v>
      </c>
      <c r="CM90" s="1103">
        <f t="shared" si="381"/>
        <v>-7.0796460176991149E-2</v>
      </c>
      <c r="CN90" s="1103">
        <f t="shared" si="381"/>
        <v>0.70437956204379559</v>
      </c>
      <c r="CO90" s="626">
        <f t="shared" si="381"/>
        <v>3.1736111111111107</v>
      </c>
      <c r="CP90" s="1103">
        <f t="shared" si="381"/>
        <v>-6.9364161849710948E-2</v>
      </c>
      <c r="CQ90" s="1103">
        <f t="shared" ref="CQ90:DA90" si="382">(CQ89/CM89)-1</f>
        <v>-0.65714285714285714</v>
      </c>
      <c r="CR90" s="1103">
        <f t="shared" si="382"/>
        <v>-0.79014989293361881</v>
      </c>
      <c r="CS90" s="626">
        <f t="shared" si="382"/>
        <v>-1.199667221297837</v>
      </c>
      <c r="CT90" s="1103">
        <f t="shared" si="382"/>
        <v>-0.88198757763975155</v>
      </c>
      <c r="CU90" s="1103">
        <f t="shared" si="382"/>
        <v>-0.12037037037037035</v>
      </c>
      <c r="CV90" s="1103">
        <f t="shared" si="382"/>
        <v>-0.22448979591836737</v>
      </c>
      <c r="CW90" s="626">
        <f t="shared" si="382"/>
        <v>-3.8</v>
      </c>
      <c r="CX90" s="1732">
        <f t="shared" si="382"/>
        <v>7.5038033814364136E-2</v>
      </c>
      <c r="CY90" s="1103">
        <f t="shared" si="382"/>
        <v>6.5521761736664796E-2</v>
      </c>
      <c r="CZ90" s="1103">
        <f t="shared" si="382"/>
        <v>5.7383462751479541E-2</v>
      </c>
      <c r="DA90" s="626">
        <f t="shared" si="382"/>
        <v>4.8485903843615841E-3</v>
      </c>
      <c r="DB90" s="686"/>
      <c r="DC90" s="623"/>
      <c r="DD90" s="305"/>
      <c r="DE90" s="15"/>
      <c r="DF90" s="15"/>
      <c r="DG90" s="15"/>
      <c r="DH90" s="15"/>
      <c r="DI90" s="15"/>
      <c r="DJ90" s="306"/>
      <c r="DK90" s="306"/>
      <c r="DL90" s="306"/>
      <c r="DM90" s="311" t="s">
        <v>122</v>
      </c>
      <c r="DN90" s="306">
        <f t="shared" ref="DN90:ED90" si="383">(DN89/DM89)-1</f>
        <v>5.2485553748041536E-2</v>
      </c>
      <c r="DO90" s="306">
        <f t="shared" si="383"/>
        <v>0.22182669878055683</v>
      </c>
      <c r="DP90" s="306">
        <f t="shared" si="383"/>
        <v>-0.48203744778869295</v>
      </c>
      <c r="DQ90" s="306">
        <f t="shared" si="383"/>
        <v>-0.8962544313622075</v>
      </c>
      <c r="DR90" s="306">
        <f t="shared" si="383"/>
        <v>-4.7625361062969382</v>
      </c>
      <c r="DS90" s="306">
        <f t="shared" si="383"/>
        <v>-0.95393792367513952</v>
      </c>
      <c r="DT90" s="306">
        <f t="shared" si="383"/>
        <v>53.5</v>
      </c>
      <c r="DU90" s="306">
        <f t="shared" si="383"/>
        <v>-0.63914373088685017</v>
      </c>
      <c r="DV90" s="316">
        <f t="shared" si="383"/>
        <v>-2.2457627118644066</v>
      </c>
      <c r="DW90" s="306">
        <f t="shared" si="383"/>
        <v>-0.81632653061224492</v>
      </c>
      <c r="DX90" s="306">
        <f t="shared" si="383"/>
        <v>2.8518518518518516</v>
      </c>
      <c r="DY90" s="306">
        <f t="shared" si="383"/>
        <v>-9.6153846153846145E-2</v>
      </c>
      <c r="DZ90" s="306">
        <f t="shared" si="383"/>
        <v>3.3723404255319149</v>
      </c>
      <c r="EA90" s="306">
        <f t="shared" si="383"/>
        <v>-1.5936739659367398</v>
      </c>
      <c r="EB90" s="306">
        <f t="shared" si="383"/>
        <v>-1.860655737704918</v>
      </c>
      <c r="EC90" s="306">
        <f t="shared" si="383"/>
        <v>3.7761904761904761</v>
      </c>
      <c r="ED90" s="306">
        <f t="shared" si="383"/>
        <v>-0.63409770687936184</v>
      </c>
      <c r="EE90" s="306">
        <f>(EE89/EB89)-1</f>
        <v>2.6476190476190475</v>
      </c>
      <c r="EF90" s="673">
        <f t="shared" si="361"/>
        <v>-0.47975077881619943</v>
      </c>
      <c r="EG90" s="1117">
        <f>(EG89/ED89)-1</f>
        <v>-2.0354223433242504</v>
      </c>
      <c r="EH90" s="1117">
        <f>(EH89/EG89)-1</f>
        <v>-1.668421052631579</v>
      </c>
      <c r="EI90" s="1117">
        <f>(EI89/EH89)-1</f>
        <v>-0.43307086614173229</v>
      </c>
      <c r="EJ90" s="1117">
        <f t="shared" ref="EJ90:EP90" si="384">(EJ89/EI89)-1</f>
        <v>3.1736111111111107</v>
      </c>
      <c r="EK90" s="1103">
        <f t="shared" si="384"/>
        <v>-1.199667221297837</v>
      </c>
      <c r="EL90" s="1103">
        <f t="shared" si="384"/>
        <v>-3.8</v>
      </c>
      <c r="EM90" s="1732">
        <f t="shared" si="384"/>
        <v>4.8485903843615841E-3</v>
      </c>
      <c r="EN90" s="107">
        <f t="shared" si="384"/>
        <v>-4.0798221677432411E-2</v>
      </c>
      <c r="EO90" s="107">
        <f t="shared" si="384"/>
        <v>9.5720116575463976E-3</v>
      </c>
      <c r="EP90" s="107">
        <f t="shared" si="384"/>
        <v>9.3108255281586505E-3</v>
      </c>
      <c r="EQ90" s="107">
        <f>(EQ89/EP89)-1</f>
        <v>1.3294081835398375E-2</v>
      </c>
      <c r="ER90" s="107">
        <f>(ER89/EQ89)-1</f>
        <v>1.3629007332965681E-2</v>
      </c>
      <c r="ES90" s="107">
        <f>(ES89/ER89)-1</f>
        <v>1.3973319404752438E-2</v>
      </c>
      <c r="ET90" s="107">
        <f>(ET89/ES89)-1</f>
        <v>1.4327028905964934E-2</v>
      </c>
      <c r="EU90" s="107">
        <f>(EU89/ET89)-1</f>
        <v>1.4690127492477334E-2</v>
      </c>
      <c r="EV90" s="1102"/>
      <c r="EW90"/>
      <c r="EX90"/>
      <c r="EY90"/>
      <c r="EZ90"/>
      <c r="FA90"/>
      <c r="FB90"/>
      <c r="FC90" s="4"/>
      <c r="FD90" s="4"/>
      <c r="FE90" s="4"/>
      <c r="FF90" s="4"/>
      <c r="FG90" s="108"/>
      <c r="FH90" s="108"/>
      <c r="FI90" s="108"/>
      <c r="FJ90" s="108"/>
      <c r="FK90"/>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row>
    <row r="91" spans="1:260" s="279" customFormat="1" ht="11.25" customHeight="1" x14ac:dyDescent="0.2">
      <c r="A91" s="295" t="s">
        <v>60</v>
      </c>
      <c r="B91" s="313"/>
      <c r="C91" s="314"/>
      <c r="D91" s="313"/>
      <c r="E91" s="625"/>
      <c r="F91" s="18">
        <f t="shared" ref="F91:AK91" si="385">(F10/F109)*1000</f>
        <v>4604.6928104575163</v>
      </c>
      <c r="G91" s="18">
        <f t="shared" si="385"/>
        <v>5139.8809523809523</v>
      </c>
      <c r="H91" s="18">
        <f t="shared" si="385"/>
        <v>7381.5841584158416</v>
      </c>
      <c r="I91" s="617">
        <f t="shared" si="385"/>
        <v>4449.3970588235297</v>
      </c>
      <c r="J91" s="18">
        <f t="shared" si="385"/>
        <v>4706.0610328638495</v>
      </c>
      <c r="K91" s="18">
        <f t="shared" si="385"/>
        <v>5665.4464285714284</v>
      </c>
      <c r="L91" s="18">
        <f t="shared" si="385"/>
        <v>7864.4103585657376</v>
      </c>
      <c r="M91" s="617">
        <f t="shared" si="385"/>
        <v>4785.426294820717</v>
      </c>
      <c r="N91" s="18">
        <f t="shared" si="385"/>
        <v>5285.5559845559847</v>
      </c>
      <c r="O91" s="18">
        <f t="shared" si="385"/>
        <v>5524.3587786259541</v>
      </c>
      <c r="P91" s="18">
        <f t="shared" si="385"/>
        <v>6782.286764705882</v>
      </c>
      <c r="Q91" s="617">
        <f t="shared" si="385"/>
        <v>4161.9816176470586</v>
      </c>
      <c r="R91" s="18">
        <f t="shared" si="385"/>
        <v>4051.1569343065698</v>
      </c>
      <c r="S91" s="18">
        <f t="shared" si="385"/>
        <v>4244.1464285714292</v>
      </c>
      <c r="T91" s="18">
        <f t="shared" si="385"/>
        <v>5893.757894736842</v>
      </c>
      <c r="U91" s="617">
        <f t="shared" si="385"/>
        <v>3722.0631578947368</v>
      </c>
      <c r="V91" s="18">
        <f t="shared" si="385"/>
        <v>3797.0482758620687</v>
      </c>
      <c r="W91" s="18">
        <f t="shared" si="385"/>
        <v>4041.4048442906569</v>
      </c>
      <c r="X91" s="18">
        <f t="shared" si="385"/>
        <v>5400.4102564102568</v>
      </c>
      <c r="Y91" s="617">
        <f t="shared" si="385"/>
        <v>3364.5209003215432</v>
      </c>
      <c r="Z91" s="18">
        <f t="shared" si="385"/>
        <v>3550.7859424920125</v>
      </c>
      <c r="AA91" s="18">
        <f t="shared" si="385"/>
        <v>3878.4518072289152</v>
      </c>
      <c r="AB91" s="18">
        <f t="shared" si="385"/>
        <v>5882.8898305084749</v>
      </c>
      <c r="AC91" s="617">
        <f t="shared" si="385"/>
        <v>3315.6330532212887</v>
      </c>
      <c r="AD91" s="18">
        <f t="shared" si="385"/>
        <v>3639.8891966759002</v>
      </c>
      <c r="AE91" s="18">
        <f t="shared" si="385"/>
        <v>3906.1662198391423</v>
      </c>
      <c r="AF91" s="18">
        <f t="shared" si="385"/>
        <v>5636.8038740920101</v>
      </c>
      <c r="AG91" s="617">
        <f t="shared" si="385"/>
        <v>4217.1837708830544</v>
      </c>
      <c r="AH91" s="18">
        <f t="shared" si="385"/>
        <v>3802.3032629558543</v>
      </c>
      <c r="AI91" s="18">
        <f t="shared" si="385"/>
        <v>3947.1698113207549</v>
      </c>
      <c r="AJ91" s="18">
        <f t="shared" si="385"/>
        <v>6079.08611599297</v>
      </c>
      <c r="AK91" s="617">
        <f t="shared" si="385"/>
        <v>3277.9720279720277</v>
      </c>
      <c r="AL91" s="18">
        <f t="shared" ref="AL91:BQ91" si="386">(AL10/AL109)*1000</f>
        <v>4473.6842105263158</v>
      </c>
      <c r="AM91" s="18">
        <f t="shared" si="386"/>
        <v>3468.2926829268295</v>
      </c>
      <c r="AN91" s="18">
        <f t="shared" si="386"/>
        <v>5186.3636363636369</v>
      </c>
      <c r="AO91" s="617">
        <f t="shared" si="386"/>
        <v>3137.4622356495465</v>
      </c>
      <c r="AP91" s="87">
        <f t="shared" si="386"/>
        <v>3456.9343065693433</v>
      </c>
      <c r="AQ91" s="87">
        <f t="shared" si="386"/>
        <v>3740.7932011331445</v>
      </c>
      <c r="AR91" s="87">
        <f t="shared" si="386"/>
        <v>5911.8825100133508</v>
      </c>
      <c r="AS91" s="636">
        <f t="shared" si="386"/>
        <v>3439.3139841688653</v>
      </c>
      <c r="AT91" s="87">
        <f t="shared" si="386"/>
        <v>3785.7142857142858</v>
      </c>
      <c r="AU91" s="18">
        <f t="shared" si="386"/>
        <v>3819.6930946291559</v>
      </c>
      <c r="AV91" s="18">
        <f t="shared" si="386"/>
        <v>5835.5501813784758</v>
      </c>
      <c r="AW91" s="617">
        <f t="shared" si="386"/>
        <v>3402.1479713603817</v>
      </c>
      <c r="AX91" s="18">
        <f t="shared" si="386"/>
        <v>3833.3333333333335</v>
      </c>
      <c r="AY91" s="18">
        <f t="shared" si="386"/>
        <v>3718.5354691075518</v>
      </c>
      <c r="AZ91" s="18">
        <f t="shared" si="386"/>
        <v>5701.716738197425</v>
      </c>
      <c r="BA91" s="617">
        <f t="shared" si="386"/>
        <v>3547.2901168969183</v>
      </c>
      <c r="BB91" s="18">
        <f t="shared" si="386"/>
        <v>3856.5531475748194</v>
      </c>
      <c r="BC91" s="18">
        <f t="shared" si="386"/>
        <v>3644.4644464446446</v>
      </c>
      <c r="BD91" s="18">
        <f t="shared" si="386"/>
        <v>5226.8041237113403</v>
      </c>
      <c r="BE91" s="617">
        <f t="shared" si="386"/>
        <v>3422.259983007647</v>
      </c>
      <c r="BF91" s="18">
        <f t="shared" si="386"/>
        <v>3569.7674418604652</v>
      </c>
      <c r="BG91" s="18">
        <f t="shared" si="386"/>
        <v>3783.5638730675346</v>
      </c>
      <c r="BH91" s="18">
        <f t="shared" si="386"/>
        <v>5762.5676720804331</v>
      </c>
      <c r="BI91" s="617">
        <f t="shared" si="386"/>
        <v>3582.9528158295279</v>
      </c>
      <c r="BJ91" s="18">
        <f t="shared" si="386"/>
        <v>3710.1556708673093</v>
      </c>
      <c r="BK91" s="18">
        <f t="shared" si="386"/>
        <v>4414.3167028199559</v>
      </c>
      <c r="BL91" s="18">
        <f t="shared" si="386"/>
        <v>2110.3111339676007</v>
      </c>
      <c r="BM91" s="617">
        <f t="shared" si="386"/>
        <v>1205.7331303906647</v>
      </c>
      <c r="BN91" s="11">
        <f t="shared" si="386"/>
        <v>1389.9163921966051</v>
      </c>
      <c r="BO91" s="11">
        <f t="shared" si="386"/>
        <v>1446.7977811396872</v>
      </c>
      <c r="BP91" s="11">
        <f t="shared" si="386"/>
        <v>2236.1145703611455</v>
      </c>
      <c r="BQ91" s="640">
        <f t="shared" si="386"/>
        <v>1362.9813664596272</v>
      </c>
      <c r="BR91" s="11">
        <f t="shared" ref="BR91:CJ91" si="387">(BR10/BR109)*1000</f>
        <v>1575.0870213823969</v>
      </c>
      <c r="BS91" s="11">
        <f t="shared" si="387"/>
        <v>1555.3921568627452</v>
      </c>
      <c r="BT91" s="11">
        <f t="shared" si="387"/>
        <v>2438.5752362490916</v>
      </c>
      <c r="BU91" s="640">
        <f t="shared" si="387"/>
        <v>1413.4707574304889</v>
      </c>
      <c r="BV91" s="11">
        <f t="shared" si="387"/>
        <v>1518.3946488294316</v>
      </c>
      <c r="BW91" s="11">
        <f t="shared" si="387"/>
        <v>1508.3627797408717</v>
      </c>
      <c r="BX91" s="11">
        <f t="shared" si="387"/>
        <v>2126.3837638376381</v>
      </c>
      <c r="BY91" s="640">
        <f t="shared" si="387"/>
        <v>1330.3156917363046</v>
      </c>
      <c r="BZ91" s="11">
        <f t="shared" si="387"/>
        <v>1399.0772779700117</v>
      </c>
      <c r="CA91" s="11">
        <f t="shared" si="387"/>
        <v>1459.4531974050046</v>
      </c>
      <c r="CB91" s="11">
        <f t="shared" si="387"/>
        <v>1862.5256907969856</v>
      </c>
      <c r="CC91" s="640">
        <f t="shared" si="387"/>
        <v>1500.2283105022832</v>
      </c>
      <c r="CD91" s="742">
        <f t="shared" si="387"/>
        <v>3045.7334076965981</v>
      </c>
      <c r="CE91" s="242">
        <f t="shared" si="387"/>
        <v>3035.7342266890005</v>
      </c>
      <c r="CF91" s="242">
        <f t="shared" si="387"/>
        <v>3898.324022346369</v>
      </c>
      <c r="CG91" s="660">
        <f t="shared" si="387"/>
        <v>3021.9224283305225</v>
      </c>
      <c r="CH91" s="742">
        <f t="shared" si="387"/>
        <v>2957.2312886888017</v>
      </c>
      <c r="CI91" s="242">
        <f t="shared" si="387"/>
        <v>3173.9624786810691</v>
      </c>
      <c r="CJ91" s="242">
        <f t="shared" si="387"/>
        <v>3927.1485486624929</v>
      </c>
      <c r="CK91" s="660">
        <f t="shared" ref="CK91:CS91" si="388">(CK10/CK109)*1000</f>
        <v>2992.4812030075191</v>
      </c>
      <c r="CL91" s="242">
        <f t="shared" si="388"/>
        <v>2975.256487628244</v>
      </c>
      <c r="CM91" s="242">
        <f t="shared" si="388"/>
        <v>3030.9466019417478</v>
      </c>
      <c r="CN91" s="242">
        <f t="shared" si="388"/>
        <v>4040.7047387606322</v>
      </c>
      <c r="CO91" s="660">
        <f>(CO10/CO109)*1000</f>
        <v>3096.8730839975474</v>
      </c>
      <c r="CP91" s="242">
        <f>(CP10/CP109)*1000</f>
        <v>2918.3673469387754</v>
      </c>
      <c r="CQ91" s="242">
        <f t="shared" si="388"/>
        <v>3048.4472049689439</v>
      </c>
      <c r="CR91" s="242">
        <f t="shared" si="388"/>
        <v>3966.791979949875</v>
      </c>
      <c r="CS91" s="660">
        <f t="shared" si="388"/>
        <v>3088.2539682539687</v>
      </c>
      <c r="CT91" s="242">
        <f>(CT10/CT109)*1000</f>
        <v>2968.6299615877083</v>
      </c>
      <c r="CU91" s="242">
        <f t="shared" ref="CU91" si="389">(CU10/CU109)*1000</f>
        <v>3318.5613359023764</v>
      </c>
      <c r="CV91" s="242">
        <f t="shared" ref="CV91:DA91" si="390">(CV10/CV109)*1000</f>
        <v>4335.0683148991548</v>
      </c>
      <c r="CW91" s="660">
        <f t="shared" si="390"/>
        <v>3454.2440318302383</v>
      </c>
      <c r="CX91" s="1686">
        <f t="shared" si="390"/>
        <v>3984.7732716204646</v>
      </c>
      <c r="CY91" s="242">
        <f t="shared" si="390"/>
        <v>4404.4407543146763</v>
      </c>
      <c r="CZ91" s="242">
        <f t="shared" si="390"/>
        <v>5640.7894414036618</v>
      </c>
      <c r="DA91" s="660">
        <f t="shared" si="390"/>
        <v>4197.4789954387634</v>
      </c>
      <c r="DB91" s="687"/>
      <c r="DC91" s="640"/>
      <c r="DD91" s="305"/>
      <c r="DE91" s="253"/>
      <c r="DF91" s="253"/>
      <c r="DG91" s="253"/>
      <c r="DH91" s="253"/>
      <c r="DI91" s="253"/>
      <c r="DJ91" s="309"/>
      <c r="DK91" s="309"/>
      <c r="DL91" s="313"/>
      <c r="DM91" s="18">
        <f t="shared" ref="DM91:EE91" si="391">(DM10/DM109)*1000</f>
        <v>4449.3970588235297</v>
      </c>
      <c r="DN91" s="18">
        <f t="shared" si="391"/>
        <v>4785.426294820717</v>
      </c>
      <c r="DO91" s="18">
        <f t="shared" si="391"/>
        <v>4161.9816176470586</v>
      </c>
      <c r="DP91" s="18">
        <f t="shared" si="391"/>
        <v>3722.0631578947368</v>
      </c>
      <c r="DQ91" s="18">
        <f t="shared" si="391"/>
        <v>3364.5209003215432</v>
      </c>
      <c r="DR91" s="18">
        <f t="shared" si="391"/>
        <v>3315.6330532212887</v>
      </c>
      <c r="DS91" s="18">
        <f t="shared" si="391"/>
        <v>4217.1837708830544</v>
      </c>
      <c r="DT91" s="18">
        <f t="shared" si="391"/>
        <v>3277.9720279720277</v>
      </c>
      <c r="DU91" s="18">
        <f t="shared" si="391"/>
        <v>3137.4622356495465</v>
      </c>
      <c r="DV91" s="87">
        <f t="shared" si="391"/>
        <v>3439.3139841688653</v>
      </c>
      <c r="DW91" s="18">
        <f t="shared" si="391"/>
        <v>3402.1479713603817</v>
      </c>
      <c r="DX91" s="18">
        <f t="shared" si="391"/>
        <v>3547.2901168969183</v>
      </c>
      <c r="DY91" s="18">
        <f t="shared" si="391"/>
        <v>3436.8600682593856</v>
      </c>
      <c r="DZ91" s="18">
        <f t="shared" si="391"/>
        <v>3582.9528158295279</v>
      </c>
      <c r="EA91" s="18">
        <f t="shared" si="391"/>
        <v>1205.7331303906647</v>
      </c>
      <c r="EB91" s="11">
        <f t="shared" si="391"/>
        <v>1362.9813664596272</v>
      </c>
      <c r="EC91" s="11">
        <f t="shared" si="391"/>
        <v>1413.4707574304889</v>
      </c>
      <c r="ED91" s="11">
        <f t="shared" si="391"/>
        <v>1330.3156917363046</v>
      </c>
      <c r="EE91" s="11">
        <f t="shared" si="391"/>
        <v>1766.5388302972196</v>
      </c>
      <c r="EF91" s="687">
        <f t="shared" si="361"/>
        <v>1399.0772779700117</v>
      </c>
      <c r="EG91" s="373">
        <f>(EG10/EG109)*1000</f>
        <v>1500.5709065996805</v>
      </c>
      <c r="EH91" s="373">
        <f>(EH10/EH109)*1000</f>
        <v>3021.9224283305225</v>
      </c>
      <c r="EI91" s="373">
        <f t="shared" ref="EI91:EP91" si="392">(EI10/EI109)*1000</f>
        <v>2992.4812030075191</v>
      </c>
      <c r="EJ91" s="373">
        <f>(EJ10/EJ109)*1000</f>
        <v>3096.8730839975474</v>
      </c>
      <c r="EK91" s="242">
        <f t="shared" si="392"/>
        <v>3088.2539682539687</v>
      </c>
      <c r="EL91" s="242">
        <f>(EL10/EL109)*1000</f>
        <v>3454.2440318302383</v>
      </c>
      <c r="EM91" s="1686">
        <f>(EM10/EM109)*1000</f>
        <v>4197.4789954387634</v>
      </c>
      <c r="EN91" s="11">
        <f t="shared" si="392"/>
        <v>4236.0145360301221</v>
      </c>
      <c r="EO91" s="11">
        <f t="shared" si="392"/>
        <v>4266.3143641945853</v>
      </c>
      <c r="EP91" s="11">
        <f t="shared" si="392"/>
        <v>4285.4997342254592</v>
      </c>
      <c r="EQ91" s="11">
        <f>(EQ10/EQ109)*1000</f>
        <v>4321.858520683908</v>
      </c>
      <c r="ER91" s="11">
        <f>(ER10/ER109)*1000</f>
        <v>4360.06465272685</v>
      </c>
      <c r="ES91" s="11">
        <f>(ES10/ES109)*1000</f>
        <v>4400.2008781394015</v>
      </c>
      <c r="ET91" s="11">
        <f>(ET10/ET109)*1000</f>
        <v>4442.3538720021897</v>
      </c>
      <c r="EU91" s="11">
        <f>(EU10/EU109)*1000</f>
        <v>4486.6144213289781</v>
      </c>
      <c r="EV91" s="1032"/>
      <c r="EW91"/>
      <c r="EX91"/>
      <c r="EY91"/>
      <c r="EZ91"/>
      <c r="FA91"/>
      <c r="FB91"/>
      <c r="FC91" s="4"/>
      <c r="FD91" s="4"/>
      <c r="FE91" s="4"/>
      <c r="FF91" s="4"/>
      <c r="FG91" s="242"/>
      <c r="FH91" s="242"/>
      <c r="FI91" s="242"/>
      <c r="FJ91" s="242"/>
      <c r="FK91"/>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row>
    <row r="92" spans="1:260" s="279" customFormat="1" ht="11.25" customHeight="1" x14ac:dyDescent="0.2">
      <c r="A92" s="307" t="s">
        <v>59</v>
      </c>
      <c r="B92" s="315"/>
      <c r="C92" s="70"/>
      <c r="D92" s="316"/>
      <c r="E92" s="626"/>
      <c r="F92" s="311" t="s">
        <v>122</v>
      </c>
      <c r="G92" s="311" t="s">
        <v>122</v>
      </c>
      <c r="H92" s="311" t="s">
        <v>122</v>
      </c>
      <c r="I92" s="633" t="s">
        <v>122</v>
      </c>
      <c r="J92" s="306">
        <f t="shared" ref="J92:AO92" si="393">(J91/F91)-1</f>
        <v>2.2014111815693793E-2</v>
      </c>
      <c r="K92" s="306">
        <f t="shared" si="393"/>
        <v>0.10225246091488138</v>
      </c>
      <c r="L92" s="306">
        <f t="shared" si="393"/>
        <v>6.5409563826406947E-2</v>
      </c>
      <c r="M92" s="623">
        <f t="shared" si="393"/>
        <v>7.5522420578494565E-2</v>
      </c>
      <c r="N92" s="306">
        <f t="shared" si="393"/>
        <v>0.12313800174824463</v>
      </c>
      <c r="O92" s="306">
        <f t="shared" si="393"/>
        <v>-2.4903183133804796E-2</v>
      </c>
      <c r="P92" s="306">
        <f t="shared" si="393"/>
        <v>-0.13759754953290693</v>
      </c>
      <c r="Q92" s="623">
        <f t="shared" si="393"/>
        <v>-0.13027986197351205</v>
      </c>
      <c r="R92" s="306">
        <f t="shared" si="393"/>
        <v>-0.23354194976956832</v>
      </c>
      <c r="S92" s="306">
        <f t="shared" si="393"/>
        <v>-0.23173953780984258</v>
      </c>
      <c r="T92" s="306">
        <f t="shared" si="393"/>
        <v>-0.13100726949394503</v>
      </c>
      <c r="U92" s="623">
        <f t="shared" si="393"/>
        <v>-0.10569927985434635</v>
      </c>
      <c r="V92" s="306">
        <f t="shared" si="393"/>
        <v>-6.2724960440960209E-2</v>
      </c>
      <c r="W92" s="306">
        <f t="shared" si="393"/>
        <v>-4.7769695907738607E-2</v>
      </c>
      <c r="X92" s="306">
        <f t="shared" si="393"/>
        <v>-8.3706804238963928E-2</v>
      </c>
      <c r="Y92" s="623">
        <f t="shared" si="393"/>
        <v>-9.6060233909471271E-2</v>
      </c>
      <c r="Z92" s="306">
        <f t="shared" si="393"/>
        <v>-6.4856255564500476E-2</v>
      </c>
      <c r="AA92" s="306">
        <f t="shared" si="393"/>
        <v>-4.0320889230374357E-2</v>
      </c>
      <c r="AB92" s="306">
        <f t="shared" si="393"/>
        <v>8.9341281715684007E-2</v>
      </c>
      <c r="AC92" s="623">
        <f t="shared" si="393"/>
        <v>-1.453040374799941E-2</v>
      </c>
      <c r="AD92" s="306">
        <f t="shared" si="393"/>
        <v>2.5093952614150927E-2</v>
      </c>
      <c r="AE92" s="306">
        <f t="shared" si="393"/>
        <v>7.1457411327300324E-3</v>
      </c>
      <c r="AF92" s="306">
        <f t="shared" si="393"/>
        <v>-4.1830794644542091E-2</v>
      </c>
      <c r="AG92" s="623">
        <f t="shared" si="393"/>
        <v>0.27190907533807707</v>
      </c>
      <c r="AH92" s="306">
        <f t="shared" si="393"/>
        <v>4.4620607250428712E-2</v>
      </c>
      <c r="AI92" s="306">
        <f t="shared" si="393"/>
        <v>1.0497144559122429E-2</v>
      </c>
      <c r="AJ92" s="306">
        <f t="shared" si="393"/>
        <v>7.8463301505625527E-2</v>
      </c>
      <c r="AK92" s="623">
        <f t="shared" si="393"/>
        <v>-0.22271065097890219</v>
      </c>
      <c r="AL92" s="306">
        <f t="shared" si="393"/>
        <v>0.1765721724806717</v>
      </c>
      <c r="AM92" s="306">
        <f t="shared" si="393"/>
        <v>-0.12132164342675933</v>
      </c>
      <c r="AN92" s="306">
        <f t="shared" si="393"/>
        <v>-0.14685142842124621</v>
      </c>
      <c r="AO92" s="623">
        <f t="shared" si="393"/>
        <v>-4.2864853977844897E-2</v>
      </c>
      <c r="AP92" s="316">
        <f t="shared" ref="AP92:BU92" si="394">(AP91/AL91)-1</f>
        <v>-0.22727350794332324</v>
      </c>
      <c r="AQ92" s="316">
        <f t="shared" si="394"/>
        <v>7.8569066430794088E-2</v>
      </c>
      <c r="AR92" s="316">
        <f t="shared" si="394"/>
        <v>0.13988970394648303</v>
      </c>
      <c r="AS92" s="626">
        <f t="shared" si="394"/>
        <v>9.6208886624838286E-2</v>
      </c>
      <c r="AT92" s="316">
        <f t="shared" si="394"/>
        <v>9.5107384169884179E-2</v>
      </c>
      <c r="AU92" s="306">
        <f t="shared" si="394"/>
        <v>2.1091754944408958E-2</v>
      </c>
      <c r="AV92" s="306">
        <f t="shared" si="394"/>
        <v>-1.291167889510425E-2</v>
      </c>
      <c r="AW92" s="623">
        <f t="shared" si="394"/>
        <v>-1.0806228503579041E-2</v>
      </c>
      <c r="AX92" s="306">
        <f t="shared" si="394"/>
        <v>1.2578616352201255E-2</v>
      </c>
      <c r="AY92" s="306">
        <f t="shared" si="394"/>
        <v>-2.6483181505823405E-2</v>
      </c>
      <c r="AZ92" s="306">
        <f t="shared" si="394"/>
        <v>-2.2934160279885818E-2</v>
      </c>
      <c r="BA92" s="623">
        <f t="shared" si="394"/>
        <v>4.2661914401830092E-2</v>
      </c>
      <c r="BB92" s="306">
        <f t="shared" si="394"/>
        <v>6.057342845604996E-3</v>
      </c>
      <c r="BC92" s="306">
        <f t="shared" si="394"/>
        <v>-1.9919407325347915E-2</v>
      </c>
      <c r="BD92" s="306">
        <f t="shared" si="394"/>
        <v>-8.329291620267798E-2</v>
      </c>
      <c r="BE92" s="623">
        <f t="shared" si="394"/>
        <v>-3.5246661470882068E-2</v>
      </c>
      <c r="BF92" s="306">
        <f t="shared" si="394"/>
        <v>-7.4363218848597645E-2</v>
      </c>
      <c r="BG92" s="306">
        <f t="shared" si="394"/>
        <v>3.8167316122013073E-2</v>
      </c>
      <c r="BH92" s="306">
        <f t="shared" si="394"/>
        <v>0.10250308519093099</v>
      </c>
      <c r="BI92" s="623">
        <f t="shared" si="394"/>
        <v>4.6955179799243796E-2</v>
      </c>
      <c r="BJ92" s="306">
        <f t="shared" si="394"/>
        <v>3.9326995747845483E-2</v>
      </c>
      <c r="BK92" s="306">
        <f t="shared" si="394"/>
        <v>0.16670865113241407</v>
      </c>
      <c r="BL92" s="306">
        <f t="shared" si="394"/>
        <v>-0.63378978711312473</v>
      </c>
      <c r="BM92" s="623">
        <f t="shared" si="394"/>
        <v>-0.66348060039648815</v>
      </c>
      <c r="BN92" s="306">
        <f t="shared" si="394"/>
        <v>-0.6253751822031528</v>
      </c>
      <c r="BO92" s="306">
        <f t="shared" si="394"/>
        <v>-0.67224875817916663</v>
      </c>
      <c r="BP92" s="306">
        <f t="shared" si="394"/>
        <v>5.9613691255574031E-2</v>
      </c>
      <c r="BQ92" s="623">
        <f t="shared" si="394"/>
        <v>0.13041711478726081</v>
      </c>
      <c r="BR92" s="306">
        <f t="shared" si="394"/>
        <v>0.13322429336425823</v>
      </c>
      <c r="BS92" s="306">
        <f t="shared" si="394"/>
        <v>7.5058433969614535E-2</v>
      </c>
      <c r="BT92" s="306">
        <f t="shared" si="394"/>
        <v>9.0541275734028037E-2</v>
      </c>
      <c r="BU92" s="623">
        <f t="shared" si="394"/>
        <v>3.70433464560187E-2</v>
      </c>
      <c r="BV92" s="306">
        <f t="shared" ref="BV92:CH92" si="395">(BV91/BR91)-1</f>
        <v>-3.599316849376899E-2</v>
      </c>
      <c r="BW92" s="306">
        <f t="shared" si="395"/>
        <v>-3.0236347093798299E-2</v>
      </c>
      <c r="BX92" s="306">
        <f t="shared" si="395"/>
        <v>-0.12802207935632637</v>
      </c>
      <c r="BY92" s="623">
        <f t="shared" si="395"/>
        <v>-5.8830411069380473E-2</v>
      </c>
      <c r="BZ92" s="306">
        <f t="shared" si="395"/>
        <v>-7.8581264068208312E-2</v>
      </c>
      <c r="CA92" s="306">
        <f t="shared" si="395"/>
        <v>-3.2425609404303612E-2</v>
      </c>
      <c r="CB92" s="306">
        <f t="shared" si="395"/>
        <v>-0.12408770116098367</v>
      </c>
      <c r="CC92" s="623">
        <f t="shared" si="395"/>
        <v>0.12772353195669783</v>
      </c>
      <c r="CD92" s="1102">
        <f t="shared" si="395"/>
        <v>1.1769586681557711</v>
      </c>
      <c r="CE92" s="1103">
        <f t="shared" si="395"/>
        <v>1.0800490430845731</v>
      </c>
      <c r="CF92" s="1103">
        <f t="shared" si="395"/>
        <v>1.0930310070935203</v>
      </c>
      <c r="CG92" s="626">
        <f t="shared" si="395"/>
        <v>1.0143083603846734</v>
      </c>
      <c r="CH92" s="1102">
        <f t="shared" si="395"/>
        <v>-2.9057736564910952E-2</v>
      </c>
      <c r="CI92" s="1103">
        <f t="shared" ref="CI92:CP92" si="396">(CI91/CE91)-1</f>
        <v>4.5533713319440006E-2</v>
      </c>
      <c r="CJ92" s="1103">
        <f t="shared" si="396"/>
        <v>7.3940817004674031E-3</v>
      </c>
      <c r="CK92" s="626">
        <f t="shared" si="396"/>
        <v>-9.7425483351233355E-3</v>
      </c>
      <c r="CL92" s="1103">
        <f t="shared" si="396"/>
        <v>6.0952956261444147E-3</v>
      </c>
      <c r="CM92" s="1103">
        <f t="shared" si="396"/>
        <v>-4.5059094964081337E-2</v>
      </c>
      <c r="CN92" s="1103">
        <f t="shared" si="396"/>
        <v>2.891568492788843E-2</v>
      </c>
      <c r="CO92" s="626">
        <f t="shared" si="396"/>
        <v>3.4884724049431659E-2</v>
      </c>
      <c r="CP92" s="1103">
        <f t="shared" si="396"/>
        <v>-1.912075174897554E-2</v>
      </c>
      <c r="CQ92" s="1103">
        <f t="shared" ref="CQ92:DA92" si="397">(CQ91/CM91)-1</f>
        <v>5.7739727304944033E-3</v>
      </c>
      <c r="CR92" s="1103">
        <f t="shared" si="397"/>
        <v>-1.8292046459555955E-2</v>
      </c>
      <c r="CS92" s="626">
        <f t="shared" si="397"/>
        <v>-2.783167249609364E-3</v>
      </c>
      <c r="CT92" s="1103">
        <f t="shared" si="397"/>
        <v>1.7222853970613405E-2</v>
      </c>
      <c r="CU92" s="1103">
        <f t="shared" si="397"/>
        <v>8.8607121190469984E-2</v>
      </c>
      <c r="CV92" s="1103">
        <f t="shared" si="397"/>
        <v>9.2839840559003406E-2</v>
      </c>
      <c r="CW92" s="626">
        <f t="shared" si="397"/>
        <v>0.11851035158976653</v>
      </c>
      <c r="CX92" s="1732">
        <f t="shared" si="397"/>
        <v>0.34229369210074734</v>
      </c>
      <c r="CY92" s="1103">
        <f t="shared" si="397"/>
        <v>0.32721390641918924</v>
      </c>
      <c r="CZ92" s="1103">
        <f t="shared" si="397"/>
        <v>0.30119966553165645</v>
      </c>
      <c r="DA92" s="626">
        <f t="shared" si="397"/>
        <v>0.21516573720899523</v>
      </c>
      <c r="DB92" s="686"/>
      <c r="DC92" s="623"/>
      <c r="DD92" s="305"/>
      <c r="DE92" s="15"/>
      <c r="DF92" s="15"/>
      <c r="DG92" s="15"/>
      <c r="DH92" s="15"/>
      <c r="DI92" s="15"/>
      <c r="DJ92" s="306"/>
      <c r="DK92" s="306"/>
      <c r="DL92" s="316"/>
      <c r="DM92" s="311" t="s">
        <v>122</v>
      </c>
      <c r="DN92" s="306">
        <f t="shared" ref="DN92:ED92" si="398">(DN91/DM91)-1</f>
        <v>7.5522420578494565E-2</v>
      </c>
      <c r="DO92" s="306">
        <f t="shared" si="398"/>
        <v>-0.13027986197351205</v>
      </c>
      <c r="DP92" s="306">
        <f t="shared" si="398"/>
        <v>-0.10569927985434635</v>
      </c>
      <c r="DQ92" s="306">
        <f t="shared" si="398"/>
        <v>-9.6060233909471271E-2</v>
      </c>
      <c r="DR92" s="306">
        <f t="shared" si="398"/>
        <v>-1.453040374799941E-2</v>
      </c>
      <c r="DS92" s="306">
        <f t="shared" si="398"/>
        <v>0.27190907533807707</v>
      </c>
      <c r="DT92" s="306">
        <f t="shared" si="398"/>
        <v>-0.22271065097890219</v>
      </c>
      <c r="DU92" s="306">
        <f t="shared" si="398"/>
        <v>-4.2864853977844897E-2</v>
      </c>
      <c r="DV92" s="316">
        <f t="shared" si="398"/>
        <v>9.6208886624838286E-2</v>
      </c>
      <c r="DW92" s="306">
        <f t="shared" si="398"/>
        <v>-1.0806228503579041E-2</v>
      </c>
      <c r="DX92" s="306">
        <f t="shared" si="398"/>
        <v>4.2661914401830092E-2</v>
      </c>
      <c r="DY92" s="306">
        <f t="shared" si="398"/>
        <v>-3.1130819582959379E-2</v>
      </c>
      <c r="DZ92" s="306">
        <f t="shared" si="398"/>
        <v>4.2507621686247887E-2</v>
      </c>
      <c r="EA92" s="306">
        <f t="shared" si="398"/>
        <v>-0.66348060039648815</v>
      </c>
      <c r="EB92" s="306">
        <f t="shared" si="398"/>
        <v>0.13041711478726081</v>
      </c>
      <c r="EC92" s="306">
        <f t="shared" si="398"/>
        <v>3.70433464560187E-2</v>
      </c>
      <c r="ED92" s="306">
        <f t="shared" si="398"/>
        <v>-5.8830411069380473E-2</v>
      </c>
      <c r="EE92" s="306">
        <f>(EE91/EB91)-1</f>
        <v>0.29608435872152938</v>
      </c>
      <c r="EF92" s="673">
        <f t="shared" si="361"/>
        <v>-7.8581264068208312E-2</v>
      </c>
      <c r="EG92" s="1117">
        <f>(EG91/ED91)-1</f>
        <v>0.12798106187950142</v>
      </c>
      <c r="EH92" s="1117">
        <f>(EH91/EG91)-1</f>
        <v>1.0138484726311607</v>
      </c>
      <c r="EI92" s="1117">
        <f>(EI91/EH91)-1</f>
        <v>-9.7425483351233355E-3</v>
      </c>
      <c r="EJ92" s="1117">
        <f t="shared" ref="EJ92:EP92" si="399">(EJ91/EI91)-1</f>
        <v>3.4884724049431659E-2</v>
      </c>
      <c r="EK92" s="1103">
        <f t="shared" si="399"/>
        <v>-2.783167249609364E-3</v>
      </c>
      <c r="EL92" s="1103">
        <f t="shared" si="399"/>
        <v>0.11851035158976653</v>
      </c>
      <c r="EM92" s="1732">
        <f t="shared" si="399"/>
        <v>0.21516573720899523</v>
      </c>
      <c r="EN92" s="107">
        <f t="shared" si="399"/>
        <v>9.1806392916400359E-3</v>
      </c>
      <c r="EO92" s="107">
        <f t="shared" si="399"/>
        <v>7.1529093931910204E-3</v>
      </c>
      <c r="EP92" s="107">
        <f t="shared" si="399"/>
        <v>4.4969424175322903E-3</v>
      </c>
      <c r="EQ92" s="107">
        <f>(EQ91/EP91)-1</f>
        <v>8.4841415735195103E-3</v>
      </c>
      <c r="ER92" s="107">
        <f>(ER91/EQ91)-1</f>
        <v>8.8402088731251993E-3</v>
      </c>
      <c r="ES92" s="107">
        <f>(ES91/ER91)-1</f>
        <v>9.2054197837294627E-3</v>
      </c>
      <c r="ET92" s="107">
        <f>(ET91/ES91)-1</f>
        <v>9.5797885210668898E-3</v>
      </c>
      <c r="EU92" s="107">
        <f>(EU91/ET91)-1</f>
        <v>9.9633101283846948E-3</v>
      </c>
      <c r="EV92" s="1102"/>
      <c r="EW92"/>
      <c r="EX92"/>
      <c r="EY92"/>
      <c r="EZ92"/>
      <c r="FA92"/>
      <c r="FB92"/>
      <c r="FC92" s="4"/>
      <c r="FD92" s="4"/>
      <c r="FE92" s="4"/>
      <c r="FF92" s="4"/>
      <c r="FG92" s="108"/>
      <c r="FH92" s="108"/>
      <c r="FI92" s="108"/>
      <c r="FJ92" s="108"/>
      <c r="FK92"/>
      <c r="FL92"/>
      <c r="FM92"/>
      <c r="FN92"/>
      <c r="FO92"/>
      <c r="FP92"/>
      <c r="FQ92"/>
      <c r="FR92"/>
      <c r="FS92"/>
      <c r="FT92"/>
      <c r="FU92"/>
      <c r="FV92"/>
      <c r="FW92"/>
      <c r="FX92"/>
      <c r="FY92"/>
      <c r="FZ92"/>
      <c r="GA92"/>
      <c r="GB92"/>
      <c r="GC92"/>
      <c r="GD92"/>
      <c r="GE92"/>
      <c r="GF92"/>
      <c r="GG92"/>
      <c r="GH92"/>
      <c r="GI92"/>
      <c r="GJ92"/>
      <c r="GK92"/>
      <c r="GL92"/>
      <c r="GM92"/>
      <c r="GN92"/>
      <c r="GO92"/>
      <c r="GP92"/>
      <c r="GQ92"/>
      <c r="GR92"/>
      <c r="GS92"/>
      <c r="GT92"/>
      <c r="GU92"/>
      <c r="GV92"/>
      <c r="GW92"/>
      <c r="GX92"/>
      <c r="GY92"/>
      <c r="GZ92"/>
      <c r="HA92"/>
      <c r="HB92"/>
      <c r="HC92"/>
      <c r="HD92"/>
      <c r="HE92"/>
      <c r="HF92"/>
      <c r="HG92"/>
      <c r="HH92"/>
      <c r="HI92"/>
      <c r="HJ92"/>
      <c r="HK92"/>
      <c r="HL92"/>
      <c r="HM92"/>
      <c r="HN92"/>
      <c r="HO92"/>
      <c r="HP92"/>
      <c r="HQ92"/>
      <c r="HR92"/>
      <c r="HS92"/>
      <c r="HT92"/>
      <c r="HU92"/>
      <c r="HV92"/>
      <c r="HW92"/>
      <c r="HX92"/>
      <c r="HY92"/>
      <c r="HZ92"/>
      <c r="IA92"/>
      <c r="IB92"/>
      <c r="IC92"/>
      <c r="ID92"/>
      <c r="IE92"/>
      <c r="IF92"/>
      <c r="IG92"/>
      <c r="IH92"/>
      <c r="II92"/>
      <c r="IJ92"/>
      <c r="IK92"/>
      <c r="IL92"/>
      <c r="IM92"/>
      <c r="IN92"/>
      <c r="IO92"/>
      <c r="IP92"/>
      <c r="IQ92"/>
      <c r="IR92"/>
      <c r="IS92"/>
      <c r="IT92"/>
      <c r="IU92"/>
      <c r="IV92"/>
      <c r="IW92"/>
      <c r="IX92"/>
      <c r="IY92"/>
      <c r="IZ92"/>
    </row>
    <row r="93" spans="1:260" s="279" customFormat="1" ht="11.25" customHeight="1" x14ac:dyDescent="0.2">
      <c r="A93" s="295" t="s">
        <v>61</v>
      </c>
      <c r="B93" s="313"/>
      <c r="C93" s="314"/>
      <c r="D93" s="313"/>
      <c r="E93" s="625"/>
      <c r="F93" s="18">
        <f t="shared" ref="F93:AK93" si="400">(F89/F109)*1000</f>
        <v>2561.1372549019607</v>
      </c>
      <c r="G93" s="18">
        <f t="shared" si="400"/>
        <v>2274.166666666667</v>
      </c>
      <c r="H93" s="18">
        <f t="shared" si="400"/>
        <v>3482.0445544554455</v>
      </c>
      <c r="I93" s="617">
        <f t="shared" si="400"/>
        <v>2455.8578431372553</v>
      </c>
      <c r="J93" s="18">
        <f t="shared" si="400"/>
        <v>2600.2159624413148</v>
      </c>
      <c r="K93" s="18">
        <f t="shared" si="400"/>
        <v>2708.9419642857142</v>
      </c>
      <c r="L93" s="18">
        <f t="shared" si="400"/>
        <v>3390.8446215139447</v>
      </c>
      <c r="M93" s="617">
        <f t="shared" si="400"/>
        <v>2100.7569721115542</v>
      </c>
      <c r="N93" s="18">
        <f t="shared" si="400"/>
        <v>3295.9922779922781</v>
      </c>
      <c r="O93" s="18">
        <f t="shared" si="400"/>
        <v>3159.7977099236646</v>
      </c>
      <c r="P93" s="18">
        <f t="shared" si="400"/>
        <v>2929.5624999999995</v>
      </c>
      <c r="Q93" s="617">
        <f t="shared" si="400"/>
        <v>2368.5919117647059</v>
      </c>
      <c r="R93" s="18">
        <f t="shared" si="400"/>
        <v>2152.0547445255474</v>
      </c>
      <c r="S93" s="18">
        <f t="shared" si="400"/>
        <v>2037.4357142857145</v>
      </c>
      <c r="T93" s="18">
        <f t="shared" si="400"/>
        <v>1848.7719298245618</v>
      </c>
      <c r="U93" s="617">
        <f t="shared" si="400"/>
        <v>1170.8807017543861</v>
      </c>
      <c r="V93" s="18">
        <f t="shared" si="400"/>
        <v>1371.8724137931033</v>
      </c>
      <c r="W93" s="18">
        <f t="shared" si="400"/>
        <v>1065.2249134948092</v>
      </c>
      <c r="X93" s="18">
        <f t="shared" si="400"/>
        <v>483.67628205128256</v>
      </c>
      <c r="Y93" s="617">
        <f t="shared" si="400"/>
        <v>111.31832797427654</v>
      </c>
      <c r="Z93" s="18">
        <f t="shared" si="400"/>
        <v>779.76677316293933</v>
      </c>
      <c r="AA93" s="18">
        <f t="shared" si="400"/>
        <v>688.93072289156601</v>
      </c>
      <c r="AB93" s="18">
        <f t="shared" si="400"/>
        <v>34.714689265537331</v>
      </c>
      <c r="AC93" s="617">
        <f t="shared" si="400"/>
        <v>-364.87114845938379</v>
      </c>
      <c r="AD93" s="18">
        <f t="shared" si="400"/>
        <v>252.07756232686978</v>
      </c>
      <c r="AE93" s="18">
        <f t="shared" si="400"/>
        <v>-58.981233243967829</v>
      </c>
      <c r="AF93" s="18">
        <f t="shared" si="400"/>
        <v>-375.30266343825662</v>
      </c>
      <c r="AG93" s="617">
        <f t="shared" si="400"/>
        <v>-14.319809069212411</v>
      </c>
      <c r="AH93" s="18">
        <f t="shared" si="400"/>
        <v>305.18234165067179</v>
      </c>
      <c r="AI93" s="18">
        <f t="shared" si="400"/>
        <v>64.15094339622641</v>
      </c>
      <c r="AJ93" s="18">
        <f t="shared" si="400"/>
        <v>-326.88927943760979</v>
      </c>
      <c r="AK93" s="617">
        <f t="shared" si="400"/>
        <v>-571.67832167832171</v>
      </c>
      <c r="AL93" s="18">
        <f t="shared" ref="AL93:BQ93" si="401">(AL89/AL109)*1000</f>
        <v>358.23429541595925</v>
      </c>
      <c r="AM93" s="18">
        <f t="shared" si="401"/>
        <v>84.552845528455279</v>
      </c>
      <c r="AN93" s="18">
        <f t="shared" si="401"/>
        <v>-380.30303030303031</v>
      </c>
      <c r="AO93" s="617">
        <f t="shared" si="401"/>
        <v>-178.24773413897279</v>
      </c>
      <c r="AP93" s="87">
        <f t="shared" si="401"/>
        <v>16.058394160583941</v>
      </c>
      <c r="AQ93" s="87">
        <f t="shared" si="401"/>
        <v>72.237960339943342</v>
      </c>
      <c r="AR93" s="87">
        <f t="shared" si="401"/>
        <v>-97.463284379172237</v>
      </c>
      <c r="AS93" s="636">
        <f t="shared" si="401"/>
        <v>193.93139841688654</v>
      </c>
      <c r="AT93" s="87">
        <f t="shared" si="401"/>
        <v>394.80519480519484</v>
      </c>
      <c r="AU93" s="18">
        <f t="shared" si="401"/>
        <v>369.56521739130432</v>
      </c>
      <c r="AV93" s="18">
        <f t="shared" si="401"/>
        <v>-220.07255139056832</v>
      </c>
      <c r="AW93" s="617">
        <f t="shared" si="401"/>
        <v>32.219570405727929</v>
      </c>
      <c r="AX93" s="18">
        <f t="shared" si="401"/>
        <v>257.04225352112672</v>
      </c>
      <c r="AY93" s="18">
        <f t="shared" si="401"/>
        <v>560.64073226544622</v>
      </c>
      <c r="AZ93" s="18">
        <f t="shared" si="401"/>
        <v>-11.802575107296137</v>
      </c>
      <c r="BA93" s="617">
        <f t="shared" si="401"/>
        <v>110.52072263549415</v>
      </c>
      <c r="BB93" s="18">
        <f t="shared" si="401"/>
        <v>703.81836945304428</v>
      </c>
      <c r="BC93" s="18">
        <f t="shared" si="401"/>
        <v>171.91719171917191</v>
      </c>
      <c r="BD93" s="18">
        <f t="shared" si="401"/>
        <v>-213.05841924398624</v>
      </c>
      <c r="BE93" s="617">
        <f t="shared" si="401"/>
        <v>79.86406117247239</v>
      </c>
      <c r="BF93" s="18">
        <f t="shared" si="401"/>
        <v>283.22259136212625</v>
      </c>
      <c r="BG93" s="18">
        <f t="shared" si="401"/>
        <v>275.02034174125305</v>
      </c>
      <c r="BH93" s="18">
        <f t="shared" si="401"/>
        <v>-112.91569992266048</v>
      </c>
      <c r="BI93" s="617">
        <f t="shared" si="401"/>
        <v>312.78538812785388</v>
      </c>
      <c r="BJ93" s="18">
        <f t="shared" si="401"/>
        <v>228.31727205337288</v>
      </c>
      <c r="BK93" s="18">
        <f t="shared" si="401"/>
        <v>130.87490961677511</v>
      </c>
      <c r="BL93" s="18">
        <f t="shared" si="401"/>
        <v>-3.0856261249678583</v>
      </c>
      <c r="BM93" s="617">
        <f t="shared" si="401"/>
        <v>-61.897513952308472</v>
      </c>
      <c r="BN93" s="11">
        <f t="shared" si="401"/>
        <v>124.1449201925513</v>
      </c>
      <c r="BO93" s="11">
        <f t="shared" si="401"/>
        <v>83.459404942007055</v>
      </c>
      <c r="BP93" s="11">
        <f t="shared" si="401"/>
        <v>-26.151930261519304</v>
      </c>
      <c r="BQ93" s="640">
        <f t="shared" si="401"/>
        <v>52.173913043478258</v>
      </c>
      <c r="BR93" s="11">
        <f t="shared" ref="BR93:CJ93" si="402">(BR89/BR109)*1000</f>
        <v>118.10044753853805</v>
      </c>
      <c r="BS93" s="11">
        <f t="shared" si="402"/>
        <v>189.46078431372547</v>
      </c>
      <c r="BT93" s="11">
        <f t="shared" si="402"/>
        <v>49.915192633874483</v>
      </c>
      <c r="BU93" s="640">
        <f t="shared" si="402"/>
        <v>240.41227229146691</v>
      </c>
      <c r="BV93" s="11">
        <f t="shared" si="402"/>
        <v>153.36837075967512</v>
      </c>
      <c r="BW93" s="11">
        <f t="shared" si="402"/>
        <v>134.98233215547702</v>
      </c>
      <c r="BX93" s="11">
        <f t="shared" si="402"/>
        <v>-194.64944649446494</v>
      </c>
      <c r="BY93" s="640">
        <f t="shared" si="402"/>
        <v>85.190343546889508</v>
      </c>
      <c r="BZ93" s="11">
        <f t="shared" si="402"/>
        <v>77.047289504036911</v>
      </c>
      <c r="CA93" s="11">
        <f t="shared" si="402"/>
        <v>56.533827618164963</v>
      </c>
      <c r="CB93" s="11">
        <f t="shared" si="402"/>
        <v>50.924868691482068</v>
      </c>
      <c r="CC93" s="640">
        <f t="shared" si="402"/>
        <v>-86.757990867579906</v>
      </c>
      <c r="CD93" s="742">
        <f t="shared" si="402"/>
        <v>382.04127161182379</v>
      </c>
      <c r="CE93" s="242">
        <f t="shared" si="402"/>
        <v>261.86487995533219</v>
      </c>
      <c r="CF93" s="242">
        <f t="shared" si="402"/>
        <v>223.46368715083798</v>
      </c>
      <c r="CG93" s="660">
        <f t="shared" si="402"/>
        <v>142.77684092186621</v>
      </c>
      <c r="CH93" s="742">
        <f t="shared" si="402"/>
        <v>170.51209904333146</v>
      </c>
      <c r="CI93" s="242">
        <f t="shared" si="402"/>
        <v>192.72313814667424</v>
      </c>
      <c r="CJ93" s="242">
        <f t="shared" si="402"/>
        <v>155.94763801935116</v>
      </c>
      <c r="CK93" s="660">
        <f t="shared" ref="CK93:CS93" si="403">(CK89/CK109)*1000</f>
        <v>83.285135916714864</v>
      </c>
      <c r="CL93" s="242">
        <f t="shared" si="403"/>
        <v>208.81110440555221</v>
      </c>
      <c r="CM93" s="242">
        <f t="shared" si="403"/>
        <v>191.14077669902912</v>
      </c>
      <c r="CN93" s="242">
        <f t="shared" si="403"/>
        <v>283.71810449574724</v>
      </c>
      <c r="CO93" s="660">
        <f>(CO89/CO109)*1000</f>
        <v>368.48559166155729</v>
      </c>
      <c r="CP93" s="242">
        <f>(CP89/CP109)*1000</f>
        <v>199.13419913419912</v>
      </c>
      <c r="CQ93" s="242">
        <f t="shared" si="403"/>
        <v>67.0807453416149</v>
      </c>
      <c r="CR93" s="242">
        <f t="shared" si="403"/>
        <v>61.403508771929822</v>
      </c>
      <c r="CS93" s="660">
        <f t="shared" si="403"/>
        <v>-76.190476190476204</v>
      </c>
      <c r="CT93" s="242">
        <f>(CT89/CT109)*1000</f>
        <v>24.327784891165173</v>
      </c>
      <c r="CU93" s="242">
        <f t="shared" ref="CU93" si="404">(CU89/CU109)*1000</f>
        <v>61.014771997430962</v>
      </c>
      <c r="CV93" s="242">
        <f t="shared" ref="CV93:DA93" si="405">(CV89/CV109)*1000</f>
        <v>49.446974625894597</v>
      </c>
      <c r="CW93" s="660">
        <f t="shared" si="405"/>
        <v>222.81167108753317</v>
      </c>
      <c r="CX93" s="1686">
        <f t="shared" si="405"/>
        <v>32.655032202194917</v>
      </c>
      <c r="CY93" s="242">
        <f t="shared" si="405"/>
        <v>80.97965389198653</v>
      </c>
      <c r="CZ93" s="242">
        <f t="shared" si="405"/>
        <v>64.34038684476576</v>
      </c>
      <c r="DA93" s="660">
        <f t="shared" si="405"/>
        <v>270.75310855585042</v>
      </c>
      <c r="DB93" s="687"/>
      <c r="DC93" s="640"/>
      <c r="DD93" s="305"/>
      <c r="DE93" s="253"/>
      <c r="DF93" s="253"/>
      <c r="DG93" s="253"/>
      <c r="DH93" s="253"/>
      <c r="DI93" s="253"/>
      <c r="DJ93" s="309"/>
      <c r="DK93" s="309"/>
      <c r="DL93" s="313"/>
      <c r="DM93" s="18">
        <f t="shared" ref="DM93:EE93" si="406">(DM89/DM109)*1000</f>
        <v>2455.8578431372553</v>
      </c>
      <c r="DN93" s="18">
        <f t="shared" si="406"/>
        <v>2100.7569721115542</v>
      </c>
      <c r="DO93" s="18">
        <f t="shared" si="406"/>
        <v>2368.5919117647059</v>
      </c>
      <c r="DP93" s="18">
        <f t="shared" si="406"/>
        <v>1170.8807017543861</v>
      </c>
      <c r="DQ93" s="18">
        <f t="shared" si="406"/>
        <v>111.31832797427654</v>
      </c>
      <c r="DR93" s="18">
        <f t="shared" si="406"/>
        <v>-364.87114845938379</v>
      </c>
      <c r="DS93" s="18">
        <f t="shared" si="406"/>
        <v>-14.319809069212411</v>
      </c>
      <c r="DT93" s="18">
        <f t="shared" si="406"/>
        <v>-571.67832167832171</v>
      </c>
      <c r="DU93" s="18">
        <f t="shared" si="406"/>
        <v>-178.24773413897279</v>
      </c>
      <c r="DV93" s="87">
        <f t="shared" si="406"/>
        <v>193.93139841688654</v>
      </c>
      <c r="DW93" s="18">
        <f t="shared" si="406"/>
        <v>32.219570405727929</v>
      </c>
      <c r="DX93" s="18">
        <f t="shared" si="406"/>
        <v>110.52072263549415</v>
      </c>
      <c r="DY93" s="18">
        <f t="shared" si="406"/>
        <v>80.204778156996582</v>
      </c>
      <c r="DZ93" s="18">
        <f t="shared" si="406"/>
        <v>312.78538812785388</v>
      </c>
      <c r="EA93" s="18">
        <f t="shared" si="406"/>
        <v>-61.897513952308472</v>
      </c>
      <c r="EB93" s="11">
        <f t="shared" si="406"/>
        <v>52.173913043478258</v>
      </c>
      <c r="EC93" s="11">
        <f t="shared" si="406"/>
        <v>240.41227229146691</v>
      </c>
      <c r="ED93" s="11">
        <f t="shared" si="406"/>
        <v>85.190343546889508</v>
      </c>
      <c r="EE93" s="11">
        <f t="shared" si="406"/>
        <v>183.60498561840842</v>
      </c>
      <c r="EF93" s="687">
        <f t="shared" si="361"/>
        <v>77.047289504036911</v>
      </c>
      <c r="EG93" s="373">
        <f>(EG89/EG109)*1000</f>
        <v>-86.777803151404427</v>
      </c>
      <c r="EH93" s="373">
        <f>(EH89/EH109)*1000</f>
        <v>142.77684092186621</v>
      </c>
      <c r="EI93" s="373">
        <f t="shared" ref="EI93:EP93" si="407">(EI89/EI109)*1000</f>
        <v>83.285135916714864</v>
      </c>
      <c r="EJ93" s="373">
        <f>(EJ89/EJ109)*1000</f>
        <v>368.48559166155729</v>
      </c>
      <c r="EK93" s="242">
        <f t="shared" si="407"/>
        <v>-76.190476190476204</v>
      </c>
      <c r="EL93" s="242">
        <f>(EL89/EL109)*1000</f>
        <v>222.81167108753317</v>
      </c>
      <c r="EM93" s="1686">
        <f>(EM89/EM109)*1000</f>
        <v>270.75310855585042</v>
      </c>
      <c r="EN93" s="11">
        <f t="shared" si="407"/>
        <v>259.29099954105629</v>
      </c>
      <c r="EO93" s="11">
        <f t="shared" si="407"/>
        <v>261.14568456724339</v>
      </c>
      <c r="EP93" s="11">
        <f t="shared" si="407"/>
        <v>262.32004167332917</v>
      </c>
      <c r="EQ93" s="11">
        <f>(EQ89/EQ109)*1000</f>
        <v>264.54560204445784</v>
      </c>
      <c r="ER93" s="11">
        <f>(ER89/ER109)*1000</f>
        <v>266.88424042299738</v>
      </c>
      <c r="ES93" s="11">
        <f>(ES89/ES109)*1000</f>
        <v>269.3410218897522</v>
      </c>
      <c r="ET93" s="11">
        <f>(ET89/ET109)*1000</f>
        <v>271.92125191950475</v>
      </c>
      <c r="EU93" s="11">
        <f>(EU89/EU109)*1000</f>
        <v>274.63048768287666</v>
      </c>
      <c r="EV93" s="1032"/>
      <c r="EW93"/>
      <c r="EX93"/>
      <c r="EY93"/>
      <c r="EZ93"/>
      <c r="FA93"/>
      <c r="FB93"/>
      <c r="FC93" s="4"/>
      <c r="FD93" s="4"/>
      <c r="FE93" s="4"/>
      <c r="FF93" s="4"/>
      <c r="FG93" s="242"/>
      <c r="FH93" s="242"/>
      <c r="FI93" s="242"/>
      <c r="FJ93" s="242"/>
      <c r="FK93"/>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row>
    <row r="94" spans="1:260" s="279" customFormat="1" ht="11.25" customHeight="1" x14ac:dyDescent="0.2">
      <c r="A94" s="307" t="s">
        <v>59</v>
      </c>
      <c r="B94" s="315"/>
      <c r="C94" s="70"/>
      <c r="D94" s="316"/>
      <c r="E94" s="626"/>
      <c r="F94" s="311" t="s">
        <v>122</v>
      </c>
      <c r="G94" s="311" t="s">
        <v>122</v>
      </c>
      <c r="H94" s="311" t="s">
        <v>122</v>
      </c>
      <c r="I94" s="633" t="s">
        <v>122</v>
      </c>
      <c r="J94" s="306">
        <f t="shared" ref="J94:AO94" si="408">(J93/F93)-1</f>
        <v>1.5258341763823235E-2</v>
      </c>
      <c r="K94" s="306">
        <f t="shared" si="408"/>
        <v>0.19118005025388674</v>
      </c>
      <c r="L94" s="306">
        <f t="shared" si="408"/>
        <v>-2.6191489372186849E-2</v>
      </c>
      <c r="M94" s="623">
        <f t="shared" si="408"/>
        <v>-0.14459341448366347</v>
      </c>
      <c r="N94" s="306">
        <f t="shared" si="408"/>
        <v>0.26758404901787713</v>
      </c>
      <c r="O94" s="306">
        <f t="shared" si="408"/>
        <v>0.1664324122044567</v>
      </c>
      <c r="P94" s="306">
        <f t="shared" si="408"/>
        <v>-0.13603752840435135</v>
      </c>
      <c r="Q94" s="623">
        <f t="shared" si="408"/>
        <v>0.12749449041882266</v>
      </c>
      <c r="R94" s="306">
        <f t="shared" si="408"/>
        <v>-0.3470692395443199</v>
      </c>
      <c r="S94" s="306">
        <f t="shared" si="408"/>
        <v>-0.35520058518716513</v>
      </c>
      <c r="T94" s="306">
        <f t="shared" si="408"/>
        <v>-0.36892558877833737</v>
      </c>
      <c r="U94" s="623">
        <f t="shared" si="408"/>
        <v>-0.50566380981938419</v>
      </c>
      <c r="V94" s="306">
        <f t="shared" si="408"/>
        <v>-0.36252903543327242</v>
      </c>
      <c r="W94" s="306">
        <f t="shared" si="408"/>
        <v>-0.47717373067240232</v>
      </c>
      <c r="X94" s="306">
        <f t="shared" si="408"/>
        <v>-0.7383796918113199</v>
      </c>
      <c r="Y94" s="623">
        <f t="shared" si="408"/>
        <v>-0.90492769433514186</v>
      </c>
      <c r="Z94" s="306">
        <f t="shared" si="408"/>
        <v>-0.43160401410291893</v>
      </c>
      <c r="AA94" s="306">
        <f t="shared" si="408"/>
        <v>-0.35325327622003355</v>
      </c>
      <c r="AB94" s="306">
        <f t="shared" si="408"/>
        <v>-0.92822743112746497</v>
      </c>
      <c r="AC94" s="623">
        <f t="shared" si="408"/>
        <v>-4.277727532376324</v>
      </c>
      <c r="AD94" s="306">
        <f t="shared" si="408"/>
        <v>-0.67672697657483294</v>
      </c>
      <c r="AE94" s="306">
        <f t="shared" si="408"/>
        <v>-1.0856127202404517</v>
      </c>
      <c r="AF94" s="306">
        <f t="shared" si="408"/>
        <v>-11.811062157794819</v>
      </c>
      <c r="AG94" s="623">
        <f t="shared" si="408"/>
        <v>-0.96075379177094222</v>
      </c>
      <c r="AH94" s="306">
        <f t="shared" si="408"/>
        <v>0.21066841028453331</v>
      </c>
      <c r="AI94" s="306">
        <f t="shared" si="408"/>
        <v>-2.0876500857632934</v>
      </c>
      <c r="AJ94" s="306">
        <f t="shared" si="408"/>
        <v>-0.12899824253075576</v>
      </c>
      <c r="AK94" s="623">
        <f t="shared" si="408"/>
        <v>38.9222027972028</v>
      </c>
      <c r="AL94" s="306">
        <f t="shared" si="408"/>
        <v>0.17383690510512428</v>
      </c>
      <c r="AM94" s="306">
        <f t="shared" si="408"/>
        <v>0.31802965088474422</v>
      </c>
      <c r="AN94" s="306">
        <f t="shared" si="408"/>
        <v>0.16340013033561451</v>
      </c>
      <c r="AO94" s="623">
        <f t="shared" si="408"/>
        <v>-0.68820274028289785</v>
      </c>
      <c r="AP94" s="316">
        <f t="shared" ref="AP94:BU94" si="409">(AP93/AL93)-1</f>
        <v>-0.95517348739059749</v>
      </c>
      <c r="AQ94" s="316">
        <f t="shared" si="409"/>
        <v>-0.14564719982566998</v>
      </c>
      <c r="AR94" s="316">
        <f t="shared" si="409"/>
        <v>-0.74372204107468654</v>
      </c>
      <c r="AS94" s="626">
        <f t="shared" si="409"/>
        <v>-2.0879880148472791</v>
      </c>
      <c r="AT94" s="316">
        <f t="shared" si="409"/>
        <v>23.585596221959861</v>
      </c>
      <c r="AU94" s="306">
        <f t="shared" si="409"/>
        <v>4.1159420289855069</v>
      </c>
      <c r="AV94" s="306">
        <f t="shared" si="409"/>
        <v>1.258004671116927</v>
      </c>
      <c r="AW94" s="623">
        <f t="shared" si="409"/>
        <v>-0.83386099069699471</v>
      </c>
      <c r="AX94" s="306">
        <f t="shared" si="409"/>
        <v>-0.34893902891030404</v>
      </c>
      <c r="AY94" s="306">
        <f t="shared" si="409"/>
        <v>0.51702786377708998</v>
      </c>
      <c r="AZ94" s="306">
        <f t="shared" si="409"/>
        <v>-0.94636961750695658</v>
      </c>
      <c r="BA94" s="623">
        <f t="shared" si="409"/>
        <v>2.4302357617979289</v>
      </c>
      <c r="BB94" s="306">
        <f t="shared" si="409"/>
        <v>1.7381426975981453</v>
      </c>
      <c r="BC94" s="306">
        <f t="shared" si="409"/>
        <v>-0.6933558661988648</v>
      </c>
      <c r="BD94" s="306">
        <f t="shared" si="409"/>
        <v>17.051858794126833</v>
      </c>
      <c r="BE94" s="623">
        <f t="shared" si="409"/>
        <v>-0.27738383112214882</v>
      </c>
      <c r="BF94" s="306">
        <f t="shared" si="409"/>
        <v>-0.59759136212624586</v>
      </c>
      <c r="BG94" s="306">
        <f t="shared" si="409"/>
        <v>0.59972565274624157</v>
      </c>
      <c r="BH94" s="306">
        <f t="shared" si="409"/>
        <v>-0.47002469875009356</v>
      </c>
      <c r="BI94" s="623">
        <f t="shared" si="409"/>
        <v>2.916472359856213</v>
      </c>
      <c r="BJ94" s="306">
        <f t="shared" si="409"/>
        <v>-0.19385925057987996</v>
      </c>
      <c r="BK94" s="306">
        <f t="shared" si="409"/>
        <v>-0.52412643810941828</v>
      </c>
      <c r="BL94" s="306">
        <f t="shared" si="409"/>
        <v>-0.97267318781107237</v>
      </c>
      <c r="BM94" s="623">
        <f t="shared" si="409"/>
        <v>-1.1978913219789131</v>
      </c>
      <c r="BN94" s="306">
        <f t="shared" si="409"/>
        <v>-0.45626137227353347</v>
      </c>
      <c r="BO94" s="306">
        <f t="shared" si="409"/>
        <v>-0.36229636997350401</v>
      </c>
      <c r="BP94" s="306">
        <f t="shared" si="409"/>
        <v>7.4754047322540469</v>
      </c>
      <c r="BQ94" s="623">
        <f t="shared" si="409"/>
        <v>-1.8429080541696363</v>
      </c>
      <c r="BR94" s="306">
        <f t="shared" si="409"/>
        <v>-4.8688844011000598E-2</v>
      </c>
      <c r="BS94" s="306">
        <f t="shared" si="409"/>
        <v>1.2700950773058466</v>
      </c>
      <c r="BT94" s="306">
        <f t="shared" si="409"/>
        <v>-2.9086618897619623</v>
      </c>
      <c r="BU94" s="623">
        <f t="shared" si="409"/>
        <v>3.6079018855864495</v>
      </c>
      <c r="BV94" s="306">
        <f t="shared" ref="BV94:CH94" si="410">(BV93/BR93)-1</f>
        <v>0.29862649935876484</v>
      </c>
      <c r="BW94" s="306">
        <f t="shared" si="410"/>
        <v>-0.28754474101636962</v>
      </c>
      <c r="BX94" s="306">
        <f t="shared" si="410"/>
        <v>-4.8996032314692082</v>
      </c>
      <c r="BY94" s="623">
        <f t="shared" si="410"/>
        <v>-0.64564893990266892</v>
      </c>
      <c r="BZ94" s="306">
        <f t="shared" si="410"/>
        <v>-0.49763247061698057</v>
      </c>
      <c r="CA94" s="306">
        <f t="shared" si="410"/>
        <v>-0.58117609382354218</v>
      </c>
      <c r="CB94" s="306">
        <f t="shared" si="410"/>
        <v>-1.2616234960263819</v>
      </c>
      <c r="CC94" s="623">
        <f t="shared" si="410"/>
        <v>-2.0184017020641258</v>
      </c>
      <c r="CD94" s="1102">
        <f t="shared" si="410"/>
        <v>3.9585296779558563</v>
      </c>
      <c r="CE94" s="1103">
        <f t="shared" si="410"/>
        <v>3.6320033683902206</v>
      </c>
      <c r="CF94" s="1103">
        <f t="shared" si="410"/>
        <v>3.3881053185359624</v>
      </c>
      <c r="CG94" s="626">
        <f t="shared" si="410"/>
        <v>-2.6456909558888793</v>
      </c>
      <c r="CH94" s="1102">
        <f t="shared" si="410"/>
        <v>-0.55368146921942585</v>
      </c>
      <c r="CI94" s="1103">
        <f t="shared" ref="CI94:CP94" si="411">(CI93/CE93)-1</f>
        <v>-0.26403594793029084</v>
      </c>
      <c r="CJ94" s="1103">
        <f t="shared" si="411"/>
        <v>-0.30213431986340356</v>
      </c>
      <c r="CK94" s="626">
        <f t="shared" si="411"/>
        <v>-0.41667615434710337</v>
      </c>
      <c r="CL94" s="1103">
        <f t="shared" si="411"/>
        <v>0.22461165851044984</v>
      </c>
      <c r="CM94" s="1103">
        <f t="shared" si="411"/>
        <v>-8.2105421427958181E-3</v>
      </c>
      <c r="CN94" s="1103">
        <f t="shared" si="411"/>
        <v>0.81931645839061296</v>
      </c>
      <c r="CO94" s="626">
        <f t="shared" si="411"/>
        <v>3.4243860276585592</v>
      </c>
      <c r="CP94" s="1103">
        <f t="shared" si="411"/>
        <v>-4.6342867152115774E-2</v>
      </c>
      <c r="CQ94" s="1103">
        <f t="shared" ref="CQ94:DA94" si="412">(CQ93/CM93)-1</f>
        <v>-0.64905057675244016</v>
      </c>
      <c r="CR94" s="1103">
        <f t="shared" si="412"/>
        <v>-0.78357564145910819</v>
      </c>
      <c r="CS94" s="626">
        <f t="shared" si="412"/>
        <v>-1.2067665002773156</v>
      </c>
      <c r="CT94" s="1103">
        <f t="shared" si="412"/>
        <v>-0.87783221065523576</v>
      </c>
      <c r="CU94" s="1103">
        <f t="shared" si="412"/>
        <v>-9.0427935964223494E-2</v>
      </c>
      <c r="CV94" s="1103">
        <f t="shared" si="412"/>
        <v>-0.19472069894971655</v>
      </c>
      <c r="CW94" s="626">
        <f t="shared" si="412"/>
        <v>-3.9244031830238724</v>
      </c>
      <c r="CX94" s="1732">
        <f t="shared" si="412"/>
        <v>0.34229369210074889</v>
      </c>
      <c r="CY94" s="1103">
        <f t="shared" si="412"/>
        <v>0.32721390641918968</v>
      </c>
      <c r="CZ94" s="1103">
        <f t="shared" si="412"/>
        <v>0.30119966553164446</v>
      </c>
      <c r="DA94" s="626">
        <f t="shared" si="412"/>
        <v>0.21516573720899523</v>
      </c>
      <c r="DB94" s="686"/>
      <c r="DC94" s="623"/>
      <c r="DD94" s="305"/>
      <c r="DE94" s="15"/>
      <c r="DF94" s="15"/>
      <c r="DG94" s="15"/>
      <c r="DH94" s="15"/>
      <c r="DI94" s="15"/>
      <c r="DJ94" s="306"/>
      <c r="DK94" s="306"/>
      <c r="DL94" s="316"/>
      <c r="DM94" s="311" t="s">
        <v>122</v>
      </c>
      <c r="DN94" s="306">
        <f t="shared" ref="DN94:ED94" si="413">(DN93/DM93)-1</f>
        <v>-0.14459341448366347</v>
      </c>
      <c r="DO94" s="306">
        <f t="shared" si="413"/>
        <v>0.12749449041882266</v>
      </c>
      <c r="DP94" s="306">
        <f t="shared" si="413"/>
        <v>-0.50566380981938419</v>
      </c>
      <c r="DQ94" s="306">
        <f t="shared" si="413"/>
        <v>-0.90492769433514186</v>
      </c>
      <c r="DR94" s="306">
        <f t="shared" si="413"/>
        <v>-4.277727532376324</v>
      </c>
      <c r="DS94" s="306">
        <f t="shared" si="413"/>
        <v>-0.96075379177094222</v>
      </c>
      <c r="DT94" s="306">
        <f t="shared" si="413"/>
        <v>38.9222027972028</v>
      </c>
      <c r="DU94" s="306">
        <f t="shared" si="413"/>
        <v>-0.68820274028289785</v>
      </c>
      <c r="DV94" s="316">
        <f t="shared" si="413"/>
        <v>-2.0879880148472791</v>
      </c>
      <c r="DW94" s="306">
        <f t="shared" si="413"/>
        <v>-0.83386099069699471</v>
      </c>
      <c r="DX94" s="306">
        <f t="shared" si="413"/>
        <v>2.4302357617979289</v>
      </c>
      <c r="DY94" s="306">
        <f t="shared" si="413"/>
        <v>-0.27430099763717519</v>
      </c>
      <c r="DZ94" s="306">
        <f t="shared" si="413"/>
        <v>2.8998348392111146</v>
      </c>
      <c r="EA94" s="306">
        <f t="shared" si="413"/>
        <v>-1.1978913219789131</v>
      </c>
      <c r="EB94" s="306">
        <f t="shared" si="413"/>
        <v>-1.8429080541696363</v>
      </c>
      <c r="EC94" s="306">
        <f t="shared" si="413"/>
        <v>3.6079018855864495</v>
      </c>
      <c r="ED94" s="306">
        <f t="shared" si="413"/>
        <v>-0.64564893990266892</v>
      </c>
      <c r="EE94" s="306">
        <f>(EE93/EB93)-1</f>
        <v>2.5190955576861618</v>
      </c>
      <c r="EF94" s="673">
        <f t="shared" si="361"/>
        <v>-0.49763247061698057</v>
      </c>
      <c r="EG94" s="1117">
        <f>(EG93/ED93)-1</f>
        <v>-2.0186342669652593</v>
      </c>
      <c r="EH94" s="1117">
        <f>(EH93/EG93)-1</f>
        <v>-2.645315227360137</v>
      </c>
      <c r="EI94" s="1117">
        <f>(EI93/EH93)-1</f>
        <v>-0.41667615434710337</v>
      </c>
      <c r="EJ94" s="1117">
        <f t="shared" ref="EJ94:EP94" si="414">(EJ93/EI93)-1</f>
        <v>3.4243860276585592</v>
      </c>
      <c r="EK94" s="1103">
        <f t="shared" si="414"/>
        <v>-1.2067665002773156</v>
      </c>
      <c r="EL94" s="1103">
        <f t="shared" si="414"/>
        <v>-3.9244031830238724</v>
      </c>
      <c r="EM94" s="1732">
        <f t="shared" si="414"/>
        <v>0.21516573720899523</v>
      </c>
      <c r="EN94" s="107">
        <f t="shared" si="414"/>
        <v>-4.2334173284033549E-2</v>
      </c>
      <c r="EO94" s="107">
        <f t="shared" si="414"/>
        <v>7.1529093931910204E-3</v>
      </c>
      <c r="EP94" s="107">
        <f t="shared" si="414"/>
        <v>4.4969424175316242E-3</v>
      </c>
      <c r="EQ94" s="107">
        <f>(EQ93/EP93)-1</f>
        <v>8.4841415735217307E-3</v>
      </c>
      <c r="ER94" s="107">
        <f>(ER93/EQ93)-1</f>
        <v>8.8402088731247552E-3</v>
      </c>
      <c r="ES94" s="107">
        <f>(ES93/ER93)-1</f>
        <v>9.2054197837270202E-3</v>
      </c>
      <c r="ET94" s="107">
        <f>(ET93/ES93)-1</f>
        <v>9.5797885210693323E-3</v>
      </c>
      <c r="EU94" s="107">
        <f>(EU93/ET93)-1</f>
        <v>9.9633101283820302E-3</v>
      </c>
      <c r="EV94" s="1102"/>
      <c r="EW94"/>
      <c r="EX94"/>
      <c r="EY94"/>
      <c r="EZ94"/>
      <c r="FA94"/>
      <c r="FB94"/>
      <c r="FC94" s="4"/>
      <c r="FD94" s="4"/>
      <c r="FE94" s="4"/>
      <c r="FF94" s="4"/>
      <c r="FG94" s="108"/>
      <c r="FH94" s="108"/>
      <c r="FI94" s="108"/>
      <c r="FJ94" s="108"/>
      <c r="FK94"/>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row>
    <row r="95" spans="1:260" s="279" customFormat="1" ht="11.25" customHeight="1" x14ac:dyDescent="0.2">
      <c r="A95" s="1903" t="s">
        <v>696</v>
      </c>
      <c r="B95" s="317"/>
      <c r="C95" s="314"/>
      <c r="D95" s="317"/>
      <c r="E95" s="627"/>
      <c r="F95" s="18"/>
      <c r="G95" s="18"/>
      <c r="H95" s="18"/>
      <c r="I95" s="617"/>
      <c r="J95" s="18">
        <f t="shared" ref="J95:AO95" si="415">(J10/J108)*1000</f>
        <v>125.40076312003504</v>
      </c>
      <c r="K95" s="18">
        <f t="shared" si="415"/>
        <v>150.30023094688221</v>
      </c>
      <c r="L95" s="18">
        <f t="shared" si="415"/>
        <v>212.28875625100824</v>
      </c>
      <c r="M95" s="617">
        <f t="shared" si="415"/>
        <v>118.30414655766769</v>
      </c>
      <c r="N95" s="18">
        <f t="shared" si="415"/>
        <v>128.29981255857544</v>
      </c>
      <c r="O95" s="18">
        <f t="shared" si="415"/>
        <v>131.23420074349443</v>
      </c>
      <c r="P95" s="18">
        <f t="shared" si="415"/>
        <v>161.81588526818999</v>
      </c>
      <c r="Q95" s="617">
        <f t="shared" si="415"/>
        <v>96.860663101604274</v>
      </c>
      <c r="R95" s="18">
        <f t="shared" si="415"/>
        <v>94.808421592073799</v>
      </c>
      <c r="S95" s="18">
        <f t="shared" si="415"/>
        <v>99.365441699067688</v>
      </c>
      <c r="T95" s="18">
        <f t="shared" si="415"/>
        <v>137.31624770079705</v>
      </c>
      <c r="U95" s="617">
        <f t="shared" si="415"/>
        <v>85.907677356656961</v>
      </c>
      <c r="V95" s="18">
        <f t="shared" si="415"/>
        <v>88.47017233760495</v>
      </c>
      <c r="W95" s="18">
        <f t="shared" si="415"/>
        <v>92.968717662978577</v>
      </c>
      <c r="X95" s="18">
        <f t="shared" si="415"/>
        <v>128.47824926607953</v>
      </c>
      <c r="Y95" s="617">
        <f t="shared" si="415"/>
        <v>76.668083235638917</v>
      </c>
      <c r="Z95" s="18">
        <f t="shared" si="415"/>
        <v>81.174159149837479</v>
      </c>
      <c r="AA95" s="18">
        <f t="shared" si="415"/>
        <v>90.919399823477491</v>
      </c>
      <c r="AB95" s="18">
        <f t="shared" si="415"/>
        <v>137.64784031197331</v>
      </c>
      <c r="AC95" s="617">
        <f t="shared" si="415"/>
        <v>75.259473550356063</v>
      </c>
      <c r="AD95" s="18">
        <f t="shared" si="415"/>
        <v>82.813386273397612</v>
      </c>
      <c r="AE95" s="18">
        <f t="shared" si="415"/>
        <v>90.016063264549615</v>
      </c>
      <c r="AF95" s="18">
        <f t="shared" si="415"/>
        <v>134.34127762709909</v>
      </c>
      <c r="AG95" s="617">
        <f t="shared" si="415"/>
        <v>95.835728774582662</v>
      </c>
      <c r="AH95" s="18">
        <f t="shared" si="415"/>
        <v>103.75638984329171</v>
      </c>
      <c r="AI95" s="18">
        <f t="shared" si="415"/>
        <v>105.82492348938969</v>
      </c>
      <c r="AJ95" s="18">
        <f t="shared" si="415"/>
        <v>157.11300872093022</v>
      </c>
      <c r="AK95" s="617">
        <f t="shared" si="415"/>
        <v>77.660654006254276</v>
      </c>
      <c r="AL95" s="18">
        <f t="shared" si="415"/>
        <v>107.52688172043011</v>
      </c>
      <c r="AM95" s="18">
        <f t="shared" si="415"/>
        <v>84.271660542846988</v>
      </c>
      <c r="AN95" s="18">
        <f t="shared" si="415"/>
        <v>128.39941483176412</v>
      </c>
      <c r="AO95" s="617">
        <f t="shared" si="415"/>
        <v>75.50119049782802</v>
      </c>
      <c r="AP95" s="87">
        <f t="shared" ref="AP95:BU95" si="416">(AP10/AP108)*1000</f>
        <v>85.592423913829251</v>
      </c>
      <c r="AQ95" s="87">
        <f t="shared" si="416"/>
        <v>93.877188305340795</v>
      </c>
      <c r="AR95" s="87">
        <f t="shared" si="416"/>
        <v>151.44933732364257</v>
      </c>
      <c r="AS95" s="636">
        <f t="shared" si="416"/>
        <v>86.494915479172533</v>
      </c>
      <c r="AT95" s="87">
        <f t="shared" si="416"/>
        <v>95.649035306470665</v>
      </c>
      <c r="AU95" s="18">
        <f t="shared" si="416"/>
        <v>96.823338735818467</v>
      </c>
      <c r="AV95" s="18">
        <f t="shared" si="416"/>
        <v>152.58631592260022</v>
      </c>
      <c r="AW95" s="617">
        <f t="shared" si="416"/>
        <v>88.004691937276206</v>
      </c>
      <c r="AX95" s="18">
        <f t="shared" si="416"/>
        <v>99.624805539456418</v>
      </c>
      <c r="AY95" s="18">
        <f t="shared" si="416"/>
        <v>97.643047063948686</v>
      </c>
      <c r="AZ95" s="18">
        <f t="shared" si="416"/>
        <v>154.44756078066644</v>
      </c>
      <c r="BA95" s="617">
        <f t="shared" si="416"/>
        <v>94.339422672691242</v>
      </c>
      <c r="BB95" s="18">
        <f t="shared" si="416"/>
        <v>103.84921549657057</v>
      </c>
      <c r="BC95" s="18">
        <f t="shared" si="416"/>
        <v>104.12088823423677</v>
      </c>
      <c r="BD95" s="18">
        <f t="shared" si="416"/>
        <v>144.28515527729357</v>
      </c>
      <c r="BE95" s="617">
        <f t="shared" si="416"/>
        <v>93.118953220903222</v>
      </c>
      <c r="BF95" s="18">
        <f t="shared" si="416"/>
        <v>97.650747489435176</v>
      </c>
      <c r="BG95" s="18">
        <f t="shared" si="416"/>
        <v>103.29086930928396</v>
      </c>
      <c r="BH95" s="18">
        <f t="shared" si="416"/>
        <v>159.71276994801994</v>
      </c>
      <c r="BI95" s="617">
        <f t="shared" si="416"/>
        <v>97.71182483266746</v>
      </c>
      <c r="BJ95" s="18">
        <f t="shared" si="416"/>
        <v>101.73591348890155</v>
      </c>
      <c r="BK95" s="18">
        <f t="shared" si="416"/>
        <v>121.47924107809095</v>
      </c>
      <c r="BL95" s="18">
        <f t="shared" si="416"/>
        <v>157.76776016686051</v>
      </c>
      <c r="BM95" s="617">
        <f t="shared" si="416"/>
        <v>88.349830382452708</v>
      </c>
      <c r="BN95" s="11">
        <f t="shared" si="416"/>
        <v>100.88174989196496</v>
      </c>
      <c r="BO95" s="11">
        <f t="shared" si="416"/>
        <v>104.67555685280114</v>
      </c>
      <c r="BP95" s="11">
        <f t="shared" si="416"/>
        <v>161.52420704172138</v>
      </c>
      <c r="BQ95" s="640">
        <f t="shared" si="416"/>
        <v>97.841071625791898</v>
      </c>
      <c r="BR95" s="11">
        <f t="shared" si="416"/>
        <v>112.43628275735745</v>
      </c>
      <c r="BS95" s="11">
        <f t="shared" si="416"/>
        <v>111.41053888220785</v>
      </c>
      <c r="BT95" s="11">
        <f t="shared" si="416"/>
        <v>174.69340994106875</v>
      </c>
      <c r="BU95" s="640">
        <f t="shared" si="416"/>
        <v>101.6846860828031</v>
      </c>
      <c r="BV95" s="11">
        <f t="shared" ref="BV95:CJ95" si="417">(BV10/BV108)*1000</f>
        <v>109.31668472559035</v>
      </c>
      <c r="BW95" s="11">
        <f t="shared" si="417"/>
        <v>109.41932396869339</v>
      </c>
      <c r="BX95" s="11">
        <f t="shared" si="417"/>
        <v>155.99093154671269</v>
      </c>
      <c r="BY95" s="640">
        <f t="shared" si="417"/>
        <v>96.324184412659449</v>
      </c>
      <c r="BZ95" s="11">
        <f t="shared" si="417"/>
        <v>101.64918043777026</v>
      </c>
      <c r="CA95" s="11">
        <f t="shared" si="417"/>
        <v>106.58386774733921</v>
      </c>
      <c r="CB95" s="11">
        <f t="shared" si="417"/>
        <v>139.29022782388907</v>
      </c>
      <c r="CC95" s="640">
        <f t="shared" si="417"/>
        <v>113.40455275011649</v>
      </c>
      <c r="CD95" s="742">
        <f t="shared" si="417"/>
        <v>102.93480104800859</v>
      </c>
      <c r="CE95" s="242">
        <f t="shared" si="417"/>
        <v>111.33180440658531</v>
      </c>
      <c r="CF95" s="242">
        <f t="shared" si="417"/>
        <v>142.93322408848832</v>
      </c>
      <c r="CG95" s="660">
        <f t="shared" si="417"/>
        <v>110.29954862535905</v>
      </c>
      <c r="CH95" s="742">
        <f t="shared" si="417"/>
        <v>108.04642603805783</v>
      </c>
      <c r="CI95" s="242">
        <f t="shared" si="417"/>
        <v>115.11933604824991</v>
      </c>
      <c r="CJ95" s="242">
        <f t="shared" si="417"/>
        <v>142.56934759026811</v>
      </c>
      <c r="CK95" s="660">
        <f t="shared" ref="CK95:CS95" si="418">(CK10/CK108)*1000</f>
        <v>107.15321211117094</v>
      </c>
      <c r="CL95" s="242">
        <f t="shared" si="418"/>
        <v>104.44140794644464</v>
      </c>
      <c r="CM95" s="242">
        <f t="shared" si="418"/>
        <v>108.15199740175382</v>
      </c>
      <c r="CN95" s="242">
        <f t="shared" si="418"/>
        <v>144.12794036384125</v>
      </c>
      <c r="CO95" s="660">
        <f>(CO10/CO108)*1000</f>
        <v>109.92024199427658</v>
      </c>
      <c r="CP95" s="242">
        <f>(CP10/CP108)*1000</f>
        <v>103.2298992638936</v>
      </c>
      <c r="CQ95" s="242">
        <f t="shared" si="418"/>
        <v>107.52311264952021</v>
      </c>
      <c r="CR95" s="242">
        <f t="shared" si="418"/>
        <v>139.16579655987252</v>
      </c>
      <c r="CS95" s="660">
        <f t="shared" si="418"/>
        <v>107.25586831166827</v>
      </c>
      <c r="CT95" s="242">
        <f>(CT10/CT108)*1000</f>
        <v>102.3563820981182</v>
      </c>
      <c r="CU95" s="242">
        <f t="shared" ref="CU95" si="419">(CU10/CU108)*1000</f>
        <v>114.10211112092571</v>
      </c>
      <c r="CV95" s="242">
        <f t="shared" ref="CV95:DA95" si="420">(CV10/CV108)*1000</f>
        <v>147.93516873889877</v>
      </c>
      <c r="CW95" s="660">
        <f t="shared" si="420"/>
        <v>116.36972912594247</v>
      </c>
      <c r="CX95" s="1686">
        <f t="shared" si="420"/>
        <v>112.42433808363012</v>
      </c>
      <c r="CY95" s="242">
        <f t="shared" si="420"/>
        <v>125.47786654942925</v>
      </c>
      <c r="CZ95" s="242">
        <f t="shared" si="420"/>
        <v>160.99907482727247</v>
      </c>
      <c r="DA95" s="660">
        <f t="shared" si="420"/>
        <v>119.68956154332221</v>
      </c>
      <c r="DB95" s="687"/>
      <c r="DC95" s="640"/>
      <c r="DD95" s="305"/>
      <c r="DE95" s="308"/>
      <c r="DF95" s="308"/>
      <c r="DG95" s="308"/>
      <c r="DH95" s="308"/>
      <c r="DI95" s="308"/>
      <c r="DJ95" s="312"/>
      <c r="DK95" s="309"/>
      <c r="DL95" s="317"/>
      <c r="DM95" s="18"/>
      <c r="DN95" s="18">
        <f t="shared" ref="DN95:EE95" si="421">(DN10/DN108)*1000</f>
        <v>132.05893024022868</v>
      </c>
      <c r="DO95" s="18">
        <f t="shared" si="421"/>
        <v>102.48587724063009</v>
      </c>
      <c r="DP95" s="18">
        <f t="shared" si="421"/>
        <v>88.642767610930051</v>
      </c>
      <c r="DQ95" s="18">
        <f t="shared" si="421"/>
        <v>80.588878619839804</v>
      </c>
      <c r="DR95" s="18">
        <f t="shared" si="421"/>
        <v>80.503349542625898</v>
      </c>
      <c r="DS95" s="18">
        <f t="shared" si="421"/>
        <v>102.72778010325101</v>
      </c>
      <c r="DT95" s="18">
        <f t="shared" si="421"/>
        <v>88.469269314610884</v>
      </c>
      <c r="DU95" s="18">
        <f t="shared" si="421"/>
        <v>81.899016186589392</v>
      </c>
      <c r="DV95" s="87">
        <f t="shared" si="421"/>
        <v>92.120141342756185</v>
      </c>
      <c r="DW95" s="18">
        <f t="shared" si="421"/>
        <v>92.738069211614842</v>
      </c>
      <c r="DX95" s="18">
        <f t="shared" si="421"/>
        <v>100.2406195290709</v>
      </c>
      <c r="DY95" s="18">
        <f t="shared" si="421"/>
        <v>104.08033410097318</v>
      </c>
      <c r="DZ95" s="18">
        <f t="shared" si="421"/>
        <v>104.25847598378989</v>
      </c>
      <c r="EA95" s="18">
        <f t="shared" si="421"/>
        <v>93.269230769230774</v>
      </c>
      <c r="EB95" s="11">
        <f t="shared" si="421"/>
        <v>99.421841119922334</v>
      </c>
      <c r="EC95" s="11">
        <f t="shared" si="421"/>
        <v>103.26768150987587</v>
      </c>
      <c r="ED95" s="11">
        <f t="shared" si="421"/>
        <v>97.34843980907408</v>
      </c>
      <c r="EE95" s="11">
        <f t="shared" si="421"/>
        <v>129.06271201081657</v>
      </c>
      <c r="EF95" s="1118">
        <f t="shared" si="361"/>
        <v>101.64918043777026</v>
      </c>
      <c r="EG95" s="373">
        <f>(EG10/EG108)*1000</f>
        <v>112.29023548309921</v>
      </c>
      <c r="EH95" s="373">
        <f>(EH10/EH108)*1000</f>
        <v>101.35173349923647</v>
      </c>
      <c r="EI95" s="373">
        <f t="shared" ref="EI95:EP95" si="422">(EI10/EI108)*1000</f>
        <v>106.68371186737734</v>
      </c>
      <c r="EJ95" s="373">
        <f>(EJ10/EJ108)*1000</f>
        <v>106.76389769604734</v>
      </c>
      <c r="EK95" s="242">
        <f t="shared" si="422"/>
        <v>106.14525139664805</v>
      </c>
      <c r="EL95" s="242">
        <f>(EL10/EL108)*1000</f>
        <v>115.64761777896186</v>
      </c>
      <c r="EM95" s="1686">
        <f>(EM10/EM108)*1000</f>
        <v>118.27774156450366</v>
      </c>
      <c r="EN95" s="341">
        <f t="shared" si="422"/>
        <v>121.37601423361586</v>
      </c>
      <c r="EO95" s="341">
        <f t="shared" si="422"/>
        <v>123.43902203644386</v>
      </c>
      <c r="EP95" s="341">
        <f t="shared" si="422"/>
        <v>125.27248030724081</v>
      </c>
      <c r="EQ95" s="341">
        <f>(EQ10/EQ108)*1000</f>
        <v>127.47045361284445</v>
      </c>
      <c r="ER95" s="341">
        <f>(ER10/ER108)*1000</f>
        <v>129.75160241637542</v>
      </c>
      <c r="ES95" s="341">
        <f>(ES10/ES108)*1000</f>
        <v>132.12016823612288</v>
      </c>
      <c r="ET95" s="341">
        <f>(ET10/ET108)*1000</f>
        <v>134.58062552106921</v>
      </c>
      <c r="EU95" s="341">
        <f>(EU10/EU108)*1000</f>
        <v>137.13769456943743</v>
      </c>
      <c r="EV95" s="1032"/>
      <c r="EW95"/>
      <c r="EX95"/>
      <c r="EY95"/>
      <c r="EZ95"/>
      <c r="FA95"/>
      <c r="FB95"/>
      <c r="FC95" s="4"/>
      <c r="FD95" s="4"/>
      <c r="FE95" s="4"/>
      <c r="FF95" s="4"/>
      <c r="FG95"/>
      <c r="FH95" s="2235"/>
      <c r="FI95" s="2235"/>
      <c r="FJ95" s="2235"/>
      <c r="FK95"/>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row>
    <row r="96" spans="1:260" s="279" customFormat="1" ht="11.25" customHeight="1" x14ac:dyDescent="0.2">
      <c r="A96" s="1902" t="s">
        <v>695</v>
      </c>
      <c r="B96" s="15"/>
      <c r="C96" s="15"/>
      <c r="D96" s="317"/>
      <c r="E96" s="627"/>
      <c r="F96" s="18"/>
      <c r="G96" s="18"/>
      <c r="H96" s="18"/>
      <c r="I96" s="617"/>
      <c r="J96" s="18"/>
      <c r="K96" s="18"/>
      <c r="L96" s="18"/>
      <c r="M96" s="617"/>
      <c r="N96" s="18"/>
      <c r="O96" s="18"/>
      <c r="P96" s="18"/>
      <c r="Q96" s="617"/>
      <c r="R96" s="18"/>
      <c r="S96" s="18"/>
      <c r="T96" s="18"/>
      <c r="U96" s="617"/>
      <c r="V96" s="18"/>
      <c r="W96" s="18"/>
      <c r="X96" s="18"/>
      <c r="Y96" s="617"/>
      <c r="Z96" s="18"/>
      <c r="AA96" s="18"/>
      <c r="AB96" s="18"/>
      <c r="AC96" s="617"/>
      <c r="AD96" s="18"/>
      <c r="AE96" s="18"/>
      <c r="AF96" s="18"/>
      <c r="AG96" s="617"/>
      <c r="AH96" s="18"/>
      <c r="AI96" s="18"/>
      <c r="AJ96" s="18"/>
      <c r="AK96" s="617"/>
      <c r="AL96" s="18"/>
      <c r="AM96" s="18"/>
      <c r="AN96" s="18"/>
      <c r="AO96" s="617"/>
      <c r="AP96" s="87"/>
      <c r="AQ96" s="87"/>
      <c r="AR96" s="87"/>
      <c r="AS96" s="636"/>
      <c r="AT96" s="87"/>
      <c r="AU96" s="18"/>
      <c r="AV96" s="18"/>
      <c r="AW96" s="617"/>
      <c r="AX96" s="18"/>
      <c r="AY96" s="18"/>
      <c r="AZ96" s="18"/>
      <c r="BA96" s="617"/>
      <c r="BB96" s="18"/>
      <c r="BC96" s="18"/>
      <c r="BD96" s="18"/>
      <c r="BE96" s="617"/>
      <c r="BF96" s="18"/>
      <c r="BG96" s="18"/>
      <c r="BH96" s="18"/>
      <c r="BI96" s="617"/>
      <c r="BJ96" s="18"/>
      <c r="BK96" s="18"/>
      <c r="BL96" s="18"/>
      <c r="BM96" s="617"/>
      <c r="BN96" s="18"/>
      <c r="BO96" s="18"/>
      <c r="BP96" s="18"/>
      <c r="BQ96" s="617"/>
      <c r="BR96" s="18"/>
      <c r="BS96" s="18"/>
      <c r="BT96" s="18"/>
      <c r="BU96" s="617"/>
      <c r="BV96" s="18"/>
      <c r="BW96" s="18"/>
      <c r="BX96" s="18"/>
      <c r="BY96" s="617"/>
      <c r="BZ96" s="18"/>
      <c r="CA96" s="18"/>
      <c r="CB96" s="18"/>
      <c r="CC96" s="617"/>
      <c r="CD96" s="1032"/>
      <c r="CE96" s="1097"/>
      <c r="CF96" s="1097"/>
      <c r="CG96" s="636"/>
      <c r="CH96" s="1032"/>
      <c r="CI96" s="1097"/>
      <c r="CJ96" s="1097"/>
      <c r="CK96" s="636"/>
      <c r="CL96" s="70">
        <f t="shared" ref="CL96:CZ96" si="423">CL95/CH95-1</f>
        <v>-3.3365454312606069E-2</v>
      </c>
      <c r="CM96" s="70">
        <f t="shared" si="423"/>
        <v>-6.0522748702927509E-2</v>
      </c>
      <c r="CN96" s="70">
        <f t="shared" si="423"/>
        <v>1.0932173008551649E-2</v>
      </c>
      <c r="CO96" s="487">
        <f t="shared" si="423"/>
        <v>2.5823116531820345E-2</v>
      </c>
      <c r="CP96" s="70">
        <f t="shared" si="423"/>
        <v>-1.1599888457768381E-2</v>
      </c>
      <c r="CQ96" s="70">
        <f t="shared" si="423"/>
        <v>-5.8148232796614296E-3</v>
      </c>
      <c r="CR96" s="70">
        <f t="shared" si="423"/>
        <v>-3.4428742903299225E-2</v>
      </c>
      <c r="CS96" s="487">
        <f t="shared" si="423"/>
        <v>-2.4239154083622205E-2</v>
      </c>
      <c r="CT96" s="70">
        <f t="shared" si="423"/>
        <v>-8.4618620380745302E-3</v>
      </c>
      <c r="CU96" s="70">
        <f t="shared" si="423"/>
        <v>6.1186830526849034E-2</v>
      </c>
      <c r="CV96" s="70">
        <f t="shared" si="423"/>
        <v>6.3013846762652204E-2</v>
      </c>
      <c r="CW96" s="487">
        <f>CW95/CS95-1</f>
        <v>8.4973073806934307E-2</v>
      </c>
      <c r="CX96" s="1673">
        <f t="shared" si="423"/>
        <v>9.8361780468762872E-2</v>
      </c>
      <c r="CY96" s="70">
        <f t="shared" si="423"/>
        <v>9.9698027641640152E-2</v>
      </c>
      <c r="CZ96" s="70">
        <f t="shared" si="423"/>
        <v>8.8308319108562516E-2</v>
      </c>
      <c r="DA96" s="487">
        <f>DA95/CW95-1</f>
        <v>2.8528316103467288E-2</v>
      </c>
      <c r="DB96" s="681"/>
      <c r="DC96" s="617"/>
      <c r="DD96" s="354"/>
      <c r="DE96" s="77"/>
      <c r="DF96" s="77"/>
      <c r="DG96" s="77"/>
      <c r="DH96" s="77"/>
      <c r="DI96" s="77"/>
      <c r="DJ96" s="77"/>
      <c r="DK96" s="77"/>
      <c r="DL96" s="317"/>
      <c r="DM96" s="18"/>
      <c r="DN96" s="18"/>
      <c r="DO96" s="18"/>
      <c r="DP96" s="18"/>
      <c r="DQ96" s="18"/>
      <c r="DR96" s="18"/>
      <c r="DS96" s="18"/>
      <c r="DT96" s="18"/>
      <c r="DU96" s="18"/>
      <c r="DV96" s="87"/>
      <c r="DW96" s="18"/>
      <c r="DX96" s="18"/>
      <c r="DY96" s="18"/>
      <c r="DZ96" s="18"/>
      <c r="EA96" s="18"/>
      <c r="EB96" s="18"/>
      <c r="EC96" s="18"/>
      <c r="ED96" s="18"/>
      <c r="EE96" s="15"/>
      <c r="EF96" s="674">
        <f>EF95/EE95-1</f>
        <v>-0.21240473833177176</v>
      </c>
      <c r="EG96" s="1113"/>
      <c r="EH96" s="1113"/>
      <c r="EI96" s="161">
        <f t="shared" ref="EI96:EP96" si="424">EI95/EH95-1</f>
        <v>5.2608654870032634E-2</v>
      </c>
      <c r="EJ96" s="161">
        <f t="shared" si="424"/>
        <v>7.5162203551437656E-4</v>
      </c>
      <c r="EK96" s="70">
        <f t="shared" si="424"/>
        <v>-5.79452710841033E-3</v>
      </c>
      <c r="EL96" s="70">
        <f t="shared" si="424"/>
        <v>8.9522293812324794E-2</v>
      </c>
      <c r="EM96" s="1673">
        <f t="shared" si="424"/>
        <v>2.2742567776612432E-2</v>
      </c>
      <c r="EN96" s="15">
        <f t="shared" si="424"/>
        <v>2.6194892023893912E-2</v>
      </c>
      <c r="EO96" s="15">
        <f t="shared" si="424"/>
        <v>1.6996832659682326E-2</v>
      </c>
      <c r="EP96" s="15">
        <f t="shared" si="424"/>
        <v>1.4853149681108624E-2</v>
      </c>
      <c r="EQ96" s="15">
        <f>EQ95/EP95-1</f>
        <v>1.7545539931938192E-2</v>
      </c>
      <c r="ER96" s="15">
        <f>ER95/EQ95-1</f>
        <v>1.7895510205520271E-2</v>
      </c>
      <c r="ES96" s="15">
        <f>ES95/ER95-1</f>
        <v>1.8254617096339798E-2</v>
      </c>
      <c r="ET96" s="15">
        <f>ET95/ES95-1</f>
        <v>1.8622874295384229E-2</v>
      </c>
      <c r="EU96" s="15">
        <f>EU95/ET95-1</f>
        <v>1.9000276142778771E-2</v>
      </c>
      <c r="EV96" s="1032"/>
      <c r="EW96"/>
      <c r="EX96"/>
      <c r="EY96"/>
      <c r="EZ96"/>
      <c r="FA96"/>
      <c r="FB96"/>
      <c r="FC96" s="4"/>
      <c r="FD96" s="4"/>
      <c r="FE96" s="4"/>
      <c r="FF96" s="4"/>
      <c r="FG96" s="70"/>
      <c r="FH96" s="70"/>
      <c r="FI96" s="70"/>
      <c r="FJ96" s="70"/>
      <c r="FK96"/>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row>
    <row r="97" spans="1:260" s="279" customFormat="1" ht="11.25" customHeight="1" x14ac:dyDescent="0.2">
      <c r="A97" s="1903" t="s">
        <v>702</v>
      </c>
      <c r="B97" s="15"/>
      <c r="C97" s="15"/>
      <c r="D97" s="317"/>
      <c r="E97" s="627"/>
      <c r="F97" s="18"/>
      <c r="G97" s="18"/>
      <c r="H97" s="18"/>
      <c r="I97" s="617"/>
      <c r="J97" s="18"/>
      <c r="K97" s="18"/>
      <c r="L97" s="18"/>
      <c r="M97" s="617"/>
      <c r="N97" s="18"/>
      <c r="O97" s="18"/>
      <c r="P97" s="18"/>
      <c r="Q97" s="617"/>
      <c r="R97" s="18"/>
      <c r="S97" s="18"/>
      <c r="T97" s="18"/>
      <c r="U97" s="617"/>
      <c r="V97" s="18"/>
      <c r="W97" s="18"/>
      <c r="X97" s="18"/>
      <c r="Y97" s="617"/>
      <c r="Z97" s="18"/>
      <c r="AA97" s="18"/>
      <c r="AB97" s="18"/>
      <c r="AC97" s="617"/>
      <c r="AD97" s="18"/>
      <c r="AE97" s="18"/>
      <c r="AF97" s="18"/>
      <c r="AG97" s="617"/>
      <c r="AH97" s="18"/>
      <c r="AI97" s="18"/>
      <c r="AJ97" s="18"/>
      <c r="AK97" s="617"/>
      <c r="AL97" s="18"/>
      <c r="AM97" s="18"/>
      <c r="AN97" s="18"/>
      <c r="AO97" s="617"/>
      <c r="AP97" s="87"/>
      <c r="AQ97" s="87"/>
      <c r="AR97" s="87"/>
      <c r="AS97" s="636"/>
      <c r="AT97" s="87"/>
      <c r="AU97" s="18"/>
      <c r="AV97" s="18"/>
      <c r="AW97" s="617"/>
      <c r="AX97" s="18"/>
      <c r="AY97" s="18"/>
      <c r="AZ97" s="18"/>
      <c r="BA97" s="617"/>
      <c r="BB97" s="18"/>
      <c r="BC97" s="18"/>
      <c r="BD97" s="18"/>
      <c r="BE97" s="617"/>
      <c r="BF97" s="18"/>
      <c r="BG97" s="18"/>
      <c r="BH97" s="18"/>
      <c r="BI97" s="617"/>
      <c r="BJ97" s="18"/>
      <c r="BK97" s="18"/>
      <c r="BL97" s="18"/>
      <c r="BM97" s="617"/>
      <c r="BN97" s="18"/>
      <c r="BO97" s="18"/>
      <c r="BP97" s="18"/>
      <c r="BQ97" s="617"/>
      <c r="BR97" s="18"/>
      <c r="BS97" s="18"/>
      <c r="BT97" s="18"/>
      <c r="BU97" s="617"/>
      <c r="BV97" s="18"/>
      <c r="BW97" s="18"/>
      <c r="BX97" s="18"/>
      <c r="BY97" s="617"/>
      <c r="BZ97" s="18"/>
      <c r="CA97" s="18"/>
      <c r="CB97" s="18"/>
      <c r="CC97" s="617"/>
      <c r="CD97" s="1104"/>
      <c r="CE97" s="1105"/>
      <c r="CF97" s="1105"/>
      <c r="CG97" s="1106"/>
      <c r="CH97" s="1104"/>
      <c r="CI97" s="1105"/>
      <c r="CJ97" s="1105"/>
      <c r="CK97" s="1105"/>
      <c r="CL97" s="1621">
        <f t="shared" ref="CL97:DA97" si="425">(CL100-CL101)/AVERAGE(CK10:CL10)</f>
        <v>0.38796516231195566</v>
      </c>
      <c r="CM97" s="1622">
        <f t="shared" si="425"/>
        <v>0.42015113350125943</v>
      </c>
      <c r="CN97" s="1622">
        <f t="shared" si="425"/>
        <v>0.36252790657736561</v>
      </c>
      <c r="CO97" s="1623">
        <f t="shared" si="425"/>
        <v>0.50384549649632537</v>
      </c>
      <c r="CP97" s="1622">
        <f t="shared" si="425"/>
        <v>0.4016376663254862</v>
      </c>
      <c r="CQ97" s="1622">
        <f t="shared" si="425"/>
        <v>0.42837851874935079</v>
      </c>
      <c r="CR97" s="1624">
        <f t="shared" si="425"/>
        <v>0.39202776047691074</v>
      </c>
      <c r="CS97" s="1925">
        <f t="shared" si="425"/>
        <v>0.54131308619919605</v>
      </c>
      <c r="CT97" s="1621">
        <f t="shared" si="425"/>
        <v>0.42563940637827596</v>
      </c>
      <c r="CU97" s="1624">
        <f t="shared" si="425"/>
        <v>0.43920848633210935</v>
      </c>
      <c r="CV97" s="1624">
        <f t="shared" si="425"/>
        <v>0.38546069315300086</v>
      </c>
      <c r="CW97" s="1925">
        <f t="shared" si="425"/>
        <v>0.57631401617250677</v>
      </c>
      <c r="CX97" s="2801">
        <f t="shared" si="425"/>
        <v>0.40126886129154626</v>
      </c>
      <c r="CY97" s="1622">
        <f t="shared" si="425"/>
        <v>0.4103481845063614</v>
      </c>
      <c r="CZ97" s="1622">
        <f t="shared" si="425"/>
        <v>0.36506775813415238</v>
      </c>
      <c r="DA97" s="1623">
        <f t="shared" si="425"/>
        <v>0.55293617660685512</v>
      </c>
      <c r="DB97" s="1113"/>
      <c r="DC97" s="617"/>
      <c r="DD97" s="69">
        <f>(DD100-DD101)/AVERAGE(A10:DD10)</f>
        <v>7.3923395060512334E-3</v>
      </c>
      <c r="DE97" s="69">
        <f t="shared" ref="DE97:DK97" si="426">(DE100-DE101)/AVERAGE(DD10:DE10)</f>
        <v>1.3985002436207299</v>
      </c>
      <c r="DF97" s="69">
        <f t="shared" si="426"/>
        <v>1.3006172112562344</v>
      </c>
      <c r="DG97" s="69">
        <f t="shared" si="426"/>
        <v>1.1593733363343619</v>
      </c>
      <c r="DH97" s="69">
        <f t="shared" si="426"/>
        <v>1.2352866333376087</v>
      </c>
      <c r="DI97" s="69">
        <f t="shared" si="426"/>
        <v>1.5015979859546831</v>
      </c>
      <c r="DJ97" s="69">
        <f t="shared" si="426"/>
        <v>1.5641018996034937</v>
      </c>
      <c r="DK97" s="69">
        <f t="shared" si="426"/>
        <v>1.4723310067413289</v>
      </c>
      <c r="DL97" s="69">
        <f>(DL100-DL101)/AVERAGE(DJ10:DL10)</f>
        <v>1.3389364306163738</v>
      </c>
      <c r="DM97" s="18"/>
      <c r="DN97" s="18"/>
      <c r="DO97" s="18"/>
      <c r="DP97" s="18"/>
      <c r="DQ97" s="18"/>
      <c r="DR97" s="18"/>
      <c r="DS97" s="18"/>
      <c r="DT97" s="18"/>
      <c r="DU97" s="18"/>
      <c r="DV97" s="87"/>
      <c r="DW97" s="18"/>
      <c r="DX97" s="18"/>
      <c r="DY97" s="18"/>
      <c r="DZ97" s="18"/>
      <c r="EA97" s="18"/>
      <c r="EB97" s="18"/>
      <c r="EC97" s="18"/>
      <c r="ED97" s="18"/>
      <c r="EE97" s="69">
        <f>(EE100-EE101)/AVERAGE(EC10:EE10)</f>
        <v>1.9993157174439413</v>
      </c>
      <c r="EF97" s="1121">
        <f>(EF100-EF101)/AVERAGE(EE10:EF10)</f>
        <v>1.7864954490933465</v>
      </c>
      <c r="EG97" s="1122"/>
      <c r="EH97" s="681"/>
      <c r="EI97" s="69">
        <f>(EI100-EI101)/AVERAGE(EI10:EI10)</f>
        <v>1.7485504445303439</v>
      </c>
      <c r="EJ97" s="69">
        <f>(EJ100-EJ101)/AVERAGE(EI10:EJ10)</f>
        <v>1.7807334963325183</v>
      </c>
      <c r="EK97" s="140">
        <f t="shared" ref="EK97:EP97" si="427">(EK100-EK101)/AVERAGE(EJ10:EK10)</f>
        <v>1.8672718103883006</v>
      </c>
      <c r="EL97" s="140">
        <f t="shared" si="427"/>
        <v>1.9608855355901915</v>
      </c>
      <c r="EM97" s="1733">
        <f t="shared" si="427"/>
        <v>1.8928040661174634</v>
      </c>
      <c r="EN97" s="69">
        <f t="shared" si="427"/>
        <v>1.8925884162918969</v>
      </c>
      <c r="EO97" s="69">
        <f t="shared" si="427"/>
        <v>1.8943524103814133</v>
      </c>
      <c r="EP97" s="69">
        <f t="shared" si="427"/>
        <v>1.8892789216015022</v>
      </c>
      <c r="EQ97" s="69">
        <f>(EQ100-EQ101)/AVERAGE(EP10:EQ10)</f>
        <v>1.8881519466461065</v>
      </c>
      <c r="ER97" s="69">
        <f>(ER100-ER101)/AVERAGE(EQ10:ER10)</f>
        <v>1.8836274850692027</v>
      </c>
      <c r="ES97" s="69">
        <f>(ES100-ES101)/AVERAGE(ER10:ES10)</f>
        <v>1.8791064881600847</v>
      </c>
      <c r="ET97" s="69">
        <f>(ET100-ET101)/AVERAGE(ES10:ET10)</f>
        <v>1.8745886242528871</v>
      </c>
      <c r="EU97" s="69">
        <f>(EU100-EU101)/AVERAGE(ET10:EU10)</f>
        <v>1.8700735472178487</v>
      </c>
      <c r="EV97" s="1032"/>
      <c r="EW97"/>
      <c r="EX97"/>
      <c r="EY97"/>
      <c r="EZ97"/>
      <c r="FA97"/>
      <c r="FB97"/>
      <c r="FC97" s="4"/>
      <c r="FD97" s="4"/>
      <c r="FE97" s="4"/>
      <c r="FF97" s="4"/>
      <c r="FG97" s="272"/>
      <c r="FH97" s="272"/>
      <c r="FI97" s="272"/>
      <c r="FJ97" s="272"/>
      <c r="FK9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row>
    <row r="98" spans="1:260" s="4" customFormat="1" x14ac:dyDescent="0.2">
      <c r="E98" s="470"/>
      <c r="I98" s="470"/>
      <c r="M98" s="470"/>
      <c r="Q98" s="470"/>
      <c r="U98" s="470"/>
      <c r="Y98" s="470"/>
      <c r="AC98" s="470"/>
      <c r="AG98" s="470"/>
      <c r="AK98" s="470"/>
      <c r="AO98" s="470"/>
      <c r="AS98" s="470"/>
      <c r="AW98" s="470"/>
      <c r="BA98" s="470"/>
      <c r="BE98" s="470"/>
      <c r="BI98" s="470"/>
      <c r="BM98" s="470"/>
      <c r="BQ98" s="470"/>
      <c r="BU98" s="470"/>
      <c r="BY98" s="470"/>
      <c r="CC98" s="470"/>
      <c r="CD98" s="6"/>
      <c r="CE98" s="6"/>
      <c r="CF98" s="6"/>
      <c r="CG98" s="484"/>
      <c r="CH98" s="6"/>
      <c r="CI98" s="6"/>
      <c r="CJ98" s="6"/>
      <c r="CK98" s="484"/>
      <c r="CL98" s="7"/>
      <c r="CM98" s="7"/>
      <c r="CN98" s="6"/>
      <c r="CO98" s="484"/>
      <c r="CP98" s="7"/>
      <c r="CQ98" s="6"/>
      <c r="CR98" s="7"/>
      <c r="CS98" s="484"/>
      <c r="CT98" s="7"/>
      <c r="CU98" s="7"/>
      <c r="CV98" s="7"/>
      <c r="CW98" s="484"/>
      <c r="CX98" s="1671"/>
      <c r="CY98" s="7"/>
      <c r="CZ98" s="7"/>
      <c r="DA98" s="484"/>
      <c r="DB98" s="413"/>
      <c r="DC98" s="470"/>
      <c r="EK98" s="6"/>
      <c r="EL98" s="6"/>
      <c r="EM98" s="1734"/>
      <c r="EV98" s="671"/>
      <c r="EW98"/>
      <c r="EX98"/>
      <c r="EY98"/>
      <c r="EZ98"/>
      <c r="FA98"/>
      <c r="FB98"/>
      <c r="FG98" s="7"/>
      <c r="FH98" s="7"/>
      <c r="FI98" s="7"/>
      <c r="FJ98" s="7"/>
      <c r="FK98"/>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row>
    <row r="99" spans="1:260" s="6" customFormat="1" outlineLevel="1" x14ac:dyDescent="0.2">
      <c r="A99" s="2476" t="s">
        <v>348</v>
      </c>
      <c r="B99" s="597"/>
      <c r="C99" s="597"/>
      <c r="D99" s="597"/>
      <c r="E99" s="609"/>
      <c r="F99" s="597"/>
      <c r="G99" s="597"/>
      <c r="H99" s="597"/>
      <c r="I99" s="609"/>
      <c r="J99" s="597"/>
      <c r="K99" s="597"/>
      <c r="L99" s="597"/>
      <c r="M99" s="609"/>
      <c r="N99" s="597"/>
      <c r="O99" s="597"/>
      <c r="P99" s="597"/>
      <c r="Q99" s="609"/>
      <c r="R99" s="597"/>
      <c r="S99" s="597"/>
      <c r="T99" s="597"/>
      <c r="U99" s="609"/>
      <c r="V99" s="597"/>
      <c r="W99" s="597"/>
      <c r="X99" s="597"/>
      <c r="Y99" s="609"/>
      <c r="Z99" s="597"/>
      <c r="AA99" s="597"/>
      <c r="AB99" s="597"/>
      <c r="AC99" s="609"/>
      <c r="AD99" s="597"/>
      <c r="AE99" s="597"/>
      <c r="AF99" s="597"/>
      <c r="AG99" s="609"/>
      <c r="AH99" s="597"/>
      <c r="AI99" s="597"/>
      <c r="AJ99" s="597"/>
      <c r="AK99" s="609"/>
      <c r="AL99" s="597"/>
      <c r="AM99" s="597"/>
      <c r="AN99" s="597"/>
      <c r="AO99" s="609"/>
      <c r="AP99" s="597"/>
      <c r="AQ99" s="597"/>
      <c r="AR99" s="597"/>
      <c r="AS99" s="609"/>
      <c r="AT99" s="597"/>
      <c r="AU99" s="597"/>
      <c r="AV99" s="597"/>
      <c r="AW99" s="609"/>
      <c r="AX99" s="597"/>
      <c r="AY99" s="597"/>
      <c r="AZ99" s="597"/>
      <c r="BA99" s="609"/>
      <c r="BB99" s="597"/>
      <c r="BC99" s="597"/>
      <c r="BD99" s="597"/>
      <c r="BE99" s="609"/>
      <c r="BF99" s="597"/>
      <c r="BG99" s="597"/>
      <c r="BH99" s="597"/>
      <c r="BI99" s="609"/>
      <c r="BJ99" s="597"/>
      <c r="BK99" s="597"/>
      <c r="BL99" s="597"/>
      <c r="BM99" s="609"/>
      <c r="BN99" s="597"/>
      <c r="BO99" s="597"/>
      <c r="BP99" s="597"/>
      <c r="BQ99" s="609"/>
      <c r="BR99" s="597"/>
      <c r="BS99" s="597"/>
      <c r="BT99" s="597"/>
      <c r="BU99" s="609"/>
      <c r="BV99" s="597"/>
      <c r="BW99" s="597"/>
      <c r="BX99" s="597"/>
      <c r="BY99" s="609"/>
      <c r="BZ99" s="597"/>
      <c r="CA99" s="597"/>
      <c r="CB99" s="597"/>
      <c r="CC99" s="609"/>
      <c r="CD99" s="597"/>
      <c r="CE99" s="597"/>
      <c r="CF99" s="597"/>
      <c r="CG99" s="609"/>
      <c r="CH99" s="597"/>
      <c r="CI99" s="597"/>
      <c r="CJ99" s="597"/>
      <c r="CK99" s="609"/>
      <c r="CL99" s="597"/>
      <c r="CM99" s="597"/>
      <c r="CN99" s="597"/>
      <c r="CO99" s="609"/>
      <c r="CP99" s="597"/>
      <c r="CQ99" s="597"/>
      <c r="CR99" s="597"/>
      <c r="CS99" s="609"/>
      <c r="CT99" s="597"/>
      <c r="CU99" s="597"/>
      <c r="CV99" s="597"/>
      <c r="CW99" s="609"/>
      <c r="CX99" s="1793"/>
      <c r="CY99" s="597"/>
      <c r="CZ99" s="597"/>
      <c r="DA99" s="609"/>
      <c r="DB99" s="671"/>
      <c r="DC99" s="484"/>
      <c r="DD99" s="597"/>
      <c r="DE99" s="597"/>
      <c r="DF99" s="597"/>
      <c r="DG99" s="597"/>
      <c r="DH99" s="597"/>
      <c r="DI99" s="597"/>
      <c r="DJ99" s="597"/>
      <c r="DK99" s="597"/>
      <c r="DL99" s="597"/>
      <c r="DM99" s="597"/>
      <c r="DN99" s="597"/>
      <c r="DO99" s="597"/>
      <c r="DP99" s="597"/>
      <c r="DQ99" s="597"/>
      <c r="DR99" s="597"/>
      <c r="DS99" s="597"/>
      <c r="DT99" s="597"/>
      <c r="DU99" s="597"/>
      <c r="DV99" s="597"/>
      <c r="DW99" s="597"/>
      <c r="DX99" s="597"/>
      <c r="DY99" s="597"/>
      <c r="DZ99" s="597"/>
      <c r="EA99" s="597"/>
      <c r="EB99" s="597"/>
      <c r="EC99" s="597"/>
      <c r="ED99" s="597"/>
      <c r="EE99" s="597"/>
      <c r="EF99" s="597"/>
      <c r="EG99" s="597"/>
      <c r="EH99" s="597"/>
      <c r="EI99" s="597"/>
      <c r="EJ99" s="597"/>
      <c r="EK99" s="597"/>
      <c r="EL99" s="597"/>
      <c r="EM99" s="597"/>
      <c r="EN99" s="597"/>
      <c r="EO99" s="597"/>
      <c r="EP99" s="597"/>
      <c r="EQ99" s="597"/>
      <c r="ER99" s="597"/>
      <c r="ES99" s="597"/>
      <c r="ET99" s="597"/>
      <c r="EU99" s="597"/>
      <c r="EV99" s="671"/>
      <c r="EW99"/>
      <c r="EX99"/>
      <c r="EY99"/>
      <c r="EZ99"/>
      <c r="FA99"/>
      <c r="FB99"/>
      <c r="FG99" s="7"/>
      <c r="FH99" s="7"/>
      <c r="FI99" s="7"/>
      <c r="FJ99" s="7"/>
      <c r="FK99" s="39"/>
      <c r="FL99" s="39"/>
      <c r="FM99" s="39"/>
      <c r="FN99" s="39"/>
      <c r="FO99" s="39"/>
      <c r="FP99" s="39"/>
      <c r="FQ99" s="39"/>
      <c r="FR99" s="39"/>
      <c r="FS99" s="39"/>
      <c r="FT99" s="39"/>
      <c r="FU99" s="39"/>
      <c r="FV99" s="39"/>
      <c r="FW99" s="39"/>
      <c r="FX99" s="39"/>
      <c r="FY99" s="39"/>
      <c r="FZ99" s="39"/>
      <c r="GA99" s="39"/>
      <c r="GB99" s="39"/>
      <c r="GC99" s="39"/>
      <c r="GD99" s="39"/>
      <c r="GE99" s="39"/>
      <c r="GF99" s="39"/>
      <c r="GG99" s="39"/>
      <c r="GH99" s="39"/>
      <c r="GI99" s="39"/>
      <c r="GJ99" s="39"/>
      <c r="GK99" s="39"/>
      <c r="GL99" s="39"/>
      <c r="GM99" s="39"/>
      <c r="GN99" s="39"/>
      <c r="GO99" s="39"/>
      <c r="GP99" s="39"/>
      <c r="GQ99" s="39"/>
      <c r="GR99" s="39"/>
      <c r="GS99" s="39"/>
      <c r="GT99" s="39"/>
      <c r="GU99" s="39"/>
      <c r="GV99" s="39"/>
      <c r="GW99" s="39"/>
      <c r="GX99" s="39"/>
      <c r="GY99" s="39"/>
      <c r="GZ99" s="39"/>
      <c r="HA99" s="39"/>
      <c r="HB99" s="39"/>
      <c r="HC99" s="39"/>
      <c r="HD99" s="39"/>
      <c r="HE99" s="39"/>
      <c r="HF99" s="39"/>
      <c r="HG99" s="39"/>
      <c r="HH99" s="39"/>
      <c r="HI99" s="39"/>
      <c r="HJ99" s="39"/>
      <c r="HK99" s="39"/>
      <c r="HL99" s="39"/>
      <c r="HM99" s="39"/>
      <c r="HN99" s="39"/>
      <c r="HO99" s="39"/>
      <c r="HP99" s="39"/>
      <c r="HQ99" s="39"/>
      <c r="HR99" s="39"/>
      <c r="HS99" s="39"/>
      <c r="HT99" s="39"/>
      <c r="HU99" s="39"/>
      <c r="HV99" s="39"/>
      <c r="HW99" s="39"/>
      <c r="HX99" s="39"/>
      <c r="HY99" s="39"/>
      <c r="HZ99" s="39"/>
      <c r="IA99" s="39"/>
      <c r="IB99" s="39"/>
      <c r="IC99" s="39"/>
      <c r="ID99" s="39"/>
      <c r="IE99" s="39"/>
      <c r="IF99" s="39"/>
      <c r="IG99" s="39"/>
      <c r="IH99" s="39"/>
      <c r="II99" s="39"/>
      <c r="IJ99" s="39"/>
      <c r="IK99" s="39"/>
      <c r="IL99" s="39"/>
      <c r="IM99" s="39"/>
      <c r="IN99" s="39"/>
      <c r="IO99" s="39"/>
      <c r="IP99" s="39"/>
      <c r="IQ99" s="39"/>
      <c r="IR99" s="39"/>
      <c r="IS99" s="39"/>
      <c r="IT99" s="39"/>
      <c r="IU99" s="39"/>
      <c r="IV99" s="39"/>
      <c r="IW99" s="39"/>
      <c r="IX99" s="39"/>
      <c r="IY99" s="39"/>
      <c r="IZ99" s="39"/>
    </row>
    <row r="100" spans="1:260" s="4" customFormat="1" outlineLevel="1" x14ac:dyDescent="0.2">
      <c r="A100" s="44" t="s">
        <v>29</v>
      </c>
      <c r="B100" s="42">
        <f>+'Income Statement'!B7</f>
        <v>441.91899999999998</v>
      </c>
      <c r="C100" s="42">
        <f>+'Income Statement'!C7</f>
        <v>562.98</v>
      </c>
      <c r="D100" s="42">
        <f>+'Income Statement'!D7</f>
        <v>808.476</v>
      </c>
      <c r="E100" s="620">
        <f>+'Income Statement'!E7</f>
        <v>1193.1590000000001</v>
      </c>
      <c r="F100" s="42">
        <f>+'Income Statement'!F7</f>
        <v>849.4</v>
      </c>
      <c r="G100" s="42">
        <f>+'Income Statement'!G7</f>
        <v>933.17200000000003</v>
      </c>
      <c r="H100" s="42">
        <f>+'Income Statement'!H7</f>
        <v>1349.8710000000001</v>
      </c>
      <c r="I100" s="620">
        <f>+'Income Statement'!I7</f>
        <v>1947.1110000000001</v>
      </c>
      <c r="J100" s="42">
        <f>+'Income Statement'!J7</f>
        <v>1274.6690000000001</v>
      </c>
      <c r="K100" s="42">
        <f>+'Income Statement'!K7</f>
        <v>1437.9110000000001</v>
      </c>
      <c r="L100" s="42">
        <f>+'Income Statement'!L7</f>
        <v>1929.277</v>
      </c>
      <c r="M100" s="620">
        <f>+'Income Statement'!M7</f>
        <v>2575.5639999999999</v>
      </c>
      <c r="N100" s="42">
        <f>+'Income Statement'!N7</f>
        <v>1637.184</v>
      </c>
      <c r="O100" s="42">
        <f>+'Income Statement'!O7</f>
        <v>1778.64</v>
      </c>
      <c r="P100" s="42">
        <f>+'Income Statement'!P7</f>
        <v>2007.3240000000001</v>
      </c>
      <c r="Q100" s="620">
        <f>+'Income Statement'!Q7</f>
        <v>2347.5349999999999</v>
      </c>
      <c r="R100" s="42">
        <f>+'Income Statement'!R7</f>
        <v>1606.5509999999999</v>
      </c>
      <c r="S100" s="42">
        <f>+'Income Statement'!S7</f>
        <v>1793.204</v>
      </c>
      <c r="T100" s="42">
        <f>+'Income Statement'!T7</f>
        <v>2106.3409999999999</v>
      </c>
      <c r="U100" s="620">
        <f>+'Income Statement'!U7</f>
        <v>2852.096</v>
      </c>
      <c r="V100" s="42">
        <f>+'Income Statement'!V7</f>
        <v>1938.383</v>
      </c>
      <c r="W100" s="42">
        <f>+'Income Statement'!W7</f>
        <v>2177.7660000000001</v>
      </c>
      <c r="X100" s="42">
        <f>+'Income Statement'!X7</f>
        <v>2492.4670000000001</v>
      </c>
      <c r="Y100" s="620">
        <f>+'Income Statement'!Y7</f>
        <v>3456.03</v>
      </c>
      <c r="Z100" s="42">
        <f>+'Income Statement'!Z7</f>
        <v>2385.431</v>
      </c>
      <c r="AA100" s="42">
        <f>+'Income Statement'!AA7</f>
        <v>2686.64</v>
      </c>
      <c r="AB100" s="42">
        <f>+'Income Statement'!AB7</f>
        <v>3107.337</v>
      </c>
      <c r="AC100" s="620">
        <f>+'Income Statement'!AC7</f>
        <v>4314.6149999999998</v>
      </c>
      <c r="AD100" s="42">
        <f>+'Income Statement'!AD7</f>
        <v>2963.7179999999998</v>
      </c>
      <c r="AE100" s="42">
        <f>+'Income Statement'!AE7</f>
        <v>3169.1709999999998</v>
      </c>
      <c r="AF100" s="42">
        <f>+'Income Statement'!AF7</f>
        <v>3732.08</v>
      </c>
      <c r="AG100" s="620">
        <f>+'Income Statement'!AG7</f>
        <v>5461.6</v>
      </c>
      <c r="AH100" s="42">
        <f>+'Income Statement'!AH7</f>
        <v>3697</v>
      </c>
      <c r="AI100" s="42">
        <f>+'Income Statement'!AI7</f>
        <v>4164</v>
      </c>
      <c r="AJ100" s="42">
        <f>+'Income Statement'!AJ7</f>
        <v>4756</v>
      </c>
      <c r="AK100" s="620">
        <f>+'Income Statement'!AK7</f>
        <v>6980</v>
      </c>
      <c r="AL100" s="42">
        <f>+'Income Statement'!AL7</f>
        <v>4202</v>
      </c>
      <c r="AM100" s="42">
        <f>+'Income Statement'!AM7</f>
        <v>4624</v>
      </c>
      <c r="AN100" s="42">
        <f>+'Income Statement'!AN7</f>
        <v>5131</v>
      </c>
      <c r="AO100" s="620">
        <f>+'Income Statement'!AO7</f>
        <v>6989</v>
      </c>
      <c r="AP100" s="42">
        <f>+'Income Statement'!AP7</f>
        <v>4668</v>
      </c>
      <c r="AQ100" s="42">
        <f>+'Income Statement'!AQ7</f>
        <v>5396</v>
      </c>
      <c r="AR100" s="42">
        <f>+'Income Statement'!AR7</f>
        <v>6032</v>
      </c>
      <c r="AS100" s="620">
        <f>+'Income Statement'!AS7</f>
        <v>8449</v>
      </c>
      <c r="AT100" s="42">
        <f>+'Income Statement'!AT7</f>
        <v>5479</v>
      </c>
      <c r="AU100" s="42">
        <f>+'Income Statement'!AU7</f>
        <v>6080</v>
      </c>
      <c r="AV100" s="42">
        <f>+'Income Statement'!AV7</f>
        <v>6647</v>
      </c>
      <c r="AW100" s="620">
        <f>+'Income Statement'!AW7</f>
        <v>9227</v>
      </c>
      <c r="AX100" s="42">
        <f>+'Income Statement'!AX7</f>
        <v>6118</v>
      </c>
      <c r="AY100" s="42">
        <f>+'Income Statement'!AY7</f>
        <v>6702</v>
      </c>
      <c r="AZ100" s="42">
        <f>+'Income Statement'!AZ7</f>
        <v>7335</v>
      </c>
      <c r="BA100" s="620">
        <f>+'Income Statement'!BA7</f>
        <v>10693</v>
      </c>
      <c r="BB100" s="42">
        <f>+'Income Statement'!BB7</f>
        <v>6959</v>
      </c>
      <c r="BC100" s="42">
        <f>+'Income Statement'!BC7</f>
        <v>7603</v>
      </c>
      <c r="BD100" s="42">
        <f>+'Income Statement'!BD7</f>
        <v>8473</v>
      </c>
      <c r="BE100" s="620">
        <f>+'Income Statement'!BE7</f>
        <v>12899</v>
      </c>
      <c r="BF100" s="42">
        <f>+'Income Statement'!BF7</f>
        <v>7927</v>
      </c>
      <c r="BG100" s="42">
        <f>+'Income Statement'!BG7</f>
        <v>8750</v>
      </c>
      <c r="BH100" s="42">
        <f>+'Income Statement'!BH7</f>
        <v>9928</v>
      </c>
      <c r="BI100" s="620">
        <f>+'Income Statement'!BI7</f>
        <v>13418</v>
      </c>
      <c r="BJ100" s="42">
        <f>+'Income Statement'!BJ7</f>
        <v>8990</v>
      </c>
      <c r="BK100" s="42">
        <f>+'Income Statement'!BK7</f>
        <v>9801</v>
      </c>
      <c r="BL100" s="42">
        <f>+'Income Statement'!BL7</f>
        <v>11500</v>
      </c>
      <c r="BM100" s="620">
        <f>+'Income Statement'!BM7</f>
        <v>14724</v>
      </c>
      <c r="BN100" s="42">
        <f>+'Income Statement'!BN7</f>
        <v>10095</v>
      </c>
      <c r="BO100" s="42">
        <f>+'Income Statement'!BO7</f>
        <v>11022</v>
      </c>
      <c r="BP100" s="42">
        <f>+'Income Statement'!BP7</f>
        <v>12024</v>
      </c>
      <c r="BQ100" s="620">
        <f>+'Income Statement'!BQ7</f>
        <v>16553</v>
      </c>
      <c r="BR100" s="42">
        <f>+'Income Statement'!BR7</f>
        <v>10787</v>
      </c>
      <c r="BS100" s="42">
        <f>+'Income Statement'!BS7</f>
        <v>11339</v>
      </c>
      <c r="BT100" s="42">
        <f>+'Income Statement'!BT7</f>
        <v>11890</v>
      </c>
      <c r="BU100" s="620">
        <f>+'Income Statement'!BU7</f>
        <v>16256</v>
      </c>
      <c r="BV100" s="42">
        <f>+'Income Statement'!BV7</f>
        <v>10940</v>
      </c>
      <c r="BW100" s="42">
        <f>+'Income Statement'!BW7</f>
        <v>11347</v>
      </c>
      <c r="BX100" s="42">
        <f>+'Income Statement'!BX7</f>
        <v>12099</v>
      </c>
      <c r="BY100" s="620">
        <f>+'Income Statement'!BY7</f>
        <v>16630</v>
      </c>
      <c r="BZ100" s="42">
        <f>+'Income Statement'!CH7</f>
        <v>11610</v>
      </c>
      <c r="CA100" s="42">
        <f>+'Income Statement'!CI7</f>
        <v>10547</v>
      </c>
      <c r="CB100" s="42">
        <f>+'Income Statement'!CJ7</f>
        <v>10753</v>
      </c>
      <c r="CC100" s="620">
        <f>+'Income Statement'!CK7</f>
        <v>16711</v>
      </c>
      <c r="CD100" s="141">
        <f>+'Income Statement'!CP7</f>
        <v>8928</v>
      </c>
      <c r="CE100" s="141">
        <f>+'Income Statement'!CQ7</f>
        <v>8734</v>
      </c>
      <c r="CF100" s="141">
        <f>+'Income Statement'!CR7</f>
        <v>8924</v>
      </c>
      <c r="CG100" s="631">
        <f>+'Income Statement'!CS7</f>
        <v>14025</v>
      </c>
      <c r="CH100" s="141">
        <f>+'Income Statement'!CT7</f>
        <v>8639</v>
      </c>
      <c r="CI100" s="141">
        <f>+'Income Statement'!CU7</f>
        <v>8459</v>
      </c>
      <c r="CJ100" s="141">
        <f>+'Income Statement'!CV7</f>
        <v>9032</v>
      </c>
      <c r="CK100" s="631">
        <f>+'Income Statement'!CW7</f>
        <v>14209</v>
      </c>
      <c r="CL100" s="196">
        <f>+'Income Statement'!CX7</f>
        <v>8558</v>
      </c>
      <c r="CM100" s="196">
        <f>+'Income Statement'!CY7</f>
        <v>8528</v>
      </c>
      <c r="CN100" s="196">
        <f>+'Income Statement'!CZ7</f>
        <v>8819</v>
      </c>
      <c r="CO100" s="631">
        <f>+'Income Statement'!DA7</f>
        <v>13623</v>
      </c>
      <c r="CP100" s="196">
        <f>+'Income Statement'!DB7</f>
        <v>8443</v>
      </c>
      <c r="CQ100" s="196">
        <f>+'Income Statement'!DC7</f>
        <v>8533</v>
      </c>
      <c r="CR100" s="196">
        <f>+'Income Statement'!DD7</f>
        <v>8945</v>
      </c>
      <c r="CS100" s="631">
        <f>+'Income Statement'!DE7</f>
        <v>13482</v>
      </c>
      <c r="CT100" s="196">
        <f>+'Income Statement'!DF7</f>
        <v>8528</v>
      </c>
      <c r="CU100" s="196">
        <f>+'Income Statement'!DG7</f>
        <v>8940</v>
      </c>
      <c r="CV100" s="196">
        <f>+'Income Statement'!DH7</f>
        <v>9320</v>
      </c>
      <c r="CW100" s="631">
        <f>+'Income Statement'!DI7</f>
        <v>15363</v>
      </c>
      <c r="CX100" s="1718">
        <f>+'Income Statement'!DJ7</f>
        <v>8711.2301459186638</v>
      </c>
      <c r="CY100" s="196">
        <f>+'Income Statement'!DK7</f>
        <v>8988.9687197025032</v>
      </c>
      <c r="CZ100" s="196">
        <f>+'Income Statement'!DL7</f>
        <v>9397.9518577439158</v>
      </c>
      <c r="DA100" s="631">
        <f>+'Income Statement'!DM7</f>
        <v>15216.8565322838</v>
      </c>
      <c r="DB100" s="688"/>
      <c r="DC100" s="628"/>
      <c r="DD100" s="44">
        <f>+'Income Statement'!DP7</f>
        <v>113.134</v>
      </c>
      <c r="DE100" s="44">
        <f>+'Income Statement'!DQ7</f>
        <v>239.49600000000001</v>
      </c>
      <c r="DF100" s="44">
        <f>+'Income Statement'!DR7</f>
        <v>439.04</v>
      </c>
      <c r="DG100" s="44">
        <f>+'Income Statement'!DS7</f>
        <v>506.67399999999998</v>
      </c>
      <c r="DH100" s="44">
        <f>+'Income Statement'!DT7</f>
        <v>512.85</v>
      </c>
      <c r="DI100" s="44">
        <f>+'Income Statement'!DU7</f>
        <v>664.82299999999998</v>
      </c>
      <c r="DJ100" s="44">
        <f>+'Income Statement'!DV7</f>
        <v>929.69200000000001</v>
      </c>
      <c r="DK100" s="44">
        <f>+'Income Statement'!DW7</f>
        <v>1619.9780000000001</v>
      </c>
      <c r="DL100" s="42">
        <f>+'Income Statement'!DX7</f>
        <v>3006.5340000000001</v>
      </c>
      <c r="DM100" s="42">
        <f>+'Income Statement'!DY7</f>
        <v>5079.5540000000001</v>
      </c>
      <c r="DN100" s="42">
        <f>+'Income Statement'!DZ7</f>
        <v>7217.4210000000003</v>
      </c>
      <c r="DO100" s="42">
        <f>+'Income Statement'!EA7</f>
        <v>7770.683</v>
      </c>
      <c r="DP100" s="42">
        <f>+'Income Statement'!EB7</f>
        <v>8358.1919999999991</v>
      </c>
      <c r="DQ100" s="42">
        <f>+'Income Statement'!EC7</f>
        <v>10064.646000000001</v>
      </c>
      <c r="DR100" s="42">
        <f>+'Income Statement'!ED7</f>
        <v>12494.022999999999</v>
      </c>
      <c r="DS100" s="42">
        <f>+'Income Statement'!EE7</f>
        <v>15326.569</v>
      </c>
      <c r="DT100" s="42">
        <f>+'Income Statement'!EF7</f>
        <v>19597</v>
      </c>
      <c r="DU100" s="42">
        <f>+'Income Statement'!EG7</f>
        <v>20946</v>
      </c>
      <c r="DV100" s="42">
        <f>+'Income Statement'!EH7</f>
        <v>24545</v>
      </c>
      <c r="DW100" s="42">
        <f>+'Income Statement'!EI7</f>
        <v>27433</v>
      </c>
      <c r="DX100" s="42">
        <f>+'Income Statement'!EJ7</f>
        <v>30848</v>
      </c>
      <c r="DY100" s="42">
        <f>+'Income Statement'!EK7</f>
        <v>35934</v>
      </c>
      <c r="DZ100" s="42">
        <f>+'Income Statement'!EL7</f>
        <v>40023</v>
      </c>
      <c r="EA100" s="42">
        <f>+'Income Statement'!EM7</f>
        <v>45015</v>
      </c>
      <c r="EB100" s="42">
        <f>+'Income Statement'!EN7</f>
        <v>49694</v>
      </c>
      <c r="EC100" s="42">
        <f>+'Income Statement'!EO7</f>
        <v>50272</v>
      </c>
      <c r="ED100" s="42">
        <f>+'Income Statement'!EP7</f>
        <v>51016</v>
      </c>
      <c r="EE100" s="42">
        <f t="shared" ref="EE100:EF105" si="428">EC100</f>
        <v>50272</v>
      </c>
      <c r="EF100" s="42">
        <f t="shared" si="428"/>
        <v>51016</v>
      </c>
      <c r="EG100" s="42">
        <f>+'Income Statement'!ES7</f>
        <v>49621</v>
      </c>
      <c r="EH100" s="42">
        <f>+'Income Statement'!EU7</f>
        <v>40611</v>
      </c>
      <c r="EI100" s="42">
        <f>+'Income Statement'!EV7</f>
        <v>40339</v>
      </c>
      <c r="EJ100" s="42">
        <f>+'Income Statement'!EW7</f>
        <v>39528</v>
      </c>
      <c r="EK100" s="141">
        <f>+'Income Statement'!EX7</f>
        <v>39403</v>
      </c>
      <c r="EL100" s="141">
        <f>+'Income Statement'!EY7</f>
        <v>42151</v>
      </c>
      <c r="EM100" s="1717">
        <f>+'Income Statement'!EZ7</f>
        <v>42315.007255648889</v>
      </c>
      <c r="EN100" s="42">
        <f>+'Income Statement'!FA7</f>
        <v>42741.505738567968</v>
      </c>
      <c r="EO100" s="42">
        <f>+'Income Statement'!FB7</f>
        <v>43166.084012970176</v>
      </c>
      <c r="EP100" s="42">
        <f>+'Income Statement'!FC7</f>
        <v>43542.078949888339</v>
      </c>
      <c r="EQ100" s="42">
        <f>+'Income Statement'!FD7</f>
        <v>44094.716422977304</v>
      </c>
      <c r="ER100" s="42">
        <f>+'Income Statement'!FE7</f>
        <v>44669.094188004266</v>
      </c>
      <c r="ES100" s="42">
        <f>+'Income Statement'!FF7</f>
        <v>45266.289294580514</v>
      </c>
      <c r="ET100" s="42">
        <f>+'Income Statement'!FG7</f>
        <v>45887.432566183001</v>
      </c>
      <c r="EU100" s="42">
        <f>+'Income Statement'!FH7</f>
        <v>46533.711289341292</v>
      </c>
      <c r="EV100" s="1375"/>
      <c r="EW100"/>
      <c r="EX100"/>
      <c r="EY100"/>
      <c r="EZ100"/>
      <c r="FA100"/>
      <c r="FB100"/>
      <c r="FG100" s="196"/>
      <c r="FH100" s="196"/>
      <c r="FI100" s="196"/>
      <c r="FJ100" s="196"/>
      <c r="FK10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row>
    <row r="101" spans="1:260" s="4" customFormat="1" outlineLevel="1" x14ac:dyDescent="0.2">
      <c r="A101" s="42" t="s">
        <v>30</v>
      </c>
      <c r="B101" s="42">
        <f>+'Income Statement'!B8</f>
        <v>367.44299999999998</v>
      </c>
      <c r="C101" s="42">
        <f>+'Income Statement'!C8</f>
        <v>468.78199999999998</v>
      </c>
      <c r="D101" s="42">
        <f>+'Income Statement'!D8</f>
        <v>687.36800000000005</v>
      </c>
      <c r="E101" s="620">
        <f>+'Income Statement'!E8</f>
        <v>1026.0160000000001</v>
      </c>
      <c r="F101" s="42">
        <f>+'Income Statement'!F8</f>
        <v>730.4</v>
      </c>
      <c r="G101" s="42">
        <f>+'Income Statement'!G8</f>
        <v>800.98800000000006</v>
      </c>
      <c r="H101" s="42">
        <f>+'Income Statement'!H8</f>
        <v>1166.162</v>
      </c>
      <c r="I101" s="620">
        <f>+'Income Statement'!I8</f>
        <v>1691.5630000000001</v>
      </c>
      <c r="J101" s="42">
        <f>+'Income Statement'!J8</f>
        <v>1092.4079999999999</v>
      </c>
      <c r="K101" s="42">
        <f>+'Income Statement'!K8</f>
        <v>1241.29</v>
      </c>
      <c r="L101" s="42">
        <f>+'Income Statement'!L8</f>
        <v>1686.394</v>
      </c>
      <c r="M101" s="620">
        <f>+'Income Statement'!M8</f>
        <v>2260.7849999999999</v>
      </c>
      <c r="N101" s="42">
        <f>+'Income Statement'!N8</f>
        <v>1404.5340000000001</v>
      </c>
      <c r="O101" s="42">
        <f>+'Income Statement'!O8</f>
        <v>1526.9739999999999</v>
      </c>
      <c r="P101" s="42">
        <f>+'Income Statement'!P8</f>
        <v>1758.556</v>
      </c>
      <c r="Q101" s="620">
        <f>+'Income Statement'!Q8</f>
        <v>2021.7380000000001</v>
      </c>
      <c r="R101" s="42">
        <f>+'Income Statement'!R8</f>
        <v>1358.6679999999999</v>
      </c>
      <c r="S101" s="42">
        <f>+'Income Statement'!S8</f>
        <v>1504.296</v>
      </c>
      <c r="T101" s="42">
        <f>+'Income Statement'!T8</f>
        <v>1768.471</v>
      </c>
      <c r="U101" s="620">
        <f>+'Income Statement'!U8</f>
        <v>2394.6390000000001</v>
      </c>
      <c r="V101" s="42">
        <f>+'Income Statement'!V8</f>
        <v>1589.4449999999999</v>
      </c>
      <c r="W101" s="42">
        <f>+'Income Statement'!W8</f>
        <v>1771.7750000000001</v>
      </c>
      <c r="X101" s="42">
        <f>+'Income Statement'!X8</f>
        <v>2048.252</v>
      </c>
      <c r="Y101" s="620">
        <f>+'Income Statement'!Y8</f>
        <v>2840.6509999999998</v>
      </c>
      <c r="Z101" s="42">
        <f>+'Income Statement'!Z8</f>
        <v>1923.4290000000001</v>
      </c>
      <c r="AA101" s="42">
        <f>+'Income Statement'!AA8</f>
        <v>2156.12</v>
      </c>
      <c r="AB101" s="42">
        <f>+'Income Statement'!AB8</f>
        <v>2516.9699999999998</v>
      </c>
      <c r="AC101" s="620">
        <f>+'Income Statement'!AC8</f>
        <v>3504.0749999999998</v>
      </c>
      <c r="AD101" s="42">
        <f>+'Income Statement'!AD8</f>
        <v>2358.125</v>
      </c>
      <c r="AE101" s="42">
        <f>+'Income Statement'!AE8</f>
        <v>2520.4259999999999</v>
      </c>
      <c r="AF101" s="42">
        <f>+'Income Statement'!AF8</f>
        <v>3043.0390000000002</v>
      </c>
      <c r="AG101" s="620">
        <f>+'Income Statement'!AG8</f>
        <v>4345.6000000000004</v>
      </c>
      <c r="AH101" s="42">
        <f>+'Income Statement'!AH8</f>
        <v>2851</v>
      </c>
      <c r="AI101" s="42">
        <f>+'Income Statement'!AI8</f>
        <v>3216</v>
      </c>
      <c r="AJ101" s="42">
        <f>+'Income Statement'!AJ8</f>
        <v>3728</v>
      </c>
      <c r="AK101" s="620">
        <f>+'Income Statement'!AK8</f>
        <v>5372</v>
      </c>
      <c r="AL101" s="42">
        <f>+'Income Statement'!AL8</f>
        <v>3122</v>
      </c>
      <c r="AM101" s="42">
        <f>+'Income Statement'!AM8</f>
        <v>3471</v>
      </c>
      <c r="AN101" s="42">
        <f>+'Income Statement'!AN8</f>
        <v>3881</v>
      </c>
      <c r="AO101" s="620">
        <f>+'Income Statement'!AO8</f>
        <v>5236</v>
      </c>
      <c r="AP101" s="42">
        <f>+'Income Statement'!AP8</f>
        <v>3483</v>
      </c>
      <c r="AQ101" s="42">
        <f>+'Income Statement'!AQ8</f>
        <v>4024</v>
      </c>
      <c r="AR101" s="42">
        <f>+'Income Statement'!AR8</f>
        <v>4546</v>
      </c>
      <c r="AS101" s="620">
        <f>+'Income Statement'!AS8</f>
        <v>6400</v>
      </c>
      <c r="AT101" s="42">
        <f>+'Income Statement'!AT8</f>
        <v>4168</v>
      </c>
      <c r="AU101" s="42">
        <f>+'Income Statement'!AU8</f>
        <v>4610</v>
      </c>
      <c r="AV101" s="42">
        <f>+'Income Statement'!AV8</f>
        <v>5104</v>
      </c>
      <c r="AW101" s="620">
        <f>+'Income Statement'!AW8</f>
        <v>7056</v>
      </c>
      <c r="AX101" s="42">
        <f>+'Income Statement'!AX8</f>
        <v>4560</v>
      </c>
      <c r="AY101" s="42">
        <f>+'Income Statement'!AY8</f>
        <v>4991</v>
      </c>
      <c r="AZ101" s="42">
        <f>+'Income Statement'!AZ8</f>
        <v>5547</v>
      </c>
      <c r="BA101" s="620">
        <f>+'Income Statement'!BA8</f>
        <v>8024</v>
      </c>
      <c r="BB101" s="42">
        <f>+'Income Statement'!BB8</f>
        <v>5194</v>
      </c>
      <c r="BC101" s="42">
        <f>+'Income Statement'!BC8</f>
        <v>5701</v>
      </c>
      <c r="BD101" s="42">
        <f>+'Income Statement'!BD8</f>
        <v>6478</v>
      </c>
      <c r="BE101" s="620">
        <f>+'Income Statement'!BE8</f>
        <v>9792</v>
      </c>
      <c r="BF101" s="42">
        <f>+'Income Statement'!BF8</f>
        <v>6035</v>
      </c>
      <c r="BG101" s="42">
        <f>+'Income Statement'!BG8</f>
        <v>6611</v>
      </c>
      <c r="BH101" s="42">
        <f>+'Income Statement'!BH8</f>
        <v>7591</v>
      </c>
      <c r="BI101" s="620">
        <f>+'Income Statement'!BI8</f>
        <v>10240</v>
      </c>
      <c r="BJ101" s="42">
        <f>+'Income Statement'!BJ8</f>
        <v>6857</v>
      </c>
      <c r="BK101" s="42">
        <f>+'Income Statement'!BK8</f>
        <v>7420</v>
      </c>
      <c r="BL101" s="42">
        <f>+'Income Statement'!BL8</f>
        <v>8639</v>
      </c>
      <c r="BM101" s="620">
        <f>+'Income Statement'!BM8</f>
        <v>11101</v>
      </c>
      <c r="BN101" s="42">
        <f>+'Income Statement'!BN8</f>
        <v>7538</v>
      </c>
      <c r="BO101" s="42">
        <f>+'Income Statement'!BO8</f>
        <v>8338</v>
      </c>
      <c r="BP101" s="42">
        <f>+'Income Statement'!BP8</f>
        <v>9082</v>
      </c>
      <c r="BQ101" s="620">
        <f>+'Income Statement'!BQ8</f>
        <v>12576</v>
      </c>
      <c r="BR101" s="42">
        <f>+'Income Statement'!BR8</f>
        <v>7994</v>
      </c>
      <c r="BS101" s="42">
        <f>+'Income Statement'!BS8</f>
        <v>8421</v>
      </c>
      <c r="BT101" s="42">
        <f>+'Income Statement'!BT8</f>
        <v>8907</v>
      </c>
      <c r="BU101" s="620">
        <f>+'Income Statement'!BU8</f>
        <v>12289</v>
      </c>
      <c r="BV101" s="42">
        <f>+'Income Statement'!BV8</f>
        <v>8172</v>
      </c>
      <c r="BW101" s="42">
        <f>+'Income Statement'!BW8</f>
        <v>8475</v>
      </c>
      <c r="BX101" s="42">
        <f>+'Income Statement'!BX8</f>
        <v>9155</v>
      </c>
      <c r="BY101" s="620">
        <f>+'Income Statement'!BY8</f>
        <v>12554</v>
      </c>
      <c r="BZ101" s="42">
        <f>+'Income Statement'!CH8</f>
        <v>8703</v>
      </c>
      <c r="CA101" s="42">
        <f>+'Income Statement'!CI8</f>
        <v>7983</v>
      </c>
      <c r="CB101" s="42">
        <f>+'Income Statement'!CJ8</f>
        <v>8167</v>
      </c>
      <c r="CC101" s="620">
        <f>+'Income Statement'!CK8</f>
        <v>12929</v>
      </c>
      <c r="CD101" s="141">
        <f>+'Income Statement'!CP8</f>
        <v>6823</v>
      </c>
      <c r="CE101" s="141">
        <f>+'Income Statement'!CQ8</f>
        <v>6625</v>
      </c>
      <c r="CF101" s="141">
        <f>+'Income Statement'!CR8</f>
        <v>6831</v>
      </c>
      <c r="CG101" s="631">
        <f>+'Income Statement'!CS8</f>
        <v>11197</v>
      </c>
      <c r="CH101" s="141">
        <f>+'Income Statement'!CT8</f>
        <v>6672</v>
      </c>
      <c r="CI101" s="141">
        <f>+'Income Statement'!CU8</f>
        <v>6481</v>
      </c>
      <c r="CJ101" s="141">
        <f>+'Income Statement'!CV8</f>
        <v>6956</v>
      </c>
      <c r="CK101" s="631">
        <f>+'Income Statement'!CW8</f>
        <v>11183</v>
      </c>
      <c r="CL101" s="196">
        <f>+'Income Statement'!CX8</f>
        <v>6598</v>
      </c>
      <c r="CM101" s="196">
        <f>+'Income Statement'!CY8</f>
        <v>6443</v>
      </c>
      <c r="CN101" s="196">
        <f>+'Income Statement'!CZ8</f>
        <v>6708</v>
      </c>
      <c r="CO101" s="631">
        <f>+'Income Statement'!DA8</f>
        <v>10675</v>
      </c>
      <c r="CP101" s="196">
        <f>+'Income Statement'!DB8</f>
        <v>6481</v>
      </c>
      <c r="CQ101" s="196">
        <f>+'Income Statement'!DC8</f>
        <v>6471</v>
      </c>
      <c r="CR101" s="196">
        <f>+'Income Statement'!DD8</f>
        <v>6742</v>
      </c>
      <c r="CS101" s="631">
        <f>+'Income Statement'!DE8</f>
        <v>10452</v>
      </c>
      <c r="CT101" s="196">
        <f>+'Income Statement'!DF8</f>
        <v>6506</v>
      </c>
      <c r="CU101" s="196">
        <f>+'Income Statement'!DG8</f>
        <v>6787</v>
      </c>
      <c r="CV101" s="196">
        <f>+'Income Statement'!DH8</f>
        <v>7040</v>
      </c>
      <c r="CW101" s="631">
        <f>+'Income Statement'!DI8</f>
        <v>11942</v>
      </c>
      <c r="CX101" s="1718">
        <f>+'Income Statement'!DJ8</f>
        <v>6665.9725182131442</v>
      </c>
      <c r="CY101" s="196">
        <f>+'Income Statement'!DK8</f>
        <v>6836.5894318525461</v>
      </c>
      <c r="CZ101" s="196">
        <f>+'Income Statement'!DL8</f>
        <v>7106.9879507389142</v>
      </c>
      <c r="DA101" s="631">
        <f>+'Income Statement'!DM8</f>
        <v>11821.938353850655</v>
      </c>
      <c r="DB101" s="688"/>
      <c r="DC101" s="628"/>
      <c r="DD101" s="42">
        <f>+'Income Statement'!DP8</f>
        <v>84.564990000000009</v>
      </c>
      <c r="DE101" s="42">
        <f>+'Income Statement'!DQ8</f>
        <v>179.26400000000001</v>
      </c>
      <c r="DF101" s="42">
        <f>+'Income Statement'!DR8</f>
        <v>334.5068</v>
      </c>
      <c r="DG101" s="42">
        <f>+'Income Statement'!DS8</f>
        <v>390.62190000000004</v>
      </c>
      <c r="DH101" s="42">
        <f>+'Income Statement'!DT8</f>
        <v>392.50900000000001</v>
      </c>
      <c r="DI101" s="42">
        <f>+'Income Statement'!DU8</f>
        <v>523.16600000000005</v>
      </c>
      <c r="DJ101" s="42">
        <f>+'Income Statement'!DV8</f>
        <v>748.63</v>
      </c>
      <c r="DK101" s="42">
        <f>+'Income Statement'!DW8</f>
        <v>1335.944</v>
      </c>
      <c r="DL101" s="42">
        <f>+'Income Statement'!DX8</f>
        <v>2549.6089999999999</v>
      </c>
      <c r="DM101" s="42">
        <f>+'Income Statement'!DY8</f>
        <v>4389.1130000000003</v>
      </c>
      <c r="DN101" s="42">
        <f>+'Income Statement'!DZ8</f>
        <v>6280.8769999999995</v>
      </c>
      <c r="DO101" s="42">
        <f>+'Income Statement'!EA8</f>
        <v>6711.8020000000006</v>
      </c>
      <c r="DP101" s="42">
        <f>+'Income Statement'!EB8</f>
        <v>7026.0739999999996</v>
      </c>
      <c r="DQ101" s="42">
        <f>+'Income Statement'!EC8</f>
        <v>8250.1229999999996</v>
      </c>
      <c r="DR101" s="42">
        <f>+'Income Statement'!ED8</f>
        <v>10100.594000000001</v>
      </c>
      <c r="DS101" s="42">
        <f>+'Income Statement'!EE8</f>
        <v>12267.19</v>
      </c>
      <c r="DT101" s="42">
        <f>+'Income Statement'!EF8</f>
        <v>15167</v>
      </c>
      <c r="DU101" s="42">
        <f>+'Income Statement'!EG8</f>
        <v>15710</v>
      </c>
      <c r="DV101" s="42">
        <f>+'Income Statement'!EH8</f>
        <v>18453</v>
      </c>
      <c r="DW101" s="42">
        <f>+'Income Statement'!EI8</f>
        <v>20938</v>
      </c>
      <c r="DX101" s="42">
        <f>+'Income Statement'!EJ8</f>
        <v>23122</v>
      </c>
      <c r="DY101" s="42">
        <f>+'Income Statement'!EK8</f>
        <v>27165</v>
      </c>
      <c r="DZ101" s="42">
        <f>+'Income Statement'!EL8</f>
        <v>30477</v>
      </c>
      <c r="EA101" s="42">
        <f>+'Income Statement'!EM8</f>
        <v>34017</v>
      </c>
      <c r="EB101" s="42">
        <f>+'Income Statement'!EN8</f>
        <v>37534</v>
      </c>
      <c r="EC101" s="42">
        <f>+'Income Statement'!EO8</f>
        <v>37611</v>
      </c>
      <c r="ED101" s="42">
        <f>+'Income Statement'!EP8</f>
        <v>38356</v>
      </c>
      <c r="EE101" s="42">
        <f t="shared" si="428"/>
        <v>37611</v>
      </c>
      <c r="EF101" s="42">
        <f t="shared" si="428"/>
        <v>38356</v>
      </c>
      <c r="EG101" s="42">
        <f>+'Income Statement'!ES8</f>
        <v>37782</v>
      </c>
      <c r="EH101" s="42">
        <f>+'Income Statement'!EU8</f>
        <v>31476</v>
      </c>
      <c r="EI101" s="42">
        <f>+'Income Statement'!EV8</f>
        <v>31292</v>
      </c>
      <c r="EJ101" s="42">
        <f>+'Income Statement'!EW8</f>
        <v>30424</v>
      </c>
      <c r="EK101" s="141">
        <f>+'Income Statement'!EX8</f>
        <v>30146</v>
      </c>
      <c r="EL101" s="141">
        <f>+'Income Statement'!EY8</f>
        <v>32275</v>
      </c>
      <c r="EM101" s="1717">
        <f>+'Income Statement'!EZ8</f>
        <v>32431.488254655258</v>
      </c>
      <c r="EN101" s="42">
        <f>+'Income Statement'!FA8</f>
        <v>32781.722800693969</v>
      </c>
      <c r="EO101" s="42">
        <f>+'Income Statement'!FB8</f>
        <v>33095.509833496646</v>
      </c>
      <c r="EP101" s="42">
        <f>+'Income Statement'!FC8</f>
        <v>33403.656351321821</v>
      </c>
      <c r="EQ101" s="42">
        <f>+'Income Statement'!FD8</f>
        <v>33847.727292457756</v>
      </c>
      <c r="ER101" s="42">
        <f>+'Income Statement'!FE8</f>
        <v>34309.038215930894</v>
      </c>
      <c r="ES101" s="42">
        <f>+'Income Statement'!FF8</f>
        <v>34788.449365392044</v>
      </c>
      <c r="ET101" s="42">
        <f>+'Income Statement'!FG8</f>
        <v>35286.86448504361</v>
      </c>
      <c r="EU101" s="42">
        <f>+'Income Statement'!FH8</f>
        <v>35805.233023138775</v>
      </c>
      <c r="EV101" s="1375"/>
      <c r="EW101"/>
      <c r="EX101"/>
      <c r="EY101"/>
      <c r="EZ101"/>
      <c r="FA101"/>
      <c r="FB101"/>
      <c r="FG101" s="196"/>
      <c r="FH101" s="196"/>
      <c r="FI101" s="196"/>
      <c r="FJ101" s="196"/>
      <c r="FK101"/>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row>
    <row r="102" spans="1:260" s="4" customFormat="1" outlineLevel="1" x14ac:dyDescent="0.2">
      <c r="A102" s="42" t="s">
        <v>16</v>
      </c>
      <c r="B102" s="42">
        <f>+'Income Statement'!B16</f>
        <v>70.802000000000007</v>
      </c>
      <c r="C102" s="42">
        <f>+'Income Statement'!C16</f>
        <v>81.108000000000004</v>
      </c>
      <c r="D102" s="42">
        <f>+'Income Statement'!D16</f>
        <v>100.259</v>
      </c>
      <c r="E102" s="620">
        <f>+'Income Statement'!E16</f>
        <v>127.578</v>
      </c>
      <c r="F102" s="42">
        <f>+'Income Statement'!F16</f>
        <v>107.3</v>
      </c>
      <c r="G102" s="42">
        <f>+'Income Statement'!G16</f>
        <v>114.52500000000001</v>
      </c>
      <c r="H102" s="42">
        <f>+'Income Statement'!H16</f>
        <v>145.696</v>
      </c>
      <c r="I102" s="620">
        <f>+'Income Statement'!I16</f>
        <v>200.97900000000001</v>
      </c>
      <c r="J102" s="42">
        <f>+'Income Statement'!J16</f>
        <v>165.92500000000001</v>
      </c>
      <c r="K102" s="42">
        <f>+'Income Statement'!K16</f>
        <v>177.41800000000001</v>
      </c>
      <c r="L102" s="42">
        <f>+'Income Statement'!L16</f>
        <v>200.29499999999999</v>
      </c>
      <c r="M102" s="620">
        <f>+'Income Statement'!M16</f>
        <v>270.35000000000002</v>
      </c>
      <c r="N102" s="42">
        <f>+'Income Statement'!N16</f>
        <v>219.69800000000001</v>
      </c>
      <c r="O102" s="42">
        <f>+'Income Statement'!O16</f>
        <v>231.982</v>
      </c>
      <c r="P102" s="42">
        <f>+'Income Statement'!P16</f>
        <v>251.87799999999999</v>
      </c>
      <c r="Q102" s="620">
        <f>+'Income Statement'!Q16</f>
        <v>302.11700000000002</v>
      </c>
      <c r="R102" s="42">
        <f>+'Income Statement'!R16</f>
        <v>242.667</v>
      </c>
      <c r="S102" s="42">
        <f>+'Income Statement'!S16</f>
        <v>268.98200000000003</v>
      </c>
      <c r="T102" s="42">
        <f>+'Income Statement'!T16</f>
        <v>284.971</v>
      </c>
      <c r="U102" s="620">
        <f>+'Income Statement'!U16</f>
        <v>348.66</v>
      </c>
      <c r="V102" s="42">
        <f>+'Income Statement'!V16</f>
        <v>326.154</v>
      </c>
      <c r="W102" s="42">
        <f>+'Income Statement'!W16</f>
        <v>337.55399999999997</v>
      </c>
      <c r="X102" s="42">
        <f>+'Income Statement'!X16</f>
        <v>353.98500000000001</v>
      </c>
      <c r="Y102" s="620">
        <f>+'Income Statement'!Y16</f>
        <v>445.58800000000002</v>
      </c>
      <c r="Z102" s="42">
        <f>+'Income Statement'!Z16</f>
        <v>390.30099999999999</v>
      </c>
      <c r="AA102" s="42">
        <f>+'Income Statement'!AA16</f>
        <v>440.91399999999999</v>
      </c>
      <c r="AB102" s="42">
        <f>+'Income Statement'!AB16</f>
        <v>467.779</v>
      </c>
      <c r="AC102" s="620">
        <f>+'Income Statement'!AC16</f>
        <v>555.17600000000004</v>
      </c>
      <c r="AD102" s="42">
        <f>+'Income Statement'!AD16</f>
        <v>497.07499999999999</v>
      </c>
      <c r="AE102" s="42">
        <f>+'Income Statement'!AE16</f>
        <v>533.39499999999998</v>
      </c>
      <c r="AF102" s="42">
        <f>+'Income Statement'!AF16</f>
        <v>604.02800000000002</v>
      </c>
      <c r="AG102" s="620">
        <f>+'Income Statement'!AG16</f>
        <v>820.3</v>
      </c>
      <c r="AH102" s="42">
        <f>+'Income Statement'!AH16</f>
        <v>756</v>
      </c>
      <c r="AI102" s="42">
        <f>+'Income Statement'!AI16</f>
        <v>800</v>
      </c>
      <c r="AJ102" s="42">
        <f>+'Income Statement'!AJ16</f>
        <v>899</v>
      </c>
      <c r="AK102" s="620">
        <f>+'Income Statement'!AK16</f>
        <v>1038</v>
      </c>
      <c r="AL102" s="42">
        <f>+'Income Statement'!AL16</f>
        <v>951</v>
      </c>
      <c r="AM102" s="42">
        <f>+'Income Statement'!AM16</f>
        <v>1024</v>
      </c>
      <c r="AN102" s="42">
        <f>+'Income Statement'!AN16</f>
        <v>1110</v>
      </c>
      <c r="AO102" s="620">
        <f>+'Income Statement'!AO16</f>
        <v>1141</v>
      </c>
      <c r="AP102" s="42">
        <f>+'Income Statement'!AP16</f>
        <v>1071</v>
      </c>
      <c r="AQ102" s="42">
        <f>+'Income Statement'!AQ16</f>
        <v>1143</v>
      </c>
      <c r="AR102" s="42">
        <f>+'Income Statement'!AR16</f>
        <v>1284</v>
      </c>
      <c r="AS102" s="620">
        <f>+'Income Statement'!AS16</f>
        <v>1290</v>
      </c>
      <c r="AT102" s="42">
        <f>+'Income Statement'!AT16</f>
        <v>1127</v>
      </c>
      <c r="AU102" s="42">
        <f>+'Income Statement'!AU16</f>
        <v>1228</v>
      </c>
      <c r="AV102" s="42">
        <f>+'Income Statement'!AV16</f>
        <v>1310</v>
      </c>
      <c r="AW102" s="620">
        <f>+'Income Statement'!AW16</f>
        <v>1388</v>
      </c>
      <c r="AX102" s="42">
        <f>+'Income Statement'!AX16</f>
        <v>1319</v>
      </c>
      <c r="AY102" s="42">
        <f>+'Income Statement'!AY16</f>
        <v>1450</v>
      </c>
      <c r="AZ102" s="42">
        <f>+'Income Statement'!AZ16</f>
        <v>1599</v>
      </c>
      <c r="BA102" s="620">
        <f>+'Income Statement'!BA16</f>
        <v>1714</v>
      </c>
      <c r="BB102" s="42">
        <f>+'Income Statement'!BB16</f>
        <v>1428</v>
      </c>
      <c r="BC102" s="42">
        <f>+'Income Statement'!BC16</f>
        <v>1572</v>
      </c>
      <c r="BD102" s="42">
        <f>+'Income Statement'!BD16</f>
        <v>1799</v>
      </c>
      <c r="BE102" s="620">
        <f>+'Income Statement'!BE16</f>
        <v>1971</v>
      </c>
      <c r="BF102" s="42">
        <f>+'Income Statement'!BF16</f>
        <v>1626</v>
      </c>
      <c r="BG102" s="42">
        <f>+'Income Statement'!BG16</f>
        <v>1738</v>
      </c>
      <c r="BH102" s="42">
        <f>+'Income Statement'!BH16</f>
        <v>1986</v>
      </c>
      <c r="BI102" s="620">
        <f>+'Income Statement'!BI16</f>
        <v>2035</v>
      </c>
      <c r="BJ102" s="42">
        <f>+'Income Statement'!BJ16</f>
        <v>1856</v>
      </c>
      <c r="BK102" s="42">
        <f>+'Income Statement'!BK16</f>
        <v>2042</v>
      </c>
      <c r="BL102" s="42">
        <f>+'Income Statement'!BL16</f>
        <v>2587</v>
      </c>
      <c r="BM102" s="620">
        <f>+'Income Statement'!BM16</f>
        <v>2499</v>
      </c>
      <c r="BN102" s="42">
        <f>+'Income Statement'!BN16</f>
        <v>2209</v>
      </c>
      <c r="BO102" s="42">
        <f>+'Income Statement'!BO16</f>
        <v>2404</v>
      </c>
      <c r="BP102" s="42">
        <f>+'Income Statement'!BP16</f>
        <v>2566</v>
      </c>
      <c r="BQ102" s="620">
        <f>+'Income Statement'!BQ16</f>
        <v>2694</v>
      </c>
      <c r="BR102" s="42">
        <f>+'Income Statement'!BR16</f>
        <v>2480</v>
      </c>
      <c r="BS102" s="42">
        <f>+'Income Statement'!BS16</f>
        <v>2507</v>
      </c>
      <c r="BT102" s="42">
        <f>+'Income Statement'!BT16</f>
        <v>2598</v>
      </c>
      <c r="BU102" s="620">
        <f>+'Income Statement'!BU16</f>
        <v>2740</v>
      </c>
      <c r="BV102" s="42">
        <f>+'Income Statement'!BV16</f>
        <v>2484</v>
      </c>
      <c r="BW102" s="42">
        <f>+'Income Statement'!BW16</f>
        <v>2583</v>
      </c>
      <c r="BX102" s="42">
        <f>+'Income Statement'!BX16</f>
        <v>2616</v>
      </c>
      <c r="BY102" s="620">
        <f>+'Income Statement'!BY16</f>
        <v>2719</v>
      </c>
      <c r="BZ102" s="42">
        <f>+'Income Statement'!CH16</f>
        <v>2518</v>
      </c>
      <c r="CA102" s="42">
        <f>+'Income Statement'!CI16</f>
        <v>2440</v>
      </c>
      <c r="CB102" s="42">
        <f>+'Income Statement'!CJ16</f>
        <v>2538</v>
      </c>
      <c r="CC102" s="620">
        <f>+'Income Statement'!CK16</f>
        <v>2858</v>
      </c>
      <c r="CD102" s="141">
        <f>+'Income Statement'!CP16</f>
        <v>1901</v>
      </c>
      <c r="CE102" s="141">
        <f>+'Income Statement'!CQ16</f>
        <v>1914</v>
      </c>
      <c r="CF102" s="141">
        <f>+'Income Statement'!CR16</f>
        <v>1958</v>
      </c>
      <c r="CG102" s="631">
        <f>+'Income Statement'!CS16</f>
        <v>2199</v>
      </c>
      <c r="CH102" s="141">
        <f>+'Income Statement'!CT16</f>
        <v>1746</v>
      </c>
      <c r="CI102" s="141">
        <f>+'Income Statement'!CU16</f>
        <v>1736</v>
      </c>
      <c r="CJ102" s="141">
        <f>+'Income Statement'!CV16</f>
        <v>1860</v>
      </c>
      <c r="CK102" s="631">
        <f>+'Income Statement'!CW16</f>
        <v>2208</v>
      </c>
      <c r="CL102" s="196">
        <f>+'Income Statement'!CX16</f>
        <v>1752</v>
      </c>
      <c r="CM102" s="196">
        <f>+'Income Statement'!CY16</f>
        <v>1807</v>
      </c>
      <c r="CN102" s="196">
        <f>+'Income Statement'!CZ16</f>
        <v>1873</v>
      </c>
      <c r="CO102" s="631">
        <f>+'Income Statement'!DA16</f>
        <v>2167</v>
      </c>
      <c r="CP102" s="196">
        <f>+'Income Statement'!DB16</f>
        <v>1722</v>
      </c>
      <c r="CQ102" s="196">
        <f>+'Income Statement'!DC16</f>
        <v>1772</v>
      </c>
      <c r="CR102" s="196">
        <f>+'Income Statement'!DD16</f>
        <v>1890</v>
      </c>
      <c r="CS102" s="631">
        <f>+'Income Statement'!DE16</f>
        <v>2140</v>
      </c>
      <c r="CT102" s="196">
        <f>+'Income Statement'!DF16</f>
        <v>1722</v>
      </c>
      <c r="CU102" s="196">
        <f>+'Income Statement'!DG16</f>
        <v>1823</v>
      </c>
      <c r="CV102" s="196">
        <f>+'Income Statement'!DH16</f>
        <v>1932</v>
      </c>
      <c r="CW102" s="631">
        <f>+'Income Statement'!DI16</f>
        <v>2439</v>
      </c>
      <c r="CX102" s="1718">
        <f>+'Income Statement'!DJ16</f>
        <v>1757.9937346475704</v>
      </c>
      <c r="CY102" s="196">
        <f>+'Income Statement'!DK16</f>
        <v>1831.5465896800708</v>
      </c>
      <c r="CZ102" s="196">
        <f>+'Income Statement'!DL16</f>
        <v>1934.1157408375027</v>
      </c>
      <c r="DA102" s="631">
        <f>+'Income Statement'!DM16</f>
        <v>2429.6505321008403</v>
      </c>
      <c r="DB102" s="688"/>
      <c r="DC102" s="628"/>
      <c r="DD102" s="42">
        <f>+'Income Statement'!DP16</f>
        <v>20.152999999999999</v>
      </c>
      <c r="DE102" s="42">
        <f>+'Income Statement'!DQ16</f>
        <v>44.906999999999996</v>
      </c>
      <c r="DF102" s="42">
        <f>+'Income Statement'!DR16</f>
        <v>95.41</v>
      </c>
      <c r="DG102" s="42">
        <f>+'Income Statement'!DS16</f>
        <v>107.32300000000001</v>
      </c>
      <c r="DH102" s="42">
        <f>+'Income Statement'!DT16</f>
        <v>107.194</v>
      </c>
      <c r="DI102" s="42">
        <f>+'Income Statement'!DU16</f>
        <v>130.68100000000001</v>
      </c>
      <c r="DJ102" s="42">
        <f>+'Income Statement'!DV16</f>
        <v>162.286</v>
      </c>
      <c r="DK102" s="42">
        <f>+'Income Statement'!DW16</f>
        <v>248.126</v>
      </c>
      <c r="DL102" s="42">
        <f>+'Income Statement'!DX16</f>
        <v>379.74700000000007</v>
      </c>
      <c r="DM102" s="42">
        <f>+'Income Statement'!DY16</f>
        <v>568.5</v>
      </c>
      <c r="DN102" s="42">
        <f>+'Income Statement'!DZ16</f>
        <v>813.98800000000006</v>
      </c>
      <c r="DO102" s="42">
        <f>+'Income Statement'!EA16</f>
        <v>1005.675</v>
      </c>
      <c r="DP102" s="42">
        <f>+'Income Statement'!EB16</f>
        <v>1145.28</v>
      </c>
      <c r="DQ102" s="42">
        <f>+'Income Statement'!EC16</f>
        <v>1463.2809999999999</v>
      </c>
      <c r="DR102" s="42">
        <f>+'Income Statement'!ED16</f>
        <v>1854.17</v>
      </c>
      <c r="DS102" s="42">
        <f>+'Income Statement'!EE16</f>
        <v>2454.7979999999998</v>
      </c>
      <c r="DT102" s="42">
        <f>+'Income Statement'!EF16</f>
        <v>3493</v>
      </c>
      <c r="DU102" s="42">
        <f>+'Income Statement'!EG16</f>
        <v>4226</v>
      </c>
      <c r="DV102" s="42">
        <f>+'Income Statement'!EH16</f>
        <v>4788</v>
      </c>
      <c r="DW102" s="42">
        <f>+'Income Statement'!EI16</f>
        <v>5053</v>
      </c>
      <c r="DX102" s="42">
        <f>+'Income Statement'!EJ16</f>
        <v>6082</v>
      </c>
      <c r="DY102" s="42">
        <f>+'Income Statement'!EK16</f>
        <v>6770</v>
      </c>
      <c r="DZ102" s="42">
        <f>+'Income Statement'!EL16</f>
        <v>7385</v>
      </c>
      <c r="EA102" s="42">
        <f>+'Income Statement'!EM16</f>
        <v>8984</v>
      </c>
      <c r="EB102" s="42">
        <f>+'Income Statement'!EN16</f>
        <v>9873</v>
      </c>
      <c r="EC102" s="42">
        <f>+'Income Statement'!EO16</f>
        <v>10325</v>
      </c>
      <c r="ED102" s="42">
        <f>+'Income Statement'!EP16</f>
        <v>10402</v>
      </c>
      <c r="EE102" s="42">
        <f t="shared" si="428"/>
        <v>10325</v>
      </c>
      <c r="EF102" s="42">
        <f t="shared" si="428"/>
        <v>10402</v>
      </c>
      <c r="EG102" s="42">
        <f>+'Income Statement'!ES16</f>
        <v>10354</v>
      </c>
      <c r="EH102" s="42">
        <f>+'Income Statement'!EU16</f>
        <v>7972</v>
      </c>
      <c r="EI102" s="42">
        <f>+'Income Statement'!EV16</f>
        <v>7550</v>
      </c>
      <c r="EJ102" s="42">
        <f>+'Income Statement'!EW16</f>
        <v>7599</v>
      </c>
      <c r="EK102" s="141">
        <f>+'Income Statement'!EX16</f>
        <v>7524</v>
      </c>
      <c r="EL102" s="141">
        <f>+'Income Statement'!EY16</f>
        <v>7916</v>
      </c>
      <c r="EM102" s="1717">
        <f>+'Income Statement'!EZ16</f>
        <v>7953.3065972659842</v>
      </c>
      <c r="EN102" s="42">
        <f>+'Income Statement'!FA16</f>
        <v>7989.4931287501877</v>
      </c>
      <c r="EO102" s="42">
        <f>+'Income Statement'!FB16</f>
        <v>8047.3452940026909</v>
      </c>
      <c r="EP102" s="42">
        <f>+'Income Statement'!FC16</f>
        <v>8115.0652129253995</v>
      </c>
      <c r="EQ102" s="42">
        <f>+'Income Statement'!FD16</f>
        <v>8215.3682601275123</v>
      </c>
      <c r="ER102" s="42">
        <f>+'Income Statement'!FE16</f>
        <v>8319.6750027782164</v>
      </c>
      <c r="ES102" s="42">
        <f>+'Income Statement'!FF16</f>
        <v>8428.1841874524853</v>
      </c>
      <c r="ET102" s="42">
        <f>+'Income Statement'!FG16</f>
        <v>8541.10448169966</v>
      </c>
      <c r="EU102" s="42">
        <f>+'Income Statement'!FH16</f>
        <v>8658.6549702029461</v>
      </c>
      <c r="EV102" s="1375"/>
      <c r="EW102"/>
      <c r="EX102"/>
      <c r="EY102"/>
      <c r="EZ102"/>
      <c r="FA102"/>
      <c r="FB102"/>
      <c r="FG102" s="196"/>
      <c r="FH102" s="196"/>
      <c r="FI102" s="196"/>
      <c r="FJ102" s="196"/>
      <c r="FK102"/>
      <c r="FL102"/>
      <c r="FM102"/>
      <c r="FN102"/>
      <c r="FO102"/>
      <c r="FP102"/>
      <c r="FQ102"/>
      <c r="FR102"/>
      <c r="FS102"/>
      <c r="FT102"/>
      <c r="FU102"/>
      <c r="FV102"/>
      <c r="FW102"/>
      <c r="FX102"/>
      <c r="FY102"/>
      <c r="FZ102"/>
      <c r="GA102"/>
      <c r="GB102"/>
      <c r="GC102"/>
      <c r="GD102"/>
      <c r="GE102"/>
      <c r="GF102"/>
      <c r="GG102"/>
      <c r="GH102"/>
      <c r="GI102"/>
      <c r="GJ102"/>
      <c r="GK102"/>
      <c r="GL102"/>
      <c r="GM102"/>
      <c r="GN102"/>
      <c r="GO102"/>
      <c r="GP102"/>
      <c r="GQ102"/>
      <c r="GR102"/>
      <c r="GS102"/>
      <c r="GT102"/>
      <c r="GU102"/>
      <c r="GV102"/>
      <c r="GW102"/>
      <c r="GX102"/>
      <c r="GY102"/>
      <c r="GZ102"/>
      <c r="HA102"/>
      <c r="HB102"/>
      <c r="HC102"/>
      <c r="HD102"/>
      <c r="HE102"/>
      <c r="HF102"/>
      <c r="HG102"/>
      <c r="HH102"/>
      <c r="HI102"/>
      <c r="HJ102"/>
      <c r="HK102"/>
      <c r="HL102"/>
      <c r="HM102"/>
      <c r="HN102"/>
      <c r="HO102"/>
      <c r="HP102"/>
      <c r="HQ102"/>
      <c r="HR102"/>
      <c r="HS102"/>
      <c r="HT102"/>
      <c r="HU102"/>
      <c r="HV102"/>
      <c r="HW102"/>
      <c r="HX102"/>
      <c r="HY102"/>
      <c r="HZ102"/>
      <c r="IA102"/>
      <c r="IB102"/>
      <c r="IC102"/>
      <c r="ID102"/>
      <c r="IE102"/>
      <c r="IF102"/>
      <c r="IG102"/>
      <c r="IH102"/>
      <c r="II102"/>
      <c r="IJ102"/>
      <c r="IK102"/>
      <c r="IL102"/>
      <c r="IM102"/>
      <c r="IN102"/>
      <c r="IO102"/>
      <c r="IP102"/>
      <c r="IQ102"/>
      <c r="IR102"/>
      <c r="IS102"/>
      <c r="IT102"/>
      <c r="IU102"/>
      <c r="IV102"/>
      <c r="IW102"/>
      <c r="IX102"/>
      <c r="IY102"/>
      <c r="IZ102"/>
    </row>
    <row r="103" spans="1:260" s="4" customFormat="1" outlineLevel="1" x14ac:dyDescent="0.2">
      <c r="A103" s="35" t="s">
        <v>126</v>
      </c>
      <c r="B103" s="55">
        <f>+'Income Statement'!B24</f>
        <v>1.2290000000000001</v>
      </c>
      <c r="C103" s="55">
        <f>+'Income Statement'!C24</f>
        <v>0.72</v>
      </c>
      <c r="D103" s="55">
        <f>+'Income Statement'!D24</f>
        <v>2.56</v>
      </c>
      <c r="E103" s="827">
        <f>+'Income Statement'!E24</f>
        <v>4.2910000000000004</v>
      </c>
      <c r="F103" s="55">
        <f>+'Income Statement'!F24</f>
        <v>4.7</v>
      </c>
      <c r="G103" s="55">
        <f>+'Income Statement'!G24</f>
        <v>5.0990000000000002</v>
      </c>
      <c r="H103" s="55">
        <f>+'Income Statement'!H24</f>
        <v>9.0109999999999992</v>
      </c>
      <c r="I103" s="827">
        <f>+'Income Statement'!I24</f>
        <v>9.09</v>
      </c>
      <c r="J103" s="55">
        <f>+'Income Statement'!J24</f>
        <v>8.6159999999999997</v>
      </c>
      <c r="K103" s="55">
        <f>+'Income Statement'!K24</f>
        <v>9.7260000000000009</v>
      </c>
      <c r="L103" s="55">
        <f>+'Income Statement'!L24</f>
        <v>13.186</v>
      </c>
      <c r="M103" s="827">
        <f>+'Income Statement'!M24</f>
        <v>12.066000000000001</v>
      </c>
      <c r="N103" s="55">
        <f>+'Income Statement'!N24</f>
        <v>12.281000000000001</v>
      </c>
      <c r="O103" s="55">
        <f>+'Income Statement'!O24</f>
        <v>13.475</v>
      </c>
      <c r="P103" s="55">
        <f>+'Income Statement'!P24</f>
        <v>14.882999999999999</v>
      </c>
      <c r="Q103" s="827">
        <f>+'Income Statement'!Q24</f>
        <v>9.6989999999999998</v>
      </c>
      <c r="R103" s="55">
        <f>+'Income Statement'!R24</f>
        <v>9.5399999999999991</v>
      </c>
      <c r="S103" s="55">
        <f>+'Income Statement'!S24</f>
        <v>9.0299999999999994</v>
      </c>
      <c r="T103" s="55">
        <f>+'Income Statement'!T24</f>
        <v>9.6010000000000009</v>
      </c>
      <c r="U103" s="827">
        <f>+'Income Statement'!U24</f>
        <v>4.8339999999999996</v>
      </c>
      <c r="V103" s="55">
        <f>+'Income Statement'!V24</f>
        <v>2.4950000000000001</v>
      </c>
      <c r="W103" s="55">
        <f>+'Income Statement'!W24</f>
        <v>1.01</v>
      </c>
      <c r="X103" s="55">
        <f>+'Income Statement'!X24</f>
        <v>3.19</v>
      </c>
      <c r="Y103" s="827">
        <f>+'Income Statement'!Y24</f>
        <v>-7.13</v>
      </c>
      <c r="Z103" s="55">
        <f>+'Income Statement'!Z24</f>
        <v>-4.4130000000000003</v>
      </c>
      <c r="AA103" s="55">
        <f>+'Income Statement'!AA24</f>
        <v>-4.2759999999999998</v>
      </c>
      <c r="AB103" s="55">
        <f>+'Income Statement'!AB24</f>
        <v>-4.4509999999999996</v>
      </c>
      <c r="AC103" s="827">
        <f>+'Income Statement'!AC24</f>
        <v>-10.170999999999999</v>
      </c>
      <c r="AD103" s="55">
        <f>+'Income Statement'!AD24</f>
        <v>-8.44</v>
      </c>
      <c r="AE103" s="55">
        <f>+'Income Statement'!AE24</f>
        <v>-8.9979999999999993</v>
      </c>
      <c r="AF103" s="55">
        <f>+'Income Statement'!AF24</f>
        <v>-7.75</v>
      </c>
      <c r="AG103" s="827">
        <f>+'Income Statement'!AG24</f>
        <v>-12</v>
      </c>
      <c r="AH103" s="55">
        <f>+'Income Statement'!AH24</f>
        <v>-1</v>
      </c>
      <c r="AI103" s="55">
        <f>+'Income Statement'!AI24</f>
        <v>10</v>
      </c>
      <c r="AJ103" s="55">
        <f>+'Income Statement'!AJ24</f>
        <v>-3</v>
      </c>
      <c r="AK103" s="827">
        <f>+'Income Statement'!AK24</f>
        <v>-5</v>
      </c>
      <c r="AL103" s="55">
        <f>+'Income Statement'!AL24</f>
        <v>-1</v>
      </c>
      <c r="AM103" s="55">
        <f>+'Income Statement'!AM24</f>
        <v>2</v>
      </c>
      <c r="AN103" s="55">
        <f>+'Income Statement'!AN24</f>
        <v>0</v>
      </c>
      <c r="AO103" s="827">
        <f>+'Income Statement'!AO24</f>
        <v>-5</v>
      </c>
      <c r="AP103" s="55">
        <f>+'Income Statement'!AP24</f>
        <v>2</v>
      </c>
      <c r="AQ103" s="55">
        <f>+'Income Statement'!AQ24</f>
        <v>3</v>
      </c>
      <c r="AR103" s="55">
        <f>+'Income Statement'!AR24</f>
        <v>4</v>
      </c>
      <c r="AS103" s="827">
        <f>+'Income Statement'!AS24</f>
        <v>-1</v>
      </c>
      <c r="AT103" s="55">
        <f>+'Income Statement'!AT24</f>
        <v>0</v>
      </c>
      <c r="AU103" s="55">
        <f>+'Income Statement'!AU24</f>
        <v>-1</v>
      </c>
      <c r="AV103" s="55">
        <f>+'Income Statement'!AV24</f>
        <v>-6</v>
      </c>
      <c r="AW103" s="827">
        <f>+'Income Statement'!AW24</f>
        <v>6</v>
      </c>
      <c r="AX103" s="55">
        <f>+'Income Statement'!AX24</f>
        <v>-13</v>
      </c>
      <c r="AY103" s="55">
        <f>+'Income Statement'!AY24</f>
        <v>-18</v>
      </c>
      <c r="AZ103" s="55">
        <f>+'Income Statement'!AZ24</f>
        <v>-14</v>
      </c>
      <c r="BA103" s="827">
        <f>+'Income Statement'!BA24</f>
        <v>-32</v>
      </c>
      <c r="BB103" s="55">
        <f>+'Income Statement'!BB24</f>
        <v>-23</v>
      </c>
      <c r="BC103" s="55">
        <f>+'Income Statement'!BC24</f>
        <v>-21</v>
      </c>
      <c r="BD103" s="55">
        <f>+'Income Statement'!BD24</f>
        <v>-24</v>
      </c>
      <c r="BE103" s="827">
        <f>+'Income Statement'!BE24</f>
        <v>-63</v>
      </c>
      <c r="BF103" s="55">
        <f>+'Income Statement'!BF24</f>
        <v>-37</v>
      </c>
      <c r="BG103" s="55">
        <f>+'Income Statement'!BG24</f>
        <v>1</v>
      </c>
      <c r="BH103" s="55">
        <f>+'Income Statement'!BH24</f>
        <v>-9</v>
      </c>
      <c r="BI103" s="827">
        <f>+'Income Statement'!BI24</f>
        <v>-22</v>
      </c>
      <c r="BJ103" s="55">
        <f>+'Income Statement'!BJ24</f>
        <v>-8</v>
      </c>
      <c r="BK103" s="55">
        <f>+'Income Statement'!BK24</f>
        <v>12</v>
      </c>
      <c r="BL103" s="55">
        <f>+'Income Statement'!BL24</f>
        <v>38</v>
      </c>
      <c r="BM103" s="827">
        <f>+'Income Statement'!BM24</f>
        <v>17</v>
      </c>
      <c r="BN103" s="55">
        <f>+'Income Statement'!BN24</f>
        <v>14</v>
      </c>
      <c r="BO103" s="55">
        <f>+'Income Statement'!BO24</f>
        <v>4</v>
      </c>
      <c r="BP103" s="55">
        <f>+'Income Statement'!BP24</f>
        <v>12</v>
      </c>
      <c r="BQ103" s="827">
        <f>+'Income Statement'!BQ24</f>
        <v>10</v>
      </c>
      <c r="BR103" s="55">
        <f>+'Income Statement'!BR24</f>
        <v>11</v>
      </c>
      <c r="BS103" s="55">
        <f>+'Income Statement'!BS24</f>
        <v>8</v>
      </c>
      <c r="BT103" s="55">
        <f>+'Income Statement'!BT24</f>
        <v>12</v>
      </c>
      <c r="BU103" s="827">
        <f>+'Income Statement'!BU24</f>
        <v>5</v>
      </c>
      <c r="BV103" s="55">
        <f>+'Income Statement'!BV24</f>
        <v>19</v>
      </c>
      <c r="BW103" s="55">
        <f>+'Income Statement'!BW24</f>
        <v>28</v>
      </c>
      <c r="BX103" s="55">
        <f>+'Income Statement'!BX24</f>
        <v>29</v>
      </c>
      <c r="BY103" s="827">
        <f>+'Income Statement'!BY24</f>
        <v>21</v>
      </c>
      <c r="BZ103" s="55">
        <f>+'Income Statement'!CH24</f>
        <v>27</v>
      </c>
      <c r="CA103" s="55">
        <f>+'Income Statement'!CI24</f>
        <v>24</v>
      </c>
      <c r="CB103" s="55">
        <f>+'Income Statement'!CJ24</f>
        <v>18</v>
      </c>
      <c r="CC103" s="827">
        <f>+'Income Statement'!CK24</f>
        <v>6</v>
      </c>
      <c r="CD103" s="56">
        <f>+'Income Statement'!CP24</f>
        <v>22</v>
      </c>
      <c r="CE103" s="56">
        <f>+'Income Statement'!CQ24</f>
        <v>21</v>
      </c>
      <c r="CF103" s="56">
        <f>+'Income Statement'!CR24</f>
        <v>16</v>
      </c>
      <c r="CG103" s="828">
        <f>+'Income Statement'!CS24</f>
        <v>12</v>
      </c>
      <c r="CH103" s="56">
        <f>+'Income Statement'!CT24</f>
        <v>17</v>
      </c>
      <c r="CI103" s="56">
        <f>+'Income Statement'!CU24</f>
        <v>13</v>
      </c>
      <c r="CJ103" s="56">
        <f>+'Income Statement'!CV24</f>
        <v>25</v>
      </c>
      <c r="CK103" s="828">
        <f>+'Income Statement'!CW24</f>
        <v>12</v>
      </c>
      <c r="CL103" s="830">
        <f>+'Income Statement'!CX24</f>
        <v>13</v>
      </c>
      <c r="CM103" s="830">
        <f>+'Income Statement'!CY24</f>
        <v>16</v>
      </c>
      <c r="CN103" s="830">
        <f>+'Income Statement'!CZ24</f>
        <v>17</v>
      </c>
      <c r="CO103" s="828">
        <f>+'Income Statement'!DA24</f>
        <v>14</v>
      </c>
      <c r="CP103" s="830">
        <f>+'Income Statement'!DB24</f>
        <v>14</v>
      </c>
      <c r="CQ103" s="830">
        <f>+'Income Statement'!DC24</f>
        <v>10</v>
      </c>
      <c r="CR103" s="830">
        <f>+'Income Statement'!DD24</f>
        <v>8</v>
      </c>
      <c r="CS103" s="828">
        <f>+'Income Statement'!DE24</f>
        <v>8</v>
      </c>
      <c r="CT103" s="830">
        <f>+'Income Statement'!DF24</f>
        <v>8</v>
      </c>
      <c r="CU103" s="830">
        <f>+'Income Statement'!DG24</f>
        <v>11</v>
      </c>
      <c r="CV103" s="830">
        <f>+'Income Statement'!DH24</f>
        <v>7</v>
      </c>
      <c r="CW103" s="828">
        <f>+'Income Statement'!DI24</f>
        <v>-1</v>
      </c>
      <c r="CX103" s="1698">
        <f>+'Income Statement'!DJ24</f>
        <v>8.9249999999999972</v>
      </c>
      <c r="CY103" s="830">
        <f>+'Income Statement'!DK24</f>
        <v>6.8000000000000007</v>
      </c>
      <c r="CZ103" s="830">
        <f>+'Income Statement'!DL24</f>
        <v>0.67500000000000071</v>
      </c>
      <c r="DA103" s="828">
        <f>+'Income Statement'!DM24</f>
        <v>17.924999999999997</v>
      </c>
      <c r="DB103" s="689"/>
      <c r="DC103" s="629"/>
      <c r="DD103" s="55">
        <f>+'Income Statement'!DP24</f>
        <v>0.246</v>
      </c>
      <c r="DE103" s="55">
        <f>+'Income Statement'!DQ24</f>
        <v>0</v>
      </c>
      <c r="DF103" s="55">
        <f>+'Income Statement'!DR24</f>
        <v>4.3090000000000002</v>
      </c>
      <c r="DG103" s="55">
        <f>+'Income Statement'!DS24</f>
        <v>5.2960000000000003</v>
      </c>
      <c r="DH103" s="55">
        <f>+'Income Statement'!DT24</f>
        <v>3.6739999999999999</v>
      </c>
      <c r="DI103" s="55">
        <f>+'Income Statement'!DU24</f>
        <v>3.5859999999999999</v>
      </c>
      <c r="DJ103" s="55">
        <f>+'Income Statement'!DV24</f>
        <v>3.415</v>
      </c>
      <c r="DK103" s="55">
        <f>+'Income Statement'!DW24</f>
        <v>3.883</v>
      </c>
      <c r="DL103" s="55">
        <f>+'Income Statement'!DX24</f>
        <v>8.8000000000000007</v>
      </c>
      <c r="DM103" s="55">
        <f>+'Income Statement'!DY24</f>
        <v>27.9</v>
      </c>
      <c r="DN103" s="55">
        <f>+'Income Statement'!DZ24</f>
        <v>43.594000000000001</v>
      </c>
      <c r="DO103" s="55">
        <f>+'Income Statement'!EA24</f>
        <v>50.337999999999994</v>
      </c>
      <c r="DP103" s="55">
        <f>+'Income Statement'!EB24</f>
        <v>33.004999999999995</v>
      </c>
      <c r="DQ103" s="55">
        <f>+'Income Statement'!EC24</f>
        <v>-0.43499999999999961</v>
      </c>
      <c r="DR103" s="55">
        <f>+'Income Statement'!ED24</f>
        <v>-23.311</v>
      </c>
      <c r="DS103" s="55">
        <f>+'Income Statement'!EE24</f>
        <v>-37.188000000000002</v>
      </c>
      <c r="DT103" s="55">
        <f>+'Income Statement'!EF24</f>
        <v>1</v>
      </c>
      <c r="DU103" s="55">
        <f>+'Income Statement'!EG24</f>
        <v>-4</v>
      </c>
      <c r="DV103" s="55">
        <f>+'Income Statement'!EH24</f>
        <v>8</v>
      </c>
      <c r="DW103" s="55">
        <f>+'Income Statement'!EI24</f>
        <v>-1</v>
      </c>
      <c r="DX103" s="55">
        <f>+'Income Statement'!EJ24</f>
        <v>-77</v>
      </c>
      <c r="DY103" s="55">
        <f>+'Income Statement'!EK24</f>
        <v>-131</v>
      </c>
      <c r="DZ103" s="55">
        <f>+'Income Statement'!EL24</f>
        <v>-67</v>
      </c>
      <c r="EA103" s="55">
        <f>+'Income Statement'!EM24</f>
        <v>59</v>
      </c>
      <c r="EB103" s="55">
        <f>+'Income Statement'!EN24</f>
        <v>40</v>
      </c>
      <c r="EC103" s="55">
        <f>+'Income Statement'!EO24</f>
        <v>36</v>
      </c>
      <c r="ED103" s="55">
        <f>+'Income Statement'!EP24</f>
        <v>97</v>
      </c>
      <c r="EE103" s="42">
        <f t="shared" si="428"/>
        <v>36</v>
      </c>
      <c r="EF103" s="42">
        <f t="shared" si="428"/>
        <v>97</v>
      </c>
      <c r="EG103" s="55">
        <f>+'Income Statement'!ES24</f>
        <v>75</v>
      </c>
      <c r="EH103" s="55">
        <f>+'Income Statement'!EU24</f>
        <v>71</v>
      </c>
      <c r="EI103" s="55">
        <f>+'Income Statement'!EV24</f>
        <v>67</v>
      </c>
      <c r="EJ103" s="55">
        <f>+'Income Statement'!EW24</f>
        <v>60</v>
      </c>
      <c r="EK103" s="56">
        <f>+'Income Statement'!EX24</f>
        <v>40</v>
      </c>
      <c r="EL103" s="56">
        <f>+'Income Statement'!EY24</f>
        <v>25</v>
      </c>
      <c r="EM103" s="1696">
        <f>+'Income Statement'!EZ24</f>
        <v>34.324999999999996</v>
      </c>
      <c r="EN103" s="55">
        <f>+'Income Statement'!FA24</f>
        <v>32.450000000000003</v>
      </c>
      <c r="EO103" s="55">
        <f>+'Income Statement'!FB24</f>
        <v>47.45</v>
      </c>
      <c r="EP103" s="55">
        <f>+'Income Statement'!FC24</f>
        <v>75.825000000000003</v>
      </c>
      <c r="EQ103" s="55">
        <f>+'Income Statement'!FD24</f>
        <v>87.949999999999989</v>
      </c>
      <c r="ER103" s="55">
        <f>+'Income Statement'!FE24</f>
        <v>87.949999999999989</v>
      </c>
      <c r="ES103" s="55">
        <f>+'Income Statement'!FF24</f>
        <v>102.94999999999999</v>
      </c>
      <c r="ET103" s="55">
        <f>+'Income Statement'!FG24</f>
        <v>117.94999999999999</v>
      </c>
      <c r="EU103" s="55">
        <f>+'Income Statement'!FH24</f>
        <v>117.94999999999999</v>
      </c>
      <c r="EV103" s="1376"/>
      <c r="EW103"/>
      <c r="EX103"/>
      <c r="EY103"/>
      <c r="EZ103"/>
      <c r="FA103"/>
      <c r="FB103"/>
      <c r="FG103" s="830"/>
      <c r="FH103" s="830"/>
      <c r="FI103" s="830"/>
      <c r="FJ103" s="830"/>
      <c r="FK103"/>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row>
    <row r="104" spans="1:260" s="4" customFormat="1" outlineLevel="1" x14ac:dyDescent="0.2">
      <c r="A104" s="35" t="s">
        <v>64</v>
      </c>
      <c r="B104" s="55">
        <f>+'Income Statement'!B27</f>
        <v>0.92900000000000005</v>
      </c>
      <c r="C104" s="55">
        <f>+'Income Statement'!C27</f>
        <v>4.7759999999999998</v>
      </c>
      <c r="D104" s="55">
        <f>+'Income Statement'!D27</f>
        <v>7.1280000000000001</v>
      </c>
      <c r="E104" s="827">
        <f>+'Income Statement'!E27</f>
        <v>13.835000000000001</v>
      </c>
      <c r="F104" s="55">
        <f>+'Income Statement'!F27</f>
        <v>2.7690000000000001</v>
      </c>
      <c r="G104" s="55">
        <f>+'Income Statement'!G27</f>
        <v>4.96</v>
      </c>
      <c r="H104" s="55">
        <f>+'Income Statement'!H27</f>
        <v>11.3</v>
      </c>
      <c r="I104" s="827">
        <f>+'Income Statement'!I27</f>
        <v>17.370999999999999</v>
      </c>
      <c r="J104" s="55">
        <f>+'Income Statement'!J27</f>
        <v>3.0750000000000002</v>
      </c>
      <c r="K104" s="55">
        <f>+'Income Statement'!K27</f>
        <v>3.7629999999999999</v>
      </c>
      <c r="L104" s="55">
        <f>+'Income Statement'!L27</f>
        <v>11.6</v>
      </c>
      <c r="M104" s="827">
        <f>+'Income Statement'!M27</f>
        <v>12.532</v>
      </c>
      <c r="N104" s="55">
        <f>+'Income Statement'!N27</f>
        <v>0.26200000000000001</v>
      </c>
      <c r="O104" s="55">
        <f>+'Income Statement'!O27</f>
        <v>2.4209999999999998</v>
      </c>
      <c r="P104" s="55">
        <f>+'Income Statement'!P27</f>
        <v>-7.02</v>
      </c>
      <c r="Q104" s="827">
        <f>+'Income Statement'!Q27</f>
        <v>5.4569999999999999</v>
      </c>
      <c r="R104" s="55">
        <f>+'Income Statement'!R27</f>
        <v>-1.6850000000000001</v>
      </c>
      <c r="S104" s="55">
        <f>+'Income Statement'!S27</f>
        <v>4.2480000000000002</v>
      </c>
      <c r="T104" s="55">
        <f>+'Income Statement'!T27</f>
        <v>16.899999999999999</v>
      </c>
      <c r="U104" s="827">
        <f>+'Income Statement'!U27</f>
        <v>39.936999999999998</v>
      </c>
      <c r="V104" s="55">
        <f>+'Income Statement'!V27</f>
        <v>7.8120000000000003</v>
      </c>
      <c r="W104" s="55">
        <f>+'Income Statement'!W27</f>
        <v>25.972000000000001</v>
      </c>
      <c r="X104" s="55">
        <f>+'Income Statement'!X27</f>
        <v>33.497</v>
      </c>
      <c r="Y104" s="827">
        <f>+'Income Statement'!Y27</f>
        <v>68.114000000000004</v>
      </c>
      <c r="Z104" s="55">
        <f>+'Income Statement'!Z27</f>
        <v>29.305</v>
      </c>
      <c r="AA104" s="55">
        <f>+'Income Statement'!AA27</f>
        <v>35.814999999999998</v>
      </c>
      <c r="AB104" s="55">
        <f>+'Income Statement'!AB27</f>
        <v>48.65</v>
      </c>
      <c r="AC104" s="827">
        <f>+'Income Statement'!AC27</f>
        <v>101.73</v>
      </c>
      <c r="AD104" s="55">
        <f>+'Income Statement'!AD27</f>
        <v>44.8</v>
      </c>
      <c r="AE104" s="55">
        <f>+'Income Statement'!AE27</f>
        <v>47.6</v>
      </c>
      <c r="AF104" s="55">
        <f>+'Income Statement'!AF27</f>
        <v>35.5</v>
      </c>
      <c r="AG104" s="827">
        <f>+'Income Statement'!AG27</f>
        <v>117.7</v>
      </c>
      <c r="AH104" s="55">
        <f>+'Income Statement'!AH27</f>
        <v>36</v>
      </c>
      <c r="AI104" s="55">
        <f>+'Income Statement'!AI27</f>
        <v>53</v>
      </c>
      <c r="AJ104" s="55">
        <f>+'Income Statement'!AJ27</f>
        <v>52</v>
      </c>
      <c r="AK104" s="827">
        <f>+'Income Statement'!AK27</f>
        <v>225</v>
      </c>
      <c r="AL104" s="55">
        <f>+'Income Statement'!AL27</f>
        <v>51</v>
      </c>
      <c r="AM104" s="55">
        <f>+'Income Statement'!AM27</f>
        <v>48</v>
      </c>
      <c r="AN104" s="55">
        <f>+'Income Statement'!AN27</f>
        <v>54</v>
      </c>
      <c r="AO104" s="827">
        <f>+'Income Statement'!AO27</f>
        <v>239</v>
      </c>
      <c r="AP104" s="55">
        <f>+'Income Statement'!AP27</f>
        <v>43</v>
      </c>
      <c r="AQ104" s="55">
        <f>+'Income Statement'!AQ27</f>
        <v>86.55</v>
      </c>
      <c r="AR104" s="55">
        <f>+'Income Statement'!AR27</f>
        <v>76</v>
      </c>
      <c r="AS104" s="827">
        <f>+'Income Statement'!AS27</f>
        <v>291</v>
      </c>
      <c r="AT104" s="55">
        <f>+'Income Statement'!AT27</f>
        <v>70.103999999999999</v>
      </c>
      <c r="AU104" s="55">
        <f>+'Income Statement'!AU27</f>
        <v>92.58</v>
      </c>
      <c r="AV104" s="55">
        <f>+'Income Statement'!AV27</f>
        <v>91</v>
      </c>
      <c r="AW104" s="827">
        <f>+'Income Statement'!AW27</f>
        <v>255</v>
      </c>
      <c r="AX104" s="55">
        <f>+'Income Statement'!AX27</f>
        <v>82</v>
      </c>
      <c r="AY104" s="55">
        <f>+'Income Statement'!AY27</f>
        <v>91</v>
      </c>
      <c r="AZ104" s="55">
        <f>+'Income Statement'!AZ27</f>
        <v>65</v>
      </c>
      <c r="BA104" s="827">
        <f>+'Income Statement'!BA27</f>
        <v>343</v>
      </c>
      <c r="BB104" s="55">
        <f>+'Income Statement'!BB27</f>
        <v>126</v>
      </c>
      <c r="BC104" s="55">
        <f>+'Income Statement'!BC27</f>
        <v>121</v>
      </c>
      <c r="BD104" s="55">
        <f>+'Income Statement'!BD27</f>
        <v>70</v>
      </c>
      <c r="BE104" s="827">
        <f>+'Income Statement'!BE27</f>
        <v>435</v>
      </c>
      <c r="BF104" s="55">
        <f>+'Income Statement'!BF27</f>
        <v>113</v>
      </c>
      <c r="BG104" s="55">
        <f>+'Income Statement'!BG27</f>
        <v>144</v>
      </c>
      <c r="BH104" s="55">
        <f>+'Income Statement'!BH27</f>
        <v>129</v>
      </c>
      <c r="BI104" s="827">
        <f>+'Income Statement'!BI27</f>
        <v>429</v>
      </c>
      <c r="BJ104" s="55">
        <f>+'Income Statement'!BJ27</f>
        <v>106</v>
      </c>
      <c r="BK104" s="55">
        <f>+'Income Statement'!BK27</f>
        <v>122</v>
      </c>
      <c r="BL104" s="55">
        <f>+'Income Statement'!BL27</f>
        <v>68</v>
      </c>
      <c r="BM104" s="827">
        <f>+'Income Statement'!BM27</f>
        <v>378</v>
      </c>
      <c r="BN104" s="55">
        <f>+'Income Statement'!BN27</f>
        <v>126</v>
      </c>
      <c r="BO104" s="55">
        <f>+'Income Statement'!BO27</f>
        <v>119</v>
      </c>
      <c r="BP104" s="55">
        <f>+'Income Statement'!BP27</f>
        <v>93</v>
      </c>
      <c r="BQ104" s="827">
        <f>+'Income Statement'!BQ27</f>
        <v>464</v>
      </c>
      <c r="BR104" s="55">
        <f>+'Income Statement'!BR27</f>
        <v>121</v>
      </c>
      <c r="BS104" s="55">
        <f>+'Income Statement'!BS27</f>
        <v>146</v>
      </c>
      <c r="BT104" s="55">
        <f>+'Income Statement'!BT27</f>
        <v>133</v>
      </c>
      <c r="BU104" s="827">
        <f>+'Income Statement'!BU27</f>
        <v>314</v>
      </c>
      <c r="BV104" s="55">
        <f>+'Income Statement'!BV27</f>
        <v>99</v>
      </c>
      <c r="BW104" s="55">
        <f>+'Income Statement'!BW27</f>
        <v>99</v>
      </c>
      <c r="BX104" s="55">
        <f>+'Income Statement'!BX27</f>
        <v>109</v>
      </c>
      <c r="BY104" s="827">
        <f>+'Income Statement'!BY27</f>
        <v>370</v>
      </c>
      <c r="BZ104" s="55">
        <f>+'Income Statement'!CH27</f>
        <v>120</v>
      </c>
      <c r="CA104" s="55">
        <f>+'Income Statement'!CI27</f>
        <v>49</v>
      </c>
      <c r="CB104" s="55">
        <f>+'Income Statement'!CJ27</f>
        <v>11</v>
      </c>
      <c r="CC104" s="827">
        <f>+'Income Statement'!CK27</f>
        <v>333</v>
      </c>
      <c r="CD104" s="56">
        <f>+'Income Statement'!CP27</f>
        <v>57</v>
      </c>
      <c r="CE104" s="56">
        <f>+'Income Statement'!CQ27</f>
        <v>70</v>
      </c>
      <c r="CF104" s="56">
        <f>+'Income Statement'!CR27</f>
        <v>51</v>
      </c>
      <c r="CG104" s="828">
        <f>+'Income Statement'!CS27</f>
        <v>193</v>
      </c>
      <c r="CH104" s="56">
        <f>+'Income Statement'!CT27</f>
        <v>81</v>
      </c>
      <c r="CI104" s="56">
        <f>+'Income Statement'!CU27</f>
        <v>81</v>
      </c>
      <c r="CJ104" s="56">
        <f>+'Income Statement'!CV27</f>
        <v>70</v>
      </c>
      <c r="CK104" s="828">
        <f>+'Income Statement'!CW27</f>
        <v>280</v>
      </c>
      <c r="CL104" s="830">
        <f>+'Income Statement'!CX27</f>
        <v>71</v>
      </c>
      <c r="CM104" s="830">
        <f>+'Income Statement'!CY27</f>
        <v>97</v>
      </c>
      <c r="CN104" s="830">
        <f>+'Income Statement'!CZ27</f>
        <v>83</v>
      </c>
      <c r="CO104" s="828">
        <f>+'Income Statement'!DA27</f>
        <v>259</v>
      </c>
      <c r="CP104" s="830">
        <f>+'Income Statement'!DB27</f>
        <v>85</v>
      </c>
      <c r="CQ104" s="830">
        <f>+'Income Statement'!DC27</f>
        <v>97</v>
      </c>
      <c r="CR104" s="830">
        <f>+'Income Statement'!DD27</f>
        <v>112</v>
      </c>
      <c r="CS104" s="828">
        <f>+'Income Statement'!DE27</f>
        <v>267</v>
      </c>
      <c r="CT104" s="830">
        <f>+'Income Statement'!DF27</f>
        <v>104</v>
      </c>
      <c r="CU104" s="830">
        <f>+'Income Statement'!DG27</f>
        <v>105</v>
      </c>
      <c r="CV104" s="830">
        <f>+'Income Statement'!DH27</f>
        <v>104</v>
      </c>
      <c r="CW104" s="828">
        <f>+'Income Statement'!DI27</f>
        <v>265</v>
      </c>
      <c r="CX104" s="1698">
        <f>+'Income Statement'!DJ27</f>
        <v>62.626250938038567</v>
      </c>
      <c r="CY104" s="830">
        <f>+'Income Statement'!DK27</f>
        <v>81.648501524170428</v>
      </c>
      <c r="CZ104" s="830">
        <f>+'Income Statement'!DL27</f>
        <v>92.60502320354972</v>
      </c>
      <c r="DA104" s="828">
        <f>+'Income Statement'!DM27</f>
        <v>236.83566158307616</v>
      </c>
      <c r="DB104" s="689"/>
      <c r="DC104" s="629"/>
      <c r="DD104" s="55"/>
      <c r="DE104" s="55"/>
      <c r="DF104" s="55"/>
      <c r="DG104" s="55"/>
      <c r="DH104" s="55"/>
      <c r="DI104" s="55"/>
      <c r="DJ104" s="55"/>
      <c r="DK104" s="55"/>
      <c r="DL104" s="55">
        <f>+'Income Statement'!DX27</f>
        <v>26.667999999999999</v>
      </c>
      <c r="DM104" s="55">
        <f>+'Income Statement'!DY27</f>
        <v>36.4</v>
      </c>
      <c r="DN104" s="55">
        <f>+'Income Statement'!DZ27</f>
        <v>30.97</v>
      </c>
      <c r="DO104" s="55">
        <f>+'Income Statement'!EA27</f>
        <v>1.1200000000000001</v>
      </c>
      <c r="DP104" s="55">
        <f>+'Income Statement'!EB27</f>
        <v>59.399999999999991</v>
      </c>
      <c r="DQ104" s="55">
        <f>+'Income Statement'!EC27</f>
        <v>135.39500000000001</v>
      </c>
      <c r="DR104" s="55">
        <f>+'Income Statement'!ED27</f>
        <v>215.5</v>
      </c>
      <c r="DS104" s="55">
        <f>+'Income Statement'!EE27</f>
        <v>245.60000000000002</v>
      </c>
      <c r="DT104" s="55">
        <f>+'Income Statement'!EF27</f>
        <v>366</v>
      </c>
      <c r="DU104" s="55">
        <f>+'Income Statement'!EG27</f>
        <v>392</v>
      </c>
      <c r="DV104" s="55">
        <f>+'Income Statement'!EH27</f>
        <v>496.55</v>
      </c>
      <c r="DW104" s="55">
        <f>+'Income Statement'!EI27</f>
        <v>508.68399999999997</v>
      </c>
      <c r="DX104" s="55">
        <f>+'Income Statement'!EJ27</f>
        <v>581</v>
      </c>
      <c r="DY104" s="55">
        <f>+'Income Statement'!EK27</f>
        <v>752</v>
      </c>
      <c r="DZ104" s="55">
        <f>+'Income Statement'!EL27</f>
        <v>815</v>
      </c>
      <c r="EA104" s="55">
        <f>+'Income Statement'!EM27</f>
        <v>674</v>
      </c>
      <c r="EB104" s="55">
        <f>+'Income Statement'!EN27</f>
        <v>802</v>
      </c>
      <c r="EC104" s="55">
        <f>+'Income Statement'!EO27</f>
        <v>714</v>
      </c>
      <c r="ED104" s="55">
        <f>+'Income Statement'!EP27</f>
        <v>677</v>
      </c>
      <c r="EE104" s="42">
        <f t="shared" si="428"/>
        <v>714</v>
      </c>
      <c r="EF104" s="42">
        <f t="shared" si="428"/>
        <v>677</v>
      </c>
      <c r="EG104" s="55">
        <f>+'Income Statement'!ES27</f>
        <v>513</v>
      </c>
      <c r="EH104" s="55">
        <f>+'Income Statement'!EU27</f>
        <v>371</v>
      </c>
      <c r="EI104" s="55">
        <f>+'Income Statement'!EV27</f>
        <v>512</v>
      </c>
      <c r="EJ104" s="55">
        <f>+'Income Statement'!EW27</f>
        <v>510</v>
      </c>
      <c r="EK104" s="56">
        <f>+'Income Statement'!EX27</f>
        <v>561</v>
      </c>
      <c r="EL104" s="56">
        <f>+'Income Statement'!EY27</f>
        <v>578</v>
      </c>
      <c r="EM104" s="1696">
        <f>+'Income Statement'!EZ27</f>
        <v>473.71543724883486</v>
      </c>
      <c r="EN104" s="55">
        <f>+'Income Statement'!FA27</f>
        <v>484.19786464764212</v>
      </c>
      <c r="EO104" s="55">
        <f>+'Income Statement'!FB27</f>
        <v>493.67750257614586</v>
      </c>
      <c r="EP104" s="55">
        <f>+'Income Statement'!FC27</f>
        <v>486.61969788200838</v>
      </c>
      <c r="EQ104" s="55">
        <f>+'Income Statement'!FD27</f>
        <v>485.65484132931158</v>
      </c>
      <c r="ER104" s="55">
        <f>+'Income Statement'!FE27</f>
        <v>487.84368127522572</v>
      </c>
      <c r="ES104" s="55">
        <f>+'Income Statement'!FF27</f>
        <v>486.41314870709471</v>
      </c>
      <c r="ET104" s="55">
        <f>+'Income Statement'!FG27</f>
        <v>485.11581535634156</v>
      </c>
      <c r="EU104" s="55">
        <f>+'Income Statement'!FH27</f>
        <v>487.70433837514594</v>
      </c>
      <c r="EV104" s="1376"/>
      <c r="EW104"/>
      <c r="EX104"/>
      <c r="EY104"/>
      <c r="EZ104"/>
      <c r="FA104"/>
      <c r="FB104"/>
      <c r="FG104" s="830"/>
      <c r="FH104" s="830"/>
      <c r="FI104" s="830"/>
      <c r="FJ104" s="830"/>
      <c r="FK104"/>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row>
    <row r="105" spans="1:260" s="231" customFormat="1" outlineLevel="1" x14ac:dyDescent="0.2">
      <c r="A105" s="230" t="s">
        <v>62</v>
      </c>
      <c r="B105" s="42">
        <f>+'Income Statement'!B30</f>
        <v>1.5159999999999922</v>
      </c>
      <c r="C105" s="42">
        <f>+'Income Statement'!C30</f>
        <v>7.5940000000000314</v>
      </c>
      <c r="D105" s="42">
        <f>+'Income Statement'!D30</f>
        <v>11.160999999999948</v>
      </c>
      <c r="E105" s="620">
        <f>+'Income Statement'!E30</f>
        <v>21.439000000000028</v>
      </c>
      <c r="F105" s="42">
        <f>+'Income Statement'!F30</f>
        <v>4.2310000000000025</v>
      </c>
      <c r="G105" s="42">
        <f>+'Income Statement'!G30</f>
        <v>7.5999999999999632</v>
      </c>
      <c r="H105" s="42">
        <f>+'Income Statement'!H30</f>
        <v>17.702000000000062</v>
      </c>
      <c r="I105" s="620">
        <f>+'Income Statement'!I30</f>
        <v>28.107999999999986</v>
      </c>
      <c r="J105" s="42">
        <f>+'Income Statement'!J30</f>
        <v>4.6450000000001834</v>
      </c>
      <c r="K105" s="42">
        <f>+'Income Statement'!K30</f>
        <v>5.7140000000000875</v>
      </c>
      <c r="L105" s="42">
        <f>+'Income Statement'!L30</f>
        <v>17.802000000000049</v>
      </c>
      <c r="M105" s="620">
        <f>+'Income Statement'!M30</f>
        <v>19.830999999999971</v>
      </c>
      <c r="N105" s="42">
        <f>+'Income Statement'!N30</f>
        <v>0.40899999999985548</v>
      </c>
      <c r="O105" s="42">
        <f>+'Income Statement'!O30</f>
        <v>3.7880000000001686</v>
      </c>
      <c r="P105" s="42">
        <f>+'Income Statement'!P30</f>
        <v>-10.972999999999956</v>
      </c>
      <c r="Q105" s="620">
        <f>+'Income Statement'!Q30</f>
        <v>8.5239999999997806</v>
      </c>
      <c r="R105" s="42">
        <f>+'Income Statement'!R30</f>
        <v>-2.6389999999999625</v>
      </c>
      <c r="S105" s="42">
        <f>+'Income Statement'!S30</f>
        <v>6.6479999999998745</v>
      </c>
      <c r="T105" s="42">
        <f>+'Income Statement'!T30</f>
        <v>26.39799999999989</v>
      </c>
      <c r="U105" s="620">
        <f>+'Income Statement'!U30</f>
        <v>64.025999999999854</v>
      </c>
      <c r="V105" s="42">
        <f>+'Income Statement'!V30</f>
        <v>12.477000000000103</v>
      </c>
      <c r="W105" s="42">
        <f>+'Income Statement'!W30</f>
        <v>41.455000000000005</v>
      </c>
      <c r="X105" s="42">
        <f>+'Income Statement'!X30</f>
        <v>53.543000000000134</v>
      </c>
      <c r="Y105" s="620">
        <f>+'Income Statement'!Y30</f>
        <v>108.80700000000033</v>
      </c>
      <c r="Z105" s="42">
        <f>+'Income Statement'!Z30</f>
        <v>46.808999999999962</v>
      </c>
      <c r="AA105" s="42">
        <f>+'Income Statement'!AA30</f>
        <v>58.066999999999993</v>
      </c>
      <c r="AB105" s="42">
        <f>+'Income Statement'!AB30</f>
        <v>78.389000000000181</v>
      </c>
      <c r="AC105" s="620">
        <f>+'Income Statement'!AC30</f>
        <v>163.80499999999989</v>
      </c>
      <c r="AD105" s="42">
        <f>+'Income Statement'!AD30</f>
        <v>72.157999999999859</v>
      </c>
      <c r="AE105" s="42">
        <f>+'Income Statement'!AE30</f>
        <v>76.747999999999905</v>
      </c>
      <c r="AF105" s="42">
        <f>+'Income Statement'!AF30</f>
        <v>57.262999999999693</v>
      </c>
      <c r="AG105" s="620">
        <f>+'Income Statement'!AG30</f>
        <v>190.00000000000006</v>
      </c>
      <c r="AH105" s="42">
        <f>+'Income Statement'!AH30</f>
        <v>55</v>
      </c>
      <c r="AI105" s="42">
        <f>+'Income Statement'!AI30</f>
        <v>85</v>
      </c>
      <c r="AJ105" s="42">
        <f>+'Income Statement'!AJ30</f>
        <v>80</v>
      </c>
      <c r="AK105" s="620">
        <f>+'Income Statement'!AK30</f>
        <v>350</v>
      </c>
      <c r="AL105" s="42">
        <f>+'Income Statement'!AL30</f>
        <v>79</v>
      </c>
      <c r="AM105" s="42">
        <f>+'Income Statement'!AM30</f>
        <v>79</v>
      </c>
      <c r="AN105" s="42">
        <f>+'Income Statement'!AN30</f>
        <v>86</v>
      </c>
      <c r="AO105" s="620">
        <f>+'Income Statement'!AO30</f>
        <v>378</v>
      </c>
      <c r="AP105" s="42">
        <f>+'Income Statement'!AP30</f>
        <v>69</v>
      </c>
      <c r="AQ105" s="42">
        <f>+'Income Statement'!AQ30</f>
        <v>139.44999999999999</v>
      </c>
      <c r="AR105" s="42">
        <f>+'Income Statement'!AR30</f>
        <v>122</v>
      </c>
      <c r="AS105" s="620">
        <f>+'Income Statement'!AS30</f>
        <v>469</v>
      </c>
      <c r="AT105" s="42">
        <f>+'Income Statement'!AT30</f>
        <v>113.896</v>
      </c>
      <c r="AU105" s="42">
        <f>+'Income Statement'!AU30</f>
        <v>150.42000000000002</v>
      </c>
      <c r="AV105" s="42">
        <f>+'Income Statement'!AV30</f>
        <v>148</v>
      </c>
      <c r="AW105" s="620">
        <f>+'Income Statement'!AW30</f>
        <v>522</v>
      </c>
      <c r="AX105" s="42">
        <f>+'Income Statement'!AX30</f>
        <v>170</v>
      </c>
      <c r="AY105" s="42">
        <f>+'Income Statement'!AY30</f>
        <v>188</v>
      </c>
      <c r="AZ105" s="42">
        <f>+'Income Statement'!AZ30</f>
        <v>138</v>
      </c>
      <c r="BA105" s="620">
        <f>+'Income Statement'!BA30</f>
        <v>644</v>
      </c>
      <c r="BB105" s="42">
        <f>+'Income Statement'!BB30</f>
        <v>234</v>
      </c>
      <c r="BC105" s="42">
        <f>+'Income Statement'!BC30</f>
        <v>230</v>
      </c>
      <c r="BD105" s="42">
        <f>+'Income Statement'!BD30</f>
        <v>150</v>
      </c>
      <c r="BE105" s="620">
        <f>+'Income Statement'!BE30</f>
        <v>763</v>
      </c>
      <c r="BF105" s="42">
        <f>+'Income Statement'!BF30</f>
        <v>192</v>
      </c>
      <c r="BG105" s="42">
        <f>+'Income Statement'!BG30</f>
        <v>250</v>
      </c>
      <c r="BH105" s="42">
        <f>+'Income Statement'!BH30</f>
        <v>228</v>
      </c>
      <c r="BI105" s="620">
        <f>+'Income Statement'!BI30</f>
        <v>737</v>
      </c>
      <c r="BJ105" s="42">
        <f>+'Income Statement'!BJ30</f>
        <v>179</v>
      </c>
      <c r="BK105" s="42">
        <f>+'Income Statement'!BK30</f>
        <v>202</v>
      </c>
      <c r="BL105" s="42">
        <f>+'Income Statement'!BL30</f>
        <v>163</v>
      </c>
      <c r="BM105" s="620">
        <f>+'Income Statement'!BM30</f>
        <v>714</v>
      </c>
      <c r="BN105" s="42">
        <f>+'Income Statement'!BN30</f>
        <v>205</v>
      </c>
      <c r="BO105" s="42">
        <f>+'Income Statement'!BO30</f>
        <v>158</v>
      </c>
      <c r="BP105" s="42">
        <f>+'Income Statement'!BP30</f>
        <v>227</v>
      </c>
      <c r="BQ105" s="620">
        <f>+'Income Statement'!BQ30</f>
        <v>779</v>
      </c>
      <c r="BR105" s="42">
        <f>+'Income Statement'!BR30</f>
        <v>155</v>
      </c>
      <c r="BS105" s="42">
        <f>+'Income Statement'!BS30</f>
        <v>254</v>
      </c>
      <c r="BT105" s="42">
        <f>+'Income Statement'!BT30</f>
        <v>217</v>
      </c>
      <c r="BU105" s="620">
        <f>+'Income Statement'!BU30</f>
        <v>873</v>
      </c>
      <c r="BV105" s="42">
        <f>+'Income Statement'!BV30</f>
        <v>138</v>
      </c>
      <c r="BW105" s="42">
        <f>+'Income Statement'!BW30</f>
        <v>179</v>
      </c>
      <c r="BX105" s="42">
        <f>+'Income Statement'!BX30</f>
        <v>172</v>
      </c>
      <c r="BY105" s="620">
        <f>+'Income Statement'!BY30</f>
        <v>871</v>
      </c>
      <c r="BZ105" s="42">
        <f>+'Income Statement'!CH30</f>
        <v>246</v>
      </c>
      <c r="CA105" s="42">
        <f>+'Income Statement'!CI30</f>
        <v>68</v>
      </c>
      <c r="CB105" s="42">
        <f>+'Income Statement'!CJ30</f>
        <v>10</v>
      </c>
      <c r="CC105" s="620">
        <f>+'Income Statement'!CK30</f>
        <v>554</v>
      </c>
      <c r="CD105" s="141">
        <f>+'Income Statement'!CP30</f>
        <v>125</v>
      </c>
      <c r="CE105" s="141">
        <f>+'Income Statement'!CQ30</f>
        <v>104</v>
      </c>
      <c r="CF105" s="141">
        <f>+'Income Statement'!CR30</f>
        <v>68</v>
      </c>
      <c r="CG105" s="631">
        <f>+'Income Statement'!CS30</f>
        <v>424</v>
      </c>
      <c r="CH105" s="141">
        <f>+'Income Statement'!CT30</f>
        <v>123</v>
      </c>
      <c r="CI105" s="141">
        <f>+'Income Statement'!CU30</f>
        <v>148</v>
      </c>
      <c r="CJ105" s="141">
        <f>+'Income Statement'!CV30</f>
        <v>121</v>
      </c>
      <c r="CK105" s="631">
        <f>+'Income Statement'!CW30</f>
        <v>526</v>
      </c>
      <c r="CL105" s="196">
        <f>+'Income Statement'!CX30</f>
        <v>124</v>
      </c>
      <c r="CM105" s="196">
        <f>+'Income Statement'!CY30</f>
        <v>165</v>
      </c>
      <c r="CN105" s="196">
        <f>+'Income Statement'!CZ30</f>
        <v>138</v>
      </c>
      <c r="CO105" s="631">
        <f>+'Income Statement'!DA30</f>
        <v>508</v>
      </c>
      <c r="CP105" s="196">
        <f>+'Income Statement'!DB30</f>
        <v>141</v>
      </c>
      <c r="CQ105" s="196">
        <f>+'Income Statement'!DC30</f>
        <v>183</v>
      </c>
      <c r="CR105" s="196">
        <f>+'Income Statement'!DD30</f>
        <v>193</v>
      </c>
      <c r="CS105" s="631">
        <f>+'Income Statement'!DE30</f>
        <v>615</v>
      </c>
      <c r="CT105" s="196">
        <f>+'Income Statement'!DF30</f>
        <v>188</v>
      </c>
      <c r="CU105" s="196">
        <f>+'Income Statement'!DG30</f>
        <v>214</v>
      </c>
      <c r="CV105" s="196">
        <f>+'Income Statement'!DH30</f>
        <v>237</v>
      </c>
      <c r="CW105" s="631">
        <f>+'Income Statement'!DI30</f>
        <v>718</v>
      </c>
      <c r="CX105" s="1718">
        <f>+'Income Statement'!DJ30</f>
        <v>215.71264211991061</v>
      </c>
      <c r="CY105" s="196">
        <f>+'Income Statement'!DK30</f>
        <v>232.38419664571583</v>
      </c>
      <c r="CZ105" s="196">
        <f>+'Income Statement'!DL30</f>
        <v>263.56814296394919</v>
      </c>
      <c r="DA105" s="631">
        <f>+'Income Statement'!DM30</f>
        <v>710.50698474922842</v>
      </c>
      <c r="DB105" s="688"/>
      <c r="DC105" s="628"/>
      <c r="DD105" s="196">
        <f>+'Income Statement'!DP30</f>
        <v>4.0600099999999921</v>
      </c>
      <c r="DE105" s="196">
        <f>+'Income Statement'!DQ30</f>
        <v>7.3980000000000032</v>
      </c>
      <c r="DF105" s="196">
        <f>+'Income Statement'!DR30</f>
        <v>2.7682000000000255</v>
      </c>
      <c r="DG105" s="196">
        <f>+'Income Statement'!DS30</f>
        <v>2.060099999999931</v>
      </c>
      <c r="DH105" s="196">
        <f>+'Income Statement'!DT30</f>
        <v>5.683000000000006</v>
      </c>
      <c r="DI105" s="196">
        <f>+'Income Statement'!DU30</f>
        <v>4.5399999999999139</v>
      </c>
      <c r="DJ105" s="196">
        <f>+'Income Statement'!DV30</f>
        <v>9.6010000000000115</v>
      </c>
      <c r="DK105" s="196">
        <f>+'Income Statement'!DW30</f>
        <v>19.855000000000096</v>
      </c>
      <c r="DL105" s="42">
        <f>+'Income Statement'!DX30</f>
        <v>41.71</v>
      </c>
      <c r="DM105" s="42">
        <f>+'Income Statement'!DY30</f>
        <v>57.641000000000012</v>
      </c>
      <c r="DN105" s="42">
        <f>+'Income Statement'!DZ30</f>
        <v>47.992000000000303</v>
      </c>
      <c r="DO105" s="42">
        <f>+'Income Statement'!EA30</f>
        <v>1.7479999999994549</v>
      </c>
      <c r="DP105" s="42">
        <f>+'Income Statement'!EB30</f>
        <v>94.432999999999666</v>
      </c>
      <c r="DQ105" s="42">
        <f>+'Income Statement'!EC30</f>
        <v>216.28200000000109</v>
      </c>
      <c r="DR105" s="42">
        <f>+'Income Statement'!ED30</f>
        <v>347.07000000000005</v>
      </c>
      <c r="DS105" s="42">
        <f>+'Income Statement'!EE30</f>
        <v>396.16899999999953</v>
      </c>
      <c r="DT105" s="42">
        <f>+'Income Statement'!EF30</f>
        <v>570</v>
      </c>
      <c r="DU105" s="42">
        <f>+'Income Statement'!EG30</f>
        <v>622</v>
      </c>
      <c r="DV105" s="42">
        <f>+'Income Statement'!EH30</f>
        <v>799.45</v>
      </c>
      <c r="DW105" s="42">
        <f>+'Income Statement'!EI30</f>
        <v>934.31600000000003</v>
      </c>
      <c r="DX105" s="42">
        <f>+'Income Statement'!EJ30</f>
        <v>1140</v>
      </c>
      <c r="DY105" s="42">
        <f>+'Income Statement'!EK30</f>
        <v>1377</v>
      </c>
      <c r="DZ105" s="42">
        <f>+'Income Statement'!EL30</f>
        <v>1407</v>
      </c>
      <c r="EA105" s="42">
        <f>+'Income Statement'!EM30</f>
        <v>1258</v>
      </c>
      <c r="EB105" s="42">
        <f>+'Income Statement'!EN30</f>
        <v>1369</v>
      </c>
      <c r="EC105" s="42">
        <f>+'Income Statement'!EO30</f>
        <v>1499</v>
      </c>
      <c r="ED105" s="42">
        <f>+'Income Statement'!EP30</f>
        <v>1360</v>
      </c>
      <c r="EE105" s="42">
        <f t="shared" si="428"/>
        <v>1499</v>
      </c>
      <c r="EF105" s="42">
        <f t="shared" si="428"/>
        <v>1360</v>
      </c>
      <c r="EG105" s="42">
        <f>+'Income Statement'!ES30</f>
        <v>878</v>
      </c>
      <c r="EH105" s="42">
        <f>+'Income Statement'!EU30</f>
        <v>721</v>
      </c>
      <c r="EI105" s="42">
        <f>+'Income Statement'!EV30</f>
        <v>918</v>
      </c>
      <c r="EJ105" s="42">
        <f>+'Income Statement'!EW30</f>
        <v>935</v>
      </c>
      <c r="EK105" s="141">
        <f>+'Income Statement'!EX30</f>
        <v>1132</v>
      </c>
      <c r="EL105" s="141">
        <f>+'Income Statement'!EY30</f>
        <v>1357</v>
      </c>
      <c r="EM105" s="1717">
        <f>+'Income Statement'!EZ30</f>
        <v>1422.1719664788041</v>
      </c>
      <c r="EN105" s="42">
        <f>+'Income Statement'!FA30</f>
        <v>1453.6419444761691</v>
      </c>
      <c r="EO105" s="42">
        <f>+'Income Statement'!FB30</f>
        <v>1482.1013828946927</v>
      </c>
      <c r="EP105" s="42">
        <f>+'Income Statement'!FC30</f>
        <v>1460.9126877591102</v>
      </c>
      <c r="EQ105" s="42">
        <f>+'Income Statement'!FD30</f>
        <v>1458.016029062725</v>
      </c>
      <c r="ER105" s="42">
        <f>+'Income Statement'!FE30</f>
        <v>1464.5872880199306</v>
      </c>
      <c r="ES105" s="42">
        <f>+'Income Statement'!FF30</f>
        <v>1460.2925930288907</v>
      </c>
      <c r="ET105" s="42">
        <f>+'Income Statement'!FG30</f>
        <v>1456.3977840833888</v>
      </c>
      <c r="EU105" s="42">
        <f>+'Income Statement'!FH30</f>
        <v>1464.1689576244253</v>
      </c>
      <c r="EV105" s="1375"/>
      <c r="EW105"/>
      <c r="EX105"/>
      <c r="EY105"/>
      <c r="EZ105"/>
      <c r="FA105"/>
      <c r="FB105"/>
      <c r="FC105" s="4"/>
      <c r="FD105" s="4"/>
      <c r="FE105" s="4"/>
      <c r="FF105" s="4"/>
      <c r="FG105" s="196"/>
      <c r="FH105" s="196"/>
      <c r="FI105" s="196"/>
      <c r="FJ105" s="196"/>
      <c r="FK105"/>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row>
    <row r="106" spans="1:260" s="231" customFormat="1" outlineLevel="1" x14ac:dyDescent="0.2">
      <c r="A106" s="230"/>
      <c r="B106" s="42"/>
      <c r="C106" s="42"/>
      <c r="D106" s="42"/>
      <c r="E106" s="620"/>
      <c r="F106" s="42"/>
      <c r="G106" s="42"/>
      <c r="H106" s="42"/>
      <c r="I106" s="620"/>
      <c r="J106" s="42"/>
      <c r="K106" s="42"/>
      <c r="L106" s="42"/>
      <c r="M106" s="620"/>
      <c r="N106" s="42"/>
      <c r="O106" s="42"/>
      <c r="P106" s="42"/>
      <c r="Q106" s="620"/>
      <c r="R106" s="42"/>
      <c r="S106" s="42"/>
      <c r="T106" s="42"/>
      <c r="U106" s="620"/>
      <c r="V106" s="42"/>
      <c r="W106" s="42"/>
      <c r="X106" s="42"/>
      <c r="Y106" s="620"/>
      <c r="Z106" s="42"/>
      <c r="AA106" s="42"/>
      <c r="AB106" s="42"/>
      <c r="AC106" s="620"/>
      <c r="AD106" s="42"/>
      <c r="AE106" s="42"/>
      <c r="AF106" s="42"/>
      <c r="AG106" s="620"/>
      <c r="AH106" s="42"/>
      <c r="AI106" s="42"/>
      <c r="AJ106" s="42"/>
      <c r="AK106" s="620"/>
      <c r="AL106" s="42"/>
      <c r="AM106" s="42"/>
      <c r="AN106" s="42"/>
      <c r="AO106" s="620"/>
      <c r="AP106" s="42"/>
      <c r="AQ106" s="42"/>
      <c r="AR106" s="42"/>
      <c r="AS106" s="620"/>
      <c r="AT106" s="42"/>
      <c r="AU106" s="42"/>
      <c r="AV106" s="42"/>
      <c r="AW106" s="620"/>
      <c r="AX106" s="42"/>
      <c r="AY106" s="42"/>
      <c r="AZ106" s="42"/>
      <c r="BA106" s="620"/>
      <c r="BB106" s="42"/>
      <c r="BC106" s="42"/>
      <c r="BD106" s="42"/>
      <c r="BE106" s="620"/>
      <c r="BF106" s="42"/>
      <c r="BG106" s="42"/>
      <c r="BH106" s="42"/>
      <c r="BI106" s="620"/>
      <c r="BJ106" s="42"/>
      <c r="BK106" s="42"/>
      <c r="BL106" s="42"/>
      <c r="BM106" s="620"/>
      <c r="BN106" s="42"/>
      <c r="BO106" s="42"/>
      <c r="BP106" s="42"/>
      <c r="BQ106" s="620"/>
      <c r="BR106" s="42"/>
      <c r="BS106" s="42"/>
      <c r="BT106" s="42"/>
      <c r="BU106" s="620"/>
      <c r="BV106" s="42"/>
      <c r="BW106" s="42"/>
      <c r="BX106" s="42"/>
      <c r="BY106" s="620"/>
      <c r="BZ106" s="42"/>
      <c r="CA106" s="42"/>
      <c r="CB106" s="42"/>
      <c r="CC106" s="620"/>
      <c r="CD106" s="141"/>
      <c r="CE106" s="141"/>
      <c r="CF106" s="141"/>
      <c r="CG106" s="631"/>
      <c r="CH106" s="141"/>
      <c r="CI106" s="141"/>
      <c r="CJ106" s="141"/>
      <c r="CK106" s="631"/>
      <c r="CL106" s="196"/>
      <c r="CM106" s="196"/>
      <c r="CN106" s="196"/>
      <c r="CO106" s="631"/>
      <c r="CP106" s="196"/>
      <c r="CQ106" s="196"/>
      <c r="CR106" s="196"/>
      <c r="CS106" s="631"/>
      <c r="CT106" s="196"/>
      <c r="CU106" s="196"/>
      <c r="CV106" s="196"/>
      <c r="CW106" s="631"/>
      <c r="CX106" s="1718"/>
      <c r="CY106" s="196"/>
      <c r="CZ106" s="196"/>
      <c r="DA106" s="631"/>
      <c r="DB106" s="688"/>
      <c r="DC106" s="628"/>
      <c r="DD106" s="42"/>
      <c r="DE106" s="42"/>
      <c r="DF106" s="42"/>
      <c r="DG106" s="42"/>
      <c r="DH106" s="42"/>
      <c r="DI106" s="42"/>
      <c r="DJ106" s="42"/>
      <c r="DK106" s="42"/>
      <c r="DL106" s="42"/>
      <c r="DM106" s="42"/>
      <c r="DN106" s="42"/>
      <c r="DO106" s="42"/>
      <c r="DP106" s="42"/>
      <c r="DQ106" s="42"/>
      <c r="DR106" s="42"/>
      <c r="DS106" s="42"/>
      <c r="DT106" s="42"/>
      <c r="DU106" s="42"/>
      <c r="DV106" s="42"/>
      <c r="DW106" s="42"/>
      <c r="DX106" s="42"/>
      <c r="DY106" s="42"/>
      <c r="DZ106" s="42"/>
      <c r="EA106" s="42"/>
      <c r="EB106" s="42"/>
      <c r="EC106" s="42"/>
      <c r="ED106" s="42"/>
      <c r="EE106" s="42"/>
      <c r="EF106" s="42"/>
      <c r="EG106" s="42"/>
      <c r="EH106" s="42"/>
      <c r="EI106" s="42"/>
      <c r="EJ106" s="42"/>
      <c r="EK106" s="141"/>
      <c r="EL106" s="141"/>
      <c r="EM106" s="1717"/>
      <c r="EN106" s="42"/>
      <c r="EO106" s="42"/>
      <c r="EP106" s="42"/>
      <c r="EQ106" s="42"/>
      <c r="ER106" s="42"/>
      <c r="ES106" s="42"/>
      <c r="ET106" s="42"/>
      <c r="EU106" s="42"/>
      <c r="EV106" s="1377"/>
      <c r="EW106"/>
      <c r="EX106"/>
      <c r="EY106"/>
      <c r="EZ106"/>
      <c r="FA106"/>
      <c r="FB106"/>
      <c r="FC106" s="4"/>
      <c r="FD106" s="4"/>
      <c r="FE106" s="4"/>
      <c r="FF106" s="4"/>
      <c r="FG106" s="196"/>
      <c r="FH106" s="196"/>
      <c r="FI106" s="196"/>
      <c r="FJ106" s="196"/>
      <c r="FK106"/>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row>
    <row r="107" spans="1:260" s="231" customFormat="1" outlineLevel="1" x14ac:dyDescent="0.2">
      <c r="A107" s="295" t="s">
        <v>5</v>
      </c>
      <c r="B107" s="42">
        <f>'Income Statement'!B61</f>
        <v>371.54699999999997</v>
      </c>
      <c r="C107" s="42">
        <f>'Income Statement'!C61</f>
        <v>374.67900000000003</v>
      </c>
      <c r="D107" s="42">
        <f>'Income Statement'!D61</f>
        <v>375.37199999999996</v>
      </c>
      <c r="E107" s="620">
        <f>'Income Statement'!E61</f>
        <v>375.678</v>
      </c>
      <c r="F107" s="42">
        <f>'Income Statement'!F61</f>
        <v>376.68599999999998</v>
      </c>
      <c r="G107" s="42">
        <f>'Income Statement'!G61</f>
        <v>378.60300000000001</v>
      </c>
      <c r="H107" s="42">
        <f>'Income Statement'!H61</f>
        <v>379.48500000000001</v>
      </c>
      <c r="I107" s="620">
        <f>'Income Statement'!I61</f>
        <v>379.94400000000002</v>
      </c>
      <c r="J107" s="42">
        <f>'Income Statement'!J61</f>
        <v>383.346</v>
      </c>
      <c r="K107" s="42">
        <f>'Income Statement'!K61</f>
        <v>384.03</v>
      </c>
      <c r="L107" s="42">
        <f>'Income Statement'!L61</f>
        <v>384.34500000000003</v>
      </c>
      <c r="M107" s="620">
        <f>'Income Statement'!M61</f>
        <v>385.57799999999997</v>
      </c>
      <c r="N107" s="42">
        <f>'Income Statement'!N61</f>
        <v>388.11600000000004</v>
      </c>
      <c r="O107" s="42">
        <f>'Income Statement'!O61</f>
        <v>388.99799999999999</v>
      </c>
      <c r="P107" s="42">
        <f>'Income Statement'!P61</f>
        <v>389.45700000000005</v>
      </c>
      <c r="Q107" s="620">
        <f>'Income Statement'!Q61</f>
        <v>389.58299999999997</v>
      </c>
      <c r="R107" s="42">
        <f>'Income Statement'!R61</f>
        <v>394.25399999999996</v>
      </c>
      <c r="S107" s="42">
        <f>'Income Statement'!S61</f>
        <v>394.31700000000001</v>
      </c>
      <c r="T107" s="42">
        <f>'Income Statement'!T61</f>
        <v>395.154</v>
      </c>
      <c r="U107" s="620">
        <f>'Income Statement'!U61</f>
        <v>401.63399999999996</v>
      </c>
      <c r="V107" s="42">
        <f>'Income Statement'!V61</f>
        <v>451.39499999999998</v>
      </c>
      <c r="W107" s="42">
        <f>'Income Statement'!W61</f>
        <v>453.46499999999997</v>
      </c>
      <c r="X107" s="42">
        <f>'Income Statement'!X61</f>
        <v>453.96900000000005</v>
      </c>
      <c r="Y107" s="620">
        <f>'Income Statement'!Y61</f>
        <v>458.14950000000005</v>
      </c>
      <c r="Z107" s="42">
        <f>'Income Statement'!Z61</f>
        <v>458.56350000000003</v>
      </c>
      <c r="AA107" s="42">
        <f>'Income Statement'!AA61</f>
        <v>461.85750000000002</v>
      </c>
      <c r="AB107" s="42">
        <f>'Income Statement'!AB61</f>
        <v>459.92475000000002</v>
      </c>
      <c r="AC107" s="620">
        <f>'Income Statement'!AC61</f>
        <v>450.85274999999996</v>
      </c>
      <c r="AD107" s="42">
        <f>'Income Statement'!AD61</f>
        <v>465.19875000000002</v>
      </c>
      <c r="AE107" s="42">
        <f>'Income Statement'!AE61</f>
        <v>467.08875</v>
      </c>
      <c r="AF107" s="42">
        <f>'Income Statement'!AF61</f>
        <v>467.45774999999998</v>
      </c>
      <c r="AG107" s="620">
        <f>'Income Statement'!AG61</f>
        <v>468.31049999999999</v>
      </c>
      <c r="AH107" s="42">
        <f>'Income Statement'!AH61</f>
        <v>472.47300000000001</v>
      </c>
      <c r="AI107" s="42">
        <f>'Income Statement'!AI61</f>
        <v>474.435</v>
      </c>
      <c r="AJ107" s="42">
        <f>'Income Statement'!AJ61</f>
        <v>476.25749999999999</v>
      </c>
      <c r="AK107" s="620">
        <f>'Income Statement'!AK61</f>
        <v>478.69200000000001</v>
      </c>
      <c r="AL107" s="42">
        <f>'Income Statement'!AL61</f>
        <v>482.06700000000001</v>
      </c>
      <c r="AM107" s="42">
        <f>'Income Statement'!AM61</f>
        <v>482.36850000000004</v>
      </c>
      <c r="AN107" s="42">
        <f>'Income Statement'!AN61</f>
        <v>482.58749999999998</v>
      </c>
      <c r="AO107" s="620">
        <f>'Income Statement'!AO61</f>
        <v>482.94900000000001</v>
      </c>
      <c r="AP107" s="42">
        <f>'Income Statement'!AP61</f>
        <v>483.5985</v>
      </c>
      <c r="AQ107" s="42">
        <f>'Income Statement'!AQ61</f>
        <v>485.44050000000004</v>
      </c>
      <c r="AR107" s="42">
        <f>'Income Statement'!AR61</f>
        <v>487.00649999999996</v>
      </c>
      <c r="AS107" s="620">
        <f>'Income Statement'!AS61</f>
        <v>486.97200000000004</v>
      </c>
      <c r="AT107" s="42">
        <f>'Income Statement'!AT61</f>
        <v>487.26749999999998</v>
      </c>
      <c r="AU107" s="42">
        <f>'Income Statement'!AU61</f>
        <v>486.59550000000002</v>
      </c>
      <c r="AV107" s="42">
        <f>'Income Statement'!AV61</f>
        <v>492.11250000000001</v>
      </c>
      <c r="AW107" s="620">
        <f>'Income Statement'!AW61</f>
        <v>492.51299999999998</v>
      </c>
      <c r="AX107" s="42">
        <f>'Income Statement'!AX61</f>
        <v>487.71600000000001</v>
      </c>
      <c r="AY107" s="42">
        <f>'Income Statement'!AY61</f>
        <v>492.44400000000002</v>
      </c>
      <c r="AZ107" s="42">
        <f>'Income Statement'!AZ61</f>
        <v>489.92599999999999</v>
      </c>
      <c r="BA107" s="620">
        <f>'Income Statement'!BA61</f>
        <v>485.09800000000001</v>
      </c>
      <c r="BB107" s="42">
        <f>'Income Statement'!BB61</f>
        <v>484.01400000000001</v>
      </c>
      <c r="BC107" s="42">
        <f>'Income Statement'!BC61</f>
        <v>480.25</v>
      </c>
      <c r="BD107" s="42">
        <f>'Income Statement'!BD61</f>
        <v>481.92700000000002</v>
      </c>
      <c r="BE107" s="620">
        <f>'Income Statement'!BE61</f>
        <v>480.65499999999997</v>
      </c>
      <c r="BF107" s="42">
        <f>'Income Statement'!BF61</f>
        <v>473.89800000000002</v>
      </c>
      <c r="BG107" s="42">
        <f>'Income Statement'!BG61</f>
        <v>417.77699999999999</v>
      </c>
      <c r="BH107" s="42">
        <f>'Income Statement'!BH61</f>
        <v>419.48399999999998</v>
      </c>
      <c r="BI107" s="620">
        <f>'Income Statement'!BI61</f>
        <v>411.79525999999998</v>
      </c>
      <c r="BJ107" s="42">
        <f>'Income Statement'!BJ61</f>
        <v>411.93</v>
      </c>
      <c r="BK107" s="42">
        <f>'Income Statement'!BK61</f>
        <v>412.33199999999999</v>
      </c>
      <c r="BL107" s="42">
        <f>'Income Statement'!BL61</f>
        <v>413.42899999999997</v>
      </c>
      <c r="BM107" s="620">
        <f>'Income Statement'!BM61</f>
        <v>416.28022299999998</v>
      </c>
      <c r="BN107" s="42">
        <f>'Income Statement'!BN61</f>
        <v>416.35899999999998</v>
      </c>
      <c r="BO107" s="42">
        <f>'Income Statement'!BO61</f>
        <v>416.53899999999999</v>
      </c>
      <c r="BP107" s="42">
        <f>'Income Statement'!BP61</f>
        <v>418.03199999999998</v>
      </c>
      <c r="BQ107" s="620">
        <f>'Income Statement'!BQ61</f>
        <v>418.815</v>
      </c>
      <c r="BR107" s="42">
        <f>'Income Statement'!BR61</f>
        <v>420.06200000000001</v>
      </c>
      <c r="BS107" s="42">
        <f>'Income Statement'!BS61</f>
        <v>402.96100000000001</v>
      </c>
      <c r="BT107" s="42">
        <f>'Income Statement'!BT61</f>
        <v>394.06700000000001</v>
      </c>
      <c r="BU107" s="620">
        <f>'Income Statement'!BU61</f>
        <v>392.59</v>
      </c>
      <c r="BV107" s="42">
        <f>'Income Statement'!BV61</f>
        <v>377.96300000000002</v>
      </c>
      <c r="BW107" s="42">
        <f>'Income Statement'!BW61</f>
        <v>365.55599999999998</v>
      </c>
      <c r="BX107" s="42">
        <f>'Income Statement'!BX61</f>
        <v>353.99099999999999</v>
      </c>
      <c r="BY107" s="620">
        <f>'Income Statement'!BY61</f>
        <v>341.4</v>
      </c>
      <c r="BZ107" s="42">
        <f>'Income Statement'!CH61</f>
        <v>342.24700000000001</v>
      </c>
      <c r="CA107" s="42">
        <f>'Income Statement'!CI61</f>
        <v>336.53</v>
      </c>
      <c r="CB107" s="42">
        <f>'Income Statement'!CJ61</f>
        <v>337.93</v>
      </c>
      <c r="CC107" s="620">
        <f>'Income Statement'!CK61</f>
        <v>338.27600000000001</v>
      </c>
      <c r="CD107" s="141">
        <f>'Income Statement'!CP61</f>
        <v>339.74</v>
      </c>
      <c r="CE107" s="141">
        <f>'Income Statement'!CQ61</f>
        <v>339.85</v>
      </c>
      <c r="CF107" s="141">
        <f>'Income Statement'!CR61</f>
        <v>337.93</v>
      </c>
      <c r="CG107" s="631">
        <f>'Income Statement'!CS61</f>
        <v>346.3</v>
      </c>
      <c r="CH107" s="141">
        <f>'Income Statement'!CT61</f>
        <v>347.4</v>
      </c>
      <c r="CI107" s="141">
        <f>'Income Statement'!CU61</f>
        <v>349.3</v>
      </c>
      <c r="CJ107" s="141">
        <f>'Income Statement'!CV61</f>
        <v>350.1</v>
      </c>
      <c r="CK107" s="631">
        <f>'Income Statement'!CW61</f>
        <v>351.2</v>
      </c>
      <c r="CL107" s="196">
        <f>'Income Statement'!CX61</f>
        <v>353</v>
      </c>
      <c r="CM107" s="196">
        <f>'Income Statement'!CY61</f>
        <v>344</v>
      </c>
      <c r="CN107" s="196">
        <f>'Income Statement'!CZ61</f>
        <v>345</v>
      </c>
      <c r="CO107" s="631">
        <f>'Income Statement'!DA61</f>
        <v>323.779</v>
      </c>
      <c r="CP107" s="196">
        <f>'Income Statement'!DB61</f>
        <v>324</v>
      </c>
      <c r="CQ107" s="196">
        <f>'Income Statement'!DC61</f>
        <v>317</v>
      </c>
      <c r="CR107" s="196">
        <f>'Income Statement'!DD61</f>
        <v>313</v>
      </c>
      <c r="CS107" s="631">
        <f>'Income Statement'!DE61</f>
        <v>311.108</v>
      </c>
      <c r="CT107" s="196">
        <f>'Income Statement'!DF61</f>
        <v>304.96237100000002</v>
      </c>
      <c r="CU107" s="196">
        <f>'Income Statement'!DG61</f>
        <v>304</v>
      </c>
      <c r="CV107" s="196">
        <f>'Income Statement'!DH61</f>
        <v>299</v>
      </c>
      <c r="CW107" s="631">
        <f>'Income Statement'!DI61</f>
        <v>289.89999999999998</v>
      </c>
      <c r="CX107" s="1718">
        <f>'Income Statement'!DJ61</f>
        <v>283.24121621621617</v>
      </c>
      <c r="CY107" s="196">
        <f>'Income Statement'!DK61</f>
        <v>282.02128712871286</v>
      </c>
      <c r="CZ107" s="196">
        <f>'Income Statement'!DL61</f>
        <v>280.83447615098675</v>
      </c>
      <c r="DA107" s="631">
        <f>'Income Statement'!DM61</f>
        <v>278.36884707295059</v>
      </c>
      <c r="DB107" s="688"/>
      <c r="DC107" s="628"/>
      <c r="DD107" s="42"/>
      <c r="DE107" s="42"/>
      <c r="DF107" s="42"/>
      <c r="DG107" s="42"/>
      <c r="DH107" s="42"/>
      <c r="DI107" s="42"/>
      <c r="DJ107" s="42"/>
      <c r="DK107" s="42"/>
      <c r="DL107" s="42">
        <f>'Income Statement'!DX61</f>
        <v>375.678</v>
      </c>
      <c r="DM107" s="42">
        <f>'Income Statement'!DY61</f>
        <v>379.94400000000002</v>
      </c>
      <c r="DN107" s="42">
        <f>'Income Statement'!DZ61</f>
        <v>385.57799999999997</v>
      </c>
      <c r="DO107" s="42">
        <f>'Income Statement'!EA61</f>
        <v>389.58299999999997</v>
      </c>
      <c r="DP107" s="42">
        <f>'Income Statement'!EB61</f>
        <v>401.63399999999996</v>
      </c>
      <c r="DQ107" s="42">
        <f>'Income Statement'!EC61</f>
        <v>458.14950000000005</v>
      </c>
      <c r="DR107" s="42">
        <f>'Income Statement'!ED61</f>
        <v>450.85274999999996</v>
      </c>
      <c r="DS107" s="42">
        <f>'Income Statement'!EE61</f>
        <v>468.31049999999999</v>
      </c>
      <c r="DT107" s="42">
        <f>'Income Statement'!EF61</f>
        <v>478.69200000000001</v>
      </c>
      <c r="DU107" s="42">
        <f>'Income Statement'!EG61</f>
        <v>482.94900000000001</v>
      </c>
      <c r="DV107" s="42">
        <f>'Income Statement'!EH61</f>
        <v>486.97200000000004</v>
      </c>
      <c r="DW107" s="42">
        <f>'Income Statement'!EI61</f>
        <v>492.51299999999998</v>
      </c>
      <c r="DX107" s="42">
        <f>'Income Statement'!EJ61</f>
        <v>485.09800000000001</v>
      </c>
      <c r="DY107" s="42">
        <f>'Income Statement'!EK61</f>
        <v>480.65499999999997</v>
      </c>
      <c r="DZ107" s="42">
        <f>'Income Statement'!EL61</f>
        <v>411.79525999999998</v>
      </c>
      <c r="EA107" s="42">
        <f>'Income Statement'!EM61</f>
        <v>416.28022299999998</v>
      </c>
      <c r="EB107" s="42">
        <f>'Income Statement'!EN61</f>
        <v>418.815</v>
      </c>
      <c r="EC107" s="42">
        <f>'Income Statement'!EO61</f>
        <v>392.59</v>
      </c>
      <c r="ED107" s="42">
        <f>'Income Statement'!EP61</f>
        <v>341.4</v>
      </c>
      <c r="EE107" s="42">
        <f t="shared" ref="EE107:EF109" si="429">EC107</f>
        <v>392.59</v>
      </c>
      <c r="EF107" s="42">
        <f t="shared" si="429"/>
        <v>341.4</v>
      </c>
      <c r="EG107" s="42">
        <f>'Income Statement'!ES61</f>
        <v>338.27600000000001</v>
      </c>
      <c r="EH107" s="42">
        <f>'Income Statement'!EU61</f>
        <v>346.3</v>
      </c>
      <c r="EI107" s="42">
        <f>'Income Statement'!EV61</f>
        <v>351.2</v>
      </c>
      <c r="EJ107" s="42">
        <f>'Income Statement'!EW61</f>
        <v>323.779</v>
      </c>
      <c r="EK107" s="141">
        <f>'Income Statement'!EX61</f>
        <v>311.108</v>
      </c>
      <c r="EL107" s="141">
        <f>'Income Statement'!EY61</f>
        <v>300.39999999999998</v>
      </c>
      <c r="EM107" s="1717">
        <f>'Income Statement'!EZ61</f>
        <v>278.36884707295059</v>
      </c>
      <c r="EN107" s="42">
        <f>'Income Statement'!FA61</f>
        <v>268.02100198324712</v>
      </c>
      <c r="EO107" s="42">
        <f>'Income Statement'!FB61</f>
        <v>258.75216856448185</v>
      </c>
      <c r="EP107" s="42">
        <f>'Income Statement'!FC61</f>
        <v>254.35596736539651</v>
      </c>
      <c r="EQ107" s="42">
        <f>'Income Statement'!FD61</f>
        <v>251.13398405957673</v>
      </c>
      <c r="ER107" s="42">
        <f>'Income Statement'!FE61</f>
        <v>249.01621101101767</v>
      </c>
      <c r="ES107" s="42">
        <f>'Income Statement'!FF61</f>
        <v>247.93816576387366</v>
      </c>
      <c r="ET107" s="42">
        <f>'Income Statement'!FG61</f>
        <v>247.84048855844068</v>
      </c>
      <c r="EU107" s="42">
        <f>'Income Statement'!FH61</f>
        <v>248.66856979654156</v>
      </c>
      <c r="EV107" s="1375"/>
      <c r="EW107"/>
      <c r="EX107"/>
      <c r="EY107"/>
      <c r="EZ107"/>
      <c r="FA107"/>
      <c r="FB107"/>
      <c r="FC107" s="4"/>
      <c r="FD107" s="4"/>
      <c r="FE107" s="4"/>
      <c r="FF107" s="4"/>
      <c r="FG107" s="196"/>
      <c r="FH107" s="196"/>
      <c r="FI107" s="196"/>
      <c r="FJ107" s="196"/>
      <c r="FK107"/>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row>
    <row r="108" spans="1:260" s="231" customFormat="1" outlineLevel="1" x14ac:dyDescent="0.2">
      <c r="A108" s="295" t="s">
        <v>63</v>
      </c>
      <c r="B108" s="42"/>
      <c r="C108" s="42"/>
      <c r="D108" s="42"/>
      <c r="E108" s="620"/>
      <c r="F108" s="42"/>
      <c r="G108" s="42"/>
      <c r="H108" s="42"/>
      <c r="I108" s="620"/>
      <c r="J108" s="42">
        <f>'Revenue Model'!J383</f>
        <v>7993.5</v>
      </c>
      <c r="K108" s="42">
        <f>'Revenue Model'!K383</f>
        <v>8443.5</v>
      </c>
      <c r="L108" s="42">
        <f>'Revenue Model'!L383</f>
        <v>9298.5</v>
      </c>
      <c r="M108" s="620">
        <f>'Revenue Model'!M383</f>
        <v>10153</v>
      </c>
      <c r="N108" s="42">
        <f>'Revenue Model'!N383</f>
        <v>10670</v>
      </c>
      <c r="O108" s="42">
        <f>'Revenue Model'!O383</f>
        <v>11029</v>
      </c>
      <c r="P108" s="42">
        <f>'Revenue Model'!P383</f>
        <v>11400.5</v>
      </c>
      <c r="Q108" s="620">
        <f>'Revenue Model'!Q383</f>
        <v>11687.5</v>
      </c>
      <c r="R108" s="42">
        <f>'Revenue Model'!R383</f>
        <v>11708</v>
      </c>
      <c r="S108" s="42">
        <f>'Revenue Model'!S383</f>
        <v>11959.5</v>
      </c>
      <c r="T108" s="42">
        <f>'Revenue Model'!T383</f>
        <v>12232.5</v>
      </c>
      <c r="U108" s="620">
        <f>'Revenue Model'!U383</f>
        <v>12348</v>
      </c>
      <c r="V108" s="42">
        <f>'Revenue Model'!V383</f>
        <v>12446.5</v>
      </c>
      <c r="W108" s="42">
        <f>'Revenue Model'!W383</f>
        <v>12563</v>
      </c>
      <c r="X108" s="42">
        <f>'Revenue Model'!X383</f>
        <v>13114.5</v>
      </c>
      <c r="Y108" s="620">
        <f>'Revenue Model'!Y383</f>
        <v>13648</v>
      </c>
      <c r="Z108" s="42">
        <f>'Revenue Model'!Z383</f>
        <v>13691.5</v>
      </c>
      <c r="AA108" s="42">
        <f>'Revenue Model'!AA383</f>
        <v>14162.5</v>
      </c>
      <c r="AB108" s="42">
        <f>'Revenue Model'!AB383</f>
        <v>15129.5</v>
      </c>
      <c r="AC108" s="620">
        <f>'Revenue Model'!AC383</f>
        <v>15728</v>
      </c>
      <c r="AD108" s="42">
        <f>'Revenue Model'!AD383</f>
        <v>15867</v>
      </c>
      <c r="AE108" s="42">
        <f>'Revenue Model'!AE383</f>
        <v>16186</v>
      </c>
      <c r="AF108" s="42">
        <f>'Revenue Model'!AF383</f>
        <v>17329</v>
      </c>
      <c r="AG108" s="620">
        <f>'Revenue Model'!AG383</f>
        <v>18437.8</v>
      </c>
      <c r="AH108" s="42">
        <f>'Revenue Model'!AH383</f>
        <v>19092.8</v>
      </c>
      <c r="AI108" s="42">
        <f>'Revenue Model'!AI383</f>
        <v>19768.5</v>
      </c>
      <c r="AJ108" s="42">
        <f>'Revenue Model'!AJ383</f>
        <v>22016</v>
      </c>
      <c r="AK108" s="620">
        <f>'Revenue Model'!AK383</f>
        <v>24143.5</v>
      </c>
      <c r="AL108" s="42">
        <f>'Revenue Model'!AL383</f>
        <v>24505.5</v>
      </c>
      <c r="AM108" s="42">
        <f>'Revenue Model'!AM383</f>
        <v>25311</v>
      </c>
      <c r="AN108" s="42">
        <f>'Revenue Model'!AN383</f>
        <v>26659</v>
      </c>
      <c r="AO108" s="620">
        <f>'Revenue Model'!AO383</f>
        <v>27509.5</v>
      </c>
      <c r="AP108" s="42">
        <f>'Revenue Model'!AP383</f>
        <v>27666</v>
      </c>
      <c r="AQ108" s="42">
        <f>'Revenue Model'!AQ383</f>
        <v>28132.5</v>
      </c>
      <c r="AR108" s="42">
        <f>'Revenue Model'!AR383</f>
        <v>29237.5</v>
      </c>
      <c r="AS108" s="620">
        <f>'Revenue Model'!AS383</f>
        <v>30140.5</v>
      </c>
      <c r="AT108" s="42">
        <f>'Revenue Model'!AT383</f>
        <v>30476</v>
      </c>
      <c r="AU108" s="42">
        <f>'Revenue Model'!AU383</f>
        <v>30850</v>
      </c>
      <c r="AV108" s="42">
        <f>'Revenue Model'!AV383</f>
        <v>31628</v>
      </c>
      <c r="AW108" s="620">
        <f>'Revenue Model'!AW383</f>
        <v>32396</v>
      </c>
      <c r="AX108" s="42">
        <f>'Revenue Model'!AX383</f>
        <v>32783</v>
      </c>
      <c r="AY108" s="42">
        <f>'Revenue Model'!AY383</f>
        <v>33284.5</v>
      </c>
      <c r="AZ108" s="42">
        <f>'Revenue Model'!AZ383</f>
        <v>34406.5</v>
      </c>
      <c r="BA108" s="620">
        <f>'Revenue Model'!BA383</f>
        <v>35382.875</v>
      </c>
      <c r="BB108" s="42">
        <f>'Revenue Model'!BB383</f>
        <v>35984.864999999998</v>
      </c>
      <c r="BC108" s="42">
        <f>'Revenue Model'!BC383</f>
        <v>38887.49</v>
      </c>
      <c r="BD108" s="42">
        <f>'Revenue Model'!BD383</f>
        <v>42166.5</v>
      </c>
      <c r="BE108" s="620">
        <f>'Revenue Model'!BE383</f>
        <v>43256.5</v>
      </c>
      <c r="BF108" s="42">
        <f>'Revenue Model'!BF383</f>
        <v>44014</v>
      </c>
      <c r="BG108" s="42">
        <f>'Revenue Model'!BG383</f>
        <v>45018.5</v>
      </c>
      <c r="BH108" s="42">
        <f>'Revenue Model'!BH383</f>
        <v>46652.5</v>
      </c>
      <c r="BI108" s="620">
        <f>'Revenue Model'!BI383</f>
        <v>48182.5</v>
      </c>
      <c r="BJ108" s="42">
        <f>'Revenue Model'!BJ383</f>
        <v>49196</v>
      </c>
      <c r="BK108" s="42">
        <f>'Revenue Model'!BK383</f>
        <v>50255.5</v>
      </c>
      <c r="BL108" s="42">
        <f>'Revenue Model'!BL383</f>
        <v>52019.5</v>
      </c>
      <c r="BM108" s="620">
        <f>'Revenue Model'!BM383</f>
        <v>53797.5</v>
      </c>
      <c r="BN108" s="42">
        <f>'Revenue Model'!BN383</f>
        <v>54380.5</v>
      </c>
      <c r="BO108" s="42">
        <f>'Revenue Model'!BO383</f>
        <v>54817</v>
      </c>
      <c r="BP108" s="42">
        <f>'Revenue Model'!BP383</f>
        <v>55583</v>
      </c>
      <c r="BQ108" s="620">
        <f>'Revenue Model'!BQ383</f>
        <v>56070.522418050001</v>
      </c>
      <c r="BR108" s="42">
        <f>'Revenue Model'!BR383</f>
        <v>56343.022418050001</v>
      </c>
      <c r="BS108" s="42">
        <f>'Revenue Model'!BS383</f>
        <v>56960.5</v>
      </c>
      <c r="BT108" s="42">
        <f>'Revenue Model'!BT383</f>
        <v>57609.5</v>
      </c>
      <c r="BU108" s="620">
        <f>'Revenue Model'!BU383</f>
        <v>57993</v>
      </c>
      <c r="BV108" s="42">
        <f>'Revenue Model'!BV383</f>
        <v>58143</v>
      </c>
      <c r="BW108" s="42">
        <f>'Revenue Model'!BW383</f>
        <v>58518</v>
      </c>
      <c r="BX108" s="42">
        <f>'Revenue Model'!BX383</f>
        <v>59106</v>
      </c>
      <c r="BY108" s="620">
        <f>'Revenue Model'!BY383</f>
        <v>59497</v>
      </c>
      <c r="BZ108" s="42">
        <f>'Revenue Model'!CH383</f>
        <v>59666</v>
      </c>
      <c r="CA108" s="42">
        <f>'Revenue Model'!CI383</f>
        <v>59099</v>
      </c>
      <c r="CB108" s="42">
        <f>'Revenue Model'!CJ383</f>
        <v>58554</v>
      </c>
      <c r="CC108" s="620">
        <f>'Revenue Model'!CK383</f>
        <v>57943</v>
      </c>
      <c r="CD108" s="141">
        <f>'Revenue Model'!CP383</f>
        <v>53053</v>
      </c>
      <c r="CE108" s="141">
        <f>'Revenue Model'!CQ383</f>
        <v>48836</v>
      </c>
      <c r="CF108" s="141">
        <f>'Revenue Model'!CR383</f>
        <v>48820</v>
      </c>
      <c r="CG108" s="631">
        <f>'Revenue Model'!CS383</f>
        <v>48740</v>
      </c>
      <c r="CH108" s="141">
        <f>'Revenue Model'!CT383</f>
        <v>48636.5</v>
      </c>
      <c r="CI108" s="141">
        <f>'Revenue Model'!CU383</f>
        <v>48497.5</v>
      </c>
      <c r="CJ108" s="141">
        <f>'Revenue Model'!CV383</f>
        <v>48397.5</v>
      </c>
      <c r="CK108" s="631">
        <f>'Revenue Model'!CW383</f>
        <v>48286</v>
      </c>
      <c r="CL108" s="196">
        <f>'Revenue Model'!CX383</f>
        <v>47203.5</v>
      </c>
      <c r="CM108" s="196">
        <f>'Revenue Model'!CY383</f>
        <v>46185</v>
      </c>
      <c r="CN108" s="196">
        <f>'Revenue Model'!CZ383</f>
        <v>46146.5</v>
      </c>
      <c r="CO108" s="631">
        <f>'Revenue Model'!DA383</f>
        <v>45951.5</v>
      </c>
      <c r="CP108" s="196">
        <f>'Revenue Model'!DB383</f>
        <v>45713.5</v>
      </c>
      <c r="CQ108" s="196">
        <f>'Revenue Model'!DC383</f>
        <v>45646</v>
      </c>
      <c r="CR108" s="196">
        <f>'Revenue Model'!DD383</f>
        <v>45492.5</v>
      </c>
      <c r="CS108" s="631">
        <f>'Revenue Model'!DE383</f>
        <v>45349.5</v>
      </c>
      <c r="CT108" s="196">
        <f>'Revenue Model'!DF383</f>
        <v>45302.5</v>
      </c>
      <c r="CU108" s="196">
        <f>'Revenue Model'!DG383</f>
        <v>45284</v>
      </c>
      <c r="CV108" s="196">
        <f>'Revenue Model'!DH383</f>
        <v>45040</v>
      </c>
      <c r="CW108" s="631">
        <f>'Revenue Model'!DI383</f>
        <v>44762.5</v>
      </c>
      <c r="CX108" s="1718">
        <f>'Revenue Model'!DJ383</f>
        <v>44340.5</v>
      </c>
      <c r="CY108" s="196">
        <f>'Revenue Model'!DK383</f>
        <v>43876.67</v>
      </c>
      <c r="CZ108" s="196">
        <f>'Revenue Model'!DL383</f>
        <v>43760.164583999998</v>
      </c>
      <c r="DA108" s="631">
        <f>'Revenue Model'!DM383</f>
        <v>43731.936518270006</v>
      </c>
      <c r="DB108" s="688"/>
      <c r="DC108" s="628"/>
      <c r="DD108" s="42"/>
      <c r="DE108" s="42"/>
      <c r="DF108" s="42"/>
      <c r="DG108" s="42"/>
      <c r="DH108" s="42"/>
      <c r="DI108" s="42"/>
      <c r="DJ108" s="42"/>
      <c r="DK108" s="42"/>
      <c r="DL108" s="42"/>
      <c r="DM108" s="42"/>
      <c r="DN108" s="42">
        <f>'Revenue Model'!DZ383</f>
        <v>9095.5</v>
      </c>
      <c r="DO108" s="42">
        <f>'Revenue Model'!EA383</f>
        <v>11046</v>
      </c>
      <c r="DP108" s="42">
        <f>'Revenue Model'!EB383</f>
        <v>11967</v>
      </c>
      <c r="DQ108" s="42">
        <f>'Revenue Model'!EC383</f>
        <v>12984</v>
      </c>
      <c r="DR108" s="42">
        <f>'Revenue Model'!ED383</f>
        <v>14703.5</v>
      </c>
      <c r="DS108" s="42">
        <f>'Revenue Model'!EE383</f>
        <v>17200.8</v>
      </c>
      <c r="DT108" s="42">
        <f>'Revenue Model'!EF383</f>
        <v>21193.8</v>
      </c>
      <c r="DU108" s="42">
        <f>'Revenue Model'!EG383</f>
        <v>25360.5</v>
      </c>
      <c r="DV108" s="42">
        <f>'Revenue Model'!EH383</f>
        <v>28300</v>
      </c>
      <c r="DW108" s="42">
        <f>'Revenue Model'!EI383</f>
        <v>30742.499</v>
      </c>
      <c r="DX108" s="42">
        <f>'Revenue Model'!EJ383</f>
        <v>33299.873999999996</v>
      </c>
      <c r="DY108" s="42">
        <f>'Revenue Model'!EK383</f>
        <v>38700.875</v>
      </c>
      <c r="DZ108" s="42">
        <f>'Revenue Model'!EL383</f>
        <v>45157</v>
      </c>
      <c r="EA108" s="42">
        <f>'Revenue Model'!EM383</f>
        <v>50960</v>
      </c>
      <c r="EB108" s="42">
        <f>'Revenue Model'!EN383</f>
        <v>55179.022418050001</v>
      </c>
      <c r="EC108" s="42">
        <f>'Revenue Model'!EO383</f>
        <v>57104.022418050001</v>
      </c>
      <c r="ED108" s="42">
        <f>'Revenue Model'!EP383</f>
        <v>58871</v>
      </c>
      <c r="EE108" s="42">
        <f t="shared" si="429"/>
        <v>57104.022418050001</v>
      </c>
      <c r="EF108" s="42">
        <f t="shared" si="429"/>
        <v>58871</v>
      </c>
      <c r="EG108" s="42">
        <f>'Revenue Model'!ES383</f>
        <v>58518</v>
      </c>
      <c r="EH108" s="42">
        <f>'Revenue Model'!EU383</f>
        <v>53043</v>
      </c>
      <c r="EI108" s="42">
        <f>'Revenue Model'!EV383</f>
        <v>48498.5</v>
      </c>
      <c r="EJ108" s="42">
        <f>'Revenue Model'!EW383</f>
        <v>47310</v>
      </c>
      <c r="EK108" s="141">
        <f>'Revenue Model'!EX383</f>
        <v>45824</v>
      </c>
      <c r="EL108" s="141">
        <f>'Revenue Model'!EY383</f>
        <v>45042</v>
      </c>
      <c r="EM108" s="1717">
        <f>'Revenue Model'!EZ383</f>
        <v>44253.941934269998</v>
      </c>
      <c r="EN108" s="42">
        <f>'Revenue Model'!FA383</f>
        <v>43590.013965348247</v>
      </c>
      <c r="EO108" s="42">
        <f>'Revenue Model'!FB383</f>
        <v>43271.77496913926</v>
      </c>
      <c r="EP108" s="42">
        <f>'Revenue Model'!FC383</f>
        <v>43035.458804945651</v>
      </c>
      <c r="EQ108" s="42">
        <f>'Revenue Model'!FD383</f>
        <v>42855.650194328664</v>
      </c>
      <c r="ER108" s="42">
        <f>'Revenue Model'!FE383</f>
        <v>42676.020995824416</v>
      </c>
      <c r="ES108" s="42">
        <f>'Revenue Model'!FF383</f>
        <v>42496.587731189225</v>
      </c>
      <c r="ET108" s="42">
        <f>'Revenue Model'!FG383</f>
        <v>42317.366573803105</v>
      </c>
      <c r="EU108" s="42">
        <f>'Revenue Model'!FH383</f>
        <v>42138.373353985065</v>
      </c>
      <c r="EV108" s="1375"/>
      <c r="EW108"/>
      <c r="EX108"/>
      <c r="EY108"/>
      <c r="EZ108"/>
      <c r="FA108"/>
      <c r="FB108"/>
      <c r="FC108" s="4"/>
      <c r="FD108" s="4"/>
      <c r="FE108" s="4"/>
      <c r="FF108" s="4"/>
      <c r="FG108" s="196"/>
      <c r="FH108" s="196"/>
      <c r="FI108" s="196"/>
      <c r="FJ108" s="196"/>
      <c r="FK108"/>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row>
    <row r="109" spans="1:260" s="3" customFormat="1" outlineLevel="1" x14ac:dyDescent="0.2">
      <c r="A109" s="44" t="s">
        <v>350</v>
      </c>
      <c r="B109" s="44"/>
      <c r="C109" s="44"/>
      <c r="D109" s="44"/>
      <c r="E109" s="620"/>
      <c r="F109" s="44">
        <f>'Revenue Model'!F378</f>
        <v>153</v>
      </c>
      <c r="G109" s="44">
        <f>'Revenue Model'!G378</f>
        <v>168</v>
      </c>
      <c r="H109" s="44">
        <f>'Revenue Model'!H378</f>
        <v>202</v>
      </c>
      <c r="I109" s="620">
        <f>'Revenue Model'!I378</f>
        <v>204</v>
      </c>
      <c r="J109" s="44">
        <f>'Revenue Model'!J378</f>
        <v>213</v>
      </c>
      <c r="K109" s="44">
        <f>'Revenue Model'!K378</f>
        <v>224</v>
      </c>
      <c r="L109" s="44">
        <f>'Revenue Model'!L378</f>
        <v>251</v>
      </c>
      <c r="M109" s="620">
        <f>'Revenue Model'!M378</f>
        <v>251</v>
      </c>
      <c r="N109" s="44">
        <f>'Revenue Model'!N378</f>
        <v>259</v>
      </c>
      <c r="O109" s="44">
        <f>'Revenue Model'!O378</f>
        <v>262</v>
      </c>
      <c r="P109" s="44">
        <f>'Revenue Model'!P378</f>
        <v>272</v>
      </c>
      <c r="Q109" s="620">
        <f>'Revenue Model'!Q378</f>
        <v>272</v>
      </c>
      <c r="R109" s="44">
        <f>'Revenue Model'!R378</f>
        <v>274</v>
      </c>
      <c r="S109" s="44">
        <f>'Revenue Model'!S378</f>
        <v>280</v>
      </c>
      <c r="T109" s="44">
        <f>'Revenue Model'!T378</f>
        <v>285</v>
      </c>
      <c r="U109" s="620">
        <f>'Revenue Model'!U378</f>
        <v>285</v>
      </c>
      <c r="V109" s="44">
        <f>'Revenue Model'!V378</f>
        <v>290</v>
      </c>
      <c r="W109" s="44">
        <f>'Revenue Model'!W378</f>
        <v>289</v>
      </c>
      <c r="X109" s="44">
        <f>'Revenue Model'!X378</f>
        <v>312</v>
      </c>
      <c r="Y109" s="620">
        <f>'Revenue Model'!Y378</f>
        <v>311</v>
      </c>
      <c r="Z109" s="44">
        <f>'Revenue Model'!Z378</f>
        <v>313</v>
      </c>
      <c r="AA109" s="44">
        <f>'Revenue Model'!AA378</f>
        <v>332</v>
      </c>
      <c r="AB109" s="44">
        <f>'Revenue Model'!AB378</f>
        <v>354</v>
      </c>
      <c r="AC109" s="620">
        <f>'Revenue Model'!AC378</f>
        <v>357</v>
      </c>
      <c r="AD109" s="44">
        <f>'Revenue Model'!AD378</f>
        <v>361</v>
      </c>
      <c r="AE109" s="44">
        <f>'Revenue Model'!AE378</f>
        <v>373</v>
      </c>
      <c r="AF109" s="44">
        <f>'Revenue Model'!AF378</f>
        <v>413</v>
      </c>
      <c r="AG109" s="620">
        <f>'Revenue Model'!AG378</f>
        <v>419</v>
      </c>
      <c r="AH109" s="44">
        <f>'Revenue Model'!AH378</f>
        <v>521</v>
      </c>
      <c r="AI109" s="44">
        <f>'Revenue Model'!AI378</f>
        <v>530</v>
      </c>
      <c r="AJ109" s="44">
        <f>'Revenue Model'!AJ378</f>
        <v>569</v>
      </c>
      <c r="AK109" s="620">
        <f>'Revenue Model'!AK378</f>
        <v>572</v>
      </c>
      <c r="AL109" s="44">
        <f>'Revenue Model'!AL378</f>
        <v>589</v>
      </c>
      <c r="AM109" s="44">
        <f>'Revenue Model'!AM378</f>
        <v>615</v>
      </c>
      <c r="AN109" s="44">
        <f>'Revenue Model'!AN378</f>
        <v>660</v>
      </c>
      <c r="AO109" s="620">
        <f>'Revenue Model'!AO378</f>
        <v>662</v>
      </c>
      <c r="AP109" s="44">
        <f>'Revenue Model'!AP378</f>
        <v>685</v>
      </c>
      <c r="AQ109" s="44">
        <f>'Revenue Model'!AQ378</f>
        <v>706</v>
      </c>
      <c r="AR109" s="44">
        <f>'Revenue Model'!AR378</f>
        <v>749</v>
      </c>
      <c r="AS109" s="620">
        <f>'Revenue Model'!AS378</f>
        <v>758</v>
      </c>
      <c r="AT109" s="44">
        <f>'Revenue Model'!AT378</f>
        <v>770</v>
      </c>
      <c r="AU109" s="44">
        <f>'Revenue Model'!AU378</f>
        <v>782</v>
      </c>
      <c r="AV109" s="44">
        <f>'Revenue Model'!AV378</f>
        <v>827</v>
      </c>
      <c r="AW109" s="620">
        <f>'Revenue Model'!AW378</f>
        <v>838</v>
      </c>
      <c r="AX109" s="44">
        <f>'Revenue Model'!AX378</f>
        <v>852</v>
      </c>
      <c r="AY109" s="44">
        <f>'Revenue Model'!AY378</f>
        <v>874</v>
      </c>
      <c r="AZ109" s="44">
        <f>'Revenue Model'!AZ378</f>
        <v>932</v>
      </c>
      <c r="BA109" s="620">
        <f>'Revenue Model'!BA378</f>
        <v>941</v>
      </c>
      <c r="BB109" s="44">
        <f>'Revenue Model'!BB378</f>
        <v>969</v>
      </c>
      <c r="BC109" s="44">
        <f>'Revenue Model'!BC378</f>
        <v>1111</v>
      </c>
      <c r="BD109" s="44">
        <f>'Revenue Model'!BD378</f>
        <v>1164</v>
      </c>
      <c r="BE109" s="620">
        <f>'Revenue Model'!BE378</f>
        <v>1177</v>
      </c>
      <c r="BF109" s="44">
        <f>'Revenue Model'!BF378</f>
        <v>1204</v>
      </c>
      <c r="BG109" s="44">
        <f>'Revenue Model'!BG378</f>
        <v>1229</v>
      </c>
      <c r="BH109" s="44">
        <f>'Revenue Model'!BH378</f>
        <v>1293</v>
      </c>
      <c r="BI109" s="620">
        <f>'Revenue Model'!BI378</f>
        <v>1314</v>
      </c>
      <c r="BJ109" s="44">
        <f>'Revenue Model'!BJ378</f>
        <v>1349</v>
      </c>
      <c r="BK109" s="44">
        <f>'Revenue Model'!BK378</f>
        <v>1383</v>
      </c>
      <c r="BL109" s="44">
        <f>'Revenue Model'!BL378</f>
        <v>3889</v>
      </c>
      <c r="BM109" s="620">
        <f>'Revenue Model'!BM378</f>
        <v>3942</v>
      </c>
      <c r="BN109" s="44">
        <f>'Revenue Model'!BN378</f>
        <v>3947</v>
      </c>
      <c r="BO109" s="44">
        <f>'Revenue Model'!BO378</f>
        <v>3966</v>
      </c>
      <c r="BP109" s="44">
        <f>'Revenue Model'!BP378</f>
        <v>4015</v>
      </c>
      <c r="BQ109" s="620">
        <f>'Revenue Model'!BQ378</f>
        <v>4025</v>
      </c>
      <c r="BR109" s="44">
        <f>'Revenue Model'!BR378</f>
        <v>4022</v>
      </c>
      <c r="BS109" s="44">
        <f>'Revenue Model'!BS378</f>
        <v>4080</v>
      </c>
      <c r="BT109" s="44">
        <f>'Revenue Model'!BT378</f>
        <v>4127</v>
      </c>
      <c r="BU109" s="620">
        <f>'Revenue Model'!BU378</f>
        <v>4172</v>
      </c>
      <c r="BV109" s="44">
        <f>'Revenue Model'!BV378</f>
        <v>4186</v>
      </c>
      <c r="BW109" s="44">
        <f>'Revenue Model'!BW378</f>
        <v>4245</v>
      </c>
      <c r="BX109" s="44">
        <f>'Revenue Model'!BX378</f>
        <v>4336</v>
      </c>
      <c r="BY109" s="620">
        <f>'Revenue Model'!BY378</f>
        <v>4308</v>
      </c>
      <c r="BZ109" s="44">
        <f>'Revenue Model'!CH378</f>
        <v>4335</v>
      </c>
      <c r="CA109" s="44">
        <f>'Revenue Model'!CI378</f>
        <v>4316</v>
      </c>
      <c r="CB109" s="44">
        <f>'Revenue Model'!CJ378</f>
        <v>4379</v>
      </c>
      <c r="CC109" s="620">
        <f>'Revenue Model'!CK378</f>
        <v>4380</v>
      </c>
      <c r="CD109" s="196">
        <f>'Revenue Model'!CP378</f>
        <v>1793</v>
      </c>
      <c r="CE109" s="196">
        <f>'Revenue Model'!CQ378</f>
        <v>1791</v>
      </c>
      <c r="CF109" s="196">
        <f>'Revenue Model'!CR378</f>
        <v>1790</v>
      </c>
      <c r="CG109" s="631">
        <f>'Revenue Model'!CS378</f>
        <v>1779</v>
      </c>
      <c r="CH109" s="196">
        <f>'Revenue Model'!CT378</f>
        <v>1777</v>
      </c>
      <c r="CI109" s="196">
        <f>'Revenue Model'!CU378</f>
        <v>1759</v>
      </c>
      <c r="CJ109" s="196">
        <f>'Revenue Model'!CV378</f>
        <v>1757</v>
      </c>
      <c r="CK109" s="631">
        <f>'Revenue Model'!CW378</f>
        <v>1729</v>
      </c>
      <c r="CL109" s="196">
        <f>'Revenue Model'!CX378</f>
        <v>1657</v>
      </c>
      <c r="CM109" s="196">
        <f>'Revenue Model'!CY378</f>
        <v>1648</v>
      </c>
      <c r="CN109" s="196">
        <f>'Revenue Model'!CZ378</f>
        <v>1646</v>
      </c>
      <c r="CO109" s="631">
        <f>'Revenue Model'!DA378</f>
        <v>1631</v>
      </c>
      <c r="CP109" s="196">
        <f>'Revenue Model'!DB378</f>
        <v>1617</v>
      </c>
      <c r="CQ109" s="196">
        <f>'Revenue Model'!DC378</f>
        <v>1610</v>
      </c>
      <c r="CR109" s="196">
        <f>'Revenue Model'!DD378</f>
        <v>1596</v>
      </c>
      <c r="CS109" s="631">
        <f>'Revenue Model'!DE378</f>
        <v>1575</v>
      </c>
      <c r="CT109" s="196">
        <f>'Revenue Model'!DF378</f>
        <v>1562</v>
      </c>
      <c r="CU109" s="196">
        <f>'Revenue Model'!DG378</f>
        <v>1557</v>
      </c>
      <c r="CV109" s="196">
        <f>'Revenue Model'!DH378</f>
        <v>1537</v>
      </c>
      <c r="CW109" s="631">
        <f>'Revenue Model'!DI378</f>
        <v>1508</v>
      </c>
      <c r="CX109" s="1718">
        <f>'Revenue Model'!DJ378</f>
        <v>1251</v>
      </c>
      <c r="CY109" s="196">
        <f>'Revenue Model'!DK378</f>
        <v>1250</v>
      </c>
      <c r="CZ109" s="196">
        <f>'Revenue Model'!DL378</f>
        <v>1249</v>
      </c>
      <c r="DA109" s="631">
        <f>'Revenue Model'!DM378</f>
        <v>1247</v>
      </c>
      <c r="DB109" s="688"/>
      <c r="DC109" s="628"/>
      <c r="DD109" s="44"/>
      <c r="DE109" s="44"/>
      <c r="DF109" s="44"/>
      <c r="DG109" s="44"/>
      <c r="DH109" s="44"/>
      <c r="DI109" s="44">
        <f>+'Revenue Model'!DU378</f>
        <v>56</v>
      </c>
      <c r="DJ109" s="44">
        <f>+'Revenue Model'!DV378</f>
        <v>73</v>
      </c>
      <c r="DK109" s="44">
        <f>+'Revenue Model'!DW378</f>
        <v>111</v>
      </c>
      <c r="DL109" s="44"/>
      <c r="DM109" s="44">
        <f>'Revenue Model'!DY378</f>
        <v>204</v>
      </c>
      <c r="DN109" s="44">
        <f>'Revenue Model'!DZ378</f>
        <v>251</v>
      </c>
      <c r="DO109" s="44">
        <f>'Revenue Model'!EA378</f>
        <v>272</v>
      </c>
      <c r="DP109" s="44">
        <f>'Revenue Model'!EB378</f>
        <v>285</v>
      </c>
      <c r="DQ109" s="44">
        <f>'Revenue Model'!EC378</f>
        <v>311</v>
      </c>
      <c r="DR109" s="44">
        <f>'Revenue Model'!ED378</f>
        <v>357</v>
      </c>
      <c r="DS109" s="44">
        <f>'Revenue Model'!EE378</f>
        <v>419</v>
      </c>
      <c r="DT109" s="44">
        <f>'Revenue Model'!EF378</f>
        <v>572</v>
      </c>
      <c r="DU109" s="44">
        <f>'Revenue Model'!EG378</f>
        <v>662</v>
      </c>
      <c r="DV109" s="44">
        <f>'Revenue Model'!EH378</f>
        <v>758</v>
      </c>
      <c r="DW109" s="44">
        <f>'Revenue Model'!EI378</f>
        <v>838</v>
      </c>
      <c r="DX109" s="44">
        <f>'Revenue Model'!EJ378</f>
        <v>941</v>
      </c>
      <c r="DY109" s="44">
        <f>'Revenue Model'!EK378</f>
        <v>1172</v>
      </c>
      <c r="DZ109" s="44">
        <f>'Revenue Model'!EL378</f>
        <v>1314</v>
      </c>
      <c r="EA109" s="44">
        <f>'Revenue Model'!EM378</f>
        <v>3942</v>
      </c>
      <c r="EB109" s="44">
        <f>'Revenue Model'!EN378</f>
        <v>4025</v>
      </c>
      <c r="EC109" s="44">
        <f>'Revenue Model'!EO378</f>
        <v>4172</v>
      </c>
      <c r="ED109" s="44">
        <f>'Revenue Model'!EP378</f>
        <v>4308</v>
      </c>
      <c r="EE109" s="42">
        <f t="shared" si="429"/>
        <v>4172</v>
      </c>
      <c r="EF109" s="42">
        <f t="shared" si="429"/>
        <v>4308</v>
      </c>
      <c r="EG109" s="44">
        <f>'Revenue Model'!ES378</f>
        <v>4379</v>
      </c>
      <c r="EH109" s="44">
        <f>'Revenue Model'!EU378</f>
        <v>1779</v>
      </c>
      <c r="EI109" s="44">
        <f>'Revenue Model'!EV378</f>
        <v>1729</v>
      </c>
      <c r="EJ109" s="44">
        <f>'Revenue Model'!EW378</f>
        <v>1631</v>
      </c>
      <c r="EK109" s="196">
        <f>'Revenue Model'!EX378</f>
        <v>1575</v>
      </c>
      <c r="EL109" s="196">
        <f>'Revenue Model'!EY378</f>
        <v>1508</v>
      </c>
      <c r="EM109" s="1718">
        <f>'Revenue Model'!EZ378</f>
        <v>1247</v>
      </c>
      <c r="EN109" s="44">
        <f>'Revenue Model'!FA378</f>
        <v>1249</v>
      </c>
      <c r="EO109" s="44">
        <f>'Revenue Model'!FB378</f>
        <v>1252</v>
      </c>
      <c r="EP109" s="44">
        <f>'Revenue Model'!FC378</f>
        <v>1258</v>
      </c>
      <c r="EQ109" s="44">
        <f>'Revenue Model'!FD378</f>
        <v>1264</v>
      </c>
      <c r="ER109" s="44">
        <f>'Revenue Model'!FE378</f>
        <v>1270</v>
      </c>
      <c r="ES109" s="44">
        <f>'Revenue Model'!FF378</f>
        <v>1276</v>
      </c>
      <c r="ET109" s="44">
        <f>'Revenue Model'!FG378</f>
        <v>1282</v>
      </c>
      <c r="EU109" s="44">
        <f>'Revenue Model'!FH378</f>
        <v>1288</v>
      </c>
      <c r="EV109" s="1034"/>
      <c r="EW109"/>
      <c r="EX109"/>
      <c r="EY109"/>
      <c r="EZ109"/>
      <c r="FA109"/>
      <c r="FB109"/>
      <c r="FC109" s="4"/>
      <c r="FD109" s="4"/>
      <c r="FE109" s="4"/>
      <c r="FF109" s="4"/>
      <c r="FG109" s="196"/>
      <c r="FH109" s="196"/>
      <c r="FI109" s="196"/>
      <c r="FJ109" s="196"/>
      <c r="FK109"/>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row>
    <row r="110" spans="1:260" s="3" customFormat="1" outlineLevel="1" x14ac:dyDescent="0.2">
      <c r="A110" s="44"/>
      <c r="B110" s="44"/>
      <c r="C110" s="44"/>
      <c r="D110" s="44"/>
      <c r="E110" s="620"/>
      <c r="F110" s="44"/>
      <c r="G110" s="44"/>
      <c r="H110" s="44"/>
      <c r="I110" s="620"/>
      <c r="J110" s="44"/>
      <c r="K110" s="44"/>
      <c r="L110" s="44"/>
      <c r="M110" s="620"/>
      <c r="N110" s="44"/>
      <c r="O110" s="44"/>
      <c r="P110" s="44"/>
      <c r="Q110" s="620"/>
      <c r="R110" s="44"/>
      <c r="S110" s="44"/>
      <c r="T110" s="44"/>
      <c r="U110" s="620"/>
      <c r="V110" s="44"/>
      <c r="W110" s="44"/>
      <c r="X110" s="44"/>
      <c r="Y110" s="620"/>
      <c r="Z110" s="44"/>
      <c r="AA110" s="44"/>
      <c r="AB110" s="44"/>
      <c r="AC110" s="620"/>
      <c r="AD110" s="44"/>
      <c r="AE110" s="44"/>
      <c r="AF110" s="44"/>
      <c r="AG110" s="620"/>
      <c r="AH110" s="44"/>
      <c r="AI110" s="44"/>
      <c r="AJ110" s="44"/>
      <c r="AK110" s="620"/>
      <c r="AL110" s="44"/>
      <c r="AM110" s="44"/>
      <c r="AN110" s="44"/>
      <c r="AO110" s="620"/>
      <c r="AP110" s="44"/>
      <c r="AQ110" s="44"/>
      <c r="AR110" s="44"/>
      <c r="AS110" s="620"/>
      <c r="AT110" s="44"/>
      <c r="AU110" s="44"/>
      <c r="AV110" s="44"/>
      <c r="AW110" s="620"/>
      <c r="AX110" s="44"/>
      <c r="AY110" s="44"/>
      <c r="AZ110" s="44"/>
      <c r="BA110" s="620"/>
      <c r="BB110" s="44"/>
      <c r="BC110" s="44"/>
      <c r="BD110" s="44"/>
      <c r="BE110" s="620"/>
      <c r="BF110" s="44"/>
      <c r="BG110" s="44"/>
      <c r="BH110" s="44"/>
      <c r="BI110" s="620"/>
      <c r="BJ110" s="44"/>
      <c r="BK110" s="44"/>
      <c r="BL110" s="44"/>
      <c r="BM110" s="620"/>
      <c r="BN110" s="44"/>
      <c r="BO110" s="44"/>
      <c r="BP110" s="44"/>
      <c r="BQ110" s="620"/>
      <c r="BR110" s="44"/>
      <c r="BS110" s="44"/>
      <c r="BT110" s="44"/>
      <c r="BU110" s="620"/>
      <c r="BV110" s="44"/>
      <c r="BW110" s="44"/>
      <c r="BX110" s="44"/>
      <c r="BY110" s="620"/>
      <c r="BZ110" s="44"/>
      <c r="CA110" s="44"/>
      <c r="CB110" s="44"/>
      <c r="CC110" s="620"/>
      <c r="CD110" s="196"/>
      <c r="CE110" s="196"/>
      <c r="CF110" s="196"/>
      <c r="CG110" s="631"/>
      <c r="CH110" s="196"/>
      <c r="CI110" s="196"/>
      <c r="CJ110" s="196"/>
      <c r="CK110" s="631"/>
      <c r="CL110" s="196"/>
      <c r="CM110" s="196"/>
      <c r="CN110" s="196"/>
      <c r="CO110" s="631"/>
      <c r="CP110" s="196"/>
      <c r="CQ110" s="196"/>
      <c r="CR110" s="196"/>
      <c r="CS110" s="631"/>
      <c r="CT110" s="196"/>
      <c r="CU110" s="196"/>
      <c r="CV110" s="196"/>
      <c r="CW110" s="631"/>
      <c r="CX110" s="1718"/>
      <c r="CY110" s="196"/>
      <c r="CZ110" s="196"/>
      <c r="DA110" s="631"/>
      <c r="DB110" s="688"/>
      <c r="DC110" s="628"/>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2"/>
      <c r="EF110" s="42"/>
      <c r="EG110" s="44"/>
      <c r="EH110" s="44"/>
      <c r="EI110" s="44"/>
      <c r="EJ110" s="44"/>
      <c r="EK110" s="196"/>
      <c r="EL110" s="196"/>
      <c r="EM110" s="1718"/>
      <c r="EN110" s="44"/>
      <c r="EO110" s="44"/>
      <c r="EP110" s="44"/>
      <c r="EQ110" s="44"/>
      <c r="ER110" s="44"/>
      <c r="ES110" s="44"/>
      <c r="ET110" s="44"/>
      <c r="EU110" s="44"/>
      <c r="EV110" s="1034"/>
      <c r="EW110"/>
      <c r="EX110"/>
      <c r="EY110"/>
      <c r="EZ110"/>
      <c r="FA110"/>
      <c r="FB110"/>
      <c r="FC110" s="4"/>
      <c r="FD110" s="4"/>
      <c r="FE110" s="4"/>
      <c r="FF110" s="4"/>
      <c r="FG110" s="196"/>
      <c r="FH110" s="196"/>
      <c r="FI110" s="196"/>
      <c r="FJ110" s="196"/>
      <c r="FK110"/>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row>
    <row r="111" spans="1:260" s="3" customFormat="1" outlineLevel="1" x14ac:dyDescent="0.2">
      <c r="A111" s="305" t="s">
        <v>596</v>
      </c>
      <c r="B111" s="44">
        <f>'Income Statement'!B17</f>
        <v>3.6739999999999924</v>
      </c>
      <c r="C111" s="44">
        <f>'Income Statement'!C17</f>
        <v>13.090000000000032</v>
      </c>
      <c r="D111" s="44">
        <f>'Income Statement'!D17</f>
        <v>20.848999999999947</v>
      </c>
      <c r="E111" s="620">
        <f>'Income Statement'!E17</f>
        <v>39.565000000000026</v>
      </c>
      <c r="F111" s="44">
        <f>'Income Statement'!F17</f>
        <v>11.700000000000003</v>
      </c>
      <c r="G111" s="44">
        <f>'Income Statement'!G17</f>
        <v>17.658999999999963</v>
      </c>
      <c r="H111" s="44">
        <f>'Income Statement'!H17</f>
        <v>38.013000000000062</v>
      </c>
      <c r="I111" s="620">
        <f>'Income Statement'!I17</f>
        <v>54.568999999999988</v>
      </c>
      <c r="J111" s="44">
        <f>'Income Statement'!J17</f>
        <v>16.336000000000183</v>
      </c>
      <c r="K111" s="44">
        <f>'Income Statement'!K17</f>
        <v>19.203000000000088</v>
      </c>
      <c r="L111" s="44">
        <f>'Income Statement'!L17</f>
        <v>42.588000000000051</v>
      </c>
      <c r="M111" s="620">
        <f>'Income Statement'!M17</f>
        <v>44.428999999999974</v>
      </c>
      <c r="N111" s="44">
        <f>'Income Statement'!N17</f>
        <v>12.951999999999856</v>
      </c>
      <c r="O111" s="44">
        <f>'Income Statement'!O17</f>
        <v>19.684000000000168</v>
      </c>
      <c r="P111" s="44">
        <f>'Income Statement'!P17</f>
        <v>-3.1099999999999568</v>
      </c>
      <c r="Q111" s="620">
        <f>'Income Statement'!Q17</f>
        <v>23.679999999999779</v>
      </c>
      <c r="R111" s="44">
        <f>'Income Statement'!R17</f>
        <v>5.2160000000000366</v>
      </c>
      <c r="S111" s="44">
        <f>'Income Statement'!S17</f>
        <v>19.925999999999874</v>
      </c>
      <c r="T111" s="44">
        <f>'Income Statement'!T17</f>
        <v>52.898999999999887</v>
      </c>
      <c r="U111" s="620">
        <f>'Income Statement'!U17</f>
        <v>108.79699999999985</v>
      </c>
      <c r="V111" s="44">
        <f>'Income Statement'!V17</f>
        <v>22.784000000000106</v>
      </c>
      <c r="W111" s="44">
        <f>'Income Statement'!W17</f>
        <v>68.437000000000012</v>
      </c>
      <c r="X111" s="44">
        <f>'Income Statement'!X17</f>
        <v>90.230000000000132</v>
      </c>
      <c r="Y111" s="620">
        <f>'Income Statement'!Y17</f>
        <v>169.79100000000034</v>
      </c>
      <c r="Z111" s="44">
        <f>'Income Statement'!Z17</f>
        <v>71.700999999999965</v>
      </c>
      <c r="AA111" s="44">
        <f>'Income Statement'!AA17</f>
        <v>89.605999999999995</v>
      </c>
      <c r="AB111" s="44">
        <f>'Income Statement'!AB17</f>
        <v>122.58800000000019</v>
      </c>
      <c r="AC111" s="620">
        <f>'Income Statement'!AC17</f>
        <v>255.36399999999992</v>
      </c>
      <c r="AD111" s="44">
        <f>'Income Statement'!AD17</f>
        <v>108.51799999999986</v>
      </c>
      <c r="AE111" s="44">
        <f>'Income Statement'!AE17</f>
        <v>115.34999999999991</v>
      </c>
      <c r="AF111" s="44">
        <f>'Income Statement'!AF17</f>
        <v>85.012999999999693</v>
      </c>
      <c r="AG111" s="620">
        <f>'Income Statement'!AG17</f>
        <v>295.70000000000005</v>
      </c>
      <c r="AH111" s="44">
        <f>'Income Statement'!AH17</f>
        <v>90</v>
      </c>
      <c r="AI111" s="44">
        <f>'Income Statement'!AI17</f>
        <v>148</v>
      </c>
      <c r="AJ111" s="44">
        <f>'Income Statement'!AJ17</f>
        <v>129</v>
      </c>
      <c r="AK111" s="620">
        <f>'Income Statement'!AK17</f>
        <v>570</v>
      </c>
      <c r="AL111" s="44">
        <f>'Income Statement'!AL17</f>
        <v>129</v>
      </c>
      <c r="AM111" s="44">
        <f>'Income Statement'!AM17</f>
        <v>129</v>
      </c>
      <c r="AN111" s="44">
        <f>'Income Statement'!AN17</f>
        <v>140</v>
      </c>
      <c r="AO111" s="620">
        <f>'Income Statement'!AO17</f>
        <v>612</v>
      </c>
      <c r="AP111" s="44">
        <f>'Income Statement'!AP17</f>
        <v>114</v>
      </c>
      <c r="AQ111" s="44">
        <f>'Income Statement'!AQ17</f>
        <v>229</v>
      </c>
      <c r="AR111" s="44">
        <f>'Income Statement'!AR17</f>
        <v>202</v>
      </c>
      <c r="AS111" s="620">
        <f>'Income Statement'!AS17</f>
        <v>759</v>
      </c>
      <c r="AT111" s="44">
        <f>'Income Statement'!AT17</f>
        <v>184</v>
      </c>
      <c r="AU111" s="44">
        <f>'Income Statement'!AU17</f>
        <v>242</v>
      </c>
      <c r="AV111" s="44">
        <f>'Income Statement'!AV17</f>
        <v>233</v>
      </c>
      <c r="AW111" s="620">
        <f>'Income Statement'!AW17</f>
        <v>783</v>
      </c>
      <c r="AX111" s="44">
        <f>'Income Statement'!AX17</f>
        <v>239</v>
      </c>
      <c r="AY111" s="44">
        <f>'Income Statement'!AY17</f>
        <v>261</v>
      </c>
      <c r="AZ111" s="44">
        <f>'Income Statement'!AZ17</f>
        <v>189</v>
      </c>
      <c r="BA111" s="620">
        <f>'Income Statement'!BA17</f>
        <v>955</v>
      </c>
      <c r="BB111" s="44">
        <f>'Income Statement'!BB17</f>
        <v>337</v>
      </c>
      <c r="BC111" s="44">
        <f>'Income Statement'!BC17</f>
        <v>330</v>
      </c>
      <c r="BD111" s="44">
        <f>'Income Statement'!BD17</f>
        <v>196</v>
      </c>
      <c r="BE111" s="620">
        <f>'Income Statement'!BE17</f>
        <v>1136</v>
      </c>
      <c r="BF111" s="44">
        <f>'Income Statement'!BF17</f>
        <v>266</v>
      </c>
      <c r="BG111" s="44">
        <f>'Income Statement'!BG17</f>
        <v>401</v>
      </c>
      <c r="BH111" s="44">
        <f>'Income Statement'!BH17</f>
        <v>351</v>
      </c>
      <c r="BI111" s="620">
        <f>'Income Statement'!BI17</f>
        <v>1143</v>
      </c>
      <c r="BJ111" s="44">
        <f>'Income Statement'!BJ17</f>
        <v>277</v>
      </c>
      <c r="BK111" s="44">
        <f>'Income Statement'!BK17</f>
        <v>339</v>
      </c>
      <c r="BL111" s="44">
        <f>'Income Statement'!BL17</f>
        <v>274</v>
      </c>
      <c r="BM111" s="620">
        <f>'Income Statement'!BM17</f>
        <v>1124</v>
      </c>
      <c r="BN111" s="44">
        <f>'Income Statement'!BN17</f>
        <v>348</v>
      </c>
      <c r="BO111" s="44">
        <f>'Income Statement'!BO17</f>
        <v>280</v>
      </c>
      <c r="BP111" s="44">
        <f>'Income Statement'!BP17</f>
        <v>376</v>
      </c>
      <c r="BQ111" s="620">
        <f>'Income Statement'!BQ17</f>
        <v>1283</v>
      </c>
      <c r="BR111" s="44">
        <f>'Income Statement'!BR17</f>
        <v>313</v>
      </c>
      <c r="BS111" s="44">
        <f>'Income Statement'!BS17</f>
        <v>411</v>
      </c>
      <c r="BT111" s="44">
        <f>'Income Statement'!BT17</f>
        <v>385</v>
      </c>
      <c r="BU111" s="620">
        <f>'Income Statement'!BU17</f>
        <v>1227</v>
      </c>
      <c r="BV111" s="44">
        <f>'Income Statement'!BV17</f>
        <v>284</v>
      </c>
      <c r="BW111" s="44">
        <f>'Income Statement'!BW17</f>
        <v>289</v>
      </c>
      <c r="BX111" s="44">
        <f>'Income Statement'!BX17</f>
        <v>328</v>
      </c>
      <c r="BY111" s="620">
        <f>'Income Statement'!BY17</f>
        <v>1357</v>
      </c>
      <c r="BZ111" s="44">
        <f>'Income Statement'!CH17</f>
        <v>389</v>
      </c>
      <c r="CA111" s="44">
        <f>'Income Statement'!CI17</f>
        <v>124</v>
      </c>
      <c r="CB111" s="44">
        <f>'Income Statement'!CJ17</f>
        <v>48</v>
      </c>
      <c r="CC111" s="620">
        <f>'Income Statement'!CK17</f>
        <v>924</v>
      </c>
      <c r="CD111" s="196">
        <f>'Income Statement'!CP17</f>
        <v>204</v>
      </c>
      <c r="CE111" s="196">
        <f>'Income Statement'!CQ17</f>
        <v>195</v>
      </c>
      <c r="CF111" s="196">
        <f>'Income Statement'!CR17</f>
        <v>135</v>
      </c>
      <c r="CG111" s="631">
        <f>'Income Statement'!CS17</f>
        <v>629</v>
      </c>
      <c r="CH111" s="196">
        <f>'Income Statement'!CT17</f>
        <v>221</v>
      </c>
      <c r="CI111" s="196">
        <f>'Income Statement'!CU17</f>
        <v>242</v>
      </c>
      <c r="CJ111" s="196">
        <f>'Income Statement'!CV17</f>
        <v>216</v>
      </c>
      <c r="CK111" s="631">
        <f>'Income Statement'!CW17</f>
        <v>818</v>
      </c>
      <c r="CL111" s="196">
        <f>'Income Statement'!CX17</f>
        <v>208</v>
      </c>
      <c r="CM111" s="196">
        <f>'Income Statement'!CY17</f>
        <v>278</v>
      </c>
      <c r="CN111" s="196">
        <f>'Income Statement'!CZ17</f>
        <v>238</v>
      </c>
      <c r="CO111" s="631">
        <f>'Income Statement'!DA17</f>
        <v>781</v>
      </c>
      <c r="CP111" s="196">
        <f>'Income Statement'!DB17</f>
        <v>240</v>
      </c>
      <c r="CQ111" s="196">
        <f>'Income Statement'!DC17</f>
        <v>290</v>
      </c>
      <c r="CR111" s="196">
        <f>'Income Statement'!DD17</f>
        <v>313</v>
      </c>
      <c r="CS111" s="631">
        <f>'Income Statement'!DE17</f>
        <v>890</v>
      </c>
      <c r="CT111" s="196">
        <f>'Income Statement'!DF17</f>
        <v>300</v>
      </c>
      <c r="CU111" s="196">
        <f>'Income Statement'!DG17</f>
        <v>330</v>
      </c>
      <c r="CV111" s="196">
        <f>'Income Statement'!DH17</f>
        <v>348</v>
      </c>
      <c r="CW111" s="631">
        <f>'Income Statement'!DI17</f>
        <v>982</v>
      </c>
      <c r="CX111" s="1718">
        <f>'Income Statement'!DJ17</f>
        <v>287.26389305794919</v>
      </c>
      <c r="CY111" s="196">
        <f>'Income Statement'!DK17</f>
        <v>320.83269816988627</v>
      </c>
      <c r="CZ111" s="196">
        <f>'Income Statement'!DL17</f>
        <v>356.8481661674989</v>
      </c>
      <c r="DA111" s="631">
        <f>'Income Statement'!DM17</f>
        <v>965.26764633230459</v>
      </c>
      <c r="DB111" s="688"/>
      <c r="DC111" s="628"/>
      <c r="DD111" s="44"/>
      <c r="DE111" s="44"/>
      <c r="DF111" s="44"/>
      <c r="DG111" s="44"/>
      <c r="DH111" s="44"/>
      <c r="DI111" s="44"/>
      <c r="DJ111" s="44"/>
      <c r="DK111" s="44"/>
      <c r="DL111" s="44">
        <f>'Income Statement'!DX17</f>
        <v>77.177999999999997</v>
      </c>
      <c r="DM111" s="44">
        <f>'Income Statement'!DY17</f>
        <v>121.94100000000002</v>
      </c>
      <c r="DN111" s="44">
        <f>'Income Statement'!DZ17</f>
        <v>122.5560000000003</v>
      </c>
      <c r="DO111" s="44">
        <f>'Income Statement'!EA17</f>
        <v>53.205999999999449</v>
      </c>
      <c r="DP111" s="44">
        <f>'Income Statement'!EB17</f>
        <v>186.83799999999965</v>
      </c>
      <c r="DQ111" s="44">
        <f>'Income Statement'!EC17</f>
        <v>351.2420000000011</v>
      </c>
      <c r="DR111" s="44">
        <f>'Income Statement'!ED17</f>
        <v>539.25900000000001</v>
      </c>
      <c r="DS111" s="44">
        <f>'Income Statement'!EE17</f>
        <v>604.58099999999945</v>
      </c>
      <c r="DT111" s="44">
        <f>'Income Statement'!EF17</f>
        <v>937</v>
      </c>
      <c r="DU111" s="44">
        <f>'Income Statement'!EG17</f>
        <v>1010</v>
      </c>
      <c r="DV111" s="44">
        <f>'Income Statement'!EH17</f>
        <v>1304</v>
      </c>
      <c r="DW111" s="44">
        <f>'Income Statement'!EI17</f>
        <v>1442</v>
      </c>
      <c r="DX111" s="44">
        <f>'Income Statement'!EJ17</f>
        <v>1644</v>
      </c>
      <c r="DY111" s="44">
        <f>'Income Statement'!EK17</f>
        <v>1999</v>
      </c>
      <c r="DZ111" s="44">
        <f>'Income Statement'!EL17</f>
        <v>2161</v>
      </c>
      <c r="EA111" s="44">
        <f>'Income Statement'!EM17</f>
        <v>2014</v>
      </c>
      <c r="EB111" s="44">
        <f>'Income Statement'!EN17</f>
        <v>2287</v>
      </c>
      <c r="EC111" s="44">
        <f>'Income Statement'!EO17</f>
        <v>2336</v>
      </c>
      <c r="ED111" s="44">
        <f>'Income Statement'!EP17</f>
        <v>2258</v>
      </c>
      <c r="EE111" s="42">
        <f t="shared" ref="EE111:EF116" si="430">EC111</f>
        <v>2336</v>
      </c>
      <c r="EF111" s="42">
        <f t="shared" si="430"/>
        <v>2258</v>
      </c>
      <c r="EG111" s="44">
        <f>'Income Statement'!ES17</f>
        <v>1485</v>
      </c>
      <c r="EH111" s="44">
        <f>'Income Statement'!EU17</f>
        <v>1163</v>
      </c>
      <c r="EI111" s="44">
        <f>'Income Statement'!EV17</f>
        <v>1497</v>
      </c>
      <c r="EJ111" s="44">
        <f>'Income Statement'!EW17</f>
        <v>1505</v>
      </c>
      <c r="EK111" s="196">
        <f>'Income Statement'!EX17</f>
        <v>1733</v>
      </c>
      <c r="EL111" s="196">
        <f>'Income Statement'!EY17</f>
        <v>1960</v>
      </c>
      <c r="EM111" s="1718">
        <f>'Income Statement'!EZ17</f>
        <v>1930.212403727639</v>
      </c>
      <c r="EN111" s="44">
        <f>'Income Statement'!FA17</f>
        <v>1970.2898091238112</v>
      </c>
      <c r="EO111" s="44">
        <f>'Income Statement'!FB17</f>
        <v>2023.2288854708386</v>
      </c>
      <c r="EP111" s="44">
        <f>'Income Statement'!FC17</f>
        <v>2023.3573856411185</v>
      </c>
      <c r="EQ111" s="44">
        <f>'Income Statement'!FD17</f>
        <v>2031.6208703920365</v>
      </c>
      <c r="ER111" s="44">
        <f>'Income Statement'!FE17</f>
        <v>2040.3809692951563</v>
      </c>
      <c r="ES111" s="44">
        <f>'Income Statement'!FF17</f>
        <v>2049.6557417359854</v>
      </c>
      <c r="ET111" s="44">
        <f>'Income Statement'!FG17</f>
        <v>2059.4635994397304</v>
      </c>
      <c r="EU111" s="44">
        <f>'Income Statement'!FH17</f>
        <v>2069.8232959995712</v>
      </c>
      <c r="EV111" s="1378"/>
      <c r="EW111"/>
      <c r="EX111"/>
      <c r="EY111"/>
      <c r="EZ111"/>
      <c r="FA111"/>
      <c r="FB111"/>
      <c r="FC111" s="4"/>
      <c r="FD111" s="4"/>
      <c r="FE111" s="4"/>
      <c r="FF111" s="4"/>
      <c r="FG111" s="196"/>
      <c r="FH111" s="196"/>
      <c r="FI111" s="196"/>
      <c r="FJ111" s="196"/>
      <c r="FK111"/>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row>
    <row r="112" spans="1:260" s="3" customFormat="1" outlineLevel="1" x14ac:dyDescent="0.2">
      <c r="A112" s="305" t="s">
        <v>349</v>
      </c>
      <c r="B112" s="44">
        <f>'Income Statement'!B20</f>
        <v>8.1499999999999915</v>
      </c>
      <c r="C112" s="44">
        <f>'Income Statement'!C20</f>
        <v>17.983000000000033</v>
      </c>
      <c r="D112" s="44">
        <f>'Income Statement'!D20</f>
        <v>26.534999999999947</v>
      </c>
      <c r="E112" s="620">
        <f>'Income Statement'!E20</f>
        <v>46.922000000000025</v>
      </c>
      <c r="F112" s="44">
        <f>'Income Statement'!F20</f>
        <v>19.839000000000002</v>
      </c>
      <c r="G112" s="44">
        <f>'Income Statement'!G20</f>
        <v>26.151999999999965</v>
      </c>
      <c r="H112" s="44">
        <f>'Income Statement'!H20</f>
        <v>48.375000000000057</v>
      </c>
      <c r="I112" s="620">
        <f>'Income Statement'!I20</f>
        <v>66.144999999999982</v>
      </c>
      <c r="J112" s="44">
        <f>'Income Statement'!J20</f>
        <v>29.099000000000181</v>
      </c>
      <c r="K112" s="44">
        <f>'Income Statement'!K20</f>
        <v>32.411000000000087</v>
      </c>
      <c r="L112" s="44">
        <f>'Income Statement'!L20</f>
        <v>56.937000000000054</v>
      </c>
      <c r="M112" s="620">
        <f>'Income Statement'!M20</f>
        <v>58.970999999999975</v>
      </c>
      <c r="N112" s="44">
        <f>'Income Statement'!N20</f>
        <v>29.993999999999858</v>
      </c>
      <c r="O112" s="44">
        <f>'Income Statement'!O20</f>
        <v>36.514000000000166</v>
      </c>
      <c r="P112" s="44">
        <f>'Income Statement'!P20</f>
        <v>13.761000000000045</v>
      </c>
      <c r="Q112" s="620">
        <f>'Income Statement'!Q20</f>
        <v>39.780999999999771</v>
      </c>
      <c r="R112" s="44">
        <f>'Income Statement'!R20</f>
        <v>22.311000000000035</v>
      </c>
      <c r="S112" s="44">
        <f>'Income Statement'!S20</f>
        <v>38.171999999999876</v>
      </c>
      <c r="T112" s="44">
        <f>'Income Statement'!T20</f>
        <v>70.185999999999893</v>
      </c>
      <c r="U112" s="620">
        <f>'Income Statement'!U20</f>
        <v>127.75299999999986</v>
      </c>
      <c r="V112" s="44">
        <f>'Income Statement'!V20</f>
        <v>40.388000000000105</v>
      </c>
      <c r="W112" s="44">
        <f>'Income Statement'!W20</f>
        <v>87.155000000000015</v>
      </c>
      <c r="X112" s="44">
        <f>'Income Statement'!X20</f>
        <v>110.30200000000013</v>
      </c>
      <c r="Y112" s="620">
        <f>'Income Statement'!Y20</f>
        <v>191.76400000000035</v>
      </c>
      <c r="Z112" s="44">
        <f>'Income Statement'!Z20</f>
        <v>95.33899999999997</v>
      </c>
      <c r="AA112" s="44">
        <f>'Income Statement'!AA20</f>
        <v>112.07799999999999</v>
      </c>
      <c r="AB112" s="44">
        <f>'Income Statement'!AB20</f>
        <v>147.61200000000019</v>
      </c>
      <c r="AC112" s="620">
        <f>'Income Statement'!AC20</f>
        <v>293.7709999999999</v>
      </c>
      <c r="AD112" s="44">
        <f>'Income Statement'!AD20</f>
        <v>140.51799999999986</v>
      </c>
      <c r="AE112" s="44">
        <f>'Income Statement'!AE20</f>
        <v>152.34999999999991</v>
      </c>
      <c r="AF112" s="44">
        <f>'Income Statement'!AF20</f>
        <v>128.01299999999969</v>
      </c>
      <c r="AG112" s="620">
        <f>'Income Statement'!AG20</f>
        <v>348.70000000000005</v>
      </c>
      <c r="AH112" s="44">
        <f>'Income Statement'!AH20</f>
        <v>157</v>
      </c>
      <c r="AI112" s="44">
        <f>'Income Statement'!AI20</f>
        <v>215</v>
      </c>
      <c r="AJ112" s="44">
        <f>'Income Statement'!AJ20</f>
        <v>206</v>
      </c>
      <c r="AK112" s="620">
        <f>'Income Statement'!AK20</f>
        <v>648</v>
      </c>
      <c r="AL112" s="44">
        <f>'Income Statement'!AL20</f>
        <v>214</v>
      </c>
      <c r="AM112" s="44">
        <f>'Income Statement'!AM20</f>
        <v>215</v>
      </c>
      <c r="AN112" s="44">
        <f>'Income Statement'!AN20</f>
        <v>234</v>
      </c>
      <c r="AO112" s="620">
        <f>'Income Statement'!AO20</f>
        <v>657</v>
      </c>
      <c r="AP112" s="44">
        <f>'Income Statement'!AP20</f>
        <v>212</v>
      </c>
      <c r="AQ112" s="44">
        <f>'Income Statement'!AQ20</f>
        <v>321</v>
      </c>
      <c r="AR112" s="44">
        <f>'Income Statement'!AR20</f>
        <v>295</v>
      </c>
      <c r="AS112" s="620">
        <f>'Income Statement'!AS20</f>
        <v>861</v>
      </c>
      <c r="AT112" s="44">
        <f>'Income Statement'!AT20</f>
        <v>287</v>
      </c>
      <c r="AU112" s="44">
        <f>'Income Statement'!AU20</f>
        <v>345</v>
      </c>
      <c r="AV112" s="44">
        <f>'Income Statement'!AV20</f>
        <v>339</v>
      </c>
      <c r="AW112" s="620">
        <f>'Income Statement'!AW20</f>
        <v>930</v>
      </c>
      <c r="AX112" s="44">
        <f>'Income Statement'!AX20</f>
        <v>348</v>
      </c>
      <c r="AY112" s="44">
        <f>'Income Statement'!AY20</f>
        <v>374</v>
      </c>
      <c r="AZ112" s="44">
        <f>'Income Statement'!AZ20</f>
        <v>300</v>
      </c>
      <c r="BA112" s="620">
        <f>'Income Statement'!BA20</f>
        <v>1078</v>
      </c>
      <c r="BB112" s="44">
        <f>'Income Statement'!BB20</f>
        <v>458</v>
      </c>
      <c r="BC112" s="44">
        <f>'Income Statement'!BC20</f>
        <v>455</v>
      </c>
      <c r="BD112" s="44">
        <f>'Income Statement'!BD20</f>
        <v>319</v>
      </c>
      <c r="BE112" s="620">
        <f>'Income Statement'!BE20</f>
        <v>1276</v>
      </c>
      <c r="BF112" s="44">
        <f>'Income Statement'!BF20</f>
        <v>401</v>
      </c>
      <c r="BG112" s="44">
        <f>'Income Statement'!BG20</f>
        <v>545</v>
      </c>
      <c r="BH112" s="44">
        <f>'Income Statement'!BH20</f>
        <v>491</v>
      </c>
      <c r="BI112" s="620">
        <f>'Income Statement'!BI20</f>
        <v>1304</v>
      </c>
      <c r="BJ112" s="44">
        <f>'Income Statement'!BJ20</f>
        <v>430</v>
      </c>
      <c r="BK112" s="44">
        <f>'Income Statement'!BK20</f>
        <v>499</v>
      </c>
      <c r="BL112" s="44">
        <f>'Income Statement'!BL20</f>
        <v>523</v>
      </c>
      <c r="BM112" s="620">
        <f>'Income Statement'!BM20</f>
        <v>1355</v>
      </c>
      <c r="BN112" s="44">
        <f>'Income Statement'!BN20</f>
        <v>565</v>
      </c>
      <c r="BO112" s="44">
        <f>'Income Statement'!BO20</f>
        <v>512</v>
      </c>
      <c r="BP112" s="44">
        <f>'Income Statement'!BP20</f>
        <v>607</v>
      </c>
      <c r="BQ112" s="620">
        <f>'Income Statement'!BQ20</f>
        <v>1529</v>
      </c>
      <c r="BR112" s="44">
        <f>'Income Statement'!BR20</f>
        <v>556</v>
      </c>
      <c r="BS112" s="44">
        <f>'Income Statement'!BS20</f>
        <v>649</v>
      </c>
      <c r="BT112" s="44">
        <f>'Income Statement'!BT20</f>
        <v>635</v>
      </c>
      <c r="BU112" s="620">
        <f>'Income Statement'!BU20</f>
        <v>1474</v>
      </c>
      <c r="BV112" s="44">
        <f>'Income Statement'!BV20</f>
        <v>520</v>
      </c>
      <c r="BW112" s="44">
        <f>'Income Statement'!BW20</f>
        <v>528</v>
      </c>
      <c r="BX112" s="44">
        <f>'Income Statement'!BX20</f>
        <v>559</v>
      </c>
      <c r="BY112" s="620">
        <f>'Income Statement'!BY20</f>
        <v>1596</v>
      </c>
      <c r="BZ112" s="44">
        <f>'Income Statement'!CH20</f>
        <v>626</v>
      </c>
      <c r="CA112" s="44">
        <f>'Income Statement'!CI20</f>
        <v>352</v>
      </c>
      <c r="CB112" s="44">
        <f>'Income Statement'!CJ20</f>
        <v>270</v>
      </c>
      <c r="CC112" s="620">
        <f>'Income Statement'!CK20</f>
        <v>1154</v>
      </c>
      <c r="CD112" s="196">
        <f>'Income Statement'!CP20</f>
        <v>414</v>
      </c>
      <c r="CE112" s="196">
        <f>'Income Statement'!CQ20</f>
        <v>372</v>
      </c>
      <c r="CF112" s="196">
        <f>'Income Statement'!CR20</f>
        <v>298</v>
      </c>
      <c r="CG112" s="631">
        <f>'Income Statement'!CS20</f>
        <v>795</v>
      </c>
      <c r="CH112" s="196">
        <f>'Income Statement'!CT20</f>
        <v>382</v>
      </c>
      <c r="CI112" s="196">
        <f>'Income Statement'!CU20</f>
        <v>400</v>
      </c>
      <c r="CJ112" s="196">
        <f>'Income Statement'!CV20</f>
        <v>381</v>
      </c>
      <c r="CK112" s="631">
        <f>'Income Statement'!CW20</f>
        <v>990</v>
      </c>
      <c r="CL112" s="196">
        <f>'Income Statement'!CX20</f>
        <v>371</v>
      </c>
      <c r="CM112" s="196">
        <f>'Income Statement'!CY20</f>
        <v>441</v>
      </c>
      <c r="CN112" s="196">
        <f>'Income Statement'!CZ20</f>
        <v>406</v>
      </c>
      <c r="CO112" s="631">
        <f>'Income Statement'!DA20</f>
        <v>944</v>
      </c>
      <c r="CP112" s="196">
        <f>'Income Statement'!DB20</f>
        <v>402</v>
      </c>
      <c r="CQ112" s="196">
        <f>'Income Statement'!DC20</f>
        <v>455</v>
      </c>
      <c r="CR112" s="196">
        <f>'Income Statement'!DD20</f>
        <v>477</v>
      </c>
      <c r="CS112" s="631">
        <f>'Income Statement'!DE20</f>
        <v>1053</v>
      </c>
      <c r="CT112" s="196">
        <f>'Income Statement'!DF20</f>
        <v>461</v>
      </c>
      <c r="CU112" s="196">
        <f>'Income Statement'!DG20</f>
        <v>498</v>
      </c>
      <c r="CV112" s="196">
        <f>'Income Statement'!DH20</f>
        <v>519</v>
      </c>
      <c r="CW112" s="631">
        <f>'Income Statement'!DI20</f>
        <v>1165</v>
      </c>
      <c r="CX112" s="1718">
        <f>'Income Statement'!DJ20</f>
        <v>440.58154362611765</v>
      </c>
      <c r="CY112" s="196">
        <f>'Income Statement'!DK20</f>
        <v>479.03854763665038</v>
      </c>
      <c r="CZ112" s="196">
        <f>'Income Statement'!DL20</f>
        <v>522.25211886379179</v>
      </c>
      <c r="DA112" s="631">
        <f>'Income Statement'!DM20</f>
        <v>1233.0843213004996</v>
      </c>
      <c r="DB112" s="688"/>
      <c r="DC112" s="628"/>
      <c r="DD112" s="44"/>
      <c r="DE112" s="44"/>
      <c r="DF112" s="44"/>
      <c r="DG112" s="44"/>
      <c r="DH112" s="44"/>
      <c r="DI112" s="44"/>
      <c r="DJ112" s="44"/>
      <c r="DK112" s="44"/>
      <c r="DL112" s="44">
        <f>'Income Statement'!DX20</f>
        <v>99.59</v>
      </c>
      <c r="DM112" s="44">
        <f>'Income Statement'!DY20</f>
        <v>160.51100000000002</v>
      </c>
      <c r="DN112" s="44">
        <f>'Income Statement'!DZ20</f>
        <v>177.41800000000029</v>
      </c>
      <c r="DO112" s="44">
        <f>'Income Statement'!EA20</f>
        <v>120.04999999999944</v>
      </c>
      <c r="DP112" s="44">
        <f>'Income Statement'!EB20</f>
        <v>258.42199999999968</v>
      </c>
      <c r="DQ112" s="44">
        <f>'Income Statement'!EC20</f>
        <v>429.60900000000112</v>
      </c>
      <c r="DR112" s="44">
        <f>'Income Statement'!ED20</f>
        <v>648.79999999999995</v>
      </c>
      <c r="DS112" s="44">
        <f>'Income Statement'!EE20</f>
        <v>769.58099999999945</v>
      </c>
      <c r="DT112" s="44">
        <f>'Income Statement'!EF20</f>
        <v>1226</v>
      </c>
      <c r="DU112" s="44">
        <f>'Income Statement'!EG20</f>
        <v>1320</v>
      </c>
      <c r="DV112" s="44">
        <f>'Income Statement'!EH20</f>
        <v>1689</v>
      </c>
      <c r="DW112" s="44">
        <f>'Income Statement'!EI20</f>
        <v>1901</v>
      </c>
      <c r="DX112" s="44">
        <f>'Income Statement'!EJ20</f>
        <v>2100</v>
      </c>
      <c r="DY112" s="44">
        <f>'Income Statement'!EK20</f>
        <v>2508</v>
      </c>
      <c r="DZ112" s="44">
        <f>'Income Statement'!EL20</f>
        <v>2741</v>
      </c>
      <c r="EA112" s="44">
        <f>'Income Statement'!EM20</f>
        <v>2807</v>
      </c>
      <c r="EB112" s="44">
        <f>'Income Statement'!EN20</f>
        <v>3213</v>
      </c>
      <c r="EC112" s="44">
        <f>'Income Statement'!EO20</f>
        <v>3314</v>
      </c>
      <c r="ED112" s="44">
        <f>'Income Statement'!EP20</f>
        <v>3203</v>
      </c>
      <c r="EE112" s="42">
        <f t="shared" si="430"/>
        <v>3314</v>
      </c>
      <c r="EF112" s="42">
        <f t="shared" si="430"/>
        <v>3203</v>
      </c>
      <c r="EG112" s="44">
        <f>'Income Statement'!ES20</f>
        <v>2402</v>
      </c>
      <c r="EH112" s="44">
        <f>'Income Statement'!EU20</f>
        <v>3003</v>
      </c>
      <c r="EI112" s="44">
        <f>'Income Statement'!EV20</f>
        <v>2153</v>
      </c>
      <c r="EJ112" s="44">
        <f>'Income Statement'!EW20</f>
        <v>2162</v>
      </c>
      <c r="EK112" s="196">
        <f>'Income Statement'!EX20</f>
        <v>2387</v>
      </c>
      <c r="EL112" s="196">
        <f>'Income Statement'!EY20</f>
        <v>2643</v>
      </c>
      <c r="EM112" s="1718">
        <f>'Income Statement'!EZ20</f>
        <v>2674.9565314270594</v>
      </c>
      <c r="EN112" s="44">
        <f>'Income Statement'!FA20</f>
        <v>2722.5403101226075</v>
      </c>
      <c r="EO112" s="44">
        <f>'Income Statement'!FB20</f>
        <v>2782.9519640991134</v>
      </c>
      <c r="EP112" s="44">
        <f>'Income Statement'!FC20</f>
        <v>2789.6979751591534</v>
      </c>
      <c r="EQ112" s="44">
        <f>'Income Statement'!FD20</f>
        <v>2807.687879436437</v>
      </c>
      <c r="ER112" s="44">
        <f>'Income Statement'!FE20</f>
        <v>2826.5570270040312</v>
      </c>
      <c r="ES112" s="44">
        <f>'Income Statement'!FF20</f>
        <v>2846.3424333206021</v>
      </c>
      <c r="ET112" s="44">
        <f>'Income Statement'!FG20</f>
        <v>2867.0824126045509</v>
      </c>
      <c r="EU112" s="44">
        <f>'Income Statement'!FH20</f>
        <v>2888.816614691978</v>
      </c>
      <c r="EV112" s="1378"/>
      <c r="EW112"/>
      <c r="EX112"/>
      <c r="EY112"/>
      <c r="EZ112"/>
      <c r="FA112"/>
      <c r="FB112"/>
      <c r="FC112" s="4"/>
      <c r="FD112" s="4"/>
      <c r="FE112" s="4"/>
      <c r="FF112" s="4"/>
      <c r="FG112" s="196"/>
      <c r="FH112" s="196"/>
      <c r="FI112" s="196"/>
      <c r="FJ112" s="196"/>
      <c r="FK11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row>
    <row r="113" spans="1:260" s="3" customFormat="1" outlineLevel="1" x14ac:dyDescent="0.2">
      <c r="A113" s="305" t="s">
        <v>486</v>
      </c>
      <c r="B113" s="44">
        <f>'Income Statement'!B13</f>
        <v>7.6115166874888462</v>
      </c>
      <c r="C113" s="44">
        <f>'Income Statement'!C13</f>
        <v>8.3206325182937704</v>
      </c>
      <c r="D113" s="44">
        <f>'Income Statement'!D13</f>
        <v>9.6691429591290383</v>
      </c>
      <c r="E113" s="620">
        <f>'Income Statement'!E13</f>
        <v>12.510707835088343</v>
      </c>
      <c r="F113" s="44">
        <f>'Income Statement'!F13</f>
        <v>13.824060902255638</v>
      </c>
      <c r="G113" s="44">
        <f>'Income Statement'!G13</f>
        <v>14.425328571428574</v>
      </c>
      <c r="H113" s="44">
        <f>'Income Statement'!H13</f>
        <v>17.599818045112777</v>
      </c>
      <c r="I113" s="620">
        <f>'Income Statement'!I13</f>
        <v>19.661792481203005</v>
      </c>
      <c r="J113" s="44">
        <f>'Income Statement'!J13</f>
        <v>24.63313437351901</v>
      </c>
      <c r="K113" s="44">
        <f>'Income Statement'!K13</f>
        <v>25.492003353869706</v>
      </c>
      <c r="L113" s="44">
        <f>'Income Statement'!L13</f>
        <v>27.694182020341952</v>
      </c>
      <c r="M113" s="620">
        <f>'Income Statement'!M13</f>
        <v>28.066680252269329</v>
      </c>
      <c r="N113" s="44">
        <f>'Income Statement'!N13</f>
        <v>35.615495631619901</v>
      </c>
      <c r="O113" s="44">
        <f>'Income Statement'!O13</f>
        <v>35.172444048830108</v>
      </c>
      <c r="P113" s="44">
        <f>'Income Statement'!P13</f>
        <v>35.258128553048898</v>
      </c>
      <c r="Q113" s="620">
        <f>'Income Statement'!Q13</f>
        <v>33.648931766501093</v>
      </c>
      <c r="R113" s="44">
        <f>'Income Statement'!R13</f>
        <v>38.663395451497536</v>
      </c>
      <c r="S113" s="44">
        <f>'Income Statement'!S13</f>
        <v>41.266587505587843</v>
      </c>
      <c r="T113" s="44">
        <f>'Income Statement'!T13</f>
        <v>39.09763774027715</v>
      </c>
      <c r="U113" s="620">
        <f>'Income Statement'!U13</f>
        <v>42.872379302637469</v>
      </c>
      <c r="V113" s="44">
        <f>'Income Statement'!V13</f>
        <v>41.916959944874748</v>
      </c>
      <c r="W113" s="44">
        <f>'Income Statement'!W13</f>
        <v>44.569510125435457</v>
      </c>
      <c r="X113" s="44">
        <f>'Income Statement'!X13</f>
        <v>47.793525335919441</v>
      </c>
      <c r="Y113" s="620">
        <f>'Income Statement'!Y13</f>
        <v>52.320004593770342</v>
      </c>
      <c r="Z113" s="44">
        <f>'Income Statement'!Z13</f>
        <v>51.967177390583267</v>
      </c>
      <c r="AA113" s="44">
        <f>'Income Statement'!AA13</f>
        <v>49.403774021541032</v>
      </c>
      <c r="AB113" s="44">
        <f>'Income Statement'!AB13</f>
        <v>55.014241772652326</v>
      </c>
      <c r="AC113" s="620">
        <f>'Income Statement'!AC13</f>
        <v>71.614806815223375</v>
      </c>
      <c r="AD113" s="44">
        <f>'Income Statement'!AD13</f>
        <v>57.301889836230117</v>
      </c>
      <c r="AE113" s="44">
        <f>'Income Statement'!AE13</f>
        <v>66.255310123141072</v>
      </c>
      <c r="AF113" s="44">
        <f>'Income Statement'!AF13</f>
        <v>76.999414467434235</v>
      </c>
      <c r="AG113" s="620">
        <f>'Income Statement'!AG13</f>
        <v>99.14838557319456</v>
      </c>
      <c r="AH113" s="44">
        <f>'Income Statement'!AH13</f>
        <v>120.55363321799308</v>
      </c>
      <c r="AI113" s="44">
        <f>'Income Statement'!AI13</f>
        <v>120.55363321799308</v>
      </c>
      <c r="AJ113" s="44">
        <f>'Income Statement'!AJ13</f>
        <v>138.54671280276816</v>
      </c>
      <c r="AK113" s="620">
        <f>'Income Statement'!AK13</f>
        <v>140.34602076124568</v>
      </c>
      <c r="AL113" s="44">
        <f>'Income Statement'!AL13</f>
        <v>120.64516129032258</v>
      </c>
      <c r="AM113" s="44">
        <f>'Income Statement'!AM13</f>
        <v>122.06451612903226</v>
      </c>
      <c r="AN113" s="44">
        <f>'Income Statement'!AN13</f>
        <v>133.41935483870967</v>
      </c>
      <c r="AO113" s="620">
        <f>'Income Statement'!AO13</f>
        <v>63.870967741935488</v>
      </c>
      <c r="AP113" s="44">
        <f>'Income Statement'!AP13</f>
        <v>119.12727272727271</v>
      </c>
      <c r="AQ113" s="44">
        <f>'Income Statement'!AQ13</f>
        <v>111.83376623376623</v>
      </c>
      <c r="AR113" s="44">
        <f>'Income Statement'!AR13</f>
        <v>113.04935064935064</v>
      </c>
      <c r="AS113" s="620">
        <f>'Income Statement'!AS13</f>
        <v>123.98961038961038</v>
      </c>
      <c r="AT113" s="44">
        <f>'Income Statement'!AT13</f>
        <v>112.20043572984748</v>
      </c>
      <c r="AU113" s="44">
        <f>'Income Statement'!AU13</f>
        <v>112.20043572984748</v>
      </c>
      <c r="AV113" s="44">
        <f>'Income Statement'!AV13</f>
        <v>115.46840958605664</v>
      </c>
      <c r="AW113" s="620">
        <f>'Income Statement'!AW13</f>
        <v>160.13071895424835</v>
      </c>
      <c r="AX113" s="44">
        <f>'Income Statement'!AX13</f>
        <v>127.15384615384616</v>
      </c>
      <c r="AY113" s="44">
        <f>'Income Statement'!AY13</f>
        <v>127.15384615384616</v>
      </c>
      <c r="AZ113" s="44">
        <f>'Income Statement'!AZ13</f>
        <v>127.15384615384616</v>
      </c>
      <c r="BA113" s="620">
        <f>'Income Statement'!BA13</f>
        <v>169.53846153846155</v>
      </c>
      <c r="BB113" s="44">
        <f>'Income Statement'!BB13</f>
        <v>152.07692307692307</v>
      </c>
      <c r="BC113" s="44">
        <f>'Income Statement'!BC13</f>
        <v>152.07692307692307</v>
      </c>
      <c r="BD113" s="44">
        <f>'Income Statement'!BD13</f>
        <v>152.07692307692307</v>
      </c>
      <c r="BE113" s="620">
        <f>'Income Statement'!BE13</f>
        <v>202.76923076923083</v>
      </c>
      <c r="BF113" s="44">
        <f>'Income Statement'!BF13</f>
        <v>169.61538461538461</v>
      </c>
      <c r="BG113" s="44">
        <f>'Income Statement'!BG13</f>
        <v>169.61538461538461</v>
      </c>
      <c r="BH113" s="44">
        <f>'Income Statement'!BH13</f>
        <v>169.61538461538461</v>
      </c>
      <c r="BI113" s="620">
        <f>'Income Statement'!BI13</f>
        <v>226.15384615384619</v>
      </c>
      <c r="BJ113" s="44">
        <f>'Income Statement'!BJ13</f>
        <v>217.15384615384616</v>
      </c>
      <c r="BK113" s="44">
        <f>'Income Statement'!BK13</f>
        <v>217.15384615384616</v>
      </c>
      <c r="BL113" s="44">
        <f>'Income Statement'!BL13</f>
        <v>217.15384615384616</v>
      </c>
      <c r="BM113" s="620">
        <f>'Income Statement'!BM13</f>
        <v>289.53846153846155</v>
      </c>
      <c r="BN113" s="44">
        <f>'Income Statement'!BN13</f>
        <v>252.23076923076923</v>
      </c>
      <c r="BO113" s="44">
        <f>'Income Statement'!BO13</f>
        <v>252.23076923076923</v>
      </c>
      <c r="BP113" s="44">
        <f>'Income Statement'!BP13</f>
        <v>252.23076923076923</v>
      </c>
      <c r="BQ113" s="620">
        <f>'Income Statement'!BQ13</f>
        <v>336.30769230769238</v>
      </c>
      <c r="BR113" s="44">
        <f>'Income Statement'!BR13</f>
        <v>259.38461538461536</v>
      </c>
      <c r="BS113" s="44">
        <f>'Income Statement'!BS13</f>
        <v>259.38461538461536</v>
      </c>
      <c r="BT113" s="44">
        <f>'Income Statement'!BT13</f>
        <v>259.38461538461536</v>
      </c>
      <c r="BU113" s="620">
        <f>'Income Statement'!BU13</f>
        <v>345.84615384615392</v>
      </c>
      <c r="BV113" s="44">
        <f>'Income Statement'!BV13</f>
        <v>267.41078904243574</v>
      </c>
      <c r="BW113" s="44">
        <f>'Income Statement'!BW13</f>
        <v>267.41078904243574</v>
      </c>
      <c r="BX113" s="44">
        <f>'Income Statement'!BX13</f>
        <v>267.41078904243574</v>
      </c>
      <c r="BY113" s="620">
        <f>'Income Statement'!BY13</f>
        <v>356.54771872324773</v>
      </c>
      <c r="BZ113" s="44">
        <f>'Income Statement'!CH13</f>
        <v>306.8953687821612</v>
      </c>
      <c r="CA113" s="44">
        <f>'Income Statement'!CI13</f>
        <v>284.97427101200685</v>
      </c>
      <c r="CB113" s="44">
        <f>'Income Statement'!CJ13</f>
        <v>284.97427101200685</v>
      </c>
      <c r="CC113" s="620">
        <f>'Income Statement'!CK13</f>
        <v>284.97427101200685</v>
      </c>
      <c r="CD113" s="196">
        <f>'Income Statement'!CP13</f>
        <v>212</v>
      </c>
      <c r="CE113" s="196">
        <f>'Income Statement'!CQ13</f>
        <v>212</v>
      </c>
      <c r="CF113" s="196">
        <f>'Income Statement'!CR13</f>
        <v>212</v>
      </c>
      <c r="CG113" s="631">
        <f>'Income Statement'!CS13</f>
        <v>212</v>
      </c>
      <c r="CH113" s="196">
        <f>'Income Statement'!CT13</f>
        <v>208</v>
      </c>
      <c r="CI113" s="196">
        <f>'Income Statement'!CU13</f>
        <v>208</v>
      </c>
      <c r="CJ113" s="196">
        <f>'Income Statement'!CV13</f>
        <v>208</v>
      </c>
      <c r="CK113" s="631">
        <f>'Income Statement'!CW13</f>
        <v>208</v>
      </c>
      <c r="CL113" s="196">
        <f>'Income Statement'!CX13</f>
        <v>195.75</v>
      </c>
      <c r="CM113" s="196">
        <f>'Income Statement'!CY13</f>
        <v>195.75</v>
      </c>
      <c r="CN113" s="196">
        <f>'Income Statement'!CZ13</f>
        <v>195.75</v>
      </c>
      <c r="CO113" s="631">
        <f>'Income Statement'!DA13</f>
        <v>195.75</v>
      </c>
      <c r="CP113" s="196">
        <f>'Income Statement'!DB13</f>
        <v>193.5</v>
      </c>
      <c r="CQ113" s="196">
        <f>'Income Statement'!DC13</f>
        <v>193.5</v>
      </c>
      <c r="CR113" s="196">
        <f>'Income Statement'!DD13</f>
        <v>193.5</v>
      </c>
      <c r="CS113" s="631">
        <f>'Income Statement'!DE13</f>
        <v>193.5</v>
      </c>
      <c r="CT113" s="196">
        <f>'Income Statement'!DF13</f>
        <v>201.68183696374155</v>
      </c>
      <c r="CU113" s="196">
        <f>'Income Statement'!DG13</f>
        <v>201.68183696374155</v>
      </c>
      <c r="CV113" s="196">
        <f>'Income Statement'!DH13</f>
        <v>201.68183696374155</v>
      </c>
      <c r="CW113" s="631">
        <f>'Income Statement'!DI13</f>
        <v>201.68183696374155</v>
      </c>
      <c r="CX113" s="1718">
        <f>'Income Statement'!DJ13</f>
        <v>207.34353555267955</v>
      </c>
      <c r="CY113" s="196">
        <f>'Income Statement'!DK13</f>
        <v>207.34353555267955</v>
      </c>
      <c r="CZ113" s="196">
        <f>'Income Statement'!DL13</f>
        <v>207.34353555267955</v>
      </c>
      <c r="DA113" s="631">
        <f>'Income Statement'!DM13</f>
        <v>207.34353555267955</v>
      </c>
      <c r="DB113" s="688"/>
      <c r="DC113" s="628"/>
      <c r="DD113" s="44"/>
      <c r="DE113" s="44"/>
      <c r="DF113" s="44"/>
      <c r="DG113" s="44"/>
      <c r="DH113" s="44"/>
      <c r="DI113" s="44"/>
      <c r="DJ113" s="44"/>
      <c r="DK113" s="44"/>
      <c r="DL113" s="44">
        <f>'Income Statement'!DX13</f>
        <v>38.112000000000002</v>
      </c>
      <c r="DM113" s="44">
        <f>'Income Statement'!DY13</f>
        <v>65.510999999999996</v>
      </c>
      <c r="DN113" s="44">
        <f>'Income Statement'!DZ13</f>
        <v>105.886</v>
      </c>
      <c r="DO113" s="44">
        <f>'Income Statement'!EA13</f>
        <v>139.69499999999999</v>
      </c>
      <c r="DP113" s="44">
        <f>'Income Statement'!EB13</f>
        <v>161.9</v>
      </c>
      <c r="DQ113" s="44">
        <f>'Income Statement'!EC13</f>
        <v>186.6</v>
      </c>
      <c r="DR113" s="44">
        <f>'Income Statement'!ED13</f>
        <v>228</v>
      </c>
      <c r="DS113" s="44">
        <f>'Income Statement'!EE13</f>
        <v>299.70499999999998</v>
      </c>
      <c r="DT113" s="44">
        <f>'Income Statement'!EF13</f>
        <v>520</v>
      </c>
      <c r="DU113" s="44">
        <f>'Income Statement'!EG13</f>
        <v>440</v>
      </c>
      <c r="DV113" s="44">
        <f>'Income Statement'!EH13</f>
        <v>468</v>
      </c>
      <c r="DW113" s="44">
        <f>'Income Statement'!EI13</f>
        <v>500</v>
      </c>
      <c r="DX113" s="44">
        <f>'Income Statement'!EJ13</f>
        <v>551</v>
      </c>
      <c r="DY113" s="44">
        <f>'Income Statement'!EK13</f>
        <v>659</v>
      </c>
      <c r="DZ113" s="44">
        <f>'Income Statement'!EL13</f>
        <v>735</v>
      </c>
      <c r="EA113" s="44">
        <f>'Income Statement'!EM13</f>
        <v>941</v>
      </c>
      <c r="EB113" s="44">
        <f>'Income Statement'!EN13</f>
        <v>1093</v>
      </c>
      <c r="EC113" s="44">
        <f>'Income Statement'!EO13</f>
        <v>1124</v>
      </c>
      <c r="ED113" s="44">
        <f>'Income Statement'!EP13</f>
        <v>1158.780085850555</v>
      </c>
      <c r="EE113" s="42">
        <f t="shared" si="430"/>
        <v>1124</v>
      </c>
      <c r="EF113" s="42">
        <f t="shared" si="430"/>
        <v>1158.780085850555</v>
      </c>
      <c r="EG113" s="44">
        <f>'Income Statement'!ES13</f>
        <v>1161.8181818181818</v>
      </c>
      <c r="EH113" s="44">
        <f>'Income Statement'!EU13</f>
        <v>848</v>
      </c>
      <c r="EI113" s="44">
        <f>'Income Statement'!EV13</f>
        <v>832</v>
      </c>
      <c r="EJ113" s="44">
        <f>'Income Statement'!EW13</f>
        <v>783</v>
      </c>
      <c r="EK113" s="196">
        <f>'Income Statement'!EX13</f>
        <v>774</v>
      </c>
      <c r="EL113" s="196">
        <f>'Income Statement'!EY13</f>
        <v>806.72734785496618</v>
      </c>
      <c r="EM113" s="1718">
        <f>'Income Statement'!EZ13</f>
        <v>829.37414221071822</v>
      </c>
      <c r="EN113" s="44">
        <f>'Income Statement'!FA13</f>
        <v>837.73351247593212</v>
      </c>
      <c r="EO113" s="44">
        <f>'Income Statement'!FB13</f>
        <v>846.05524665421547</v>
      </c>
      <c r="EP113" s="44">
        <f>'Income Statement'!FC13</f>
        <v>853.42474741781143</v>
      </c>
      <c r="EQ113" s="44">
        <f>'Income Statement'!FD13</f>
        <v>864.25644189035518</v>
      </c>
      <c r="ER113" s="44">
        <f>'Income Statement'!FE13</f>
        <v>875.51424608488355</v>
      </c>
      <c r="ES113" s="44">
        <f>'Income Statement'!FF13</f>
        <v>887.219270173778</v>
      </c>
      <c r="ET113" s="44">
        <f>'Income Statement'!FG13</f>
        <v>899.39367829718674</v>
      </c>
      <c r="EU113" s="44">
        <f>'Income Statement'!FH13</f>
        <v>912.06074127108934</v>
      </c>
      <c r="EV113" s="1378"/>
      <c r="EW113"/>
      <c r="EX113"/>
      <c r="EY113"/>
      <c r="EZ113"/>
      <c r="FA113"/>
      <c r="FB113"/>
      <c r="FC113" s="4"/>
      <c r="FD113" s="4"/>
      <c r="FE113" s="4"/>
      <c r="FF113" s="4"/>
      <c r="FG113" s="196"/>
      <c r="FH113" s="196"/>
      <c r="FI113" s="196"/>
      <c r="FJ113" s="196"/>
      <c r="FK113"/>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row>
    <row r="114" spans="1:260" s="3" customFormat="1" outlineLevel="1" x14ac:dyDescent="0.2">
      <c r="A114" s="305" t="s">
        <v>332</v>
      </c>
      <c r="B114" s="196">
        <f t="shared" ref="B114:AG114" si="431">B113+B112</f>
        <v>15.761516687488838</v>
      </c>
      <c r="C114" s="196">
        <f t="shared" si="431"/>
        <v>26.303632518293803</v>
      </c>
      <c r="D114" s="196">
        <f t="shared" si="431"/>
        <v>36.204142959128987</v>
      </c>
      <c r="E114" s="631">
        <f t="shared" si="431"/>
        <v>59.432707835088365</v>
      </c>
      <c r="F114" s="196">
        <f t="shared" si="431"/>
        <v>33.663060902255637</v>
      </c>
      <c r="G114" s="196">
        <f t="shared" si="431"/>
        <v>40.577328571428538</v>
      </c>
      <c r="H114" s="196">
        <f t="shared" si="431"/>
        <v>65.974818045112841</v>
      </c>
      <c r="I114" s="631">
        <f t="shared" si="431"/>
        <v>85.80679248120299</v>
      </c>
      <c r="J114" s="196">
        <f t="shared" si="431"/>
        <v>53.732134373519187</v>
      </c>
      <c r="K114" s="196">
        <f t="shared" si="431"/>
        <v>57.903003353869792</v>
      </c>
      <c r="L114" s="196">
        <f t="shared" si="431"/>
        <v>84.63118202034201</v>
      </c>
      <c r="M114" s="631">
        <f t="shared" si="431"/>
        <v>87.037680252269297</v>
      </c>
      <c r="N114" s="196">
        <f t="shared" si="431"/>
        <v>65.609495631619751</v>
      </c>
      <c r="O114" s="196">
        <f t="shared" si="431"/>
        <v>71.686444048830282</v>
      </c>
      <c r="P114" s="196">
        <f t="shared" si="431"/>
        <v>49.019128553048944</v>
      </c>
      <c r="Q114" s="631">
        <f t="shared" si="431"/>
        <v>73.429931766500857</v>
      </c>
      <c r="R114" s="196">
        <f t="shared" si="431"/>
        <v>60.974395451497571</v>
      </c>
      <c r="S114" s="196">
        <f t="shared" si="431"/>
        <v>79.438587505587719</v>
      </c>
      <c r="T114" s="196">
        <f t="shared" si="431"/>
        <v>109.28363774027704</v>
      </c>
      <c r="U114" s="631">
        <f t="shared" si="431"/>
        <v>170.62537930263733</v>
      </c>
      <c r="V114" s="196">
        <f t="shared" si="431"/>
        <v>82.304959944874852</v>
      </c>
      <c r="W114" s="196">
        <f t="shared" si="431"/>
        <v>131.72451012543547</v>
      </c>
      <c r="X114" s="196">
        <f t="shared" si="431"/>
        <v>158.09552533591958</v>
      </c>
      <c r="Y114" s="631">
        <f t="shared" si="431"/>
        <v>244.08400459377069</v>
      </c>
      <c r="Z114" s="196">
        <f t="shared" si="431"/>
        <v>147.30617739058323</v>
      </c>
      <c r="AA114" s="196">
        <f t="shared" si="431"/>
        <v>161.48177402154101</v>
      </c>
      <c r="AB114" s="196">
        <f t="shared" si="431"/>
        <v>202.62624177265252</v>
      </c>
      <c r="AC114" s="631">
        <f t="shared" si="431"/>
        <v>365.3858068152233</v>
      </c>
      <c r="AD114" s="196">
        <f t="shared" si="431"/>
        <v>197.81988983622998</v>
      </c>
      <c r="AE114" s="196">
        <f t="shared" si="431"/>
        <v>218.60531012314098</v>
      </c>
      <c r="AF114" s="196">
        <f t="shared" si="431"/>
        <v>205.01241446743393</v>
      </c>
      <c r="AG114" s="631">
        <f t="shared" si="431"/>
        <v>447.84838557319461</v>
      </c>
      <c r="AH114" s="196">
        <f t="shared" ref="AH114:BM114" si="432">AH113+AH112</f>
        <v>277.55363321799308</v>
      </c>
      <c r="AI114" s="196">
        <f t="shared" si="432"/>
        <v>335.55363321799308</v>
      </c>
      <c r="AJ114" s="196">
        <f t="shared" si="432"/>
        <v>344.54671280276818</v>
      </c>
      <c r="AK114" s="631">
        <f t="shared" si="432"/>
        <v>788.34602076124565</v>
      </c>
      <c r="AL114" s="196">
        <f t="shared" si="432"/>
        <v>334.64516129032256</v>
      </c>
      <c r="AM114" s="196">
        <f t="shared" si="432"/>
        <v>337.06451612903226</v>
      </c>
      <c r="AN114" s="196">
        <f t="shared" si="432"/>
        <v>367.41935483870964</v>
      </c>
      <c r="AO114" s="631">
        <f t="shared" si="432"/>
        <v>720.87096774193549</v>
      </c>
      <c r="AP114" s="196">
        <f t="shared" si="432"/>
        <v>331.12727272727273</v>
      </c>
      <c r="AQ114" s="196">
        <f t="shared" si="432"/>
        <v>432.83376623376626</v>
      </c>
      <c r="AR114" s="196">
        <f t="shared" si="432"/>
        <v>408.04935064935063</v>
      </c>
      <c r="AS114" s="631">
        <f t="shared" si="432"/>
        <v>984.98961038961033</v>
      </c>
      <c r="AT114" s="196">
        <f t="shared" si="432"/>
        <v>399.20043572984747</v>
      </c>
      <c r="AU114" s="196">
        <f t="shared" si="432"/>
        <v>457.20043572984747</v>
      </c>
      <c r="AV114" s="196">
        <f t="shared" si="432"/>
        <v>454.46840958605662</v>
      </c>
      <c r="AW114" s="631">
        <f t="shared" si="432"/>
        <v>1090.1307189542483</v>
      </c>
      <c r="AX114" s="196">
        <f t="shared" si="432"/>
        <v>475.15384615384619</v>
      </c>
      <c r="AY114" s="196">
        <f t="shared" si="432"/>
        <v>501.15384615384619</v>
      </c>
      <c r="AZ114" s="196">
        <f t="shared" si="432"/>
        <v>427.15384615384619</v>
      </c>
      <c r="BA114" s="631">
        <f t="shared" si="432"/>
        <v>1247.5384615384614</v>
      </c>
      <c r="BB114" s="196">
        <f t="shared" si="432"/>
        <v>610.07692307692309</v>
      </c>
      <c r="BC114" s="196">
        <f t="shared" si="432"/>
        <v>607.07692307692309</v>
      </c>
      <c r="BD114" s="196">
        <f t="shared" si="432"/>
        <v>471.07692307692309</v>
      </c>
      <c r="BE114" s="631">
        <f t="shared" si="432"/>
        <v>1478.7692307692309</v>
      </c>
      <c r="BF114" s="196">
        <f t="shared" si="432"/>
        <v>570.61538461538464</v>
      </c>
      <c r="BG114" s="196">
        <f t="shared" si="432"/>
        <v>714.61538461538464</v>
      </c>
      <c r="BH114" s="196">
        <f t="shared" si="432"/>
        <v>660.61538461538464</v>
      </c>
      <c r="BI114" s="631">
        <f t="shared" si="432"/>
        <v>1530.1538461538462</v>
      </c>
      <c r="BJ114" s="196">
        <f t="shared" si="432"/>
        <v>647.15384615384619</v>
      </c>
      <c r="BK114" s="196">
        <f t="shared" si="432"/>
        <v>716.15384615384619</v>
      </c>
      <c r="BL114" s="196">
        <f t="shared" si="432"/>
        <v>740.15384615384619</v>
      </c>
      <c r="BM114" s="631">
        <f t="shared" si="432"/>
        <v>1644.5384615384614</v>
      </c>
      <c r="BN114" s="196">
        <f t="shared" ref="BN114:CK114" si="433">BN113+BN112</f>
        <v>817.23076923076928</v>
      </c>
      <c r="BO114" s="196">
        <f t="shared" si="433"/>
        <v>764.23076923076928</v>
      </c>
      <c r="BP114" s="196">
        <f t="shared" si="433"/>
        <v>859.23076923076928</v>
      </c>
      <c r="BQ114" s="631">
        <f t="shared" si="433"/>
        <v>1865.3076923076924</v>
      </c>
      <c r="BR114" s="196">
        <f t="shared" si="433"/>
        <v>815.38461538461536</v>
      </c>
      <c r="BS114" s="196">
        <f t="shared" si="433"/>
        <v>908.38461538461536</v>
      </c>
      <c r="BT114" s="196">
        <f t="shared" si="433"/>
        <v>894.38461538461536</v>
      </c>
      <c r="BU114" s="631">
        <f t="shared" si="433"/>
        <v>1819.8461538461538</v>
      </c>
      <c r="BV114" s="196">
        <f t="shared" si="433"/>
        <v>787.41078904243568</v>
      </c>
      <c r="BW114" s="196">
        <f t="shared" si="433"/>
        <v>795.41078904243568</v>
      </c>
      <c r="BX114" s="196">
        <f t="shared" si="433"/>
        <v>826.41078904243568</v>
      </c>
      <c r="BY114" s="631">
        <f t="shared" si="433"/>
        <v>1952.5477187232477</v>
      </c>
      <c r="BZ114" s="196">
        <f t="shared" si="433"/>
        <v>932.8953687821612</v>
      </c>
      <c r="CA114" s="196">
        <f t="shared" si="433"/>
        <v>636.97427101200685</v>
      </c>
      <c r="CB114" s="196">
        <f t="shared" si="433"/>
        <v>554.97427101200685</v>
      </c>
      <c r="CC114" s="631">
        <f t="shared" si="433"/>
        <v>1438.9742710120067</v>
      </c>
      <c r="CD114" s="196">
        <f t="shared" si="433"/>
        <v>626</v>
      </c>
      <c r="CE114" s="196">
        <f t="shared" si="433"/>
        <v>584</v>
      </c>
      <c r="CF114" s="196">
        <f t="shared" si="433"/>
        <v>510</v>
      </c>
      <c r="CG114" s="631">
        <f t="shared" si="433"/>
        <v>1007</v>
      </c>
      <c r="CH114" s="196">
        <f t="shared" si="433"/>
        <v>590</v>
      </c>
      <c r="CI114" s="196">
        <f t="shared" si="433"/>
        <v>608</v>
      </c>
      <c r="CJ114" s="196">
        <f t="shared" si="433"/>
        <v>589</v>
      </c>
      <c r="CK114" s="631">
        <f t="shared" si="433"/>
        <v>1198</v>
      </c>
      <c r="CL114" s="196">
        <f t="shared" ref="CL114:CS114" si="434">CL113+CL112</f>
        <v>566.75</v>
      </c>
      <c r="CM114" s="196">
        <f t="shared" si="434"/>
        <v>636.75</v>
      </c>
      <c r="CN114" s="196">
        <f t="shared" si="434"/>
        <v>601.75</v>
      </c>
      <c r="CO114" s="631">
        <f t="shared" si="434"/>
        <v>1139.75</v>
      </c>
      <c r="CP114" s="196">
        <f t="shared" si="434"/>
        <v>595.5</v>
      </c>
      <c r="CQ114" s="196">
        <f t="shared" si="434"/>
        <v>648.5</v>
      </c>
      <c r="CR114" s="196">
        <f t="shared" si="434"/>
        <v>670.5</v>
      </c>
      <c r="CS114" s="631">
        <f t="shared" si="434"/>
        <v>1246.5</v>
      </c>
      <c r="CT114" s="196">
        <f>CT113+CT112</f>
        <v>662.68183696374149</v>
      </c>
      <c r="CU114" s="196">
        <f t="shared" ref="CU114" si="435">CU113+CU112</f>
        <v>699.68183696374149</v>
      </c>
      <c r="CV114" s="196">
        <f t="shared" ref="CV114:DA114" si="436">CV113+CV112</f>
        <v>720.68183696374149</v>
      </c>
      <c r="CW114" s="631">
        <f t="shared" si="436"/>
        <v>1366.6818369637415</v>
      </c>
      <c r="CX114" s="1718">
        <f t="shared" si="436"/>
        <v>647.9250791787972</v>
      </c>
      <c r="CY114" s="196">
        <f t="shared" si="436"/>
        <v>686.38208318932993</v>
      </c>
      <c r="CZ114" s="196">
        <f t="shared" si="436"/>
        <v>729.59565441647135</v>
      </c>
      <c r="DA114" s="631">
        <f t="shared" si="436"/>
        <v>1440.427856853179</v>
      </c>
      <c r="DB114" s="690"/>
      <c r="DC114" s="630"/>
      <c r="DD114" s="44"/>
      <c r="DE114" s="44"/>
      <c r="DF114" s="44"/>
      <c r="DG114" s="44"/>
      <c r="DH114" s="44"/>
      <c r="DI114" s="44"/>
      <c r="DJ114" s="44"/>
      <c r="DK114" s="44"/>
      <c r="DL114" s="196">
        <f t="shared" ref="DL114:ED114" si="437">DL113+DL112</f>
        <v>137.702</v>
      </c>
      <c r="DM114" s="196">
        <f t="shared" si="437"/>
        <v>226.02200000000002</v>
      </c>
      <c r="DN114" s="196">
        <f t="shared" si="437"/>
        <v>283.30400000000031</v>
      </c>
      <c r="DO114" s="196">
        <f t="shared" si="437"/>
        <v>259.74499999999944</v>
      </c>
      <c r="DP114" s="196">
        <f t="shared" si="437"/>
        <v>420.32199999999966</v>
      </c>
      <c r="DQ114" s="196">
        <f t="shared" si="437"/>
        <v>616.20900000000108</v>
      </c>
      <c r="DR114" s="196">
        <f t="shared" si="437"/>
        <v>876.8</v>
      </c>
      <c r="DS114" s="196">
        <f t="shared" si="437"/>
        <v>1069.2859999999994</v>
      </c>
      <c r="DT114" s="196">
        <f t="shared" si="437"/>
        <v>1746</v>
      </c>
      <c r="DU114" s="196">
        <f t="shared" si="437"/>
        <v>1760</v>
      </c>
      <c r="DV114" s="196">
        <f t="shared" si="437"/>
        <v>2157</v>
      </c>
      <c r="DW114" s="196">
        <f t="shared" si="437"/>
        <v>2401</v>
      </c>
      <c r="DX114" s="196">
        <f t="shared" si="437"/>
        <v>2651</v>
      </c>
      <c r="DY114" s="196">
        <f t="shared" si="437"/>
        <v>3167</v>
      </c>
      <c r="DZ114" s="196">
        <f t="shared" si="437"/>
        <v>3476</v>
      </c>
      <c r="EA114" s="196">
        <f t="shared" si="437"/>
        <v>3748</v>
      </c>
      <c r="EB114" s="196">
        <f t="shared" si="437"/>
        <v>4306</v>
      </c>
      <c r="EC114" s="196">
        <f t="shared" si="437"/>
        <v>4438</v>
      </c>
      <c r="ED114" s="196">
        <f t="shared" si="437"/>
        <v>4361.7800858505552</v>
      </c>
      <c r="EE114" s="42">
        <f t="shared" si="430"/>
        <v>4438</v>
      </c>
      <c r="EF114" s="42">
        <f t="shared" si="430"/>
        <v>4361.7800858505552</v>
      </c>
      <c r="EG114" s="196">
        <f>EG113+EG112</f>
        <v>3563.818181818182</v>
      </c>
      <c r="EH114" s="196">
        <f>EH113+EH112</f>
        <v>3851</v>
      </c>
      <c r="EI114" s="196">
        <f>EI113+EI112</f>
        <v>2985</v>
      </c>
      <c r="EJ114" s="196">
        <f t="shared" ref="EJ114:EP114" si="438">EJ113+EJ112</f>
        <v>2945</v>
      </c>
      <c r="EK114" s="196">
        <f t="shared" si="438"/>
        <v>3161</v>
      </c>
      <c r="EL114" s="196">
        <f>EL113+EL112</f>
        <v>3449.727347854966</v>
      </c>
      <c r="EM114" s="1718">
        <f>EM113+EM112</f>
        <v>3504.3306736377776</v>
      </c>
      <c r="EN114" s="196">
        <f t="shared" si="438"/>
        <v>3560.2738225985395</v>
      </c>
      <c r="EO114" s="196">
        <f t="shared" si="438"/>
        <v>3629.0072107533288</v>
      </c>
      <c r="EP114" s="196">
        <f t="shared" si="438"/>
        <v>3643.1227225769649</v>
      </c>
      <c r="EQ114" s="196">
        <f>EQ113+EQ112</f>
        <v>3671.9443213267923</v>
      </c>
      <c r="ER114" s="196">
        <f>ER113+ER112</f>
        <v>3702.0712730889145</v>
      </c>
      <c r="ES114" s="196">
        <f>ES113+ES112</f>
        <v>3733.5617034943803</v>
      </c>
      <c r="ET114" s="196">
        <f>ET113+ET112</f>
        <v>3766.4760909017377</v>
      </c>
      <c r="EU114" s="196">
        <f>EU113+EU112</f>
        <v>3800.8773559630672</v>
      </c>
      <c r="EV114" s="1378"/>
      <c r="EW114"/>
      <c r="EX114"/>
      <c r="EY114"/>
      <c r="EZ114"/>
      <c r="FA114"/>
      <c r="FB114"/>
      <c r="FC114" s="4"/>
      <c r="FD114" s="4"/>
      <c r="FE114" s="4"/>
      <c r="FF114" s="4"/>
      <c r="FG114" s="196"/>
      <c r="FH114" s="196"/>
      <c r="FI114" s="196"/>
      <c r="FJ114" s="196"/>
      <c r="FK114"/>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row>
    <row r="115" spans="1:260" s="3" customFormat="1" outlineLevel="1" x14ac:dyDescent="0.2">
      <c r="A115" s="305" t="s">
        <v>66</v>
      </c>
      <c r="B115" s="196">
        <f t="shared" ref="B115:AG115" si="439">B113*8</f>
        <v>60.89213349991077</v>
      </c>
      <c r="C115" s="196">
        <f t="shared" si="439"/>
        <v>66.565060146350163</v>
      </c>
      <c r="D115" s="196">
        <f t="shared" si="439"/>
        <v>77.353143673032307</v>
      </c>
      <c r="E115" s="631">
        <f t="shared" si="439"/>
        <v>100.08566268070675</v>
      </c>
      <c r="F115" s="196">
        <f t="shared" si="439"/>
        <v>110.59248721804511</v>
      </c>
      <c r="G115" s="196">
        <f t="shared" si="439"/>
        <v>115.40262857142859</v>
      </c>
      <c r="H115" s="196">
        <f t="shared" si="439"/>
        <v>140.79854436090221</v>
      </c>
      <c r="I115" s="631">
        <f t="shared" si="439"/>
        <v>157.29433984962404</v>
      </c>
      <c r="J115" s="196">
        <f t="shared" si="439"/>
        <v>197.06507498815208</v>
      </c>
      <c r="K115" s="196">
        <f t="shared" si="439"/>
        <v>203.93602683095764</v>
      </c>
      <c r="L115" s="196">
        <f t="shared" si="439"/>
        <v>221.55345616273561</v>
      </c>
      <c r="M115" s="631">
        <f t="shared" si="439"/>
        <v>224.53344201815463</v>
      </c>
      <c r="N115" s="196">
        <f t="shared" si="439"/>
        <v>284.9239650529592</v>
      </c>
      <c r="O115" s="196">
        <f t="shared" si="439"/>
        <v>281.37955239064087</v>
      </c>
      <c r="P115" s="196">
        <f t="shared" si="439"/>
        <v>282.06502842439119</v>
      </c>
      <c r="Q115" s="631">
        <f t="shared" si="439"/>
        <v>269.19145413200874</v>
      </c>
      <c r="R115" s="196">
        <f t="shared" si="439"/>
        <v>309.30716361198029</v>
      </c>
      <c r="S115" s="196">
        <f t="shared" si="439"/>
        <v>330.13270004470274</v>
      </c>
      <c r="T115" s="196">
        <f t="shared" si="439"/>
        <v>312.7811019222172</v>
      </c>
      <c r="U115" s="631">
        <f t="shared" si="439"/>
        <v>342.97903442109975</v>
      </c>
      <c r="V115" s="196">
        <f t="shared" si="439"/>
        <v>335.33567955899798</v>
      </c>
      <c r="W115" s="196">
        <f t="shared" si="439"/>
        <v>356.55608100348365</v>
      </c>
      <c r="X115" s="196">
        <f t="shared" si="439"/>
        <v>382.34820268735552</v>
      </c>
      <c r="Y115" s="631">
        <f t="shared" si="439"/>
        <v>418.56003675016274</v>
      </c>
      <c r="Z115" s="196">
        <f t="shared" si="439"/>
        <v>415.73741912466613</v>
      </c>
      <c r="AA115" s="196">
        <f t="shared" si="439"/>
        <v>395.23019217232826</v>
      </c>
      <c r="AB115" s="196">
        <f t="shared" si="439"/>
        <v>440.11393418121861</v>
      </c>
      <c r="AC115" s="631">
        <f t="shared" si="439"/>
        <v>572.918454521787</v>
      </c>
      <c r="AD115" s="196">
        <f t="shared" si="439"/>
        <v>458.41511868984094</v>
      </c>
      <c r="AE115" s="196">
        <f t="shared" si="439"/>
        <v>530.04248098512858</v>
      </c>
      <c r="AF115" s="196">
        <f t="shared" si="439"/>
        <v>615.99531573947388</v>
      </c>
      <c r="AG115" s="631">
        <f t="shared" si="439"/>
        <v>793.18708458555648</v>
      </c>
      <c r="AH115" s="196">
        <f t="shared" ref="AH115:BM115" si="440">AH113*8</f>
        <v>964.42906574394465</v>
      </c>
      <c r="AI115" s="196">
        <f t="shared" si="440"/>
        <v>964.42906574394465</v>
      </c>
      <c r="AJ115" s="196">
        <f t="shared" si="440"/>
        <v>1108.3737024221452</v>
      </c>
      <c r="AK115" s="631">
        <f t="shared" si="440"/>
        <v>1122.7681660899655</v>
      </c>
      <c r="AL115" s="196">
        <f t="shared" si="440"/>
        <v>965.16129032258061</v>
      </c>
      <c r="AM115" s="196">
        <f t="shared" si="440"/>
        <v>976.51612903225805</v>
      </c>
      <c r="AN115" s="196">
        <f t="shared" si="440"/>
        <v>1067.3548387096773</v>
      </c>
      <c r="AO115" s="631">
        <f t="shared" si="440"/>
        <v>510.9677419354839</v>
      </c>
      <c r="AP115" s="196">
        <f t="shared" si="440"/>
        <v>953.01818181818169</v>
      </c>
      <c r="AQ115" s="196">
        <f t="shared" si="440"/>
        <v>894.67012987012981</v>
      </c>
      <c r="AR115" s="196">
        <f t="shared" si="440"/>
        <v>904.39480519480514</v>
      </c>
      <c r="AS115" s="631">
        <f t="shared" si="440"/>
        <v>991.91688311688301</v>
      </c>
      <c r="AT115" s="196">
        <f t="shared" si="440"/>
        <v>897.60348583877987</v>
      </c>
      <c r="AU115" s="196">
        <f t="shared" si="440"/>
        <v>897.60348583877987</v>
      </c>
      <c r="AV115" s="196">
        <f t="shared" si="440"/>
        <v>923.7472766884531</v>
      </c>
      <c r="AW115" s="631">
        <f t="shared" si="440"/>
        <v>1281.0457516339868</v>
      </c>
      <c r="AX115" s="196">
        <f t="shared" si="440"/>
        <v>1017.2307692307693</v>
      </c>
      <c r="AY115" s="196">
        <f t="shared" si="440"/>
        <v>1017.2307692307693</v>
      </c>
      <c r="AZ115" s="196">
        <f t="shared" si="440"/>
        <v>1017.2307692307693</v>
      </c>
      <c r="BA115" s="631">
        <f t="shared" si="440"/>
        <v>1356.3076923076924</v>
      </c>
      <c r="BB115" s="196">
        <f t="shared" si="440"/>
        <v>1216.6153846153845</v>
      </c>
      <c r="BC115" s="196">
        <f t="shared" si="440"/>
        <v>1216.6153846153845</v>
      </c>
      <c r="BD115" s="196">
        <f t="shared" si="440"/>
        <v>1216.6153846153845</v>
      </c>
      <c r="BE115" s="631">
        <f t="shared" si="440"/>
        <v>1622.1538461538466</v>
      </c>
      <c r="BF115" s="196">
        <f t="shared" si="440"/>
        <v>1356.9230769230769</v>
      </c>
      <c r="BG115" s="196">
        <f t="shared" si="440"/>
        <v>1356.9230769230769</v>
      </c>
      <c r="BH115" s="196">
        <f t="shared" si="440"/>
        <v>1356.9230769230769</v>
      </c>
      <c r="BI115" s="631">
        <f t="shared" si="440"/>
        <v>1809.2307692307695</v>
      </c>
      <c r="BJ115" s="196">
        <f t="shared" si="440"/>
        <v>1737.2307692307693</v>
      </c>
      <c r="BK115" s="196">
        <f t="shared" si="440"/>
        <v>1737.2307692307693</v>
      </c>
      <c r="BL115" s="196">
        <f t="shared" si="440"/>
        <v>1737.2307692307693</v>
      </c>
      <c r="BM115" s="631">
        <f t="shared" si="440"/>
        <v>2316.3076923076924</v>
      </c>
      <c r="BN115" s="196">
        <f t="shared" ref="BN115:CK115" si="441">BN113*8</f>
        <v>2017.8461538461538</v>
      </c>
      <c r="BO115" s="196">
        <f t="shared" si="441"/>
        <v>2017.8461538461538</v>
      </c>
      <c r="BP115" s="196">
        <f t="shared" si="441"/>
        <v>2017.8461538461538</v>
      </c>
      <c r="BQ115" s="631">
        <f t="shared" si="441"/>
        <v>2690.461538461539</v>
      </c>
      <c r="BR115" s="196">
        <f t="shared" si="441"/>
        <v>2075.0769230769229</v>
      </c>
      <c r="BS115" s="196">
        <f t="shared" si="441"/>
        <v>2075.0769230769229</v>
      </c>
      <c r="BT115" s="196">
        <f t="shared" si="441"/>
        <v>2075.0769230769229</v>
      </c>
      <c r="BU115" s="631">
        <f t="shared" si="441"/>
        <v>2766.7692307692314</v>
      </c>
      <c r="BV115" s="196">
        <f t="shared" si="441"/>
        <v>2139.2863123394859</v>
      </c>
      <c r="BW115" s="196">
        <f t="shared" si="441"/>
        <v>2139.2863123394859</v>
      </c>
      <c r="BX115" s="196">
        <f t="shared" si="441"/>
        <v>2139.2863123394859</v>
      </c>
      <c r="BY115" s="631">
        <f t="shared" si="441"/>
        <v>2852.3817497859818</v>
      </c>
      <c r="BZ115" s="196">
        <f t="shared" si="441"/>
        <v>2455.1629502572896</v>
      </c>
      <c r="CA115" s="196">
        <f t="shared" si="441"/>
        <v>2279.7941680960548</v>
      </c>
      <c r="CB115" s="196">
        <f t="shared" si="441"/>
        <v>2279.7941680960548</v>
      </c>
      <c r="CC115" s="631">
        <f t="shared" si="441"/>
        <v>2279.7941680960548</v>
      </c>
      <c r="CD115" s="196">
        <f t="shared" si="441"/>
        <v>1696</v>
      </c>
      <c r="CE115" s="196">
        <f t="shared" si="441"/>
        <v>1696</v>
      </c>
      <c r="CF115" s="196">
        <f t="shared" si="441"/>
        <v>1696</v>
      </c>
      <c r="CG115" s="631">
        <f t="shared" si="441"/>
        <v>1696</v>
      </c>
      <c r="CH115" s="196">
        <f t="shared" si="441"/>
        <v>1664</v>
      </c>
      <c r="CI115" s="196">
        <f t="shared" si="441"/>
        <v>1664</v>
      </c>
      <c r="CJ115" s="196">
        <f t="shared" si="441"/>
        <v>1664</v>
      </c>
      <c r="CK115" s="631">
        <f t="shared" si="441"/>
        <v>1664</v>
      </c>
      <c r="CL115" s="196">
        <f t="shared" ref="CL115:CS115" si="442">CL113*8</f>
        <v>1566</v>
      </c>
      <c r="CM115" s="196">
        <f t="shared" si="442"/>
        <v>1566</v>
      </c>
      <c r="CN115" s="196">
        <f t="shared" si="442"/>
        <v>1566</v>
      </c>
      <c r="CO115" s="631">
        <f t="shared" si="442"/>
        <v>1566</v>
      </c>
      <c r="CP115" s="196">
        <f t="shared" si="442"/>
        <v>1548</v>
      </c>
      <c r="CQ115" s="196">
        <f t="shared" si="442"/>
        <v>1548</v>
      </c>
      <c r="CR115" s="196">
        <f t="shared" si="442"/>
        <v>1548</v>
      </c>
      <c r="CS115" s="631">
        <f t="shared" si="442"/>
        <v>1548</v>
      </c>
      <c r="CT115" s="196">
        <f>CT113*8</f>
        <v>1613.4546957099324</v>
      </c>
      <c r="CU115" s="196">
        <f t="shared" ref="CU115" si="443">CU113*8</f>
        <v>1613.4546957099324</v>
      </c>
      <c r="CV115" s="196">
        <f t="shared" ref="CV115:DA115" si="444">CV113*8</f>
        <v>1613.4546957099324</v>
      </c>
      <c r="CW115" s="631">
        <f t="shared" si="444"/>
        <v>1613.4546957099324</v>
      </c>
      <c r="CX115" s="1718">
        <f t="shared" si="444"/>
        <v>1658.7482844214364</v>
      </c>
      <c r="CY115" s="196">
        <f t="shared" si="444"/>
        <v>1658.7482844214364</v>
      </c>
      <c r="CZ115" s="196">
        <f t="shared" si="444"/>
        <v>1658.7482844214364</v>
      </c>
      <c r="DA115" s="631">
        <f t="shared" si="444"/>
        <v>1658.7482844214364</v>
      </c>
      <c r="DB115" s="691"/>
      <c r="DC115" s="631"/>
      <c r="DD115" s="44"/>
      <c r="DE115" s="44"/>
      <c r="DF115" s="44"/>
      <c r="DG115" s="44"/>
      <c r="DH115" s="44"/>
      <c r="DI115" s="44"/>
      <c r="DJ115" s="44"/>
      <c r="DK115" s="44"/>
      <c r="DL115" s="196">
        <f t="shared" ref="DL115:ED115" si="445">DL113*8</f>
        <v>304.89600000000002</v>
      </c>
      <c r="DM115" s="196">
        <f t="shared" si="445"/>
        <v>524.08799999999997</v>
      </c>
      <c r="DN115" s="196">
        <f t="shared" si="445"/>
        <v>847.08799999999997</v>
      </c>
      <c r="DO115" s="196">
        <f t="shared" si="445"/>
        <v>1117.56</v>
      </c>
      <c r="DP115" s="196">
        <f t="shared" si="445"/>
        <v>1295.2</v>
      </c>
      <c r="DQ115" s="196">
        <f t="shared" si="445"/>
        <v>1492.8</v>
      </c>
      <c r="DR115" s="196">
        <f t="shared" si="445"/>
        <v>1824</v>
      </c>
      <c r="DS115" s="196">
        <f t="shared" si="445"/>
        <v>2397.64</v>
      </c>
      <c r="DT115" s="196">
        <f t="shared" si="445"/>
        <v>4160</v>
      </c>
      <c r="DU115" s="196">
        <f t="shared" si="445"/>
        <v>3520</v>
      </c>
      <c r="DV115" s="196">
        <f t="shared" si="445"/>
        <v>3744</v>
      </c>
      <c r="DW115" s="196">
        <f t="shared" si="445"/>
        <v>4000</v>
      </c>
      <c r="DX115" s="196">
        <f t="shared" si="445"/>
        <v>4408</v>
      </c>
      <c r="DY115" s="196">
        <f t="shared" si="445"/>
        <v>5272</v>
      </c>
      <c r="DZ115" s="196">
        <f t="shared" si="445"/>
        <v>5880</v>
      </c>
      <c r="EA115" s="196">
        <f t="shared" si="445"/>
        <v>7528</v>
      </c>
      <c r="EB115" s="196">
        <f t="shared" si="445"/>
        <v>8744</v>
      </c>
      <c r="EC115" s="196">
        <f t="shared" si="445"/>
        <v>8992</v>
      </c>
      <c r="ED115" s="196">
        <f t="shared" si="445"/>
        <v>9270.24068680444</v>
      </c>
      <c r="EE115" s="42">
        <f t="shared" si="430"/>
        <v>8992</v>
      </c>
      <c r="EF115" s="42">
        <f t="shared" si="430"/>
        <v>9270.24068680444</v>
      </c>
      <c r="EG115" s="196">
        <f>EG113*8</f>
        <v>9294.545454545454</v>
      </c>
      <c r="EH115" s="196">
        <f>EH113*8</f>
        <v>6784</v>
      </c>
      <c r="EI115" s="196">
        <f>EI113*8</f>
        <v>6656</v>
      </c>
      <c r="EJ115" s="196">
        <f t="shared" ref="EJ115:EP115" si="446">EJ113*8</f>
        <v>6264</v>
      </c>
      <c r="EK115" s="196">
        <f>EK113*8</f>
        <v>6192</v>
      </c>
      <c r="EL115" s="196">
        <f>EL113*8</f>
        <v>6453.8187828397295</v>
      </c>
      <c r="EM115" s="1718">
        <f>EM113*8</f>
        <v>6634.9931376857458</v>
      </c>
      <c r="EN115" s="196">
        <f t="shared" si="446"/>
        <v>6701.8680998074569</v>
      </c>
      <c r="EO115" s="196">
        <f t="shared" si="446"/>
        <v>6768.4419732337237</v>
      </c>
      <c r="EP115" s="196">
        <f t="shared" si="446"/>
        <v>6827.3979793424915</v>
      </c>
      <c r="EQ115" s="196">
        <f>EQ113*8</f>
        <v>6914.0515351228414</v>
      </c>
      <c r="ER115" s="196">
        <f>ER113*8</f>
        <v>7004.1139686790684</v>
      </c>
      <c r="ES115" s="196">
        <f>ES113*8</f>
        <v>7097.754161390224</v>
      </c>
      <c r="ET115" s="196">
        <f>ET113*8</f>
        <v>7195.1494263774939</v>
      </c>
      <c r="EU115" s="196">
        <f>EU113*8</f>
        <v>7296.4859301687147</v>
      </c>
      <c r="EV115" s="1034"/>
      <c r="EW115"/>
      <c r="EX115"/>
      <c r="EY115"/>
      <c r="EZ115"/>
      <c r="FA115"/>
      <c r="FB115"/>
      <c r="FC115" s="4"/>
      <c r="FD115" s="4"/>
      <c r="FE115" s="4"/>
      <c r="FF115" s="4"/>
      <c r="FG115" s="196"/>
      <c r="FH115" s="196"/>
      <c r="FI115" s="196"/>
      <c r="FJ115" s="196"/>
      <c r="FK115"/>
      <c r="FL115"/>
      <c r="FM115"/>
      <c r="FN115"/>
      <c r="FO115"/>
      <c r="FP115"/>
      <c r="FQ115"/>
      <c r="FR115"/>
      <c r="FS115"/>
      <c r="FT115"/>
      <c r="FU115"/>
      <c r="FV115"/>
      <c r="FW115"/>
      <c r="FX115"/>
      <c r="FY115"/>
      <c r="FZ115"/>
      <c r="GA115"/>
      <c r="GB115"/>
      <c r="GC115"/>
      <c r="GD115"/>
      <c r="GE115"/>
      <c r="GF115"/>
      <c r="GG115"/>
      <c r="GH115"/>
      <c r="GI115"/>
      <c r="GJ115"/>
      <c r="GK115"/>
      <c r="GL115"/>
      <c r="GM115"/>
      <c r="GN115"/>
      <c r="GO115"/>
      <c r="GP115"/>
      <c r="GQ115"/>
      <c r="GR115"/>
      <c r="GS115"/>
      <c r="GT115"/>
      <c r="GU115"/>
      <c r="GV115"/>
      <c r="GW115"/>
      <c r="GX115"/>
      <c r="GY115"/>
      <c r="GZ115"/>
      <c r="HA115"/>
      <c r="HB115"/>
      <c r="HC115"/>
      <c r="HD115"/>
      <c r="HE115"/>
      <c r="HF115"/>
      <c r="HG115"/>
      <c r="HH115"/>
      <c r="HI115"/>
      <c r="HJ115"/>
      <c r="HK115"/>
      <c r="HL115"/>
      <c r="HM115"/>
      <c r="HN115"/>
      <c r="HO115"/>
      <c r="HP115"/>
      <c r="HQ115"/>
      <c r="HR115"/>
      <c r="HS115"/>
      <c r="HT115"/>
      <c r="HU115"/>
      <c r="HV115"/>
      <c r="HW115"/>
      <c r="HX115"/>
      <c r="HY115"/>
      <c r="HZ115"/>
      <c r="IA115"/>
      <c r="IB115"/>
      <c r="IC115"/>
      <c r="ID115"/>
      <c r="IE115"/>
      <c r="IF115"/>
      <c r="IG115"/>
      <c r="IH115"/>
      <c r="II115"/>
      <c r="IJ115"/>
      <c r="IK115"/>
      <c r="IL115"/>
      <c r="IM115"/>
      <c r="IN115"/>
      <c r="IO115"/>
      <c r="IP115"/>
      <c r="IQ115"/>
      <c r="IR115"/>
      <c r="IS115"/>
      <c r="IT115"/>
      <c r="IU115"/>
      <c r="IV115"/>
      <c r="IW115"/>
      <c r="IX115"/>
      <c r="IY115"/>
      <c r="IZ115"/>
    </row>
    <row r="116" spans="1:260" s="4" customFormat="1" ht="12" outlineLevel="1" thickBot="1" x14ac:dyDescent="0.25">
      <c r="A116" s="279" t="s">
        <v>299</v>
      </c>
      <c r="B116" s="791">
        <v>2.0112344047290529</v>
      </c>
      <c r="C116" s="791">
        <v>2.4327242886813556</v>
      </c>
      <c r="D116" s="791">
        <v>3.3958548169235012</v>
      </c>
      <c r="E116" s="980">
        <v>3.5139649387808456</v>
      </c>
      <c r="F116" s="791">
        <v>4.8294851109739954</v>
      </c>
      <c r="G116" s="791">
        <v>4.2241797598567992</v>
      </c>
      <c r="H116" s="791">
        <v>3.8337390032011895</v>
      </c>
      <c r="I116" s="980">
        <v>2.8550096893222778</v>
      </c>
      <c r="J116" s="791">
        <v>4.3096443322388289</v>
      </c>
      <c r="K116" s="791">
        <v>4.051781092415748</v>
      </c>
      <c r="L116" s="791">
        <v>3.5599387409353969</v>
      </c>
      <c r="M116" s="980">
        <v>3.605113235252587</v>
      </c>
      <c r="N116" s="791">
        <v>4.599348665557863</v>
      </c>
      <c r="O116" s="791">
        <v>4.3382158470065146</v>
      </c>
      <c r="P116" s="791">
        <v>4.8672201299240587</v>
      </c>
      <c r="Q116" s="980">
        <v>4.9678338370324768</v>
      </c>
      <c r="R116" s="791">
        <v>5.7190528514578594</v>
      </c>
      <c r="S116" s="791">
        <v>5.5194922093530066</v>
      </c>
      <c r="T116" s="791">
        <v>4.4089443876925749</v>
      </c>
      <c r="U116" s="980">
        <v>2.4252120992953046</v>
      </c>
      <c r="V116" s="791">
        <v>2.9822967325252603</v>
      </c>
      <c r="W116" s="791">
        <v>2.4669893757857255</v>
      </c>
      <c r="X116" s="791">
        <v>2.1140270987660994</v>
      </c>
      <c r="Y116" s="980">
        <v>1.2457137107702081</v>
      </c>
      <c r="Z116" s="791">
        <v>2.0278497952947898</v>
      </c>
      <c r="AA116" s="791">
        <v>1.9499851067498639</v>
      </c>
      <c r="AB116" s="791">
        <v>1.7762160173853219</v>
      </c>
      <c r="AC116" s="980">
        <v>1.3335914689781023</v>
      </c>
      <c r="AD116" s="791">
        <v>1.7918855050872491</v>
      </c>
      <c r="AE116" s="791">
        <v>1.606643798102984</v>
      </c>
      <c r="AF116" s="791">
        <v>1.7324680010616547</v>
      </c>
      <c r="AG116" s="980">
        <v>1.9392753669270906</v>
      </c>
      <c r="AH116" s="791">
        <v>3.4011600083546734</v>
      </c>
      <c r="AI116" s="791">
        <v>2.838144259041127</v>
      </c>
      <c r="AJ116" s="791">
        <v>2.6851609036637565</v>
      </c>
      <c r="AK116" s="980">
        <v>2.0189003436426116</v>
      </c>
      <c r="AL116" s="791">
        <v>1.7536547373058033</v>
      </c>
      <c r="AM116" s="791">
        <v>1.7915303561177582</v>
      </c>
      <c r="AN116" s="791">
        <v>1.7483138797004634</v>
      </c>
      <c r="AO116" s="980">
        <v>1.3835227272727273</v>
      </c>
      <c r="AP116" s="791">
        <v>1.7722924587334989</v>
      </c>
      <c r="AQ116" s="791">
        <v>1.5462264244828019</v>
      </c>
      <c r="AR116" s="791">
        <v>1.461792620679804</v>
      </c>
      <c r="AS116" s="980">
        <v>1.100602688919796</v>
      </c>
      <c r="AT116" s="791">
        <v>1.2475994255640517</v>
      </c>
      <c r="AU116" s="791">
        <v>1.1202789083719604</v>
      </c>
      <c r="AV116" s="791">
        <v>0.8593733732330946</v>
      </c>
      <c r="AW116" s="980">
        <v>0.76093294460641403</v>
      </c>
      <c r="AX116" s="791">
        <v>0.94713125815249688</v>
      </c>
      <c r="AY116" s="791">
        <v>0.94767485265336937</v>
      </c>
      <c r="AZ116" s="791">
        <v>0.75473445764962188</v>
      </c>
      <c r="BA116" s="980">
        <v>0.45831761599396453</v>
      </c>
      <c r="BB116" s="791">
        <v>1.2721097826987326</v>
      </c>
      <c r="BC116" s="791">
        <v>1.1356067457573018</v>
      </c>
      <c r="BD116" s="791">
        <v>1.0923883139001704</v>
      </c>
      <c r="BE116" s="980">
        <v>0.67224502683928011</v>
      </c>
      <c r="BF116" s="791">
        <v>1.196787840031482</v>
      </c>
      <c r="BG116" s="791">
        <v>1.9616225984401752</v>
      </c>
      <c r="BH116" s="791">
        <v>1.5768194070080861</v>
      </c>
      <c r="BI116" s="980">
        <v>1.4942462600690447</v>
      </c>
      <c r="BJ116" s="791">
        <v>2.0109564125327499</v>
      </c>
      <c r="BK116" s="791">
        <v>2.7219444624807911</v>
      </c>
      <c r="BL116" s="791">
        <v>2.8236340157080253</v>
      </c>
      <c r="BM116" s="980">
        <v>2.3964781216648881</v>
      </c>
      <c r="BN116" s="791">
        <v>2.6525768135859429</v>
      </c>
      <c r="BO116" s="791">
        <v>2.5793250581846392</v>
      </c>
      <c r="BP116" s="791">
        <v>2.4400090381863375</v>
      </c>
      <c r="BQ116" s="980">
        <v>2.0041802136553644</v>
      </c>
      <c r="BR116" s="791">
        <v>2.0612646102155341</v>
      </c>
      <c r="BS116" s="791">
        <v>2.1693643217818357</v>
      </c>
      <c r="BT116" s="791">
        <v>2.2056618340911038</v>
      </c>
      <c r="BU116" s="980">
        <v>2.1577287066246056</v>
      </c>
      <c r="BV116" s="791">
        <v>2.0911986286818816</v>
      </c>
      <c r="BW116" s="791">
        <v>2.2532284701751224</v>
      </c>
      <c r="BX116" s="791">
        <v>2.1648310953321013</v>
      </c>
      <c r="BY116" s="980">
        <v>2.356661840919009</v>
      </c>
      <c r="BZ116" s="791">
        <v>2.775432982883844</v>
      </c>
      <c r="CA116" s="791">
        <v>2.9807774028246472</v>
      </c>
      <c r="CB116" s="791">
        <v>3.0339578160660099</v>
      </c>
      <c r="CC116" s="980">
        <v>2.74762099662335</v>
      </c>
      <c r="CD116" s="791">
        <v>2.1278522459838332</v>
      </c>
      <c r="CE116" s="791">
        <v>2.099361752293059</v>
      </c>
      <c r="CF116" s="791">
        <v>2.0346672117643334</v>
      </c>
      <c r="CG116" s="980">
        <v>2.0315364869820316</v>
      </c>
      <c r="CH116" s="791">
        <v>1.9207920792079207</v>
      </c>
      <c r="CI116" s="791">
        <v>1.9193370165745856</v>
      </c>
      <c r="CJ116" s="791">
        <v>1.8443092340730136</v>
      </c>
      <c r="CK116" s="980">
        <v>1.4703517587939698</v>
      </c>
      <c r="CL116" s="1163">
        <v>1.3951211277116569</v>
      </c>
      <c r="CM116" s="1163">
        <v>1.4639692359137269</v>
      </c>
      <c r="CN116" s="1163">
        <v>1.5170232248397568</v>
      </c>
      <c r="CO116" s="1397">
        <v>1.6016977928692699</v>
      </c>
      <c r="CP116" s="1163">
        <v>1.5149222362337116</v>
      </c>
      <c r="CQ116" s="1163">
        <v>1.3816781108692011</v>
      </c>
      <c r="CR116" s="1163">
        <v>1.4540394532209218</v>
      </c>
      <c r="CS116" s="1397">
        <v>1.1502689022461245</v>
      </c>
      <c r="CT116" s="1163">
        <v>1.3016053602456732</v>
      </c>
      <c r="CU116" s="1163">
        <v>1.3166636006760897</v>
      </c>
      <c r="CV116" s="1163">
        <v>1.3343619326742626</v>
      </c>
      <c r="CW116" s="1397">
        <v>1.3554169101935389</v>
      </c>
      <c r="CX116" s="2797">
        <v>1.6258396365335461</v>
      </c>
      <c r="CY116" s="1163">
        <v>1.6839620080410831</v>
      </c>
      <c r="CZ116" s="1163">
        <v>1.6724653465050345</v>
      </c>
      <c r="DA116" s="980">
        <v>1.544302329732957</v>
      </c>
      <c r="DB116" s="1329"/>
      <c r="DC116" s="1330"/>
      <c r="DL116" s="791">
        <v>3.5139649387808456</v>
      </c>
      <c r="DM116" s="791">
        <v>2.8550096893222778</v>
      </c>
      <c r="DN116" s="791">
        <v>3.605113235252587</v>
      </c>
      <c r="DO116" s="791">
        <v>4.9678338370324848</v>
      </c>
      <c r="DP116" s="791">
        <v>2.4252120992953046</v>
      </c>
      <c r="DQ116" s="791">
        <v>1.245713710770207</v>
      </c>
      <c r="DR116" s="791">
        <v>1.3335914689781023</v>
      </c>
      <c r="DS116" s="791">
        <v>1.9392753669270906</v>
      </c>
      <c r="DT116" s="791">
        <v>2.0189003436426116</v>
      </c>
      <c r="DU116" s="791">
        <v>1.3835227272727273</v>
      </c>
      <c r="DV116" s="791">
        <v>1.100602688919796</v>
      </c>
      <c r="DW116" s="791">
        <v>0.76093294460641403</v>
      </c>
      <c r="DX116" s="791">
        <v>0.45831761599396453</v>
      </c>
      <c r="DY116" s="791">
        <v>0.67224502683928011</v>
      </c>
      <c r="DZ116" s="791">
        <v>1.4942462600690449</v>
      </c>
      <c r="EA116" s="791">
        <v>2.3964781216648881</v>
      </c>
      <c r="EB116" s="791">
        <v>2.0041802136553648</v>
      </c>
      <c r="EC116" s="791">
        <v>2.1577287066246056</v>
      </c>
      <c r="ED116" s="791">
        <v>2.3566618409190085</v>
      </c>
      <c r="EE116" s="424">
        <f t="shared" si="430"/>
        <v>2.1577287066246056</v>
      </c>
      <c r="EF116" s="424">
        <f t="shared" si="430"/>
        <v>2.3566618409190085</v>
      </c>
      <c r="EG116" s="791">
        <v>2.7476209966233496</v>
      </c>
      <c r="EH116" s="791">
        <v>1.4385873799013242</v>
      </c>
      <c r="EI116" s="791">
        <v>1.4703517587939698</v>
      </c>
      <c r="EJ116" s="791">
        <v>1.6016977928692699</v>
      </c>
      <c r="EK116" s="791">
        <v>1.1502689022461245</v>
      </c>
      <c r="EL116" s="791">
        <v>1.3554169101935389</v>
      </c>
      <c r="EM116" s="1719">
        <v>1.544302329732957</v>
      </c>
      <c r="EN116" s="791">
        <v>1.6522379953565605</v>
      </c>
      <c r="EO116" s="791">
        <v>1.7523078121250553</v>
      </c>
      <c r="EP116" s="791">
        <v>1.7927464335057244</v>
      </c>
      <c r="EQ116" s="791">
        <v>1.8200449600013053</v>
      </c>
      <c r="ER116" s="791">
        <v>1.8582399551862452</v>
      </c>
      <c r="ES116" s="791">
        <v>1.9076715235669646</v>
      </c>
      <c r="ET116" s="791">
        <v>1.96930063441987</v>
      </c>
      <c r="EU116" s="791">
        <v>2.0412115427495072</v>
      </c>
      <c r="EV116" s="1329"/>
      <c r="EW116"/>
      <c r="EX116"/>
      <c r="EY116"/>
      <c r="EZ116"/>
      <c r="FA116"/>
      <c r="FB116"/>
      <c r="FG116" s="1163"/>
      <c r="FH116" s="1163"/>
      <c r="FI116" s="1163"/>
      <c r="FJ116" s="1163"/>
      <c r="FK116"/>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row>
    <row r="117" spans="1:260" s="4" customFormat="1" x14ac:dyDescent="0.2">
      <c r="A117" s="692"/>
      <c r="B117" s="693"/>
      <c r="C117" s="693"/>
      <c r="D117" s="693"/>
      <c r="E117" s="693"/>
      <c r="F117" s="693"/>
      <c r="G117" s="693"/>
      <c r="H117" s="693"/>
      <c r="I117" s="693"/>
      <c r="J117" s="693"/>
      <c r="K117" s="693"/>
      <c r="L117" s="693"/>
      <c r="M117" s="693"/>
      <c r="N117" s="693"/>
      <c r="O117" s="693"/>
      <c r="P117" s="693"/>
      <c r="Q117" s="693"/>
      <c r="R117" s="693"/>
      <c r="S117" s="693"/>
      <c r="T117" s="693"/>
      <c r="U117" s="693"/>
      <c r="V117" s="693"/>
      <c r="W117" s="693"/>
      <c r="X117" s="693"/>
      <c r="Y117" s="693"/>
      <c r="Z117" s="693"/>
      <c r="AA117" s="693"/>
      <c r="AB117" s="693"/>
      <c r="AC117" s="693"/>
      <c r="AD117" s="693"/>
      <c r="AE117" s="693"/>
      <c r="AF117" s="693"/>
      <c r="AG117" s="693"/>
      <c r="AH117" s="693"/>
      <c r="AI117" s="693"/>
      <c r="AJ117" s="693"/>
      <c r="AK117" s="693"/>
      <c r="AL117" s="693"/>
      <c r="AM117" s="693"/>
      <c r="AN117" s="693"/>
      <c r="AO117" s="693"/>
      <c r="AP117" s="693"/>
      <c r="AQ117" s="693"/>
      <c r="AR117" s="693"/>
      <c r="AS117" s="693"/>
      <c r="AT117" s="693"/>
      <c r="AU117" s="693"/>
      <c r="AV117" s="693"/>
      <c r="AW117" s="693"/>
      <c r="AX117" s="693"/>
      <c r="AY117" s="693"/>
      <c r="AZ117" s="693"/>
      <c r="BA117" s="1331"/>
      <c r="BB117" s="693"/>
      <c r="BC117" s="693"/>
      <c r="BD117" s="693"/>
      <c r="BE117" s="693"/>
      <c r="BF117" s="693"/>
      <c r="BG117" s="693"/>
      <c r="BH117" s="693"/>
      <c r="BI117" s="693"/>
      <c r="BJ117" s="693"/>
      <c r="BK117" s="693"/>
      <c r="BL117" s="693"/>
      <c r="BM117" s="693"/>
      <c r="BN117" s="694"/>
      <c r="BO117" s="694"/>
      <c r="BP117" s="694"/>
      <c r="BQ117" s="694"/>
      <c r="BR117" s="693"/>
      <c r="BS117" s="693"/>
      <c r="BT117" s="693"/>
      <c r="BU117" s="693"/>
      <c r="BV117" s="693"/>
      <c r="BW117" s="693"/>
      <c r="BX117" s="693"/>
      <c r="BY117" s="693"/>
      <c r="BZ117" s="693"/>
      <c r="CA117" s="693"/>
      <c r="CB117" s="693"/>
      <c r="CC117" s="693"/>
      <c r="CD117" s="693"/>
      <c r="CE117" s="694"/>
      <c r="CF117" s="694"/>
      <c r="CG117" s="694"/>
      <c r="CH117" s="693"/>
      <c r="CI117" s="694"/>
      <c r="CJ117" s="694"/>
      <c r="CK117" s="694"/>
      <c r="CL117" s="694"/>
      <c r="CM117" s="694"/>
      <c r="CN117" s="694"/>
      <c r="CO117" s="694"/>
      <c r="CP117" s="694"/>
      <c r="CQ117" s="694"/>
      <c r="CR117" s="694"/>
      <c r="CS117" s="694"/>
      <c r="CT117" s="694"/>
      <c r="CU117" s="694"/>
      <c r="CV117" s="694"/>
      <c r="CW117" s="694"/>
      <c r="CX117" s="694"/>
      <c r="CY117" s="694"/>
      <c r="CZ117" s="694"/>
      <c r="DA117" s="694"/>
      <c r="DB117" s="15"/>
      <c r="DC117" s="15"/>
      <c r="DD117" s="693"/>
      <c r="DE117" s="693"/>
      <c r="DF117" s="693"/>
      <c r="DG117" s="693"/>
      <c r="DH117" s="693"/>
      <c r="DI117" s="693"/>
      <c r="DJ117" s="693"/>
      <c r="DK117" s="693"/>
      <c r="DL117" s="693"/>
      <c r="DM117" s="693"/>
      <c r="DN117" s="693"/>
      <c r="DO117" s="693"/>
      <c r="DP117" s="693"/>
      <c r="DQ117" s="693"/>
      <c r="DR117" s="693"/>
      <c r="DS117" s="693"/>
      <c r="DT117" s="693"/>
      <c r="DU117" s="693"/>
      <c r="DV117" s="693"/>
      <c r="DW117" s="693"/>
      <c r="DX117" s="693"/>
      <c r="DY117" s="693"/>
      <c r="DZ117" s="693"/>
      <c r="EA117" s="693"/>
      <c r="EB117" s="695"/>
      <c r="EC117" s="695"/>
      <c r="ED117" s="695"/>
      <c r="EE117" s="695"/>
      <c r="EF117" s="695"/>
      <c r="EG117" s="695"/>
      <c r="EH117" s="695"/>
      <c r="EI117" s="695"/>
      <c r="EJ117" s="695"/>
      <c r="EK117" s="1923"/>
      <c r="EL117" s="1923"/>
      <c r="EM117" s="695"/>
      <c r="EN117" s="695"/>
      <c r="EO117" s="695"/>
      <c r="EP117" s="695"/>
      <c r="EQ117" s="695"/>
      <c r="ER117" s="695"/>
      <c r="ES117" s="695"/>
      <c r="ET117" s="695"/>
      <c r="EU117" s="695"/>
      <c r="EV117" s="77"/>
      <c r="EW117"/>
      <c r="EX117"/>
      <c r="EY117"/>
      <c r="EZ117"/>
      <c r="FA117"/>
      <c r="FB117"/>
      <c r="FG117" s="70"/>
      <c r="FH117" s="70"/>
      <c r="FI117" s="134"/>
      <c r="FJ117" s="134"/>
      <c r="FK117"/>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row>
    <row r="118" spans="1:260" x14ac:dyDescent="0.2">
      <c r="CW118"/>
      <c r="CX118"/>
      <c r="CY118"/>
      <c r="CZ118"/>
      <c r="DA118"/>
      <c r="EL118"/>
      <c r="EM118"/>
      <c r="FG118"/>
      <c r="FH118"/>
      <c r="FI118"/>
      <c r="FJ118"/>
    </row>
    <row r="119" spans="1:260" s="4" customFormat="1" x14ac:dyDescent="0.2">
      <c r="CM119" s="3"/>
      <c r="CN119" s="3"/>
      <c r="CP119" s="3"/>
      <c r="CQ119" s="3"/>
      <c r="CR119" s="3"/>
      <c r="CS119" s="6"/>
      <c r="CT119" s="6"/>
      <c r="CU119" s="3"/>
      <c r="CV119" s="3"/>
      <c r="CW119" s="6"/>
      <c r="CX119" s="3"/>
      <c r="EK119" s="6"/>
      <c r="EL119" s="6"/>
      <c r="EV119" s="6"/>
      <c r="EW119"/>
      <c r="EX119"/>
      <c r="EY119"/>
      <c r="EZ119"/>
      <c r="FA119"/>
      <c r="FB119"/>
      <c r="FG119" s="7"/>
      <c r="FH119" s="7"/>
      <c r="FI119" s="134"/>
      <c r="FJ119" s="134"/>
      <c r="FK119"/>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row>
    <row r="120" spans="1:260" s="4" customFormat="1" x14ac:dyDescent="0.2">
      <c r="CM120" s="3"/>
      <c r="CN120" s="3"/>
      <c r="CP120" s="3"/>
      <c r="CQ120" s="3"/>
      <c r="CR120" s="3"/>
      <c r="CS120" s="6"/>
      <c r="CT120" s="6"/>
      <c r="CU120" s="3"/>
      <c r="CV120" s="3"/>
      <c r="CW120" s="6"/>
      <c r="CX120" s="3"/>
      <c r="EK120" s="6"/>
      <c r="EL120" s="6"/>
      <c r="EW120"/>
      <c r="EX120"/>
      <c r="EY120"/>
      <c r="EZ120"/>
      <c r="FA120"/>
      <c r="FB120"/>
      <c r="FG120" s="7"/>
      <c r="FH120" s="7"/>
      <c r="FI120" s="134"/>
      <c r="FJ120" s="134"/>
      <c r="FK120"/>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row>
    <row r="121" spans="1:260" s="4" customFormat="1" x14ac:dyDescent="0.2">
      <c r="A121" s="19" t="s">
        <v>698</v>
      </c>
      <c r="CM121" s="3"/>
      <c r="CN121" s="3"/>
      <c r="CP121" s="3"/>
      <c r="CQ121" s="3"/>
      <c r="CR121" s="3"/>
      <c r="CS121" s="6"/>
      <c r="CT121" s="6"/>
      <c r="CU121" s="3"/>
      <c r="CV121" s="3"/>
      <c r="CW121" s="6"/>
      <c r="CX121" s="3"/>
      <c r="EK121" s="6"/>
      <c r="EL121" s="6"/>
      <c r="EW121"/>
      <c r="EX121"/>
      <c r="EY121"/>
      <c r="EZ121"/>
      <c r="FA121"/>
      <c r="FB121"/>
      <c r="FG121" s="7"/>
      <c r="FH121" s="7"/>
      <c r="FI121" s="134"/>
      <c r="FJ121" s="134"/>
      <c r="FK121"/>
      <c r="FL121"/>
      <c r="FM121"/>
      <c r="FN121"/>
      <c r="FO121"/>
      <c r="FP121"/>
      <c r="FQ121"/>
      <c r="FR121"/>
      <c r="FS121"/>
      <c r="FT121"/>
      <c r="FU121"/>
      <c r="FV121"/>
      <c r="FW121"/>
      <c r="FX121"/>
      <c r="FY121"/>
      <c r="FZ121"/>
      <c r="GA121"/>
      <c r="GB121"/>
      <c r="GC121"/>
      <c r="GD121"/>
      <c r="GE121"/>
      <c r="GF121"/>
      <c r="GG121"/>
      <c r="GH121"/>
      <c r="GI121"/>
      <c r="GJ121"/>
      <c r="GK121"/>
      <c r="GL121"/>
      <c r="GM121"/>
      <c r="GN121"/>
      <c r="GO121"/>
      <c r="GP121"/>
      <c r="GQ121"/>
      <c r="GR121"/>
      <c r="GS121"/>
      <c r="GT121"/>
      <c r="GU121"/>
      <c r="GV121"/>
      <c r="GW121"/>
      <c r="GX121"/>
      <c r="GY121"/>
      <c r="GZ121"/>
      <c r="HA121"/>
      <c r="HB121"/>
      <c r="HC121"/>
      <c r="HD121"/>
      <c r="HE121"/>
      <c r="HF121"/>
      <c r="HG121"/>
      <c r="HH121"/>
      <c r="HI121"/>
      <c r="HJ121"/>
      <c r="HK121"/>
      <c r="HL121"/>
      <c r="HM121"/>
      <c r="HN121"/>
      <c r="HO121"/>
      <c r="HP121"/>
      <c r="HQ121"/>
      <c r="HR121"/>
      <c r="HS121"/>
      <c r="HT121"/>
      <c r="HU121"/>
      <c r="HV121"/>
      <c r="HW121"/>
      <c r="HX121"/>
      <c r="HY121"/>
      <c r="HZ121"/>
      <c r="IA121"/>
      <c r="IB121"/>
      <c r="IC121"/>
      <c r="ID121"/>
      <c r="IE121"/>
      <c r="IF121"/>
      <c r="IG121"/>
      <c r="IH121"/>
      <c r="II121"/>
      <c r="IJ121"/>
      <c r="IK121"/>
      <c r="IL121"/>
      <c r="IM121"/>
      <c r="IN121"/>
      <c r="IO121"/>
      <c r="IP121"/>
      <c r="IQ121"/>
      <c r="IR121"/>
      <c r="IS121"/>
      <c r="IT121"/>
      <c r="IU121"/>
      <c r="IV121"/>
      <c r="IW121"/>
      <c r="IX121"/>
      <c r="IY121"/>
      <c r="IZ121"/>
    </row>
    <row r="122" spans="1:260" s="4" customFormat="1" outlineLevel="1" x14ac:dyDescent="0.2">
      <c r="A122" s="295" t="s">
        <v>54</v>
      </c>
      <c r="B122" s="63">
        <f t="shared" ref="B122:AG122" si="447">+B74-B7</f>
        <v>151.72399999999996</v>
      </c>
      <c r="C122" s="63">
        <f t="shared" si="447"/>
        <v>201.08499999999995</v>
      </c>
      <c r="D122" s="63">
        <f t="shared" si="447"/>
        <v>289.57299999999998</v>
      </c>
      <c r="E122" s="63">
        <f t="shared" si="447"/>
        <v>314.40400000000011</v>
      </c>
      <c r="F122" s="63">
        <f t="shared" si="447"/>
        <v>382.27199999999999</v>
      </c>
      <c r="G122" s="63">
        <f t="shared" si="447"/>
        <v>337.10100000000011</v>
      </c>
      <c r="H122" s="63">
        <f t="shared" si="447"/>
        <v>583.40400000000011</v>
      </c>
      <c r="I122" s="63">
        <f t="shared" si="447"/>
        <v>479.32800000000015</v>
      </c>
      <c r="J122" s="63">
        <f t="shared" si="447"/>
        <v>558.30000000000018</v>
      </c>
      <c r="K122" s="63">
        <f t="shared" si="447"/>
        <v>542.94199999999967</v>
      </c>
      <c r="L122" s="63">
        <f t="shared" si="447"/>
        <v>482.15000000000003</v>
      </c>
      <c r="M122" s="63">
        <f t="shared" si="447"/>
        <v>499.41</v>
      </c>
      <c r="N122" s="63">
        <f t="shared" si="447"/>
        <v>568.24900000000002</v>
      </c>
      <c r="O122" s="63">
        <f t="shared" si="447"/>
        <v>558.67200000000014</v>
      </c>
      <c r="P122" s="63">
        <f t="shared" si="447"/>
        <v>529.08199999999999</v>
      </c>
      <c r="Q122" s="63">
        <f t="shared" si="447"/>
        <v>477.64800000000002</v>
      </c>
      <c r="R122" s="63">
        <f t="shared" si="447"/>
        <v>477.16800000000012</v>
      </c>
      <c r="S122" s="63">
        <f t="shared" si="447"/>
        <v>479.7200000000002</v>
      </c>
      <c r="T122" s="63">
        <f t="shared" si="447"/>
        <v>475.23299999999966</v>
      </c>
      <c r="U122" s="63">
        <f t="shared" si="447"/>
        <v>156.47399999999993</v>
      </c>
      <c r="V122" s="63">
        <f t="shared" si="447"/>
        <v>309.94400000000007</v>
      </c>
      <c r="W122" s="63">
        <f t="shared" si="447"/>
        <v>97.638999999999953</v>
      </c>
      <c r="X122" s="63">
        <f t="shared" si="447"/>
        <v>179.5230000000002</v>
      </c>
      <c r="Y122" s="63">
        <f t="shared" si="447"/>
        <v>-109.59300000000007</v>
      </c>
      <c r="Z122" s="63">
        <f t="shared" si="447"/>
        <v>179.61899999999997</v>
      </c>
      <c r="AA122" s="63">
        <f t="shared" si="447"/>
        <v>207.488</v>
      </c>
      <c r="AB122" s="63">
        <f t="shared" si="447"/>
        <v>76.929000000000997</v>
      </c>
      <c r="AC122" s="63">
        <f t="shared" si="447"/>
        <v>-297.3119999999999</v>
      </c>
      <c r="AD122" s="63">
        <f t="shared" si="447"/>
        <v>39</v>
      </c>
      <c r="AE122" s="63">
        <f t="shared" si="447"/>
        <v>-86</v>
      </c>
      <c r="AF122" s="63">
        <f t="shared" si="447"/>
        <v>-91</v>
      </c>
      <c r="AG122" s="63">
        <f t="shared" si="447"/>
        <v>-533</v>
      </c>
      <c r="AH122" s="63">
        <f t="shared" ref="AH122:BM122" si="448">+AH74-AH7</f>
        <v>-150</v>
      </c>
      <c r="AI122" s="63">
        <f t="shared" si="448"/>
        <v>-305</v>
      </c>
      <c r="AJ122" s="63">
        <f t="shared" si="448"/>
        <v>-596</v>
      </c>
      <c r="AK122" s="63">
        <f t="shared" si="448"/>
        <v>-966</v>
      </c>
      <c r="AL122" s="63">
        <f t="shared" si="448"/>
        <v>-310</v>
      </c>
      <c r="AM122" s="63">
        <f t="shared" si="448"/>
        <v>-333</v>
      </c>
      <c r="AN122" s="63">
        <f t="shared" si="448"/>
        <v>-463</v>
      </c>
      <c r="AO122" s="63">
        <f t="shared" si="448"/>
        <v>-840</v>
      </c>
      <c r="AP122" s="63">
        <f t="shared" si="448"/>
        <v>-379</v>
      </c>
      <c r="AQ122" s="63">
        <f t="shared" si="448"/>
        <v>-527</v>
      </c>
      <c r="AR122" s="63">
        <f t="shared" si="448"/>
        <v>-544</v>
      </c>
      <c r="AS122" s="63">
        <f t="shared" si="448"/>
        <v>978</v>
      </c>
      <c r="AT122" s="63">
        <f t="shared" si="448"/>
        <v>1014</v>
      </c>
      <c r="AU122" s="63">
        <f t="shared" si="448"/>
        <v>632</v>
      </c>
      <c r="AV122" s="63">
        <f t="shared" si="448"/>
        <v>757</v>
      </c>
      <c r="AW122" s="63">
        <f t="shared" si="448"/>
        <v>1590</v>
      </c>
      <c r="AX122" s="63">
        <f t="shared" si="448"/>
        <v>1436</v>
      </c>
      <c r="AY122" s="63">
        <f t="shared" si="448"/>
        <v>1528</v>
      </c>
      <c r="AZ122" s="63">
        <f t="shared" si="448"/>
        <v>1427</v>
      </c>
      <c r="BA122" s="63">
        <f t="shared" si="448"/>
        <v>1181</v>
      </c>
      <c r="BB122" s="63">
        <f t="shared" si="448"/>
        <v>809</v>
      </c>
      <c r="BC122" s="63">
        <f t="shared" si="448"/>
        <v>417</v>
      </c>
      <c r="BD122" s="63">
        <f t="shared" si="448"/>
        <v>314</v>
      </c>
      <c r="BE122" s="63">
        <f t="shared" si="448"/>
        <v>1575</v>
      </c>
      <c r="BF122" s="63">
        <f t="shared" si="448"/>
        <v>1254</v>
      </c>
      <c r="BG122" s="63">
        <f t="shared" si="448"/>
        <v>-1409</v>
      </c>
      <c r="BH122" s="63">
        <f t="shared" si="448"/>
        <v>-1078</v>
      </c>
      <c r="BI122" s="63">
        <f t="shared" si="448"/>
        <v>-865</v>
      </c>
      <c r="BJ122" s="63">
        <f t="shared" si="448"/>
        <v>-769</v>
      </c>
      <c r="BK122" s="63">
        <f t="shared" si="448"/>
        <v>-1196</v>
      </c>
      <c r="BL122" s="63">
        <f t="shared" si="448"/>
        <v>-1446</v>
      </c>
      <c r="BM122" s="63">
        <f t="shared" si="448"/>
        <v>-741</v>
      </c>
      <c r="BN122" s="63">
        <f t="shared" ref="BN122:CK122" si="449">+BN74-BN7</f>
        <v>-481</v>
      </c>
      <c r="BO122" s="63">
        <f t="shared" si="449"/>
        <v>-328</v>
      </c>
      <c r="BP122" s="63">
        <f t="shared" si="449"/>
        <v>25</v>
      </c>
      <c r="BQ122" s="63">
        <f t="shared" si="449"/>
        <v>-238</v>
      </c>
      <c r="BR122" s="63">
        <f t="shared" si="449"/>
        <v>546</v>
      </c>
      <c r="BS122" s="63">
        <f t="shared" si="449"/>
        <v>645</v>
      </c>
      <c r="BT122" s="63">
        <f t="shared" si="449"/>
        <v>484</v>
      </c>
      <c r="BU122" s="63">
        <f t="shared" si="449"/>
        <v>707</v>
      </c>
      <c r="BV122" s="63">
        <f t="shared" si="449"/>
        <v>349</v>
      </c>
      <c r="BW122" s="63">
        <f t="shared" si="449"/>
        <v>314</v>
      </c>
      <c r="BX122" s="63">
        <f t="shared" si="449"/>
        <v>-49</v>
      </c>
      <c r="BY122" s="63">
        <f t="shared" si="449"/>
        <v>243</v>
      </c>
      <c r="BZ122" s="63">
        <f t="shared" si="449"/>
        <v>-71</v>
      </c>
      <c r="CA122" s="63">
        <f t="shared" si="449"/>
        <v>56</v>
      </c>
      <c r="CB122" s="63">
        <f t="shared" si="449"/>
        <v>389</v>
      </c>
      <c r="CC122" s="63">
        <f t="shared" si="449"/>
        <v>-589</v>
      </c>
      <c r="CD122" s="148">
        <f t="shared" si="449"/>
        <v>537</v>
      </c>
      <c r="CE122" s="148">
        <f t="shared" si="449"/>
        <v>476</v>
      </c>
      <c r="CF122" s="148">
        <f t="shared" si="449"/>
        <v>399</v>
      </c>
      <c r="CG122" s="148">
        <f t="shared" si="449"/>
        <v>371</v>
      </c>
      <c r="CH122" s="148">
        <f t="shared" si="449"/>
        <v>669</v>
      </c>
      <c r="CI122" s="148">
        <f t="shared" si="449"/>
        <v>1219</v>
      </c>
      <c r="CJ122" s="148">
        <f t="shared" si="449"/>
        <v>1508</v>
      </c>
      <c r="CK122" s="148">
        <f t="shared" si="449"/>
        <v>1520</v>
      </c>
      <c r="CL122" s="148">
        <f t="shared" ref="CL122:CS122" si="450">+CL74-CL7</f>
        <v>1502</v>
      </c>
      <c r="CM122" s="148">
        <f t="shared" si="450"/>
        <v>1607</v>
      </c>
      <c r="CN122" s="148">
        <f t="shared" si="450"/>
        <v>1643</v>
      </c>
      <c r="CO122" s="148">
        <f t="shared" si="450"/>
        <v>985</v>
      </c>
      <c r="CP122" s="1095">
        <f t="shared" si="450"/>
        <v>1103</v>
      </c>
      <c r="CQ122" s="148">
        <f t="shared" si="450"/>
        <v>1033</v>
      </c>
      <c r="CR122" s="1095">
        <f t="shared" si="450"/>
        <v>1514</v>
      </c>
      <c r="CS122" s="148">
        <f t="shared" si="450"/>
        <v>1154</v>
      </c>
      <c r="CT122" s="148">
        <f t="shared" ref="CT122:DA122" si="451">+CT74-CT7</f>
        <v>1535</v>
      </c>
      <c r="CU122" s="1095">
        <f t="shared" si="451"/>
        <v>1608</v>
      </c>
      <c r="CV122" s="1095">
        <f t="shared" si="451"/>
        <v>1150</v>
      </c>
      <c r="CW122" s="148">
        <f t="shared" si="451"/>
        <v>911</v>
      </c>
      <c r="CX122" s="1095">
        <f t="shared" si="451"/>
        <v>1556.6111873270816</v>
      </c>
      <c r="CY122" s="148">
        <f t="shared" si="451"/>
        <v>1562.6927211322586</v>
      </c>
      <c r="CZ122" s="148">
        <f t="shared" si="451"/>
        <v>1419.1712360282418</v>
      </c>
      <c r="DA122" s="148">
        <f t="shared" si="451"/>
        <v>1447.0523862424393</v>
      </c>
      <c r="DB122" s="63"/>
      <c r="DC122" s="63"/>
      <c r="DD122" s="63">
        <f t="shared" ref="DD122:EH122" si="452">+DD74-DD7</f>
        <v>12.517989999999998</v>
      </c>
      <c r="DE122" s="63">
        <f t="shared" si="452"/>
        <v>46.192999999999998</v>
      </c>
      <c r="DF122" s="63">
        <f t="shared" si="452"/>
        <v>71.459990000000005</v>
      </c>
      <c r="DG122" s="63">
        <f t="shared" si="452"/>
        <v>73.277999999999992</v>
      </c>
      <c r="DH122" s="63">
        <f t="shared" si="452"/>
        <v>54.568000000000019</v>
      </c>
      <c r="DI122" s="63">
        <f t="shared" si="452"/>
        <v>39.738</v>
      </c>
      <c r="DJ122" s="63">
        <f t="shared" si="452"/>
        <v>15.524000000000015</v>
      </c>
      <c r="DK122" s="63">
        <f t="shared" si="452"/>
        <v>118.32800000000003</v>
      </c>
      <c r="DL122" s="63">
        <f t="shared" si="452"/>
        <v>314.40400000000011</v>
      </c>
      <c r="DM122" s="63">
        <f t="shared" si="452"/>
        <v>479.32800000000015</v>
      </c>
      <c r="DN122" s="63">
        <f t="shared" si="452"/>
        <v>499.41</v>
      </c>
      <c r="DO122" s="63">
        <f t="shared" si="452"/>
        <v>477.64800000000002</v>
      </c>
      <c r="DP122" s="63">
        <f t="shared" si="452"/>
        <v>156.47399999999993</v>
      </c>
      <c r="DQ122" s="63">
        <f t="shared" si="452"/>
        <v>-109.59300000000007</v>
      </c>
      <c r="DR122" s="63">
        <f t="shared" si="452"/>
        <v>-297.3119999999999</v>
      </c>
      <c r="DS122" s="63">
        <f t="shared" si="452"/>
        <v>-533</v>
      </c>
      <c r="DT122" s="63">
        <f t="shared" si="452"/>
        <v>-966</v>
      </c>
      <c r="DU122" s="63">
        <f t="shared" si="452"/>
        <v>-840</v>
      </c>
      <c r="DV122" s="63">
        <f t="shared" si="452"/>
        <v>978</v>
      </c>
      <c r="DW122" s="63">
        <f t="shared" si="452"/>
        <v>1590</v>
      </c>
      <c r="DX122" s="63">
        <f t="shared" si="452"/>
        <v>1181</v>
      </c>
      <c r="DY122" s="63">
        <f t="shared" si="452"/>
        <v>1575</v>
      </c>
      <c r="DZ122" s="63">
        <f t="shared" si="452"/>
        <v>-865</v>
      </c>
      <c r="EA122" s="63">
        <f t="shared" si="452"/>
        <v>-741</v>
      </c>
      <c r="EB122" s="63">
        <f t="shared" si="452"/>
        <v>-238</v>
      </c>
      <c r="EC122" s="63">
        <f t="shared" si="452"/>
        <v>707</v>
      </c>
      <c r="ED122" s="63">
        <f t="shared" si="452"/>
        <v>243</v>
      </c>
      <c r="EE122" s="63">
        <f t="shared" si="452"/>
        <v>351</v>
      </c>
      <c r="EF122" s="63">
        <f t="shared" si="452"/>
        <v>-167</v>
      </c>
      <c r="EG122" s="63">
        <f t="shared" si="452"/>
        <v>-589</v>
      </c>
      <c r="EH122" s="63">
        <f t="shared" si="452"/>
        <v>371</v>
      </c>
      <c r="EI122" s="63">
        <f t="shared" ref="EI122:EP122" si="453">+EI74-EI7</f>
        <v>1520</v>
      </c>
      <c r="EJ122" s="63">
        <f>+EJ74-EJ7</f>
        <v>985</v>
      </c>
      <c r="EK122" s="148">
        <f t="shared" si="453"/>
        <v>1154</v>
      </c>
      <c r="EL122" s="148">
        <f>+EL74-EL7</f>
        <v>911</v>
      </c>
      <c r="EM122" s="63">
        <f t="shared" si="453"/>
        <v>1447.0523862424393</v>
      </c>
      <c r="EN122" s="63">
        <f t="shared" si="453"/>
        <v>1423.9789468816211</v>
      </c>
      <c r="EO122" s="63">
        <f t="shared" si="453"/>
        <v>1417.8219796329518</v>
      </c>
      <c r="EP122" s="63">
        <f t="shared" si="453"/>
        <v>1412.6685316517537</v>
      </c>
      <c r="EQ122" s="63">
        <f>+EQ74-EQ7</f>
        <v>1405.00663214824</v>
      </c>
      <c r="ER122" s="63">
        <f>+ER74-ER7</f>
        <v>1397.0410537741354</v>
      </c>
      <c r="ES122" s="63">
        <f>+ES74-ES7</f>
        <v>1388.7568125059536</v>
      </c>
      <c r="ET122" s="63">
        <f>+ET74-ET7</f>
        <v>1380.138181657687</v>
      </c>
      <c r="EU122" s="63">
        <f>+EU74-EU7</f>
        <v>1371.1686550182128</v>
      </c>
      <c r="EV122" s="318"/>
      <c r="EW122"/>
      <c r="EX122"/>
      <c r="EY122"/>
      <c r="EZ122"/>
      <c r="FA122"/>
      <c r="FB122"/>
      <c r="FG122" s="1095"/>
      <c r="FH122" s="1095"/>
      <c r="FI122" s="134"/>
      <c r="FJ122" s="134"/>
      <c r="FK122"/>
      <c r="FL122"/>
      <c r="FM122"/>
      <c r="FN122"/>
      <c r="FO122"/>
      <c r="FP122"/>
      <c r="FQ122"/>
      <c r="FR122"/>
      <c r="FS122"/>
      <c r="FT122"/>
      <c r="FU122"/>
      <c r="FV122"/>
      <c r="FW122"/>
      <c r="FX122"/>
      <c r="FY122"/>
      <c r="FZ122"/>
      <c r="GA122"/>
      <c r="GB122"/>
      <c r="GC122"/>
      <c r="GD122"/>
      <c r="GE122"/>
      <c r="GF122"/>
      <c r="GG122"/>
      <c r="GH122"/>
      <c r="GI122"/>
      <c r="GJ122"/>
      <c r="GK122"/>
      <c r="GL122"/>
      <c r="GM122"/>
      <c r="GN122"/>
      <c r="GO122"/>
      <c r="GP122"/>
      <c r="GQ122"/>
      <c r="GR122"/>
      <c r="GS122"/>
      <c r="GT122"/>
      <c r="GU122"/>
      <c r="GV122"/>
      <c r="GW122"/>
      <c r="GX122"/>
      <c r="GY122"/>
      <c r="GZ122"/>
      <c r="HA122"/>
      <c r="HB122"/>
      <c r="HC122"/>
      <c r="HD122"/>
      <c r="HE122"/>
      <c r="HF122"/>
      <c r="HG122"/>
      <c r="HH122"/>
      <c r="HI122"/>
      <c r="HJ122"/>
      <c r="HK122"/>
      <c r="HL122"/>
      <c r="HM122"/>
      <c r="HN122"/>
      <c r="HO122"/>
      <c r="HP122"/>
      <c r="HQ122"/>
      <c r="HR122"/>
      <c r="HS122"/>
      <c r="HT122"/>
      <c r="HU122"/>
      <c r="HV122"/>
      <c r="HW122"/>
      <c r="HX122"/>
      <c r="HY122"/>
      <c r="HZ122"/>
      <c r="IA122"/>
      <c r="IB122"/>
      <c r="IC122"/>
      <c r="ID122"/>
      <c r="IE122"/>
      <c r="IF122"/>
      <c r="IG122"/>
      <c r="IH122"/>
      <c r="II122"/>
      <c r="IJ122"/>
      <c r="IK122"/>
      <c r="IL122"/>
      <c r="IM122"/>
      <c r="IN122"/>
      <c r="IO122"/>
      <c r="IP122"/>
      <c r="IQ122"/>
      <c r="IR122"/>
      <c r="IS122"/>
      <c r="IT122"/>
      <c r="IU122"/>
      <c r="IV122"/>
      <c r="IW122"/>
      <c r="IX122"/>
      <c r="IY122"/>
      <c r="IZ122"/>
    </row>
    <row r="123" spans="1:260" s="4" customFormat="1" outlineLevel="1" x14ac:dyDescent="0.2">
      <c r="A123" s="295" t="s">
        <v>55</v>
      </c>
      <c r="B123" s="296"/>
      <c r="C123" s="296"/>
      <c r="D123" s="296"/>
      <c r="E123" s="296"/>
      <c r="F123" s="298">
        <f t="shared" ref="F123:AK123" si="454">F122-E122</f>
        <v>67.867999999999881</v>
      </c>
      <c r="G123" s="298">
        <f t="shared" si="454"/>
        <v>-45.170999999999879</v>
      </c>
      <c r="H123" s="298">
        <f t="shared" si="454"/>
        <v>246.303</v>
      </c>
      <c r="I123" s="298">
        <f t="shared" si="454"/>
        <v>-104.07599999999996</v>
      </c>
      <c r="J123" s="298">
        <f t="shared" si="454"/>
        <v>78.972000000000037</v>
      </c>
      <c r="K123" s="298">
        <f t="shared" si="454"/>
        <v>-15.358000000000516</v>
      </c>
      <c r="L123" s="298">
        <f t="shared" si="454"/>
        <v>-60.791999999999632</v>
      </c>
      <c r="M123" s="298">
        <f t="shared" si="454"/>
        <v>17.259999999999991</v>
      </c>
      <c r="N123" s="298">
        <f t="shared" si="454"/>
        <v>68.838999999999999</v>
      </c>
      <c r="O123" s="298">
        <f t="shared" si="454"/>
        <v>-9.5769999999998845</v>
      </c>
      <c r="P123" s="298">
        <f t="shared" si="454"/>
        <v>-29.590000000000146</v>
      </c>
      <c r="Q123" s="298">
        <f t="shared" si="454"/>
        <v>-51.433999999999969</v>
      </c>
      <c r="R123" s="298">
        <f t="shared" si="454"/>
        <v>-0.4799999999999045</v>
      </c>
      <c r="S123" s="298">
        <f t="shared" si="454"/>
        <v>2.5520000000000778</v>
      </c>
      <c r="T123" s="298">
        <f t="shared" si="454"/>
        <v>-4.4870000000005348</v>
      </c>
      <c r="U123" s="298">
        <f t="shared" si="454"/>
        <v>-318.75899999999973</v>
      </c>
      <c r="V123" s="298">
        <f t="shared" si="454"/>
        <v>153.47000000000014</v>
      </c>
      <c r="W123" s="298">
        <f t="shared" si="454"/>
        <v>-212.30500000000012</v>
      </c>
      <c r="X123" s="298">
        <f t="shared" si="454"/>
        <v>81.884000000000242</v>
      </c>
      <c r="Y123" s="298">
        <f t="shared" si="454"/>
        <v>-289.11600000000027</v>
      </c>
      <c r="Z123" s="298">
        <f t="shared" si="454"/>
        <v>289.21200000000005</v>
      </c>
      <c r="AA123" s="298">
        <f t="shared" si="454"/>
        <v>27.869000000000028</v>
      </c>
      <c r="AB123" s="298">
        <f t="shared" si="454"/>
        <v>-130.558999999999</v>
      </c>
      <c r="AC123" s="298">
        <f t="shared" si="454"/>
        <v>-374.24100000000089</v>
      </c>
      <c r="AD123" s="298">
        <f t="shared" si="454"/>
        <v>336.3119999999999</v>
      </c>
      <c r="AE123" s="298">
        <f t="shared" si="454"/>
        <v>-125</v>
      </c>
      <c r="AF123" s="298">
        <f t="shared" si="454"/>
        <v>-5</v>
      </c>
      <c r="AG123" s="298">
        <f t="shared" si="454"/>
        <v>-442</v>
      </c>
      <c r="AH123" s="298">
        <f t="shared" si="454"/>
        <v>383</v>
      </c>
      <c r="AI123" s="298">
        <f t="shared" si="454"/>
        <v>-155</v>
      </c>
      <c r="AJ123" s="298">
        <f t="shared" si="454"/>
        <v>-291</v>
      </c>
      <c r="AK123" s="298">
        <f t="shared" si="454"/>
        <v>-370</v>
      </c>
      <c r="AL123" s="298">
        <f t="shared" ref="AL123:BQ123" si="455">AL122-AK122</f>
        <v>656</v>
      </c>
      <c r="AM123" s="298">
        <f t="shared" si="455"/>
        <v>-23</v>
      </c>
      <c r="AN123" s="298">
        <f t="shared" si="455"/>
        <v>-130</v>
      </c>
      <c r="AO123" s="298">
        <f t="shared" si="455"/>
        <v>-377</v>
      </c>
      <c r="AP123" s="298">
        <f t="shared" si="455"/>
        <v>461</v>
      </c>
      <c r="AQ123" s="298">
        <f t="shared" si="455"/>
        <v>-148</v>
      </c>
      <c r="AR123" s="298">
        <f t="shared" si="455"/>
        <v>-17</v>
      </c>
      <c r="AS123" s="298">
        <f t="shared" si="455"/>
        <v>1522</v>
      </c>
      <c r="AT123" s="298">
        <f t="shared" si="455"/>
        <v>36</v>
      </c>
      <c r="AU123" s="298">
        <f t="shared" si="455"/>
        <v>-382</v>
      </c>
      <c r="AV123" s="298">
        <f t="shared" si="455"/>
        <v>125</v>
      </c>
      <c r="AW123" s="298">
        <f t="shared" si="455"/>
        <v>833</v>
      </c>
      <c r="AX123" s="298">
        <f t="shared" si="455"/>
        <v>-154</v>
      </c>
      <c r="AY123" s="298">
        <f t="shared" si="455"/>
        <v>92</v>
      </c>
      <c r="AZ123" s="298">
        <f t="shared" si="455"/>
        <v>-101</v>
      </c>
      <c r="BA123" s="298">
        <f t="shared" si="455"/>
        <v>-246</v>
      </c>
      <c r="BB123" s="298">
        <f t="shared" si="455"/>
        <v>-372</v>
      </c>
      <c r="BC123" s="298">
        <f t="shared" si="455"/>
        <v>-392</v>
      </c>
      <c r="BD123" s="298">
        <f t="shared" si="455"/>
        <v>-103</v>
      </c>
      <c r="BE123" s="298">
        <f t="shared" si="455"/>
        <v>1261</v>
      </c>
      <c r="BF123" s="298">
        <f t="shared" si="455"/>
        <v>-321</v>
      </c>
      <c r="BG123" s="298">
        <f t="shared" si="455"/>
        <v>-2663</v>
      </c>
      <c r="BH123" s="298">
        <f t="shared" si="455"/>
        <v>331</v>
      </c>
      <c r="BI123" s="298">
        <f t="shared" si="455"/>
        <v>213</v>
      </c>
      <c r="BJ123" s="298">
        <f t="shared" si="455"/>
        <v>96</v>
      </c>
      <c r="BK123" s="298">
        <f t="shared" si="455"/>
        <v>-427</v>
      </c>
      <c r="BL123" s="298">
        <f t="shared" si="455"/>
        <v>-250</v>
      </c>
      <c r="BM123" s="298">
        <f t="shared" si="455"/>
        <v>705</v>
      </c>
      <c r="BN123" s="298">
        <f t="shared" si="455"/>
        <v>260</v>
      </c>
      <c r="BO123" s="298">
        <f t="shared" si="455"/>
        <v>153</v>
      </c>
      <c r="BP123" s="298">
        <f t="shared" si="455"/>
        <v>353</v>
      </c>
      <c r="BQ123" s="298">
        <f t="shared" si="455"/>
        <v>-263</v>
      </c>
      <c r="BR123" s="298">
        <f t="shared" ref="BR123:CK123" si="456">BR122-BQ122</f>
        <v>784</v>
      </c>
      <c r="BS123" s="298">
        <f t="shared" si="456"/>
        <v>99</v>
      </c>
      <c r="BT123" s="298">
        <f t="shared" si="456"/>
        <v>-161</v>
      </c>
      <c r="BU123" s="298">
        <f t="shared" si="456"/>
        <v>223</v>
      </c>
      <c r="BV123" s="298">
        <f t="shared" si="456"/>
        <v>-358</v>
      </c>
      <c r="BW123" s="298">
        <f t="shared" si="456"/>
        <v>-35</v>
      </c>
      <c r="BX123" s="298">
        <f t="shared" si="456"/>
        <v>-363</v>
      </c>
      <c r="BY123" s="298">
        <f t="shared" si="456"/>
        <v>292</v>
      </c>
      <c r="BZ123" s="298">
        <f t="shared" si="456"/>
        <v>-314</v>
      </c>
      <c r="CA123" s="298">
        <f t="shared" si="456"/>
        <v>127</v>
      </c>
      <c r="CB123" s="298">
        <f t="shared" si="456"/>
        <v>333</v>
      </c>
      <c r="CC123" s="298">
        <f t="shared" si="456"/>
        <v>-978</v>
      </c>
      <c r="CD123" s="356">
        <f t="shared" si="456"/>
        <v>1126</v>
      </c>
      <c r="CE123" s="356">
        <f t="shared" si="456"/>
        <v>-61</v>
      </c>
      <c r="CF123" s="356">
        <f t="shared" si="456"/>
        <v>-77</v>
      </c>
      <c r="CG123" s="356">
        <f t="shared" si="456"/>
        <v>-28</v>
      </c>
      <c r="CH123" s="356">
        <f t="shared" si="456"/>
        <v>298</v>
      </c>
      <c r="CI123" s="356">
        <f>CI122-CH122</f>
        <v>550</v>
      </c>
      <c r="CJ123" s="356">
        <f>CJ122-CI122</f>
        <v>289</v>
      </c>
      <c r="CK123" s="356">
        <f t="shared" si="456"/>
        <v>12</v>
      </c>
      <c r="CL123" s="356">
        <f t="shared" ref="CL123:CS123" si="457">CL122-CK122</f>
        <v>-18</v>
      </c>
      <c r="CM123" s="356">
        <f t="shared" si="457"/>
        <v>105</v>
      </c>
      <c r="CN123" s="356">
        <f t="shared" si="457"/>
        <v>36</v>
      </c>
      <c r="CO123" s="356">
        <f t="shared" si="457"/>
        <v>-658</v>
      </c>
      <c r="CP123" s="1367">
        <f>CP122-CO122</f>
        <v>118</v>
      </c>
      <c r="CQ123" s="356">
        <f t="shared" si="457"/>
        <v>-70</v>
      </c>
      <c r="CR123" s="1367">
        <f t="shared" si="457"/>
        <v>481</v>
      </c>
      <c r="CS123" s="356">
        <f t="shared" si="457"/>
        <v>-360</v>
      </c>
      <c r="CT123" s="356">
        <f t="shared" ref="CT123:DA123" si="458">CT122-CS122</f>
        <v>381</v>
      </c>
      <c r="CU123" s="1367">
        <f t="shared" si="458"/>
        <v>73</v>
      </c>
      <c r="CV123" s="1367">
        <f t="shared" si="458"/>
        <v>-458</v>
      </c>
      <c r="CW123" s="356">
        <f t="shared" si="458"/>
        <v>-239</v>
      </c>
      <c r="CX123" s="1367">
        <f t="shared" si="458"/>
        <v>645.61118732708155</v>
      </c>
      <c r="CY123" s="356">
        <f t="shared" si="458"/>
        <v>6.0815338051770595</v>
      </c>
      <c r="CZ123" s="356">
        <f t="shared" si="458"/>
        <v>-143.52148510401685</v>
      </c>
      <c r="DA123" s="356">
        <f t="shared" si="458"/>
        <v>27.881150214197532</v>
      </c>
      <c r="DB123" s="298"/>
      <c r="DC123" s="298"/>
      <c r="DD123" s="371"/>
      <c r="DE123" s="371"/>
      <c r="DF123" s="371"/>
      <c r="DG123" s="371">
        <f>DG122-DD122</f>
        <v>60.760009999999994</v>
      </c>
      <c r="DH123" s="371">
        <f>DH122-DE122</f>
        <v>8.3750000000000213</v>
      </c>
      <c r="DI123" s="371">
        <f>DI122-DF122</f>
        <v>-31.721990000000005</v>
      </c>
      <c r="DJ123" s="371">
        <f>DJ122-DG122</f>
        <v>-57.753999999999976</v>
      </c>
      <c r="DK123" s="371">
        <f>DK122-DH122</f>
        <v>63.760000000000012</v>
      </c>
      <c r="DL123" s="296"/>
      <c r="DM123" s="298">
        <f t="shared" ref="DM123:EF123" si="459">DM122-DL122</f>
        <v>164.92400000000004</v>
      </c>
      <c r="DN123" s="298">
        <f t="shared" si="459"/>
        <v>20.08199999999988</v>
      </c>
      <c r="DO123" s="298">
        <f t="shared" si="459"/>
        <v>-21.762</v>
      </c>
      <c r="DP123" s="298">
        <f t="shared" si="459"/>
        <v>-321.17400000000009</v>
      </c>
      <c r="DQ123" s="298">
        <f t="shared" si="459"/>
        <v>-266.06700000000001</v>
      </c>
      <c r="DR123" s="298">
        <f t="shared" si="459"/>
        <v>-187.71899999999982</v>
      </c>
      <c r="DS123" s="298">
        <f t="shared" si="459"/>
        <v>-235.6880000000001</v>
      </c>
      <c r="DT123" s="298">
        <f t="shared" si="459"/>
        <v>-433</v>
      </c>
      <c r="DU123" s="298">
        <f t="shared" si="459"/>
        <v>126</v>
      </c>
      <c r="DV123" s="298">
        <f t="shared" si="459"/>
        <v>1818</v>
      </c>
      <c r="DW123" s="298">
        <f t="shared" si="459"/>
        <v>612</v>
      </c>
      <c r="DX123" s="298">
        <f t="shared" si="459"/>
        <v>-409</v>
      </c>
      <c r="DY123" s="298">
        <f t="shared" si="459"/>
        <v>394</v>
      </c>
      <c r="DZ123" s="298">
        <f t="shared" si="459"/>
        <v>-2440</v>
      </c>
      <c r="EA123" s="298">
        <f t="shared" si="459"/>
        <v>124</v>
      </c>
      <c r="EB123" s="298">
        <f t="shared" si="459"/>
        <v>503</v>
      </c>
      <c r="EC123" s="298">
        <f t="shared" si="459"/>
        <v>945</v>
      </c>
      <c r="ED123" s="298">
        <f t="shared" si="459"/>
        <v>-464</v>
      </c>
      <c r="EE123" s="298">
        <f t="shared" si="459"/>
        <v>108</v>
      </c>
      <c r="EF123" s="298">
        <f t="shared" si="459"/>
        <v>-518</v>
      </c>
      <c r="EG123" s="298">
        <f>EG122-ED122</f>
        <v>-832</v>
      </c>
      <c r="EH123" s="298">
        <f>EH122-EG122</f>
        <v>960</v>
      </c>
      <c r="EI123" s="298">
        <f t="shared" ref="EI123:EQ123" si="460">EI122-EH122</f>
        <v>1149</v>
      </c>
      <c r="EJ123" s="371">
        <f t="shared" si="460"/>
        <v>-535</v>
      </c>
      <c r="EK123" s="1924">
        <f t="shared" si="460"/>
        <v>169</v>
      </c>
      <c r="EL123" s="1924">
        <f t="shared" si="460"/>
        <v>-243</v>
      </c>
      <c r="EM123" s="371">
        <f t="shared" si="460"/>
        <v>536.0523862424393</v>
      </c>
      <c r="EN123" s="371">
        <f t="shared" si="460"/>
        <v>-23.073439360818156</v>
      </c>
      <c r="EO123" s="371">
        <f t="shared" si="460"/>
        <v>-6.1569672486693889</v>
      </c>
      <c r="EP123" s="371">
        <f t="shared" si="460"/>
        <v>-5.1534479811980418</v>
      </c>
      <c r="EQ123" s="371">
        <f t="shared" si="460"/>
        <v>-7.6618995035137232</v>
      </c>
      <c r="ER123" s="371">
        <f>ER122-EQ122</f>
        <v>-7.9655783741045525</v>
      </c>
      <c r="ES123" s="371">
        <f>ES122-ER122</f>
        <v>-8.2842412681818587</v>
      </c>
      <c r="ET123" s="371">
        <f>ET122-ES122</f>
        <v>-8.6186308482665481</v>
      </c>
      <c r="EU123" s="371">
        <f>EU122-ET122</f>
        <v>-8.9695266394742248</v>
      </c>
      <c r="EV123" s="356"/>
      <c r="EW123"/>
      <c r="EX123"/>
      <c r="EY123"/>
      <c r="EZ123"/>
      <c r="FA123"/>
      <c r="FB123"/>
      <c r="FG123"/>
      <c r="FH123" s="134"/>
      <c r="FI123" s="134"/>
      <c r="FJ123" s="134"/>
      <c r="FK123"/>
      <c r="FL123"/>
      <c r="FM123"/>
      <c r="FN123"/>
      <c r="FO123"/>
      <c r="FP123"/>
      <c r="FQ123"/>
      <c r="FR123"/>
      <c r="FS123"/>
      <c r="FT123"/>
      <c r="FU123"/>
      <c r="FV123"/>
      <c r="FW123"/>
      <c r="FX123"/>
      <c r="FY123"/>
      <c r="FZ123"/>
      <c r="GA123"/>
      <c r="GB123"/>
      <c r="GC123"/>
      <c r="GD123"/>
      <c r="GE123"/>
      <c r="GF123"/>
      <c r="GG123"/>
      <c r="GH123"/>
      <c r="GI123"/>
      <c r="GJ123"/>
      <c r="GK123"/>
      <c r="GL123"/>
      <c r="GM123"/>
      <c r="GN123"/>
      <c r="GO123"/>
      <c r="GP123"/>
      <c r="GQ123"/>
      <c r="GR123"/>
      <c r="GS123"/>
      <c r="GT123"/>
      <c r="GU123"/>
      <c r="GV123"/>
      <c r="GW123"/>
      <c r="GX123"/>
      <c r="GY123"/>
      <c r="GZ123"/>
      <c r="HA123"/>
      <c r="HB123"/>
      <c r="HC123"/>
      <c r="HD123"/>
      <c r="HE123"/>
      <c r="HF123"/>
      <c r="HG123"/>
      <c r="HH123"/>
      <c r="HI123"/>
      <c r="HJ123"/>
      <c r="HK123"/>
      <c r="HL123"/>
      <c r="HM123"/>
      <c r="HN123"/>
      <c r="HO123"/>
      <c r="HP123"/>
      <c r="HQ123"/>
      <c r="HR123"/>
      <c r="HS123"/>
      <c r="HT123"/>
      <c r="HU123"/>
      <c r="HV123"/>
      <c r="HW123"/>
      <c r="HX123"/>
      <c r="HY123"/>
      <c r="HZ123"/>
      <c r="IA123"/>
      <c r="IB123"/>
      <c r="IC123"/>
      <c r="ID123"/>
      <c r="IE123"/>
      <c r="IF123"/>
      <c r="IG123"/>
      <c r="IH123"/>
      <c r="II123"/>
      <c r="IJ123"/>
      <c r="IK123"/>
      <c r="IL123"/>
      <c r="IM123"/>
      <c r="IN123"/>
      <c r="IO123"/>
      <c r="IP123"/>
      <c r="IQ123"/>
      <c r="IR123"/>
      <c r="IS123"/>
      <c r="IT123"/>
      <c r="IU123"/>
      <c r="IV123"/>
      <c r="IW123"/>
      <c r="IX123"/>
      <c r="IY123"/>
      <c r="IZ123"/>
    </row>
    <row r="124" spans="1:260" s="4" customFormat="1" outlineLevel="1" x14ac:dyDescent="0.2">
      <c r="A124" s="40" t="s">
        <v>147</v>
      </c>
      <c r="B124" s="66">
        <f>+B122/$DL$100</f>
        <v>5.0464754431514811E-2</v>
      </c>
      <c r="C124" s="66">
        <f>+C122/$DL$100</f>
        <v>6.6882662893551159E-2</v>
      </c>
      <c r="D124" s="66">
        <f>+D122/$DL$100</f>
        <v>9.6314560221171616E-2</v>
      </c>
      <c r="E124" s="66">
        <f>+E122/$DL$100</f>
        <v>0.10457357209331412</v>
      </c>
      <c r="F124" s="66">
        <f>+F122/$DM$100</f>
        <v>7.5257000909922406E-2</v>
      </c>
      <c r="G124" s="66">
        <f>+G122/$DM$100</f>
        <v>6.6364291038150225E-2</v>
      </c>
      <c r="H124" s="66">
        <f>+H122/$DM$100</f>
        <v>0.11485339067170072</v>
      </c>
      <c r="I124" s="66">
        <f>+I122/$DM$100</f>
        <v>9.4364190241899223E-2</v>
      </c>
      <c r="J124" s="66">
        <f>+J122/$DN$100</f>
        <v>7.7354501005276008E-2</v>
      </c>
      <c r="K124" s="66">
        <f>+K122/$DN$100</f>
        <v>7.5226594097808575E-2</v>
      </c>
      <c r="L124" s="66">
        <f>+L122/$DN$100</f>
        <v>6.680364080188754E-2</v>
      </c>
      <c r="M124" s="66">
        <f>+M122/$DN$100</f>
        <v>6.9195076745557735E-2</v>
      </c>
      <c r="N124" s="66">
        <f>+N122/$DO$100</f>
        <v>7.3127291384811346E-2</v>
      </c>
      <c r="O124" s="66">
        <f>+O122/$DO$100</f>
        <v>7.1894838587547596E-2</v>
      </c>
      <c r="P124" s="66">
        <f>+P122/$DO$100</f>
        <v>6.8086936502235393E-2</v>
      </c>
      <c r="Q124" s="66">
        <f>+Q122/$DO$100</f>
        <v>6.1467955905549106E-2</v>
      </c>
      <c r="R124" s="66">
        <f>+R122/$DP$100</f>
        <v>5.7089858667999031E-2</v>
      </c>
      <c r="S124" s="66">
        <f>+S122/$DP$100</f>
        <v>5.7395187858809683E-2</v>
      </c>
      <c r="T124" s="66">
        <f>+T122/$DP$100</f>
        <v>5.6858349269794196E-2</v>
      </c>
      <c r="U124" s="66">
        <f>+U122/$DP$100</f>
        <v>1.8721034405526932E-2</v>
      </c>
      <c r="V124" s="66">
        <f>+V122/$DQ$100</f>
        <v>3.0795320570639051E-2</v>
      </c>
      <c r="W124" s="66">
        <f>+W122/$DQ$100</f>
        <v>9.7011857148279184E-3</v>
      </c>
      <c r="X124" s="66">
        <f>+X122/$DQ$100</f>
        <v>1.7836990988058615E-2</v>
      </c>
      <c r="Y124" s="66">
        <f>+Y122/$DQ$100</f>
        <v>-1.0888907568135041E-2</v>
      </c>
      <c r="Z124" s="66">
        <f>+Z122/$DR$100</f>
        <v>1.4376394216658636E-2</v>
      </c>
      <c r="AA124" s="66">
        <f>+AA122/$DR$100</f>
        <v>1.6606980793936431E-2</v>
      </c>
      <c r="AB124" s="66">
        <f>+AB122/$DR$100</f>
        <v>6.1572641574295962E-3</v>
      </c>
      <c r="AC124" s="66">
        <f>+AC122/$DR$100</f>
        <v>-2.3796338457196687E-2</v>
      </c>
      <c r="AD124" s="66">
        <f>+AD122/$DS$100</f>
        <v>2.5446008170517485E-3</v>
      </c>
      <c r="AE124" s="66">
        <f>+AE122/$DS$100</f>
        <v>-5.6111710324730866E-3</v>
      </c>
      <c r="AF124" s="66">
        <f>+AF122/$DS$100</f>
        <v>-5.9374019064540803E-3</v>
      </c>
      <c r="AG124" s="66">
        <f>+AG122/$DS$100</f>
        <v>-3.4776211166373895E-2</v>
      </c>
      <c r="AH124" s="66">
        <f>+AH122/$DT$100</f>
        <v>-7.6542327907332753E-3</v>
      </c>
      <c r="AI124" s="66">
        <f>+AI122/$DT$100</f>
        <v>-1.5563606674490993E-2</v>
      </c>
      <c r="AJ124" s="66">
        <f>+AJ122/$DT$100</f>
        <v>-3.0412818288513548E-2</v>
      </c>
      <c r="AK124" s="66">
        <f>+AK122/$DT$100</f>
        <v>-4.9293259172322294E-2</v>
      </c>
      <c r="AL124" s="66">
        <f>+AL122/$DU$100</f>
        <v>-1.4799961806550176E-2</v>
      </c>
      <c r="AM124" s="66">
        <f>+AM122/$DU$100</f>
        <v>-1.5898023488971642E-2</v>
      </c>
      <c r="AN124" s="66">
        <f>+AN122/$DU$100</f>
        <v>-2.2104459085266877E-2</v>
      </c>
      <c r="AO124" s="66">
        <f>+AO122/$DU$100</f>
        <v>-4.0103122314523058E-2</v>
      </c>
      <c r="AP124" s="66">
        <f>+AP122/$DV$100</f>
        <v>-1.5441026685679364E-2</v>
      </c>
      <c r="AQ124" s="66">
        <f>+AQ122/$DV$100</f>
        <v>-2.1470767977184762E-2</v>
      </c>
      <c r="AR124" s="66">
        <f>+AR122/$DV$100</f>
        <v>-2.2163373395803626E-2</v>
      </c>
      <c r="AS124" s="66">
        <f>+AS122/$DV$100</f>
        <v>3.9845182318191077E-2</v>
      </c>
      <c r="AT124" s="66">
        <f>+AT122/$DW$100</f>
        <v>3.6962782050814713E-2</v>
      </c>
      <c r="AU124" s="66">
        <f>+AU122/$DW$100</f>
        <v>2.3037946998140924E-2</v>
      </c>
      <c r="AV124" s="66">
        <f>+AV122/$DW$100</f>
        <v>2.7594502970874495E-2</v>
      </c>
      <c r="AW124" s="66">
        <f>+AW122/$DW$100</f>
        <v>5.7959391973171001E-2</v>
      </c>
      <c r="AX124" s="66">
        <f>+AX122/$DX$100</f>
        <v>4.6550829875518673E-2</v>
      </c>
      <c r="AY124" s="66">
        <f>+AY122/$DX$100</f>
        <v>4.9533195020746885E-2</v>
      </c>
      <c r="AZ124" s="66">
        <f>+AZ122/$DX$100</f>
        <v>4.6259076763485479E-2</v>
      </c>
      <c r="BA124" s="66">
        <f>+BA122/$DX$100</f>
        <v>3.8284491701244816E-2</v>
      </c>
      <c r="BB124" s="66">
        <f>+BB122/$DY$100</f>
        <v>2.2513496966661099E-2</v>
      </c>
      <c r="BC124" s="66">
        <f>+BC122/$DY$100</f>
        <v>1.1604608448822842E-2</v>
      </c>
      <c r="BD124" s="66">
        <f>+BD122/$DY$100</f>
        <v>8.7382423331663611E-3</v>
      </c>
      <c r="BE124" s="66">
        <f>+BE122/$DY$100</f>
        <v>4.3830355652028717E-2</v>
      </c>
      <c r="BF124" s="66">
        <f>+BF122/$DZ$100</f>
        <v>3.1331984109137248E-2</v>
      </c>
      <c r="BG124" s="66">
        <f>+BG122/$DZ$100</f>
        <v>-3.5204757264572874E-2</v>
      </c>
      <c r="BH124" s="66">
        <f>+BH122/$DZ$100</f>
        <v>-2.6934512655223248E-2</v>
      </c>
      <c r="BI124" s="66">
        <f>+BI122/$DZ$100</f>
        <v>-2.1612572770656872E-2</v>
      </c>
      <c r="BJ124" s="66">
        <f>+BJ122/$EA$100</f>
        <v>-1.7083194490725314E-2</v>
      </c>
      <c r="BK124" s="66">
        <f>+BK122/$EA$100</f>
        <v>-2.6568921470620906E-2</v>
      </c>
      <c r="BL124" s="66">
        <f>+BL122/$EA$100</f>
        <v>-3.2122625791402869E-2</v>
      </c>
      <c r="BM124" s="66">
        <f>+BM122/$EA$100</f>
        <v>-1.6461179606797733E-2</v>
      </c>
      <c r="BN124" s="66">
        <f>+BN122/$EB$100</f>
        <v>-9.6792369300116709E-3</v>
      </c>
      <c r="BO124" s="66">
        <f>+BO122/$EB$100</f>
        <v>-6.6003944138125327E-3</v>
      </c>
      <c r="BP124" s="66">
        <f>+BP122/$EB$100</f>
        <v>5.0307884251619918E-4</v>
      </c>
      <c r="BQ124" s="66">
        <f>+BQ122/$EB$100</f>
        <v>-4.7893105807542162E-3</v>
      </c>
      <c r="BR124" s="66">
        <f>+BR122/$EC$100</f>
        <v>1.0860916613621896E-2</v>
      </c>
      <c r="BS124" s="66">
        <f>+BS122/$EC$100</f>
        <v>1.2830203691915978E-2</v>
      </c>
      <c r="BT124" s="66">
        <f>+BT122/$EC$100</f>
        <v>9.6276257161043918E-3</v>
      </c>
      <c r="BU124" s="66">
        <f>+BU122/$EC$100</f>
        <v>1.4063494589433482E-2</v>
      </c>
      <c r="BV124" s="66">
        <f t="shared" ref="BV124:DA124" si="461">+BV122/$ED$100</f>
        <v>6.8409910616277249E-3</v>
      </c>
      <c r="BW124" s="66">
        <f t="shared" si="461"/>
        <v>6.1549317861063196E-3</v>
      </c>
      <c r="BX124" s="66">
        <f t="shared" si="461"/>
        <v>-9.6048298572996708E-4</v>
      </c>
      <c r="BY124" s="66">
        <f t="shared" si="461"/>
        <v>4.7632115414771832E-3</v>
      </c>
      <c r="BZ124" s="66">
        <f t="shared" si="461"/>
        <v>-1.3917202446291359E-3</v>
      </c>
      <c r="CA124" s="66">
        <f t="shared" si="461"/>
        <v>1.0976948408342481E-3</v>
      </c>
      <c r="CB124" s="66">
        <f t="shared" si="461"/>
        <v>7.6250588050807587E-3</v>
      </c>
      <c r="CC124" s="66">
        <f t="shared" si="461"/>
        <v>-1.1545397522345931E-2</v>
      </c>
      <c r="CD124" s="281">
        <f t="shared" si="461"/>
        <v>1.0526109455856986E-2</v>
      </c>
      <c r="CE124" s="281">
        <f t="shared" si="461"/>
        <v>9.3304061470911078E-3</v>
      </c>
      <c r="CF124" s="281">
        <f t="shared" si="461"/>
        <v>7.8210757409440182E-3</v>
      </c>
      <c r="CG124" s="281">
        <f t="shared" si="461"/>
        <v>7.2722283205268936E-3</v>
      </c>
      <c r="CH124" s="281">
        <f t="shared" si="461"/>
        <v>1.3113533009251999E-2</v>
      </c>
      <c r="CI124" s="281">
        <f t="shared" si="461"/>
        <v>2.3894464481731222E-2</v>
      </c>
      <c r="CJ124" s="281">
        <f t="shared" si="461"/>
        <v>2.9559353928179394E-2</v>
      </c>
      <c r="CK124" s="281">
        <f t="shared" si="461"/>
        <v>2.9794574251215306E-2</v>
      </c>
      <c r="CL124" s="281">
        <f t="shared" si="461"/>
        <v>2.9441743766661439E-2</v>
      </c>
      <c r="CM124" s="281">
        <f t="shared" si="461"/>
        <v>3.1499921593225656E-2</v>
      </c>
      <c r="CN124" s="281">
        <f t="shared" si="461"/>
        <v>3.2205582562333385E-2</v>
      </c>
      <c r="CO124" s="281">
        <f t="shared" si="461"/>
        <v>1.930766818253097E-2</v>
      </c>
      <c r="CP124" s="769">
        <f t="shared" si="461"/>
        <v>2.162066802571742E-2</v>
      </c>
      <c r="CQ124" s="281">
        <f t="shared" si="461"/>
        <v>2.0248549474674613E-2</v>
      </c>
      <c r="CR124" s="769">
        <f t="shared" si="461"/>
        <v>2.967696408969735E-2</v>
      </c>
      <c r="CS124" s="281">
        <f t="shared" si="461"/>
        <v>2.2620354398620042E-2</v>
      </c>
      <c r="CT124" s="281">
        <f t="shared" si="461"/>
        <v>3.0088599655010193E-2</v>
      </c>
      <c r="CU124" s="769">
        <f t="shared" si="461"/>
        <v>3.1519523286811978E-2</v>
      </c>
      <c r="CV124" s="769">
        <f t="shared" si="461"/>
        <v>2.2541947624274736E-2</v>
      </c>
      <c r="CW124" s="281">
        <f t="shared" si="461"/>
        <v>1.7857142857142856E-2</v>
      </c>
      <c r="CX124" s="769">
        <f t="shared" si="461"/>
        <v>3.0512215527032333E-2</v>
      </c>
      <c r="CY124" s="281">
        <f t="shared" si="461"/>
        <v>3.0631423889216296E-2</v>
      </c>
      <c r="CZ124" s="281">
        <f t="shared" si="461"/>
        <v>2.7818159715152928E-2</v>
      </c>
      <c r="DA124" s="281">
        <f t="shared" si="461"/>
        <v>2.836467747848595E-2</v>
      </c>
      <c r="DB124" s="66"/>
      <c r="DC124" s="66"/>
      <c r="DD124" s="119">
        <f t="shared" ref="DD124:DK124" si="462">+DD122/DD100</f>
        <v>0.11064746230134175</v>
      </c>
      <c r="DE124" s="119">
        <f t="shared" si="462"/>
        <v>0.19287587266593179</v>
      </c>
      <c r="DF124" s="119">
        <f t="shared" si="462"/>
        <v>0.16276419005102041</v>
      </c>
      <c r="DG124" s="119">
        <f t="shared" si="462"/>
        <v>0.14462553831457703</v>
      </c>
      <c r="DH124" s="119">
        <f t="shared" si="462"/>
        <v>0.10640148191478993</v>
      </c>
      <c r="DI124" s="119">
        <f t="shared" si="462"/>
        <v>5.9772300296469891E-2</v>
      </c>
      <c r="DJ124" s="119">
        <f t="shared" si="462"/>
        <v>1.6698003209665153E-2</v>
      </c>
      <c r="DK124" s="119">
        <f t="shared" si="462"/>
        <v>7.304296725017255E-2</v>
      </c>
      <c r="DL124" s="66">
        <f>+DL122/$DL$100</f>
        <v>0.10457357209331412</v>
      </c>
      <c r="DM124" s="66">
        <f>+DM122/$DM$100</f>
        <v>9.4364190241899223E-2</v>
      </c>
      <c r="DN124" s="66">
        <f>+DN122/$DN$100</f>
        <v>6.9195076745557735E-2</v>
      </c>
      <c r="DO124" s="66">
        <f>+DO122/$DO$100</f>
        <v>6.1467955905549106E-2</v>
      </c>
      <c r="DP124" s="66">
        <f>+DP122/$DP$100</f>
        <v>1.8721034405526932E-2</v>
      </c>
      <c r="DQ124" s="66">
        <f>+DQ122/$DQ$100</f>
        <v>-1.0888907568135041E-2</v>
      </c>
      <c r="DR124" s="66">
        <f>+DR122/$DR$100</f>
        <v>-2.3796338457196687E-2</v>
      </c>
      <c r="DS124" s="66">
        <f>+DS122/$DS$100</f>
        <v>-3.4776211166373895E-2</v>
      </c>
      <c r="DT124" s="66">
        <f>+DT122/$DT$100</f>
        <v>-4.9293259172322294E-2</v>
      </c>
      <c r="DU124" s="66">
        <f>+DU122/$DU$100</f>
        <v>-4.0103122314523058E-2</v>
      </c>
      <c r="DV124" s="66">
        <f>+DV122/$DV$100</f>
        <v>3.9845182318191077E-2</v>
      </c>
      <c r="DW124" s="66">
        <f>+DW122/$DW$100</f>
        <v>5.7959391973171001E-2</v>
      </c>
      <c r="DX124" s="66">
        <f>+DX122/$DX$100</f>
        <v>3.8284491701244816E-2</v>
      </c>
      <c r="DY124" s="66">
        <f>+DY122/$DY$100</f>
        <v>4.3830355652028717E-2</v>
      </c>
      <c r="DZ124" s="66">
        <f>+DZ122/$DZ$100</f>
        <v>-2.1612572770656872E-2</v>
      </c>
      <c r="EA124" s="66">
        <f>+EA122/$EA$100</f>
        <v>-1.6461179606797733E-2</v>
      </c>
      <c r="EB124" s="66">
        <f>+EB122/$EB$100</f>
        <v>-4.7893105807542162E-3</v>
      </c>
      <c r="EC124" s="66">
        <f>+EC122/$EC$100</f>
        <v>1.4063494589433482E-2</v>
      </c>
      <c r="ED124" s="66">
        <f>+ED122/$ED$100</f>
        <v>4.7632115414771832E-3</v>
      </c>
      <c r="EE124" s="66">
        <f>+EE122/EE100</f>
        <v>6.982017823042648E-3</v>
      </c>
      <c r="EF124" s="66">
        <f>+EF122/EF100</f>
        <v>-3.2734828289164184E-3</v>
      </c>
      <c r="EG124" s="66">
        <f>+EG122/$ED$100</f>
        <v>-1.1545397522345931E-2</v>
      </c>
      <c r="EH124" s="66">
        <f>+EH122/$ED$100</f>
        <v>7.2722283205268936E-3</v>
      </c>
      <c r="EI124" s="66">
        <f>+EI122/$ED$100</f>
        <v>2.9794574251215306E-2</v>
      </c>
      <c r="EJ124" s="66">
        <f t="shared" ref="EJ124:ER124" si="463">+EJ122/EJ100</f>
        <v>2.4919044727787897E-2</v>
      </c>
      <c r="EK124" s="281">
        <f t="shared" si="463"/>
        <v>2.9287110118518894E-2</v>
      </c>
      <c r="EL124" s="281">
        <f>+EL122/EL100</f>
        <v>2.1612773125192761E-2</v>
      </c>
      <c r="EM124" s="66">
        <f t="shared" si="463"/>
        <v>3.4197143758004755E-2</v>
      </c>
      <c r="EN124" s="66">
        <f t="shared" si="463"/>
        <v>3.3316068825265742E-2</v>
      </c>
      <c r="EO124" s="66">
        <f t="shared" si="463"/>
        <v>3.2845740169688241E-2</v>
      </c>
      <c r="EP124" s="66">
        <f t="shared" si="463"/>
        <v>3.2443754770587876E-2</v>
      </c>
      <c r="EQ124" s="66">
        <f t="shared" si="463"/>
        <v>3.186337833927208E-2</v>
      </c>
      <c r="ER124" s="66">
        <f t="shared" si="463"/>
        <v>3.1275338781087396E-2</v>
      </c>
      <c r="ES124" s="66">
        <f>+ES122/ES100</f>
        <v>3.0679714068637426E-2</v>
      </c>
      <c r="ET124" s="66">
        <f>+ET122/ET100</f>
        <v>3.007660495424596E-2</v>
      </c>
      <c r="EU124" s="66">
        <f>+EU122/EU100</f>
        <v>2.9466135776113858E-2</v>
      </c>
      <c r="EV124" s="281"/>
      <c r="EW124"/>
      <c r="EX124"/>
      <c r="EY124"/>
      <c r="EZ124"/>
      <c r="FA124"/>
      <c r="FB124"/>
      <c r="FG124" s="769"/>
      <c r="FH124" s="769"/>
      <c r="FI124" s="134"/>
      <c r="FJ124" s="134"/>
      <c r="FK124"/>
      <c r="FL124"/>
      <c r="FM124"/>
      <c r="FN124"/>
      <c r="FO124"/>
      <c r="FP124"/>
      <c r="FQ124"/>
      <c r="FR124"/>
      <c r="FS124"/>
      <c r="FT124"/>
      <c r="FU124"/>
      <c r="FV124"/>
      <c r="FW124"/>
      <c r="FX124"/>
      <c r="FY124"/>
      <c r="FZ124"/>
      <c r="GA124"/>
      <c r="GB124"/>
      <c r="GC124"/>
      <c r="GD124"/>
      <c r="GE124"/>
      <c r="GF124"/>
      <c r="GG124"/>
      <c r="GH124"/>
      <c r="GI124"/>
      <c r="GJ124"/>
      <c r="GK124"/>
      <c r="GL124"/>
      <c r="GM124"/>
      <c r="GN124"/>
      <c r="GO124"/>
      <c r="GP124"/>
      <c r="GQ124"/>
      <c r="GR124"/>
      <c r="GS124"/>
      <c r="GT124"/>
      <c r="GU124"/>
      <c r="GV124"/>
      <c r="GW124"/>
      <c r="GX124"/>
      <c r="GY124"/>
      <c r="GZ124"/>
      <c r="HA124"/>
      <c r="HB124"/>
      <c r="HC124"/>
      <c r="HD124"/>
      <c r="HE124"/>
      <c r="HF124"/>
      <c r="HG124"/>
      <c r="HH124"/>
      <c r="HI124"/>
      <c r="HJ124"/>
      <c r="HK124"/>
      <c r="HL124"/>
      <c r="HM124"/>
      <c r="HN124"/>
      <c r="HO124"/>
      <c r="HP124"/>
      <c r="HQ124"/>
      <c r="HR124"/>
      <c r="HS124"/>
      <c r="HT124"/>
      <c r="HU124"/>
      <c r="HV124"/>
      <c r="HW124"/>
      <c r="HX124"/>
      <c r="HY124"/>
      <c r="HZ124"/>
      <c r="IA124"/>
      <c r="IB124"/>
      <c r="IC124"/>
      <c r="ID124"/>
      <c r="IE124"/>
      <c r="IF124"/>
      <c r="IG124"/>
      <c r="IH124"/>
      <c r="II124"/>
      <c r="IJ124"/>
      <c r="IK124"/>
      <c r="IL124"/>
      <c r="IM124"/>
      <c r="IN124"/>
      <c r="IO124"/>
      <c r="IP124"/>
      <c r="IQ124"/>
      <c r="IR124"/>
      <c r="IS124"/>
      <c r="IT124"/>
      <c r="IU124"/>
      <c r="IV124"/>
      <c r="IW124"/>
      <c r="IX124"/>
      <c r="IY124"/>
      <c r="IZ124"/>
    </row>
    <row r="125" spans="1:260" s="15" customFormat="1" outlineLevel="1" x14ac:dyDescent="0.2">
      <c r="A125" s="117" t="s">
        <v>377</v>
      </c>
      <c r="F125" s="294">
        <f>(F105+E105+D105+C105)/AVERAGE('Balance Sheet'!F21,'Balance Sheet'!E21)</f>
        <v>4.5395928110425789E-2</v>
      </c>
      <c r="G125" s="294">
        <f>(G105+F105+E105+D105)/AVERAGE('Balance Sheet'!G21,'Balance Sheet'!F21)</f>
        <v>3.9049320299608628E-2</v>
      </c>
      <c r="H125" s="294">
        <f>(H105+G105+F105+E105)/AVERAGE('Balance Sheet'!H21,'Balance Sheet'!G21)</f>
        <v>3.1085122141685174E-2</v>
      </c>
      <c r="I125" s="294">
        <f>(I105+H105+G105+F105)/AVERAGE('Balance Sheet'!I21,'Balance Sheet'!H21)</f>
        <v>3.2790335779386996E-2</v>
      </c>
      <c r="J125" s="294">
        <f>(J105+I105+H105+G105)/AVERAGE('Balance Sheet'!J21,'Balance Sheet'!I21)</f>
        <v>3.7880480900388258E-2</v>
      </c>
      <c r="K125" s="294">
        <f>(K105+J105+I105+H105)/AVERAGE('Balance Sheet'!K21,'Balance Sheet'!J21)</f>
        <v>3.2472097317434605E-2</v>
      </c>
      <c r="L125" s="294">
        <f>(L105+K105+J105+I105)/AVERAGE('Balance Sheet'!L21,'Balance Sheet'!K21)</f>
        <v>2.4151355764119555E-2</v>
      </c>
      <c r="M125" s="294">
        <f>(M105+L105+K105+J105)/AVERAGE('Balance Sheet'!M21,'Balance Sheet'!L21)</f>
        <v>2.0645951740216991E-2</v>
      </c>
      <c r="N125" s="294">
        <f>(N105+M105+L105+K105)/AVERAGE('Balance Sheet'!N21,'Balance Sheet'!M21)</f>
        <v>2.2616420474383479E-2</v>
      </c>
      <c r="O125" s="294">
        <f>(O105+N105+M105+L105)/AVERAGE('Balance Sheet'!O21,'Balance Sheet'!N21)</f>
        <v>2.0692693223526373E-2</v>
      </c>
      <c r="P125" s="294">
        <f>(P105+O105+N105+M105)/AVERAGE('Balance Sheet'!P21,'Balance Sheet'!O21)</f>
        <v>5.6266082757904521E-3</v>
      </c>
      <c r="Q125" s="294">
        <f>(Q105+P105+O105+N105)/AVERAGE('Balance Sheet'!Q21,'Balance Sheet'!P21)</f>
        <v>8.1107027404238644E-4</v>
      </c>
      <c r="R125" s="294">
        <f>(R105+Q105+P105+O105)/AVERAGE('Balance Sheet'!R21,'Balance Sheet'!Q21)</f>
        <v>-7.5253517523069197E-4</v>
      </c>
      <c r="S125" s="294">
        <f>(S105+R105+Q105+P105)/AVERAGE('Balance Sheet'!S21,'Balance Sheet'!R21)</f>
        <v>8.8109483941043213E-4</v>
      </c>
      <c r="T125" s="294">
        <f>(T105+S105+R105+Q105)/AVERAGE('Balance Sheet'!T21,'Balance Sheet'!S21)</f>
        <v>1.8494066777875046E-2</v>
      </c>
      <c r="U125" s="294">
        <f>(U105+T105+S105+R105)/AVERAGE('Balance Sheet'!U21,'Balance Sheet'!T21)</f>
        <v>4.2479169876419212E-2</v>
      </c>
      <c r="V125" s="294">
        <f>(V105+U105+T105+S105)/AVERAGE('Balance Sheet'!V21,'Balance Sheet'!U21)</f>
        <v>5.4452671100627369E-2</v>
      </c>
      <c r="W125" s="294">
        <f>(W105+V105+U105+T105)/AVERAGE('Balance Sheet'!W21,'Balance Sheet'!V21)</f>
        <v>6.9132240864243924E-2</v>
      </c>
      <c r="X125" s="294">
        <f>(X105+W105+V105+U105)/AVERAGE('Balance Sheet'!X21,'Balance Sheet'!W21)</f>
        <v>6.7460983980568226E-2</v>
      </c>
      <c r="Y125" s="294">
        <f>(Y105+X105+W105+V105)/AVERAGE('Balance Sheet'!Y21,'Balance Sheet'!X21)</f>
        <v>8.0282701776722989E-2</v>
      </c>
      <c r="Z125" s="294">
        <f>(Z105+Y105+X105+W105)/AVERAGE('Balance Sheet'!Z21,'Balance Sheet'!Y21)</f>
        <v>0.10321120895128091</v>
      </c>
      <c r="AA125" s="294">
        <f>(AA105+Z105+Y105+X105)/AVERAGE('Balance Sheet'!AA21,'Balance Sheet'!Z21)</f>
        <v>0.10792618922321318</v>
      </c>
      <c r="AB125" s="294">
        <f>(AB105+AA105+Z105+Y105)/AVERAGE('Balance Sheet'!AB21,'Balance Sheet'!AA21)</f>
        <v>9.1555363155574374E-2</v>
      </c>
      <c r="AC125" s="294">
        <f>(AC105+AB105+AA105+Z105)/AVERAGE('Balance Sheet'!AC21,'Balance Sheet'!AB21)</f>
        <v>0.10257122570797184</v>
      </c>
      <c r="AD125" s="294">
        <f>(AD105+AC105+AB105+AA105)/AVERAGE('Balance Sheet'!AD21,'Balance Sheet'!AC21)</f>
        <v>0.11905327426154132</v>
      </c>
      <c r="AE125" s="294">
        <f>(AE105+AD105+AC105+AB105)/AVERAGE('Balance Sheet'!AE21,'Balance Sheet'!AD21)</f>
        <v>0.11328023171614768</v>
      </c>
      <c r="AF125" s="294">
        <f>(AF105+AE105+AD105+AC105)/AVERAGE('Balance Sheet'!AF21,'Balance Sheet'!AE21)</f>
        <v>8.7817232375978965E-2</v>
      </c>
      <c r="AG125" s="294">
        <f>(AG105+AF105+AE105+AD105)/AVERAGE('Balance Sheet'!AG21,'Balance Sheet'!AF21)</f>
        <v>8.2346497609644451E-2</v>
      </c>
      <c r="AH125" s="294">
        <f>(AH105+AG105+AF105+AE105)/AVERAGE('Balance Sheet'!AH21,'Balance Sheet'!AG21)</f>
        <v>7.8559643486371566E-2</v>
      </c>
      <c r="AI125" s="294">
        <f>(AI105+AH105+AG105+AF105)/AVERAGE('Balance Sheet'!AI21,'Balance Sheet'!AH21)</f>
        <v>7.497831558567275E-2</v>
      </c>
      <c r="AJ125" s="294">
        <f>(AJ105+AI105+AH105+AG105)/AVERAGE('Balance Sheet'!AJ21,'Balance Sheet'!AI21)</f>
        <v>6.3120621969055504E-2</v>
      </c>
      <c r="AK125" s="294">
        <f>(AK105+AJ105+AI105+AH105)/AVERAGE('Balance Sheet'!AK21,'Balance Sheet'!AJ21)</f>
        <v>7.6834939677832448E-2</v>
      </c>
      <c r="AL125" s="294">
        <f>(AL105+AK105+AJ105+AI105)/AVERAGE('Balance Sheet'!AL21,'Balance Sheet'!AK21)</f>
        <v>8.1247435371358229E-2</v>
      </c>
      <c r="AM125" s="294">
        <f>(AM105+AL105+AK105+AJ105)/AVERAGE('Balance Sheet'!AM21,'Balance Sheet'!AL21)</f>
        <v>8.3647485596415105E-2</v>
      </c>
      <c r="AN125" s="294">
        <f>(AN105+AM105+AL105+AK105)/AVERAGE('Balance Sheet'!AN21,'Balance Sheet'!AM21)</f>
        <v>7.643803886243726E-2</v>
      </c>
      <c r="AO125" s="294">
        <f>(AO105+AN105+AM105+AL105)/AVERAGE('Balance Sheet'!AO21,'Balance Sheet'!AN21)</f>
        <v>7.5705939629990268E-2</v>
      </c>
      <c r="AP125" s="294">
        <f>(AP105+AO105+AN105+AM105)/AVERAGE('Balance Sheet'!AP21,'Balance Sheet'!AO21)</f>
        <v>8.2463113925756254E-2</v>
      </c>
      <c r="AQ125" s="294">
        <f>(AQ105+AP105+AO105+AN105)/AVERAGE('Balance Sheet'!AQ21,'Balance Sheet'!AP21)</f>
        <v>9.0413445378151269E-2</v>
      </c>
      <c r="AR125" s="294">
        <f>(AR105+AQ105+AP105+AO105)/AVERAGE('Balance Sheet'!AR21,'Balance Sheet'!AQ21)</f>
        <v>7.9578770008424601E-2</v>
      </c>
      <c r="AS125" s="294">
        <f>(AS105+AR105+AQ105+AP105)/AVERAGE('Balance Sheet'!AS21,'Balance Sheet'!AR21)</f>
        <v>8.5361165981527959E-2</v>
      </c>
      <c r="AT125" s="294">
        <f>(AT105+AS105+AR105+AQ105)/AVERAGE('Balance Sheet'!AT21,'Balance Sheet'!AS21)</f>
        <v>9.8168352517149171E-2</v>
      </c>
      <c r="AU125" s="294">
        <f>(AU105+AT105+AS105+AR105)/AVERAGE('Balance Sheet'!AU21,'Balance Sheet'!AT21)</f>
        <v>9.9490054670233807E-2</v>
      </c>
      <c r="AV125" s="294">
        <f>(AV105+AU105+AT105+AS105)/AVERAGE('Balance Sheet'!AV21,'Balance Sheet'!AU21)</f>
        <v>8.697483469850982E-2</v>
      </c>
      <c r="AW125" s="294">
        <f>(AW105+AV105+AU105+AT105)/AVERAGE('Balance Sheet'!AW21,'Balance Sheet'!AV21)</f>
        <v>8.5263369227961308E-2</v>
      </c>
      <c r="AX125" s="294">
        <f>(AX105+AW105+AV105+AU105)/AVERAGE('Balance Sheet'!AX21,'Balance Sheet'!AW21)</f>
        <v>9.8095379586985595E-2</v>
      </c>
      <c r="AY125" s="294">
        <f>(AY105+AX105+AW105+AV105)/AVERAGE('Balance Sheet'!AY21,'Balance Sheet'!AX21)</f>
        <v>0.10199424546085921</v>
      </c>
      <c r="AZ125" s="294">
        <f>(AZ105+AY105+AX105+AW105)/AVERAGE('Balance Sheet'!AZ21,'Balance Sheet'!AY21)</f>
        <v>8.663461129313646E-2</v>
      </c>
      <c r="BA125" s="294">
        <f>(BA105+AZ105+AY105+AX105)/AVERAGE('Balance Sheet'!BA21,'Balance Sheet'!AZ21)</f>
        <v>9.0814944634748665E-2</v>
      </c>
      <c r="BB125" s="294">
        <f>(BB105+BA105+AZ105+AY105)/AVERAGE('Balance Sheet'!BB21,'Balance Sheet'!BA21)</f>
        <v>0.10409371892966758</v>
      </c>
      <c r="BC125" s="294">
        <f>(BC105+BB105+BA105+AZ105)/AVERAGE('Balance Sheet'!BC21,'Balance Sheet'!BB21)</f>
        <v>0.10525426592329785</v>
      </c>
      <c r="BD125" s="294">
        <f>(BD105+BC105+BB105+BA105)/AVERAGE('Balance Sheet'!BD21,'Balance Sheet'!BC21)</f>
        <v>9.0526391537437481E-2</v>
      </c>
      <c r="BE125" s="294">
        <f>(BE105+BD105+BC105+BB105)/AVERAGE('Balance Sheet'!BE21,'Balance Sheet'!BD21)</f>
        <v>9.5109821798590968E-2</v>
      </c>
      <c r="BF125" s="294">
        <f>(BF105+BE105+BD105+BC105)/AVERAGE('Balance Sheet'!BF21,'Balance Sheet'!BE21)</f>
        <v>9.9955076370170703E-2</v>
      </c>
      <c r="BG125" s="294">
        <f>(BG105+BF105+BE105+BD105)/AVERAGE('Balance Sheet'!BG21,'Balance Sheet'!BF21)</f>
        <v>0.10678119705268135</v>
      </c>
      <c r="BH125" s="294">
        <f>(BH105+BG105+BF105+BE105)/AVERAGE('Balance Sheet'!BH21,'Balance Sheet'!BG21)</f>
        <v>0.10342463281729278</v>
      </c>
      <c r="BI125" s="294">
        <f>(BI105+BH105+BG105+BF105)/AVERAGE('Balance Sheet'!BI21,'Balance Sheet'!BH21)</f>
        <v>9.9674128648342311E-2</v>
      </c>
      <c r="BJ125" s="294">
        <f>(BJ105+BI105+BH105+BG105)/AVERAGE('Balance Sheet'!BJ21,'Balance Sheet'!BI21)</f>
        <v>0.10727615529647158</v>
      </c>
      <c r="BK125" s="294">
        <f>(BK105+BJ105+BI105+BH105)/AVERAGE('Balance Sheet'!BK21,'Balance Sheet'!BJ21)</f>
        <v>8.7536175332487892E-2</v>
      </c>
      <c r="BL125" s="294">
        <f>(BL105+BK105+BJ105+BI105)/AVERAGE('Balance Sheet'!BL21,'Balance Sheet'!BK21)</f>
        <v>6.7122533993554973E-2</v>
      </c>
      <c r="BM125" s="294">
        <f>(BM105+BL105+BK105+BJ105)/AVERAGE('Balance Sheet'!BM21,'Balance Sheet'!BL21)</f>
        <v>6.8982535025909578E-2</v>
      </c>
      <c r="BN125" s="294">
        <f>(BN105+BM105+BL105+BK105)/AVERAGE('Balance Sheet'!BN21,'Balance Sheet'!BM21)</f>
        <v>8.0149812734082393E-2</v>
      </c>
      <c r="BO125" s="294">
        <f>(BO105+BN105+BM105+BL105)/AVERAGE('Balance Sheet'!BO21,'Balance Sheet'!BN21)</f>
        <v>7.4240383176171237E-2</v>
      </c>
      <c r="BP125" s="294">
        <f>(BP105+BO105+BN105+BM105)/AVERAGE('Balance Sheet'!BP21,'Balance Sheet'!BO21)</f>
        <v>6.810999973884202E-2</v>
      </c>
      <c r="BQ125" s="294">
        <f>(BQ105+BP105+BO105+BN105)/AVERAGE('Balance Sheet'!BQ21,'Balance Sheet'!BP21)</f>
        <v>6.9488858433582046E-2</v>
      </c>
      <c r="BR125" s="294">
        <f>(BR105+BQ105+BP105+BO105)/AVERAGE('Balance Sheet'!BR21,'Balance Sheet'!BQ21)</f>
        <v>7.2756357217717463E-2</v>
      </c>
      <c r="BS125" s="294">
        <f>(BS105+BR105+BQ105+BP105)/AVERAGE('Balance Sheet'!BS21,'Balance Sheet'!BR21)</f>
        <v>8.0129112633784472E-2</v>
      </c>
      <c r="BT125" s="294">
        <f>(BT105+BS105+BR105+BQ105)/AVERAGE('Balance Sheet'!BT21,'Balance Sheet'!BS21)</f>
        <v>7.0755904718738979E-2</v>
      </c>
      <c r="BU125" s="294">
        <f>(BU105+BT105+BS105+BR105)/AVERAGE('Balance Sheet'!BU21,'Balance Sheet'!BT21)</f>
        <v>7.4575259321907408E-2</v>
      </c>
      <c r="BV125" s="294">
        <f>(BV105+BU105+BT105+BS105)/AVERAGE('Balance Sheet'!BV21,'Balance Sheet'!BU21)</f>
        <v>8.1156563167405951E-2</v>
      </c>
      <c r="BW125" s="294">
        <f>(BW105+BV105+BU105+BT105)/AVERAGE('Balance Sheet'!BW21,'Balance Sheet'!BV21)</f>
        <v>7.503599808010239E-2</v>
      </c>
      <c r="BX125" s="294">
        <f>(BX105+BW105+BV105+BU105)/AVERAGE('Balance Sheet'!BX21,'Balance Sheet'!BW21)</f>
        <v>6.5516992568006346E-2</v>
      </c>
      <c r="BY125" s="294">
        <f>(BY105+BX105+BW105+BV105)/AVERAGE('Balance Sheet'!BY21,'Balance Sheet'!BX21)</f>
        <v>7.0188114468557272E-2</v>
      </c>
      <c r="BZ125" s="294">
        <f>(BZ105+BY105+BX105+BW105)/AVERAGE('Balance Sheet'!BZ21,'Balance Sheet'!BY21)</f>
        <v>9.1704147926036983E-2</v>
      </c>
      <c r="CA125" s="294">
        <f>(CA105+BZ105+BY105+BX105)/AVERAGE('Balance Sheet'!CA21,'Balance Sheet'!BZ21)</f>
        <v>8.5185185185185183E-2</v>
      </c>
      <c r="CB125" s="294">
        <f>(CB105+CA105+BZ105+BY105)/AVERAGE('Balance Sheet'!CB21,'Balance Sheet'!CA21)</f>
        <v>7.1546175722197278E-2</v>
      </c>
      <c r="CC125" s="294">
        <f>(CC105+CB105+CA105+BZ105)/AVERAGE('Balance Sheet'!CC21,'Balance Sheet'!CB21)</f>
        <v>5.1131234895029555E-2</v>
      </c>
      <c r="CD125" s="300">
        <f>(CD105+CC105+CB105+CA105)/AVERAGE('Balance Sheet'!CD21,'Balance Sheet'!CC21)</f>
        <v>4.8653512436531911E-2</v>
      </c>
      <c r="CE125" s="300">
        <f>(CE105+CD105+CC105+CB105)/AVERAGE('Balance Sheet'!CE21,'Balance Sheet'!CD21)</f>
        <v>5.7432554770957815E-2</v>
      </c>
      <c r="CF125" s="300">
        <f>(CF105+CE105+CD105+CC105)/AVERAGE('Balance Sheet'!CF21,'Balance Sheet'!CE21)</f>
        <v>6.0031038374717835E-2</v>
      </c>
      <c r="CG125" s="300">
        <f>(CG105+CF105+CE105+CD105)/AVERAGE('Balance Sheet'!CG21,'Balance Sheet'!CF21)</f>
        <v>4.958564010866201E-2</v>
      </c>
      <c r="CH125" s="300">
        <f>(CH105+CG105+CF105+CE105)/AVERAGE('Balance Sheet'!CH21,'Balance Sheet'!CG21)</f>
        <v>5.1496920212004013E-2</v>
      </c>
      <c r="CI125" s="300">
        <f>(CI105+CH105+CG105+CF105)/AVERAGE('Balance Sheet'!CI21,'Balance Sheet'!CH21)</f>
        <v>5.3998584571832979E-2</v>
      </c>
      <c r="CJ125" s="300">
        <f>(CJ105+CI105+CH105+CG105)/AVERAGE('Balance Sheet'!CJ21,'Balance Sheet'!CI21)</f>
        <v>5.4199461990634655E-2</v>
      </c>
      <c r="CK125" s="300">
        <f>(CK105+CJ105+CI105+CH105)/AVERAGE('Balance Sheet'!CK21,'Balance Sheet'!CJ21)</f>
        <v>5.9191437229995487E-2</v>
      </c>
      <c r="CL125" s="300">
        <f>(CL105+CK105+CJ105+CI105)/AVERAGE('Balance Sheet'!CL21,'Balance Sheet'!CK21)</f>
        <v>6.3433994823123382E-2</v>
      </c>
      <c r="CM125" s="300">
        <f>(CM105+CL105+CK105+CJ105)/AVERAGE('Balance Sheet'!CM21,'Balance Sheet'!CL21)</f>
        <v>6.8609125893348E-2</v>
      </c>
      <c r="CN125" s="300">
        <f>(CN105+CM105+CL105+CK105)/AVERAGE('Balance Sheet'!CN21,'Balance Sheet'!CM21)</f>
        <v>6.6316412094220803E-2</v>
      </c>
      <c r="CO125" s="300">
        <f>(CO105+CN105+CM105+CL105)/AVERAGE('Balance Sheet'!CO21,'Balance Sheet'!CN21)</f>
        <v>6.5170418902906535E-2</v>
      </c>
      <c r="CP125" s="1346">
        <f>(CP105+CO105+CN105+CM105)/AVERAGE('Balance Sheet'!CP21,'Balance Sheet'!CO21)</f>
        <v>7.2066616199848596E-2</v>
      </c>
      <c r="CQ125" s="300">
        <f>(CQ105+CP105+CO105+CN105)/AVERAGE('Balance Sheet'!CQ21,'Balance Sheet'!CP21)</f>
        <v>7.4173198241254068E-2</v>
      </c>
      <c r="CR125" s="1346">
        <f>(CR105+CQ105+CP105+CO105)/AVERAGE('Balance Sheet'!CR21,'Balance Sheet'!CQ21)</f>
        <v>7.3751618937976687E-2</v>
      </c>
      <c r="CS125" s="300">
        <f>(CS105+CR105+CQ105+CP105)/AVERAGE('Balance Sheet'!CS21,'Balance Sheet'!CR21)</f>
        <v>7.9723924220015494E-2</v>
      </c>
      <c r="CT125" s="300">
        <f>(CT105+CS105+CR105+CQ105)/AVERAGE('Balance Sheet'!CT21,'Balance Sheet'!CS21)</f>
        <v>8.7948976166498827E-2</v>
      </c>
      <c r="CU125" s="1346">
        <f>(CU105+CT105+CS105+CR105)/AVERAGE('Balance Sheet'!CU21,'Balance Sheet'!CT21)</f>
        <v>9.1670139020417443E-2</v>
      </c>
      <c r="CV125" s="1346">
        <f>(CV105+CU105+CT105+CS105)/AVERAGE('Balance Sheet'!CV21,'Balance Sheet'!CU21)</f>
        <v>8.8844804987778525E-2</v>
      </c>
      <c r="CW125" s="300">
        <f>(CW105+CV105+CU105+CT105)/AVERAGE('Balance Sheet'!CW21,'Balance Sheet'!CV21)</f>
        <v>9.7506646547388082E-2</v>
      </c>
      <c r="CX125" s="1346">
        <f>(CX105+CW105+CV105+CU105)/AVERAGE('Balance Sheet'!CX21,'Balance Sheet'!CW21)</f>
        <v>0.10953441722988022</v>
      </c>
      <c r="CY125" s="300">
        <f>(CY105+CX105+CW105+CV105)/AVERAGE('Balance Sheet'!CY21,'Balance Sheet'!CX21)</f>
        <v>0.11334460312571976</v>
      </c>
      <c r="CZ125" s="300">
        <f>(CZ105+CY105+CX105+CW105)/AVERAGE('Balance Sheet'!CZ21,'Balance Sheet'!CY21)</f>
        <v>0.10726319561223178</v>
      </c>
      <c r="DA125" s="300">
        <f>(DA105+CZ105+CY105+CX105)/AVERAGE('Balance Sheet'!DA21,'Balance Sheet'!CZ21)</f>
        <v>0.10685425741041392</v>
      </c>
      <c r="DB125" s="294"/>
      <c r="DC125" s="294"/>
      <c r="DD125" s="15">
        <f t="shared" ref="DD125:DI125" si="464">+DD105/AVERAGE(DD21)</f>
        <v>0.12740887698765965</v>
      </c>
      <c r="DE125" s="15">
        <f t="shared" si="464"/>
        <v>8.4471147588153536E-2</v>
      </c>
      <c r="DF125" s="15">
        <f t="shared" si="464"/>
        <v>1.97301568555312E-2</v>
      </c>
      <c r="DG125" s="15">
        <f t="shared" si="464"/>
        <v>1.4720679027672968E-2</v>
      </c>
      <c r="DH125" s="15">
        <f t="shared" si="464"/>
        <v>3.6246632213975963E-2</v>
      </c>
      <c r="DI125" s="15">
        <f t="shared" si="464"/>
        <v>2.4470699840454885E-2</v>
      </c>
      <c r="DJ125" s="15">
        <f>+DJ105/AVERAGE(DJ21,DI21)</f>
        <v>3.6732944871888114E-2</v>
      </c>
      <c r="DK125" s="15">
        <f>+DK105/AVERAGE(DK21,DJ21)</f>
        <v>5.114895151733756E-2</v>
      </c>
      <c r="DM125" s="294">
        <f>DM105/AVERAGE('Balance Sheet'!DM21,'Balance Sheet'!DL21)</f>
        <v>4.6869860738594074E-2</v>
      </c>
      <c r="DN125" s="294">
        <f>DN105/AVERAGE('Balance Sheet'!DN21,'Balance Sheet'!DM21)</f>
        <v>2.8247561696631417E-2</v>
      </c>
      <c r="DO125" s="294">
        <f>DO105/AVERAGE('Balance Sheet'!DO21,'Balance Sheet'!DN21)</f>
        <v>9.6437681424047731E-4</v>
      </c>
      <c r="DP125" s="294">
        <f>DP105/AVERAGE('Balance Sheet'!DP21,'Balance Sheet'!DO21)</f>
        <v>4.9824133203434699E-2</v>
      </c>
      <c r="DQ125" s="294">
        <f>DQ105/AVERAGE('Balance Sheet'!DQ21,'Balance Sheet'!DP21)</f>
        <v>9.467700656556341E-2</v>
      </c>
      <c r="DR125" s="294">
        <f>DR105/AVERAGE('Balance Sheet'!DR21,'Balance Sheet'!DQ21)</f>
        <v>0.12602774048242191</v>
      </c>
      <c r="DS125" s="294">
        <f>DS105/AVERAGE('Balance Sheet'!DS21,'Balance Sheet'!DR21)</f>
        <v>0.10112360124165597</v>
      </c>
      <c r="DT125" s="294">
        <f>DT105/AVERAGE('Balance Sheet'!DT21,'Balance Sheet'!DS21)</f>
        <v>9.3389039075940039E-2</v>
      </c>
      <c r="DU125" s="294">
        <f>DU105/AVERAGE('Balance Sheet'!DU21,'Balance Sheet'!DT21)</f>
        <v>8.2597437089170708E-2</v>
      </c>
      <c r="DV125" s="294">
        <f>DV105/AVERAGE('Balance Sheet'!DV21,'Balance Sheet'!DU21)</f>
        <v>9.7815979444512424E-2</v>
      </c>
      <c r="DW125" s="294">
        <f>DW105/AVERAGE('Balance Sheet'!DW21,'Balance Sheet'!DV21)</f>
        <v>9.8629367676554419E-2</v>
      </c>
      <c r="DX125" s="294">
        <f>DX105/AVERAGE('Balance Sheet'!DX21,'Balance Sheet'!DW21)</f>
        <v>0.10289737340915245</v>
      </c>
      <c r="DY125" s="294">
        <f>DY105/AVERAGE('Balance Sheet'!DY21,'Balance Sheet'!DX21)</f>
        <v>0.10828025477707007</v>
      </c>
      <c r="DZ125" s="294">
        <f>DZ105/AVERAGE('Balance Sheet'!DZ21,'Balance Sheet'!DY21)</f>
        <v>0.1068824065633546</v>
      </c>
      <c r="EA125" s="294">
        <f>EA105/AVERAGE('Balance Sheet'!EA21,'Balance Sheet'!DZ21)</f>
        <v>8.8021270640917998E-2</v>
      </c>
      <c r="EB125" s="294">
        <f>EB105/AVERAGE('Balance Sheet'!EB21,'Balance Sheet'!EA21)</f>
        <v>8.0227379278012184E-2</v>
      </c>
      <c r="EC125" s="294">
        <f>EC105/AVERAGE('Balance Sheet'!EC21,'Balance Sheet'!EB21)</f>
        <v>8.2929932781942411E-2</v>
      </c>
      <c r="ED125" s="294">
        <f>ED105/AVERAGE('Balance Sheet'!ED21,'Balance Sheet'!EC21)</f>
        <v>8.0345010929284574E-2</v>
      </c>
      <c r="EE125" s="294">
        <f>EE105/AVERAGE('Balance Sheet'!EE21,'Balance Sheet'!ED21)</f>
        <v>8.4787465708871856E-2</v>
      </c>
      <c r="EF125" s="15">
        <f>+EF105/AVERAGE(EF21,EE21)</f>
        <v>7.4175074993182433E-2</v>
      </c>
      <c r="EG125" s="294">
        <f>EG105/AVERAGE('Balance Sheet'!EG21,'Balance Sheet'!ED21)</f>
        <v>5.3549646255184193E-2</v>
      </c>
      <c r="EH125" s="294">
        <f>EH105/AVERAGE('Balance Sheet'!EH21,'Balance Sheet'!EG21)</f>
        <v>4.6818181818181821E-2</v>
      </c>
      <c r="EI125" s="294">
        <f>EI105/AVERAGE('Balance Sheet'!EI21,'Balance Sheet'!EH21)</f>
        <v>6.272848406163517E-2</v>
      </c>
      <c r="EJ125" s="294">
        <f>+EJ105/AVERAGE(EJ21,EI21)</f>
        <v>6.498696785403997E-2</v>
      </c>
      <c r="EK125" s="77">
        <f t="shared" ref="EK125:EP125" si="465">+EK105/AVERAGE(EK21,EJ21)</f>
        <v>8.2703196347031965E-2</v>
      </c>
      <c r="EL125" s="77">
        <f t="shared" si="465"/>
        <v>0.10087344359784427</v>
      </c>
      <c r="EM125" s="15">
        <f t="shared" si="465"/>
        <v>0.11139335444092288</v>
      </c>
      <c r="EN125" s="15">
        <f t="shared" si="465"/>
        <v>0.11635637525467901</v>
      </c>
      <c r="EO125" s="15">
        <f t="shared" si="465"/>
        <v>0.11901278015997052</v>
      </c>
      <c r="EP125" s="15">
        <f t="shared" si="465"/>
        <v>0.11654900615439064</v>
      </c>
      <c r="EQ125" s="15">
        <f>+EQ105/AVERAGE(EQ21,EP21)</f>
        <v>0.11556299578438882</v>
      </c>
      <c r="ER125" s="15">
        <f>+ER105/AVERAGE(ER21,EQ21)</f>
        <v>0.11706691618638115</v>
      </c>
      <c r="ES125" s="15">
        <f>+ES105/AVERAGE(ES21,ER21)</f>
        <v>0.1156812730086629</v>
      </c>
      <c r="ET125" s="15">
        <f>+ET105/AVERAGE(ET21,ES21)</f>
        <v>0.11472409040068995</v>
      </c>
      <c r="EU125" s="15">
        <f>+EU105/AVERAGE(EU21,ET21)</f>
        <v>0.1173635962483862</v>
      </c>
      <c r="EV125" s="300"/>
      <c r="EW125"/>
      <c r="EX125"/>
      <c r="EY125"/>
      <c r="EZ125"/>
      <c r="FA125"/>
      <c r="FB125"/>
      <c r="FC125" s="4"/>
      <c r="FD125" s="4"/>
      <c r="FE125" s="4"/>
      <c r="FF125" s="4"/>
      <c r="FG125" s="70"/>
      <c r="FH125" s="70"/>
      <c r="FI125" s="134"/>
      <c r="FJ125" s="134"/>
      <c r="FK125"/>
      <c r="FL125"/>
      <c r="FM125"/>
      <c r="FN125"/>
      <c r="FO125"/>
      <c r="FP125"/>
      <c r="FQ125"/>
      <c r="FR125"/>
      <c r="FS125"/>
      <c r="FT125"/>
      <c r="FU125"/>
      <c r="FV125"/>
      <c r="FW125"/>
      <c r="FX125"/>
      <c r="FY125"/>
      <c r="FZ125"/>
      <c r="GA125"/>
      <c r="GB125"/>
      <c r="GC125"/>
      <c r="GD125"/>
      <c r="GE125"/>
      <c r="GF125"/>
      <c r="GG125"/>
      <c r="GH125"/>
      <c r="GI125"/>
      <c r="GJ125"/>
      <c r="GK125"/>
      <c r="GL125"/>
      <c r="GM125"/>
      <c r="GN125"/>
      <c r="GO125"/>
      <c r="GP125"/>
      <c r="GQ125"/>
      <c r="GR125"/>
      <c r="GS125"/>
      <c r="GT125"/>
      <c r="GU125"/>
      <c r="GV125"/>
      <c r="GW125"/>
      <c r="GX125"/>
      <c r="GY125"/>
      <c r="GZ125"/>
      <c r="HA125"/>
      <c r="HB125"/>
      <c r="HC125"/>
      <c r="HD125"/>
      <c r="HE125"/>
      <c r="HF125"/>
      <c r="HG125"/>
      <c r="HH125"/>
      <c r="HI125"/>
      <c r="HJ125"/>
      <c r="HK125"/>
      <c r="HL125"/>
      <c r="HM125"/>
      <c r="HN125"/>
      <c r="HO125"/>
      <c r="HP125"/>
      <c r="HQ125"/>
      <c r="HR125"/>
      <c r="HS125"/>
      <c r="HT125"/>
      <c r="HU125"/>
      <c r="HV125"/>
      <c r="HW125"/>
      <c r="HX125"/>
      <c r="HY125"/>
      <c r="HZ125"/>
      <c r="IA125"/>
      <c r="IB125"/>
      <c r="IC125"/>
      <c r="ID125"/>
      <c r="IE125"/>
      <c r="IF125"/>
      <c r="IG125"/>
      <c r="IH125"/>
      <c r="II125"/>
      <c r="IJ125"/>
      <c r="IK125"/>
      <c r="IL125"/>
      <c r="IM125"/>
      <c r="IN125"/>
      <c r="IO125"/>
      <c r="IP125"/>
      <c r="IQ125"/>
      <c r="IR125"/>
      <c r="IS125"/>
      <c r="IT125"/>
      <c r="IU125"/>
      <c r="IV125"/>
      <c r="IW125"/>
      <c r="IX125"/>
      <c r="IY125"/>
      <c r="IZ125"/>
    </row>
    <row r="126" spans="1:260" s="15" customFormat="1" outlineLevel="1" x14ac:dyDescent="0.2">
      <c r="A126" s="299" t="s">
        <v>116</v>
      </c>
      <c r="F126" s="294">
        <f>(F105+E105+D105+C105)/AVERAGE('Balance Sheet'!F42,'Balance Sheet'!E42)</f>
        <v>0.14124406051636351</v>
      </c>
      <c r="G126" s="294">
        <f>(G105+F105+E105+D105)/AVERAGE('Balance Sheet'!G42,'Balance Sheet'!F42)</f>
        <v>0.13771609673694876</v>
      </c>
      <c r="H126" s="294">
        <f>(H105+G105+F105+E105)/AVERAGE('Balance Sheet'!H42,'Balance Sheet'!G42)</f>
        <v>0.15105701682247435</v>
      </c>
      <c r="I126" s="294">
        <f>(I105+H105+G105+F105)/AVERAGE('Balance Sheet'!I42,'Balance Sheet'!H42)</f>
        <v>0.15937302567094358</v>
      </c>
      <c r="J126" s="294">
        <f>(J105+I105+H105+G105)/AVERAGE('Balance Sheet'!J42,'Balance Sheet'!I42)</f>
        <v>0.15247037195101984</v>
      </c>
      <c r="K126" s="294">
        <f>(K105+J105+I105+H105)/AVERAGE('Balance Sheet'!K42,'Balance Sheet'!J42)</f>
        <v>0.14444437301102656</v>
      </c>
      <c r="L126" s="294">
        <f>(L105+K105+J105+I105)/AVERAGE('Balance Sheet'!L42,'Balance Sheet'!K42)</f>
        <v>0.14014974146433878</v>
      </c>
      <c r="M126" s="294">
        <f>(M105+L105+K105+J105)/AVERAGE('Balance Sheet'!M42,'Balance Sheet'!L42)</f>
        <v>0.11395789503678198</v>
      </c>
      <c r="N126" s="294">
        <f>(N105+M105+L105+K105)/AVERAGE('Balance Sheet'!N42,'Balance Sheet'!M42)</f>
        <v>0.10100145075902271</v>
      </c>
      <c r="O126" s="294">
        <f>(O105+N105+M105+L105)/AVERAGE('Balance Sheet'!O42,'Balance Sheet'!N42)</f>
        <v>9.5637660615483205E-2</v>
      </c>
      <c r="P126" s="294">
        <f>(P105+O105+N105+M105)/AVERAGE('Balance Sheet'!P42,'Balance Sheet'!O42)</f>
        <v>3.002474655480129E-2</v>
      </c>
      <c r="Q126" s="294">
        <f>(Q105+P105+O105+N105)/AVERAGE('Balance Sheet'!Q42,'Balance Sheet'!P42)</f>
        <v>4.0276497695849039E-3</v>
      </c>
      <c r="R126" s="294">
        <f>(R105+Q105+P105+O105)/AVERAGE('Balance Sheet'!R42,'Balance Sheet'!Q42)</f>
        <v>-2.9599136615952779E-3</v>
      </c>
      <c r="S126" s="294">
        <f>(S105+R105+Q105+P105)/AVERAGE('Balance Sheet'!S42,'Balance Sheet'!R42)</f>
        <v>3.5177522465126578E-3</v>
      </c>
      <c r="T126" s="294">
        <f>(T105+S105+R105+Q105)/AVERAGE('Balance Sheet'!T42,'Balance Sheet'!S42)</f>
        <v>8.4479718769834136E-2</v>
      </c>
      <c r="U126" s="294">
        <f>(U105+T105+S105+R105)/AVERAGE('Balance Sheet'!U42,'Balance Sheet'!T42)</f>
        <v>0.18290866478785872</v>
      </c>
      <c r="V126" s="294">
        <f>(V105+U105+T105+S105)/AVERAGE('Balance Sheet'!V42,'Balance Sheet'!U42)</f>
        <v>0.16010446710886356</v>
      </c>
      <c r="W126" s="294">
        <f>(W105+V105+U105+T105)/AVERAGE('Balance Sheet'!W42,'Balance Sheet'!V42)</f>
        <v>0.17224937474942228</v>
      </c>
      <c r="X126" s="294">
        <f>(X105+W105+V105+U105)/AVERAGE('Balance Sheet'!X42,'Balance Sheet'!W42)</f>
        <v>0.19508502358638133</v>
      </c>
      <c r="Y126" s="294">
        <f>(Y105+X105+W105+V105)/AVERAGE('Balance Sheet'!Y42,'Balance Sheet'!X42)</f>
        <v>0.22104022234633908</v>
      </c>
      <c r="Z126" s="294">
        <f>(Z105+Y105+X105+W105)/AVERAGE('Balance Sheet'!Z42,'Balance Sheet'!Y42)</f>
        <v>0.23277753757229236</v>
      </c>
      <c r="AA126" s="294">
        <f>(AA105+Z105+Y105+X105)/AVERAGE('Balance Sheet'!AA42,'Balance Sheet'!Z42)</f>
        <v>0.23698326246845705</v>
      </c>
      <c r="AB126" s="294">
        <f>(AB105+AA105+Z105+Y105)/AVERAGE('Balance Sheet'!AB42,'Balance Sheet'!AA42)</f>
        <v>0.25129823338732371</v>
      </c>
      <c r="AC126" s="294">
        <f>(AC105+AB105+AA105+Z105)/AVERAGE('Balance Sheet'!AC42,'Balance Sheet'!AB42)</f>
        <v>0.30790809333322688</v>
      </c>
      <c r="AD126" s="294">
        <f>(AD105+AC105+AB105+AA105)/AVERAGE('Balance Sheet'!AD42,'Balance Sheet'!AC42)</f>
        <v>0.29175181209446971</v>
      </c>
      <c r="AE126" s="294">
        <f>(AE105+AD105+AC105+AB105)/AVERAGE('Balance Sheet'!AE42,'Balance Sheet'!AD42)</f>
        <v>0.25892088712346895</v>
      </c>
      <c r="AF126" s="294">
        <f>(AF105+AE105+AD105+AC105)/AVERAGE('Balance Sheet'!AF42,'Balance Sheet'!AE42)</f>
        <v>0.23195862068965478</v>
      </c>
      <c r="AG126" s="294">
        <f>(AG105+AF105+AE105+AD105)/AVERAGE('Balance Sheet'!AG42,'Balance Sheet'!AF42)</f>
        <v>0.22979640371229668</v>
      </c>
      <c r="AH126" s="294">
        <f>(AH105+AG105+AF105+AE105)/AVERAGE('Balance Sheet'!AH42,'Balance Sheet'!AG42)</f>
        <v>0.20219311816484375</v>
      </c>
      <c r="AI126" s="294">
        <f>(AI105+AH105+AG105+AF105)/AVERAGE('Balance Sheet'!AI42,'Balance Sheet'!AH42)</f>
        <v>0.19529147755925352</v>
      </c>
      <c r="AJ126" s="294">
        <f>(AJ105+AI105+AH105+AG105)/AVERAGE('Balance Sheet'!AJ42,'Balance Sheet'!AI42)</f>
        <v>0.19607843137254904</v>
      </c>
      <c r="AK126" s="294">
        <f>(AK105+AJ105+AI105+AH105)/AVERAGE('Balance Sheet'!AK42,'Balance Sheet'!AJ42)</f>
        <v>0.24442538593481991</v>
      </c>
      <c r="AL126" s="294">
        <f>(AL105+AK105+AJ105+AI105)/AVERAGE('Balance Sheet'!AL42,'Balance Sheet'!AK42)</f>
        <v>0.22872545244512898</v>
      </c>
      <c r="AM126" s="294">
        <f>(AM105+AL105+AK105+AJ105)/AVERAGE('Balance Sheet'!AM42,'Balance Sheet'!AL42)</f>
        <v>0.23524704940988198</v>
      </c>
      <c r="AN126" s="294">
        <f>(AN105+AM105+AL105+AK105)/AVERAGE('Balance Sheet'!AN42,'Balance Sheet'!AM42)</f>
        <v>0.25196182396606576</v>
      </c>
      <c r="AO126" s="294">
        <f>(AO105+AN105+AM105+AL105)/AVERAGE('Balance Sheet'!AO42,'Balance Sheet'!AN42)</f>
        <v>0.24301621410431726</v>
      </c>
      <c r="AP126" s="294">
        <f>(AP105+AO105+AN105+AM105)/AVERAGE('Balance Sheet'!AP42,'Balance Sheet'!AO42)</f>
        <v>0.22282905516111415</v>
      </c>
      <c r="AQ126" s="294">
        <f>(AQ105+AP105+AO105+AN105)/AVERAGE('Balance Sheet'!AQ42,'Balance Sheet'!AP42)</f>
        <v>0.23607161664033705</v>
      </c>
      <c r="AR126" s="294">
        <f>(AR105+AQ105+AP105+AO105)/AVERAGE('Balance Sheet'!AR42,'Balance Sheet'!AQ42)</f>
        <v>0.23809443790959503</v>
      </c>
      <c r="AS126" s="294">
        <f>(AS105+AR105+AQ105+AP105)/AVERAGE('Balance Sheet'!AS42,'Balance Sheet'!AR42)</f>
        <v>0.24831495573846871</v>
      </c>
      <c r="AT126" s="294">
        <f>(AT105+AS105+AR105+AQ105)/AVERAGE('Balance Sheet'!AT42,'Balance Sheet'!AS42)</f>
        <v>0.24452534028381118</v>
      </c>
      <c r="AU126" s="294">
        <f>(AU105+AT105+AS105+AR105)/AVERAGE('Balance Sheet'!AU42,'Balance Sheet'!AT42)</f>
        <v>0.24144417784050812</v>
      </c>
      <c r="AV126" s="294">
        <f>(AV105+AU105+AT105+AS105)/AVERAGE('Balance Sheet'!AV42,'Balance Sheet'!AU42)</f>
        <v>0.23312154476921043</v>
      </c>
      <c r="AW126" s="294">
        <f>(AW105+AV105+AU105+AT105)/AVERAGE('Balance Sheet'!AW42,'Balance Sheet'!AV42)</f>
        <v>0.22221809965513142</v>
      </c>
      <c r="AX126" s="294">
        <f>(AX105+AW105+AV105+AU105)/AVERAGE('Balance Sheet'!AX42,'Balance Sheet'!AW42)</f>
        <v>0.22306756756756757</v>
      </c>
      <c r="AY126" s="294">
        <f>(AY105+AX105+AW105+AV105)/AVERAGE('Balance Sheet'!AY42,'Balance Sheet'!AX42)</f>
        <v>0.22217419494272747</v>
      </c>
      <c r="AZ126" s="294">
        <f>(AZ105+AY105+AX105+AW105)/AVERAGE('Balance Sheet'!AZ42,'Balance Sheet'!AY42)</f>
        <v>0.21035230912284328</v>
      </c>
      <c r="BA126" s="294">
        <f>(BA105+AZ105+AY105+AX105)/AVERAGE('Balance Sheet'!BA42,'Balance Sheet'!AZ42)</f>
        <v>0.22545238801542569</v>
      </c>
      <c r="BB126" s="294">
        <f>(BB105+BA105+AZ105+AY105)/AVERAGE('Balance Sheet'!BB42,'Balance Sheet'!BA42)</f>
        <v>0.22576411025689105</v>
      </c>
      <c r="BC126" s="294">
        <f>(BC105+BB105+BA105+AZ105)/AVERAGE('Balance Sheet'!BC42,'Balance Sheet'!BB42)</f>
        <v>0.22982569399612654</v>
      </c>
      <c r="BD126" s="294">
        <f>(BD105+BC105+BB105+BA105)/AVERAGE('Balance Sheet'!BD42,'Balance Sheet'!BC42)</f>
        <v>0.22798115259151866</v>
      </c>
      <c r="BE126" s="294">
        <f>(BE105+BD105+BC105+BB105)/AVERAGE('Balance Sheet'!BE42,'Balance Sheet'!BD42)</f>
        <v>0.23333050919257817</v>
      </c>
      <c r="BF126" s="294">
        <f>(BF105+BE105+BD105+BC105)/AVERAGE('Balance Sheet'!BF42,'Balance Sheet'!BE42)</f>
        <v>0.21582733812949639</v>
      </c>
      <c r="BG126" s="294">
        <f>(BG105+BF105+BE105+BD105)/AVERAGE('Balance Sheet'!BG42,'Balance Sheet'!BF42)</f>
        <v>0.28373992252120195</v>
      </c>
      <c r="BH126" s="294">
        <f>(BH105+BG105+BF105+BE105)/AVERAGE('Balance Sheet'!BH42,'Balance Sheet'!BG42)</f>
        <v>0.40213273467096955</v>
      </c>
      <c r="BI126" s="294">
        <f>(BI105+BH105+BG105+BF105)/AVERAGE('Balance Sheet'!BI42,'Balance Sheet'!BH42)</f>
        <v>0.3419198055893074</v>
      </c>
      <c r="BJ126" s="294">
        <f>(BJ105+BI105+BH105+BG105)/AVERAGE('Balance Sheet'!BJ42,'Balance Sheet'!BI42)</f>
        <v>0.30576880894933101</v>
      </c>
      <c r="BK126" s="294">
        <f>(BK105+BJ105+BI105+BH105)/AVERAGE('Balance Sheet'!BK42,'Balance Sheet'!BJ42)</f>
        <v>0.28681014276582145</v>
      </c>
      <c r="BL126" s="294">
        <f>(BL105+BK105+BJ105+BI105)/AVERAGE('Balance Sheet'!BL42,'Balance Sheet'!BK42)</f>
        <v>0.27512886597938147</v>
      </c>
      <c r="BM126" s="294">
        <f>(BM105+BL105+BK105+BJ105)/AVERAGE('Balance Sheet'!BM42,'Balance Sheet'!BL42)</f>
        <v>0.27338911224600676</v>
      </c>
      <c r="BN126" s="294">
        <f>(BN105+BM105+BL105+BK105)/AVERAGE('Balance Sheet'!BN42,'Balance Sheet'!BM42)</f>
        <v>0.26658361881033948</v>
      </c>
      <c r="BO126" s="294">
        <f>(BO105+BN105+BM105+BL105)/AVERAGE('Balance Sheet'!BO42,'Balance Sheet'!BN42)</f>
        <v>0.24087024087024086</v>
      </c>
      <c r="BP126" s="294">
        <f>(BP105+BO105+BN105+BM105)/AVERAGE('Balance Sheet'!BP42,'Balance Sheet'!BO42)</f>
        <v>0.24070143054914628</v>
      </c>
      <c r="BQ126" s="294">
        <f>(BQ105+BP105+BO105+BN105)/AVERAGE('Balance Sheet'!BQ42,'Balance Sheet'!BP42)</f>
        <v>0.231074352266014</v>
      </c>
      <c r="BR126" s="294">
        <f>(BR105+BQ105+BP105+BO105)/AVERAGE('Balance Sheet'!BR42,'Balance Sheet'!BQ42)</f>
        <v>0.20791298865069358</v>
      </c>
      <c r="BS126" s="294">
        <f>(BS105+BR105+BQ105+BP105)/AVERAGE('Balance Sheet'!BS42,'Balance Sheet'!BR42)</f>
        <v>0.2285391262214326</v>
      </c>
      <c r="BT126" s="294">
        <f>(BT105+BS105+BR105+BQ105)/AVERAGE('Balance Sheet'!BT42,'Balance Sheet'!BS42)</f>
        <v>0.2338548601864181</v>
      </c>
      <c r="BU126" s="294">
        <f>(BU105+BT105+BS105+BR105)/AVERAGE('Balance Sheet'!BU42,'Balance Sheet'!BT42)</f>
        <v>0.23787986987225263</v>
      </c>
      <c r="BV126" s="294">
        <f>(BV105+BU105+BT105+BS105)/AVERAGE('Balance Sheet'!BV42,'Balance Sheet'!BU42)</f>
        <v>0.22939400975156721</v>
      </c>
      <c r="BW126" s="294">
        <f>(BW105+BV105+BU105+BT105)/AVERAGE('Balance Sheet'!BW42,'Balance Sheet'!BV42)</f>
        <v>0.22682572948573271</v>
      </c>
      <c r="BX126" s="294">
        <f>(BX105+BW105+BV105+BU105)/AVERAGE('Balance Sheet'!BX42,'Balance Sheet'!BW42)</f>
        <v>0.23090616258370772</v>
      </c>
      <c r="BY126" s="294">
        <f>(BY105+BX105+BW105+BV105)/AVERAGE('Balance Sheet'!BY42,'Balance Sheet'!BX42)</f>
        <v>0.28767847699629828</v>
      </c>
      <c r="BZ126" s="294">
        <f>(BZ105+BY105+BX105+BW105)/AVERAGE('Balance Sheet'!BZ42,'Balance Sheet'!BY42)</f>
        <v>0.39584737764594852</v>
      </c>
      <c r="CA126" s="294">
        <f>(CA105+BZ105+BY105+BX105)/AVERAGE('Balance Sheet'!CA42,'Balance Sheet'!BZ42)</f>
        <v>0.37762626965354112</v>
      </c>
      <c r="CB126" s="294">
        <f>(CB105+CA105+BZ105+BY105)/AVERAGE('Balance Sheet'!CB42,'Balance Sheet'!CA42)</f>
        <v>0.34035887211620619</v>
      </c>
      <c r="CC126" s="294">
        <f>(CC105+CB105+CA105+BZ105)/AVERAGE('Balance Sheet'!CC42,'Balance Sheet'!CB42)</f>
        <v>0.26735688185140072</v>
      </c>
      <c r="CD126" s="300">
        <f>(CD105+CC105+CB105+CA105)/AVERAGE('Balance Sheet'!CD42,'Balance Sheet'!CC42)</f>
        <v>0.25330433327756402</v>
      </c>
      <c r="CE126" s="300">
        <f>(CE105+CD105+CC105+CB105)/AVERAGE('Balance Sheet'!CE42,'Balance Sheet'!CD42)</f>
        <v>0.24332617367290579</v>
      </c>
      <c r="CF126" s="300">
        <f>(CF105+CE105+CD105+CC105)/AVERAGE('Balance Sheet'!CF42,'Balance Sheet'!CE42)</f>
        <v>0.23175381263616557</v>
      </c>
      <c r="CG126" s="300">
        <f>(CG105+CF105+CE105+CD105)/AVERAGE('Balance Sheet'!CG42,'Balance Sheet'!CF42)</f>
        <v>0.18659420289855072</v>
      </c>
      <c r="CH126" s="300">
        <f>(CH105+CG105+CF105+CE105)/AVERAGE('Balance Sheet'!CH42,'Balance Sheet'!CG42)</f>
        <v>0.17098692033293697</v>
      </c>
      <c r="CI126" s="300">
        <f>(CI105+CH105+CG105+CF105)/AVERAGE('Balance Sheet'!CI42,'Balance Sheet'!CH42)</f>
        <v>0.17042662497207953</v>
      </c>
      <c r="CJ126" s="300">
        <f>(CJ105+CI105+CH105+CG105)/AVERAGE('Balance Sheet'!CJ42,'Balance Sheet'!CI42)</f>
        <v>0.17928155553114358</v>
      </c>
      <c r="CK126" s="300">
        <f>(CK105+CJ105+CI105+CH105)/AVERAGE('Balance Sheet'!CK42,'Balance Sheet'!CJ42)</f>
        <v>0.19178940770918207</v>
      </c>
      <c r="CL126" s="300">
        <f>(CL105+CK105+CJ105+CI105)/AVERAGE('Balance Sheet'!CL42,'Balance Sheet'!CK42)</f>
        <v>0.18625861370085128</v>
      </c>
      <c r="CM126" s="300">
        <f>(CM105+CL105+CK105+CJ105)/AVERAGE('Balance Sheet'!CM42,'Balance Sheet'!CL42)</f>
        <v>0.19726027397260279</v>
      </c>
      <c r="CN126" s="300">
        <f>(CN105+CM105+CL105+CK105)/AVERAGE('Balance Sheet'!CN42,'Balance Sheet'!CM42)</f>
        <v>0.205565142364107</v>
      </c>
      <c r="CO126" s="300">
        <f>(CO105+CN105+CM105+CL105)/AVERAGE('Balance Sheet'!CO42,'Balance Sheet'!CN42)</f>
        <v>0.20713336287106779</v>
      </c>
      <c r="CP126" s="1346">
        <f>(CP105+CO105+CN105+CM105)/AVERAGE('Balance Sheet'!CP42,'Balance Sheet'!CO42)</f>
        <v>0.21626533393911859</v>
      </c>
      <c r="CQ126" s="300">
        <f>(CQ105+CP105+CO105+CN105)/AVERAGE('Balance Sheet'!CQ42,'Balance Sheet'!CP42)</f>
        <v>0.22184105202973128</v>
      </c>
      <c r="CR126" s="1346">
        <f>(CR105+CQ105+CP105+CO105)/AVERAGE('Balance Sheet'!CR42,'Balance Sheet'!CQ42)</f>
        <v>0.23892773892773891</v>
      </c>
      <c r="CS126" s="300">
        <f>(CS105+CR105+CQ105+CP105)/AVERAGE('Balance Sheet'!CS42,'Balance Sheet'!CR42)</f>
        <v>0.25239687848383502</v>
      </c>
      <c r="CT126" s="300">
        <f>(CT105+CS105+CR105+CQ105)/AVERAGE('Balance Sheet'!CT42,'Balance Sheet'!CS42)</f>
        <v>0.25608166811468286</v>
      </c>
      <c r="CU126" s="1346">
        <f>(CU105+CT105+CS105+CR105)/AVERAGE('Balance Sheet'!CU42,'Balance Sheet'!CT42)</f>
        <v>0.27356997513000225</v>
      </c>
      <c r="CV126" s="1346">
        <f>(CV105+CU105+CT105+CS105)/AVERAGE('Balance Sheet'!CV42,'Balance Sheet'!CU42)</f>
        <v>0.29509354041651958</v>
      </c>
      <c r="CW126" s="300">
        <f>(CW105+CV105+CU105+CT105)/AVERAGE('Balance Sheet'!CW42,'Balance Sheet'!CV42)</f>
        <v>0.34956208140133954</v>
      </c>
      <c r="CX126" s="1346">
        <f>(CX105+CW105+CV105+CU105)/AVERAGE('Balance Sheet'!CX42,'Balance Sheet'!CW42)</f>
        <v>0.41137708919720828</v>
      </c>
      <c r="CY126" s="300">
        <f>(CY105+CX105+CW105+CV105)/AVERAGE('Balance Sheet'!CY42,'Balance Sheet'!CX42)</f>
        <v>0.45767816437797548</v>
      </c>
      <c r="CZ126" s="300">
        <f>(CZ105+CY105+CX105+CW105)/AVERAGE('Balance Sheet'!CZ42,'Balance Sheet'!CY42)</f>
        <v>0.48140963613402776</v>
      </c>
      <c r="DA126" s="300">
        <f>(DA105+CZ105+CY105+CX105)/AVERAGE('Balance Sheet'!DA42,'Balance Sheet'!CZ42)</f>
        <v>0.46452628836973536</v>
      </c>
      <c r="DB126" s="294"/>
      <c r="DC126" s="294"/>
      <c r="DD126" s="15">
        <f t="shared" ref="DD126:DI126" si="466">+DD105/AVERAGE(DD42)</f>
        <v>0.28245512731320382</v>
      </c>
      <c r="DE126" s="15">
        <f t="shared" si="466"/>
        <v>0.13270669273682895</v>
      </c>
      <c r="DF126" s="15">
        <f t="shared" si="466"/>
        <v>4.7590566402009551E-2</v>
      </c>
      <c r="DG126" s="15">
        <f t="shared" si="466"/>
        <v>3.4108180599015395E-2</v>
      </c>
      <c r="DH126" s="15">
        <f t="shared" si="466"/>
        <v>8.5912107514852926E-2</v>
      </c>
      <c r="DI126" s="15">
        <f t="shared" si="466"/>
        <v>8.0012689237058107E-2</v>
      </c>
      <c r="DJ126" s="15">
        <f>+DJ105/AVERAGE(DJ42,DI42)</f>
        <v>8.9599596843809734E-2</v>
      </c>
      <c r="DK126" s="15">
        <f>+DK105/AVERAGE(DK42,DJ42)</f>
        <v>0.11684532339172221</v>
      </c>
      <c r="DM126" s="294">
        <f>DM105/AVERAGE('Balance Sheet'!DM42,'Balance Sheet'!DL42)</f>
        <v>0.16766681307685374</v>
      </c>
      <c r="DN126" s="294">
        <f>DN105/AVERAGE('Balance Sheet'!DN42,'Balance Sheet'!DM42)</f>
        <v>0.11883090514722708</v>
      </c>
      <c r="DO126" s="294">
        <f>DO105/AVERAGE('Balance Sheet'!DO42,'Balance Sheet'!DN42)</f>
        <v>4.0187187690017339E-3</v>
      </c>
      <c r="DP126" s="294">
        <f>DP105/AVERAGE('Balance Sheet'!DP42,'Balance Sheet'!DO42)</f>
        <v>0.18961288515462338</v>
      </c>
      <c r="DQ126" s="294">
        <f>DQ105/AVERAGE('Balance Sheet'!DQ42,'Balance Sheet'!DP42)</f>
        <v>0.2667053049547452</v>
      </c>
      <c r="DR126" s="294">
        <f>DR105/AVERAGE('Balance Sheet'!DR42,'Balance Sheet'!DQ42)</f>
        <v>0.3213434074696811</v>
      </c>
      <c r="DS126" s="294">
        <f>DS105/AVERAGE('Balance Sheet'!DS42,'Balance Sheet'!DR42)</f>
        <v>0.27153600858126381</v>
      </c>
      <c r="DT126" s="294">
        <f>DT105/AVERAGE('Balance Sheet'!DT42,'Balance Sheet'!DS42)</f>
        <v>0.26249136541561136</v>
      </c>
      <c r="DU126" s="294">
        <f>DU105/AVERAGE('Balance Sheet'!DU42,'Balance Sheet'!DT42)</f>
        <v>0.23690725576080746</v>
      </c>
      <c r="DV126" s="294">
        <f>DV105/AVERAGE('Balance Sheet'!DV42,'Balance Sheet'!DU42)</f>
        <v>0.25989921976592978</v>
      </c>
      <c r="DW126" s="294">
        <f>DW105/AVERAGE('Balance Sheet'!DW42,'Balance Sheet'!DV42)</f>
        <v>0.23740719095413546</v>
      </c>
      <c r="DX126" s="294">
        <f>DX105/AVERAGE('Balance Sheet'!DX42,'Balance Sheet'!DW42)</f>
        <v>0.23490624356068412</v>
      </c>
      <c r="DY126" s="294">
        <f>DY105/AVERAGE('Balance Sheet'!DY42,'Balance Sheet'!DX42)</f>
        <v>0.24035608308605341</v>
      </c>
      <c r="DZ126" s="294">
        <f>DZ105/AVERAGE('Balance Sheet'!DZ42,'Balance Sheet'!DY42)</f>
        <v>0.26335985025737013</v>
      </c>
      <c r="EA126" s="294">
        <f>EA105/AVERAGE('Balance Sheet'!EA42,'Balance Sheet'!DZ42)</f>
        <v>0.27566560753807384</v>
      </c>
      <c r="EB126" s="294">
        <f>EB105/AVERAGE('Balance Sheet'!EB42,'Balance Sheet'!EA42)</f>
        <v>0.24974915625285049</v>
      </c>
      <c r="EC126" s="294">
        <f>EC105/AVERAGE('Balance Sheet'!EC42,'Balance Sheet'!EB42)</f>
        <v>0.23200742919052778</v>
      </c>
      <c r="ED126" s="294">
        <f>ED105/AVERAGE('Balance Sheet'!ED42,'Balance Sheet'!EC42)</f>
        <v>0.26287812892625884</v>
      </c>
      <c r="EE126" s="294">
        <f>EE105/AVERAGE('Balance Sheet'!EE42,'Balance Sheet'!ED42)</f>
        <v>0.2938639482454421</v>
      </c>
      <c r="EF126" s="15">
        <f>+EF105/AVERAGE(EF42,EE42)</f>
        <v>0.26968074558794369</v>
      </c>
      <c r="EG126" s="294">
        <f>EG105/AVERAGE('Balance Sheet'!EG42,'Balance Sheet'!ED42)</f>
        <v>0.258007640317367</v>
      </c>
      <c r="EH126" s="294">
        <f>EH105/AVERAGE('Balance Sheet'!EH42,'Balance Sheet'!EG42)</f>
        <v>0.20462608202071803</v>
      </c>
      <c r="EI126" s="294">
        <f>EI105/AVERAGE('Balance Sheet'!EI42,'Balance Sheet'!EH42)</f>
        <v>0.20431782773202758</v>
      </c>
      <c r="EJ126" s="294">
        <f>+EJ105/AVERAGE(EJ42,EI42)</f>
        <v>0.19940285775218597</v>
      </c>
      <c r="EK126" s="77">
        <f t="shared" ref="EK126:EP126" si="467">+EK105/AVERAGE(EK42,EJ42)</f>
        <v>0.24914713326730495</v>
      </c>
      <c r="EL126" s="77">
        <f t="shared" si="467"/>
        <v>0.32616272082682368</v>
      </c>
      <c r="EM126" s="15">
        <f t="shared" si="467"/>
        <v>0.41786208871427016</v>
      </c>
      <c r="EN126" s="15">
        <f t="shared" si="467"/>
        <v>0.48772752759115084</v>
      </c>
      <c r="EO126" s="15">
        <f t="shared" si="467"/>
        <v>0.57947233126817177</v>
      </c>
      <c r="EP126" s="15">
        <f t="shared" si="467"/>
        <v>0.64376665567707114</v>
      </c>
      <c r="EQ126" s="15">
        <f>+EQ105/AVERAGE(EQ42,EP42)</f>
        <v>0.69664999300769226</v>
      </c>
      <c r="ER126" s="15">
        <f>+ER105/AVERAGE(ER42,EQ42)</f>
        <v>0.77638764770195434</v>
      </c>
      <c r="ES126" s="15">
        <f>+ES105/AVERAGE(ES42,ER42)</f>
        <v>0.88789566006598675</v>
      </c>
      <c r="ET126" s="15">
        <f>+ET105/AVERAGE(ET42,ES42)</f>
        <v>1.0729098659680403</v>
      </c>
      <c r="EU126" s="15">
        <f>+EU105/AVERAGE(EU42,ET42)</f>
        <v>1.4282023565694146</v>
      </c>
      <c r="EV126" s="300"/>
      <c r="EW126"/>
      <c r="EX126"/>
      <c r="EY126"/>
      <c r="EZ126"/>
      <c r="FA126"/>
      <c r="FB126"/>
      <c r="FC126" s="4"/>
      <c r="FD126" s="4"/>
      <c r="FE126" s="4"/>
      <c r="FF126" s="4"/>
      <c r="FG126" s="70"/>
      <c r="FH126" s="70"/>
      <c r="FI126" s="134"/>
      <c r="FJ126" s="134"/>
      <c r="FK126"/>
      <c r="FL126"/>
      <c r="FM126"/>
      <c r="FN126"/>
      <c r="FO126"/>
      <c r="FP126"/>
      <c r="FQ126"/>
      <c r="FR126"/>
      <c r="FS126"/>
      <c r="FT126"/>
      <c r="FU126"/>
      <c r="FV126"/>
      <c r="FW126"/>
      <c r="FX126"/>
      <c r="FY126"/>
      <c r="FZ126"/>
      <c r="GA126"/>
      <c r="GB126"/>
      <c r="GC126"/>
      <c r="GD126"/>
      <c r="GE126"/>
      <c r="GF126"/>
      <c r="GG126"/>
      <c r="GH126"/>
      <c r="GI126"/>
      <c r="GJ126"/>
      <c r="GK126"/>
      <c r="GL126"/>
      <c r="GM126"/>
      <c r="GN126"/>
      <c r="GO126"/>
      <c r="GP126"/>
      <c r="GQ126"/>
      <c r="GR126"/>
      <c r="GS126"/>
      <c r="GT126"/>
      <c r="GU126"/>
      <c r="GV126"/>
      <c r="GW126"/>
      <c r="GX126"/>
      <c r="GY126"/>
      <c r="GZ126"/>
      <c r="HA126"/>
      <c r="HB126"/>
      <c r="HC126"/>
      <c r="HD126"/>
      <c r="HE126"/>
      <c r="HF126"/>
      <c r="HG126"/>
      <c r="HH126"/>
      <c r="HI126"/>
      <c r="HJ126"/>
      <c r="HK126"/>
      <c r="HL126"/>
      <c r="HM126"/>
      <c r="HN126"/>
      <c r="HO126"/>
      <c r="HP126"/>
      <c r="HQ126"/>
      <c r="HR126"/>
      <c r="HS126"/>
      <c r="HT126"/>
      <c r="HU126"/>
      <c r="HV126"/>
      <c r="HW126"/>
      <c r="HX126"/>
      <c r="HY126"/>
      <c r="HZ126"/>
      <c r="IA126"/>
      <c r="IB126"/>
      <c r="IC126"/>
      <c r="ID126"/>
      <c r="IE126"/>
      <c r="IF126"/>
      <c r="IG126"/>
      <c r="IH126"/>
      <c r="II126"/>
      <c r="IJ126"/>
      <c r="IK126"/>
      <c r="IL126"/>
      <c r="IM126"/>
      <c r="IN126"/>
      <c r="IO126"/>
      <c r="IP126"/>
      <c r="IQ126"/>
      <c r="IR126"/>
      <c r="IS126"/>
      <c r="IT126"/>
      <c r="IU126"/>
      <c r="IV126"/>
      <c r="IW126"/>
      <c r="IX126"/>
      <c r="IY126"/>
      <c r="IZ126"/>
    </row>
    <row r="127" spans="1:260" s="3" customFormat="1" outlineLevel="1" x14ac:dyDescent="0.2">
      <c r="A127" s="276" t="s">
        <v>459</v>
      </c>
      <c r="B127" s="69"/>
      <c r="C127" s="69"/>
      <c r="D127" s="69"/>
      <c r="E127" s="69"/>
      <c r="F127" s="69">
        <f t="shared" ref="F127:AK127" si="468">(F100+E100+D100+C100)/F21</f>
        <v>3.397942730882924</v>
      </c>
      <c r="G127" s="69">
        <f t="shared" si="468"/>
        <v>2.977568740385788</v>
      </c>
      <c r="H127" s="69">
        <f t="shared" si="468"/>
        <v>2.1535343417275468</v>
      </c>
      <c r="I127" s="69">
        <f t="shared" si="468"/>
        <v>3.3703601227502697</v>
      </c>
      <c r="J127" s="69">
        <f t="shared" si="468"/>
        <v>3.5331672702019583</v>
      </c>
      <c r="K127" s="69">
        <f t="shared" si="468"/>
        <v>3.1604622078988913</v>
      </c>
      <c r="L127" s="69">
        <f t="shared" si="468"/>
        <v>2.3888522105782184</v>
      </c>
      <c r="M127" s="69">
        <f t="shared" si="468"/>
        <v>3.8170609551774035</v>
      </c>
      <c r="N127" s="69">
        <f t="shared" si="468"/>
        <v>3.8310192871716877</v>
      </c>
      <c r="O127" s="69">
        <f t="shared" si="468"/>
        <v>3.8367804945156094</v>
      </c>
      <c r="P127" s="69">
        <f t="shared" si="468"/>
        <v>3.1050334097165146</v>
      </c>
      <c r="Q127" s="69">
        <f t="shared" si="468"/>
        <v>4.480569472417514</v>
      </c>
      <c r="R127" s="69">
        <f t="shared" si="468"/>
        <v>4.4982480773600679</v>
      </c>
      <c r="S127" s="69">
        <f t="shared" si="468"/>
        <v>4.2599155775096023</v>
      </c>
      <c r="T127" s="69">
        <f t="shared" si="468"/>
        <v>3.2863969663632719</v>
      </c>
      <c r="U127" s="69">
        <f t="shared" si="468"/>
        <v>4.0645844619533866</v>
      </c>
      <c r="V127" s="69">
        <f t="shared" si="468"/>
        <v>4.4172449988435893</v>
      </c>
      <c r="W127" s="69">
        <f t="shared" si="468"/>
        <v>4.1081309392362746</v>
      </c>
      <c r="X127" s="69">
        <f t="shared" si="468"/>
        <v>3.2900907906299977</v>
      </c>
      <c r="Y127" s="69">
        <f t="shared" si="468"/>
        <v>4.0058404142817512</v>
      </c>
      <c r="Z127" s="69">
        <f t="shared" si="468"/>
        <v>4.4848172230186352</v>
      </c>
      <c r="AA127" s="69">
        <f t="shared" si="468"/>
        <v>4.2253960050211381</v>
      </c>
      <c r="AB127" s="69">
        <f t="shared" si="468"/>
        <v>3.0846432963693773</v>
      </c>
      <c r="AC127" s="69">
        <f t="shared" si="468"/>
        <v>4.1711507400490495</v>
      </c>
      <c r="AD127" s="69">
        <f t="shared" si="468"/>
        <v>4.0086813860778898</v>
      </c>
      <c r="AE127" s="69">
        <f t="shared" si="468"/>
        <v>3.7197697585071348</v>
      </c>
      <c r="AF127" s="69">
        <f t="shared" si="468"/>
        <v>2.9651994981179426</v>
      </c>
      <c r="AG127" s="69">
        <f t="shared" si="468"/>
        <v>3.1666464876033058</v>
      </c>
      <c r="AH127" s="69">
        <f t="shared" si="468"/>
        <v>3.3395406529423997</v>
      </c>
      <c r="AI127" s="69">
        <f t="shared" si="468"/>
        <v>3.0890563303749321</v>
      </c>
      <c r="AJ127" s="69">
        <f t="shared" si="468"/>
        <v>2.4201606425702811</v>
      </c>
      <c r="AK127" s="69">
        <f t="shared" si="468"/>
        <v>2.6601058775621014</v>
      </c>
      <c r="AL127" s="69">
        <f t="shared" ref="AL127:BQ127" si="469">(AL100+AK100+AJ100+AI100)/AL21</f>
        <v>2.770778773259821</v>
      </c>
      <c r="AM127" s="69">
        <f t="shared" si="469"/>
        <v>3.0220458553791887</v>
      </c>
      <c r="AN127" s="69">
        <f t="shared" si="469"/>
        <v>2.3960860608834973</v>
      </c>
      <c r="AO127" s="69">
        <f t="shared" si="469"/>
        <v>2.7223810761632441</v>
      </c>
      <c r="AP127" s="69">
        <f t="shared" si="469"/>
        <v>2.9951042103790741</v>
      </c>
      <c r="AQ127" s="69">
        <f t="shared" si="469"/>
        <v>2.8713435154025371</v>
      </c>
      <c r="AR127" s="69">
        <f t="shared" si="469"/>
        <v>2.2904057942256175</v>
      </c>
      <c r="AS127" s="69">
        <f t="shared" si="469"/>
        <v>2.8369163199260288</v>
      </c>
      <c r="AT127" s="69">
        <f t="shared" si="469"/>
        <v>2.9656140350877194</v>
      </c>
      <c r="AU127" s="69">
        <f t="shared" si="469"/>
        <v>3.0124942156409071</v>
      </c>
      <c r="AV127" s="69">
        <f t="shared" si="469"/>
        <v>2.2934950955085185</v>
      </c>
      <c r="AW127" s="69">
        <f t="shared" si="469"/>
        <v>2.6649504565766464</v>
      </c>
      <c r="AX127" s="69">
        <f t="shared" si="469"/>
        <v>2.8358420042428527</v>
      </c>
      <c r="AY127" s="69">
        <f t="shared" si="469"/>
        <v>2.7969587679111023</v>
      </c>
      <c r="AZ127" s="69">
        <f t="shared" si="469"/>
        <v>2.2188491164476667</v>
      </c>
      <c r="BA127" s="69">
        <f t="shared" si="469"/>
        <v>2.6001348617666893</v>
      </c>
      <c r="BB127" s="69">
        <f t="shared" si="469"/>
        <v>2.8120507587186085</v>
      </c>
      <c r="BC127" s="69">
        <f t="shared" si="469"/>
        <v>2.6267429676795357</v>
      </c>
      <c r="BD127" s="69">
        <f t="shared" si="469"/>
        <v>2.1921227089561941</v>
      </c>
      <c r="BE127" s="69">
        <f t="shared" si="469"/>
        <v>2.6480471628592483</v>
      </c>
      <c r="BF127" s="69">
        <f t="shared" si="469"/>
        <v>2.8079439963475878</v>
      </c>
      <c r="BG127" s="69">
        <f t="shared" si="469"/>
        <v>3.1093405246383918</v>
      </c>
      <c r="BH127" s="69">
        <f t="shared" si="469"/>
        <v>2.5529274912756881</v>
      </c>
      <c r="BI127" s="69">
        <f t="shared" si="469"/>
        <v>3.1370904530490673</v>
      </c>
      <c r="BJ127" s="69">
        <f t="shared" si="469"/>
        <v>3.1052830473887085</v>
      </c>
      <c r="BK127" s="69">
        <f t="shared" si="469"/>
        <v>2.404805387512841</v>
      </c>
      <c r="BL127" s="69">
        <f t="shared" si="469"/>
        <v>2.1169661452026931</v>
      </c>
      <c r="BM127" s="69">
        <f t="shared" si="469"/>
        <v>2.8443700240111212</v>
      </c>
      <c r="BN127" s="69">
        <f t="shared" si="469"/>
        <v>2.8444554089058838</v>
      </c>
      <c r="BO127" s="69">
        <f t="shared" si="469"/>
        <v>2.7538246757024023</v>
      </c>
      <c r="BP127" s="69">
        <f t="shared" si="469"/>
        <v>2.2684834123222748</v>
      </c>
      <c r="BQ127" s="69">
        <f t="shared" si="469"/>
        <v>2.7152223800677522</v>
      </c>
      <c r="BR127" s="69">
        <f t="shared" ref="BR127:CH127" si="470">(BR100+BQ100+BP100+BO100)/BR21</f>
        <v>2.8060815326353308</v>
      </c>
      <c r="BS127" s="69">
        <f t="shared" si="470"/>
        <v>2.9203432784241445</v>
      </c>
      <c r="BT127" s="69">
        <f t="shared" si="470"/>
        <v>2.2623926270579813</v>
      </c>
      <c r="BU127" s="69">
        <f t="shared" si="470"/>
        <v>2.81651633144714</v>
      </c>
      <c r="BV127" s="69">
        <f t="shared" si="470"/>
        <v>2.7004230707438546</v>
      </c>
      <c r="BW127" s="69">
        <f t="shared" si="470"/>
        <v>2.6784746932922618</v>
      </c>
      <c r="BX127" s="69">
        <f t="shared" si="470"/>
        <v>2.2262176894672061</v>
      </c>
      <c r="BY127" s="69">
        <f t="shared" si="470"/>
        <v>3.1875039050296783</v>
      </c>
      <c r="BZ127" s="69">
        <f t="shared" si="470"/>
        <v>3.2281556429954406</v>
      </c>
      <c r="CA127" s="69">
        <f t="shared" si="470"/>
        <v>3.2106757524134015</v>
      </c>
      <c r="CB127" s="69">
        <f t="shared" si="470"/>
        <v>2.8218272955115062</v>
      </c>
      <c r="CC127" s="69">
        <f t="shared" si="470"/>
        <v>2.9559182700899505</v>
      </c>
      <c r="CD127" s="140">
        <f t="shared" si="470"/>
        <v>3.2753471495359712</v>
      </c>
      <c r="CE127" s="69">
        <f t="shared" si="470"/>
        <v>3.397018970189702</v>
      </c>
      <c r="CF127" s="69">
        <f t="shared" si="470"/>
        <v>2.8734404035041146</v>
      </c>
      <c r="CG127" s="140">
        <f t="shared" si="470"/>
        <v>2.898094626418326</v>
      </c>
      <c r="CH127" s="140">
        <f t="shared" si="470"/>
        <v>2.8985694773919919</v>
      </c>
      <c r="CI127" s="69">
        <f t="shared" ref="CI127:CO127" si="471">(CI100+CH100+CG100+CF100)/CI21</f>
        <v>2.7909261969475225</v>
      </c>
      <c r="CJ127" s="69">
        <f t="shared" si="471"/>
        <v>2.5475827940616673</v>
      </c>
      <c r="CK127" s="140">
        <f t="shared" si="471"/>
        <v>2.6441400104876771</v>
      </c>
      <c r="CL127" s="140">
        <f t="shared" si="471"/>
        <v>2.9344704424520738</v>
      </c>
      <c r="CM127" s="69">
        <f t="shared" si="471"/>
        <v>2.9726522187822497</v>
      </c>
      <c r="CN127" s="69">
        <f t="shared" si="471"/>
        <v>2.6434266886326196</v>
      </c>
      <c r="CO127" s="140">
        <f t="shared" si="471"/>
        <v>2.9238849027294918</v>
      </c>
      <c r="CP127" s="272">
        <f t="shared" ref="CP127:DA127" si="472">(CP100+CO100+CN100+CM100)/CP21</f>
        <v>3.0550344934501203</v>
      </c>
      <c r="CQ127" s="69">
        <f t="shared" si="472"/>
        <v>2.9740455711483325</v>
      </c>
      <c r="CR127" s="272">
        <f t="shared" si="472"/>
        <v>2.7192958327602805</v>
      </c>
      <c r="CS127" s="140">
        <f t="shared" si="472"/>
        <v>2.84375</v>
      </c>
      <c r="CT127" s="140">
        <f t="shared" si="472"/>
        <v>3.0480895407178696</v>
      </c>
      <c r="CU127" s="272">
        <f t="shared" si="472"/>
        <v>2.9674947932163045</v>
      </c>
      <c r="CV127" s="272">
        <f t="shared" si="472"/>
        <v>2.723706459249239</v>
      </c>
      <c r="CW127" s="140">
        <f t="shared" si="472"/>
        <v>3.2302092114338263</v>
      </c>
      <c r="CX127" s="272">
        <f t="shared" si="472"/>
        <v>3.4602031895883942</v>
      </c>
      <c r="CY127" s="140">
        <f t="shared" si="472"/>
        <v>3.384303606051831</v>
      </c>
      <c r="CZ127" s="140">
        <f t="shared" si="472"/>
        <v>3.0042536336485823</v>
      </c>
      <c r="DA127" s="140">
        <f t="shared" si="472"/>
        <v>3.3892042901572279</v>
      </c>
      <c r="DB127" s="69"/>
      <c r="DC127" s="69"/>
      <c r="DD127" s="271">
        <f>+DD100/DD21</f>
        <v>3.5503055138095512</v>
      </c>
      <c r="DE127" s="271">
        <f t="shared" ref="DE127:DK127" si="473">+DE100/+AVERAGE(DE21,DD21)</f>
        <v>4.0101069778784915</v>
      </c>
      <c r="DF127" s="271">
        <f t="shared" si="473"/>
        <v>3.8532021602822049</v>
      </c>
      <c r="DG127" s="271">
        <f t="shared" si="473"/>
        <v>3.6158847036660049</v>
      </c>
      <c r="DH127" s="271">
        <f t="shared" si="473"/>
        <v>3.4566431900034567</v>
      </c>
      <c r="DI127" s="271">
        <f t="shared" si="473"/>
        <v>3.884276405315362</v>
      </c>
      <c r="DJ127" s="271">
        <f t="shared" si="473"/>
        <v>3.5569550030033708</v>
      </c>
      <c r="DK127" s="271">
        <f t="shared" si="473"/>
        <v>4.1732649801638413</v>
      </c>
      <c r="DL127" s="69"/>
      <c r="DM127" s="69">
        <f t="shared" ref="DM127:EH127" si="474">DM100/DM21</f>
        <v>3.3703601227502697</v>
      </c>
      <c r="DN127" s="69">
        <f t="shared" si="474"/>
        <v>3.8170609551774035</v>
      </c>
      <c r="DO127" s="69">
        <f t="shared" si="474"/>
        <v>4.480569472417514</v>
      </c>
      <c r="DP127" s="69">
        <f t="shared" si="474"/>
        <v>4.0645844619533866</v>
      </c>
      <c r="DQ127" s="69">
        <f t="shared" si="474"/>
        <v>4.0058404142817512</v>
      </c>
      <c r="DR127" s="69">
        <f t="shared" si="474"/>
        <v>4.1711507400490495</v>
      </c>
      <c r="DS127" s="69">
        <f t="shared" si="474"/>
        <v>3.1666464876033058</v>
      </c>
      <c r="DT127" s="69">
        <f t="shared" si="474"/>
        <v>2.6601058775621014</v>
      </c>
      <c r="DU127" s="69">
        <f t="shared" si="474"/>
        <v>2.7223810761632441</v>
      </c>
      <c r="DV127" s="69">
        <f t="shared" si="474"/>
        <v>2.8369163199260288</v>
      </c>
      <c r="DW127" s="69">
        <f t="shared" si="474"/>
        <v>2.6649504565766464</v>
      </c>
      <c r="DX127" s="69">
        <f t="shared" si="474"/>
        <v>2.6001348617666893</v>
      </c>
      <c r="DY127" s="69">
        <f t="shared" si="474"/>
        <v>2.6480471628592483</v>
      </c>
      <c r="DZ127" s="69">
        <f t="shared" si="474"/>
        <v>3.1370904530490673</v>
      </c>
      <c r="EA127" s="69">
        <f t="shared" si="474"/>
        <v>2.8443700240111212</v>
      </c>
      <c r="EB127" s="69">
        <f t="shared" si="474"/>
        <v>2.7152223800677522</v>
      </c>
      <c r="EC127" s="69">
        <f t="shared" si="474"/>
        <v>2.81651633144714</v>
      </c>
      <c r="ED127" s="69">
        <f t="shared" si="474"/>
        <v>3.1875039050296783</v>
      </c>
      <c r="EE127" s="69">
        <f t="shared" si="474"/>
        <v>2.5974992249664153</v>
      </c>
      <c r="EF127" s="69">
        <f t="shared" si="474"/>
        <v>2.946176946176946</v>
      </c>
      <c r="EG127" s="69">
        <f t="shared" si="474"/>
        <v>2.9559182700899505</v>
      </c>
      <c r="EH127" s="69">
        <f t="shared" si="474"/>
        <v>2.898094626418326</v>
      </c>
      <c r="EI127" s="69">
        <f t="shared" ref="EI127:EP127" si="475">EI100/EI21</f>
        <v>2.6441400104876771</v>
      </c>
      <c r="EJ127" s="69">
        <f>EJ100/EJ21</f>
        <v>2.9238849027294918</v>
      </c>
      <c r="EK127" s="140">
        <f t="shared" si="475"/>
        <v>2.84375</v>
      </c>
      <c r="EL127" s="140">
        <f>EL100/EL21</f>
        <v>3.2302092114338263</v>
      </c>
      <c r="EM127" s="69">
        <f t="shared" si="475"/>
        <v>3.3892042901572283</v>
      </c>
      <c r="EN127" s="69">
        <f t="shared" si="475"/>
        <v>3.4191026047438569</v>
      </c>
      <c r="EO127" s="69">
        <f t="shared" si="475"/>
        <v>3.4795095287203579</v>
      </c>
      <c r="EP127" s="69">
        <f t="shared" si="475"/>
        <v>3.4383364967071244</v>
      </c>
      <c r="EQ127" s="69">
        <f>EQ100/EQ21</f>
        <v>3.5080548020192817</v>
      </c>
      <c r="ER127" s="69">
        <f>ER100/ER21</f>
        <v>3.5873585474417498</v>
      </c>
      <c r="ES127" s="69">
        <f>ES100/ES21</f>
        <v>3.5378048805689071</v>
      </c>
      <c r="ET127" s="69">
        <f>ET100/ET21</f>
        <v>3.6434354584158815</v>
      </c>
      <c r="EU127" s="69">
        <f>EU100/EU21</f>
        <v>3.7659482765927583</v>
      </c>
      <c r="EV127" s="140"/>
      <c r="EW127"/>
      <c r="EX127"/>
      <c r="EY127"/>
      <c r="EZ127"/>
      <c r="FA127"/>
      <c r="FB127"/>
      <c r="FC127" s="4"/>
      <c r="FD127" s="4"/>
      <c r="FE127" s="4"/>
      <c r="FF127" s="4"/>
      <c r="FG127" s="272"/>
      <c r="FH127" s="272"/>
      <c r="FI127" s="134"/>
      <c r="FJ127" s="134"/>
      <c r="FK127"/>
      <c r="FL127"/>
      <c r="FM127"/>
      <c r="FN127"/>
      <c r="FO127"/>
      <c r="FP127"/>
      <c r="FQ127"/>
      <c r="FR127"/>
      <c r="FS127"/>
      <c r="FT127"/>
      <c r="FU127"/>
      <c r="FV127"/>
      <c r="FW127"/>
      <c r="FX127"/>
      <c r="FY127"/>
      <c r="FZ127"/>
      <c r="GA127"/>
      <c r="GB127"/>
      <c r="GC127"/>
      <c r="GD127"/>
      <c r="GE127"/>
      <c r="GF127"/>
      <c r="GG127"/>
      <c r="GH127"/>
      <c r="GI127"/>
      <c r="GJ127"/>
      <c r="GK127"/>
      <c r="GL127"/>
      <c r="GM127"/>
      <c r="GN127"/>
      <c r="GO127"/>
      <c r="GP127"/>
      <c r="GQ127"/>
      <c r="GR127"/>
      <c r="GS127"/>
      <c r="GT127"/>
      <c r="GU127"/>
      <c r="GV127"/>
      <c r="GW127"/>
      <c r="GX127"/>
      <c r="GY127"/>
      <c r="GZ127"/>
      <c r="HA127"/>
      <c r="HB127"/>
      <c r="HC127"/>
      <c r="HD127"/>
      <c r="HE127"/>
      <c r="HF127"/>
      <c r="HG127"/>
      <c r="HH127"/>
      <c r="HI127"/>
      <c r="HJ127"/>
      <c r="HK127"/>
      <c r="HL127"/>
      <c r="HM127"/>
      <c r="HN127"/>
      <c r="HO127"/>
      <c r="HP127"/>
      <c r="HQ127"/>
      <c r="HR127"/>
      <c r="HS127"/>
      <c r="HT127"/>
      <c r="HU127"/>
      <c r="HV127"/>
      <c r="HW127"/>
      <c r="HX127"/>
      <c r="HY127"/>
      <c r="HZ127"/>
      <c r="IA127"/>
      <c r="IB127"/>
      <c r="IC127"/>
      <c r="ID127"/>
      <c r="IE127"/>
      <c r="IF127"/>
      <c r="IG127"/>
      <c r="IH127"/>
      <c r="II127"/>
      <c r="IJ127"/>
      <c r="IK127"/>
      <c r="IL127"/>
      <c r="IM127"/>
      <c r="IN127"/>
      <c r="IO127"/>
      <c r="IP127"/>
      <c r="IQ127"/>
      <c r="IR127"/>
      <c r="IS127"/>
      <c r="IT127"/>
      <c r="IU127"/>
      <c r="IV127"/>
      <c r="IW127"/>
      <c r="IX127"/>
      <c r="IY127"/>
      <c r="IZ127"/>
    </row>
    <row r="128" spans="1:260" s="4" customFormat="1" outlineLevel="1" x14ac:dyDescent="0.2">
      <c r="CG128" s="6"/>
      <c r="CP128" s="3"/>
      <c r="CR128" s="3"/>
      <c r="CS128" s="6"/>
      <c r="CU128" s="3"/>
      <c r="CV128" s="3"/>
      <c r="CW128" s="6"/>
      <c r="CX128" s="3"/>
      <c r="EK128" s="6"/>
      <c r="EL128" s="6"/>
      <c r="EW128"/>
      <c r="EX128"/>
      <c r="EY128"/>
      <c r="EZ128"/>
      <c r="FA128"/>
      <c r="FB128"/>
      <c r="FG128" s="7"/>
      <c r="FH128" s="7"/>
      <c r="FI128" s="134"/>
      <c r="FJ128" s="134"/>
      <c r="FK128"/>
      <c r="FL128"/>
      <c r="FM128"/>
      <c r="FN128"/>
      <c r="FO128"/>
      <c r="FP128"/>
      <c r="FQ128"/>
      <c r="FR128"/>
      <c r="FS128"/>
      <c r="FT128"/>
      <c r="FU128"/>
      <c r="FV128"/>
      <c r="FW128"/>
      <c r="FX128"/>
      <c r="FY128"/>
      <c r="FZ128"/>
      <c r="GA128"/>
      <c r="GB128"/>
      <c r="GC128"/>
      <c r="GD128"/>
      <c r="GE128"/>
      <c r="GF128"/>
      <c r="GG128"/>
      <c r="GH128"/>
      <c r="GI128"/>
      <c r="GJ128"/>
      <c r="GK128"/>
      <c r="GL128"/>
      <c r="GM128"/>
      <c r="GN128"/>
      <c r="GO128"/>
      <c r="GP128"/>
      <c r="GQ128"/>
      <c r="GR128"/>
      <c r="GS128"/>
      <c r="GT128"/>
      <c r="GU128"/>
      <c r="GV128"/>
      <c r="GW128"/>
      <c r="GX128"/>
      <c r="GY128"/>
      <c r="GZ128"/>
      <c r="HA128"/>
      <c r="HB128"/>
      <c r="HC128"/>
      <c r="HD128"/>
      <c r="HE128"/>
      <c r="HF128"/>
      <c r="HG128"/>
      <c r="HH128"/>
      <c r="HI128"/>
      <c r="HJ128"/>
      <c r="HK128"/>
      <c r="HL128"/>
      <c r="HM128"/>
      <c r="HN128"/>
      <c r="HO128"/>
      <c r="HP128"/>
      <c r="HQ128"/>
      <c r="HR128"/>
      <c r="HS128"/>
      <c r="HT128"/>
      <c r="HU128"/>
      <c r="HV128"/>
      <c r="HW128"/>
      <c r="HX128"/>
      <c r="HY128"/>
      <c r="HZ128"/>
      <c r="IA128"/>
      <c r="IB128"/>
      <c r="IC128"/>
      <c r="ID128"/>
      <c r="IE128"/>
      <c r="IF128"/>
      <c r="IG128"/>
      <c r="IH128"/>
      <c r="II128"/>
      <c r="IJ128"/>
      <c r="IK128"/>
      <c r="IL128"/>
      <c r="IM128"/>
      <c r="IN128"/>
      <c r="IO128"/>
      <c r="IP128"/>
      <c r="IQ128"/>
      <c r="IR128"/>
      <c r="IS128"/>
      <c r="IT128"/>
      <c r="IU128"/>
      <c r="IV128"/>
      <c r="IW128"/>
      <c r="IX128"/>
      <c r="IY128"/>
      <c r="IZ128"/>
    </row>
    <row r="129" spans="1:260" s="4" customFormat="1" outlineLevel="1" x14ac:dyDescent="0.2">
      <c r="A129" s="40" t="s">
        <v>316</v>
      </c>
      <c r="B129" s="294">
        <f t="shared" ref="B129:AG129" si="476">+B24/B10</f>
        <v>0.48758878743686318</v>
      </c>
      <c r="C129" s="294">
        <f t="shared" si="476"/>
        <v>0.48931365587477049</v>
      </c>
      <c r="D129" s="294">
        <f t="shared" si="476"/>
        <v>0.6324102564102565</v>
      </c>
      <c r="E129" s="294">
        <f t="shared" si="476"/>
        <v>0.46094521514225251</v>
      </c>
      <c r="F129" s="294">
        <f t="shared" si="476"/>
        <v>0.4437984551139928</v>
      </c>
      <c r="G129" s="294">
        <f t="shared" si="476"/>
        <v>0.55754487550665899</v>
      </c>
      <c r="H129" s="294">
        <f t="shared" si="476"/>
        <v>0.52827950210585617</v>
      </c>
      <c r="I129" s="294">
        <f t="shared" si="476"/>
        <v>0.44804704757309044</v>
      </c>
      <c r="J129" s="294">
        <f t="shared" si="476"/>
        <v>0.44747508706682326</v>
      </c>
      <c r="K129" s="294">
        <f t="shared" si="476"/>
        <v>0.5218484547617922</v>
      </c>
      <c r="L129" s="294">
        <f t="shared" si="476"/>
        <v>0.56883676373515868</v>
      </c>
      <c r="M129" s="294">
        <f t="shared" si="476"/>
        <v>0.5610094393502183</v>
      </c>
      <c r="N129" s="294">
        <f t="shared" si="476"/>
        <v>0.37641521769461322</v>
      </c>
      <c r="O129" s="294">
        <f t="shared" si="476"/>
        <v>0.4280245298062294</v>
      </c>
      <c r="P129" s="294">
        <f t="shared" si="476"/>
        <v>0.56805682189006623</v>
      </c>
      <c r="Q129" s="294">
        <f t="shared" si="476"/>
        <v>0.43089803623309386</v>
      </c>
      <c r="R129" s="294">
        <f t="shared" si="476"/>
        <v>0.4687802078706903</v>
      </c>
      <c r="S129" s="294">
        <f t="shared" si="476"/>
        <v>0.51994217245432994</v>
      </c>
      <c r="T129" s="294">
        <f t="shared" si="476"/>
        <v>0.68631695382745106</v>
      </c>
      <c r="U129" s="294">
        <f t="shared" si="476"/>
        <v>0.68542159225028942</v>
      </c>
      <c r="V129" s="294">
        <f t="shared" si="476"/>
        <v>0.63870029714551413</v>
      </c>
      <c r="W129" s="294">
        <f t="shared" si="476"/>
        <v>0.73642212187683553</v>
      </c>
      <c r="X129" s="294">
        <f t="shared" si="476"/>
        <v>0.91043712253579967</v>
      </c>
      <c r="Y129" s="294">
        <f t="shared" si="476"/>
        <v>0.96691406257466317</v>
      </c>
      <c r="Z129" s="294">
        <f t="shared" si="476"/>
        <v>0.78039600646394258</v>
      </c>
      <c r="AA129" s="294">
        <f t="shared" si="476"/>
        <v>0.82236965749903324</v>
      </c>
      <c r="AB129" s="294">
        <f t="shared" si="476"/>
        <v>0.99409904141235006</v>
      </c>
      <c r="AC129" s="294">
        <f t="shared" si="476"/>
        <v>1.110045696433414</v>
      </c>
      <c r="AD129" s="294">
        <f t="shared" si="476"/>
        <v>0.93074581430745817</v>
      </c>
      <c r="AE129" s="294">
        <f t="shared" si="476"/>
        <v>1.0150995195607413</v>
      </c>
      <c r="AF129" s="294">
        <f t="shared" si="476"/>
        <v>1.0665807560137457</v>
      </c>
      <c r="AG129" s="294">
        <f t="shared" si="476"/>
        <v>1.0033955857385399</v>
      </c>
      <c r="AH129" s="294">
        <f t="shared" ref="AH129:BM129" si="477">+AH24/AH10</f>
        <v>0.91973750630994444</v>
      </c>
      <c r="AI129" s="294">
        <f t="shared" si="477"/>
        <v>0.98374760994263866</v>
      </c>
      <c r="AJ129" s="294">
        <f t="shared" si="477"/>
        <v>1.0537727666955767</v>
      </c>
      <c r="AK129" s="294">
        <f t="shared" si="477"/>
        <v>1.1744000000000001</v>
      </c>
      <c r="AL129" s="294">
        <f t="shared" si="477"/>
        <v>0.91992409867172675</v>
      </c>
      <c r="AM129" s="294">
        <f t="shared" si="477"/>
        <v>0.97562119081106424</v>
      </c>
      <c r="AN129" s="294">
        <f t="shared" si="477"/>
        <v>1.0733274905054047</v>
      </c>
      <c r="AO129" s="294">
        <f t="shared" si="477"/>
        <v>1.0568127106403467</v>
      </c>
      <c r="AP129" s="294">
        <f t="shared" si="477"/>
        <v>0.99535472972972971</v>
      </c>
      <c r="AQ129" s="294">
        <f t="shared" si="477"/>
        <v>0.9806891329042029</v>
      </c>
      <c r="AR129" s="294">
        <f t="shared" si="477"/>
        <v>1.0164859981933152</v>
      </c>
      <c r="AS129" s="294">
        <f t="shared" si="477"/>
        <v>0.94361334867663982</v>
      </c>
      <c r="AT129" s="294">
        <f t="shared" si="477"/>
        <v>0.89571183533447685</v>
      </c>
      <c r="AU129" s="294">
        <f t="shared" si="477"/>
        <v>0.90324740542350179</v>
      </c>
      <c r="AV129" s="294">
        <f t="shared" si="477"/>
        <v>1.0377123912142561</v>
      </c>
      <c r="AW129" s="294">
        <f t="shared" si="477"/>
        <v>0.99052963872325495</v>
      </c>
      <c r="AX129" s="294">
        <f t="shared" si="477"/>
        <v>0.9329454990814452</v>
      </c>
      <c r="AY129" s="294">
        <f t="shared" si="477"/>
        <v>0.84923076923076923</v>
      </c>
      <c r="AZ129" s="294">
        <f t="shared" si="477"/>
        <v>1.0020700037636432</v>
      </c>
      <c r="BA129" s="294">
        <f t="shared" si="477"/>
        <v>0.96884361893349313</v>
      </c>
      <c r="BB129" s="294">
        <f t="shared" si="477"/>
        <v>0.81750066898581752</v>
      </c>
      <c r="BC129" s="294">
        <f t="shared" si="477"/>
        <v>0.95282785873055076</v>
      </c>
      <c r="BD129" s="294">
        <f t="shared" si="477"/>
        <v>1.0407626561472716</v>
      </c>
      <c r="BE129" s="294">
        <f t="shared" si="477"/>
        <v>0.97666335650446867</v>
      </c>
      <c r="BF129" s="294">
        <f t="shared" si="477"/>
        <v>0.92066077245230338</v>
      </c>
      <c r="BG129" s="294">
        <f t="shared" si="477"/>
        <v>0.9273118279569893</v>
      </c>
      <c r="BH129" s="294">
        <f t="shared" si="477"/>
        <v>1.019594685277144</v>
      </c>
      <c r="BI129" s="294">
        <f t="shared" si="477"/>
        <v>0.91270178419711134</v>
      </c>
      <c r="BJ129" s="294">
        <f t="shared" si="477"/>
        <v>0.93846153846153846</v>
      </c>
      <c r="BK129" s="294">
        <f t="shared" si="477"/>
        <v>0.97035217035217036</v>
      </c>
      <c r="BL129" s="294">
        <f t="shared" si="477"/>
        <v>1.0014621664432801</v>
      </c>
      <c r="BM129" s="294">
        <f t="shared" si="477"/>
        <v>1.0513359983168524</v>
      </c>
      <c r="BN129" s="294">
        <f t="shared" ref="BN129:CK129" si="478">+BN24/BN10</f>
        <v>0.91068173532628505</v>
      </c>
      <c r="BO129" s="294">
        <f t="shared" si="478"/>
        <v>0.94231439525967231</v>
      </c>
      <c r="BP129" s="294">
        <f t="shared" si="478"/>
        <v>1.0116952550679439</v>
      </c>
      <c r="BQ129" s="294">
        <f t="shared" si="478"/>
        <v>0.96172074371126504</v>
      </c>
      <c r="BR129" s="294">
        <f t="shared" si="478"/>
        <v>0.92501973164956586</v>
      </c>
      <c r="BS129" s="294">
        <f t="shared" si="478"/>
        <v>0.8781909864481563</v>
      </c>
      <c r="BT129" s="294">
        <f t="shared" si="478"/>
        <v>0.97953100158982509</v>
      </c>
      <c r="BU129" s="294">
        <f t="shared" si="478"/>
        <v>0.82991351534678648</v>
      </c>
      <c r="BV129" s="294">
        <f t="shared" si="478"/>
        <v>0.89899307740717427</v>
      </c>
      <c r="BW129" s="294">
        <f t="shared" si="478"/>
        <v>0.91051069811026086</v>
      </c>
      <c r="BX129" s="294">
        <f t="shared" si="478"/>
        <v>1.0915401301518439</v>
      </c>
      <c r="BY129" s="294">
        <f t="shared" si="478"/>
        <v>0.93596231024254062</v>
      </c>
      <c r="BZ129" s="294">
        <f t="shared" si="478"/>
        <v>0.9449299258037922</v>
      </c>
      <c r="CA129" s="294">
        <f t="shared" si="478"/>
        <v>0.96126369264962697</v>
      </c>
      <c r="CB129" s="294">
        <f t="shared" si="478"/>
        <v>0.97265816576753306</v>
      </c>
      <c r="CC129" s="294">
        <f t="shared" si="478"/>
        <v>1.0578298584690307</v>
      </c>
      <c r="CD129" s="300">
        <f t="shared" si="478"/>
        <v>0.87456509796740522</v>
      </c>
      <c r="CE129" s="300">
        <f t="shared" si="478"/>
        <v>0.91373919440868123</v>
      </c>
      <c r="CF129" s="300">
        <f t="shared" si="478"/>
        <v>0.94267698480940099</v>
      </c>
      <c r="CG129" s="300">
        <f t="shared" si="478"/>
        <v>0.95275297619047616</v>
      </c>
      <c r="CH129" s="300">
        <f t="shared" si="478"/>
        <v>0.94234062797335871</v>
      </c>
      <c r="CI129" s="300">
        <f t="shared" si="478"/>
        <v>0.939279957012359</v>
      </c>
      <c r="CJ129" s="300">
        <f t="shared" si="478"/>
        <v>0.96028985507246378</v>
      </c>
      <c r="CK129" s="300">
        <f t="shared" si="478"/>
        <v>0.97216853498260536</v>
      </c>
      <c r="CL129" s="300">
        <f t="shared" ref="CL129:CS129" si="479">+CL24/CL10</f>
        <v>0.92981744421906698</v>
      </c>
      <c r="CM129" s="300">
        <f t="shared" si="479"/>
        <v>0.93693693693693691</v>
      </c>
      <c r="CN129" s="300">
        <f t="shared" si="479"/>
        <v>0.92978499473763343</v>
      </c>
      <c r="CO129" s="300">
        <f t="shared" si="479"/>
        <v>0.88101366066125519</v>
      </c>
      <c r="CP129" s="1346">
        <f t="shared" si="479"/>
        <v>0.93176520449247724</v>
      </c>
      <c r="CQ129" s="300">
        <f t="shared" si="479"/>
        <v>0.97799511002444983</v>
      </c>
      <c r="CR129" s="1346">
        <f t="shared" si="479"/>
        <v>0.98452061285736847</v>
      </c>
      <c r="CS129" s="300">
        <f t="shared" si="479"/>
        <v>1.024671052631579</v>
      </c>
      <c r="CT129" s="300">
        <f t="shared" ref="CT129:DA129" si="480">+CT24/CT10</f>
        <v>0.99180504636618505</v>
      </c>
      <c r="CU129" s="1346">
        <f t="shared" si="480"/>
        <v>0.98161408941358619</v>
      </c>
      <c r="CV129" s="1346">
        <f t="shared" si="480"/>
        <v>0.98859372654960231</v>
      </c>
      <c r="CW129" s="300">
        <f t="shared" si="480"/>
        <v>0.93549625647917067</v>
      </c>
      <c r="CX129" s="1346">
        <f t="shared" si="480"/>
        <v>0.99180504636618505</v>
      </c>
      <c r="CY129" s="300">
        <f t="shared" si="480"/>
        <v>0.98161408941358619</v>
      </c>
      <c r="CZ129" s="300">
        <f t="shared" si="480"/>
        <v>0.98859372654960243</v>
      </c>
      <c r="DA129" s="300">
        <f t="shared" si="480"/>
        <v>0.93549625647917067</v>
      </c>
      <c r="DB129" s="294"/>
      <c r="DC129" s="294"/>
      <c r="DD129" s="294">
        <f t="shared" ref="DD129:EE129" si="481">+DD24/DD10</f>
        <v>0.34198127610397405</v>
      </c>
      <c r="DE129" s="294">
        <f t="shared" si="481"/>
        <v>0.19686187774465494</v>
      </c>
      <c r="DF129" s="294">
        <f t="shared" si="481"/>
        <v>0.24911034561365994</v>
      </c>
      <c r="DG129" s="294">
        <f t="shared" si="481"/>
        <v>0.22562045652545526</v>
      </c>
      <c r="DH129" s="294">
        <f t="shared" si="481"/>
        <v>0.31949328429632978</v>
      </c>
      <c r="DI129" s="294">
        <f t="shared" si="481"/>
        <v>0.43789975335479286</v>
      </c>
      <c r="DJ129" s="294">
        <f t="shared" si="481"/>
        <v>0.50552864441467049</v>
      </c>
      <c r="DK129" s="294">
        <f t="shared" si="481"/>
        <v>0.47336904128548624</v>
      </c>
      <c r="DL129" s="294">
        <f t="shared" si="481"/>
        <v>0.46094521514225251</v>
      </c>
      <c r="DM129" s="294">
        <f t="shared" si="481"/>
        <v>0.44804704757309044</v>
      </c>
      <c r="DN129" s="294">
        <f t="shared" si="481"/>
        <v>0.5610094393502183</v>
      </c>
      <c r="DO129" s="294">
        <f t="shared" si="481"/>
        <v>0.43089803623309386</v>
      </c>
      <c r="DP129" s="294">
        <f t="shared" si="481"/>
        <v>0.68542159225028942</v>
      </c>
      <c r="DQ129" s="294">
        <f t="shared" si="481"/>
        <v>0.96691406257466317</v>
      </c>
      <c r="DR129" s="294">
        <f t="shared" si="481"/>
        <v>1.110045696433414</v>
      </c>
      <c r="DS129" s="294">
        <f t="shared" si="481"/>
        <v>1.0033955857385399</v>
      </c>
      <c r="DT129" s="294">
        <f t="shared" si="481"/>
        <v>1.1744000000000001</v>
      </c>
      <c r="DU129" s="294">
        <f t="shared" si="481"/>
        <v>1.0568127106403467</v>
      </c>
      <c r="DV129" s="294">
        <f t="shared" si="481"/>
        <v>0.94361334867663982</v>
      </c>
      <c r="DW129" s="294">
        <f t="shared" si="481"/>
        <v>0.99052963872325495</v>
      </c>
      <c r="DX129" s="294">
        <f t="shared" si="481"/>
        <v>0.96884361893349313</v>
      </c>
      <c r="DY129" s="294">
        <f t="shared" si="481"/>
        <v>0.97666335650446867</v>
      </c>
      <c r="DZ129" s="294">
        <f t="shared" si="481"/>
        <v>0.91270178419711134</v>
      </c>
      <c r="EA129" s="294">
        <f t="shared" si="481"/>
        <v>1.0513359983168524</v>
      </c>
      <c r="EB129" s="294">
        <f t="shared" si="481"/>
        <v>0.96172074371126504</v>
      </c>
      <c r="EC129" s="294">
        <f t="shared" si="481"/>
        <v>0.82991351534678648</v>
      </c>
      <c r="ED129" s="294">
        <f t="shared" si="481"/>
        <v>0.93596231024254062</v>
      </c>
      <c r="EE129" s="294">
        <f t="shared" si="481"/>
        <v>0.8960651289009498</v>
      </c>
      <c r="EF129" s="15">
        <f>BZ129</f>
        <v>0.9449299258037922</v>
      </c>
      <c r="EG129" s="294">
        <f>+EG24/EG10</f>
        <v>1.0578298584690307</v>
      </c>
      <c r="EH129" s="294">
        <f>+EH24/EH10</f>
        <v>0.95275297619047616</v>
      </c>
      <c r="EI129" s="294">
        <f t="shared" ref="EI129:EP129" si="482">+EI24/EI10</f>
        <v>0.97216853498260536</v>
      </c>
      <c r="EJ129" s="294">
        <f>+EJ24/EJ10</f>
        <v>0.88101366066125519</v>
      </c>
      <c r="EK129" s="300">
        <f t="shared" si="482"/>
        <v>1.024671052631579</v>
      </c>
      <c r="EL129" s="300">
        <f>+EL24/EL10</f>
        <v>0.93549625647917067</v>
      </c>
      <c r="EM129" s="294">
        <f t="shared" si="482"/>
        <v>0.93549625647917067</v>
      </c>
      <c r="EN129" s="294">
        <f t="shared" si="482"/>
        <v>0.93878892592657226</v>
      </c>
      <c r="EO129" s="294">
        <f t="shared" si="482"/>
        <v>0.93878892592657226</v>
      </c>
      <c r="EP129" s="294">
        <f t="shared" si="482"/>
        <v>0.93878892592657237</v>
      </c>
      <c r="EQ129" s="294">
        <f>+EQ24/EQ10</f>
        <v>0.93878892592657226</v>
      </c>
      <c r="ER129" s="294">
        <f>+ER24/ER10</f>
        <v>0.93878892592657226</v>
      </c>
      <c r="ES129" s="294">
        <f>+ES24/ES10</f>
        <v>0.93878892592657237</v>
      </c>
      <c r="ET129" s="294">
        <f>+ET24/ET10</f>
        <v>0.93878892592657215</v>
      </c>
      <c r="EU129" s="294">
        <f>+EU24/EU10</f>
        <v>0.93878892592657237</v>
      </c>
      <c r="EV129" s="300"/>
      <c r="EW129"/>
      <c r="EX129"/>
      <c r="EY129"/>
      <c r="EZ129"/>
      <c r="FA129"/>
      <c r="FB129"/>
      <c r="FG129" s="1346"/>
      <c r="FH129" s="1346"/>
      <c r="FI129" s="134"/>
      <c r="FJ129" s="134"/>
      <c r="FK129"/>
      <c r="FL129"/>
      <c r="FM129"/>
      <c r="FN129"/>
      <c r="FO129"/>
      <c r="FP129"/>
      <c r="FQ129"/>
      <c r="FR129"/>
      <c r="FS129"/>
      <c r="FT129"/>
      <c r="FU129"/>
      <c r="FV129"/>
      <c r="FW129"/>
      <c r="FX129"/>
      <c r="FY129"/>
      <c r="FZ129"/>
      <c r="GA129"/>
      <c r="GB129"/>
      <c r="GC129"/>
      <c r="GD129"/>
      <c r="GE129"/>
      <c r="GF129"/>
      <c r="GG129"/>
      <c r="GH129"/>
      <c r="GI129"/>
      <c r="GJ129"/>
      <c r="GK129"/>
      <c r="GL129"/>
      <c r="GM129"/>
      <c r="GN129"/>
      <c r="GO129"/>
      <c r="GP129"/>
      <c r="GQ129"/>
      <c r="GR129"/>
      <c r="GS129"/>
      <c r="GT129"/>
      <c r="GU129"/>
      <c r="GV129"/>
      <c r="GW129"/>
      <c r="GX129"/>
      <c r="GY129"/>
      <c r="GZ129"/>
      <c r="HA129"/>
      <c r="HB129"/>
      <c r="HC129"/>
      <c r="HD129"/>
      <c r="HE129"/>
      <c r="HF129"/>
      <c r="HG129"/>
      <c r="HH129"/>
      <c r="HI129"/>
      <c r="HJ129"/>
      <c r="HK129"/>
      <c r="HL129"/>
      <c r="HM129"/>
      <c r="HN129"/>
      <c r="HO129"/>
      <c r="HP129"/>
      <c r="HQ129"/>
      <c r="HR129"/>
      <c r="HS129"/>
      <c r="HT129"/>
      <c r="HU129"/>
      <c r="HV129"/>
      <c r="HW129"/>
      <c r="HX129"/>
      <c r="HY129"/>
      <c r="HZ129"/>
      <c r="IA129"/>
      <c r="IB129"/>
      <c r="IC129"/>
      <c r="ID129"/>
      <c r="IE129"/>
      <c r="IF129"/>
      <c r="IG129"/>
      <c r="IH129"/>
      <c r="II129"/>
      <c r="IJ129"/>
      <c r="IK129"/>
      <c r="IL129"/>
      <c r="IM129"/>
      <c r="IN129"/>
      <c r="IO129"/>
      <c r="IP129"/>
      <c r="IQ129"/>
      <c r="IR129"/>
      <c r="IS129"/>
      <c r="IT129"/>
      <c r="IU129"/>
      <c r="IV129"/>
      <c r="IW129"/>
      <c r="IX129"/>
      <c r="IY129"/>
      <c r="IZ129"/>
    </row>
    <row r="130" spans="1:260" s="4" customFormat="1" outlineLevel="1" x14ac:dyDescent="0.2">
      <c r="A130" s="40" t="s">
        <v>317</v>
      </c>
      <c r="B130" s="294"/>
      <c r="C130" s="294"/>
      <c r="D130" s="294"/>
      <c r="E130" s="294">
        <f t="shared" ref="E130:AJ130" si="483">+E24/(E101+D101+C101+B101)</f>
        <v>0.115335331809701</v>
      </c>
      <c r="F130" s="294">
        <f t="shared" si="483"/>
        <v>0.10735001369926037</v>
      </c>
      <c r="G130" s="294">
        <f t="shared" si="483"/>
        <v>0.14837406141325185</v>
      </c>
      <c r="H130" s="294">
        <f t="shared" si="483"/>
        <v>0.21154640470989367</v>
      </c>
      <c r="I130" s="294">
        <f t="shared" si="483"/>
        <v>9.2656990148123314E-2</v>
      </c>
      <c r="J130" s="294">
        <f t="shared" si="483"/>
        <v>9.4408245969740623E-2</v>
      </c>
      <c r="K130" s="294">
        <f t="shared" si="483"/>
        <v>0.12756752820951017</v>
      </c>
      <c r="L130" s="294">
        <f t="shared" si="483"/>
        <v>0.19659188098720948</v>
      </c>
      <c r="M130" s="294">
        <f t="shared" si="483"/>
        <v>0.10728629138892545</v>
      </c>
      <c r="N130" s="294">
        <f t="shared" si="483"/>
        <v>7.8158162524725086E-2</v>
      </c>
      <c r="O130" s="294">
        <f t="shared" si="483"/>
        <v>9.0062972773728475E-2</v>
      </c>
      <c r="P130" s="294">
        <f t="shared" si="483"/>
        <v>0.15076446057165102</v>
      </c>
      <c r="Q130" s="294">
        <f t="shared" si="483"/>
        <v>7.2678246467938121E-2</v>
      </c>
      <c r="R130" s="294">
        <f t="shared" si="483"/>
        <v>7.8061655557449108E-2</v>
      </c>
      <c r="S130" s="294">
        <f t="shared" si="483"/>
        <v>9.3008430502021761E-2</v>
      </c>
      <c r="T130" s="294">
        <f t="shared" si="483"/>
        <v>0.17327386496638519</v>
      </c>
      <c r="U130" s="294">
        <f t="shared" si="483"/>
        <v>0.10348410791005047</v>
      </c>
      <c r="V130" s="294">
        <f t="shared" si="483"/>
        <v>9.6915452721848636E-2</v>
      </c>
      <c r="W130" s="294">
        <f t="shared" si="483"/>
        <v>0.11431130745195918</v>
      </c>
      <c r="X130" s="294">
        <f t="shared" si="483"/>
        <v>0.19656575873920809</v>
      </c>
      <c r="Y130" s="294">
        <f t="shared" si="483"/>
        <v>0.12263405042567245</v>
      </c>
      <c r="Z130" s="294">
        <f t="shared" si="483"/>
        <v>0.10103893159766064</v>
      </c>
      <c r="AA130" s="294">
        <f t="shared" si="483"/>
        <v>0.11807176979929203</v>
      </c>
      <c r="AB130" s="294">
        <f t="shared" si="483"/>
        <v>0.21937233301932677</v>
      </c>
      <c r="AC130" s="294">
        <f t="shared" si="483"/>
        <v>0.13008541873873952</v>
      </c>
      <c r="AD130" s="294">
        <f t="shared" si="483"/>
        <v>0.11608603085439508</v>
      </c>
      <c r="AE130" s="294">
        <f t="shared" si="483"/>
        <v>0.13569310275353325</v>
      </c>
      <c r="AF130" s="294">
        <f t="shared" si="483"/>
        <v>0.21731776662452468</v>
      </c>
      <c r="AG130" s="294">
        <f t="shared" si="483"/>
        <v>0.14453187730849526</v>
      </c>
      <c r="AH130" s="294">
        <f t="shared" si="483"/>
        <v>0.14278924127737594</v>
      </c>
      <c r="AI130" s="294">
        <f t="shared" si="483"/>
        <v>0.15294702837970012</v>
      </c>
      <c r="AJ130" s="294">
        <f t="shared" si="483"/>
        <v>0.25776841152426344</v>
      </c>
      <c r="AK130" s="294">
        <f t="shared" ref="AK130:BP130" si="484">+AK24/(AK101+AJ101+AI101+AH101)</f>
        <v>0.14518362233797058</v>
      </c>
      <c r="AL130" s="294">
        <f t="shared" si="484"/>
        <v>0.15701515740380878</v>
      </c>
      <c r="AM130" s="294">
        <f t="shared" si="484"/>
        <v>0.13260689479385712</v>
      </c>
      <c r="AN130" s="294">
        <f t="shared" si="484"/>
        <v>0.23185661996718415</v>
      </c>
      <c r="AO130" s="294">
        <f t="shared" si="484"/>
        <v>0.13971992361553151</v>
      </c>
      <c r="AP130" s="294">
        <f t="shared" si="484"/>
        <v>0.1466616887561446</v>
      </c>
      <c r="AQ130" s="294">
        <f t="shared" si="484"/>
        <v>0.15579884504331087</v>
      </c>
      <c r="AR130" s="294">
        <f t="shared" si="484"/>
        <v>0.26033894383712186</v>
      </c>
      <c r="AS130" s="294">
        <f t="shared" si="484"/>
        <v>0.13331165664119654</v>
      </c>
      <c r="AT130" s="294">
        <f t="shared" si="484"/>
        <v>0.13643013899049011</v>
      </c>
      <c r="AU130" s="294">
        <f t="shared" si="484"/>
        <v>0.13678766984384505</v>
      </c>
      <c r="AV130" s="294">
        <f t="shared" si="484"/>
        <v>0.24691844985701608</v>
      </c>
      <c r="AW130" s="294">
        <f t="shared" si="484"/>
        <v>0.13487439105931798</v>
      </c>
      <c r="AX130" s="294">
        <f t="shared" si="484"/>
        <v>0.14285044538209096</v>
      </c>
      <c r="AY130" s="294">
        <f t="shared" si="484"/>
        <v>0.12712449910183779</v>
      </c>
      <c r="AZ130" s="294">
        <f t="shared" si="484"/>
        <v>0.24036291414642955</v>
      </c>
      <c r="BA130" s="294">
        <f t="shared" si="484"/>
        <v>0.13986679352997144</v>
      </c>
      <c r="BB130" s="294">
        <f t="shared" si="484"/>
        <v>0.12859909075601952</v>
      </c>
      <c r="BC130" s="294">
        <f t="shared" si="484"/>
        <v>0.15768822038747649</v>
      </c>
      <c r="BD130" s="294">
        <f t="shared" si="484"/>
        <v>0.2493207859195968</v>
      </c>
      <c r="BE130" s="294">
        <f t="shared" si="484"/>
        <v>0.14481870053377507</v>
      </c>
      <c r="BF130" s="294">
        <f t="shared" si="484"/>
        <v>0.14129115189602229</v>
      </c>
      <c r="BG130" s="294">
        <f t="shared" si="484"/>
        <v>0.14912159358140822</v>
      </c>
      <c r="BH130" s="294">
        <f t="shared" si="484"/>
        <v>0.25298877751506876</v>
      </c>
      <c r="BI130" s="294">
        <f t="shared" si="484"/>
        <v>0.14099156741149063</v>
      </c>
      <c r="BJ130" s="294">
        <f t="shared" si="484"/>
        <v>0.15006869229048853</v>
      </c>
      <c r="BK130" s="294">
        <f t="shared" si="484"/>
        <v>0.18450230472156473</v>
      </c>
      <c r="BL130" s="294">
        <f t="shared" si="484"/>
        <v>0.24788876824707443</v>
      </c>
      <c r="BM130" s="294">
        <f t="shared" si="484"/>
        <v>0.14689713966546139</v>
      </c>
      <c r="BN130" s="294">
        <f t="shared" si="484"/>
        <v>0.14398524410628855</v>
      </c>
      <c r="BO130" s="294">
        <f t="shared" si="484"/>
        <v>0.15181379155435759</v>
      </c>
      <c r="BP130" s="294">
        <f t="shared" si="484"/>
        <v>0.25189273135694279</v>
      </c>
      <c r="BQ130" s="294">
        <f t="shared" ref="BQ130:CH130" si="485">+BQ24/(BQ101+BP101+BO101+BN101)</f>
        <v>0.1405658869291842</v>
      </c>
      <c r="BR130" s="294">
        <f t="shared" si="485"/>
        <v>0.15425111871545144</v>
      </c>
      <c r="BS130" s="294">
        <f t="shared" si="485"/>
        <v>0.14637669739710557</v>
      </c>
      <c r="BT130" s="294">
        <f t="shared" si="485"/>
        <v>0.26011926750752018</v>
      </c>
      <c r="BU130" s="294">
        <f t="shared" si="485"/>
        <v>0.13012150700592912</v>
      </c>
      <c r="BV130" s="294">
        <f t="shared" si="485"/>
        <v>0.15120802349890181</v>
      </c>
      <c r="BW130" s="294">
        <f t="shared" si="485"/>
        <v>0.15405755357661918</v>
      </c>
      <c r="BX130" s="294">
        <f t="shared" si="485"/>
        <v>0.26420939329500409</v>
      </c>
      <c r="BY130" s="294">
        <f t="shared" si="485"/>
        <v>0.13984774220460944</v>
      </c>
      <c r="BZ130" s="294">
        <f t="shared" si="485"/>
        <v>0.14737572967829865</v>
      </c>
      <c r="CA130" s="294">
        <f t="shared" si="485"/>
        <v>0.15770282588878759</v>
      </c>
      <c r="CB130" s="294">
        <f t="shared" si="485"/>
        <v>0.21207260673136044</v>
      </c>
      <c r="CC130" s="294">
        <f t="shared" si="485"/>
        <v>0.18397649674448149</v>
      </c>
      <c r="CD130" s="300">
        <f t="shared" si="485"/>
        <v>0.13302880062392067</v>
      </c>
      <c r="CE130" s="300">
        <f t="shared" si="485"/>
        <v>0.14381658175081055</v>
      </c>
      <c r="CF130" s="300">
        <f t="shared" si="485"/>
        <v>0.19808479884365213</v>
      </c>
      <c r="CG130" s="300">
        <f t="shared" si="485"/>
        <v>0.16272715719913586</v>
      </c>
      <c r="CH130" s="300">
        <f t="shared" si="485"/>
        <v>0.15808459696727853</v>
      </c>
      <c r="CI130" s="300">
        <f t="shared" ref="CI130:CO130" si="486">+CI24/(CI101+CH101+CG101+CF101)</f>
        <v>0.16817933998268175</v>
      </c>
      <c r="CJ130" s="300">
        <f t="shared" si="486"/>
        <v>0.21165271832875487</v>
      </c>
      <c r="CK130" s="300">
        <f t="shared" si="486"/>
        <v>0.16074396011760195</v>
      </c>
      <c r="CL130" s="300">
        <f t="shared" si="486"/>
        <v>0.14683836248318277</v>
      </c>
      <c r="CM130" s="300">
        <f t="shared" si="486"/>
        <v>0.150096215522771</v>
      </c>
      <c r="CN130" s="300">
        <f t="shared" si="486"/>
        <v>0.19992241044872625</v>
      </c>
      <c r="CO130" s="300">
        <f t="shared" si="486"/>
        <v>0.14626610570602155</v>
      </c>
      <c r="CP130" s="1346">
        <f t="shared" ref="CP130:DA130" si="487">+CP24/(CP101+CO101+CN101+CM101)</f>
        <v>0.14508199425875209</v>
      </c>
      <c r="CQ130" s="300">
        <f t="shared" si="487"/>
        <v>0.15823306411735619</v>
      </c>
      <c r="CR130" s="1346">
        <f t="shared" si="487"/>
        <v>0.20524218775725245</v>
      </c>
      <c r="CS130" s="300">
        <f t="shared" si="487"/>
        <v>0.16532873349698135</v>
      </c>
      <c r="CT130" s="300">
        <f t="shared" si="487"/>
        <v>0.15243114248781942</v>
      </c>
      <c r="CU130" s="1346">
        <f t="shared" si="487"/>
        <v>0.16636599206219044</v>
      </c>
      <c r="CV130" s="1346">
        <f t="shared" si="487"/>
        <v>0.21396784148124087</v>
      </c>
      <c r="CW130" s="300">
        <f t="shared" si="487"/>
        <v>0.15098373353989156</v>
      </c>
      <c r="CX130" s="1346">
        <f t="shared" si="487"/>
        <v>0.15243114248781944</v>
      </c>
      <c r="CY130" s="300">
        <f t="shared" si="487"/>
        <v>0.16636599206219044</v>
      </c>
      <c r="CZ130" s="300">
        <f t="shared" si="487"/>
        <v>0.21396784148124087</v>
      </c>
      <c r="DA130" s="300">
        <f t="shared" si="487"/>
        <v>0.15098373353989156</v>
      </c>
      <c r="DB130" s="294"/>
      <c r="DC130" s="294"/>
      <c r="DD130" s="294">
        <f t="shared" ref="DD130:EE130" si="488">+DD24/DD101</f>
        <v>9.6020823747510628E-2</v>
      </c>
      <c r="DE130" s="294">
        <f t="shared" si="488"/>
        <v>6.8519055694394856E-2</v>
      </c>
      <c r="DF130" s="294">
        <f t="shared" si="488"/>
        <v>7.3242158305899904E-2</v>
      </c>
      <c r="DG130" s="294">
        <f t="shared" si="488"/>
        <v>5.8826681248542394E-2</v>
      </c>
      <c r="DH130" s="294">
        <f t="shared" si="488"/>
        <v>7.5692531890988485E-2</v>
      </c>
      <c r="DI130" s="294">
        <f t="shared" si="488"/>
        <v>8.0089302439378701E-2</v>
      </c>
      <c r="DJ130" s="294">
        <f t="shared" si="488"/>
        <v>9.1727555668354194E-2</v>
      </c>
      <c r="DK130" s="294">
        <f t="shared" si="488"/>
        <v>8.8580060242046066E-2</v>
      </c>
      <c r="DL130" s="294">
        <f t="shared" si="488"/>
        <v>0.11533533180970103</v>
      </c>
      <c r="DM130" s="294">
        <f t="shared" si="488"/>
        <v>9.2656990148123314E-2</v>
      </c>
      <c r="DN130" s="294">
        <f t="shared" si="488"/>
        <v>0.10728629138892547</v>
      </c>
      <c r="DO130" s="294">
        <f t="shared" si="488"/>
        <v>7.2678246467938121E-2</v>
      </c>
      <c r="DP130" s="294">
        <f t="shared" si="488"/>
        <v>0.10348410791005049</v>
      </c>
      <c r="DQ130" s="294">
        <f t="shared" si="488"/>
        <v>0.12263405042567245</v>
      </c>
      <c r="DR130" s="294">
        <f t="shared" si="488"/>
        <v>0.13008541873873952</v>
      </c>
      <c r="DS130" s="294">
        <f t="shared" si="488"/>
        <v>0.14453187730849526</v>
      </c>
      <c r="DT130" s="294">
        <f t="shared" si="488"/>
        <v>0.14518362233797058</v>
      </c>
      <c r="DU130" s="294">
        <f t="shared" si="488"/>
        <v>0.13971992361553151</v>
      </c>
      <c r="DV130" s="294">
        <f t="shared" si="488"/>
        <v>0.13331165664119654</v>
      </c>
      <c r="DW130" s="294">
        <f t="shared" si="488"/>
        <v>0.13487439105931798</v>
      </c>
      <c r="DX130" s="294">
        <f t="shared" si="488"/>
        <v>0.13986679352997144</v>
      </c>
      <c r="DY130" s="294">
        <f t="shared" si="488"/>
        <v>0.14481870053377507</v>
      </c>
      <c r="DZ130" s="294">
        <f t="shared" si="488"/>
        <v>0.14099156741149063</v>
      </c>
      <c r="EA130" s="294">
        <f t="shared" si="488"/>
        <v>0.14689713966546139</v>
      </c>
      <c r="EB130" s="294">
        <f t="shared" si="488"/>
        <v>0.1405658869291842</v>
      </c>
      <c r="EC130" s="294">
        <f t="shared" si="488"/>
        <v>0.13012150700592912</v>
      </c>
      <c r="ED130" s="294">
        <f t="shared" si="488"/>
        <v>0.13984774220460944</v>
      </c>
      <c r="EE130" s="294">
        <f t="shared" si="488"/>
        <v>0.17558692935577358</v>
      </c>
      <c r="EF130" s="15">
        <f>BZ130</f>
        <v>0.14737572967829865</v>
      </c>
      <c r="EG130" s="294">
        <f>+EG24/EG101</f>
        <v>0.18397649674448149</v>
      </c>
      <c r="EH130" s="294">
        <f>+EH24/EH101</f>
        <v>0.16272715719913586</v>
      </c>
      <c r="EI130" s="294">
        <f t="shared" ref="EI130:EP130" si="489">+EI24/EI101</f>
        <v>0.16074396011760195</v>
      </c>
      <c r="EJ130" s="294">
        <f>+EJ24/EJ101</f>
        <v>0.14626610570602155</v>
      </c>
      <c r="EK130" s="300">
        <f t="shared" si="489"/>
        <v>0.16532873349698135</v>
      </c>
      <c r="EL130" s="300">
        <f>+EL24/EL101</f>
        <v>0.15098373353989156</v>
      </c>
      <c r="EM130" s="294">
        <f t="shared" si="489"/>
        <v>0.15098373353989158</v>
      </c>
      <c r="EN130" s="294">
        <f t="shared" si="489"/>
        <v>0.15151515151515152</v>
      </c>
      <c r="EO130" s="294">
        <f t="shared" si="489"/>
        <v>0.15151515151515155</v>
      </c>
      <c r="EP130" s="294">
        <f t="shared" si="489"/>
        <v>0.15151515151515152</v>
      </c>
      <c r="EQ130" s="294">
        <f>+EQ24/EQ101</f>
        <v>0.15151515151515152</v>
      </c>
      <c r="ER130" s="294">
        <f>+ER24/ER101</f>
        <v>0.15151515151515152</v>
      </c>
      <c r="ES130" s="294">
        <f>+ES24/ES101</f>
        <v>0.15151515151515155</v>
      </c>
      <c r="ET130" s="294">
        <f>+ET24/ET101</f>
        <v>0.15151515151515152</v>
      </c>
      <c r="EU130" s="294">
        <f>+EU24/EU101</f>
        <v>0.15151515151515155</v>
      </c>
      <c r="EV130" s="300"/>
      <c r="EW130"/>
      <c r="EX130"/>
      <c r="EY130"/>
      <c r="EZ130"/>
      <c r="FA130"/>
      <c r="FB130"/>
      <c r="FG130" s="1346"/>
      <c r="FH130" s="1346"/>
      <c r="FI130" s="134"/>
      <c r="FJ130" s="134"/>
      <c r="FK130"/>
      <c r="FL130"/>
      <c r="FM130"/>
      <c r="FN130"/>
      <c r="FO130"/>
      <c r="FP130"/>
      <c r="FQ130"/>
      <c r="FR130"/>
      <c r="FS130"/>
      <c r="FT130"/>
      <c r="FU130"/>
      <c r="FV130"/>
      <c r="FW130"/>
      <c r="FX130"/>
      <c r="FY130"/>
      <c r="FZ130"/>
      <c r="GA130"/>
      <c r="GB130"/>
      <c r="GC130"/>
      <c r="GD130"/>
      <c r="GE130"/>
      <c r="GF130"/>
      <c r="GG130"/>
      <c r="GH130"/>
      <c r="GI130"/>
      <c r="GJ130"/>
      <c r="GK130"/>
      <c r="GL130"/>
      <c r="GM130"/>
      <c r="GN130"/>
      <c r="GO130"/>
      <c r="GP130"/>
      <c r="GQ130"/>
      <c r="GR130"/>
      <c r="GS130"/>
      <c r="GT130"/>
      <c r="GU130"/>
      <c r="GV130"/>
      <c r="GW130"/>
      <c r="GX130"/>
      <c r="GY130"/>
      <c r="GZ130"/>
      <c r="HA130"/>
      <c r="HB130"/>
      <c r="HC130"/>
      <c r="HD130"/>
      <c r="HE130"/>
      <c r="HF130"/>
      <c r="HG130"/>
      <c r="HH130"/>
      <c r="HI130"/>
      <c r="HJ130"/>
      <c r="HK130"/>
      <c r="HL130"/>
      <c r="HM130"/>
      <c r="HN130"/>
      <c r="HO130"/>
      <c r="HP130"/>
      <c r="HQ130"/>
      <c r="HR130"/>
      <c r="HS130"/>
      <c r="HT130"/>
      <c r="HU130"/>
      <c r="HV130"/>
      <c r="HW130"/>
      <c r="HX130"/>
      <c r="HY130"/>
      <c r="HZ130"/>
      <c r="IA130"/>
      <c r="IB130"/>
      <c r="IC130"/>
      <c r="ID130"/>
      <c r="IE130"/>
      <c r="IF130"/>
      <c r="IG130"/>
      <c r="IH130"/>
      <c r="II130"/>
      <c r="IJ130"/>
      <c r="IK130"/>
      <c r="IL130"/>
      <c r="IM130"/>
      <c r="IN130"/>
      <c r="IO130"/>
      <c r="IP130"/>
      <c r="IQ130"/>
      <c r="IR130"/>
      <c r="IS130"/>
      <c r="IT130"/>
      <c r="IU130"/>
      <c r="IV130"/>
      <c r="IW130"/>
      <c r="IX130"/>
      <c r="IY130"/>
      <c r="IZ130"/>
    </row>
    <row r="131" spans="1:260" s="4" customFormat="1" outlineLevel="1" x14ac:dyDescent="0.2">
      <c r="A131" s="4" t="s">
        <v>188</v>
      </c>
      <c r="B131" s="6"/>
      <c r="C131" s="6"/>
      <c r="D131" s="6"/>
      <c r="E131" s="6"/>
      <c r="F131" s="6"/>
      <c r="G131" s="6"/>
      <c r="H131" s="6"/>
      <c r="I131" s="6"/>
      <c r="J131" s="6"/>
      <c r="K131" s="6"/>
      <c r="L131" s="6"/>
      <c r="M131" s="6"/>
      <c r="N131" s="6"/>
      <c r="O131" s="6"/>
      <c r="P131" s="6"/>
      <c r="Q131" s="6"/>
      <c r="R131" s="6">
        <v>0</v>
      </c>
      <c r="S131" s="6">
        <v>0</v>
      </c>
      <c r="T131" s="6">
        <v>0</v>
      </c>
      <c r="U131" s="6">
        <v>0</v>
      </c>
      <c r="V131" s="6">
        <v>0</v>
      </c>
      <c r="W131" s="6">
        <v>0</v>
      </c>
      <c r="X131" s="6">
        <v>0</v>
      </c>
      <c r="Y131" s="6">
        <v>0</v>
      </c>
      <c r="Z131" s="6">
        <v>0</v>
      </c>
      <c r="AA131" s="6">
        <v>0</v>
      </c>
      <c r="AB131" s="6">
        <v>0</v>
      </c>
      <c r="AC131" s="6">
        <v>0</v>
      </c>
      <c r="AD131" s="6">
        <v>0</v>
      </c>
      <c r="AE131" s="6">
        <v>0</v>
      </c>
      <c r="AF131" s="6">
        <v>0</v>
      </c>
      <c r="AG131" s="6">
        <v>0</v>
      </c>
      <c r="AH131" s="6">
        <v>0</v>
      </c>
      <c r="AI131" s="6">
        <v>0</v>
      </c>
      <c r="AJ131" s="6">
        <v>0</v>
      </c>
      <c r="AK131" s="6">
        <v>0</v>
      </c>
      <c r="AL131" s="6">
        <v>0</v>
      </c>
      <c r="AM131" s="6">
        <v>0</v>
      </c>
      <c r="AN131" s="6">
        <v>0</v>
      </c>
      <c r="AO131" s="6">
        <v>0</v>
      </c>
      <c r="AP131" s="6">
        <v>0</v>
      </c>
      <c r="AQ131" s="6">
        <v>0</v>
      </c>
      <c r="AR131" s="6">
        <v>0</v>
      </c>
      <c r="AS131" s="6">
        <v>0</v>
      </c>
      <c r="AT131" s="6">
        <v>0</v>
      </c>
      <c r="AU131" s="6">
        <v>0</v>
      </c>
      <c r="AV131" s="6">
        <v>0</v>
      </c>
      <c r="AW131" s="6">
        <v>0</v>
      </c>
      <c r="AX131" s="6">
        <v>0</v>
      </c>
      <c r="AY131" s="6">
        <v>0</v>
      </c>
      <c r="AZ131" s="6">
        <v>0</v>
      </c>
      <c r="BA131" s="6">
        <v>0</v>
      </c>
      <c r="BB131" s="6">
        <v>0</v>
      </c>
      <c r="BC131" s="6">
        <v>0</v>
      </c>
      <c r="BD131" s="6">
        <v>0</v>
      </c>
      <c r="BE131" s="6">
        <v>0</v>
      </c>
      <c r="BF131" s="6">
        <v>0</v>
      </c>
      <c r="BG131" s="6">
        <v>0</v>
      </c>
      <c r="BH131" s="6">
        <v>0</v>
      </c>
      <c r="BI131" s="6">
        <v>0</v>
      </c>
      <c r="BJ131" s="6">
        <v>0</v>
      </c>
      <c r="BK131" s="6">
        <v>0</v>
      </c>
      <c r="BL131" s="6">
        <v>0</v>
      </c>
      <c r="BM131" s="6">
        <v>0</v>
      </c>
      <c r="BN131" s="6">
        <v>0</v>
      </c>
      <c r="BO131" s="6">
        <v>0</v>
      </c>
      <c r="BP131" s="6">
        <v>0</v>
      </c>
      <c r="BQ131" s="6">
        <v>0</v>
      </c>
      <c r="BR131" s="6">
        <v>0</v>
      </c>
      <c r="BS131" s="6">
        <v>0</v>
      </c>
      <c r="BT131" s="6">
        <v>0</v>
      </c>
      <c r="BU131" s="6">
        <v>0</v>
      </c>
      <c r="BV131" s="6">
        <v>0</v>
      </c>
      <c r="BW131" s="6">
        <v>0</v>
      </c>
      <c r="BX131" s="6">
        <v>0</v>
      </c>
      <c r="BY131" s="6">
        <v>0</v>
      </c>
      <c r="BZ131" s="6">
        <v>0</v>
      </c>
      <c r="CA131" s="6">
        <v>0</v>
      </c>
      <c r="CB131" s="6">
        <v>0</v>
      </c>
      <c r="CC131" s="6">
        <v>0</v>
      </c>
      <c r="CD131" s="6">
        <v>0</v>
      </c>
      <c r="CE131" s="6">
        <v>0</v>
      </c>
      <c r="CF131" s="6">
        <v>0</v>
      </c>
      <c r="CG131" s="6">
        <v>0</v>
      </c>
      <c r="CH131" s="6">
        <v>0</v>
      </c>
      <c r="CI131" s="6">
        <v>0</v>
      </c>
      <c r="CJ131" s="6">
        <v>0</v>
      </c>
      <c r="CK131" s="6">
        <v>0</v>
      </c>
      <c r="CL131" s="6">
        <v>0</v>
      </c>
      <c r="CM131" s="6">
        <v>0</v>
      </c>
      <c r="CN131" s="6">
        <v>0</v>
      </c>
      <c r="CO131" s="6">
        <v>0</v>
      </c>
      <c r="CP131" s="7">
        <v>0</v>
      </c>
      <c r="CQ131" s="6">
        <v>0</v>
      </c>
      <c r="CR131" s="7">
        <v>0</v>
      </c>
      <c r="CS131" s="6">
        <v>0</v>
      </c>
      <c r="CT131" s="6">
        <v>0</v>
      </c>
      <c r="CU131" s="7">
        <v>0</v>
      </c>
      <c r="CV131" s="7">
        <v>0</v>
      </c>
      <c r="CW131" s="6">
        <v>0</v>
      </c>
      <c r="CX131" s="7">
        <v>0</v>
      </c>
      <c r="CY131" s="6">
        <v>0</v>
      </c>
      <c r="CZ131" s="6">
        <v>0</v>
      </c>
      <c r="DA131" s="6">
        <v>0</v>
      </c>
      <c r="DD131" s="6"/>
      <c r="DE131" s="6"/>
      <c r="DF131" s="6"/>
      <c r="DG131" s="6"/>
      <c r="DH131" s="6"/>
      <c r="DI131" s="6"/>
      <c r="DJ131" s="6"/>
      <c r="DK131" s="6"/>
      <c r="DL131" s="6"/>
      <c r="DM131" s="6"/>
      <c r="DN131" s="6"/>
      <c r="DO131" s="6"/>
      <c r="DP131" s="6">
        <v>0</v>
      </c>
      <c r="DQ131" s="6">
        <v>0</v>
      </c>
      <c r="DR131" s="6">
        <v>0</v>
      </c>
      <c r="DS131" s="6">
        <v>0</v>
      </c>
      <c r="DT131" s="6">
        <v>0</v>
      </c>
      <c r="DU131" s="6">
        <v>0</v>
      </c>
      <c r="DV131" s="6">
        <v>0</v>
      </c>
      <c r="DW131" s="6">
        <v>0</v>
      </c>
      <c r="DX131" s="6">
        <v>0</v>
      </c>
      <c r="DY131" s="6">
        <v>0</v>
      </c>
      <c r="DZ131" s="6">
        <v>0</v>
      </c>
      <c r="EA131" s="6">
        <v>0</v>
      </c>
      <c r="EB131" s="6">
        <v>0</v>
      </c>
      <c r="EE131" s="6">
        <v>0</v>
      </c>
      <c r="EF131" s="6">
        <v>0</v>
      </c>
      <c r="EG131" s="6">
        <v>0</v>
      </c>
      <c r="EH131" s="6">
        <v>0</v>
      </c>
      <c r="EI131" s="6">
        <v>0</v>
      </c>
      <c r="EJ131" s="6">
        <v>0</v>
      </c>
      <c r="EK131" s="6">
        <v>0</v>
      </c>
      <c r="EL131" s="6">
        <v>0</v>
      </c>
      <c r="EM131" s="6">
        <v>0</v>
      </c>
      <c r="EN131" s="6">
        <v>0</v>
      </c>
      <c r="EO131" s="6">
        <v>0</v>
      </c>
      <c r="EP131" s="6">
        <v>0</v>
      </c>
      <c r="EQ131" s="6">
        <v>0</v>
      </c>
      <c r="ER131" s="6">
        <v>0</v>
      </c>
      <c r="ES131" s="6">
        <v>0</v>
      </c>
      <c r="ET131" s="6">
        <v>0</v>
      </c>
      <c r="EU131" s="6">
        <v>0</v>
      </c>
      <c r="EV131" s="6"/>
      <c r="EW131"/>
      <c r="EX131"/>
      <c r="EY131"/>
      <c r="EZ131"/>
      <c r="FA131"/>
      <c r="FB131"/>
      <c r="FG131" s="7"/>
      <c r="FH131" s="7"/>
      <c r="FI131" s="134"/>
      <c r="FJ131" s="134"/>
      <c r="FK131"/>
      <c r="FL131"/>
      <c r="FM131"/>
      <c r="FN131"/>
      <c r="FO131"/>
      <c r="FP131"/>
      <c r="FQ131"/>
      <c r="FR131"/>
      <c r="FS131"/>
      <c r="FT131"/>
      <c r="FU131"/>
      <c r="FV131"/>
      <c r="FW131"/>
      <c r="FX131"/>
      <c r="FY131"/>
      <c r="FZ131"/>
      <c r="GA131"/>
      <c r="GB131"/>
      <c r="GC131"/>
      <c r="GD131"/>
      <c r="GE131"/>
      <c r="GF131"/>
      <c r="GG131"/>
      <c r="GH131"/>
      <c r="GI131"/>
      <c r="GJ131"/>
      <c r="GK131"/>
      <c r="GL131"/>
      <c r="GM131"/>
      <c r="GN131"/>
      <c r="GO131"/>
      <c r="GP131"/>
      <c r="GQ131"/>
      <c r="GR131"/>
      <c r="GS131"/>
      <c r="GT131"/>
      <c r="GU131"/>
      <c r="GV131"/>
      <c r="GW131"/>
      <c r="GX131"/>
      <c r="GY131"/>
      <c r="GZ131"/>
      <c r="HA131"/>
      <c r="HB131"/>
      <c r="HC131"/>
      <c r="HD131"/>
      <c r="HE131"/>
      <c r="HF131"/>
      <c r="HG131"/>
      <c r="HH131"/>
      <c r="HI131"/>
      <c r="HJ131"/>
      <c r="HK131"/>
      <c r="HL131"/>
      <c r="HM131"/>
      <c r="HN131"/>
      <c r="HO131"/>
      <c r="HP131"/>
      <c r="HQ131"/>
      <c r="HR131"/>
      <c r="HS131"/>
      <c r="HT131"/>
      <c r="HU131"/>
      <c r="HV131"/>
      <c r="HW131"/>
      <c r="HX131"/>
      <c r="HY131"/>
      <c r="HZ131"/>
      <c r="IA131"/>
      <c r="IB131"/>
      <c r="IC131"/>
      <c r="ID131"/>
      <c r="IE131"/>
      <c r="IF131"/>
      <c r="IG131"/>
      <c r="IH131"/>
      <c r="II131"/>
      <c r="IJ131"/>
      <c r="IK131"/>
      <c r="IL131"/>
      <c r="IM131"/>
      <c r="IN131"/>
      <c r="IO131"/>
      <c r="IP131"/>
      <c r="IQ131"/>
      <c r="IR131"/>
      <c r="IS131"/>
      <c r="IT131"/>
      <c r="IU131"/>
      <c r="IV131"/>
      <c r="IW131"/>
      <c r="IX131"/>
      <c r="IY131"/>
      <c r="IZ131"/>
    </row>
    <row r="132" spans="1:260" s="4" customFormat="1" outlineLevel="1" x14ac:dyDescent="0.2">
      <c r="A132" s="1901" t="s">
        <v>694</v>
      </c>
      <c r="B132" s="63"/>
      <c r="C132" s="63"/>
      <c r="D132" s="63"/>
      <c r="E132" s="63"/>
      <c r="F132" s="63"/>
      <c r="G132" s="63"/>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c r="AE132" s="63"/>
      <c r="AF132" s="63"/>
      <c r="AG132" s="63"/>
      <c r="AH132" s="63"/>
      <c r="AI132" s="63"/>
      <c r="AJ132" s="63"/>
      <c r="AK132" s="63"/>
      <c r="AL132" s="63"/>
      <c r="AM132" s="63"/>
      <c r="AN132" s="63"/>
      <c r="AO132" s="63"/>
      <c r="AP132" s="63"/>
      <c r="AQ132" s="63"/>
      <c r="AR132" s="63"/>
      <c r="AS132" s="63"/>
      <c r="AT132" s="63"/>
      <c r="AU132" s="63"/>
      <c r="AV132" s="63"/>
      <c r="AW132" s="63"/>
      <c r="AX132" s="63"/>
      <c r="AY132" s="63"/>
      <c r="AZ132" s="63"/>
      <c r="BA132" s="63"/>
      <c r="BB132" s="63"/>
      <c r="BC132" s="63"/>
      <c r="BD132" s="63"/>
      <c r="BE132" s="63"/>
      <c r="BF132" s="63"/>
      <c r="BG132" s="63"/>
      <c r="BH132" s="63"/>
      <c r="BI132" s="63"/>
      <c r="BJ132" s="63"/>
      <c r="BK132" s="63"/>
      <c r="BL132" s="63"/>
      <c r="BM132" s="63"/>
      <c r="BN132" s="63"/>
      <c r="BO132" s="63"/>
      <c r="BP132" s="63"/>
      <c r="BQ132" s="63"/>
      <c r="BR132" s="63"/>
      <c r="BS132" s="63"/>
      <c r="BT132" s="63"/>
      <c r="BU132" s="63"/>
      <c r="BV132" s="63"/>
      <c r="BW132" s="63"/>
      <c r="BX132" s="63"/>
      <c r="BY132" s="63"/>
      <c r="BZ132" s="63"/>
      <c r="CA132" s="63"/>
      <c r="CB132" s="63"/>
      <c r="CC132" s="63"/>
      <c r="CD132" s="148"/>
      <c r="CE132" s="148"/>
      <c r="CF132" s="148"/>
      <c r="CG132" s="148"/>
      <c r="CH132" s="148"/>
      <c r="CI132" s="148"/>
      <c r="CJ132" s="148"/>
      <c r="CK132" s="148"/>
      <c r="CL132" s="148">
        <f t="shared" ref="CL132" si="490">(CL10*1000)/AVERAGE(CK109:CL109)</f>
        <v>2911.9905493207325</v>
      </c>
      <c r="CM132" s="148">
        <f>(CM10*1000)/AVERAGE(CL109:CM109)</f>
        <v>3022.6928895612709</v>
      </c>
      <c r="CN132" s="148">
        <f t="shared" ref="CN132:EU132" si="491">(CN10*1000)/AVERAGE(CM109:CN109)</f>
        <v>4038.2513661202188</v>
      </c>
      <c r="CO132" s="148">
        <f t="shared" si="491"/>
        <v>3082.6975892584683</v>
      </c>
      <c r="CP132" s="1095">
        <f t="shared" si="491"/>
        <v>2905.7881773399013</v>
      </c>
      <c r="CQ132" s="148">
        <f t="shared" si="491"/>
        <v>3041.8345212271461</v>
      </c>
      <c r="CR132" s="1095">
        <f t="shared" si="491"/>
        <v>3949.4697442295696</v>
      </c>
      <c r="CS132" s="148">
        <f t="shared" si="491"/>
        <v>3067.8019552191736</v>
      </c>
      <c r="CT132" s="148">
        <f t="shared" si="491"/>
        <v>2956.3277016257571</v>
      </c>
      <c r="CU132" s="1095">
        <f t="shared" si="491"/>
        <v>3313.2414235331839</v>
      </c>
      <c r="CV132" s="1095">
        <f t="shared" si="491"/>
        <v>4307.0458952811896</v>
      </c>
      <c r="CW132" s="148">
        <f t="shared" si="491"/>
        <v>3421.3464696223318</v>
      </c>
      <c r="CX132" s="1095">
        <f t="shared" si="491"/>
        <v>3613.592869008482</v>
      </c>
      <c r="CY132" s="148">
        <f t="shared" si="491"/>
        <v>4402.6796824416997</v>
      </c>
      <c r="CZ132" s="148">
        <f t="shared" si="491"/>
        <v>5638.5322227396346</v>
      </c>
      <c r="DA132" s="148">
        <f t="shared" si="491"/>
        <v>4194.1156308590853</v>
      </c>
      <c r="DB132" s="63"/>
      <c r="DC132" s="63"/>
      <c r="DD132" s="63"/>
      <c r="DE132" s="63"/>
      <c r="DF132" s="63"/>
      <c r="DG132" s="63"/>
      <c r="DH132" s="63"/>
      <c r="DI132" s="63">
        <f t="shared" si="491"/>
        <v>1708.6428571428571</v>
      </c>
      <c r="DJ132" s="63">
        <f t="shared" si="491"/>
        <v>2106.015503875969</v>
      </c>
      <c r="DK132" s="63">
        <f t="shared" si="491"/>
        <v>2717.2934782608695</v>
      </c>
      <c r="DL132" s="63">
        <f t="shared" si="491"/>
        <v>5747.2972972972975</v>
      </c>
      <c r="DM132" s="63">
        <f t="shared" si="491"/>
        <v>4449.3970588235297</v>
      </c>
      <c r="DN132" s="63">
        <f t="shared" si="491"/>
        <v>5279.745054945055</v>
      </c>
      <c r="DO132" s="63">
        <f t="shared" si="491"/>
        <v>4329.0975143403439</v>
      </c>
      <c r="DP132" s="63">
        <f t="shared" si="491"/>
        <v>3808.9335727109515</v>
      </c>
      <c r="DQ132" s="63">
        <f t="shared" si="491"/>
        <v>3511.2953020134228</v>
      </c>
      <c r="DR132" s="63">
        <f t="shared" si="491"/>
        <v>3543.9550898203593</v>
      </c>
      <c r="DS132" s="63">
        <f t="shared" si="491"/>
        <v>4554.1237113402058</v>
      </c>
      <c r="DT132" s="63">
        <f t="shared" si="491"/>
        <v>3784.0565085771946</v>
      </c>
      <c r="DU132" s="63">
        <f t="shared" si="491"/>
        <v>3366.2884927066452</v>
      </c>
      <c r="DV132" s="63">
        <f t="shared" si="491"/>
        <v>3671.8309859154929</v>
      </c>
      <c r="DW132" s="63">
        <f t="shared" si="491"/>
        <v>3572.6817042606517</v>
      </c>
      <c r="DX132" s="63">
        <f t="shared" si="491"/>
        <v>3752.6700393479482</v>
      </c>
      <c r="DY132" s="63">
        <f t="shared" si="491"/>
        <v>3812.5887363937532</v>
      </c>
      <c r="DZ132" s="63">
        <f t="shared" si="491"/>
        <v>3787.6106194690265</v>
      </c>
      <c r="EA132" s="63"/>
      <c r="EB132" s="63"/>
      <c r="EC132" s="63"/>
      <c r="ED132" s="63"/>
      <c r="EE132" s="63"/>
      <c r="EF132" s="63"/>
      <c r="EG132" s="63"/>
      <c r="EH132" s="63">
        <f t="shared" si="491"/>
        <v>1746.0214355310166</v>
      </c>
      <c r="EI132" s="63">
        <f t="shared" si="491"/>
        <v>2949.8289623717219</v>
      </c>
      <c r="EJ132" s="63">
        <f t="shared" si="491"/>
        <v>3006.5476190476193</v>
      </c>
      <c r="EK132" s="148">
        <f t="shared" si="491"/>
        <v>3034.3106674984406</v>
      </c>
      <c r="EL132" s="148">
        <f t="shared" si="491"/>
        <v>3379.1761271488808</v>
      </c>
      <c r="EM132" s="63">
        <f t="shared" si="491"/>
        <v>3799.8230906077229</v>
      </c>
      <c r="EN132" s="63">
        <f t="shared" si="491"/>
        <v>4239.4087784468138</v>
      </c>
      <c r="EO132" s="63">
        <f t="shared" si="491"/>
        <v>4271.4318944195284</v>
      </c>
      <c r="EP132" s="63">
        <f t="shared" si="491"/>
        <v>4295.7439566977109</v>
      </c>
      <c r="EQ132" s="63">
        <f t="shared" si="491"/>
        <v>4332.1404997180489</v>
      </c>
      <c r="ER132" s="63">
        <f t="shared" si="491"/>
        <v>4370.3884048643249</v>
      </c>
      <c r="ES132" s="63">
        <f t="shared" si="491"/>
        <v>4410.5705581350167</v>
      </c>
      <c r="ET132" s="63">
        <f t="shared" si="491"/>
        <v>4452.773779442382</v>
      </c>
      <c r="EU132" s="63">
        <f t="shared" si="491"/>
        <v>4497.0890075266334</v>
      </c>
      <c r="EV132" s="318"/>
      <c r="EW132"/>
      <c r="EX132"/>
      <c r="EY132"/>
      <c r="EZ132"/>
      <c r="FA132"/>
      <c r="FB132"/>
      <c r="FG132" s="1095"/>
      <c r="FH132" s="1095"/>
      <c r="FI132" s="134"/>
      <c r="FJ132" s="134"/>
      <c r="FK132" s="1899"/>
      <c r="FL132" s="1899"/>
      <c r="FM132" s="1899"/>
      <c r="FN132" s="1899"/>
      <c r="FO132" s="1899"/>
      <c r="FP132" s="1899"/>
      <c r="FQ132" s="1899"/>
      <c r="FR132" s="1899"/>
      <c r="FS132" s="1899"/>
      <c r="FT132" s="1899"/>
      <c r="FU132" s="1899"/>
      <c r="FV132" s="1899"/>
      <c r="FW132" s="1899"/>
      <c r="FX132" s="1899"/>
      <c r="FY132" s="1899"/>
      <c r="FZ132" s="1899"/>
      <c r="GA132" s="1899"/>
      <c r="GB132" s="1899"/>
      <c r="GC132" s="1899"/>
      <c r="GD132" s="1899"/>
      <c r="GE132" s="1899"/>
      <c r="GF132" s="1899"/>
      <c r="GG132" s="1899"/>
      <c r="GH132" s="1899"/>
      <c r="GI132" s="1899"/>
      <c r="GJ132" s="1899"/>
      <c r="GK132" s="1899"/>
      <c r="GL132" s="1899"/>
      <c r="GM132" s="1899"/>
      <c r="GN132" s="1899"/>
      <c r="GO132" s="1899"/>
      <c r="GP132" s="1899"/>
      <c r="GQ132" s="1899"/>
      <c r="GR132" s="1899"/>
      <c r="GS132" s="1899"/>
      <c r="GT132" s="1899"/>
      <c r="GU132" s="1899"/>
      <c r="GV132" s="1899"/>
      <c r="GW132" s="1899"/>
      <c r="GX132" s="1899"/>
      <c r="GY132" s="1899"/>
      <c r="GZ132" s="1899"/>
      <c r="HA132" s="1899"/>
      <c r="HB132" s="1899"/>
      <c r="HC132" s="1899"/>
      <c r="HD132" s="1899"/>
      <c r="HE132" s="1899"/>
      <c r="HF132" s="1899"/>
      <c r="HG132" s="1899"/>
      <c r="HH132" s="1899"/>
      <c r="HI132" s="1899"/>
      <c r="HJ132" s="1899"/>
      <c r="HK132" s="1899"/>
      <c r="HL132" s="1899"/>
      <c r="HM132" s="1899"/>
      <c r="HN132" s="1899"/>
      <c r="HO132" s="1899"/>
      <c r="HP132" s="1899"/>
      <c r="HQ132" s="1899"/>
      <c r="HR132" s="1899"/>
      <c r="HS132" s="1899"/>
      <c r="HT132" s="1899"/>
      <c r="HU132" s="1899"/>
      <c r="HV132" s="1899"/>
      <c r="HW132" s="1899"/>
      <c r="HX132" s="1899"/>
      <c r="HY132" s="1899"/>
      <c r="HZ132" s="1899"/>
      <c r="IA132" s="1899"/>
      <c r="IB132" s="1899"/>
      <c r="IC132" s="1899"/>
      <c r="ID132" s="1899"/>
      <c r="IE132" s="1899"/>
      <c r="IF132" s="1899"/>
      <c r="IG132" s="1899"/>
      <c r="IH132" s="1899"/>
      <c r="II132" s="1899"/>
      <c r="IJ132" s="1899"/>
      <c r="IK132" s="1899"/>
      <c r="IL132" s="1899"/>
      <c r="IM132" s="1899"/>
      <c r="IN132" s="1899"/>
      <c r="IO132" s="1899"/>
      <c r="IP132" s="1899"/>
      <c r="IQ132" s="1899"/>
      <c r="IR132" s="1899"/>
      <c r="IS132" s="1899"/>
      <c r="IT132" s="1899"/>
      <c r="IU132" s="1899"/>
      <c r="IV132" s="1899"/>
      <c r="IW132" s="1899"/>
      <c r="IX132" s="1899"/>
      <c r="IY132" s="1899"/>
      <c r="IZ132" s="1899"/>
    </row>
    <row r="133" spans="1:260" s="4" customFormat="1" outlineLevel="1" x14ac:dyDescent="0.2">
      <c r="A133" s="1901" t="s">
        <v>699</v>
      </c>
      <c r="B133" s="63"/>
      <c r="C133" s="63"/>
      <c r="D133" s="63"/>
      <c r="E133" s="63"/>
      <c r="F133" s="296"/>
      <c r="G133" s="296"/>
      <c r="H133" s="296"/>
      <c r="I133" s="296"/>
      <c r="J133" s="296"/>
      <c r="K133" s="296"/>
      <c r="L133" s="296"/>
      <c r="M133" s="296"/>
      <c r="N133" s="296"/>
      <c r="O133" s="296"/>
      <c r="P133" s="296"/>
      <c r="Q133" s="296"/>
      <c r="R133" s="296"/>
      <c r="S133" s="296"/>
      <c r="T133" s="296"/>
      <c r="U133" s="296"/>
      <c r="V133" s="296"/>
      <c r="W133" s="296"/>
      <c r="X133" s="296"/>
      <c r="Y133" s="296"/>
      <c r="Z133" s="296"/>
      <c r="AA133" s="296"/>
      <c r="AB133" s="296"/>
      <c r="AC133" s="296"/>
      <c r="AD133" s="296"/>
      <c r="AE133" s="296"/>
      <c r="AF133" s="296"/>
      <c r="AG133" s="296"/>
      <c r="AH133" s="296"/>
      <c r="AI133" s="296"/>
      <c r="AJ133" s="296"/>
      <c r="AK133" s="296"/>
      <c r="AL133" s="296"/>
      <c r="AM133" s="296"/>
      <c r="AN133" s="296"/>
      <c r="AO133" s="296"/>
      <c r="AP133" s="296"/>
      <c r="AQ133" s="296"/>
      <c r="AR133" s="296"/>
      <c r="AS133" s="296"/>
      <c r="AT133" s="296"/>
      <c r="AU133" s="296"/>
      <c r="AV133" s="296"/>
      <c r="AW133" s="296"/>
      <c r="AX133" s="296"/>
      <c r="AY133" s="296"/>
      <c r="AZ133" s="296"/>
      <c r="BA133" s="296"/>
      <c r="BB133" s="296"/>
      <c r="BC133" s="296"/>
      <c r="BD133" s="296"/>
      <c r="BE133" s="296"/>
      <c r="BF133" s="296"/>
      <c r="BG133" s="296"/>
      <c r="BH133" s="296"/>
      <c r="BI133" s="296"/>
      <c r="BJ133" s="296"/>
      <c r="BK133" s="296"/>
      <c r="BL133" s="296"/>
      <c r="BM133" s="296"/>
      <c r="BN133" s="296"/>
      <c r="BO133" s="296"/>
      <c r="BP133" s="296"/>
      <c r="BQ133" s="296"/>
      <c r="BR133" s="296"/>
      <c r="BS133" s="296"/>
      <c r="BT133" s="296"/>
      <c r="BU133" s="296"/>
      <c r="BV133" s="296"/>
      <c r="BW133" s="296"/>
      <c r="BX133" s="296"/>
      <c r="BY133" s="318"/>
      <c r="BZ133" s="318"/>
      <c r="CA133" s="318"/>
      <c r="CB133" s="318"/>
      <c r="CC133" s="318"/>
      <c r="CD133" s="318"/>
      <c r="CE133" s="318"/>
      <c r="CF133" s="318"/>
      <c r="CG133" s="318"/>
      <c r="CH133" s="318"/>
      <c r="CI133" s="318"/>
      <c r="CJ133" s="318"/>
      <c r="CK133" s="318"/>
      <c r="CL133" s="318">
        <f>SUM('Income Statement'!CU9:CX9)/AVERAGE('Balance Sheet'!CK10:CL10)</f>
        <v>1.789390340459224</v>
      </c>
      <c r="CM133" s="318">
        <f>SUM('Income Statement'!CV9:CY9)/AVERAGE('Balance Sheet'!CL10:CM10)</f>
        <v>1.8432241813602015</v>
      </c>
      <c r="CN133" s="318">
        <f>SUM('Income Statement'!CW9:CZ9)/AVERAGE('Balance Sheet'!CM10:CN10)</f>
        <v>1.5768504207453202</v>
      </c>
      <c r="CO133" s="318">
        <f>SUM('Income Statement'!CX9:DA9)/AVERAGE('Balance Sheet'!CN10:CO10)</f>
        <v>1.5559733378909588</v>
      </c>
      <c r="CP133" s="1366">
        <f>SUM('Income Statement'!CY9:DB9)/AVERAGE('Balance Sheet'!CO10:CP10)</f>
        <v>1.8640736949846468</v>
      </c>
      <c r="CQ133" s="318">
        <f>SUM('Income Statement'!CZ9:DC9)/AVERAGE('Balance Sheet'!CP10:CQ10)</f>
        <v>1.8869845226965825</v>
      </c>
      <c r="CR133" s="1366">
        <f>SUM('Income Statement'!DA9:DD9)/AVERAGE('Balance Sheet'!CQ10:CR10)</f>
        <v>1.6327075362576742</v>
      </c>
      <c r="CS133" s="318">
        <f>SUM('Income Statement'!DB9:DE9)/AVERAGE('Balance Sheet'!CR10:CS10)</f>
        <v>1.6537740062527915</v>
      </c>
      <c r="CT133" s="318">
        <f>SUM('Income Statement'!DC9:DF9)/AVERAGE('Balance Sheet'!CS10:CT10)</f>
        <v>1.9612672350278919</v>
      </c>
      <c r="CU133" s="1366">
        <f>SUM('Income Statement'!DD9:DG9)/AVERAGE('Balance Sheet'!CT10:CU10)</f>
        <v>1.9192166462668299</v>
      </c>
      <c r="CV133" s="1366">
        <f>SUM('Income Statement'!DE9:DH9)/AVERAGE('Balance Sheet'!CU10:CV10)</f>
        <v>1.6035502958579881</v>
      </c>
      <c r="CW133" s="318">
        <f>SUM('Income Statement'!DF9:DI9)/AVERAGE('Balance Sheet'!CV10:CW10)</f>
        <v>1.6637466307277629</v>
      </c>
      <c r="CX133" s="1366">
        <f>SUM('Income Statement'!DG9:DJ9)/AVERAGE('Balance Sheet'!CW10:CX10)</f>
        <v>1.9421826287758905</v>
      </c>
      <c r="CY133" s="318">
        <f>SUM('Income Statement'!DH9:DK9)/AVERAGE('Balance Sheet'!CX10:CY10)</f>
        <v>1.8871616681664491</v>
      </c>
      <c r="CZ133" s="318">
        <f>SUM('Income Statement'!DI9:DL9)/AVERAGE('Balance Sheet'!CY10:CZ10)</f>
        <v>1.5791063950134105</v>
      </c>
      <c r="DA133" s="318">
        <f>SUM('Income Statement'!DJ9:DM9)/AVERAGE('Balance Sheet'!CZ10:DA10)</f>
        <v>1.60974577901399</v>
      </c>
      <c r="DB133" s="296"/>
      <c r="DC133" s="296"/>
      <c r="DD133" s="296"/>
      <c r="DE133" s="296"/>
      <c r="DF133" s="296">
        <f>'Income Statement'!DS9/AVERAGE('Balance Sheet'!DE10:DF10)</f>
        <v>1.4439370330424166</v>
      </c>
      <c r="DG133" s="296">
        <f>'Income Statement'!DT9/AVERAGE('Balance Sheet'!DF10:DG10)</f>
        <v>1.2022199224987185</v>
      </c>
      <c r="DH133" s="296">
        <f>'Income Statement'!DU9/AVERAGE('Balance Sheet'!DG10:DH10)</f>
        <v>1.4540929410484</v>
      </c>
      <c r="DI133" s="296">
        <f>'Income Statement'!DV9/AVERAGE('Balance Sheet'!DH10:DI10)</f>
        <v>1.9193003842586458</v>
      </c>
      <c r="DJ133" s="296">
        <f>'Income Statement'!DW9/AVERAGE('Balance Sheet'!DI10:DJ10)</f>
        <v>2.453624277606449</v>
      </c>
      <c r="DK133" s="296">
        <f>'Income Statement'!DX9/AVERAGE('Balance Sheet'!DJ10:DK10)</f>
        <v>2.3685363204943122</v>
      </c>
      <c r="DL133" s="296">
        <f>'Income Statement'!DY9/AVERAGE('Balance Sheet'!DK10:DL10)</f>
        <v>1.5551506237463977</v>
      </c>
      <c r="DM133" s="296">
        <f>'Income Statement'!DZ9/AVERAGE('Balance Sheet'!DL10:DM10)</f>
        <v>1.2118628880059683</v>
      </c>
      <c r="DN133" s="296">
        <f>'Income Statement'!EA9/AVERAGE('Balance Sheet'!DM10:DN10)</f>
        <v>1.0042407622465459</v>
      </c>
      <c r="DO133" s="296">
        <f>'Income Statement'!EB9/AVERAGE('Balance Sheet'!DN10:DO10)</f>
        <v>1.1418801894907467</v>
      </c>
      <c r="DP133" s="296">
        <f>'Income Statement'!EC9/AVERAGE('Balance Sheet'!DO10:DP10)</f>
        <v>1.6549471987785753</v>
      </c>
      <c r="DQ133" s="296">
        <f>'Income Statement'!ED9/AVERAGE('Balance Sheet'!DP10:DQ10)</f>
        <v>2.271717207190362</v>
      </c>
      <c r="DR133" s="296">
        <f>'Income Statement'!EE9/AVERAGE('Balance Sheet'!DQ10:DR10)</f>
        <v>2.7437798396177295</v>
      </c>
      <c r="DS133" s="296">
        <f>'Income Statement'!EF9/AVERAGE('Balance Sheet'!DR10:DS10)</f>
        <v>3.0026966656171914</v>
      </c>
      <c r="DT133" s="296">
        <f>'Income Statement'!EG9/AVERAGE('Balance Sheet'!DS10:DT10)</f>
        <v>2.8753432180120813</v>
      </c>
      <c r="DU133" s="296">
        <f>'Income Statement'!EH9/AVERAGE('Balance Sheet'!DT10:DU10)</f>
        <v>3.0829959514170042</v>
      </c>
      <c r="DV133" s="296">
        <f>'Income Statement'!EI9/AVERAGE('Balance Sheet'!DU10:DV10)</f>
        <v>2.7732707087959008</v>
      </c>
      <c r="DW133" s="296">
        <f>'Income Statement'!EJ9/AVERAGE('Balance Sheet'!DV10:DW10)</f>
        <v>2.8310736533528766</v>
      </c>
      <c r="DX133" s="296">
        <f>'Income Statement'!EK9/AVERAGE('Balance Sheet'!DW10:DX10)</f>
        <v>2.8337372758119246</v>
      </c>
      <c r="DY133" s="296">
        <f>'Income Statement'!EL9/AVERAGE('Balance Sheet'!DX10:DY10)</f>
        <v>2.5919087700244368</v>
      </c>
      <c r="DZ133" s="296">
        <f>'Income Statement'!EM9/AVERAGE('Balance Sheet'!DY10:DZ10)</f>
        <v>2.5178571428571428</v>
      </c>
      <c r="EA133" s="296"/>
      <c r="EB133" s="296"/>
      <c r="EC133" s="296"/>
      <c r="ED133" s="296"/>
      <c r="EE133" s="296"/>
      <c r="EF133" s="296"/>
      <c r="EG133" s="296"/>
      <c r="EH133" s="296">
        <f>'Income Statement'!EU9/AVERAGE('Balance Sheet'!EG10:EH10)</f>
        <v>1.5292542060768395</v>
      </c>
      <c r="EI133" s="296">
        <f>'Income Statement'!EV9/AVERAGE('Balance Sheet'!EH10:EI10)</f>
        <v>1.7150710900473933</v>
      </c>
      <c r="EJ133" s="296">
        <f>'Income Statement'!EW9/AVERAGE('Balance Sheet'!EI10:EJ10)</f>
        <v>1.7807334963325183</v>
      </c>
      <c r="EK133" s="318">
        <f>'Income Statement'!EX9/AVERAGE('Balance Sheet'!EJ10:EK10)</f>
        <v>1.8672718103883006</v>
      </c>
      <c r="EL133" s="318">
        <f>'Income Statement'!EY9/AVERAGE('Balance Sheet'!EK10:EL10)</f>
        <v>1.9608855355901915</v>
      </c>
      <c r="EM133" s="296">
        <f>'Income Statement'!EZ9/AVERAGE('Balance Sheet'!EL10:EM10)</f>
        <v>1.8928040661174619</v>
      </c>
      <c r="EN133" s="296">
        <f>'Income Statement'!FA9/AVERAGE('Balance Sheet'!EM10:EN10)</f>
        <v>1.8925884162918969</v>
      </c>
      <c r="EO133" s="296"/>
      <c r="EP133" s="296"/>
      <c r="EQ133" s="296"/>
      <c r="ER133" s="296"/>
      <c r="ES133" s="296"/>
      <c r="ET133" s="296"/>
      <c r="EU133" s="296"/>
      <c r="EV133" s="318"/>
      <c r="EW133"/>
      <c r="EX133"/>
      <c r="EY133"/>
      <c r="EZ133"/>
      <c r="FA133"/>
      <c r="FB133"/>
      <c r="FC133" s="296"/>
      <c r="FD133" s="296"/>
      <c r="FE133" s="296"/>
      <c r="FF133" s="296"/>
      <c r="FG133" s="1366"/>
      <c r="FH133" s="1366"/>
      <c r="FI133" s="2657"/>
      <c r="FJ133" s="2657"/>
      <c r="FK133" s="1905"/>
      <c r="FL133" s="1905"/>
      <c r="FM133" s="1905"/>
      <c r="FN133" s="1905"/>
      <c r="FO133" s="1899"/>
      <c r="FP133" s="1899"/>
      <c r="FQ133" s="1899"/>
      <c r="FR133" s="1899"/>
      <c r="FS133" s="1899"/>
      <c r="FT133" s="1899"/>
      <c r="FU133" s="1899"/>
      <c r="FV133" s="1899"/>
      <c r="FW133" s="1899"/>
      <c r="FX133" s="1899"/>
      <c r="FY133" s="1899"/>
      <c r="FZ133" s="1899"/>
      <c r="GA133" s="1899"/>
      <c r="GB133" s="1899"/>
      <c r="GC133" s="1899"/>
      <c r="GD133" s="1899"/>
      <c r="GE133" s="1899"/>
      <c r="GF133" s="1899"/>
      <c r="GG133" s="1899"/>
      <c r="GH133" s="1899"/>
      <c r="GI133" s="1899"/>
      <c r="GJ133" s="1899"/>
      <c r="GK133" s="1899"/>
      <c r="GL133" s="1899"/>
      <c r="GM133" s="1899"/>
      <c r="GN133" s="1899"/>
      <c r="GO133" s="1899"/>
      <c r="GP133" s="1899"/>
      <c r="GQ133" s="1899"/>
      <c r="GR133" s="1899"/>
      <c r="GS133" s="1899"/>
      <c r="GT133" s="1899"/>
      <c r="GU133" s="1899"/>
      <c r="GV133" s="1899"/>
      <c r="GW133" s="1899"/>
      <c r="GX133" s="1899"/>
      <c r="GY133" s="1899"/>
      <c r="GZ133" s="1899"/>
      <c r="HA133" s="1899"/>
      <c r="HB133" s="1899"/>
      <c r="HC133" s="1899"/>
      <c r="HD133" s="1899"/>
      <c r="HE133" s="1899"/>
      <c r="HF133" s="1899"/>
      <c r="HG133" s="1899"/>
      <c r="HH133" s="1899"/>
      <c r="HI133" s="1899"/>
      <c r="HJ133" s="1899"/>
      <c r="HK133" s="1899"/>
      <c r="HL133" s="1899"/>
      <c r="HM133" s="1899"/>
      <c r="HN133" s="1899"/>
      <c r="HO133" s="1899"/>
      <c r="HP133" s="1899"/>
      <c r="HQ133" s="1899"/>
      <c r="HR133" s="1899"/>
      <c r="HS133" s="1899"/>
      <c r="HT133" s="1899"/>
      <c r="HU133" s="1899"/>
      <c r="HV133" s="1899"/>
      <c r="HW133" s="1899"/>
      <c r="HX133" s="1899"/>
      <c r="HY133" s="1899"/>
      <c r="HZ133" s="1899"/>
      <c r="IA133" s="1899"/>
      <c r="IB133" s="1899"/>
      <c r="IC133" s="1899"/>
      <c r="ID133" s="1899"/>
      <c r="IE133" s="1899"/>
      <c r="IF133" s="1899"/>
      <c r="IG133" s="1899"/>
      <c r="IH133" s="1899"/>
      <c r="II133" s="1899"/>
      <c r="IJ133" s="1899"/>
      <c r="IK133" s="1899"/>
      <c r="IL133" s="1899"/>
      <c r="IM133" s="1899"/>
      <c r="IN133" s="1899"/>
      <c r="IO133" s="1899"/>
      <c r="IP133" s="1899"/>
      <c r="IQ133" s="1899"/>
      <c r="IR133" s="1899"/>
      <c r="IS133" s="1899"/>
      <c r="IT133" s="1899"/>
      <c r="IU133" s="1899"/>
      <c r="IV133" s="1899"/>
      <c r="IW133" s="1899"/>
      <c r="IX133" s="1899"/>
      <c r="IY133" s="1899"/>
      <c r="IZ133" s="1899"/>
    </row>
    <row r="134" spans="1:260" x14ac:dyDescent="0.2">
      <c r="CS134" s="39"/>
      <c r="CV134" s="2576"/>
      <c r="CW134" s="39"/>
      <c r="EK134" s="39"/>
      <c r="EL134" s="39"/>
      <c r="EM134" s="2677"/>
    </row>
    <row r="135" spans="1:260" x14ac:dyDescent="0.2">
      <c r="CS135" s="39"/>
      <c r="CV135" s="2576"/>
      <c r="CW135" s="39"/>
      <c r="EK135" s="39"/>
      <c r="EL135" s="39"/>
      <c r="EM135" s="2677"/>
    </row>
    <row r="136" spans="1:260" x14ac:dyDescent="0.2">
      <c r="CS136" s="39"/>
      <c r="CV136" s="2576"/>
      <c r="CW136" s="39"/>
      <c r="EK136" s="39"/>
      <c r="EL136" s="39"/>
      <c r="EM136" s="2677"/>
    </row>
    <row r="137" spans="1:260" x14ac:dyDescent="0.2">
      <c r="CS137" s="39"/>
      <c r="CV137" s="2576"/>
      <c r="CW137" s="39"/>
      <c r="EM137" s="2677"/>
    </row>
    <row r="138" spans="1:260" x14ac:dyDescent="0.2">
      <c r="CS138" s="39"/>
      <c r="CV138" s="2576"/>
      <c r="CW138" s="39"/>
      <c r="EM138" s="2677"/>
    </row>
    <row r="139" spans="1:260" x14ac:dyDescent="0.2">
      <c r="CS139" s="39"/>
      <c r="CV139" s="2576"/>
      <c r="CW139" s="39"/>
      <c r="EM139" s="2677"/>
    </row>
    <row r="140" spans="1:260" x14ac:dyDescent="0.2">
      <c r="CS140" s="39"/>
      <c r="CV140" s="2576"/>
      <c r="CW140" s="39"/>
      <c r="EM140" s="2677"/>
    </row>
    <row r="141" spans="1:260" x14ac:dyDescent="0.2">
      <c r="CS141" s="39"/>
      <c r="CV141" s="2576"/>
      <c r="CW141" s="39"/>
      <c r="EM141" s="2677"/>
    </row>
    <row r="142" spans="1:260" x14ac:dyDescent="0.2">
      <c r="CS142" s="39"/>
      <c r="CV142" s="2576"/>
      <c r="CW142" s="39"/>
      <c r="EM142" s="2677"/>
    </row>
    <row r="143" spans="1:260" x14ac:dyDescent="0.2">
      <c r="CS143" s="39"/>
      <c r="CV143" s="2576"/>
      <c r="CW143" s="39"/>
      <c r="EM143" s="2677"/>
    </row>
    <row r="144" spans="1:260" x14ac:dyDescent="0.2">
      <c r="CV144" s="2576"/>
      <c r="EM144" s="2677"/>
    </row>
    <row r="145" spans="100:143" x14ac:dyDescent="0.2">
      <c r="CV145" s="2576"/>
      <c r="EM145" s="2677"/>
    </row>
    <row r="146" spans="100:143" x14ac:dyDescent="0.2">
      <c r="CV146" s="2576"/>
      <c r="EM146" s="2677"/>
    </row>
    <row r="147" spans="100:143" x14ac:dyDescent="0.2">
      <c r="CV147" s="2576"/>
      <c r="EM147" s="2677"/>
    </row>
    <row r="148" spans="100:143" x14ac:dyDescent="0.2">
      <c r="CV148" s="2576"/>
      <c r="EM148" s="2677"/>
    </row>
    <row r="149" spans="100:143" x14ac:dyDescent="0.2">
      <c r="CV149" s="2576"/>
      <c r="EM149" s="2677"/>
    </row>
    <row r="150" spans="100:143" x14ac:dyDescent="0.2">
      <c r="CV150" s="2576"/>
      <c r="EM150" s="2677"/>
    </row>
    <row r="151" spans="100:143" x14ac:dyDescent="0.2">
      <c r="CV151" s="2576"/>
      <c r="EM151" s="2677"/>
    </row>
    <row r="152" spans="100:143" x14ac:dyDescent="0.2">
      <c r="CV152" s="2576"/>
      <c r="EM152" s="2677"/>
    </row>
    <row r="153" spans="100:143" x14ac:dyDescent="0.2">
      <c r="CV153" s="2576"/>
      <c r="EM153" s="2677"/>
    </row>
    <row r="154" spans="100:143" x14ac:dyDescent="0.2">
      <c r="CV154" s="2576"/>
      <c r="EM154" s="2677"/>
    </row>
    <row r="155" spans="100:143" x14ac:dyDescent="0.2">
      <c r="CV155" s="2576"/>
      <c r="EM155" s="2677"/>
    </row>
    <row r="156" spans="100:143" x14ac:dyDescent="0.2">
      <c r="CV156" s="2576"/>
      <c r="EM156" s="2677"/>
    </row>
    <row r="157" spans="100:143" x14ac:dyDescent="0.2">
      <c r="CV157" s="2576"/>
      <c r="EM157" s="2677"/>
    </row>
    <row r="158" spans="100:143" x14ac:dyDescent="0.2">
      <c r="CV158" s="2576"/>
      <c r="EM158" s="2677"/>
    </row>
    <row r="159" spans="100:143" x14ac:dyDescent="0.2">
      <c r="CV159" s="2576"/>
      <c r="EM159" s="2677"/>
    </row>
    <row r="160" spans="100:143" x14ac:dyDescent="0.2">
      <c r="CV160" s="2576"/>
      <c r="EM160" s="2677"/>
    </row>
    <row r="161" spans="100:143" x14ac:dyDescent="0.2">
      <c r="CV161" s="2576"/>
      <c r="EM161" s="2677"/>
    </row>
    <row r="162" spans="100:143" x14ac:dyDescent="0.2">
      <c r="CV162" s="2576"/>
      <c r="EM162" s="2677"/>
    </row>
    <row r="163" spans="100:143" x14ac:dyDescent="0.2">
      <c r="CV163" s="2576"/>
      <c r="EM163" s="2677"/>
    </row>
    <row r="164" spans="100:143" x14ac:dyDescent="0.2">
      <c r="CV164" s="2576"/>
      <c r="EM164" s="2677"/>
    </row>
    <row r="165" spans="100:143" x14ac:dyDescent="0.2">
      <c r="CV165" s="2576"/>
      <c r="EM165" s="2677"/>
    </row>
    <row r="166" spans="100:143" x14ac:dyDescent="0.2">
      <c r="CV166" s="2576"/>
      <c r="EM166" s="2677"/>
    </row>
    <row r="167" spans="100:143" x14ac:dyDescent="0.2">
      <c r="CV167" s="2576"/>
      <c r="EM167" s="2677"/>
    </row>
    <row r="168" spans="100:143" x14ac:dyDescent="0.2">
      <c r="EM168" s="2677"/>
    </row>
    <row r="169" spans="100:143" x14ac:dyDescent="0.2">
      <c r="EM169" s="2677"/>
    </row>
    <row r="170" spans="100:143" x14ac:dyDescent="0.2">
      <c r="EM170" s="2677"/>
    </row>
    <row r="171" spans="100:143" x14ac:dyDescent="0.2">
      <c r="EM171" s="2677"/>
    </row>
    <row r="172" spans="100:143" x14ac:dyDescent="0.2">
      <c r="EM172" s="2677"/>
    </row>
    <row r="173" spans="100:143" x14ac:dyDescent="0.2">
      <c r="EM173" s="2677"/>
    </row>
    <row r="174" spans="100:143" x14ac:dyDescent="0.2">
      <c r="EM174" s="2677"/>
    </row>
    <row r="175" spans="100:143" x14ac:dyDescent="0.2">
      <c r="EM175" s="2677"/>
    </row>
    <row r="176" spans="100:143" x14ac:dyDescent="0.2">
      <c r="EM176" s="2677"/>
    </row>
    <row r="177" spans="143:143" x14ac:dyDescent="0.2">
      <c r="EM177" s="2677"/>
    </row>
  </sheetData>
  <phoneticPr fontId="0" type="noConversion"/>
  <printOptions horizontalCentered="1"/>
  <pageMargins left="0" right="0" top="0" bottom="0" header="0.5" footer="0.5"/>
  <pageSetup scale="43" orientation="landscape" horizontalDpi="300" verticalDpi="300" r:id="rId1"/>
  <headerFooter alignWithMargins="0"/>
  <rowBreaks count="1" manualBreakCount="1">
    <brk id="61" max="124"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tabColor indexed="29"/>
    <pageSetUpPr autoPageBreaks="0" fitToPage="1"/>
  </sheetPr>
  <dimension ref="A1:IZ166"/>
  <sheetViews>
    <sheetView showGridLines="0" zoomScale="85" zoomScaleNormal="85" zoomScaleSheetLayoutView="85" workbookViewId="0">
      <pane xSplit="1" ySplit="5" topLeftCell="CP6" activePane="bottomRight" state="frozen"/>
      <selection activeCell="AA48" sqref="AA48"/>
      <selection pane="topRight" activeCell="AA48" sqref="AA48"/>
      <selection pane="bottomLeft" activeCell="AA48" sqref="AA48"/>
      <selection pane="bottomRight" activeCell="CP6" sqref="CP6"/>
    </sheetView>
  </sheetViews>
  <sheetFormatPr defaultRowHeight="11.25" outlineLevelRow="1" outlineLevelCol="2" x14ac:dyDescent="0.2"/>
  <cols>
    <col min="1" max="1" width="61.33203125" customWidth="1"/>
    <col min="2" max="81" width="10.33203125" hidden="1" customWidth="1" outlineLevel="1"/>
    <col min="82" max="82" width="10.33203125" hidden="1" customWidth="1" outlineLevel="1" collapsed="1"/>
    <col min="83" max="85" width="10.33203125" hidden="1" customWidth="1" outlineLevel="1"/>
    <col min="86" max="86" width="9.1640625" hidden="1" customWidth="1" outlineLevel="1" collapsed="1"/>
    <col min="87" max="87" width="9.1640625" hidden="1" customWidth="1" outlineLevel="1"/>
    <col min="88" max="88" width="8.83203125" hidden="1" customWidth="1" outlineLevel="1"/>
    <col min="89" max="90" width="9.1640625" hidden="1" customWidth="1" outlineLevel="1"/>
    <col min="91" max="93" width="8.83203125" hidden="1" customWidth="1" outlineLevel="1"/>
    <col min="94" max="94" width="9.5" bestFit="1" customWidth="1" collapsed="1"/>
    <col min="95" max="95" width="8.83203125" bestFit="1" customWidth="1"/>
    <col min="96" max="100" width="9.1640625" bestFit="1" customWidth="1"/>
    <col min="101" max="101" width="9.1640625" style="2677" bestFit="1" customWidth="1"/>
    <col min="102" max="102" width="9.1640625" style="72" bestFit="1" customWidth="1"/>
    <col min="103" max="105" width="9.1640625" style="2591" customWidth="1"/>
    <col min="106" max="107" width="1.83203125" customWidth="1"/>
    <col min="108" max="130" width="10.33203125" hidden="1" customWidth="1" outlineLevel="2"/>
    <col min="131" max="132" width="10.33203125" hidden="1" customWidth="1" outlineLevel="1"/>
    <col min="133" max="134" width="10.33203125" hidden="1" customWidth="1" outlineLevel="2"/>
    <col min="135" max="135" width="10.33203125" hidden="1" customWidth="1" outlineLevel="1"/>
    <col min="136" max="136" width="10.33203125" hidden="1" customWidth="1" outlineLevel="1" collapsed="1"/>
    <col min="137" max="137" width="8.83203125" hidden="1" customWidth="1" outlineLevel="1" collapsed="1"/>
    <col min="138" max="138" width="9.83203125" hidden="1" customWidth="1" outlineLevel="1" collapsed="1"/>
    <col min="139" max="139" width="10.33203125" hidden="1" customWidth="1" outlineLevel="1"/>
    <col min="140" max="140" width="9.83203125" bestFit="1" customWidth="1" collapsed="1"/>
    <col min="141" max="141" width="9.83203125" bestFit="1" customWidth="1"/>
    <col min="142" max="142" width="9.83203125" style="2677" bestFit="1" customWidth="1"/>
    <col min="143" max="143" width="10.33203125" style="2677" customWidth="1"/>
    <col min="144" max="145" width="10.33203125" customWidth="1"/>
    <col min="146" max="151" width="10.33203125" hidden="1" customWidth="1" outlineLevel="1"/>
    <col min="152" max="152" width="9.33203125" customWidth="1" collapsed="1"/>
    <col min="153" max="153" width="30.5" hidden="1" customWidth="1" outlineLevel="1"/>
    <col min="154" max="158" width="9.33203125" hidden="1" customWidth="1" outlineLevel="1"/>
    <col min="159" max="159" width="9.33203125" customWidth="1" collapsed="1"/>
    <col min="160" max="162" width="9.33203125" customWidth="1"/>
    <col min="163" max="164" width="9.83203125" style="134" bestFit="1" customWidth="1"/>
    <col min="165" max="167" width="9.33203125" style="134"/>
  </cols>
  <sheetData>
    <row r="1" spans="1:260" s="4" customFormat="1" ht="12.75" x14ac:dyDescent="0.2">
      <c r="A1" s="2" t="s">
        <v>182</v>
      </c>
      <c r="B1" s="1332"/>
      <c r="C1" s="5"/>
      <c r="D1" s="5"/>
      <c r="E1" s="5"/>
      <c r="F1" s="1332"/>
      <c r="G1" s="5"/>
      <c r="H1" s="5"/>
      <c r="I1" s="5"/>
      <c r="J1" s="5"/>
      <c r="K1" s="5"/>
      <c r="L1" s="5"/>
      <c r="M1" s="5"/>
      <c r="N1" s="5"/>
      <c r="O1" s="5"/>
      <c r="P1" s="5"/>
      <c r="Q1" s="5"/>
      <c r="R1" s="5"/>
      <c r="S1" s="5"/>
      <c r="T1" s="5"/>
      <c r="U1" s="5"/>
      <c r="V1" s="5"/>
      <c r="W1" s="5"/>
      <c r="X1" s="5"/>
      <c r="Y1" s="5"/>
      <c r="Z1" s="5"/>
      <c r="AA1" s="5"/>
      <c r="AB1" s="5"/>
      <c r="AC1" s="5"/>
      <c r="AD1" s="5"/>
      <c r="AE1" s="5"/>
      <c r="AF1" s="5"/>
      <c r="AG1" s="82"/>
      <c r="AH1" s="5"/>
      <c r="AI1" s="5"/>
      <c r="AJ1" s="5"/>
      <c r="AK1" s="5"/>
      <c r="AL1" s="5"/>
      <c r="AM1" s="5"/>
      <c r="AN1" s="5"/>
      <c r="AO1" s="5"/>
      <c r="AP1" s="5"/>
      <c r="AQ1" s="5"/>
      <c r="AR1" s="5"/>
      <c r="AS1" s="5"/>
      <c r="AT1" s="1913">
        <f t="shared" ref="AT1:CK1" si="0">AT126</f>
        <v>0</v>
      </c>
      <c r="AU1" s="1913">
        <f t="shared" si="0"/>
        <v>0</v>
      </c>
      <c r="AV1" s="1913">
        <f t="shared" si="0"/>
        <v>0</v>
      </c>
      <c r="AW1" s="1913">
        <f t="shared" si="0"/>
        <v>0</v>
      </c>
      <c r="AX1" s="1913">
        <f t="shared" si="0"/>
        <v>0</v>
      </c>
      <c r="AY1" s="1913">
        <f t="shared" si="0"/>
        <v>0</v>
      </c>
      <c r="AZ1" s="1913">
        <f t="shared" si="0"/>
        <v>0</v>
      </c>
      <c r="BA1" s="1913">
        <f t="shared" si="0"/>
        <v>0</v>
      </c>
      <c r="BB1" s="1913">
        <f t="shared" si="0"/>
        <v>0</v>
      </c>
      <c r="BC1" s="1913">
        <f t="shared" si="0"/>
        <v>0</v>
      </c>
      <c r="BD1" s="1913">
        <f t="shared" si="0"/>
        <v>0</v>
      </c>
      <c r="BE1" s="1913">
        <f t="shared" si="0"/>
        <v>0</v>
      </c>
      <c r="BF1" s="1913">
        <f t="shared" si="0"/>
        <v>0</v>
      </c>
      <c r="BG1" s="1913">
        <f t="shared" si="0"/>
        <v>0</v>
      </c>
      <c r="BH1" s="1913">
        <f t="shared" si="0"/>
        <v>0</v>
      </c>
      <c r="BI1" s="1913">
        <f t="shared" si="0"/>
        <v>0</v>
      </c>
      <c r="BJ1" s="1913">
        <f t="shared" si="0"/>
        <v>0</v>
      </c>
      <c r="BK1" s="1913">
        <f t="shared" si="0"/>
        <v>0</v>
      </c>
      <c r="BL1" s="1913">
        <f t="shared" si="0"/>
        <v>0</v>
      </c>
      <c r="BM1" s="1913">
        <f t="shared" si="0"/>
        <v>0</v>
      </c>
      <c r="BN1" s="1913">
        <f t="shared" si="0"/>
        <v>0</v>
      </c>
      <c r="BO1" s="1913">
        <f t="shared" si="0"/>
        <v>0</v>
      </c>
      <c r="BP1" s="1913">
        <f t="shared" si="0"/>
        <v>0</v>
      </c>
      <c r="BQ1" s="1913">
        <f t="shared" si="0"/>
        <v>0</v>
      </c>
      <c r="BR1" s="1913">
        <f t="shared" si="0"/>
        <v>0</v>
      </c>
      <c r="BS1" s="1913">
        <f t="shared" si="0"/>
        <v>0</v>
      </c>
      <c r="BT1" s="1913">
        <f t="shared" si="0"/>
        <v>0</v>
      </c>
      <c r="BU1" s="1913">
        <f t="shared" si="0"/>
        <v>0</v>
      </c>
      <c r="BV1" s="1913">
        <f t="shared" si="0"/>
        <v>0</v>
      </c>
      <c r="BW1" s="1913">
        <f t="shared" si="0"/>
        <v>0</v>
      </c>
      <c r="BX1" s="1913">
        <f t="shared" si="0"/>
        <v>0</v>
      </c>
      <c r="BY1" s="1913">
        <f t="shared" si="0"/>
        <v>0</v>
      </c>
      <c r="BZ1" s="1913">
        <f t="shared" si="0"/>
        <v>0</v>
      </c>
      <c r="CA1" s="1913">
        <f t="shared" si="0"/>
        <v>0</v>
      </c>
      <c r="CB1" s="1913">
        <f t="shared" si="0"/>
        <v>0</v>
      </c>
      <c r="CC1" s="1913">
        <f t="shared" si="0"/>
        <v>0</v>
      </c>
      <c r="CD1" s="1913">
        <f t="shared" si="0"/>
        <v>0</v>
      </c>
      <c r="CE1" s="1913">
        <f t="shared" si="0"/>
        <v>0</v>
      </c>
      <c r="CF1" s="1913">
        <f t="shared" si="0"/>
        <v>0</v>
      </c>
      <c r="CG1" s="1913">
        <f t="shared" si="0"/>
        <v>0</v>
      </c>
      <c r="CH1" s="1913">
        <f t="shared" si="0"/>
        <v>0</v>
      </c>
      <c r="CI1" s="1913">
        <f t="shared" si="0"/>
        <v>0</v>
      </c>
      <c r="CJ1" s="1913">
        <f t="shared" si="0"/>
        <v>0</v>
      </c>
      <c r="CK1" s="1913">
        <f t="shared" si="0"/>
        <v>0</v>
      </c>
      <c r="CL1" s="1913">
        <f>CL126</f>
        <v>0</v>
      </c>
      <c r="CM1" s="1913">
        <f t="shared" ref="CM1:EU1" si="1">CM126</f>
        <v>0</v>
      </c>
      <c r="CN1" s="1913">
        <f t="shared" si="1"/>
        <v>0</v>
      </c>
      <c r="CO1" s="1913">
        <f t="shared" si="1"/>
        <v>0</v>
      </c>
      <c r="CP1" s="1913">
        <f t="shared" si="1"/>
        <v>0</v>
      </c>
      <c r="CQ1" s="1913">
        <f t="shared" si="1"/>
        <v>0</v>
      </c>
      <c r="CR1" s="1913">
        <f t="shared" si="1"/>
        <v>0</v>
      </c>
      <c r="CS1" s="1913">
        <f t="shared" si="1"/>
        <v>0</v>
      </c>
      <c r="CT1" s="1913">
        <f t="shared" si="1"/>
        <v>0</v>
      </c>
      <c r="CU1" s="1913">
        <f t="shared" si="1"/>
        <v>0</v>
      </c>
      <c r="CV1" s="1913">
        <f t="shared" si="1"/>
        <v>0</v>
      </c>
      <c r="CW1" s="1913">
        <f t="shared" si="1"/>
        <v>0</v>
      </c>
      <c r="CX1" s="1913"/>
      <c r="CY1" s="1913"/>
      <c r="CZ1" s="1913"/>
      <c r="DA1" s="1913"/>
      <c r="DB1" s="1913"/>
      <c r="DC1" s="1913"/>
      <c r="DD1" s="1913">
        <f t="shared" si="1"/>
        <v>0</v>
      </c>
      <c r="DE1" s="1913">
        <f t="shared" si="1"/>
        <v>0</v>
      </c>
      <c r="DF1" s="1913">
        <f t="shared" si="1"/>
        <v>0</v>
      </c>
      <c r="DG1" s="1913">
        <f t="shared" si="1"/>
        <v>0</v>
      </c>
      <c r="DH1" s="1913">
        <f t="shared" si="1"/>
        <v>0</v>
      </c>
      <c r="DI1" s="1913">
        <f t="shared" si="1"/>
        <v>0</v>
      </c>
      <c r="DJ1" s="1913">
        <f t="shared" si="1"/>
        <v>0</v>
      </c>
      <c r="DK1" s="1913">
        <f t="shared" si="1"/>
        <v>0</v>
      </c>
      <c r="DL1" s="1913">
        <f t="shared" si="1"/>
        <v>0</v>
      </c>
      <c r="DM1" s="1913">
        <f t="shared" si="1"/>
        <v>0</v>
      </c>
      <c r="DN1" s="1913">
        <f t="shared" si="1"/>
        <v>0</v>
      </c>
      <c r="DO1" s="1913">
        <f t="shared" si="1"/>
        <v>0</v>
      </c>
      <c r="DP1" s="1913">
        <f t="shared" si="1"/>
        <v>0</v>
      </c>
      <c r="DQ1" s="1913">
        <f t="shared" si="1"/>
        <v>0</v>
      </c>
      <c r="DR1" s="1913">
        <f t="shared" si="1"/>
        <v>0</v>
      </c>
      <c r="DS1" s="1913">
        <f t="shared" si="1"/>
        <v>0</v>
      </c>
      <c r="DT1" s="1913">
        <f t="shared" si="1"/>
        <v>0</v>
      </c>
      <c r="DU1" s="1913">
        <f t="shared" si="1"/>
        <v>0</v>
      </c>
      <c r="DV1" s="1913">
        <f t="shared" si="1"/>
        <v>0</v>
      </c>
      <c r="DW1" s="1913">
        <f t="shared" si="1"/>
        <v>0</v>
      </c>
      <c r="DX1" s="1913">
        <f t="shared" si="1"/>
        <v>0</v>
      </c>
      <c r="DY1" s="1913">
        <f t="shared" si="1"/>
        <v>0</v>
      </c>
      <c r="DZ1" s="1913">
        <f t="shared" si="1"/>
        <v>0</v>
      </c>
      <c r="EA1" s="1913">
        <f t="shared" si="1"/>
        <v>0</v>
      </c>
      <c r="EB1" s="1913">
        <f t="shared" si="1"/>
        <v>0</v>
      </c>
      <c r="EC1" s="1913">
        <f t="shared" si="1"/>
        <v>0</v>
      </c>
      <c r="ED1" s="1913">
        <f t="shared" si="1"/>
        <v>0</v>
      </c>
      <c r="EE1" s="1913">
        <f t="shared" si="1"/>
        <v>0</v>
      </c>
      <c r="EF1" s="1913">
        <f t="shared" si="1"/>
        <v>0</v>
      </c>
      <c r="EG1" s="1913">
        <f t="shared" si="1"/>
        <v>0</v>
      </c>
      <c r="EH1" s="1913">
        <f t="shared" si="1"/>
        <v>0</v>
      </c>
      <c r="EI1" s="1913">
        <f t="shared" si="1"/>
        <v>0</v>
      </c>
      <c r="EJ1" s="1913">
        <f t="shared" si="1"/>
        <v>0</v>
      </c>
      <c r="EK1" s="1913">
        <f t="shared" si="1"/>
        <v>0</v>
      </c>
      <c r="EL1" s="1913">
        <f t="shared" si="1"/>
        <v>0</v>
      </c>
      <c r="EM1" s="1913">
        <f t="shared" si="1"/>
        <v>0</v>
      </c>
      <c r="EN1" s="1913">
        <f t="shared" si="1"/>
        <v>0</v>
      </c>
      <c r="EO1" s="1913">
        <f t="shared" si="1"/>
        <v>0</v>
      </c>
      <c r="EP1" s="1913">
        <f t="shared" si="1"/>
        <v>0</v>
      </c>
      <c r="EQ1" s="1913">
        <f t="shared" si="1"/>
        <v>0</v>
      </c>
      <c r="ER1" s="1913">
        <f t="shared" si="1"/>
        <v>0</v>
      </c>
      <c r="ES1" s="1913">
        <f t="shared" si="1"/>
        <v>0</v>
      </c>
      <c r="ET1" s="1913">
        <f t="shared" si="1"/>
        <v>0</v>
      </c>
      <c r="EU1" s="1913">
        <f t="shared" si="1"/>
        <v>0</v>
      </c>
      <c r="EV1" s="1913"/>
      <c r="EW1"/>
      <c r="EX1"/>
      <c r="EY1"/>
      <c r="EZ1"/>
      <c r="FA1"/>
      <c r="FB1"/>
      <c r="FC1" s="5"/>
      <c r="FG1" s="185"/>
      <c r="FH1" s="185"/>
      <c r="FI1" s="134"/>
      <c r="FJ1" s="134"/>
      <c r="FK1" s="134"/>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row>
    <row r="2" spans="1:260" s="3" customFormat="1" ht="12.75" x14ac:dyDescent="0.2">
      <c r="A2" s="2" t="s">
        <v>592</v>
      </c>
      <c r="B2" s="1332"/>
      <c r="C2" s="5"/>
      <c r="D2" s="5"/>
      <c r="E2" s="5"/>
      <c r="F2" s="1332"/>
      <c r="G2" s="5"/>
      <c r="H2" s="5"/>
      <c r="I2" s="5"/>
      <c r="J2" s="5"/>
      <c r="K2" s="5"/>
      <c r="L2" s="5"/>
      <c r="M2" s="5"/>
      <c r="N2" s="5"/>
      <c r="O2" s="5"/>
      <c r="P2" s="5"/>
      <c r="Q2" s="5"/>
      <c r="R2" s="5"/>
      <c r="S2" s="5"/>
      <c r="T2" s="5"/>
      <c r="U2" s="5"/>
      <c r="V2" s="5"/>
      <c r="W2" s="5"/>
      <c r="X2" s="5"/>
      <c r="Y2" s="5"/>
      <c r="Z2" s="5"/>
      <c r="AA2" s="5"/>
      <c r="AB2" s="5"/>
      <c r="AC2" s="5"/>
      <c r="AD2" s="5"/>
      <c r="AE2" s="5"/>
      <c r="AF2" s="5"/>
      <c r="AG2" s="82"/>
      <c r="AH2" s="5"/>
      <c r="AI2" s="5"/>
      <c r="AJ2" s="5"/>
      <c r="AK2" s="5"/>
      <c r="AL2" s="5"/>
      <c r="AM2" s="5"/>
      <c r="AN2" s="5"/>
      <c r="AO2" s="5"/>
      <c r="AP2" s="5"/>
      <c r="AQ2" s="5"/>
      <c r="AR2" s="5"/>
      <c r="AS2" s="5"/>
      <c r="AT2" s="5"/>
      <c r="AU2" s="5"/>
      <c r="AV2" s="5"/>
      <c r="AW2" s="5"/>
      <c r="AX2" s="5"/>
      <c r="AY2" s="5"/>
      <c r="AZ2" s="82"/>
      <c r="BA2" s="82"/>
      <c r="BB2" s="82"/>
      <c r="BC2" s="82"/>
      <c r="BD2" s="82"/>
      <c r="BE2" s="82"/>
      <c r="BJ2" s="82"/>
      <c r="BK2" s="82"/>
      <c r="BL2" s="82"/>
      <c r="BM2" s="82"/>
      <c r="BN2" s="82"/>
      <c r="BO2" s="82"/>
      <c r="BP2" s="82"/>
      <c r="BQ2" s="82"/>
      <c r="BR2" s="82"/>
      <c r="BS2" s="82"/>
      <c r="BT2" s="82"/>
      <c r="BU2" s="82"/>
      <c r="BV2" s="82"/>
      <c r="BW2" s="5"/>
      <c r="BX2" s="5"/>
      <c r="BY2" s="5"/>
      <c r="BZ2" s="82"/>
      <c r="CA2" s="5"/>
      <c r="CB2" s="5"/>
      <c r="CC2" s="5"/>
      <c r="CD2" s="5"/>
      <c r="CE2" s="5"/>
      <c r="CF2" s="5"/>
      <c r="CG2" s="5"/>
      <c r="CH2" s="5"/>
      <c r="CI2" s="5"/>
      <c r="CJ2" s="5"/>
      <c r="CK2" s="5"/>
      <c r="CL2" s="5"/>
      <c r="CM2" s="5"/>
      <c r="CN2" s="5"/>
      <c r="CO2" s="5"/>
      <c r="CP2" s="5"/>
      <c r="CQ2" s="5"/>
      <c r="CR2" s="5"/>
      <c r="CS2" s="5"/>
      <c r="CT2" s="5"/>
      <c r="CU2" s="5"/>
      <c r="CV2" s="5"/>
      <c r="CW2" s="5"/>
      <c r="CX2" s="5"/>
      <c r="CY2" s="5"/>
      <c r="CZ2" s="5"/>
      <c r="DA2" s="5"/>
      <c r="DB2" s="5"/>
      <c r="DC2" s="5"/>
      <c r="DL2" s="5"/>
      <c r="DM2" s="5"/>
      <c r="DN2" s="5"/>
      <c r="DO2" s="5"/>
      <c r="DP2" s="5"/>
      <c r="DQ2" s="5"/>
      <c r="DR2" s="5"/>
      <c r="DS2" s="5"/>
      <c r="DT2" s="5"/>
      <c r="DU2" s="5"/>
      <c r="DV2" s="5"/>
      <c r="DW2" s="5"/>
      <c r="DX2" s="82"/>
      <c r="DZ2" s="82"/>
      <c r="EA2" s="82"/>
      <c r="EB2" s="82"/>
      <c r="EC2" s="82"/>
      <c r="ED2" s="5"/>
      <c r="EE2" s="5"/>
      <c r="EF2" s="5"/>
      <c r="EG2" s="5"/>
      <c r="EH2" s="5"/>
      <c r="EI2" s="5"/>
      <c r="EJ2" s="5"/>
      <c r="EK2" s="82"/>
      <c r="EL2" s="82"/>
      <c r="EM2" s="82"/>
      <c r="EN2" s="82"/>
      <c r="EO2" s="82"/>
      <c r="EP2" s="82"/>
      <c r="EQ2" s="82"/>
      <c r="ER2" s="82"/>
      <c r="ES2" s="82"/>
      <c r="ET2" s="82"/>
      <c r="EU2" s="82"/>
      <c r="EW2"/>
      <c r="EX2"/>
      <c r="EY2"/>
      <c r="EZ2"/>
      <c r="FA2"/>
      <c r="FB2"/>
      <c r="FG2" s="82"/>
      <c r="FH2" s="82"/>
      <c r="FI2" s="134"/>
      <c r="FJ2" s="134"/>
      <c r="FK2" s="134"/>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row>
    <row r="3" spans="1:260" s="3" customFormat="1" x14ac:dyDescent="0.2">
      <c r="A3" s="1087"/>
      <c r="B3" s="349"/>
      <c r="F3" s="349"/>
      <c r="AG3" s="7"/>
      <c r="AY3" s="68"/>
      <c r="AZ3" s="7"/>
      <c r="BA3" s="7"/>
      <c r="BB3" s="7"/>
      <c r="BC3" s="7"/>
      <c r="BD3" s="7"/>
      <c r="BE3" s="7"/>
      <c r="BJ3" s="7"/>
      <c r="BK3" s="7"/>
      <c r="BL3" s="7"/>
      <c r="BM3" s="7"/>
      <c r="BN3" s="7"/>
      <c r="BO3" s="7"/>
      <c r="BP3" s="7"/>
      <c r="BQ3" s="7"/>
      <c r="BR3" s="7"/>
      <c r="BS3" s="7"/>
      <c r="BT3" s="7"/>
      <c r="BU3" s="7"/>
      <c r="BV3" s="7"/>
      <c r="BZ3" s="7"/>
      <c r="DX3" s="7"/>
      <c r="EA3" s="7"/>
      <c r="EB3" s="7"/>
      <c r="EC3" s="7"/>
      <c r="EG3" s="161"/>
      <c r="EH3" s="161"/>
      <c r="EI3" s="253"/>
      <c r="EJ3" s="253"/>
      <c r="EK3" s="253"/>
      <c r="EL3" s="253"/>
      <c r="EM3" s="253"/>
      <c r="EW3"/>
      <c r="EX3"/>
      <c r="EY3"/>
      <c r="EZ3"/>
      <c r="FA3"/>
      <c r="FB3"/>
      <c r="FG3" s="7"/>
      <c r="FH3" s="7"/>
      <c r="FI3" s="134"/>
      <c r="FJ3" s="134"/>
      <c r="FK3" s="134"/>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row>
    <row r="4" spans="1:260" s="4" customFormat="1" ht="11.25" customHeight="1" x14ac:dyDescent="0.2">
      <c r="A4" s="3" t="s">
        <v>288</v>
      </c>
      <c r="B4" s="31">
        <v>1993</v>
      </c>
      <c r="C4" s="32"/>
      <c r="D4" s="33"/>
      <c r="E4" s="32"/>
      <c r="F4" s="31">
        <f>+B4+1</f>
        <v>1994</v>
      </c>
      <c r="G4" s="32"/>
      <c r="H4" s="33"/>
      <c r="I4" s="32"/>
      <c r="J4" s="31">
        <f>+F4+1</f>
        <v>1995</v>
      </c>
      <c r="K4" s="32"/>
      <c r="L4" s="33"/>
      <c r="M4" s="32"/>
      <c r="N4" s="31">
        <f>+J4+1</f>
        <v>1996</v>
      </c>
      <c r="O4" s="32"/>
      <c r="P4" s="33"/>
      <c r="Q4" s="32"/>
      <c r="R4" s="31">
        <f>+N4+1</f>
        <v>1997</v>
      </c>
      <c r="S4" s="32"/>
      <c r="T4" s="33"/>
      <c r="U4" s="32"/>
      <c r="V4" s="31">
        <f>+R4+1</f>
        <v>1998</v>
      </c>
      <c r="W4" s="32"/>
      <c r="X4" s="33"/>
      <c r="Y4" s="32"/>
      <c r="Z4" s="31">
        <f>+V4+1</f>
        <v>1999</v>
      </c>
      <c r="AA4" s="32"/>
      <c r="AB4" s="33"/>
      <c r="AC4" s="32"/>
      <c r="AD4" s="31">
        <f>+Z4+1</f>
        <v>2000</v>
      </c>
      <c r="AE4" s="32"/>
      <c r="AF4" s="33"/>
      <c r="AG4" s="32"/>
      <c r="AH4" s="31">
        <f>+AD4+1</f>
        <v>2001</v>
      </c>
      <c r="AI4" s="32"/>
      <c r="AJ4" s="33"/>
      <c r="AK4" s="32"/>
      <c r="AL4" s="31">
        <f>+AH4+1</f>
        <v>2002</v>
      </c>
      <c r="AM4" s="32"/>
      <c r="AN4" s="33"/>
      <c r="AO4" s="32"/>
      <c r="AP4" s="31">
        <f>+AL4+1</f>
        <v>2003</v>
      </c>
      <c r="AQ4" s="32"/>
      <c r="AR4" s="32"/>
      <c r="AS4" s="32"/>
      <c r="AT4" s="31">
        <f>+AP4+1</f>
        <v>2004</v>
      </c>
      <c r="AU4" s="32"/>
      <c r="AV4" s="32"/>
      <c r="AW4" s="32"/>
      <c r="AX4" s="31">
        <f>+AT4+1</f>
        <v>2005</v>
      </c>
      <c r="AY4" s="32"/>
      <c r="AZ4" s="32"/>
      <c r="BA4" s="32"/>
      <c r="BB4" s="31">
        <v>2006</v>
      </c>
      <c r="BC4" s="31"/>
      <c r="BD4" s="32"/>
      <c r="BE4" s="32"/>
      <c r="BF4" s="31">
        <v>2007</v>
      </c>
      <c r="BG4" s="31"/>
      <c r="BH4" s="32"/>
      <c r="BI4" s="32"/>
      <c r="BJ4" s="86">
        <f>'Income Statement'!BJ5</f>
        <v>2008</v>
      </c>
      <c r="BK4" s="32"/>
      <c r="BL4" s="32"/>
      <c r="BM4" s="32"/>
      <c r="BN4" s="86">
        <f>'Income Statement'!BN5</f>
        <v>2009</v>
      </c>
      <c r="BO4" s="32"/>
      <c r="BP4" s="32"/>
      <c r="BQ4" s="32"/>
      <c r="BR4" s="86">
        <f>'Income Statement'!BR5</f>
        <v>2010</v>
      </c>
      <c r="BS4" s="32"/>
      <c r="BT4" s="32"/>
      <c r="BU4" s="32"/>
      <c r="BV4" s="86">
        <f>'Income Statement'!BV5</f>
        <v>2011</v>
      </c>
      <c r="BW4" s="32"/>
      <c r="BX4" s="32"/>
      <c r="BY4" s="32"/>
      <c r="BZ4" s="86">
        <f>'Income Statement'!CH5</f>
        <v>2012</v>
      </c>
      <c r="CA4" s="32"/>
      <c r="CB4" s="32"/>
      <c r="CC4" s="32"/>
      <c r="CD4" s="86">
        <f>'Income Statement'!CP5</f>
        <v>2013</v>
      </c>
      <c r="CE4" s="32"/>
      <c r="CF4" s="32"/>
      <c r="CG4" s="32"/>
      <c r="CH4" s="86">
        <f>'Income Statement'!CT5</f>
        <v>2014</v>
      </c>
      <c r="CI4" s="32"/>
      <c r="CJ4" s="32"/>
      <c r="CK4" s="32"/>
      <c r="CL4" s="86">
        <f>'Income Statement'!CX5</f>
        <v>2015</v>
      </c>
      <c r="CM4" s="1159"/>
      <c r="CN4" s="1159"/>
      <c r="CO4" s="1159"/>
      <c r="CP4" s="86">
        <f>'Income Statement'!DB5</f>
        <v>2016</v>
      </c>
      <c r="CQ4" s="2716"/>
      <c r="CR4" s="1159"/>
      <c r="CS4" s="1159"/>
      <c r="CT4" s="86">
        <v>2017</v>
      </c>
      <c r="CU4" s="2716"/>
      <c r="CV4" s="1159"/>
      <c r="CW4" s="1159"/>
      <c r="CX4" s="1159" t="s">
        <v>745</v>
      </c>
      <c r="CY4" s="2716"/>
      <c r="CZ4" s="1159"/>
      <c r="DA4" s="1159"/>
      <c r="DX4" s="6"/>
      <c r="EA4" s="6"/>
      <c r="EB4" s="6"/>
      <c r="EC4" s="6"/>
      <c r="EW4"/>
      <c r="EX4"/>
      <c r="EY4"/>
      <c r="EZ4"/>
      <c r="FA4"/>
      <c r="FB4"/>
      <c r="FG4" s="7"/>
      <c r="FH4" s="7"/>
      <c r="FI4" s="134"/>
      <c r="FJ4" s="134"/>
      <c r="FK4" s="13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row>
    <row r="5" spans="1:260" s="1214" customFormat="1" ht="11.25" customHeight="1" x14ac:dyDescent="0.2">
      <c r="A5" s="1213" t="s">
        <v>132</v>
      </c>
      <c r="B5" s="331" t="str">
        <f>'Income Statement'!B6</f>
        <v>1Q93</v>
      </c>
      <c r="C5" s="331" t="str">
        <f>'Income Statement'!C6</f>
        <v>2Q93</v>
      </c>
      <c r="D5" s="331" t="str">
        <f>'Income Statement'!D6</f>
        <v>3Q93</v>
      </c>
      <c r="E5" s="603" t="str">
        <f>'Income Statement'!E6</f>
        <v>4Q93</v>
      </c>
      <c r="F5" s="331" t="str">
        <f>'Income Statement'!F6</f>
        <v>1Q94</v>
      </c>
      <c r="G5" s="331" t="str">
        <f>'Income Statement'!G6</f>
        <v>2Q94</v>
      </c>
      <c r="H5" s="331" t="str">
        <f>'Income Statement'!H6</f>
        <v>3Q94</v>
      </c>
      <c r="I5" s="603" t="str">
        <f>'Income Statement'!I6</f>
        <v>4Q94</v>
      </c>
      <c r="J5" s="331" t="str">
        <f>'Income Statement'!J6</f>
        <v>1Q95</v>
      </c>
      <c r="K5" s="331" t="str">
        <f>'Income Statement'!K6</f>
        <v>2Q95</v>
      </c>
      <c r="L5" s="331" t="str">
        <f>'Income Statement'!L6</f>
        <v>3Q95</v>
      </c>
      <c r="M5" s="603" t="str">
        <f>'Income Statement'!M6</f>
        <v>4Q95</v>
      </c>
      <c r="N5" s="331" t="str">
        <f>'Income Statement'!N6</f>
        <v>1Q96</v>
      </c>
      <c r="O5" s="331" t="str">
        <f>'Income Statement'!O6</f>
        <v>2Q96</v>
      </c>
      <c r="P5" s="331" t="str">
        <f>'Income Statement'!P6</f>
        <v>3Q96</v>
      </c>
      <c r="Q5" s="603" t="str">
        <f>'Income Statement'!Q6</f>
        <v>4Q96</v>
      </c>
      <c r="R5" s="331" t="str">
        <f>'Income Statement'!R6</f>
        <v>1Q97</v>
      </c>
      <c r="S5" s="331" t="str">
        <f>'Income Statement'!S6</f>
        <v>2Q97</v>
      </c>
      <c r="T5" s="331" t="str">
        <f>'Income Statement'!T6</f>
        <v>3Q97</v>
      </c>
      <c r="U5" s="603" t="str">
        <f>'Income Statement'!U6</f>
        <v>4Q97</v>
      </c>
      <c r="V5" s="331" t="str">
        <f>'Income Statement'!V6</f>
        <v>1Q98</v>
      </c>
      <c r="W5" s="331" t="str">
        <f>'Income Statement'!W6</f>
        <v>2Q98</v>
      </c>
      <c r="X5" s="331" t="str">
        <f>'Income Statement'!X6</f>
        <v>3Q98</v>
      </c>
      <c r="Y5" s="603" t="str">
        <f>'Income Statement'!Y6</f>
        <v>4Q98</v>
      </c>
      <c r="Z5" s="331" t="str">
        <f>'Income Statement'!Z6</f>
        <v>1Q99</v>
      </c>
      <c r="AA5" s="331" t="str">
        <f>'Income Statement'!AA6</f>
        <v>2Q99</v>
      </c>
      <c r="AB5" s="331" t="str">
        <f>'Income Statement'!AB6</f>
        <v>3Q99</v>
      </c>
      <c r="AC5" s="603" t="str">
        <f>'Income Statement'!AC6</f>
        <v>4Q99</v>
      </c>
      <c r="AD5" s="331" t="str">
        <f>'Income Statement'!AD6</f>
        <v>1Q00</v>
      </c>
      <c r="AE5" s="331" t="str">
        <f>'Income Statement'!AE6</f>
        <v>2Q00</v>
      </c>
      <c r="AF5" s="331" t="str">
        <f>'Income Statement'!AF6</f>
        <v>3Q00</v>
      </c>
      <c r="AG5" s="603" t="str">
        <f>'Income Statement'!AG6</f>
        <v>4Q00</v>
      </c>
      <c r="AH5" s="331" t="str">
        <f>'Income Statement'!AH6</f>
        <v>1Q01</v>
      </c>
      <c r="AI5" s="331" t="str">
        <f>'Income Statement'!AI6</f>
        <v>2Q01</v>
      </c>
      <c r="AJ5" s="331" t="str">
        <f>'Income Statement'!AJ6</f>
        <v>3Q01</v>
      </c>
      <c r="AK5" s="603" t="str">
        <f>'Income Statement'!AK6</f>
        <v>4Q01</v>
      </c>
      <c r="AL5" s="331" t="str">
        <f>'Income Statement'!AL6</f>
        <v>1Q02</v>
      </c>
      <c r="AM5" s="331" t="str">
        <f>'Income Statement'!AM6</f>
        <v>2Q02</v>
      </c>
      <c r="AN5" s="331" t="str">
        <f>'Income Statement'!AN6</f>
        <v>3Q02</v>
      </c>
      <c r="AO5" s="603" t="str">
        <f>'Income Statement'!AO6</f>
        <v>4Q02</v>
      </c>
      <c r="AP5" s="331" t="str">
        <f>'Income Statement'!AP6</f>
        <v>1Q03</v>
      </c>
      <c r="AQ5" s="331" t="str">
        <f>'Income Statement'!AQ6</f>
        <v>2Q03</v>
      </c>
      <c r="AR5" s="331" t="str">
        <f>'Income Statement'!AR6</f>
        <v>3Q03</v>
      </c>
      <c r="AS5" s="603" t="str">
        <f>'Income Statement'!AS6</f>
        <v>4Q03</v>
      </c>
      <c r="AT5" s="331" t="str">
        <f>'Income Statement'!AT6</f>
        <v>1Q04</v>
      </c>
      <c r="AU5" s="331" t="str">
        <f>'Income Statement'!AU6</f>
        <v>2Q04</v>
      </c>
      <c r="AV5" s="331" t="str">
        <f>'Income Statement'!AV6</f>
        <v>3Q04</v>
      </c>
      <c r="AW5" s="603" t="str">
        <f>'Income Statement'!AW6</f>
        <v>4Q04</v>
      </c>
      <c r="AX5" s="331" t="str">
        <f>'Income Statement'!AX6</f>
        <v>1Q05</v>
      </c>
      <c r="AY5" s="331" t="str">
        <f>'Income Statement'!AY6</f>
        <v>2Q05</v>
      </c>
      <c r="AZ5" s="331" t="str">
        <f>'Income Statement'!AZ6</f>
        <v>3Q05</v>
      </c>
      <c r="BA5" s="603" t="str">
        <f>'Income Statement'!BA6</f>
        <v>4Q05</v>
      </c>
      <c r="BB5" s="697" t="str">
        <f>'Income Statement'!BB6</f>
        <v>1Q06</v>
      </c>
      <c r="BC5" s="697" t="str">
        <f>'Income Statement'!BC6</f>
        <v>2Q06</v>
      </c>
      <c r="BD5" s="1" t="str">
        <f>'Income Statement'!BD6</f>
        <v>3Q06</v>
      </c>
      <c r="BE5" s="723" t="str">
        <f>'Income Statement'!BE6</f>
        <v>4Q06</v>
      </c>
      <c r="BF5" s="697" t="str">
        <f>'Income Statement'!BF6</f>
        <v>1Q07</v>
      </c>
      <c r="BG5" s="697" t="str">
        <f>'Income Statement'!BG6</f>
        <v>2Q07</v>
      </c>
      <c r="BH5" s="1" t="str">
        <f>'Income Statement'!BH6</f>
        <v>3Q07</v>
      </c>
      <c r="BI5" s="723" t="str">
        <f>'Income Statement'!BI6</f>
        <v>4Q07</v>
      </c>
      <c r="BJ5" s="1" t="str">
        <f>'Income Statement'!BJ6</f>
        <v>1Q08</v>
      </c>
      <c r="BK5" s="1" t="str">
        <f>'Income Statement'!BK6</f>
        <v>2Q08</v>
      </c>
      <c r="BL5" s="1" t="str">
        <f>'Income Statement'!BL6</f>
        <v>3Q08</v>
      </c>
      <c r="BM5" s="696" t="str">
        <f>'Income Statement'!BM6</f>
        <v>4Q08</v>
      </c>
      <c r="BN5" s="1" t="str">
        <f>'Income Statement'!BN6</f>
        <v>1Q09</v>
      </c>
      <c r="BO5" s="1" t="str">
        <f>'Income Statement'!BO6</f>
        <v>2Q09</v>
      </c>
      <c r="BP5" s="1" t="str">
        <f>'Income Statement'!BP6</f>
        <v>3Q09</v>
      </c>
      <c r="BQ5" s="696" t="str">
        <f>'Income Statement'!BQ6</f>
        <v>4Q09</v>
      </c>
      <c r="BR5" s="1" t="str">
        <f>'Income Statement'!BR6</f>
        <v>1Q10</v>
      </c>
      <c r="BS5" s="1" t="str">
        <f>'Income Statement'!BS6</f>
        <v>2Q10</v>
      </c>
      <c r="BT5" s="1" t="str">
        <f>'Income Statement'!BT6</f>
        <v>3Q10</v>
      </c>
      <c r="BU5" s="696" t="str">
        <f>'Income Statement'!BU6</f>
        <v>4Q10</v>
      </c>
      <c r="BV5" s="1" t="str">
        <f>'Income Statement'!BV6</f>
        <v>1Q11</v>
      </c>
      <c r="BW5" s="1" t="str">
        <f>'Income Statement'!BW6</f>
        <v>2Q11</v>
      </c>
      <c r="BX5" s="1" t="str">
        <f>'Income Statement'!BX6</f>
        <v>3Q11</v>
      </c>
      <c r="BY5" s="696" t="str">
        <f>'Income Statement'!BY6</f>
        <v>4Q11</v>
      </c>
      <c r="BZ5" s="1" t="str">
        <f>'Income Statement'!CH6</f>
        <v>1Q12</v>
      </c>
      <c r="CA5" s="1" t="str">
        <f>'Income Statement'!CI6</f>
        <v>2Q12</v>
      </c>
      <c r="CB5" s="1" t="str">
        <f>'Income Statement'!CJ6</f>
        <v>3Q12</v>
      </c>
      <c r="CC5" s="696" t="str">
        <f>'Income Statement'!CK6</f>
        <v>4Q12</v>
      </c>
      <c r="CD5" s="1141" t="str">
        <f>'Income Statement'!CP6</f>
        <v>1Q13</v>
      </c>
      <c r="CE5" s="946" t="str">
        <f>'Income Statement'!CQ6</f>
        <v>2Q13</v>
      </c>
      <c r="CF5" s="946" t="str">
        <f>'Income Statement'!CR6</f>
        <v>3Q13</v>
      </c>
      <c r="CG5" s="696" t="str">
        <f>'Income Statement'!CS6</f>
        <v>4Q13</v>
      </c>
      <c r="CH5" s="1141" t="str">
        <f>'Income Statement'!CT6</f>
        <v>1Q14</v>
      </c>
      <c r="CI5" s="1152" t="str">
        <f>'Income Statement'!CU6</f>
        <v>2Q14</v>
      </c>
      <c r="CJ5" s="1152" t="str">
        <f>'Income Statement'!CV6</f>
        <v>3Q14</v>
      </c>
      <c r="CK5" s="1152" t="str">
        <f>'Income Statement'!CW6</f>
        <v>4Q14</v>
      </c>
      <c r="CL5" s="1152" t="str">
        <f>'Income Statement'!CX6</f>
        <v>1Q15</v>
      </c>
      <c r="CM5" s="1152" t="str">
        <f>'Income Statement'!CY6</f>
        <v>2Q15</v>
      </c>
      <c r="CN5" s="1152" t="str">
        <f>'Income Statement'!CZ6</f>
        <v>3Q15</v>
      </c>
      <c r="CO5" s="1278" t="str">
        <f>'Income Statement'!DA6</f>
        <v>4Q15</v>
      </c>
      <c r="CP5" s="1152" t="str">
        <f>'Income Statement'!DB6</f>
        <v>1Q16</v>
      </c>
      <c r="CQ5" s="1152" t="str">
        <f>'Income Statement'!DC6</f>
        <v>2Q16</v>
      </c>
      <c r="CR5" s="1152" t="str">
        <f>'Income Statement'!DD6</f>
        <v>3Q16</v>
      </c>
      <c r="CS5" s="1278" t="str">
        <f>'Income Statement'!DE6</f>
        <v>4Q16</v>
      </c>
      <c r="CT5" s="1152" t="str">
        <f>'Income Statement'!DF6</f>
        <v>1Q17</v>
      </c>
      <c r="CU5" s="1152" t="str">
        <f>'Income Statement'!DG6</f>
        <v>2Q17</v>
      </c>
      <c r="CV5" s="1152" t="str">
        <f>'Income Statement'!DH6</f>
        <v>3Q17</v>
      </c>
      <c r="CW5" s="1278" t="str">
        <f>'Income Statement'!DI6</f>
        <v>4Q17</v>
      </c>
      <c r="CX5" s="2679" t="str">
        <f>'Income Statement'!DJ6</f>
        <v>1Q18E</v>
      </c>
      <c r="CY5" s="1164" t="str">
        <f>'Income Statement'!DK6</f>
        <v>2Q18E</v>
      </c>
      <c r="CZ5" s="1164" t="str">
        <f>'Income Statement'!DL6</f>
        <v>3Q18E</v>
      </c>
      <c r="DA5" s="1165" t="str">
        <f>'Income Statement'!DM6</f>
        <v>4Q18E</v>
      </c>
      <c r="DB5" s="729"/>
      <c r="DC5" s="1855"/>
      <c r="DD5" s="930">
        <v>1985</v>
      </c>
      <c r="DE5" s="930">
        <v>1986</v>
      </c>
      <c r="DF5" s="930">
        <v>1987</v>
      </c>
      <c r="DG5" s="930">
        <v>1988</v>
      </c>
      <c r="DH5" s="930">
        <v>1989</v>
      </c>
      <c r="DI5" s="930" t="s">
        <v>103</v>
      </c>
      <c r="DJ5" s="930" t="s">
        <v>104</v>
      </c>
      <c r="DK5" s="930">
        <v>1992</v>
      </c>
      <c r="DL5" s="930">
        <f>+B4</f>
        <v>1993</v>
      </c>
      <c r="DM5" s="930">
        <f>+F4</f>
        <v>1994</v>
      </c>
      <c r="DN5" s="930">
        <f>+J4</f>
        <v>1995</v>
      </c>
      <c r="DO5" s="930">
        <f>+N4</f>
        <v>1996</v>
      </c>
      <c r="DP5" s="930">
        <f>+R4</f>
        <v>1997</v>
      </c>
      <c r="DQ5" s="930">
        <f>+V4</f>
        <v>1998</v>
      </c>
      <c r="DR5" s="930">
        <f>+Z4</f>
        <v>1999</v>
      </c>
      <c r="DS5" s="930">
        <f>+AD4</f>
        <v>2000</v>
      </c>
      <c r="DT5" s="930">
        <f>+AH4</f>
        <v>2001</v>
      </c>
      <c r="DU5" s="930">
        <f>+AL4</f>
        <v>2002</v>
      </c>
      <c r="DV5" s="930">
        <f>+AP4</f>
        <v>2003</v>
      </c>
      <c r="DW5" s="930">
        <f>+AT4</f>
        <v>2004</v>
      </c>
      <c r="DX5" s="930">
        <f>+DW5+1</f>
        <v>2005</v>
      </c>
      <c r="DY5" s="930">
        <f>+DX5+1</f>
        <v>2006</v>
      </c>
      <c r="DZ5" s="930">
        <f>BF4</f>
        <v>2007</v>
      </c>
      <c r="EA5" s="930">
        <f>'Income Statement'!EM6</f>
        <v>2008</v>
      </c>
      <c r="EB5" s="930">
        <f>'Income Statement'!EN6</f>
        <v>2009</v>
      </c>
      <c r="EC5" s="930">
        <f>'Income Statement'!EO6</f>
        <v>2010</v>
      </c>
      <c r="ED5" s="930">
        <f>'Income Statement'!EP6</f>
        <v>2011</v>
      </c>
      <c r="EE5" s="930" t="str">
        <f>'Income Statement'!EQ6</f>
        <v>2010PF</v>
      </c>
      <c r="EF5" s="1107" t="str">
        <f>'Income Statement'!ER6</f>
        <v>2011PF</v>
      </c>
      <c r="EG5" s="1108">
        <f>'Income Statement'!ES6</f>
        <v>2012</v>
      </c>
      <c r="EH5" s="1107">
        <f>'Income Statement'!EU6</f>
        <v>2013</v>
      </c>
      <c r="EI5" s="1108">
        <f>'Income Statement'!EV6</f>
        <v>2014</v>
      </c>
      <c r="EJ5" s="1108">
        <f>'Income Statement'!EW6</f>
        <v>2015</v>
      </c>
      <c r="EK5" s="1108">
        <f>'Income Statement'!EX6</f>
        <v>2016</v>
      </c>
      <c r="EL5" s="1108">
        <f>'Income Statement'!EY6</f>
        <v>2017</v>
      </c>
      <c r="EM5" s="1677">
        <f>'Income Statement'!EZ6</f>
        <v>2018</v>
      </c>
      <c r="EN5" s="1109">
        <f>'Income Statement'!FA6</f>
        <v>2019</v>
      </c>
      <c r="EO5" s="1109">
        <f>'Income Statement'!FB6</f>
        <v>2020</v>
      </c>
      <c r="EP5" s="1109">
        <f>'Income Statement'!FC6</f>
        <v>2021</v>
      </c>
      <c r="EQ5" s="1109">
        <f>'Income Statement'!FD6</f>
        <v>2022</v>
      </c>
      <c r="ER5" s="1109">
        <f>'Income Statement'!FE6</f>
        <v>2023</v>
      </c>
      <c r="ES5" s="1109">
        <f>'Income Statement'!FF6</f>
        <v>2024</v>
      </c>
      <c r="ET5" s="1109">
        <f>'Income Statement'!FG6</f>
        <v>2025</v>
      </c>
      <c r="EU5" s="1508">
        <f>'Income Statement'!FH6</f>
        <v>2026</v>
      </c>
      <c r="EV5" s="413"/>
      <c r="EW5"/>
      <c r="EX5"/>
      <c r="EY5"/>
      <c r="EZ5"/>
      <c r="FA5"/>
      <c r="FB5"/>
      <c r="FC5" s="4"/>
      <c r="FD5" s="4"/>
      <c r="FE5" s="4"/>
      <c r="FF5" s="4"/>
      <c r="FG5" s="1345"/>
      <c r="FH5" s="1345"/>
      <c r="FI5" s="134"/>
      <c r="FJ5" s="134"/>
      <c r="FK5" s="134"/>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row>
    <row r="6" spans="1:260" s="342" customFormat="1" ht="12.2" customHeight="1" x14ac:dyDescent="0.2">
      <c r="A6" s="326" t="s">
        <v>505</v>
      </c>
      <c r="B6" s="327"/>
      <c r="C6" s="327"/>
      <c r="D6" s="327"/>
      <c r="E6" s="708"/>
      <c r="F6" s="327"/>
      <c r="G6" s="327"/>
      <c r="H6" s="327"/>
      <c r="I6" s="717"/>
      <c r="J6" s="104"/>
      <c r="K6" s="104"/>
      <c r="L6" s="104"/>
      <c r="M6" s="453"/>
      <c r="N6" s="104"/>
      <c r="O6" s="104"/>
      <c r="P6" s="104"/>
      <c r="Q6" s="453"/>
      <c r="R6" s="104"/>
      <c r="S6" s="104"/>
      <c r="T6" s="104"/>
      <c r="U6" s="453"/>
      <c r="V6" s="104"/>
      <c r="W6" s="104"/>
      <c r="X6" s="104"/>
      <c r="Y6" s="453"/>
      <c r="Z6" s="104"/>
      <c r="AA6" s="104"/>
      <c r="AB6" s="104"/>
      <c r="AC6" s="453"/>
      <c r="AD6" s="104"/>
      <c r="AE6" s="104"/>
      <c r="AF6" s="104"/>
      <c r="AG6" s="453"/>
      <c r="AH6" s="104"/>
      <c r="AI6" s="104"/>
      <c r="AJ6" s="104"/>
      <c r="AK6" s="453"/>
      <c r="AL6" s="104"/>
      <c r="AM6" s="1333"/>
      <c r="AN6" s="1333"/>
      <c r="AO6" s="1334"/>
      <c r="AP6" s="1333"/>
      <c r="AQ6" s="343"/>
      <c r="AR6" s="343"/>
      <c r="AS6" s="718"/>
      <c r="AT6" s="343"/>
      <c r="AU6" s="343"/>
      <c r="AV6" s="343"/>
      <c r="AW6" s="718"/>
      <c r="AX6" s="343"/>
      <c r="AY6" s="343"/>
      <c r="AZ6" s="343"/>
      <c r="BA6" s="718"/>
      <c r="BB6" s="343"/>
      <c r="BC6" s="343"/>
      <c r="BD6" s="343"/>
      <c r="BE6" s="718"/>
      <c r="BF6" s="343"/>
      <c r="BG6" s="343"/>
      <c r="BH6" s="343"/>
      <c r="BI6" s="718"/>
      <c r="BJ6" s="343"/>
      <c r="BK6" s="343"/>
      <c r="BL6" s="343"/>
      <c r="BM6" s="718"/>
      <c r="BN6" s="343"/>
      <c r="BO6" s="343"/>
      <c r="BP6" s="343"/>
      <c r="BQ6" s="718"/>
      <c r="BR6" s="343"/>
      <c r="BS6" s="343"/>
      <c r="BT6" s="343"/>
      <c r="BU6" s="718"/>
      <c r="BV6" s="343"/>
      <c r="BW6" s="343"/>
      <c r="BX6" s="343"/>
      <c r="BY6" s="718"/>
      <c r="BZ6" s="343"/>
      <c r="CA6" s="343"/>
      <c r="CB6" s="343"/>
      <c r="CC6" s="718"/>
      <c r="CD6" s="1142"/>
      <c r="CE6" s="343"/>
      <c r="CF6" s="343"/>
      <c r="CG6" s="718"/>
      <c r="CH6" s="1142"/>
      <c r="CI6" s="343"/>
      <c r="CJ6" s="343"/>
      <c r="CK6" s="718"/>
      <c r="CL6" s="1142"/>
      <c r="CM6" s="343"/>
      <c r="CN6" s="343"/>
      <c r="CO6" s="718"/>
      <c r="CP6" s="343"/>
      <c r="CQ6" s="343"/>
      <c r="CR6" s="343"/>
      <c r="CS6" s="718"/>
      <c r="CT6" s="343"/>
      <c r="CU6" s="343"/>
      <c r="CV6" s="343"/>
      <c r="CW6" s="718"/>
      <c r="CX6" s="343"/>
      <c r="CY6" s="343"/>
      <c r="CZ6" s="343"/>
      <c r="DA6" s="718"/>
      <c r="DB6" s="730"/>
      <c r="DC6" s="535"/>
      <c r="DD6" s="327"/>
      <c r="DE6" s="327"/>
      <c r="DF6" s="327"/>
      <c r="DG6" s="327"/>
      <c r="DH6" s="327"/>
      <c r="DI6" s="327"/>
      <c r="DJ6" s="327"/>
      <c r="DK6" s="327"/>
      <c r="DL6" s="327"/>
      <c r="DM6" s="326"/>
      <c r="DN6" s="104"/>
      <c r="DO6" s="104"/>
      <c r="DP6" s="104"/>
      <c r="DQ6" s="104"/>
      <c r="DR6" s="104"/>
      <c r="DS6" s="104"/>
      <c r="DT6" s="104"/>
      <c r="DU6" s="1333"/>
      <c r="DV6" s="343"/>
      <c r="DW6" s="343"/>
      <c r="DX6" s="343"/>
      <c r="DY6" s="343"/>
      <c r="DZ6" s="343"/>
      <c r="EA6" s="343"/>
      <c r="EB6" s="343"/>
      <c r="EC6" s="343"/>
      <c r="ED6" s="343"/>
      <c r="EE6" s="327"/>
      <c r="EF6" s="1124"/>
      <c r="EG6" s="343"/>
      <c r="EH6" s="343"/>
      <c r="EI6" s="343"/>
      <c r="EJ6" s="343"/>
      <c r="EK6" s="327"/>
      <c r="EL6" s="327"/>
      <c r="EM6" s="327"/>
      <c r="EN6" s="327"/>
      <c r="EO6" s="326"/>
      <c r="EP6" s="327"/>
      <c r="EQ6" s="327"/>
      <c r="ER6" s="327"/>
      <c r="ES6" s="327"/>
      <c r="ET6" s="327"/>
      <c r="EU6" s="708"/>
      <c r="EV6" s="413"/>
      <c r="EW6"/>
      <c r="EX6"/>
      <c r="EY6"/>
      <c r="EZ6"/>
      <c r="FA6"/>
      <c r="FB6"/>
      <c r="FC6" s="4"/>
      <c r="FD6" s="4"/>
      <c r="FE6" s="4"/>
      <c r="FF6" s="4"/>
      <c r="FG6"/>
      <c r="FH6"/>
      <c r="FI6" s="134"/>
      <c r="FJ6" s="134"/>
      <c r="FK6" s="134"/>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row>
    <row r="7" spans="1:260" s="4" customFormat="1" x14ac:dyDescent="0.2">
      <c r="A7" s="120" t="s">
        <v>391</v>
      </c>
      <c r="B7" s="46"/>
      <c r="C7" s="47"/>
      <c r="D7" s="47"/>
      <c r="E7" s="709"/>
      <c r="F7" s="46"/>
      <c r="G7" s="47"/>
      <c r="H7" s="47"/>
      <c r="I7" s="709"/>
      <c r="J7" s="47"/>
      <c r="K7" s="47"/>
      <c r="L7" s="47"/>
      <c r="M7" s="709"/>
      <c r="N7" s="47"/>
      <c r="O7" s="47"/>
      <c r="P7" s="47"/>
      <c r="Q7" s="709"/>
      <c r="R7" s="47"/>
      <c r="S7" s="47"/>
      <c r="T7" s="47"/>
      <c r="U7" s="709"/>
      <c r="Y7" s="470"/>
      <c r="AC7" s="470"/>
      <c r="AG7" s="484"/>
      <c r="AK7" s="470"/>
      <c r="AL7" s="47"/>
      <c r="AM7" s="47"/>
      <c r="AN7" s="47"/>
      <c r="AO7" s="709"/>
      <c r="AP7" s="47"/>
      <c r="AQ7" s="47"/>
      <c r="AR7" s="47"/>
      <c r="AS7" s="709"/>
      <c r="AT7" s="38"/>
      <c r="AU7" s="38"/>
      <c r="AV7" s="38"/>
      <c r="AW7" s="719"/>
      <c r="AX7" s="38"/>
      <c r="AY7" s="38"/>
      <c r="AZ7" s="54"/>
      <c r="BA7" s="721"/>
      <c r="BB7" s="54"/>
      <c r="BC7" s="54"/>
      <c r="BD7" s="54"/>
      <c r="BE7" s="721"/>
      <c r="BF7" s="38"/>
      <c r="BG7" s="38"/>
      <c r="BH7" s="38"/>
      <c r="BI7" s="719"/>
      <c r="BJ7" s="54"/>
      <c r="BK7" s="54"/>
      <c r="BL7" s="54"/>
      <c r="BM7" s="721"/>
      <c r="BN7" s="54"/>
      <c r="BO7" s="54"/>
      <c r="BP7" s="54"/>
      <c r="BQ7" s="721"/>
      <c r="BR7" s="54"/>
      <c r="BS7" s="54"/>
      <c r="BT7" s="54"/>
      <c r="BU7" s="721"/>
      <c r="BV7" s="54"/>
      <c r="BW7" s="38"/>
      <c r="BX7" s="38"/>
      <c r="BY7" s="719"/>
      <c r="BZ7" s="54"/>
      <c r="CA7" s="38"/>
      <c r="CB7" s="38"/>
      <c r="CC7" s="719"/>
      <c r="CD7" s="731"/>
      <c r="CE7" s="428"/>
      <c r="CF7" s="428"/>
      <c r="CG7" s="719"/>
      <c r="CH7" s="731"/>
      <c r="CI7" s="428"/>
      <c r="CJ7" s="428"/>
      <c r="CK7" s="719"/>
      <c r="CL7" s="428"/>
      <c r="CM7" s="428"/>
      <c r="CN7" s="428"/>
      <c r="CO7" s="1419"/>
      <c r="CP7" s="428"/>
      <c r="CQ7" s="428"/>
      <c r="CR7" s="428"/>
      <c r="CS7" s="1419"/>
      <c r="CT7" s="428"/>
      <c r="CU7" s="428"/>
      <c r="CV7" s="428"/>
      <c r="CW7" s="1419"/>
      <c r="CX7" s="1693"/>
      <c r="CY7" s="147"/>
      <c r="CZ7" s="147"/>
      <c r="DA7" s="147"/>
      <c r="DB7" s="731"/>
      <c r="DC7" s="721"/>
      <c r="DD7" s="45"/>
      <c r="DE7" s="45"/>
      <c r="DF7" s="45"/>
      <c r="DG7" s="45"/>
      <c r="DH7" s="45"/>
      <c r="DI7" s="45"/>
      <c r="DJ7" s="45"/>
      <c r="DK7" s="45"/>
      <c r="DL7" s="47"/>
      <c r="DM7" s="47"/>
      <c r="DN7" s="47"/>
      <c r="DO7" s="47"/>
      <c r="DP7" s="47"/>
      <c r="DU7" s="47"/>
      <c r="DV7" s="38"/>
      <c r="DW7" s="38"/>
      <c r="DX7" s="54"/>
      <c r="DY7" s="38"/>
      <c r="DZ7" s="38"/>
      <c r="EA7" s="54"/>
      <c r="EB7" s="54"/>
      <c r="EC7" s="54"/>
      <c r="ED7" s="38"/>
      <c r="EE7" s="45"/>
      <c r="EF7" s="1125"/>
      <c r="EG7" s="147"/>
      <c r="EH7" s="147"/>
      <c r="EI7" s="147"/>
      <c r="EJ7" s="147"/>
      <c r="EK7" s="1918"/>
      <c r="EL7" s="1918"/>
      <c r="EM7" s="1705"/>
      <c r="EN7" s="45"/>
      <c r="EO7" s="45"/>
      <c r="EP7" s="45"/>
      <c r="EQ7" s="45"/>
      <c r="ER7" s="45"/>
      <c r="ES7" s="45"/>
      <c r="ET7" s="45"/>
      <c r="EU7" s="45"/>
      <c r="EV7" s="413"/>
      <c r="EW7"/>
      <c r="EX7"/>
      <c r="EY7"/>
      <c r="EZ7"/>
      <c r="FA7"/>
      <c r="FB7"/>
      <c r="FG7"/>
      <c r="FH7"/>
      <c r="FI7" s="134"/>
      <c r="FJ7" s="134"/>
      <c r="FK7" s="134"/>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c r="IB7"/>
      <c r="IC7"/>
      <c r="ID7"/>
      <c r="IE7"/>
      <c r="IF7"/>
      <c r="IG7"/>
      <c r="IH7"/>
      <c r="II7"/>
      <c r="IJ7"/>
      <c r="IK7"/>
      <c r="IL7"/>
      <c r="IM7"/>
      <c r="IN7"/>
      <c r="IO7"/>
      <c r="IP7"/>
      <c r="IQ7"/>
      <c r="IR7"/>
      <c r="IS7"/>
      <c r="IT7"/>
      <c r="IU7"/>
      <c r="IV7"/>
      <c r="IW7"/>
      <c r="IX7"/>
      <c r="IY7"/>
      <c r="IZ7"/>
    </row>
    <row r="8" spans="1:260" s="4" customFormat="1" x14ac:dyDescent="0.2">
      <c r="A8" s="324" t="s">
        <v>308</v>
      </c>
      <c r="B8" s="986"/>
      <c r="C8" s="986"/>
      <c r="D8" s="986"/>
      <c r="E8" s="504"/>
      <c r="F8" s="986"/>
      <c r="G8" s="986"/>
      <c r="H8" s="986"/>
      <c r="I8" s="504"/>
      <c r="J8" s="986"/>
      <c r="K8" s="986"/>
      <c r="L8" s="986"/>
      <c r="M8" s="504"/>
      <c r="N8" s="986"/>
      <c r="O8" s="986"/>
      <c r="P8" s="986"/>
      <c r="Q8" s="504"/>
      <c r="R8" s="986">
        <v>-2.6389999999999998</v>
      </c>
      <c r="S8" s="986">
        <f>4.009-R8</f>
        <v>6.6479999999999997</v>
      </c>
      <c r="T8" s="986">
        <v>26.417999999999999</v>
      </c>
      <c r="U8" s="504">
        <v>64.02600000000001</v>
      </c>
      <c r="V8" s="986">
        <v>15.725</v>
      </c>
      <c r="W8" s="986">
        <v>44.134999999999998</v>
      </c>
      <c r="X8" s="986">
        <v>54.389000000000003</v>
      </c>
      <c r="Y8" s="504">
        <v>110.18800000000002</v>
      </c>
      <c r="Z8" s="986">
        <v>47.274999999999999</v>
      </c>
      <c r="AA8" s="986">
        <f>106.296-Z8</f>
        <v>59.021000000000008</v>
      </c>
      <c r="AB8" s="986">
        <f>183.265-SUM(Z8:AA8)</f>
        <v>76.96899999999998</v>
      </c>
      <c r="AC8" s="504">
        <f>DR8-SUM(Z8:AB8)</f>
        <v>163.80500000000001</v>
      </c>
      <c r="AD8" s="986">
        <v>72</v>
      </c>
      <c r="AE8" s="986">
        <f>149-AD8</f>
        <v>77</v>
      </c>
      <c r="AF8" s="986">
        <f>206-SUM(AD8:AE8)</f>
        <v>57</v>
      </c>
      <c r="AG8" s="504">
        <f>DS8-SUM(AD8:AF8)</f>
        <v>190</v>
      </c>
      <c r="AH8" s="986">
        <v>55</v>
      </c>
      <c r="AI8" s="986">
        <f>140-AH8</f>
        <v>85</v>
      </c>
      <c r="AJ8" s="986">
        <f>220-SUM(AH8:AI8)</f>
        <v>80</v>
      </c>
      <c r="AK8" s="504">
        <f>DT8-SUM(AH8:AJ8)</f>
        <v>350</v>
      </c>
      <c r="AL8" s="986">
        <v>-333</v>
      </c>
      <c r="AM8" s="986"/>
      <c r="AN8" s="986"/>
      <c r="AO8" s="504"/>
      <c r="AP8" s="403">
        <v>-25</v>
      </c>
      <c r="AQ8" s="403">
        <f>114-AP8</f>
        <v>139</v>
      </c>
      <c r="AR8" s="403">
        <f>236-AQ8-AP8</f>
        <v>122</v>
      </c>
      <c r="AS8" s="569">
        <f>DV8-SUM(AP8:AR8)</f>
        <v>469</v>
      </c>
      <c r="AT8" s="403">
        <v>114</v>
      </c>
      <c r="AU8" s="403">
        <f>264-AT8</f>
        <v>150</v>
      </c>
      <c r="AV8" s="403">
        <f>412-AT8-AU8</f>
        <v>148</v>
      </c>
      <c r="AW8" s="569">
        <f t="shared" ref="AW8:AW17" si="2">DW8-SUM(AT8:AV8)</f>
        <v>572</v>
      </c>
      <c r="AX8" s="403">
        <v>170</v>
      </c>
      <c r="AY8" s="403">
        <f>358-AX8</f>
        <v>188</v>
      </c>
      <c r="AZ8" s="403">
        <f>496-AY8-AX8</f>
        <v>138</v>
      </c>
      <c r="BA8" s="569">
        <f t="shared" ref="BA8:BA17" si="3">DX8-SUM(AX8:AZ8)</f>
        <v>644</v>
      </c>
      <c r="BB8" s="403">
        <v>234</v>
      </c>
      <c r="BC8" s="403">
        <f>464-BB8</f>
        <v>230</v>
      </c>
      <c r="BD8" s="403">
        <f>614-SUM(BB8:BC8)</f>
        <v>150</v>
      </c>
      <c r="BE8" s="569">
        <f t="shared" ref="BE8:BE17" si="4">DY8-SUM(BB8:BD8)</f>
        <v>763</v>
      </c>
      <c r="BF8" s="403">
        <v>192</v>
      </c>
      <c r="BG8" s="403">
        <f>442-BF8</f>
        <v>250</v>
      </c>
      <c r="BH8" s="403">
        <f>670-BG8-BF8</f>
        <v>228</v>
      </c>
      <c r="BI8" s="569">
        <f t="shared" ref="BI8:BI17" si="5">DZ8-BF8-BG8-BH8</f>
        <v>737</v>
      </c>
      <c r="BJ8" s="403">
        <v>178</v>
      </c>
      <c r="BK8" s="403">
        <f>383-BJ8</f>
        <v>205</v>
      </c>
      <c r="BL8" s="403">
        <f>446-BJ8-BK8</f>
        <v>63</v>
      </c>
      <c r="BM8" s="569">
        <f t="shared" ref="BM8:BM17" si="6">EA8-BJ8-BK8-BL8</f>
        <v>557</v>
      </c>
      <c r="BN8" s="403">
        <v>156</v>
      </c>
      <c r="BO8" s="403">
        <f>313-BN8</f>
        <v>157</v>
      </c>
      <c r="BP8" s="403">
        <f>584-BN8-BO8</f>
        <v>271</v>
      </c>
      <c r="BQ8" s="569">
        <f t="shared" ref="BQ8:BQ17" si="7">EB8-BN8-BO8-BP8</f>
        <v>810</v>
      </c>
      <c r="BR8" s="403">
        <v>181</v>
      </c>
      <c r="BS8" s="403">
        <f>438-BR8</f>
        <v>257</v>
      </c>
      <c r="BT8" s="403">
        <f>678-BS8-BR8</f>
        <v>240</v>
      </c>
      <c r="BU8" s="569">
        <f t="shared" ref="BU8:BU17" si="8">EC8-BR8-BS8-BT8</f>
        <v>688</v>
      </c>
      <c r="BV8" s="403">
        <v>163</v>
      </c>
      <c r="BW8" s="403">
        <f>323-BV8</f>
        <v>160</v>
      </c>
      <c r="BX8" s="403">
        <f>454-BW8-BV8</f>
        <v>131</v>
      </c>
      <c r="BY8" s="569">
        <f t="shared" ref="BY8:BY17" si="9">ED8-BV8-BW8-BX8</f>
        <v>-432</v>
      </c>
      <c r="BZ8" s="403">
        <v>152</v>
      </c>
      <c r="CA8" s="403">
        <f>145-BZ8</f>
        <v>-7</v>
      </c>
      <c r="CB8" s="403">
        <f>146-CA8-BZ8</f>
        <v>1</v>
      </c>
      <c r="CC8" s="569">
        <f t="shared" ref="CC8:CC17" si="10">EG8-BZ8-CA8-CB8</f>
        <v>-379</v>
      </c>
      <c r="CD8" s="595">
        <v>-73</v>
      </c>
      <c r="CE8" s="575">
        <f>175-CD8</f>
        <v>248</v>
      </c>
      <c r="CF8" s="575">
        <f>229-CE8-CD8</f>
        <v>54</v>
      </c>
      <c r="CG8" s="569">
        <f>523-CD8-CE8-CF8</f>
        <v>294</v>
      </c>
      <c r="CH8" s="664">
        <v>461</v>
      </c>
      <c r="CI8" s="1462">
        <f>608-CH8</f>
        <v>147</v>
      </c>
      <c r="CJ8" s="1462">
        <f>715-CI8-CH8</f>
        <v>107</v>
      </c>
      <c r="CK8" s="661">
        <f>+EI8-SUM(CH8:CJ8)</f>
        <v>520</v>
      </c>
      <c r="CL8" s="664">
        <v>129</v>
      </c>
      <c r="CM8" s="1462">
        <f>293-CL8</f>
        <v>164</v>
      </c>
      <c r="CN8" s="1462">
        <f>418-SUM(CL8:CM8)</f>
        <v>125</v>
      </c>
      <c r="CO8" s="661">
        <f>+EJ8-SUM(CL8:CN8)</f>
        <v>479</v>
      </c>
      <c r="CP8" s="1462">
        <v>229</v>
      </c>
      <c r="CQ8" s="1462">
        <f>427-CP8</f>
        <v>198</v>
      </c>
      <c r="CR8" s="1462">
        <f>621-SUM(CP8:CQ8)</f>
        <v>194</v>
      </c>
      <c r="CS8" s="661">
        <f>+EK8-SUM(CP8:CR8)</f>
        <v>607</v>
      </c>
      <c r="CT8" s="2495">
        <v>188</v>
      </c>
      <c r="CU8" s="1462">
        <f>397-CT8</f>
        <v>209</v>
      </c>
      <c r="CV8" s="1462">
        <f>636-CU8-CT8</f>
        <v>239</v>
      </c>
      <c r="CW8" s="661">
        <f>+EL8-SUM(CT8:CV8)</f>
        <v>364</v>
      </c>
      <c r="CX8" s="2802">
        <f>'Income Statement'!DJ34</f>
        <v>215.71264211991061</v>
      </c>
      <c r="CY8" s="1462">
        <f>'Income Statement'!DK34</f>
        <v>232.38419664571583</v>
      </c>
      <c r="CZ8" s="1462">
        <f>'Income Statement'!DL34</f>
        <v>263.56814296394919</v>
      </c>
      <c r="DA8" s="661">
        <f>'Income Statement'!DM34</f>
        <v>710.50698474922842</v>
      </c>
      <c r="DB8" s="664"/>
      <c r="DC8" s="661"/>
      <c r="DD8" s="176">
        <v>4.0599999999999996</v>
      </c>
      <c r="DE8" s="176">
        <v>7.742</v>
      </c>
      <c r="DF8" s="176">
        <v>2.7679999999999998</v>
      </c>
      <c r="DG8" s="176">
        <v>2.06</v>
      </c>
      <c r="DH8" s="176">
        <v>5.6829999999999998</v>
      </c>
      <c r="DI8" s="176">
        <v>-9.4570000000000007</v>
      </c>
      <c r="DJ8" s="176">
        <v>9.6010000000000009</v>
      </c>
      <c r="DK8" s="176">
        <v>19.855</v>
      </c>
      <c r="DL8" s="1325">
        <v>41.284999999999997</v>
      </c>
      <c r="DM8" s="1325">
        <v>57.651000000000003</v>
      </c>
      <c r="DN8" s="1325">
        <v>48.018999999999998</v>
      </c>
      <c r="DO8" s="1325">
        <v>1.748</v>
      </c>
      <c r="DP8" s="1325">
        <f>+R8+S8+T8+U8</f>
        <v>94.453000000000003</v>
      </c>
      <c r="DQ8" s="1325">
        <f>+V8+W8+X8+Y8</f>
        <v>224.43700000000001</v>
      </c>
      <c r="DR8" s="1325">
        <v>347.07</v>
      </c>
      <c r="DS8" s="1325">
        <v>396</v>
      </c>
      <c r="DT8" s="1325">
        <v>570</v>
      </c>
      <c r="DU8" s="1325">
        <f>+'Income Statement'!EG34</f>
        <v>99</v>
      </c>
      <c r="DV8" s="1325">
        <v>705</v>
      </c>
      <c r="DW8" s="1325">
        <v>984</v>
      </c>
      <c r="DX8" s="1325">
        <v>1140</v>
      </c>
      <c r="DY8" s="1325">
        <v>1377</v>
      </c>
      <c r="DZ8" s="1325">
        <v>1407</v>
      </c>
      <c r="EA8" s="1325">
        <v>1003</v>
      </c>
      <c r="EB8" s="1325">
        <v>1394</v>
      </c>
      <c r="EC8" s="1325">
        <v>1366</v>
      </c>
      <c r="ED8" s="1325">
        <v>22</v>
      </c>
      <c r="EE8" s="176">
        <v>1374</v>
      </c>
      <c r="EF8" s="1463">
        <v>-69</v>
      </c>
      <c r="EG8" s="1462">
        <v>-233</v>
      </c>
      <c r="EH8" s="1462">
        <f t="shared" ref="EH8:EH17" si="11">SUM(CD8:CG8)</f>
        <v>523</v>
      </c>
      <c r="EI8" s="1462">
        <v>1235</v>
      </c>
      <c r="EJ8" s="1462">
        <v>897</v>
      </c>
      <c r="EK8" s="177">
        <v>1228</v>
      </c>
      <c r="EL8" s="177">
        <v>1000</v>
      </c>
      <c r="EM8" s="1706">
        <f>SUM(CX8:DA8)</f>
        <v>1422.1719664788041</v>
      </c>
      <c r="EN8" s="1662">
        <f>'Income Statement'!FA34</f>
        <v>1453.6419444761691</v>
      </c>
      <c r="EO8" s="1662">
        <f>'Income Statement'!FB34</f>
        <v>1482.1013828946927</v>
      </c>
      <c r="EP8" s="1662">
        <f>'Income Statement'!FC34</f>
        <v>1460.9126877591102</v>
      </c>
      <c r="EQ8" s="1662">
        <f>'Income Statement'!FD34</f>
        <v>1458.016029062725</v>
      </c>
      <c r="ER8" s="1662">
        <f>'Income Statement'!FE34</f>
        <v>1464.5872880199306</v>
      </c>
      <c r="ES8" s="1662">
        <f>'Income Statement'!FF34</f>
        <v>1460.2925930288907</v>
      </c>
      <c r="ET8" s="1662">
        <f>'Income Statement'!FG34</f>
        <v>1456.3977840833888</v>
      </c>
      <c r="EU8" s="787">
        <f>'Income Statement'!FH34</f>
        <v>1464.1689576244253</v>
      </c>
      <c r="EV8" s="413"/>
      <c r="EW8"/>
      <c r="EX8"/>
      <c r="EY8"/>
      <c r="EZ8"/>
      <c r="FA8"/>
      <c r="FB8"/>
      <c r="FG8"/>
      <c r="FH8"/>
      <c r="FI8" s="2644"/>
      <c r="FJ8" s="2644"/>
      <c r="FK8" s="2644"/>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row>
    <row r="9" spans="1:260" s="4" customFormat="1" x14ac:dyDescent="0.2">
      <c r="A9" s="179" t="s">
        <v>506</v>
      </c>
      <c r="B9" s="47">
        <v>4.476</v>
      </c>
      <c r="C9" s="47">
        <v>4.8929999999999998</v>
      </c>
      <c r="D9" s="47">
        <v>5.6859999999999991</v>
      </c>
      <c r="E9" s="709">
        <v>7.3569999999999984</v>
      </c>
      <c r="F9" s="47">
        <v>8.1389999999999993</v>
      </c>
      <c r="G9" s="47">
        <f>16.632-F9</f>
        <v>8.4930000000000021</v>
      </c>
      <c r="H9" s="47">
        <v>10.361999999999998</v>
      </c>
      <c r="I9" s="709">
        <v>11.576000000000001</v>
      </c>
      <c r="J9" s="47">
        <v>12.763</v>
      </c>
      <c r="K9" s="47">
        <v>13.208</v>
      </c>
      <c r="L9" s="47">
        <v>14.349000000000002</v>
      </c>
      <c r="M9" s="709">
        <v>14.542</v>
      </c>
      <c r="N9" s="47">
        <v>17.042000000000002</v>
      </c>
      <c r="O9" s="47">
        <v>16.829999999999998</v>
      </c>
      <c r="P9" s="47">
        <v>16.871000000000002</v>
      </c>
      <c r="Q9" s="709">
        <v>16.100999999999992</v>
      </c>
      <c r="R9" s="47">
        <v>17.094999999999999</v>
      </c>
      <c r="S9" s="47">
        <f>35.341-R9</f>
        <v>18.246000000000002</v>
      </c>
      <c r="T9" s="47">
        <v>17.286999999999999</v>
      </c>
      <c r="U9" s="709">
        <v>18.956000000000003</v>
      </c>
      <c r="V9" s="47">
        <v>17.603999999999999</v>
      </c>
      <c r="W9" s="47">
        <v>18.718000000000004</v>
      </c>
      <c r="X9" s="47">
        <v>20.071999999999996</v>
      </c>
      <c r="Y9" s="709">
        <v>21.973000000000006</v>
      </c>
      <c r="Z9" s="47">
        <v>23.638000000000002</v>
      </c>
      <c r="AA9" s="47">
        <f>46.11-Z9</f>
        <v>22.471999999999998</v>
      </c>
      <c r="AB9" s="47">
        <f>71.134-SUM(Z9:AA9)</f>
        <v>25.024000000000001</v>
      </c>
      <c r="AC9" s="709">
        <f>DR9-SUM(Z9:AB9)</f>
        <v>38.406999999999996</v>
      </c>
      <c r="AD9" s="47">
        <v>32</v>
      </c>
      <c r="AE9" s="47">
        <f>69-AD9</f>
        <v>37</v>
      </c>
      <c r="AF9" s="47">
        <f>112-SUM(AD9:AE9)</f>
        <v>43</v>
      </c>
      <c r="AG9" s="709">
        <f>DS9-SUM(AD9:AF9)</f>
        <v>53</v>
      </c>
      <c r="AH9" s="47">
        <v>67</v>
      </c>
      <c r="AI9" s="47">
        <f>134-AH9</f>
        <v>67</v>
      </c>
      <c r="AJ9" s="47">
        <f>211-SUM(AH9:AI9)</f>
        <v>77</v>
      </c>
      <c r="AK9" s="709">
        <f>DT9-SUM(AH9:AJ9)</f>
        <v>34</v>
      </c>
      <c r="AL9" s="47">
        <v>85</v>
      </c>
      <c r="AM9" s="47">
        <v>86</v>
      </c>
      <c r="AN9" s="47">
        <v>94</v>
      </c>
      <c r="AO9" s="709">
        <f>DU9-SUM(AL9:AN9)</f>
        <v>45</v>
      </c>
      <c r="AP9" s="47">
        <v>98</v>
      </c>
      <c r="AQ9" s="47">
        <f>190-AP9</f>
        <v>92</v>
      </c>
      <c r="AR9" s="47">
        <f>283-AQ9-AP9</f>
        <v>93</v>
      </c>
      <c r="AS9" s="709">
        <f>DV9-SUM(AP9:AR9)</f>
        <v>102</v>
      </c>
      <c r="AT9" s="47">
        <v>103</v>
      </c>
      <c r="AU9" s="47">
        <f>206-AT9</f>
        <v>103</v>
      </c>
      <c r="AV9" s="47">
        <f>312-AT9-AU9</f>
        <v>106</v>
      </c>
      <c r="AW9" s="709">
        <f t="shared" si="2"/>
        <v>147</v>
      </c>
      <c r="AX9" s="47">
        <v>109</v>
      </c>
      <c r="AY9" s="47">
        <f>222-AX9</f>
        <v>113</v>
      </c>
      <c r="AZ9" s="47">
        <f>333-AY9-AX9</f>
        <v>111</v>
      </c>
      <c r="BA9" s="709">
        <f t="shared" si="3"/>
        <v>123</v>
      </c>
      <c r="BB9" s="47">
        <v>121</v>
      </c>
      <c r="BC9" s="47">
        <f>246-BB9</f>
        <v>125</v>
      </c>
      <c r="BD9" s="47">
        <f>369-SUM(BB9:BC9)</f>
        <v>123</v>
      </c>
      <c r="BE9" s="709">
        <f t="shared" si="4"/>
        <v>140</v>
      </c>
      <c r="BF9" s="47">
        <v>135</v>
      </c>
      <c r="BG9" s="47">
        <f>279-BF9</f>
        <v>144</v>
      </c>
      <c r="BH9" s="47">
        <f>419-BG9-BF9</f>
        <v>140</v>
      </c>
      <c r="BI9" s="709">
        <f t="shared" si="5"/>
        <v>161</v>
      </c>
      <c r="BJ9" s="873">
        <v>153</v>
      </c>
      <c r="BK9" s="873">
        <f>312-BJ9</f>
        <v>159</v>
      </c>
      <c r="BL9" s="873">
        <f>520-BJ9-BK9</f>
        <v>208</v>
      </c>
      <c r="BM9" s="874">
        <f t="shared" si="6"/>
        <v>210</v>
      </c>
      <c r="BN9" s="873">
        <f>196</f>
        <v>196</v>
      </c>
      <c r="BO9" s="873">
        <f>407-BN9</f>
        <v>211</v>
      </c>
      <c r="BP9" s="873">
        <f>614-BN9-BO9</f>
        <v>207</v>
      </c>
      <c r="BQ9" s="874">
        <f t="shared" si="7"/>
        <v>224</v>
      </c>
      <c r="BR9" s="873">
        <v>221</v>
      </c>
      <c r="BS9" s="873">
        <f>438-BR9</f>
        <v>217</v>
      </c>
      <c r="BT9" s="873">
        <f>668-BS9-BR9</f>
        <v>230</v>
      </c>
      <c r="BU9" s="874">
        <f t="shared" si="8"/>
        <v>228</v>
      </c>
      <c r="BV9" s="873">
        <v>221</v>
      </c>
      <c r="BW9" s="873">
        <f>445-BV9</f>
        <v>224</v>
      </c>
      <c r="BX9" s="873">
        <f>668-BW9-BV9</f>
        <v>223</v>
      </c>
      <c r="BY9" s="874">
        <f t="shared" si="9"/>
        <v>229</v>
      </c>
      <c r="BZ9" s="873">
        <v>227</v>
      </c>
      <c r="CA9" s="873">
        <f>445-BZ9</f>
        <v>218</v>
      </c>
      <c r="CB9" s="873">
        <f>657-CA9-BZ9</f>
        <v>212</v>
      </c>
      <c r="CC9" s="874">
        <f t="shared" si="10"/>
        <v>219</v>
      </c>
      <c r="CD9" s="1062">
        <v>200</v>
      </c>
      <c r="CE9" s="947">
        <f>375-CD9</f>
        <v>175</v>
      </c>
      <c r="CF9" s="947">
        <f>537-CE9-CD9</f>
        <v>162</v>
      </c>
      <c r="CG9" s="874">
        <f>701-CF9-CE9-CD9</f>
        <v>164</v>
      </c>
      <c r="CH9" s="732">
        <v>161</v>
      </c>
      <c r="CI9" s="1095">
        <f>319-CH9</f>
        <v>158</v>
      </c>
      <c r="CJ9" s="1095">
        <f>484-CI9-CH9</f>
        <v>165</v>
      </c>
      <c r="CK9" s="655">
        <f t="shared" ref="CK9:CK17" si="12">+EI9-SUM(CH9:CJ9)</f>
        <v>172</v>
      </c>
      <c r="CL9" s="1628">
        <v>163</v>
      </c>
      <c r="CM9" s="1629">
        <f>326-CL9</f>
        <v>163</v>
      </c>
      <c r="CN9" s="1629">
        <f>494-SUM(CL9:CM9)</f>
        <v>168</v>
      </c>
      <c r="CO9" s="1630">
        <f>+EJ9-SUM(CL9:CN9)</f>
        <v>163</v>
      </c>
      <c r="CP9" s="1629">
        <v>162</v>
      </c>
      <c r="CQ9" s="1629">
        <f>327-CP9</f>
        <v>165</v>
      </c>
      <c r="CR9" s="1629">
        <f>491-SUM(CP9:CQ9)</f>
        <v>164</v>
      </c>
      <c r="CS9" s="1630">
        <f t="shared" ref="CS9:CS17" si="13">+EK9-SUM(CP9:CR9)</f>
        <v>163</v>
      </c>
      <c r="CT9" s="1629">
        <v>161</v>
      </c>
      <c r="CU9" s="1629">
        <f>329-CT9</f>
        <v>168</v>
      </c>
      <c r="CV9" s="1629">
        <f>500-CU9-CT9</f>
        <v>171</v>
      </c>
      <c r="CW9" s="1630">
        <f t="shared" ref="CW9:CW17" si="14">+EL9-SUM(CT9:CV9)</f>
        <v>183</v>
      </c>
      <c r="CX9" s="2803">
        <f>'Income Statement'!DJ11</f>
        <v>153.31765056816849</v>
      </c>
      <c r="CY9" s="841">
        <f>'Income Statement'!DK11</f>
        <v>158.20584946676408</v>
      </c>
      <c r="CZ9" s="841">
        <f>'Income Statement'!DL11</f>
        <v>165.40395269629292</v>
      </c>
      <c r="DA9" s="822">
        <f>'Income Statement'!DM11</f>
        <v>267.81667496819489</v>
      </c>
      <c r="DB9" s="667"/>
      <c r="DC9" s="524"/>
      <c r="DD9" s="47">
        <v>0.51400000000000001</v>
      </c>
      <c r="DE9" s="47">
        <v>1.645</v>
      </c>
      <c r="DF9" s="47">
        <v>4.9560000000000004</v>
      </c>
      <c r="DG9" s="47">
        <v>6.9409999999999998</v>
      </c>
      <c r="DH9" s="47">
        <v>5.476</v>
      </c>
      <c r="DI9" s="47">
        <v>7.7930000000000001</v>
      </c>
      <c r="DJ9" s="47">
        <v>10.013</v>
      </c>
      <c r="DK9" s="47">
        <v>14.832000000000001</v>
      </c>
      <c r="DL9" s="47">
        <f>+E9+D9+C9+B9</f>
        <v>22.411999999999995</v>
      </c>
      <c r="DM9" s="47">
        <f>+F9+G9+H9+I9</f>
        <v>38.57</v>
      </c>
      <c r="DN9" s="47">
        <f>+J9+K9+L9+M9</f>
        <v>54.862000000000002</v>
      </c>
      <c r="DO9" s="47">
        <f>+N9+O9+P9+Q9</f>
        <v>66.843999999999994</v>
      </c>
      <c r="DP9" s="47">
        <f>+R9+S9+T9+U9</f>
        <v>71.584000000000003</v>
      </c>
      <c r="DQ9" s="47">
        <f>+V9+W9+X9+Y9</f>
        <v>78.367000000000004</v>
      </c>
      <c r="DR9" s="47">
        <v>109.541</v>
      </c>
      <c r="DS9" s="47">
        <f>164+1</f>
        <v>165</v>
      </c>
      <c r="DT9" s="47">
        <f>242+3</f>
        <v>245</v>
      </c>
      <c r="DU9" s="47">
        <v>310</v>
      </c>
      <c r="DV9" s="47">
        <v>385</v>
      </c>
      <c r="DW9" s="47">
        <v>459</v>
      </c>
      <c r="DX9" s="47">
        <v>456</v>
      </c>
      <c r="DY9" s="47">
        <v>509</v>
      </c>
      <c r="DZ9" s="47">
        <f>580</f>
        <v>580</v>
      </c>
      <c r="EA9" s="873">
        <f>730</f>
        <v>730</v>
      </c>
      <c r="EB9" s="873">
        <f>838</f>
        <v>838</v>
      </c>
      <c r="EC9" s="873">
        <v>896</v>
      </c>
      <c r="ED9" s="873">
        <v>897</v>
      </c>
      <c r="EE9" s="898">
        <f>982-EE10</f>
        <v>900</v>
      </c>
      <c r="EF9" s="917">
        <f>932-EF10</f>
        <v>884</v>
      </c>
      <c r="EG9" s="947">
        <v>876</v>
      </c>
      <c r="EH9" s="829">
        <f t="shared" si="11"/>
        <v>701</v>
      </c>
      <c r="EI9" s="829">
        <v>656</v>
      </c>
      <c r="EJ9" s="829">
        <v>657</v>
      </c>
      <c r="EK9" s="821">
        <v>654</v>
      </c>
      <c r="EL9" s="821">
        <v>683</v>
      </c>
      <c r="EM9" s="1697">
        <f t="shared" ref="EM9:EM17" si="15">SUM(CX9:DA9)</f>
        <v>744.74412769942035</v>
      </c>
      <c r="EN9" s="841">
        <f>'Income Statement'!FA11</f>
        <v>752.25050099879616</v>
      </c>
      <c r="EO9" s="841">
        <f>'Income Statement'!FB11</f>
        <v>759.72307862827495</v>
      </c>
      <c r="EP9" s="841">
        <f>'Income Statement'!FC11</f>
        <v>766.34058951803468</v>
      </c>
      <c r="EQ9" s="841">
        <f>'Income Statement'!FD11</f>
        <v>776.06700904440049</v>
      </c>
      <c r="ER9" s="841">
        <f>'Income Statement'!FE11</f>
        <v>786.17605770887496</v>
      </c>
      <c r="ES9" s="841">
        <f>'Income Statement'!FF11</f>
        <v>796.68669158461694</v>
      </c>
      <c r="ET9" s="841">
        <f>'Income Statement'!FG11</f>
        <v>807.61881316482072</v>
      </c>
      <c r="EU9" s="822">
        <f>'Income Statement'!FH11</f>
        <v>818.99331869240666</v>
      </c>
      <c r="EV9" s="413"/>
      <c r="EW9"/>
      <c r="EX9"/>
      <c r="EY9"/>
      <c r="EZ9"/>
      <c r="FA9"/>
      <c r="FB9"/>
      <c r="FG9" s="841"/>
      <c r="FH9" s="841"/>
      <c r="FI9" s="841"/>
      <c r="FJ9" s="841"/>
      <c r="FK9" s="841"/>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row>
    <row r="10" spans="1:260" s="4" customFormat="1" x14ac:dyDescent="0.2">
      <c r="A10" s="179" t="s">
        <v>507</v>
      </c>
      <c r="B10" s="47"/>
      <c r="C10" s="47"/>
      <c r="D10" s="47"/>
      <c r="E10" s="709"/>
      <c r="F10" s="47"/>
      <c r="G10" s="47"/>
      <c r="H10" s="47"/>
      <c r="I10" s="709"/>
      <c r="J10" s="47"/>
      <c r="K10" s="47"/>
      <c r="L10" s="47"/>
      <c r="M10" s="709"/>
      <c r="N10" s="47"/>
      <c r="O10" s="47"/>
      <c r="P10" s="47"/>
      <c r="Q10" s="709"/>
      <c r="R10" s="47">
        <v>0</v>
      </c>
      <c r="S10" s="47">
        <v>0</v>
      </c>
      <c r="T10" s="47">
        <v>0</v>
      </c>
      <c r="U10" s="709">
        <v>0</v>
      </c>
      <c r="V10" s="47">
        <v>0</v>
      </c>
      <c r="W10" s="47">
        <v>0</v>
      </c>
      <c r="X10" s="47">
        <v>0</v>
      </c>
      <c r="Y10" s="709">
        <v>0</v>
      </c>
      <c r="Z10" s="47">
        <v>0</v>
      </c>
      <c r="AA10" s="47">
        <v>0</v>
      </c>
      <c r="AB10" s="47">
        <v>0</v>
      </c>
      <c r="AC10" s="709">
        <v>0</v>
      </c>
      <c r="AD10" s="47">
        <v>0</v>
      </c>
      <c r="AE10" s="47">
        <v>0</v>
      </c>
      <c r="AF10" s="47">
        <v>0</v>
      </c>
      <c r="AG10" s="709">
        <v>0</v>
      </c>
      <c r="AH10" s="47">
        <v>0</v>
      </c>
      <c r="AI10" s="47">
        <v>0</v>
      </c>
      <c r="AJ10" s="47">
        <v>0</v>
      </c>
      <c r="AK10" s="709">
        <v>0</v>
      </c>
      <c r="AL10" s="47">
        <v>0</v>
      </c>
      <c r="AM10" s="47">
        <v>0</v>
      </c>
      <c r="AN10" s="47">
        <v>0</v>
      </c>
      <c r="AO10" s="709">
        <v>0</v>
      </c>
      <c r="AP10" s="47">
        <v>0</v>
      </c>
      <c r="AQ10" s="47">
        <v>0</v>
      </c>
      <c r="AR10" s="47">
        <v>0</v>
      </c>
      <c r="AS10" s="709">
        <v>0</v>
      </c>
      <c r="AT10" s="47">
        <v>0</v>
      </c>
      <c r="AU10" s="47">
        <v>0</v>
      </c>
      <c r="AV10" s="47">
        <v>0</v>
      </c>
      <c r="AW10" s="709">
        <f t="shared" si="2"/>
        <v>0</v>
      </c>
      <c r="AX10" s="47">
        <v>0</v>
      </c>
      <c r="AY10" s="47">
        <v>0</v>
      </c>
      <c r="AZ10" s="47">
        <v>0</v>
      </c>
      <c r="BA10" s="709">
        <f t="shared" si="3"/>
        <v>0</v>
      </c>
      <c r="BB10" s="47">
        <v>0</v>
      </c>
      <c r="BC10" s="47">
        <v>0</v>
      </c>
      <c r="BD10" s="47">
        <v>0</v>
      </c>
      <c r="BE10" s="709">
        <f t="shared" si="4"/>
        <v>0</v>
      </c>
      <c r="BF10" s="47">
        <v>0</v>
      </c>
      <c r="BG10" s="47">
        <v>0</v>
      </c>
      <c r="BH10" s="47">
        <v>0</v>
      </c>
      <c r="BI10" s="709">
        <f t="shared" si="5"/>
        <v>0</v>
      </c>
      <c r="BJ10" s="873">
        <v>0</v>
      </c>
      <c r="BK10" s="873">
        <f>1-BJ10</f>
        <v>1</v>
      </c>
      <c r="BL10" s="873">
        <f>42-BK10-BJ10</f>
        <v>41</v>
      </c>
      <c r="BM10" s="874">
        <f t="shared" si="6"/>
        <v>21</v>
      </c>
      <c r="BN10" s="873">
        <v>21</v>
      </c>
      <c r="BO10" s="873">
        <f>42-BN10</f>
        <v>21</v>
      </c>
      <c r="BP10" s="873">
        <f>66-BO10-BN10</f>
        <v>24</v>
      </c>
      <c r="BQ10" s="874">
        <f t="shared" si="7"/>
        <v>22</v>
      </c>
      <c r="BR10" s="873">
        <v>22</v>
      </c>
      <c r="BS10" s="873">
        <f>43-BR10</f>
        <v>21</v>
      </c>
      <c r="BT10" s="873">
        <f>63-BS10-BR10</f>
        <v>20</v>
      </c>
      <c r="BU10" s="874">
        <f t="shared" si="8"/>
        <v>19</v>
      </c>
      <c r="BV10" s="873">
        <v>15</v>
      </c>
      <c r="BW10" s="873">
        <f>30-BV10</f>
        <v>15</v>
      </c>
      <c r="BX10" s="873">
        <f>38-BW10-BV10</f>
        <v>8</v>
      </c>
      <c r="BY10" s="874">
        <f t="shared" si="9"/>
        <v>10</v>
      </c>
      <c r="BZ10" s="873">
        <v>10</v>
      </c>
      <c r="CA10" s="873">
        <f>20-BZ10</f>
        <v>10</v>
      </c>
      <c r="CB10" s="873">
        <f>30-CA10-BZ10</f>
        <v>10</v>
      </c>
      <c r="CC10" s="874">
        <f t="shared" si="10"/>
        <v>11</v>
      </c>
      <c r="CD10" s="1062">
        <v>10</v>
      </c>
      <c r="CE10" s="947">
        <f>12-CD10</f>
        <v>2</v>
      </c>
      <c r="CF10" s="947">
        <f>13-CE10-CD10</f>
        <v>1</v>
      </c>
      <c r="CG10" s="874">
        <f>15-CF10-CE10-CD10</f>
        <v>2</v>
      </c>
      <c r="CH10" s="594">
        <v>0</v>
      </c>
      <c r="CI10" s="167">
        <v>0</v>
      </c>
      <c r="CJ10" s="167">
        <v>0</v>
      </c>
      <c r="CK10" s="655">
        <f t="shared" si="12"/>
        <v>0</v>
      </c>
      <c r="CL10" s="1447">
        <v>0</v>
      </c>
      <c r="CM10" s="1447">
        <v>0</v>
      </c>
      <c r="CN10" s="1447">
        <v>0</v>
      </c>
      <c r="CO10" s="1630">
        <f t="shared" ref="CO10:CO17" si="16">+EJ10-SUM(CL10:CN10)</f>
        <v>0</v>
      </c>
      <c r="CP10" s="1447">
        <v>0</v>
      </c>
      <c r="CQ10" s="1447">
        <v>0</v>
      </c>
      <c r="CR10" s="1447">
        <v>0</v>
      </c>
      <c r="CS10" s="1630">
        <f t="shared" si="13"/>
        <v>0</v>
      </c>
      <c r="CT10" s="1447">
        <v>0</v>
      </c>
      <c r="CU10" s="1447">
        <v>0</v>
      </c>
      <c r="CV10" s="1447">
        <v>0</v>
      </c>
      <c r="CW10" s="1630">
        <f t="shared" si="14"/>
        <v>0</v>
      </c>
      <c r="CX10" s="2768">
        <f>'Income Statement'!DJ12</f>
        <v>0</v>
      </c>
      <c r="CY10" s="1447">
        <f>'Income Statement'!DK12</f>
        <v>0</v>
      </c>
      <c r="CZ10" s="1447">
        <f>'Income Statement'!DL12</f>
        <v>0</v>
      </c>
      <c r="DA10" s="1448">
        <f>'Income Statement'!DM12</f>
        <v>0</v>
      </c>
      <c r="DB10" s="667"/>
      <c r="DC10" s="524"/>
      <c r="DD10" s="47">
        <v>0</v>
      </c>
      <c r="DE10" s="47">
        <v>0</v>
      </c>
      <c r="DF10" s="47">
        <v>0</v>
      </c>
      <c r="DG10" s="47">
        <v>0</v>
      </c>
      <c r="DH10" s="47">
        <v>0</v>
      </c>
      <c r="DI10" s="47">
        <v>0</v>
      </c>
      <c r="DJ10" s="47">
        <v>0</v>
      </c>
      <c r="DK10" s="47">
        <v>0</v>
      </c>
      <c r="DL10" s="47">
        <v>0</v>
      </c>
      <c r="DM10" s="47">
        <v>0</v>
      </c>
      <c r="DN10" s="47">
        <v>0</v>
      </c>
      <c r="DO10" s="47">
        <v>0</v>
      </c>
      <c r="DP10" s="47">
        <v>0</v>
      </c>
      <c r="DQ10" s="47">
        <v>0</v>
      </c>
      <c r="DR10" s="47">
        <v>0</v>
      </c>
      <c r="DS10" s="47">
        <v>0</v>
      </c>
      <c r="DT10" s="47">
        <v>0</v>
      </c>
      <c r="DU10" s="47">
        <v>0</v>
      </c>
      <c r="DV10" s="47">
        <v>0</v>
      </c>
      <c r="DW10" s="47">
        <v>0</v>
      </c>
      <c r="DX10" s="47">
        <v>0</v>
      </c>
      <c r="DY10" s="47">
        <v>0</v>
      </c>
      <c r="DZ10" s="47">
        <v>0</v>
      </c>
      <c r="EA10" s="873">
        <v>63</v>
      </c>
      <c r="EB10" s="873">
        <v>88</v>
      </c>
      <c r="EC10" s="873">
        <v>82</v>
      </c>
      <c r="ED10" s="873">
        <v>48</v>
      </c>
      <c r="EE10" s="898">
        <f>EC10</f>
        <v>82</v>
      </c>
      <c r="EF10" s="917">
        <f>ED10</f>
        <v>48</v>
      </c>
      <c r="EG10" s="947">
        <v>41</v>
      </c>
      <c r="EH10" s="829">
        <f t="shared" si="11"/>
        <v>15</v>
      </c>
      <c r="EI10" s="829">
        <v>0</v>
      </c>
      <c r="EJ10" s="829">
        <v>0</v>
      </c>
      <c r="EK10" s="56">
        <v>0</v>
      </c>
      <c r="EL10" s="56">
        <v>0</v>
      </c>
      <c r="EM10" s="1696">
        <f t="shared" si="15"/>
        <v>0</v>
      </c>
      <c r="EN10" s="830">
        <f>'Income Statement'!FA12</f>
        <v>0</v>
      </c>
      <c r="EO10" s="830">
        <f>'Income Statement'!FB12</f>
        <v>0</v>
      </c>
      <c r="EP10" s="830">
        <f>'Income Statement'!FC12</f>
        <v>0</v>
      </c>
      <c r="EQ10" s="830">
        <f>'Income Statement'!FD12</f>
        <v>0</v>
      </c>
      <c r="ER10" s="830">
        <f>'Income Statement'!FE12</f>
        <v>0</v>
      </c>
      <c r="ES10" s="830">
        <f>'Income Statement'!FF12</f>
        <v>0</v>
      </c>
      <c r="ET10" s="830">
        <f>'Income Statement'!FG12</f>
        <v>0</v>
      </c>
      <c r="EU10" s="828">
        <f>'Income Statement'!FH12</f>
        <v>0</v>
      </c>
      <c r="EV10" s="413"/>
      <c r="EW10"/>
      <c r="EX10"/>
      <c r="EY10"/>
      <c r="EZ10"/>
      <c r="FA10"/>
      <c r="FB10"/>
      <c r="FG10" s="830"/>
      <c r="FH10" s="830"/>
      <c r="FI10" s="830"/>
      <c r="FJ10" s="830"/>
      <c r="FK10" s="83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c r="IB10"/>
      <c r="IC10"/>
      <c r="ID10"/>
      <c r="IE10"/>
      <c r="IF10"/>
      <c r="IG10"/>
      <c r="IH10"/>
      <c r="II10"/>
      <c r="IJ10"/>
      <c r="IK10"/>
      <c r="IL10"/>
      <c r="IM10"/>
      <c r="IN10"/>
      <c r="IO10"/>
      <c r="IP10"/>
      <c r="IQ10"/>
      <c r="IR10"/>
      <c r="IS10"/>
      <c r="IT10"/>
      <c r="IU10"/>
      <c r="IV10"/>
      <c r="IW10"/>
      <c r="IX10"/>
      <c r="IY10"/>
      <c r="IZ10"/>
    </row>
    <row r="11" spans="1:260" s="4" customFormat="1" x14ac:dyDescent="0.2">
      <c r="A11" s="179" t="s">
        <v>508</v>
      </c>
      <c r="B11" s="47"/>
      <c r="C11" s="47"/>
      <c r="D11" s="47"/>
      <c r="E11" s="709"/>
      <c r="F11" s="47"/>
      <c r="G11" s="47"/>
      <c r="H11" s="47"/>
      <c r="I11" s="709"/>
      <c r="J11" s="47"/>
      <c r="K11" s="47"/>
      <c r="L11" s="47"/>
      <c r="M11" s="709"/>
      <c r="N11" s="47"/>
      <c r="O11" s="47"/>
      <c r="P11" s="47"/>
      <c r="Q11" s="709"/>
      <c r="R11" s="47">
        <v>0</v>
      </c>
      <c r="S11" s="47">
        <v>0</v>
      </c>
      <c r="T11" s="47">
        <v>0</v>
      </c>
      <c r="U11" s="709">
        <v>0</v>
      </c>
      <c r="V11" s="47">
        <v>0</v>
      </c>
      <c r="W11" s="47">
        <v>0</v>
      </c>
      <c r="X11" s="47">
        <v>0</v>
      </c>
      <c r="Y11" s="709">
        <v>0</v>
      </c>
      <c r="Z11" s="47">
        <v>0</v>
      </c>
      <c r="AA11" s="47">
        <v>0</v>
      </c>
      <c r="AB11" s="47">
        <v>0</v>
      </c>
      <c r="AC11" s="709">
        <v>0</v>
      </c>
      <c r="AD11" s="47">
        <v>0</v>
      </c>
      <c r="AE11" s="47">
        <v>0</v>
      </c>
      <c r="AF11" s="47">
        <v>0</v>
      </c>
      <c r="AG11" s="709">
        <v>0</v>
      </c>
      <c r="AH11" s="47">
        <v>0</v>
      </c>
      <c r="AI11" s="47">
        <v>0</v>
      </c>
      <c r="AJ11" s="47">
        <v>0</v>
      </c>
      <c r="AK11" s="709">
        <v>0</v>
      </c>
      <c r="AL11" s="47">
        <v>0</v>
      </c>
      <c r="AM11" s="47">
        <v>0</v>
      </c>
      <c r="AN11" s="47">
        <v>0</v>
      </c>
      <c r="AO11" s="709">
        <v>0</v>
      </c>
      <c r="AP11" s="47">
        <v>0</v>
      </c>
      <c r="AQ11" s="47">
        <v>0</v>
      </c>
      <c r="AR11" s="47">
        <v>0</v>
      </c>
      <c r="AS11" s="709">
        <v>0</v>
      </c>
      <c r="AT11" s="47">
        <v>0</v>
      </c>
      <c r="AU11" s="47">
        <v>0</v>
      </c>
      <c r="AV11" s="47">
        <v>0</v>
      </c>
      <c r="AW11" s="709">
        <f t="shared" si="2"/>
        <v>0</v>
      </c>
      <c r="AX11" s="47">
        <v>0</v>
      </c>
      <c r="AY11" s="47">
        <v>0</v>
      </c>
      <c r="AZ11" s="47">
        <v>0</v>
      </c>
      <c r="BA11" s="709">
        <f t="shared" si="3"/>
        <v>0</v>
      </c>
      <c r="BB11" s="47">
        <v>0</v>
      </c>
      <c r="BC11" s="47">
        <v>0</v>
      </c>
      <c r="BD11" s="47">
        <v>0</v>
      </c>
      <c r="BE11" s="709">
        <f t="shared" si="4"/>
        <v>0</v>
      </c>
      <c r="BF11" s="47">
        <v>0</v>
      </c>
      <c r="BG11" s="47">
        <v>0</v>
      </c>
      <c r="BH11" s="47">
        <v>0</v>
      </c>
      <c r="BI11" s="709">
        <f t="shared" si="5"/>
        <v>0</v>
      </c>
      <c r="BJ11" s="873">
        <v>0</v>
      </c>
      <c r="BK11" s="873">
        <v>0</v>
      </c>
      <c r="BL11" s="873">
        <v>0</v>
      </c>
      <c r="BM11" s="874">
        <f t="shared" si="6"/>
        <v>30</v>
      </c>
      <c r="BN11" s="898">
        <v>0</v>
      </c>
      <c r="BO11" s="898">
        <f>0-BN11</f>
        <v>0</v>
      </c>
      <c r="BP11" s="898">
        <f>0-BO11-BN11</f>
        <v>0</v>
      </c>
      <c r="BQ11" s="909">
        <f t="shared" si="7"/>
        <v>0</v>
      </c>
      <c r="BR11" s="898">
        <v>0</v>
      </c>
      <c r="BS11" s="898">
        <f>0-BR11</f>
        <v>0</v>
      </c>
      <c r="BT11" s="898">
        <f>0-BS11-BR11</f>
        <v>0</v>
      </c>
      <c r="BU11" s="909">
        <f t="shared" si="8"/>
        <v>0</v>
      </c>
      <c r="BV11" s="898">
        <v>0</v>
      </c>
      <c r="BW11" s="898">
        <v>0</v>
      </c>
      <c r="BX11" s="898">
        <v>0</v>
      </c>
      <c r="BY11" s="909">
        <f t="shared" si="9"/>
        <v>0</v>
      </c>
      <c r="BZ11" s="898">
        <v>0</v>
      </c>
      <c r="CA11" s="898">
        <v>0</v>
      </c>
      <c r="CB11" s="898">
        <v>0</v>
      </c>
      <c r="CC11" s="909">
        <f t="shared" si="10"/>
        <v>0</v>
      </c>
      <c r="CD11" s="917">
        <v>0</v>
      </c>
      <c r="CE11" s="910">
        <v>0</v>
      </c>
      <c r="CF11" s="910">
        <v>0</v>
      </c>
      <c r="CG11" s="909">
        <v>0</v>
      </c>
      <c r="CH11" s="594">
        <v>0</v>
      </c>
      <c r="CI11" s="167">
        <v>0</v>
      </c>
      <c r="CJ11" s="167">
        <f>-'Income Statement'!CV29</f>
        <v>0</v>
      </c>
      <c r="CK11" s="537">
        <f t="shared" si="12"/>
        <v>0</v>
      </c>
      <c r="CL11" s="1447">
        <v>0</v>
      </c>
      <c r="CM11" s="1447">
        <v>0</v>
      </c>
      <c r="CN11" s="1447">
        <v>0</v>
      </c>
      <c r="CO11" s="1448">
        <f t="shared" si="16"/>
        <v>0</v>
      </c>
      <c r="CP11" s="1447">
        <v>0</v>
      </c>
      <c r="CQ11" s="1447">
        <v>0</v>
      </c>
      <c r="CR11" s="1447">
        <v>0</v>
      </c>
      <c r="CS11" s="1448">
        <f t="shared" si="13"/>
        <v>0</v>
      </c>
      <c r="CT11" s="1447">
        <v>0</v>
      </c>
      <c r="CU11" s="1447">
        <v>0</v>
      </c>
      <c r="CV11" s="1447">
        <v>0</v>
      </c>
      <c r="CW11" s="1448">
        <f t="shared" si="14"/>
        <v>0</v>
      </c>
      <c r="CX11" s="2768">
        <f>-'Income Statement'!DJ29</f>
        <v>0</v>
      </c>
      <c r="CY11" s="1447">
        <f>-'Income Statement'!DK29</f>
        <v>0</v>
      </c>
      <c r="CZ11" s="1447">
        <f>-'Income Statement'!DL29</f>
        <v>0</v>
      </c>
      <c r="DA11" s="1448">
        <f>-'Income Statement'!DM29</f>
        <v>0</v>
      </c>
      <c r="DB11" s="667"/>
      <c r="DC11" s="524"/>
      <c r="DD11" s="47">
        <v>0</v>
      </c>
      <c r="DE11" s="47">
        <v>0</v>
      </c>
      <c r="DF11" s="47">
        <v>0</v>
      </c>
      <c r="DG11" s="47">
        <v>0</v>
      </c>
      <c r="DH11" s="47">
        <v>0</v>
      </c>
      <c r="DI11" s="47">
        <v>0</v>
      </c>
      <c r="DJ11" s="47">
        <v>0</v>
      </c>
      <c r="DK11" s="47">
        <v>0</v>
      </c>
      <c r="DL11" s="47">
        <v>0</v>
      </c>
      <c r="DM11" s="47">
        <v>0</v>
      </c>
      <c r="DN11" s="47">
        <v>0</v>
      </c>
      <c r="DO11" s="47">
        <v>0</v>
      </c>
      <c r="DP11" s="47">
        <v>0</v>
      </c>
      <c r="DQ11" s="47">
        <v>0</v>
      </c>
      <c r="DR11" s="47">
        <v>0</v>
      </c>
      <c r="DS11" s="47">
        <v>0</v>
      </c>
      <c r="DT11" s="47">
        <v>0</v>
      </c>
      <c r="DU11" s="47">
        <v>0</v>
      </c>
      <c r="DV11" s="47">
        <v>0</v>
      </c>
      <c r="DW11" s="47">
        <v>0</v>
      </c>
      <c r="DX11" s="47">
        <v>0</v>
      </c>
      <c r="DY11" s="47">
        <v>0</v>
      </c>
      <c r="DZ11" s="47">
        <v>0</v>
      </c>
      <c r="EA11" s="873">
        <v>30</v>
      </c>
      <c r="EB11" s="898">
        <v>0</v>
      </c>
      <c r="EC11" s="915">
        <v>0</v>
      </c>
      <c r="ED11" s="915">
        <v>0</v>
      </c>
      <c r="EE11" s="898">
        <v>0</v>
      </c>
      <c r="EF11" s="917">
        <v>0</v>
      </c>
      <c r="EG11" s="920">
        <v>0</v>
      </c>
      <c r="EH11" s="829">
        <f t="shared" si="11"/>
        <v>0</v>
      </c>
      <c r="EI11" s="829">
        <v>0</v>
      </c>
      <c r="EJ11" s="829">
        <v>0</v>
      </c>
      <c r="EK11" s="56">
        <v>0</v>
      </c>
      <c r="EL11" s="56">
        <v>0</v>
      </c>
      <c r="EM11" s="1696">
        <f t="shared" si="15"/>
        <v>0</v>
      </c>
      <c r="EN11" s="830">
        <f>-'Income Statement'!FA29</f>
        <v>0</v>
      </c>
      <c r="EO11" s="830">
        <f>-'Income Statement'!FB29</f>
        <v>0</v>
      </c>
      <c r="EP11" s="830">
        <f>-'Income Statement'!FC29</f>
        <v>0</v>
      </c>
      <c r="EQ11" s="830">
        <f>-'Income Statement'!FD29</f>
        <v>0</v>
      </c>
      <c r="ER11" s="830">
        <f>-'Income Statement'!FE29</f>
        <v>0</v>
      </c>
      <c r="ES11" s="830">
        <f>-'Income Statement'!FF29</f>
        <v>0</v>
      </c>
      <c r="ET11" s="830">
        <f>-'Income Statement'!FG29</f>
        <v>0</v>
      </c>
      <c r="EU11" s="828">
        <f>-'Income Statement'!FH29</f>
        <v>0</v>
      </c>
      <c r="EV11" s="413"/>
      <c r="EW11"/>
      <c r="EX11"/>
      <c r="EY11"/>
      <c r="EZ11"/>
      <c r="FA11"/>
      <c r="FB11"/>
      <c r="FG11" s="830"/>
      <c r="FH11" s="830"/>
      <c r="FI11" s="830"/>
      <c r="FJ11" s="830"/>
      <c r="FK11" s="830"/>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c r="IB11"/>
      <c r="IC11"/>
      <c r="ID11"/>
      <c r="IE11"/>
      <c r="IF11"/>
      <c r="IG11"/>
      <c r="IH11"/>
      <c r="II11"/>
      <c r="IJ11"/>
      <c r="IK11"/>
      <c r="IL11"/>
      <c r="IM11"/>
      <c r="IN11"/>
      <c r="IO11"/>
      <c r="IP11"/>
      <c r="IQ11"/>
      <c r="IR11"/>
      <c r="IS11"/>
      <c r="IT11"/>
      <c r="IU11"/>
      <c r="IV11"/>
      <c r="IW11"/>
      <c r="IX11"/>
      <c r="IY11"/>
      <c r="IZ11"/>
    </row>
    <row r="12" spans="1:260" s="4" customFormat="1" x14ac:dyDescent="0.2">
      <c r="A12" s="179" t="s">
        <v>509</v>
      </c>
      <c r="B12" s="47"/>
      <c r="C12" s="47"/>
      <c r="D12" s="47"/>
      <c r="E12" s="709"/>
      <c r="F12" s="47"/>
      <c r="G12" s="47"/>
      <c r="H12" s="47"/>
      <c r="I12" s="709"/>
      <c r="J12" s="47"/>
      <c r="K12" s="47"/>
      <c r="L12" s="47"/>
      <c r="M12" s="709"/>
      <c r="N12" s="47"/>
      <c r="O12" s="47"/>
      <c r="P12" s="47"/>
      <c r="Q12" s="709"/>
      <c r="R12" s="47">
        <v>0</v>
      </c>
      <c r="S12" s="47">
        <v>0</v>
      </c>
      <c r="T12" s="47">
        <v>0</v>
      </c>
      <c r="U12" s="709">
        <v>0</v>
      </c>
      <c r="V12" s="47">
        <v>0</v>
      </c>
      <c r="W12" s="47">
        <v>0</v>
      </c>
      <c r="X12" s="47">
        <v>0</v>
      </c>
      <c r="Y12" s="709">
        <v>0</v>
      </c>
      <c r="Z12" s="47">
        <v>0</v>
      </c>
      <c r="AA12" s="47">
        <v>0</v>
      </c>
      <c r="AB12" s="47">
        <v>0</v>
      </c>
      <c r="AC12" s="709">
        <v>0</v>
      </c>
      <c r="AD12" s="47">
        <v>0</v>
      </c>
      <c r="AE12" s="47">
        <v>0</v>
      </c>
      <c r="AF12" s="47">
        <v>0</v>
      </c>
      <c r="AG12" s="709">
        <v>0</v>
      </c>
      <c r="AH12" s="47">
        <v>0</v>
      </c>
      <c r="AI12" s="47">
        <v>0</v>
      </c>
      <c r="AJ12" s="47">
        <v>0</v>
      </c>
      <c r="AK12" s="709">
        <v>0</v>
      </c>
      <c r="AL12" s="47">
        <v>0</v>
      </c>
      <c r="AM12" s="47">
        <v>0</v>
      </c>
      <c r="AN12" s="47">
        <v>0</v>
      </c>
      <c r="AO12" s="709">
        <v>0</v>
      </c>
      <c r="AP12" s="47">
        <v>0</v>
      </c>
      <c r="AQ12" s="47">
        <v>0</v>
      </c>
      <c r="AR12" s="47">
        <v>0</v>
      </c>
      <c r="AS12" s="709">
        <v>0</v>
      </c>
      <c r="AT12" s="47">
        <v>0</v>
      </c>
      <c r="AU12" s="47">
        <v>15</v>
      </c>
      <c r="AV12" s="47">
        <f>19-AU12-AT12</f>
        <v>4</v>
      </c>
      <c r="AW12" s="709">
        <f t="shared" si="2"/>
        <v>3</v>
      </c>
      <c r="AX12" s="47">
        <v>0</v>
      </c>
      <c r="AY12" s="47">
        <v>0</v>
      </c>
      <c r="AZ12" s="47">
        <v>0</v>
      </c>
      <c r="BA12" s="709">
        <f t="shared" si="3"/>
        <v>0</v>
      </c>
      <c r="BB12" s="47">
        <v>12</v>
      </c>
      <c r="BC12" s="47">
        <f>21-BB12</f>
        <v>9</v>
      </c>
      <c r="BD12" s="47">
        <f>25-BC12-BB12</f>
        <v>4</v>
      </c>
      <c r="BE12" s="709">
        <f t="shared" si="4"/>
        <v>7</v>
      </c>
      <c r="BF12" s="47">
        <v>2</v>
      </c>
      <c r="BG12" s="47">
        <f>1-BF12</f>
        <v>-1</v>
      </c>
      <c r="BH12" s="47">
        <f>0-BG12-BF12</f>
        <v>-1</v>
      </c>
      <c r="BI12" s="709">
        <f t="shared" si="5"/>
        <v>0</v>
      </c>
      <c r="BJ12" s="873">
        <v>0</v>
      </c>
      <c r="BK12" s="873">
        <v>0</v>
      </c>
      <c r="BL12" s="873">
        <v>111</v>
      </c>
      <c r="BM12" s="874">
        <f t="shared" si="6"/>
        <v>66</v>
      </c>
      <c r="BN12" s="898">
        <v>0</v>
      </c>
      <c r="BO12" s="898">
        <f>0-BN12</f>
        <v>0</v>
      </c>
      <c r="BP12" s="898">
        <f>0-BO12-BN12</f>
        <v>0</v>
      </c>
      <c r="BQ12" s="909">
        <f t="shared" si="7"/>
        <v>4</v>
      </c>
      <c r="BR12" s="898">
        <v>0</v>
      </c>
      <c r="BS12" s="898">
        <f>0-BR12</f>
        <v>0</v>
      </c>
      <c r="BT12" s="898">
        <f>0-BS12-BR12</f>
        <v>0</v>
      </c>
      <c r="BU12" s="909">
        <f t="shared" si="8"/>
        <v>10</v>
      </c>
      <c r="BV12" s="898">
        <v>0</v>
      </c>
      <c r="BW12" s="898">
        <v>0</v>
      </c>
      <c r="BX12" s="898">
        <v>0</v>
      </c>
      <c r="BY12" s="909">
        <f t="shared" si="9"/>
        <v>1207</v>
      </c>
      <c r="BZ12" s="898">
        <v>0</v>
      </c>
      <c r="CA12" s="898">
        <v>0</v>
      </c>
      <c r="CB12" s="898">
        <v>0</v>
      </c>
      <c r="CC12" s="909">
        <f t="shared" si="10"/>
        <v>822</v>
      </c>
      <c r="CD12" s="917">
        <v>0</v>
      </c>
      <c r="CE12" s="910">
        <v>0</v>
      </c>
      <c r="CF12" s="910">
        <v>0</v>
      </c>
      <c r="CG12" s="909">
        <v>0</v>
      </c>
      <c r="CH12" s="594">
        <v>0</v>
      </c>
      <c r="CI12" s="174">
        <v>0</v>
      </c>
      <c r="CJ12" s="174">
        <v>0</v>
      </c>
      <c r="CK12" s="537">
        <f t="shared" si="12"/>
        <v>0</v>
      </c>
      <c r="CL12" s="1631">
        <v>0</v>
      </c>
      <c r="CM12" s="1447">
        <v>0</v>
      </c>
      <c r="CN12" s="1447"/>
      <c r="CO12" s="1448">
        <f t="shared" si="16"/>
        <v>0</v>
      </c>
      <c r="CP12" s="1447">
        <v>0</v>
      </c>
      <c r="CQ12" s="1447">
        <v>0</v>
      </c>
      <c r="CR12" s="1447">
        <v>0</v>
      </c>
      <c r="CS12" s="1448">
        <f t="shared" si="13"/>
        <v>0</v>
      </c>
      <c r="CT12" s="1447">
        <v>0</v>
      </c>
      <c r="CU12" s="1447">
        <v>0</v>
      </c>
      <c r="CV12" s="1447">
        <v>0</v>
      </c>
      <c r="CW12" s="1448">
        <f t="shared" si="14"/>
        <v>0</v>
      </c>
      <c r="CX12" s="2752">
        <v>0</v>
      </c>
      <c r="CY12" s="1653">
        <v>0</v>
      </c>
      <c r="CZ12" s="1653">
        <v>0</v>
      </c>
      <c r="DA12" s="1611">
        <v>0</v>
      </c>
      <c r="DB12" s="667"/>
      <c r="DC12" s="524"/>
      <c r="DD12" s="47">
        <v>0</v>
      </c>
      <c r="DE12" s="47">
        <v>0</v>
      </c>
      <c r="DF12" s="47">
        <v>0</v>
      </c>
      <c r="DG12" s="47">
        <v>0</v>
      </c>
      <c r="DH12" s="47">
        <v>0</v>
      </c>
      <c r="DI12" s="47">
        <v>0</v>
      </c>
      <c r="DJ12" s="47">
        <v>0</v>
      </c>
      <c r="DK12" s="47">
        <v>0</v>
      </c>
      <c r="DL12" s="47">
        <v>0</v>
      </c>
      <c r="DM12" s="47">
        <v>0</v>
      </c>
      <c r="DN12" s="47">
        <v>0</v>
      </c>
      <c r="DO12" s="47">
        <v>0</v>
      </c>
      <c r="DP12" s="47">
        <v>0</v>
      </c>
      <c r="DQ12" s="47">
        <v>0</v>
      </c>
      <c r="DR12" s="47">
        <v>0</v>
      </c>
      <c r="DS12" s="47">
        <v>0</v>
      </c>
      <c r="DT12" s="47">
        <v>0</v>
      </c>
      <c r="DU12" s="47">
        <v>0</v>
      </c>
      <c r="DV12" s="47">
        <v>0</v>
      </c>
      <c r="DW12" s="47">
        <v>22</v>
      </c>
      <c r="DX12" s="47">
        <v>0</v>
      </c>
      <c r="DY12" s="47">
        <v>32</v>
      </c>
      <c r="DZ12" s="47">
        <v>0</v>
      </c>
      <c r="EA12" s="873">
        <v>177</v>
      </c>
      <c r="EB12" s="873">
        <v>4</v>
      </c>
      <c r="EC12" s="915">
        <v>10</v>
      </c>
      <c r="ED12" s="915">
        <v>1207</v>
      </c>
      <c r="EE12" s="898">
        <v>0</v>
      </c>
      <c r="EF12" s="917">
        <v>0</v>
      </c>
      <c r="EG12" s="920">
        <v>822</v>
      </c>
      <c r="EH12" s="829">
        <f t="shared" si="11"/>
        <v>0</v>
      </c>
      <c r="EI12" s="829">
        <v>0</v>
      </c>
      <c r="EJ12" s="829">
        <v>0</v>
      </c>
      <c r="EK12" s="56">
        <v>0</v>
      </c>
      <c r="EL12" s="56">
        <v>0</v>
      </c>
      <c r="EM12" s="1696">
        <f t="shared" si="15"/>
        <v>0</v>
      </c>
      <c r="EN12" s="830">
        <f>0</f>
        <v>0</v>
      </c>
      <c r="EO12" s="830">
        <f>0</f>
        <v>0</v>
      </c>
      <c r="EP12" s="830">
        <f>0</f>
        <v>0</v>
      </c>
      <c r="EQ12" s="830">
        <f>0</f>
        <v>0</v>
      </c>
      <c r="ER12" s="830">
        <f>0</f>
        <v>0</v>
      </c>
      <c r="ES12" s="830">
        <f>0</f>
        <v>0</v>
      </c>
      <c r="ET12" s="830">
        <f>0</f>
        <v>0</v>
      </c>
      <c r="EU12" s="828">
        <f>0</f>
        <v>0</v>
      </c>
      <c r="EV12" s="413"/>
      <c r="EW12"/>
      <c r="EX12"/>
      <c r="EY12"/>
      <c r="EZ12"/>
      <c r="FA12"/>
      <c r="FB12"/>
      <c r="FG12" s="830"/>
      <c r="FH12" s="830"/>
      <c r="FI12" s="830"/>
      <c r="FJ12" s="830"/>
      <c r="FK12" s="830"/>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row>
    <row r="13" spans="1:260" s="4" customFormat="1" x14ac:dyDescent="0.2">
      <c r="A13" s="179" t="s">
        <v>510</v>
      </c>
      <c r="B13" s="47"/>
      <c r="C13" s="47"/>
      <c r="D13" s="47"/>
      <c r="E13" s="709"/>
      <c r="F13" s="47"/>
      <c r="G13" s="47"/>
      <c r="H13" s="47"/>
      <c r="I13" s="709"/>
      <c r="J13" s="47"/>
      <c r="K13" s="47"/>
      <c r="L13" s="47"/>
      <c r="M13" s="709"/>
      <c r="N13" s="47"/>
      <c r="O13" s="47"/>
      <c r="P13" s="47"/>
      <c r="Q13" s="709"/>
      <c r="R13" s="47">
        <v>0</v>
      </c>
      <c r="S13" s="47">
        <v>0</v>
      </c>
      <c r="T13" s="47">
        <v>0</v>
      </c>
      <c r="U13" s="709">
        <v>0</v>
      </c>
      <c r="V13" s="47">
        <v>0</v>
      </c>
      <c r="W13" s="47">
        <v>0</v>
      </c>
      <c r="X13" s="47">
        <v>0</v>
      </c>
      <c r="Y13" s="709">
        <v>0</v>
      </c>
      <c r="Z13" s="47">
        <v>0</v>
      </c>
      <c r="AA13" s="47">
        <v>0</v>
      </c>
      <c r="AB13" s="47">
        <v>0</v>
      </c>
      <c r="AC13" s="709">
        <v>0</v>
      </c>
      <c r="AD13" s="47">
        <v>0</v>
      </c>
      <c r="AE13" s="47">
        <v>0</v>
      </c>
      <c r="AF13" s="47">
        <v>0</v>
      </c>
      <c r="AG13" s="709">
        <v>0</v>
      </c>
      <c r="AH13" s="47">
        <v>0</v>
      </c>
      <c r="AI13" s="47">
        <v>0</v>
      </c>
      <c r="AJ13" s="47">
        <v>0</v>
      </c>
      <c r="AK13" s="709">
        <v>0</v>
      </c>
      <c r="AL13" s="47">
        <v>0</v>
      </c>
      <c r="AM13" s="47">
        <v>0</v>
      </c>
      <c r="AN13" s="47">
        <v>0</v>
      </c>
      <c r="AO13" s="709">
        <v>0</v>
      </c>
      <c r="AP13" s="47">
        <v>0</v>
      </c>
      <c r="AQ13" s="47">
        <v>0</v>
      </c>
      <c r="AR13" s="47">
        <v>0</v>
      </c>
      <c r="AS13" s="709">
        <v>0</v>
      </c>
      <c r="AT13" s="47">
        <v>0</v>
      </c>
      <c r="AU13" s="47">
        <v>0</v>
      </c>
      <c r="AV13" s="47">
        <v>0</v>
      </c>
      <c r="AW13" s="709">
        <f t="shared" si="2"/>
        <v>0</v>
      </c>
      <c r="AX13" s="47">
        <v>0</v>
      </c>
      <c r="AY13" s="47">
        <v>0</v>
      </c>
      <c r="AZ13" s="47">
        <v>0</v>
      </c>
      <c r="BA13" s="709">
        <f t="shared" si="3"/>
        <v>0</v>
      </c>
      <c r="BB13" s="47">
        <v>0</v>
      </c>
      <c r="BC13" s="47">
        <v>0</v>
      </c>
      <c r="BD13" s="47">
        <v>0</v>
      </c>
      <c r="BE13" s="709">
        <f t="shared" si="4"/>
        <v>0</v>
      </c>
      <c r="BF13" s="47">
        <v>0</v>
      </c>
      <c r="BG13" s="47">
        <v>0</v>
      </c>
      <c r="BH13" s="47">
        <v>0</v>
      </c>
      <c r="BI13" s="709">
        <f t="shared" si="5"/>
        <v>0</v>
      </c>
      <c r="BJ13" s="873">
        <v>0</v>
      </c>
      <c r="BK13" s="873">
        <v>0</v>
      </c>
      <c r="BL13" s="873">
        <v>0</v>
      </c>
      <c r="BM13" s="874">
        <f t="shared" si="6"/>
        <v>78</v>
      </c>
      <c r="BN13" s="898">
        <v>52</v>
      </c>
      <c r="BO13" s="898">
        <f>52-BN13</f>
        <v>0</v>
      </c>
      <c r="BP13" s="898">
        <f>52-BO13-BN13</f>
        <v>0</v>
      </c>
      <c r="BQ13" s="909">
        <f t="shared" si="7"/>
        <v>0</v>
      </c>
      <c r="BR13" s="898">
        <v>0</v>
      </c>
      <c r="BS13" s="898">
        <f>0-BR13</f>
        <v>0</v>
      </c>
      <c r="BT13" s="898">
        <f>0-BS13-BR13</f>
        <v>0</v>
      </c>
      <c r="BU13" s="909">
        <f t="shared" si="8"/>
        <v>222</v>
      </c>
      <c r="BV13" s="898">
        <v>0</v>
      </c>
      <c r="BW13" s="898">
        <v>0</v>
      </c>
      <c r="BX13" s="898">
        <v>0</v>
      </c>
      <c r="BY13" s="909">
        <f t="shared" si="9"/>
        <v>288</v>
      </c>
      <c r="BZ13" s="898">
        <v>133</v>
      </c>
      <c r="CA13" s="898">
        <f>223-BZ13</f>
        <v>90</v>
      </c>
      <c r="CB13" s="898">
        <f>251-CA13-BZ13</f>
        <v>28</v>
      </c>
      <c r="CC13" s="909">
        <f t="shared" si="10"/>
        <v>206</v>
      </c>
      <c r="CD13" s="917">
        <v>59</v>
      </c>
      <c r="CE13" s="910">
        <f>113-CD13</f>
        <v>54</v>
      </c>
      <c r="CF13" s="910">
        <f>144-CE13-CD13</f>
        <v>31</v>
      </c>
      <c r="CG13" s="909">
        <f>259-CD13-CE13-CF13</f>
        <v>115</v>
      </c>
      <c r="CH13" s="594">
        <v>3</v>
      </c>
      <c r="CI13" s="167">
        <f>8-CH13</f>
        <v>5</v>
      </c>
      <c r="CJ13" s="167">
        <f>17-CI13-CH13</f>
        <v>9</v>
      </c>
      <c r="CK13" s="537">
        <f t="shared" si="12"/>
        <v>6</v>
      </c>
      <c r="CL13" s="1631">
        <v>186</v>
      </c>
      <c r="CM13" s="1447">
        <f>182-CL13</f>
        <v>-4</v>
      </c>
      <c r="CN13" s="1447">
        <f>189-SUM(CL13:CM13)</f>
        <v>7</v>
      </c>
      <c r="CO13" s="1448">
        <f t="shared" si="16"/>
        <v>12</v>
      </c>
      <c r="CP13" s="1447">
        <v>29</v>
      </c>
      <c r="CQ13" s="1447">
        <f>29-CP13</f>
        <v>0</v>
      </c>
      <c r="CR13" s="1447">
        <f>30-SUM(CP13:CQ13)</f>
        <v>1</v>
      </c>
      <c r="CS13" s="1448">
        <f t="shared" si="13"/>
        <v>9</v>
      </c>
      <c r="CT13" s="1447">
        <v>0</v>
      </c>
      <c r="CU13" s="1447">
        <f>2-CT13</f>
        <v>2</v>
      </c>
      <c r="CV13" s="1447">
        <f>0-CU13-CT13</f>
        <v>-2</v>
      </c>
      <c r="CW13" s="1448">
        <f t="shared" si="14"/>
        <v>10</v>
      </c>
      <c r="CX13" s="2752">
        <v>0</v>
      </c>
      <c r="CY13" s="1653">
        <v>0</v>
      </c>
      <c r="CZ13" s="1653">
        <v>0</v>
      </c>
      <c r="DA13" s="1611">
        <v>0</v>
      </c>
      <c r="DB13" s="667"/>
      <c r="DC13" s="524"/>
      <c r="DD13" s="47">
        <v>0</v>
      </c>
      <c r="DE13" s="47">
        <v>0</v>
      </c>
      <c r="DF13" s="47">
        <v>0</v>
      </c>
      <c r="DG13" s="47">
        <v>0</v>
      </c>
      <c r="DH13" s="47">
        <v>0</v>
      </c>
      <c r="DI13" s="47">
        <v>0</v>
      </c>
      <c r="DJ13" s="47">
        <v>0</v>
      </c>
      <c r="DK13" s="47">
        <v>0</v>
      </c>
      <c r="DL13" s="47">
        <v>0</v>
      </c>
      <c r="DM13" s="47">
        <v>0</v>
      </c>
      <c r="DN13" s="47">
        <v>0</v>
      </c>
      <c r="DO13" s="47">
        <v>0</v>
      </c>
      <c r="DP13" s="47">
        <v>0</v>
      </c>
      <c r="DQ13" s="47">
        <v>0</v>
      </c>
      <c r="DR13" s="47">
        <v>0</v>
      </c>
      <c r="DS13" s="47">
        <v>0</v>
      </c>
      <c r="DT13" s="47">
        <v>0</v>
      </c>
      <c r="DU13" s="47">
        <v>0</v>
      </c>
      <c r="DV13" s="47">
        <v>0</v>
      </c>
      <c r="DW13" s="47">
        <v>0</v>
      </c>
      <c r="DX13" s="47">
        <v>0</v>
      </c>
      <c r="DY13" s="47">
        <v>0</v>
      </c>
      <c r="DZ13" s="47">
        <v>0</v>
      </c>
      <c r="EA13" s="873">
        <v>78</v>
      </c>
      <c r="EB13" s="873">
        <v>52</v>
      </c>
      <c r="EC13" s="915">
        <v>222</v>
      </c>
      <c r="ED13" s="915">
        <v>288</v>
      </c>
      <c r="EE13" s="898">
        <v>0</v>
      </c>
      <c r="EF13" s="917">
        <v>0</v>
      </c>
      <c r="EG13" s="920">
        <v>457</v>
      </c>
      <c r="EH13" s="829">
        <f t="shared" si="11"/>
        <v>259</v>
      </c>
      <c r="EI13" s="829">
        <v>23</v>
      </c>
      <c r="EJ13" s="829">
        <v>201</v>
      </c>
      <c r="EK13" s="56">
        <v>39</v>
      </c>
      <c r="EL13" s="56">
        <v>10</v>
      </c>
      <c r="EM13" s="1696">
        <f t="shared" si="15"/>
        <v>0</v>
      </c>
      <c r="EN13" s="830">
        <f>'Income Statement'!FA32</f>
        <v>0</v>
      </c>
      <c r="EO13" s="830">
        <f>'Income Statement'!FB32</f>
        <v>0</v>
      </c>
      <c r="EP13" s="830">
        <f>'Income Statement'!FC32</f>
        <v>0</v>
      </c>
      <c r="EQ13" s="830">
        <f>'Income Statement'!FD32</f>
        <v>0</v>
      </c>
      <c r="ER13" s="830">
        <f>'Income Statement'!FE32</f>
        <v>0</v>
      </c>
      <c r="ES13" s="830">
        <f>'Income Statement'!FF32</f>
        <v>0</v>
      </c>
      <c r="ET13" s="830">
        <f>'Income Statement'!FG32</f>
        <v>0</v>
      </c>
      <c r="EU13" s="828">
        <f>'Income Statement'!FH32</f>
        <v>0</v>
      </c>
      <c r="EV13" s="413"/>
      <c r="EW13"/>
      <c r="EX13"/>
      <c r="EY13"/>
      <c r="EZ13"/>
      <c r="FA13"/>
      <c r="FB13"/>
      <c r="FG13" s="830"/>
      <c r="FH13" s="830"/>
      <c r="FI13" s="830"/>
      <c r="FJ13" s="830"/>
      <c r="FK13" s="830"/>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row>
    <row r="14" spans="1:260" s="4" customFormat="1" x14ac:dyDescent="0.2">
      <c r="A14" s="179" t="s">
        <v>511</v>
      </c>
      <c r="B14" s="47"/>
      <c r="C14" s="47"/>
      <c r="D14" s="47"/>
      <c r="E14" s="709"/>
      <c r="F14" s="47"/>
      <c r="G14" s="47"/>
      <c r="H14" s="47"/>
      <c r="I14" s="709"/>
      <c r="J14" s="47"/>
      <c r="K14" s="47"/>
      <c r="L14" s="47"/>
      <c r="M14" s="709"/>
      <c r="N14" s="47"/>
      <c r="O14" s="47"/>
      <c r="P14" s="47"/>
      <c r="Q14" s="709"/>
      <c r="R14" s="47">
        <v>0</v>
      </c>
      <c r="S14" s="47">
        <v>0</v>
      </c>
      <c r="T14" s="47">
        <v>0</v>
      </c>
      <c r="U14" s="709">
        <v>0</v>
      </c>
      <c r="V14" s="47">
        <v>0</v>
      </c>
      <c r="W14" s="47">
        <v>0</v>
      </c>
      <c r="X14" s="47">
        <v>0</v>
      </c>
      <c r="Y14" s="709">
        <v>0</v>
      </c>
      <c r="Z14" s="47">
        <v>0</v>
      </c>
      <c r="AA14" s="47">
        <v>0</v>
      </c>
      <c r="AB14" s="47">
        <v>0</v>
      </c>
      <c r="AC14" s="709">
        <v>0</v>
      </c>
      <c r="AD14" s="47">
        <v>0</v>
      </c>
      <c r="AE14" s="47">
        <v>0</v>
      </c>
      <c r="AF14" s="47">
        <v>0</v>
      </c>
      <c r="AG14" s="709">
        <v>0</v>
      </c>
      <c r="AH14" s="47">
        <v>0</v>
      </c>
      <c r="AI14" s="47">
        <v>0</v>
      </c>
      <c r="AJ14" s="47">
        <v>0</v>
      </c>
      <c r="AK14" s="709">
        <v>0</v>
      </c>
      <c r="AL14" s="47">
        <v>0</v>
      </c>
      <c r="AM14" s="47">
        <v>0</v>
      </c>
      <c r="AN14" s="47">
        <v>0</v>
      </c>
      <c r="AO14" s="709">
        <v>0</v>
      </c>
      <c r="AP14" s="47">
        <v>0</v>
      </c>
      <c r="AQ14" s="47">
        <v>0</v>
      </c>
      <c r="AR14" s="47">
        <v>0</v>
      </c>
      <c r="AS14" s="709">
        <v>0</v>
      </c>
      <c r="AT14" s="47">
        <v>0</v>
      </c>
      <c r="AU14" s="47">
        <v>0</v>
      </c>
      <c r="AV14" s="47">
        <v>0</v>
      </c>
      <c r="AW14" s="709">
        <f t="shared" si="2"/>
        <v>0</v>
      </c>
      <c r="AX14" s="47">
        <v>31</v>
      </c>
      <c r="AY14" s="47">
        <f>62-AX14</f>
        <v>31</v>
      </c>
      <c r="AZ14" s="47">
        <f>94-AY14-AX14</f>
        <v>32</v>
      </c>
      <c r="BA14" s="709">
        <f t="shared" si="3"/>
        <v>38</v>
      </c>
      <c r="BB14" s="47">
        <v>28</v>
      </c>
      <c r="BC14" s="47">
        <f>59-BB14</f>
        <v>31</v>
      </c>
      <c r="BD14" s="47">
        <f>87-BC14-BB14</f>
        <v>28</v>
      </c>
      <c r="BE14" s="709">
        <f t="shared" si="4"/>
        <v>34</v>
      </c>
      <c r="BF14" s="47">
        <v>32</v>
      </c>
      <c r="BG14" s="47">
        <f>58-BF14</f>
        <v>26</v>
      </c>
      <c r="BH14" s="47">
        <f>84-BG14-BF14</f>
        <v>26</v>
      </c>
      <c r="BI14" s="709">
        <f t="shared" si="5"/>
        <v>21</v>
      </c>
      <c r="BJ14" s="873">
        <v>25</v>
      </c>
      <c r="BK14" s="873">
        <f>54-BJ14</f>
        <v>29</v>
      </c>
      <c r="BL14" s="873">
        <f>82-BK14-BJ14</f>
        <v>28</v>
      </c>
      <c r="BM14" s="874">
        <f t="shared" si="6"/>
        <v>28</v>
      </c>
      <c r="BN14" s="898">
        <v>27</v>
      </c>
      <c r="BO14" s="898">
        <f>57-BN14</f>
        <v>30</v>
      </c>
      <c r="BP14" s="898">
        <f>88-BO14-BN14</f>
        <v>31</v>
      </c>
      <c r="BQ14" s="909">
        <f t="shared" si="7"/>
        <v>30</v>
      </c>
      <c r="BR14" s="898">
        <v>29</v>
      </c>
      <c r="BS14" s="898">
        <f>58-BR14</f>
        <v>29</v>
      </c>
      <c r="BT14" s="898">
        <f>87-BS14-BR14</f>
        <v>29</v>
      </c>
      <c r="BU14" s="909">
        <f t="shared" si="8"/>
        <v>34</v>
      </c>
      <c r="BV14" s="873">
        <v>31</v>
      </c>
      <c r="BW14" s="898">
        <f>63-BV14</f>
        <v>32</v>
      </c>
      <c r="BX14" s="898">
        <f>93-BW14-BV14</f>
        <v>30</v>
      </c>
      <c r="BY14" s="909">
        <f t="shared" si="9"/>
        <v>27</v>
      </c>
      <c r="BZ14" s="873">
        <v>33</v>
      </c>
      <c r="CA14" s="873">
        <f>64-BZ14</f>
        <v>31</v>
      </c>
      <c r="CB14" s="898">
        <f>95-CA14-BZ14</f>
        <v>31</v>
      </c>
      <c r="CC14" s="909">
        <f t="shared" si="10"/>
        <v>22</v>
      </c>
      <c r="CD14" s="1062">
        <v>22</v>
      </c>
      <c r="CE14" s="947">
        <f>45-CD14</f>
        <v>23</v>
      </c>
      <c r="CF14" s="910">
        <f>70-CE14-CD14</f>
        <v>25</v>
      </c>
      <c r="CG14" s="874">
        <f>90-CD14-CE14-CF14</f>
        <v>20</v>
      </c>
      <c r="CH14" s="732">
        <v>23</v>
      </c>
      <c r="CI14" s="1095">
        <f>40-CH14</f>
        <v>17</v>
      </c>
      <c r="CJ14" s="1095">
        <f>63-CI14-CH14</f>
        <v>23</v>
      </c>
      <c r="CK14" s="655">
        <f t="shared" si="12"/>
        <v>24</v>
      </c>
      <c r="CL14" s="1628">
        <v>27</v>
      </c>
      <c r="CM14" s="1629">
        <f>55-CL14</f>
        <v>28</v>
      </c>
      <c r="CN14" s="1629">
        <f>80-SUM(CL14:CM14)</f>
        <v>25</v>
      </c>
      <c r="CO14" s="1630">
        <f t="shared" si="16"/>
        <v>24</v>
      </c>
      <c r="CP14" s="1629">
        <v>31</v>
      </c>
      <c r="CQ14" s="1629">
        <f>57-CP14</f>
        <v>26</v>
      </c>
      <c r="CR14" s="1629">
        <f>82-SUM(CP14:CQ14)</f>
        <v>25</v>
      </c>
      <c r="CS14" s="1630">
        <f t="shared" si="13"/>
        <v>26</v>
      </c>
      <c r="CT14" s="1629">
        <v>31</v>
      </c>
      <c r="CU14" s="1629">
        <f>67-CT14</f>
        <v>36</v>
      </c>
      <c r="CV14" s="1629">
        <f>97-CU14-CT14</f>
        <v>30</v>
      </c>
      <c r="CW14" s="1630">
        <f t="shared" si="14"/>
        <v>32</v>
      </c>
      <c r="CX14" s="2804">
        <f t="shared" ref="CX14:DA14" si="17">CT14</f>
        <v>31</v>
      </c>
      <c r="CY14" s="1629">
        <f t="shared" si="17"/>
        <v>36</v>
      </c>
      <c r="CZ14" s="1629">
        <f t="shared" si="17"/>
        <v>30</v>
      </c>
      <c r="DA14" s="1630">
        <f t="shared" si="17"/>
        <v>32</v>
      </c>
      <c r="DB14" s="667"/>
      <c r="DC14" s="524"/>
      <c r="DD14" s="47">
        <v>0</v>
      </c>
      <c r="DE14" s="47">
        <v>0</v>
      </c>
      <c r="DF14" s="47">
        <v>0</v>
      </c>
      <c r="DG14" s="47">
        <v>0</v>
      </c>
      <c r="DH14" s="47">
        <v>0</v>
      </c>
      <c r="DI14" s="47">
        <v>0</v>
      </c>
      <c r="DJ14" s="47">
        <v>0</v>
      </c>
      <c r="DK14" s="47">
        <v>0</v>
      </c>
      <c r="DL14" s="47">
        <v>0</v>
      </c>
      <c r="DM14" s="47">
        <v>0</v>
      </c>
      <c r="DN14" s="47">
        <v>0</v>
      </c>
      <c r="DO14" s="47">
        <v>0</v>
      </c>
      <c r="DP14" s="47">
        <v>0</v>
      </c>
      <c r="DQ14" s="47">
        <v>0</v>
      </c>
      <c r="DR14" s="47">
        <v>0</v>
      </c>
      <c r="DS14" s="47">
        <v>0</v>
      </c>
      <c r="DT14" s="47">
        <v>0</v>
      </c>
      <c r="DU14" s="47">
        <v>0</v>
      </c>
      <c r="DV14" s="47">
        <v>0</v>
      </c>
      <c r="DW14" s="47">
        <v>0</v>
      </c>
      <c r="DX14" s="47">
        <v>132</v>
      </c>
      <c r="DY14" s="47">
        <v>121</v>
      </c>
      <c r="DZ14" s="47">
        <v>105</v>
      </c>
      <c r="EA14" s="873">
        <v>110</v>
      </c>
      <c r="EB14" s="873">
        <v>118</v>
      </c>
      <c r="EC14" s="915">
        <v>121</v>
      </c>
      <c r="ED14" s="898">
        <v>120</v>
      </c>
      <c r="EE14" s="898">
        <v>0</v>
      </c>
      <c r="EF14" s="917">
        <v>0</v>
      </c>
      <c r="EG14" s="910">
        <v>117</v>
      </c>
      <c r="EH14" s="829">
        <f t="shared" si="11"/>
        <v>90</v>
      </c>
      <c r="EI14" s="829">
        <v>87</v>
      </c>
      <c r="EJ14" s="829">
        <v>104</v>
      </c>
      <c r="EK14" s="56">
        <v>108</v>
      </c>
      <c r="EL14" s="56">
        <v>129</v>
      </c>
      <c r="EM14" s="1696">
        <f t="shared" si="15"/>
        <v>129</v>
      </c>
      <c r="EN14" s="830">
        <f t="shared" ref="EN14:EU14" si="18">EM14</f>
        <v>129</v>
      </c>
      <c r="EO14" s="830">
        <f t="shared" si="18"/>
        <v>129</v>
      </c>
      <c r="EP14" s="830">
        <f t="shared" si="18"/>
        <v>129</v>
      </c>
      <c r="EQ14" s="830">
        <f t="shared" si="18"/>
        <v>129</v>
      </c>
      <c r="ER14" s="830">
        <f t="shared" si="18"/>
        <v>129</v>
      </c>
      <c r="ES14" s="830">
        <f t="shared" si="18"/>
        <v>129</v>
      </c>
      <c r="ET14" s="830">
        <f t="shared" si="18"/>
        <v>129</v>
      </c>
      <c r="EU14" s="828">
        <f t="shared" si="18"/>
        <v>129</v>
      </c>
      <c r="EV14" s="413"/>
      <c r="EW14"/>
      <c r="EX14"/>
      <c r="EY14"/>
      <c r="EZ14"/>
      <c r="FA14"/>
      <c r="FB14"/>
      <c r="FG14" s="830"/>
      <c r="FH14" s="830"/>
      <c r="FI14" s="830"/>
      <c r="FJ14" s="830"/>
      <c r="FK14" s="830"/>
      <c r="FL14"/>
      <c r="FM14"/>
      <c r="FN14"/>
      <c r="FO14"/>
      <c r="FP14"/>
      <c r="FQ14"/>
      <c r="FR14"/>
      <c r="FS14"/>
      <c r="FT14"/>
      <c r="FU14"/>
      <c r="FV14"/>
      <c r="FW14"/>
      <c r="FX14"/>
      <c r="FY14"/>
      <c r="FZ14"/>
      <c r="GA14"/>
      <c r="GB14"/>
      <c r="GC14"/>
      <c r="GD14"/>
      <c r="GE14"/>
      <c r="GF14"/>
      <c r="GG14"/>
      <c r="GH14"/>
      <c r="GI14"/>
      <c r="GJ14"/>
      <c r="GK14"/>
      <c r="GL14"/>
      <c r="GM14"/>
      <c r="GN14"/>
      <c r="GO14"/>
      <c r="GP14"/>
      <c r="GQ14"/>
      <c r="GR14"/>
      <c r="GS14"/>
      <c r="GT14"/>
      <c r="GU14"/>
      <c r="GV14"/>
      <c r="GW14"/>
      <c r="GX14"/>
      <c r="GY14"/>
      <c r="GZ14"/>
      <c r="HA14"/>
      <c r="HB14"/>
      <c r="HC14"/>
      <c r="HD14"/>
      <c r="HE14"/>
      <c r="HF14"/>
      <c r="HG14"/>
      <c r="HH14"/>
      <c r="HI14"/>
      <c r="HJ14"/>
      <c r="HK14"/>
      <c r="HL14"/>
      <c r="HM14"/>
      <c r="HN14"/>
      <c r="HO14"/>
      <c r="HP14"/>
      <c r="HQ14"/>
      <c r="HR14"/>
      <c r="HS14"/>
      <c r="HT14"/>
      <c r="HU14"/>
      <c r="HV14"/>
      <c r="HW14"/>
      <c r="HX14"/>
      <c r="HY14"/>
      <c r="HZ14"/>
      <c r="IA14"/>
      <c r="IB14"/>
      <c r="IC14"/>
      <c r="ID14"/>
      <c r="IE14"/>
      <c r="IF14"/>
      <c r="IG14"/>
      <c r="IH14"/>
      <c r="II14"/>
      <c r="IJ14"/>
      <c r="IK14"/>
      <c r="IL14"/>
      <c r="IM14"/>
      <c r="IN14"/>
      <c r="IO14"/>
      <c r="IP14"/>
      <c r="IQ14"/>
      <c r="IR14"/>
      <c r="IS14"/>
      <c r="IT14"/>
      <c r="IU14"/>
      <c r="IV14"/>
      <c r="IW14"/>
      <c r="IX14"/>
      <c r="IY14"/>
      <c r="IZ14"/>
    </row>
    <row r="15" spans="1:260" s="4" customFormat="1" x14ac:dyDescent="0.2">
      <c r="A15" s="179" t="s">
        <v>512</v>
      </c>
      <c r="B15" s="47"/>
      <c r="C15" s="47"/>
      <c r="D15" s="47"/>
      <c r="E15" s="709"/>
      <c r="F15" s="47"/>
      <c r="G15" s="47"/>
      <c r="H15" s="47"/>
      <c r="I15" s="709"/>
      <c r="J15" s="47"/>
      <c r="K15" s="47"/>
      <c r="L15" s="47"/>
      <c r="M15" s="709"/>
      <c r="N15" s="47"/>
      <c r="O15" s="47"/>
      <c r="P15" s="47"/>
      <c r="Q15" s="709"/>
      <c r="R15" s="47">
        <v>0</v>
      </c>
      <c r="S15" s="47">
        <v>0</v>
      </c>
      <c r="T15" s="47">
        <v>0</v>
      </c>
      <c r="U15" s="709">
        <v>0</v>
      </c>
      <c r="V15" s="47">
        <v>0</v>
      </c>
      <c r="W15" s="47">
        <v>0</v>
      </c>
      <c r="X15" s="47">
        <v>0</v>
      </c>
      <c r="Y15" s="709">
        <v>0</v>
      </c>
      <c r="Z15" s="47">
        <v>0</v>
      </c>
      <c r="AA15" s="47">
        <v>0</v>
      </c>
      <c r="AB15" s="47">
        <v>0</v>
      </c>
      <c r="AC15" s="709">
        <v>0</v>
      </c>
      <c r="AD15" s="47">
        <v>0</v>
      </c>
      <c r="AE15" s="47">
        <v>0</v>
      </c>
      <c r="AF15" s="47">
        <v>0</v>
      </c>
      <c r="AG15" s="709">
        <v>0</v>
      </c>
      <c r="AH15" s="47">
        <v>0</v>
      </c>
      <c r="AI15" s="47">
        <v>0</v>
      </c>
      <c r="AJ15" s="47">
        <v>0</v>
      </c>
      <c r="AK15" s="709">
        <v>0</v>
      </c>
      <c r="AL15" s="47">
        <v>0</v>
      </c>
      <c r="AM15" s="47">
        <v>0</v>
      </c>
      <c r="AN15" s="47">
        <v>0</v>
      </c>
      <c r="AO15" s="709">
        <v>0</v>
      </c>
      <c r="AP15" s="47">
        <v>0</v>
      </c>
      <c r="AQ15" s="47">
        <v>0</v>
      </c>
      <c r="AR15" s="47">
        <v>0</v>
      </c>
      <c r="AS15" s="709">
        <v>0</v>
      </c>
      <c r="AT15" s="47">
        <v>-5</v>
      </c>
      <c r="AU15" s="47">
        <f>-14-AT15</f>
        <v>-9</v>
      </c>
      <c r="AV15" s="47">
        <f>-15-AU15-AT15</f>
        <v>-1</v>
      </c>
      <c r="AW15" s="709">
        <f t="shared" si="2"/>
        <v>-13</v>
      </c>
      <c r="AX15" s="47">
        <v>-7</v>
      </c>
      <c r="AY15" s="47">
        <f>-31-AX15</f>
        <v>-24</v>
      </c>
      <c r="AZ15" s="47">
        <f>-54-AY15-AX15</f>
        <v>-23</v>
      </c>
      <c r="BA15" s="709">
        <f t="shared" si="3"/>
        <v>-97</v>
      </c>
      <c r="BB15" s="47">
        <v>-16</v>
      </c>
      <c r="BC15" s="47">
        <f>-28-BB15</f>
        <v>-12</v>
      </c>
      <c r="BD15" s="47">
        <f>-29-BC15-BB15</f>
        <v>-1</v>
      </c>
      <c r="BE15" s="709">
        <f t="shared" si="4"/>
        <v>111</v>
      </c>
      <c r="BF15" s="47">
        <v>-78</v>
      </c>
      <c r="BG15" s="47">
        <f>-18-BF15</f>
        <v>60</v>
      </c>
      <c r="BH15" s="47">
        <f>2-BG15-BF15</f>
        <v>20</v>
      </c>
      <c r="BI15" s="709">
        <f t="shared" si="5"/>
        <v>72</v>
      </c>
      <c r="BJ15" s="873">
        <v>-20</v>
      </c>
      <c r="BK15" s="873">
        <f>-24-BJ15</f>
        <v>-4</v>
      </c>
      <c r="BL15" s="873">
        <f>-66-BK15-BJ15</f>
        <v>-42</v>
      </c>
      <c r="BM15" s="874">
        <f t="shared" si="6"/>
        <v>23</v>
      </c>
      <c r="BN15" s="898">
        <v>24</v>
      </c>
      <c r="BO15" s="898">
        <f>6-BN15</f>
        <v>-18</v>
      </c>
      <c r="BP15" s="898">
        <f>-41-BO15-BN15</f>
        <v>-47</v>
      </c>
      <c r="BQ15" s="909">
        <f t="shared" si="7"/>
        <v>11</v>
      </c>
      <c r="BR15" s="898">
        <v>3</v>
      </c>
      <c r="BS15" s="898">
        <f>50-BR15</f>
        <v>47</v>
      </c>
      <c r="BT15" s="898">
        <f>-6-BS15-BR15</f>
        <v>-56</v>
      </c>
      <c r="BU15" s="909">
        <f t="shared" si="8"/>
        <v>-128</v>
      </c>
      <c r="BV15" s="898">
        <v>63</v>
      </c>
      <c r="BW15" s="898">
        <f>62-BV15</f>
        <v>-1</v>
      </c>
      <c r="BX15" s="898">
        <f>148-BW15-BV15</f>
        <v>86</v>
      </c>
      <c r="BY15" s="909">
        <f t="shared" si="9"/>
        <v>-120</v>
      </c>
      <c r="BZ15" s="898">
        <v>-98</v>
      </c>
      <c r="CA15" s="898">
        <f>-88-BZ15</f>
        <v>10</v>
      </c>
      <c r="CB15" s="898">
        <f>-96-CA15-BZ15</f>
        <v>-8</v>
      </c>
      <c r="CC15" s="909">
        <f t="shared" si="10"/>
        <v>-4</v>
      </c>
      <c r="CD15" s="917">
        <v>-16</v>
      </c>
      <c r="CE15" s="910">
        <f>-3-CD15</f>
        <v>13</v>
      </c>
      <c r="CF15" s="910">
        <f>-3-CE15-CD15</f>
        <v>0</v>
      </c>
      <c r="CG15" s="909">
        <f>-28-CD15-CE15-CF15</f>
        <v>-25</v>
      </c>
      <c r="CH15" s="1454">
        <v>-401</v>
      </c>
      <c r="CI15" s="167">
        <f>-394-CH15</f>
        <v>7</v>
      </c>
      <c r="CJ15" s="167">
        <f>-381-CI15-CH15</f>
        <v>13</v>
      </c>
      <c r="CK15" s="537">
        <f t="shared" si="12"/>
        <v>84</v>
      </c>
      <c r="CL15" s="1631">
        <v>-25</v>
      </c>
      <c r="CM15" s="1447">
        <f>-41-CL15</f>
        <v>-16</v>
      </c>
      <c r="CN15" s="1447">
        <f>-43-SUM(CL15:CM15)</f>
        <v>-2</v>
      </c>
      <c r="CO15" s="1448">
        <f t="shared" si="16"/>
        <v>92</v>
      </c>
      <c r="CP15" s="1447">
        <v>8</v>
      </c>
      <c r="CQ15" s="1447">
        <f>0-CP15</f>
        <v>-8</v>
      </c>
      <c r="CR15" s="1447">
        <f>28-SUM(CP15:CQ15)</f>
        <v>28</v>
      </c>
      <c r="CS15" s="1448">
        <f t="shared" si="13"/>
        <v>173</v>
      </c>
      <c r="CT15" s="1447">
        <v>12</v>
      </c>
      <c r="CU15" s="1447">
        <f>9-CT15</f>
        <v>-3</v>
      </c>
      <c r="CV15" s="1447">
        <f>4-CU15-CT15</f>
        <v>-5</v>
      </c>
      <c r="CW15" s="1448">
        <f t="shared" si="14"/>
        <v>158</v>
      </c>
      <c r="CX15" s="2752">
        <v>0</v>
      </c>
      <c r="CY15" s="1653">
        <v>0</v>
      </c>
      <c r="CZ15" s="1653">
        <v>0</v>
      </c>
      <c r="DA15" s="1611">
        <v>0</v>
      </c>
      <c r="DB15" s="667"/>
      <c r="DC15" s="524"/>
      <c r="DD15" s="47">
        <v>0</v>
      </c>
      <c r="DE15" s="47">
        <v>0</v>
      </c>
      <c r="DF15" s="47">
        <v>0</v>
      </c>
      <c r="DG15" s="47">
        <v>0</v>
      </c>
      <c r="DH15" s="47">
        <v>0</v>
      </c>
      <c r="DI15" s="47">
        <v>0</v>
      </c>
      <c r="DJ15" s="47">
        <v>0</v>
      </c>
      <c r="DK15" s="47">
        <v>0</v>
      </c>
      <c r="DL15" s="47">
        <v>0</v>
      </c>
      <c r="DM15" s="47">
        <v>0</v>
      </c>
      <c r="DN15" s="47">
        <v>0</v>
      </c>
      <c r="DO15" s="47">
        <v>0</v>
      </c>
      <c r="DP15" s="47">
        <v>0</v>
      </c>
      <c r="DQ15" s="47">
        <v>0</v>
      </c>
      <c r="DR15" s="47">
        <v>0</v>
      </c>
      <c r="DS15" s="47">
        <v>0</v>
      </c>
      <c r="DT15" s="47">
        <v>0</v>
      </c>
      <c r="DU15" s="47">
        <v>0</v>
      </c>
      <c r="DV15" s="47">
        <v>0</v>
      </c>
      <c r="DW15" s="47">
        <v>-28</v>
      </c>
      <c r="DX15" s="47">
        <v>-151</v>
      </c>
      <c r="DY15" s="47">
        <v>82</v>
      </c>
      <c r="DZ15" s="47">
        <v>74</v>
      </c>
      <c r="EA15" s="873">
        <v>-43</v>
      </c>
      <c r="EB15" s="873">
        <v>-30</v>
      </c>
      <c r="EC15" s="915">
        <v>-134</v>
      </c>
      <c r="ED15" s="915">
        <v>28</v>
      </c>
      <c r="EE15" s="898">
        <v>0</v>
      </c>
      <c r="EF15" s="917">
        <v>0</v>
      </c>
      <c r="EG15" s="920">
        <v>-100</v>
      </c>
      <c r="EH15" s="829">
        <f t="shared" si="11"/>
        <v>-28</v>
      </c>
      <c r="EI15" s="829">
        <v>-297</v>
      </c>
      <c r="EJ15" s="829">
        <v>49</v>
      </c>
      <c r="EK15" s="56">
        <v>201</v>
      </c>
      <c r="EL15" s="56">
        <v>162</v>
      </c>
      <c r="EM15" s="1696">
        <f t="shared" si="15"/>
        <v>0</v>
      </c>
      <c r="EN15" s="830">
        <f>0</f>
        <v>0</v>
      </c>
      <c r="EO15" s="830">
        <f>0</f>
        <v>0</v>
      </c>
      <c r="EP15" s="830">
        <f>0</f>
        <v>0</v>
      </c>
      <c r="EQ15" s="830">
        <f>0</f>
        <v>0</v>
      </c>
      <c r="ER15" s="830">
        <f>0</f>
        <v>0</v>
      </c>
      <c r="ES15" s="830">
        <f>0</f>
        <v>0</v>
      </c>
      <c r="ET15" s="830">
        <f>0</f>
        <v>0</v>
      </c>
      <c r="EU15" s="828">
        <f>0</f>
        <v>0</v>
      </c>
      <c r="EV15" s="413"/>
      <c r="EW15"/>
      <c r="EX15"/>
      <c r="EY15"/>
      <c r="EZ15"/>
      <c r="FA15"/>
      <c r="FB15"/>
      <c r="FG15" s="830"/>
      <c r="FH15" s="830"/>
      <c r="FI15" s="830"/>
      <c r="FJ15" s="830"/>
      <c r="FK15" s="830"/>
      <c r="FL15"/>
      <c r="FM15"/>
      <c r="FN15"/>
      <c r="FO15"/>
      <c r="FP15"/>
      <c r="FQ15"/>
      <c r="FR15"/>
      <c r="FS15"/>
      <c r="FT15"/>
      <c r="FU15"/>
      <c r="FV15"/>
      <c r="FW15"/>
      <c r="FX15"/>
      <c r="FY15"/>
      <c r="FZ15"/>
      <c r="GA15"/>
      <c r="GB15"/>
      <c r="GC15"/>
      <c r="GD15"/>
      <c r="GE15"/>
      <c r="GF15"/>
      <c r="GG15"/>
      <c r="GH15"/>
      <c r="GI15"/>
      <c r="GJ15"/>
      <c r="GK15"/>
      <c r="GL15"/>
      <c r="GM15"/>
      <c r="GN15"/>
      <c r="GO15"/>
      <c r="GP15"/>
      <c r="GQ15"/>
      <c r="GR15"/>
      <c r="GS15"/>
      <c r="GT15"/>
      <c r="GU15"/>
      <c r="GV15"/>
      <c r="GW15"/>
      <c r="GX15"/>
      <c r="GY15"/>
      <c r="GZ15"/>
      <c r="HA15"/>
      <c r="HB15"/>
      <c r="HC15"/>
      <c r="HD15"/>
      <c r="HE15"/>
      <c r="HF15"/>
      <c r="HG15"/>
      <c r="HH15"/>
      <c r="HI15"/>
      <c r="HJ15"/>
      <c r="HK15"/>
      <c r="HL15"/>
      <c r="HM15"/>
      <c r="HN15"/>
      <c r="HO15"/>
      <c r="HP15"/>
      <c r="HQ15"/>
      <c r="HR15"/>
      <c r="HS15"/>
      <c r="HT15"/>
      <c r="HU15"/>
      <c r="HV15"/>
      <c r="HW15"/>
      <c r="HX15"/>
      <c r="HY15"/>
      <c r="HZ15"/>
      <c r="IA15"/>
      <c r="IB15"/>
      <c r="IC15"/>
      <c r="ID15"/>
      <c r="IE15"/>
      <c r="IF15"/>
      <c r="IG15"/>
      <c r="IH15"/>
      <c r="II15"/>
      <c r="IJ15"/>
      <c r="IK15"/>
      <c r="IL15"/>
      <c r="IM15"/>
      <c r="IN15"/>
      <c r="IO15"/>
      <c r="IP15"/>
      <c r="IQ15"/>
      <c r="IR15"/>
      <c r="IS15"/>
      <c r="IT15"/>
      <c r="IU15"/>
      <c r="IV15"/>
      <c r="IW15"/>
      <c r="IX15"/>
      <c r="IY15"/>
      <c r="IZ15"/>
    </row>
    <row r="16" spans="1:260" s="4" customFormat="1" x14ac:dyDescent="0.2">
      <c r="A16" s="179" t="s">
        <v>513</v>
      </c>
      <c r="B16" s="47"/>
      <c r="C16" s="47"/>
      <c r="D16" s="47"/>
      <c r="E16" s="709"/>
      <c r="F16" s="47"/>
      <c r="G16" s="47"/>
      <c r="H16" s="47"/>
      <c r="I16" s="709"/>
      <c r="J16" s="47"/>
      <c r="K16" s="47"/>
      <c r="L16" s="47"/>
      <c r="M16" s="709"/>
      <c r="N16" s="47"/>
      <c r="O16" s="47"/>
      <c r="P16" s="47"/>
      <c r="Q16" s="709"/>
      <c r="R16" s="47">
        <v>0</v>
      </c>
      <c r="S16" s="47">
        <v>0</v>
      </c>
      <c r="T16" s="47">
        <v>0</v>
      </c>
      <c r="U16" s="709">
        <v>0</v>
      </c>
      <c r="V16" s="47">
        <v>0</v>
      </c>
      <c r="W16" s="47">
        <v>0</v>
      </c>
      <c r="X16" s="47">
        <v>0</v>
      </c>
      <c r="Y16" s="709">
        <v>0</v>
      </c>
      <c r="Z16" s="47">
        <v>0</v>
      </c>
      <c r="AA16" s="47">
        <v>0</v>
      </c>
      <c r="AB16" s="47">
        <v>0</v>
      </c>
      <c r="AC16" s="709">
        <v>0</v>
      </c>
      <c r="AD16" s="47">
        <v>0</v>
      </c>
      <c r="AE16" s="47">
        <v>0</v>
      </c>
      <c r="AF16" s="47">
        <v>0</v>
      </c>
      <c r="AG16" s="709">
        <v>0</v>
      </c>
      <c r="AH16" s="47">
        <v>0</v>
      </c>
      <c r="AI16" s="47">
        <v>0</v>
      </c>
      <c r="AJ16" s="47">
        <v>0</v>
      </c>
      <c r="AK16" s="709">
        <v>0</v>
      </c>
      <c r="AL16" s="47">
        <v>0</v>
      </c>
      <c r="AM16" s="47">
        <v>0</v>
      </c>
      <c r="AN16" s="47">
        <v>0</v>
      </c>
      <c r="AO16" s="709">
        <v>0</v>
      </c>
      <c r="AP16" s="47">
        <v>0</v>
      </c>
      <c r="AQ16" s="47">
        <v>0</v>
      </c>
      <c r="AR16" s="47">
        <v>0</v>
      </c>
      <c r="AS16" s="709">
        <v>0</v>
      </c>
      <c r="AT16" s="47">
        <v>0</v>
      </c>
      <c r="AU16" s="47">
        <v>0</v>
      </c>
      <c r="AV16" s="47">
        <v>0</v>
      </c>
      <c r="AW16" s="709">
        <f t="shared" si="2"/>
        <v>0</v>
      </c>
      <c r="AX16" s="47">
        <v>-2</v>
      </c>
      <c r="AY16" s="47">
        <f>-21-AX16</f>
        <v>-19</v>
      </c>
      <c r="AZ16" s="47">
        <f>-24-AY16-AX16</f>
        <v>-3</v>
      </c>
      <c r="BA16" s="709">
        <f t="shared" si="3"/>
        <v>-31</v>
      </c>
      <c r="BB16" s="47">
        <v>-23</v>
      </c>
      <c r="BC16" s="47">
        <f>-22-BB16</f>
        <v>1</v>
      </c>
      <c r="BD16" s="47">
        <f>-46-BC16-BB16</f>
        <v>-24</v>
      </c>
      <c r="BE16" s="709">
        <f t="shared" si="4"/>
        <v>-4</v>
      </c>
      <c r="BF16" s="47">
        <v>-8</v>
      </c>
      <c r="BG16" s="47">
        <f>-12-BF16</f>
        <v>-4</v>
      </c>
      <c r="BH16" s="47">
        <f>-17-BG16-BF16</f>
        <v>-5</v>
      </c>
      <c r="BI16" s="709">
        <f t="shared" si="5"/>
        <v>-7</v>
      </c>
      <c r="BJ16" s="873">
        <v>-4</v>
      </c>
      <c r="BK16" s="873">
        <f>-4-BJ16</f>
        <v>0</v>
      </c>
      <c r="BL16" s="873">
        <f>-5-BK16-BJ16</f>
        <v>-1</v>
      </c>
      <c r="BM16" s="874">
        <f t="shared" si="6"/>
        <v>-1</v>
      </c>
      <c r="BN16" s="898">
        <v>-2</v>
      </c>
      <c r="BO16" s="898">
        <f>-1-BN16</f>
        <v>1</v>
      </c>
      <c r="BP16" s="898">
        <f>-3-BO16-BN16</f>
        <v>-2</v>
      </c>
      <c r="BQ16" s="909">
        <f t="shared" si="7"/>
        <v>-4</v>
      </c>
      <c r="BR16" s="898">
        <v>-10</v>
      </c>
      <c r="BS16" s="898">
        <f>-10-BR16</f>
        <v>0</v>
      </c>
      <c r="BT16" s="898">
        <f>-13-BS16-BR16</f>
        <v>-3</v>
      </c>
      <c r="BU16" s="909">
        <f t="shared" si="8"/>
        <v>2</v>
      </c>
      <c r="BV16" s="898">
        <v>-1</v>
      </c>
      <c r="BW16" s="898">
        <f>0-BV16</f>
        <v>1</v>
      </c>
      <c r="BX16" s="898">
        <f>0-BW16-BV16</f>
        <v>0</v>
      </c>
      <c r="BY16" s="909">
        <f t="shared" si="9"/>
        <v>0</v>
      </c>
      <c r="BZ16" s="898">
        <v>0</v>
      </c>
      <c r="CA16" s="898">
        <f>0</f>
        <v>0</v>
      </c>
      <c r="CB16" s="898">
        <f>0-CA16-BZ16</f>
        <v>0</v>
      </c>
      <c r="CC16" s="909">
        <f t="shared" si="10"/>
        <v>0</v>
      </c>
      <c r="CD16" s="917">
        <v>0</v>
      </c>
      <c r="CE16" s="910">
        <f>0</f>
        <v>0</v>
      </c>
      <c r="CF16" s="910">
        <f>-8-CE16-CD16</f>
        <v>-8</v>
      </c>
      <c r="CG16" s="909">
        <f>143-CD16-CE16-CF16</f>
        <v>151</v>
      </c>
      <c r="CH16" s="594">
        <v>0</v>
      </c>
      <c r="CI16" s="167">
        <v>0</v>
      </c>
      <c r="CJ16" s="167">
        <v>0</v>
      </c>
      <c r="CK16" s="537">
        <f t="shared" si="12"/>
        <v>0</v>
      </c>
      <c r="CL16" s="1631">
        <v>0</v>
      </c>
      <c r="CM16" s="1447">
        <v>0</v>
      </c>
      <c r="CN16" s="1447"/>
      <c r="CO16" s="1448">
        <f t="shared" si="16"/>
        <v>0</v>
      </c>
      <c r="CP16" s="1447">
        <v>0</v>
      </c>
      <c r="CQ16" s="1447">
        <v>0</v>
      </c>
      <c r="CR16" s="1447">
        <v>0</v>
      </c>
      <c r="CS16" s="1448">
        <f t="shared" si="13"/>
        <v>0</v>
      </c>
      <c r="CT16" s="1447">
        <v>0</v>
      </c>
      <c r="CU16" s="1447">
        <v>0</v>
      </c>
      <c r="CV16" s="1447">
        <v>0</v>
      </c>
      <c r="CW16" s="1448">
        <f t="shared" si="14"/>
        <v>0</v>
      </c>
      <c r="CX16" s="2752">
        <v>0</v>
      </c>
      <c r="CY16" s="1653">
        <v>0</v>
      </c>
      <c r="CZ16" s="1653">
        <v>0</v>
      </c>
      <c r="DA16" s="1611">
        <v>0</v>
      </c>
      <c r="DB16" s="667"/>
      <c r="DC16" s="524"/>
      <c r="DD16" s="47">
        <v>0</v>
      </c>
      <c r="DE16" s="47">
        <v>0</v>
      </c>
      <c r="DF16" s="47">
        <v>0</v>
      </c>
      <c r="DG16" s="47">
        <v>0</v>
      </c>
      <c r="DH16" s="47">
        <v>0</v>
      </c>
      <c r="DI16" s="47">
        <v>0</v>
      </c>
      <c r="DJ16" s="47">
        <v>0</v>
      </c>
      <c r="DK16" s="47">
        <v>0</v>
      </c>
      <c r="DL16" s="47">
        <v>0</v>
      </c>
      <c r="DM16" s="47">
        <v>0</v>
      </c>
      <c r="DN16" s="47">
        <v>0</v>
      </c>
      <c r="DO16" s="47">
        <v>0</v>
      </c>
      <c r="DP16" s="47">
        <v>0</v>
      </c>
      <c r="DQ16" s="47">
        <v>0</v>
      </c>
      <c r="DR16" s="47">
        <v>0</v>
      </c>
      <c r="DS16" s="47">
        <v>0</v>
      </c>
      <c r="DT16" s="47">
        <v>0</v>
      </c>
      <c r="DU16" s="47">
        <v>0</v>
      </c>
      <c r="DV16" s="47">
        <v>0</v>
      </c>
      <c r="DW16" s="47">
        <v>0</v>
      </c>
      <c r="DX16" s="47">
        <v>-55</v>
      </c>
      <c r="DY16" s="47">
        <v>-50</v>
      </c>
      <c r="DZ16" s="47">
        <v>-24</v>
      </c>
      <c r="EA16" s="873">
        <v>-6</v>
      </c>
      <c r="EB16" s="873">
        <v>-7</v>
      </c>
      <c r="EC16" s="915">
        <v>-11</v>
      </c>
      <c r="ED16" s="915">
        <v>0</v>
      </c>
      <c r="EE16" s="898">
        <v>0</v>
      </c>
      <c r="EF16" s="917">
        <v>0</v>
      </c>
      <c r="EG16" s="920">
        <v>0</v>
      </c>
      <c r="EH16" s="829">
        <f t="shared" si="11"/>
        <v>143</v>
      </c>
      <c r="EI16" s="829">
        <v>0</v>
      </c>
      <c r="EJ16" s="829">
        <v>0</v>
      </c>
      <c r="EK16" s="56">
        <v>0</v>
      </c>
      <c r="EL16" s="56">
        <v>0</v>
      </c>
      <c r="EM16" s="1696">
        <f t="shared" si="15"/>
        <v>0</v>
      </c>
      <c r="EN16" s="830">
        <f>0</f>
        <v>0</v>
      </c>
      <c r="EO16" s="830">
        <f>0</f>
        <v>0</v>
      </c>
      <c r="EP16" s="830">
        <f>0</f>
        <v>0</v>
      </c>
      <c r="EQ16" s="830">
        <f>0</f>
        <v>0</v>
      </c>
      <c r="ER16" s="830">
        <f>0</f>
        <v>0</v>
      </c>
      <c r="ES16" s="830">
        <f>0</f>
        <v>0</v>
      </c>
      <c r="ET16" s="830">
        <f>0</f>
        <v>0</v>
      </c>
      <c r="EU16" s="828">
        <f>0</f>
        <v>0</v>
      </c>
      <c r="EV16" s="413"/>
      <c r="EW16"/>
      <c r="EX16"/>
      <c r="EY16"/>
      <c r="EZ16"/>
      <c r="FA16"/>
      <c r="FB16"/>
      <c r="FG16" s="830"/>
      <c r="FH16" s="830"/>
      <c r="FI16" s="830"/>
      <c r="FJ16" s="830"/>
      <c r="FK16" s="830"/>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row>
    <row r="17" spans="1:260" s="4" customFormat="1" x14ac:dyDescent="0.2">
      <c r="A17" s="179" t="s">
        <v>514</v>
      </c>
      <c r="B17" s="47">
        <v>0.42499999999999999</v>
      </c>
      <c r="C17" s="47">
        <v>0</v>
      </c>
      <c r="D17" s="47">
        <v>0</v>
      </c>
      <c r="E17" s="709">
        <v>0</v>
      </c>
      <c r="F17" s="47">
        <v>0</v>
      </c>
      <c r="G17" s="47">
        <v>0</v>
      </c>
      <c r="H17" s="47">
        <v>0</v>
      </c>
      <c r="I17" s="709">
        <v>0</v>
      </c>
      <c r="J17" s="47">
        <v>0</v>
      </c>
      <c r="K17" s="47">
        <v>0</v>
      </c>
      <c r="L17" s="47">
        <v>0</v>
      </c>
      <c r="M17" s="709">
        <v>1.2669999999999999</v>
      </c>
      <c r="N17" s="47">
        <v>0</v>
      </c>
      <c r="O17" s="47">
        <v>0</v>
      </c>
      <c r="P17" s="47">
        <v>15</v>
      </c>
      <c r="Q17" s="709">
        <v>-14.532</v>
      </c>
      <c r="R17" s="47">
        <v>0</v>
      </c>
      <c r="S17" s="47">
        <v>0</v>
      </c>
      <c r="T17" s="47">
        <v>0</v>
      </c>
      <c r="U17" s="709">
        <v>0</v>
      </c>
      <c r="V17" s="47">
        <v>0</v>
      </c>
      <c r="W17" s="47">
        <v>0</v>
      </c>
      <c r="X17" s="47">
        <v>0</v>
      </c>
      <c r="Y17" s="709">
        <v>0</v>
      </c>
      <c r="Z17" s="47">
        <v>0</v>
      </c>
      <c r="AA17" s="47">
        <v>0</v>
      </c>
      <c r="AB17" s="47">
        <v>0</v>
      </c>
      <c r="AC17" s="709">
        <f>DR17-SUM(Z17:AB17)</f>
        <v>0</v>
      </c>
      <c r="AD17" s="47">
        <v>2</v>
      </c>
      <c r="AE17" s="47">
        <f>3-AD17</f>
        <v>1</v>
      </c>
      <c r="AF17" s="47">
        <f>5-SUM(AD17:AE17)</f>
        <v>2</v>
      </c>
      <c r="AG17" s="709">
        <f>DS17-SUM(AD17:AF17)</f>
        <v>54</v>
      </c>
      <c r="AH17" s="47">
        <v>8</v>
      </c>
      <c r="AI17" s="47">
        <f>27-AH17</f>
        <v>19</v>
      </c>
      <c r="AJ17" s="47">
        <f>48-SUM(AH17:AI17)</f>
        <v>21</v>
      </c>
      <c r="AK17" s="709">
        <f>DT17-SUM(AH17:AJ17)</f>
        <v>3</v>
      </c>
      <c r="AL17" s="47">
        <v>9</v>
      </c>
      <c r="AM17" s="47">
        <v>341</v>
      </c>
      <c r="AN17" s="47">
        <v>-15</v>
      </c>
      <c r="AO17" s="709">
        <f>DU17-SUM(AL17:AN17)</f>
        <v>-348</v>
      </c>
      <c r="AP17" s="47">
        <v>-7</v>
      </c>
      <c r="AQ17" s="47">
        <f>-9+6+29+66-AP17</f>
        <v>99</v>
      </c>
      <c r="AR17" s="47">
        <f>66+19-14-1-AQ17-AP17</f>
        <v>-22</v>
      </c>
      <c r="AS17" s="709">
        <f>DV17-SUM(AP17:AR17)</f>
        <v>-46</v>
      </c>
      <c r="AT17" s="47">
        <v>4</v>
      </c>
      <c r="AU17" s="47">
        <f>10-AT17</f>
        <v>6</v>
      </c>
      <c r="AV17" s="47">
        <f>19-AU17-AT17</f>
        <v>9</v>
      </c>
      <c r="AW17" s="709">
        <f t="shared" si="2"/>
        <v>4</v>
      </c>
      <c r="AX17" s="47">
        <v>4</v>
      </c>
      <c r="AY17" s="47">
        <f>-1-AX17</f>
        <v>-5</v>
      </c>
      <c r="AZ17" s="47">
        <f>12-AY17-AX17</f>
        <v>13</v>
      </c>
      <c r="BA17" s="709">
        <f t="shared" si="3"/>
        <v>-11</v>
      </c>
      <c r="BB17" s="47">
        <v>8</v>
      </c>
      <c r="BC17" s="47">
        <f>14-BB17</f>
        <v>6</v>
      </c>
      <c r="BD17" s="47">
        <f>12-BC17-BB17</f>
        <v>-2</v>
      </c>
      <c r="BE17" s="709">
        <f t="shared" si="4"/>
        <v>-23</v>
      </c>
      <c r="BF17" s="47">
        <v>-3</v>
      </c>
      <c r="BG17" s="47">
        <f>2-BF17</f>
        <v>5</v>
      </c>
      <c r="BH17" s="47">
        <f>-2-BG17-BF17</f>
        <v>-4</v>
      </c>
      <c r="BI17" s="709">
        <f t="shared" si="5"/>
        <v>-1</v>
      </c>
      <c r="BJ17" s="873">
        <v>1</v>
      </c>
      <c r="BK17" s="873">
        <f>-2-BJ17</f>
        <v>-3</v>
      </c>
      <c r="BL17" s="873">
        <f>3-BK17-BJ17</f>
        <v>5</v>
      </c>
      <c r="BM17" s="874">
        <f t="shared" si="6"/>
        <v>9</v>
      </c>
      <c r="BN17" s="898">
        <v>1</v>
      </c>
      <c r="BO17" s="898">
        <f>-6-BN17</f>
        <v>-7</v>
      </c>
      <c r="BP17" s="898">
        <f>-4-BO17-BN17</f>
        <v>2</v>
      </c>
      <c r="BQ17" s="909">
        <f t="shared" si="7"/>
        <v>0</v>
      </c>
      <c r="BR17" s="898">
        <v>4</v>
      </c>
      <c r="BS17" s="898">
        <f>5-BR17</f>
        <v>1</v>
      </c>
      <c r="BT17" s="898">
        <f>16-BS17-BR17</f>
        <v>11</v>
      </c>
      <c r="BU17" s="909">
        <f t="shared" si="8"/>
        <v>-15</v>
      </c>
      <c r="BV17" s="898">
        <v>9</v>
      </c>
      <c r="BW17" s="898">
        <f>12-BV17</f>
        <v>3</v>
      </c>
      <c r="BX17" s="898">
        <f>16-BW17-BV17-55+154</f>
        <v>103</v>
      </c>
      <c r="BY17" s="909">
        <f t="shared" si="9"/>
        <v>-145</v>
      </c>
      <c r="BZ17" s="898">
        <v>20</v>
      </c>
      <c r="CA17" s="898">
        <f>21-BZ17</f>
        <v>1</v>
      </c>
      <c r="CB17" s="898">
        <f>19-CA17-BZ17</f>
        <v>-2</v>
      </c>
      <c r="CC17" s="909">
        <f t="shared" si="10"/>
        <v>31</v>
      </c>
      <c r="CD17" s="917">
        <f>13+175-28</f>
        <v>160</v>
      </c>
      <c r="CE17" s="910">
        <f>15+123-CD17</f>
        <v>-22</v>
      </c>
      <c r="CF17" s="910">
        <f>123+14-CE17-CD17</f>
        <v>-1</v>
      </c>
      <c r="CG17" s="909">
        <f>62-CD17-CE17-CF17</f>
        <v>-75</v>
      </c>
      <c r="CH17" s="594">
        <v>3</v>
      </c>
      <c r="CI17" s="167">
        <f>8-CH17</f>
        <v>5</v>
      </c>
      <c r="CJ17" s="167">
        <f>4-1-CI17-CH17</f>
        <v>-5</v>
      </c>
      <c r="CK17" s="537">
        <f t="shared" si="12"/>
        <v>4</v>
      </c>
      <c r="CL17" s="1631">
        <f>3-99</f>
        <v>-96</v>
      </c>
      <c r="CM17" s="1447">
        <f>-99+10-CL17</f>
        <v>7</v>
      </c>
      <c r="CN17" s="1447">
        <f>-99+3-SUM(CL17:CM17)</f>
        <v>-7</v>
      </c>
      <c r="CO17" s="1448">
        <f t="shared" si="16"/>
        <v>35</v>
      </c>
      <c r="CP17" s="1447">
        <v>-12</v>
      </c>
      <c r="CQ17" s="1447">
        <f>-38-CP17</f>
        <v>-26</v>
      </c>
      <c r="CR17" s="1447">
        <f>-34-SUM(CP17:CQ17)</f>
        <v>4</v>
      </c>
      <c r="CS17" s="1448">
        <f t="shared" si="13"/>
        <v>17</v>
      </c>
      <c r="CT17" s="1447">
        <v>-1</v>
      </c>
      <c r="CU17" s="1447">
        <f>-2-CT17</f>
        <v>-1</v>
      </c>
      <c r="CV17" s="1447">
        <f>+-5-CU17-CT17</f>
        <v>-3</v>
      </c>
      <c r="CW17" s="1448">
        <f t="shared" si="14"/>
        <v>-8</v>
      </c>
      <c r="CX17" s="2752">
        <v>0</v>
      </c>
      <c r="CY17" s="1653">
        <v>0</v>
      </c>
      <c r="CZ17" s="1653">
        <v>0</v>
      </c>
      <c r="DA17" s="1611">
        <v>0</v>
      </c>
      <c r="DB17" s="667"/>
      <c r="DC17" s="524"/>
      <c r="DD17" s="47">
        <v>0</v>
      </c>
      <c r="DE17" s="47">
        <v>0</v>
      </c>
      <c r="DF17" s="47">
        <v>9.9000000000000005E-2</v>
      </c>
      <c r="DG17" s="47">
        <v>1.4950000000000001</v>
      </c>
      <c r="DH17" s="47">
        <v>0.71799999999999997</v>
      </c>
      <c r="DI17" s="47">
        <v>0.57399999999999995</v>
      </c>
      <c r="DJ17" s="47">
        <v>0.437</v>
      </c>
      <c r="DK17" s="47">
        <v>0.54500000000000004</v>
      </c>
      <c r="DL17" s="47">
        <v>0.71899999999999997</v>
      </c>
      <c r="DM17" s="47">
        <f>+F17+G17+H17+I17</f>
        <v>0</v>
      </c>
      <c r="DN17" s="47">
        <f>+J17+K17+L17+M17</f>
        <v>1.2669999999999999</v>
      </c>
      <c r="DO17" s="47">
        <f>+N17+O17+P17+Q17</f>
        <v>0.46799999999999997</v>
      </c>
      <c r="DP17" s="47">
        <f>+R17+S17+T17+U17</f>
        <v>0</v>
      </c>
      <c r="DQ17" s="47">
        <f>+V17+W17+X17+Y17</f>
        <v>0</v>
      </c>
      <c r="DR17" s="47">
        <v>0</v>
      </c>
      <c r="DS17" s="47">
        <f>18+36+5</f>
        <v>59</v>
      </c>
      <c r="DT17" s="47">
        <f>36+15</f>
        <v>51</v>
      </c>
      <c r="DU17" s="47">
        <f>-37+24</f>
        <v>-13</v>
      </c>
      <c r="DV17" s="47">
        <f>22-14+16</f>
        <v>24</v>
      </c>
      <c r="DW17" s="47">
        <v>23</v>
      </c>
      <c r="DX17" s="47">
        <v>1</v>
      </c>
      <c r="DY17" s="47">
        <v>-11</v>
      </c>
      <c r="DZ17" s="47">
        <v>-3</v>
      </c>
      <c r="EA17" s="873">
        <v>12</v>
      </c>
      <c r="EB17" s="873">
        <v>-4</v>
      </c>
      <c r="EC17" s="915">
        <v>1</v>
      </c>
      <c r="ED17" s="915">
        <f>25-55</f>
        <v>-30</v>
      </c>
      <c r="EE17" s="898">
        <v>60</v>
      </c>
      <c r="EF17" s="917">
        <v>1586</v>
      </c>
      <c r="EG17" s="920">
        <f>68-18</f>
        <v>50</v>
      </c>
      <c r="EH17" s="829">
        <f t="shared" si="11"/>
        <v>62</v>
      </c>
      <c r="EI17" s="829">
        <f>8-1</f>
        <v>7</v>
      </c>
      <c r="EJ17" s="829">
        <f>38-99</f>
        <v>-61</v>
      </c>
      <c r="EK17" s="56">
        <v>-17</v>
      </c>
      <c r="EL17" s="56">
        <v>-13</v>
      </c>
      <c r="EM17" s="1696">
        <f t="shared" si="15"/>
        <v>0</v>
      </c>
      <c r="EN17" s="830">
        <f>0</f>
        <v>0</v>
      </c>
      <c r="EO17" s="830">
        <f>0</f>
        <v>0</v>
      </c>
      <c r="EP17" s="830">
        <f>0</f>
        <v>0</v>
      </c>
      <c r="EQ17" s="830">
        <f>0</f>
        <v>0</v>
      </c>
      <c r="ER17" s="830">
        <f>0</f>
        <v>0</v>
      </c>
      <c r="ES17" s="830">
        <f>0</f>
        <v>0</v>
      </c>
      <c r="ET17" s="830">
        <f>0</f>
        <v>0</v>
      </c>
      <c r="EU17" s="828">
        <f>0</f>
        <v>0</v>
      </c>
      <c r="EV17" s="413"/>
      <c r="EW17"/>
      <c r="EX17"/>
      <c r="EY17"/>
      <c r="EZ17"/>
      <c r="FA17"/>
      <c r="FB17"/>
      <c r="FG17" s="830"/>
      <c r="FH17" s="830"/>
      <c r="FI17" s="830"/>
      <c r="FJ17" s="830"/>
      <c r="FK17" s="830"/>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row>
    <row r="18" spans="1:260" s="4" customFormat="1" x14ac:dyDescent="0.2">
      <c r="A18" s="179"/>
      <c r="B18" s="47"/>
      <c r="C18" s="47"/>
      <c r="D18" s="47"/>
      <c r="E18" s="709"/>
      <c r="F18" s="47"/>
      <c r="G18" s="47"/>
      <c r="H18" s="47"/>
      <c r="I18" s="709"/>
      <c r="J18" s="47"/>
      <c r="K18" s="47"/>
      <c r="L18" s="47"/>
      <c r="M18" s="709"/>
      <c r="N18" s="47"/>
      <c r="O18" s="47"/>
      <c r="P18" s="47"/>
      <c r="Q18" s="709"/>
      <c r="R18" s="47"/>
      <c r="S18" s="47"/>
      <c r="T18" s="47"/>
      <c r="U18" s="709"/>
      <c r="V18" s="47"/>
      <c r="W18" s="47"/>
      <c r="X18" s="47"/>
      <c r="Y18" s="709"/>
      <c r="Z18" s="47"/>
      <c r="AA18" s="47"/>
      <c r="AB18" s="47"/>
      <c r="AC18" s="709"/>
      <c r="AD18" s="47"/>
      <c r="AE18" s="47"/>
      <c r="AF18" s="47"/>
      <c r="AG18" s="709"/>
      <c r="AH18" s="47"/>
      <c r="AI18" s="47"/>
      <c r="AJ18" s="47"/>
      <c r="AK18" s="709"/>
      <c r="AL18" s="47"/>
      <c r="AM18" s="47"/>
      <c r="AN18" s="47"/>
      <c r="AO18" s="709"/>
      <c r="AP18" s="47"/>
      <c r="AQ18" s="47"/>
      <c r="AR18" s="47"/>
      <c r="AS18" s="709"/>
      <c r="AT18" s="47"/>
      <c r="AU18" s="47"/>
      <c r="AV18" s="47"/>
      <c r="AW18" s="709"/>
      <c r="AX18" s="47"/>
      <c r="AY18" s="47"/>
      <c r="AZ18" s="47"/>
      <c r="BA18" s="709"/>
      <c r="BB18" s="47"/>
      <c r="BC18" s="47"/>
      <c r="BD18" s="47"/>
      <c r="BE18" s="709"/>
      <c r="BF18" s="47"/>
      <c r="BG18" s="47"/>
      <c r="BH18" s="47"/>
      <c r="BI18" s="709"/>
      <c r="BJ18" s="873"/>
      <c r="BK18" s="873"/>
      <c r="BL18" s="873"/>
      <c r="BM18" s="874"/>
      <c r="BN18" s="873"/>
      <c r="BO18" s="873"/>
      <c r="BP18" s="873"/>
      <c r="BQ18" s="874"/>
      <c r="BR18" s="873"/>
      <c r="BS18" s="873"/>
      <c r="BT18" s="873"/>
      <c r="BU18" s="874"/>
      <c r="BV18" s="873"/>
      <c r="BW18" s="873"/>
      <c r="BX18" s="873"/>
      <c r="BY18" s="874"/>
      <c r="BZ18" s="873"/>
      <c r="CA18" s="873"/>
      <c r="CB18" s="873"/>
      <c r="CC18" s="874"/>
      <c r="CD18" s="1062"/>
      <c r="CE18" s="947"/>
      <c r="CF18" s="947"/>
      <c r="CG18" s="874"/>
      <c r="CH18" s="732"/>
      <c r="CI18" s="1095"/>
      <c r="CJ18" s="1095"/>
      <c r="CK18" s="655"/>
      <c r="CL18" s="1628"/>
      <c r="CM18" s="1629"/>
      <c r="CN18" s="1629"/>
      <c r="CO18" s="1630"/>
      <c r="CP18" s="1629"/>
      <c r="CQ18" s="1629"/>
      <c r="CR18" s="1629"/>
      <c r="CS18" s="822"/>
      <c r="CT18" s="841"/>
      <c r="CU18" s="1629"/>
      <c r="CV18" s="1629"/>
      <c r="CW18" s="822"/>
      <c r="CX18" s="2803"/>
      <c r="CY18" s="841"/>
      <c r="CZ18" s="841"/>
      <c r="DA18" s="822"/>
      <c r="DB18" s="732"/>
      <c r="DC18" s="655"/>
      <c r="DD18" s="47"/>
      <c r="DE18" s="47"/>
      <c r="DF18" s="47"/>
      <c r="DG18" s="47"/>
      <c r="DH18" s="47"/>
      <c r="DI18" s="47"/>
      <c r="DJ18" s="47"/>
      <c r="DK18" s="47"/>
      <c r="DL18" s="47"/>
      <c r="DM18" s="47"/>
      <c r="DN18" s="47"/>
      <c r="DO18" s="47"/>
      <c r="DP18" s="47"/>
      <c r="DQ18" s="47"/>
      <c r="DR18" s="47"/>
      <c r="DS18" s="47"/>
      <c r="DT18" s="47"/>
      <c r="DU18" s="47"/>
      <c r="DV18" s="47"/>
      <c r="DW18" s="47"/>
      <c r="DX18" s="47"/>
      <c r="DY18" s="47"/>
      <c r="DZ18" s="47"/>
      <c r="EA18" s="873"/>
      <c r="EB18" s="873"/>
      <c r="EC18" s="873"/>
      <c r="ED18" s="873"/>
      <c r="EE18" s="47"/>
      <c r="EF18" s="1126"/>
      <c r="EG18" s="947"/>
      <c r="EH18" s="841"/>
      <c r="EI18" s="841"/>
      <c r="EJ18" s="841"/>
      <c r="EK18" s="821"/>
      <c r="EL18" s="821"/>
      <c r="EM18" s="1697"/>
      <c r="EN18" s="838"/>
      <c r="EO18" s="838"/>
      <c r="EP18" s="838"/>
      <c r="EQ18" s="838"/>
      <c r="ER18" s="838"/>
      <c r="ES18" s="838"/>
      <c r="ET18" s="838"/>
      <c r="EU18" s="820"/>
      <c r="EV18" s="413"/>
      <c r="EW18"/>
      <c r="EX18"/>
      <c r="EY18"/>
      <c r="EZ18"/>
      <c r="FA18"/>
      <c r="FB18"/>
      <c r="FG18" s="841"/>
      <c r="FH18" s="841"/>
      <c r="FI18" s="841"/>
      <c r="FJ18" s="841"/>
      <c r="FK18" s="841"/>
      <c r="FL18"/>
      <c r="FM18"/>
      <c r="FN18"/>
      <c r="FO18"/>
      <c r="FP18"/>
      <c r="FQ18"/>
      <c r="FR18"/>
      <c r="FS18"/>
      <c r="FT18"/>
      <c r="FU18"/>
      <c r="FV18"/>
      <c r="FW18"/>
      <c r="FX18"/>
      <c r="FY18"/>
      <c r="FZ18"/>
      <c r="GA18"/>
      <c r="GB18"/>
      <c r="GC18"/>
      <c r="GD18"/>
      <c r="GE18"/>
      <c r="GF18"/>
      <c r="GG18"/>
      <c r="GH18"/>
      <c r="GI18"/>
      <c r="GJ18"/>
      <c r="GK18"/>
      <c r="GL18"/>
      <c r="GM18"/>
      <c r="GN18"/>
      <c r="GO18"/>
      <c r="GP18"/>
      <c r="GQ18"/>
      <c r="GR18"/>
      <c r="GS18"/>
      <c r="GT18"/>
      <c r="GU18"/>
      <c r="GV18"/>
      <c r="GW18"/>
      <c r="GX18"/>
      <c r="GY18"/>
      <c r="GZ18"/>
      <c r="HA18"/>
      <c r="HB18"/>
      <c r="HC18"/>
      <c r="HD18"/>
      <c r="HE18"/>
      <c r="HF18"/>
      <c r="HG18"/>
      <c r="HH18"/>
      <c r="HI18"/>
      <c r="HJ18"/>
      <c r="HK18"/>
      <c r="HL18"/>
      <c r="HM18"/>
      <c r="HN18"/>
      <c r="HO18"/>
      <c r="HP18"/>
      <c r="HQ18"/>
      <c r="HR18"/>
      <c r="HS18"/>
      <c r="HT18"/>
      <c r="HU18"/>
      <c r="HV18"/>
      <c r="HW18"/>
      <c r="HX18"/>
      <c r="HY18"/>
      <c r="HZ18"/>
      <c r="IA18"/>
      <c r="IB18"/>
      <c r="IC18"/>
      <c r="ID18"/>
      <c r="IE18"/>
      <c r="IF18"/>
      <c r="IG18"/>
      <c r="IH18"/>
      <c r="II18"/>
      <c r="IJ18"/>
      <c r="IK18"/>
      <c r="IL18"/>
      <c r="IM18"/>
      <c r="IN18"/>
      <c r="IO18"/>
      <c r="IP18"/>
      <c r="IQ18"/>
      <c r="IR18"/>
      <c r="IS18"/>
      <c r="IT18"/>
      <c r="IU18"/>
      <c r="IV18"/>
      <c r="IW18"/>
      <c r="IX18"/>
      <c r="IY18"/>
      <c r="IZ18"/>
    </row>
    <row r="19" spans="1:260" s="4" customFormat="1" x14ac:dyDescent="0.2">
      <c r="A19" s="325" t="s">
        <v>95</v>
      </c>
      <c r="B19" s="47"/>
      <c r="C19" s="47"/>
      <c r="D19" s="47"/>
      <c r="E19" s="709"/>
      <c r="F19" s="47"/>
      <c r="G19" s="47"/>
      <c r="H19" s="47"/>
      <c r="I19" s="709"/>
      <c r="J19" s="47"/>
      <c r="K19" s="47"/>
      <c r="L19" s="47"/>
      <c r="M19" s="709"/>
      <c r="N19" s="47"/>
      <c r="O19" s="47"/>
      <c r="P19" s="47"/>
      <c r="Q19" s="709"/>
      <c r="R19" s="47"/>
      <c r="S19" s="47"/>
      <c r="T19" s="47"/>
      <c r="U19" s="709"/>
      <c r="V19" s="47"/>
      <c r="W19" s="47"/>
      <c r="X19" s="47"/>
      <c r="Y19" s="709"/>
      <c r="Z19" s="47"/>
      <c r="AA19" s="47"/>
      <c r="AB19" s="47"/>
      <c r="AC19" s="709"/>
      <c r="AD19" s="47"/>
      <c r="AE19" s="47"/>
      <c r="AF19" s="47"/>
      <c r="AG19" s="709"/>
      <c r="AH19" s="47"/>
      <c r="AI19" s="47"/>
      <c r="AJ19" s="47"/>
      <c r="AK19" s="709"/>
      <c r="AL19" s="47"/>
      <c r="AM19" s="47"/>
      <c r="AN19" s="47"/>
      <c r="AO19" s="709"/>
      <c r="AP19" s="47"/>
      <c r="AQ19" s="47"/>
      <c r="AR19" s="47"/>
      <c r="AS19" s="709"/>
      <c r="AT19" s="47"/>
      <c r="AU19" s="47"/>
      <c r="AV19" s="47"/>
      <c r="AW19" s="709"/>
      <c r="AX19" s="47"/>
      <c r="AY19" s="47"/>
      <c r="AZ19" s="47"/>
      <c r="BA19" s="709"/>
      <c r="BB19" s="47"/>
      <c r="BC19" s="47"/>
      <c r="BD19" s="47"/>
      <c r="BE19" s="709"/>
      <c r="BF19" s="47"/>
      <c r="BG19" s="47"/>
      <c r="BH19" s="47"/>
      <c r="BI19" s="709"/>
      <c r="BJ19" s="873"/>
      <c r="BK19" s="873"/>
      <c r="BL19" s="873"/>
      <c r="BM19" s="874"/>
      <c r="BN19" s="873"/>
      <c r="BO19" s="873"/>
      <c r="BP19" s="873"/>
      <c r="BQ19" s="874"/>
      <c r="BR19" s="873"/>
      <c r="BS19" s="873"/>
      <c r="BT19" s="873"/>
      <c r="BU19" s="874"/>
      <c r="BV19" s="873"/>
      <c r="BW19" s="873"/>
      <c r="BX19" s="873"/>
      <c r="BY19" s="874"/>
      <c r="BZ19" s="873"/>
      <c r="CA19" s="873"/>
      <c r="CB19" s="873"/>
      <c r="CC19" s="874"/>
      <c r="CD19" s="1062"/>
      <c r="CE19" s="947"/>
      <c r="CF19" s="947"/>
      <c r="CG19" s="874"/>
      <c r="CH19" s="732"/>
      <c r="CI19" s="1095"/>
      <c r="CJ19" s="1095"/>
      <c r="CK19" s="655"/>
      <c r="CL19" s="1628"/>
      <c r="CM19" s="1629"/>
      <c r="CN19" s="1629"/>
      <c r="CO19" s="1630"/>
      <c r="CP19" s="1629"/>
      <c r="CQ19" s="1629"/>
      <c r="CR19" s="1629"/>
      <c r="CS19" s="822"/>
      <c r="CT19" s="841"/>
      <c r="CU19" s="1629"/>
      <c r="CV19" s="1629"/>
      <c r="CW19" s="822"/>
      <c r="CX19" s="2803"/>
      <c r="CY19" s="841"/>
      <c r="CZ19" s="841"/>
      <c r="DA19" s="822"/>
      <c r="DB19" s="732"/>
      <c r="DC19" s="655"/>
      <c r="DD19" s="47"/>
      <c r="DE19" s="47"/>
      <c r="DF19" s="47"/>
      <c r="DG19" s="47"/>
      <c r="DH19" s="47"/>
      <c r="DI19" s="47"/>
      <c r="DJ19" s="47"/>
      <c r="DK19" s="47"/>
      <c r="DL19" s="47"/>
      <c r="DM19" s="47"/>
      <c r="DN19" s="47"/>
      <c r="DO19" s="47"/>
      <c r="DP19" s="47"/>
      <c r="DQ19" s="47"/>
      <c r="DR19" s="47"/>
      <c r="DS19" s="47"/>
      <c r="DT19" s="47"/>
      <c r="DU19" s="47"/>
      <c r="DV19" s="47"/>
      <c r="DW19" s="47"/>
      <c r="DX19" s="47"/>
      <c r="DY19" s="47"/>
      <c r="DZ19" s="47"/>
      <c r="EA19" s="873"/>
      <c r="EB19" s="873"/>
      <c r="EC19" s="873"/>
      <c r="ED19" s="873"/>
      <c r="EE19" s="47"/>
      <c r="EF19" s="1126"/>
      <c r="EG19" s="947"/>
      <c r="EH19" s="841"/>
      <c r="EI19" s="841"/>
      <c r="EJ19" s="841"/>
      <c r="EK19" s="821"/>
      <c r="EL19" s="821"/>
      <c r="EM19" s="1697"/>
      <c r="EN19" s="838"/>
      <c r="EO19" s="838"/>
      <c r="EP19" s="838"/>
      <c r="EQ19" s="838"/>
      <c r="ER19" s="838"/>
      <c r="ES19" s="838"/>
      <c r="ET19" s="838"/>
      <c r="EU19" s="820"/>
      <c r="EV19" s="413"/>
      <c r="EW19"/>
      <c r="EX19"/>
      <c r="EY19"/>
      <c r="EZ19"/>
      <c r="FA19"/>
      <c r="FB19"/>
      <c r="FG19" s="841"/>
      <c r="FH19" s="841"/>
      <c r="FI19" s="841"/>
      <c r="FJ19" s="841"/>
      <c r="FK19" s="841"/>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row>
    <row r="20" spans="1:260" s="4" customFormat="1" x14ac:dyDescent="0.2">
      <c r="A20" s="179" t="s">
        <v>515</v>
      </c>
      <c r="B20" s="47">
        <v>-2.2040000000000002</v>
      </c>
      <c r="C20" s="47">
        <v>2.5660000000000003</v>
      </c>
      <c r="D20" s="47">
        <v>-48.59</v>
      </c>
      <c r="E20" s="709">
        <v>33.252000000000002</v>
      </c>
      <c r="F20" s="47">
        <v>-14.387</v>
      </c>
      <c r="G20" s="47">
        <f>-22.879-F20</f>
        <v>-8.4920000000000009</v>
      </c>
      <c r="H20" s="47">
        <v>-66.321999999999989</v>
      </c>
      <c r="I20" s="709">
        <v>57.704999999999998</v>
      </c>
      <c r="J20" s="47">
        <v>-15.565</v>
      </c>
      <c r="K20" s="47">
        <v>-16.469000000000001</v>
      </c>
      <c r="L20" s="47">
        <v>-75.445999999999998</v>
      </c>
      <c r="M20" s="709">
        <v>70.481999999999999</v>
      </c>
      <c r="N20" s="47">
        <v>16.706</v>
      </c>
      <c r="O20" s="47">
        <v>-21.137999999999998</v>
      </c>
      <c r="P20" s="47">
        <v>-91.236000000000004</v>
      </c>
      <c r="Q20" s="709">
        <v>137.52500000000001</v>
      </c>
      <c r="R20" s="47">
        <v>-4.8419999999999996</v>
      </c>
      <c r="S20" s="47">
        <f>-34.773-R20</f>
        <v>-29.931000000000004</v>
      </c>
      <c r="T20" s="47">
        <v>-82.838000000000008</v>
      </c>
      <c r="U20" s="709">
        <v>101.49</v>
      </c>
      <c r="V20" s="47">
        <v>20.138999999999999</v>
      </c>
      <c r="W20" s="47">
        <v>-65.150999999999996</v>
      </c>
      <c r="X20" s="47">
        <v>-137.75399999999999</v>
      </c>
      <c r="Y20" s="709">
        <v>146.06700000000001</v>
      </c>
      <c r="Z20" s="47">
        <v>-13.298</v>
      </c>
      <c r="AA20" s="47">
        <f>-46.091-Z20</f>
        <v>-32.792999999999999</v>
      </c>
      <c r="AB20" s="47">
        <f>-251.06-SUM(Z20:AA20)</f>
        <v>-204.96899999999999</v>
      </c>
      <c r="AC20" s="709">
        <f t="shared" ref="AC20:AC26" si="19">DR20-SUM(Z20:AB20)</f>
        <v>194.16</v>
      </c>
      <c r="AD20" s="47">
        <v>-13</v>
      </c>
      <c r="AE20" s="47">
        <f>-12-AD20</f>
        <v>1</v>
      </c>
      <c r="AF20" s="47">
        <f>-238-SUM(AD20:AE20)</f>
        <v>-226</v>
      </c>
      <c r="AG20" s="709">
        <f t="shared" ref="AG20:AG26" si="20">DS20-SUM(AD20:AF20)</f>
        <v>229</v>
      </c>
      <c r="AH20" s="47">
        <v>16</v>
      </c>
      <c r="AI20" s="47">
        <f>-27-AH20</f>
        <v>-43</v>
      </c>
      <c r="AJ20" s="47">
        <f>-158-SUM(AH20:AI20)</f>
        <v>-131</v>
      </c>
      <c r="AK20" s="709">
        <f t="shared" ref="AK20:AK26" si="21">DT20-SUM(AH20:AJ20)</f>
        <v>159</v>
      </c>
      <c r="AL20" s="47">
        <v>6</v>
      </c>
      <c r="AM20" s="47">
        <v>-15</v>
      </c>
      <c r="AN20" s="47">
        <v>-339</v>
      </c>
      <c r="AO20" s="709">
        <f t="shared" ref="AO20:AO26" si="22">DU20-SUM(AL20:AN20)</f>
        <v>259</v>
      </c>
      <c r="AP20" s="47">
        <v>12</v>
      </c>
      <c r="AQ20" s="47">
        <f>12-AP20</f>
        <v>0</v>
      </c>
      <c r="AR20" s="47">
        <f>-362-AQ20-AP20</f>
        <v>-374</v>
      </c>
      <c r="AS20" s="709">
        <f t="shared" ref="AS20:AS26" si="23">DV20-SUM(AP20:AR20)</f>
        <v>335</v>
      </c>
      <c r="AT20" s="47">
        <v>-28</v>
      </c>
      <c r="AU20" s="47">
        <f>15-AT20</f>
        <v>43</v>
      </c>
      <c r="AV20" s="47">
        <f>-396-AT20-AU20</f>
        <v>-411</v>
      </c>
      <c r="AW20" s="709">
        <f t="shared" ref="AW20:AW26" si="24">DW20-SUM(AT20:AV20)</f>
        <v>366</v>
      </c>
      <c r="AX20" s="47">
        <v>25</v>
      </c>
      <c r="AY20" s="47">
        <f>-13-AX20</f>
        <v>-38</v>
      </c>
      <c r="AZ20" s="47">
        <f>-505-AY20-AX20</f>
        <v>-492</v>
      </c>
      <c r="BA20" s="709">
        <f t="shared" ref="BA20:BA26" si="25">DX20-SUM(AX20:AZ20)</f>
        <v>462</v>
      </c>
      <c r="BB20" s="47">
        <v>34</v>
      </c>
      <c r="BC20" s="47">
        <f>-15-BB20</f>
        <v>-49</v>
      </c>
      <c r="BD20" s="47">
        <f>-641-SUM(BB20:BC20)</f>
        <v>-626</v>
      </c>
      <c r="BE20" s="709">
        <f t="shared" ref="BE20:BE26" si="26">DY20-SUM(BB20:BD20)</f>
        <v>571</v>
      </c>
      <c r="BF20" s="47">
        <v>81</v>
      </c>
      <c r="BG20" s="47">
        <f>4-BF20</f>
        <v>-77</v>
      </c>
      <c r="BH20" s="47">
        <f>-177-BF20-BG20</f>
        <v>-181</v>
      </c>
      <c r="BI20" s="709">
        <f>DZ20-BF20-BG20-BH20</f>
        <v>189</v>
      </c>
      <c r="BJ20" s="873">
        <v>27</v>
      </c>
      <c r="BK20" s="873">
        <f>-57-BJ20</f>
        <v>-84</v>
      </c>
      <c r="BL20" s="873">
        <f>-1032-BJ20-BK20</f>
        <v>-975</v>
      </c>
      <c r="BM20" s="874">
        <f>EA20-BJ20-BK20-BL20</f>
        <v>613</v>
      </c>
      <c r="BN20" s="873">
        <v>421</v>
      </c>
      <c r="BO20" s="873">
        <f>165-BN20</f>
        <v>-256</v>
      </c>
      <c r="BP20" s="873">
        <f>-691-BN20-BO20</f>
        <v>-856</v>
      </c>
      <c r="BQ20" s="874">
        <f>EB20-BN20-BO20-BP20</f>
        <v>628</v>
      </c>
      <c r="BR20" s="873">
        <v>388</v>
      </c>
      <c r="BS20" s="873">
        <f>197-BR20</f>
        <v>-191</v>
      </c>
      <c r="BT20" s="873">
        <f>-805-BR20-BS20</f>
        <v>-1002</v>
      </c>
      <c r="BU20" s="874">
        <f>EC20-BR20-BS20-BT20</f>
        <v>434</v>
      </c>
      <c r="BV20" s="873">
        <v>651</v>
      </c>
      <c r="BW20" s="873">
        <f>464-BV20</f>
        <v>-187</v>
      </c>
      <c r="BX20" s="873">
        <f>-761-BW20-BV20</f>
        <v>-1225</v>
      </c>
      <c r="BY20" s="874">
        <f>ED20-BV20-BW20-BX20</f>
        <v>802</v>
      </c>
      <c r="BZ20" s="873">
        <v>623</v>
      </c>
      <c r="CA20" s="873">
        <f>300-BZ20</f>
        <v>-323</v>
      </c>
      <c r="CB20" s="873">
        <f>216-CA20-BZ20</f>
        <v>-84</v>
      </c>
      <c r="CC20" s="874">
        <f>EG20-BZ20-CA20-CB20</f>
        <v>-433</v>
      </c>
      <c r="CD20" s="1062">
        <v>473</v>
      </c>
      <c r="CE20" s="947">
        <f>145-CD20</f>
        <v>-328</v>
      </c>
      <c r="CF20" s="947">
        <f>208-CE20-CD20</f>
        <v>63</v>
      </c>
      <c r="CG20" s="874">
        <f>7-CD20-CE20-CF20</f>
        <v>-201</v>
      </c>
      <c r="CH20" s="732">
        <v>436</v>
      </c>
      <c r="CI20" s="1095">
        <f>301-CH20</f>
        <v>-135</v>
      </c>
      <c r="CJ20" s="1095">
        <f>237-CI20-CH20</f>
        <v>-64</v>
      </c>
      <c r="CK20" s="655">
        <f t="shared" ref="CK20:CK26" si="27">+EI20-SUM(CH20:CJ20)</f>
        <v>-256</v>
      </c>
      <c r="CL20" s="1628">
        <v>302</v>
      </c>
      <c r="CM20" s="1629">
        <f>268-CL20</f>
        <v>-34</v>
      </c>
      <c r="CN20" s="1629">
        <f>229-SUM(CL20:CM20)</f>
        <v>-39</v>
      </c>
      <c r="CO20" s="1630">
        <f t="shared" ref="CO20:CO26" si="28">+EJ20-SUM(CL20:CN20)</f>
        <v>-106</v>
      </c>
      <c r="CP20" s="1629">
        <v>73</v>
      </c>
      <c r="CQ20" s="1629">
        <f>240-CP20</f>
        <v>167</v>
      </c>
      <c r="CR20" s="1629">
        <f>80-SUM(CP20:CQ20)</f>
        <v>-160</v>
      </c>
      <c r="CS20" s="1630">
        <f t="shared" ref="CS20:CS26" si="29">+EK20-SUM(CP20:CR20)</f>
        <v>-273</v>
      </c>
      <c r="CT20" s="1629">
        <v>333</v>
      </c>
      <c r="CU20" s="1629">
        <f>401-CT20</f>
        <v>68</v>
      </c>
      <c r="CV20" s="1629">
        <f>413-CU20-CT20</f>
        <v>12</v>
      </c>
      <c r="CW20" s="1630">
        <f t="shared" ref="CW20:CW26" si="30">+EL20-SUM(CT20:CV20)</f>
        <v>-98</v>
      </c>
      <c r="CX20" s="2803">
        <f>'Balance Sheet'!CW9-'Balance Sheet'!CX9</f>
        <v>-34.871218535346543</v>
      </c>
      <c r="CY20" s="841">
        <f>'Balance Sheet'!CX9-'Balance Sheet'!CY9</f>
        <v>58.685433215772036</v>
      </c>
      <c r="CZ20" s="841">
        <f>'Balance Sheet'!CY9-'Balance Sheet'!CZ9</f>
        <v>1.3522280216479885</v>
      </c>
      <c r="DA20" s="822">
        <f>'Balance Sheet'!CZ9-'Balance Sheet'!DA9</f>
        <v>-29.248044827187414</v>
      </c>
      <c r="DB20" s="732"/>
      <c r="DC20" s="655"/>
      <c r="DD20" s="988" t="s">
        <v>599</v>
      </c>
      <c r="DE20" s="988" t="s">
        <v>599</v>
      </c>
      <c r="DF20" s="988" t="s">
        <v>599</v>
      </c>
      <c r="DG20" s="988" t="s">
        <v>599</v>
      </c>
      <c r="DH20" s="988" t="s">
        <v>599</v>
      </c>
      <c r="DI20" s="47">
        <v>-1.3979999999999999</v>
      </c>
      <c r="DJ20" s="47">
        <v>-7.2649999999999997</v>
      </c>
      <c r="DK20" s="47">
        <f>'Balance Sheet'!DJ9-'Balance Sheet'!DK9</f>
        <v>-21.987000000000002</v>
      </c>
      <c r="DL20" s="47">
        <f t="shared" ref="DL20:DL26" si="31">+E20+D20+C20+B20</f>
        <v>-14.976000000000001</v>
      </c>
      <c r="DM20" s="47">
        <f t="shared" ref="DM20:DM26" si="32">+F20+G20+H20+I20</f>
        <v>-31.495999999999995</v>
      </c>
      <c r="DN20" s="47">
        <f t="shared" ref="DN20:DN26" si="33">+J20+K20+L20+M20</f>
        <v>-36.99799999999999</v>
      </c>
      <c r="DO20" s="47">
        <f t="shared" ref="DO20:DO26" si="34">+N20+O20+P20+Q20</f>
        <v>41.856999999999999</v>
      </c>
      <c r="DP20" s="47">
        <f t="shared" ref="DP20:DP26" si="35">+R20+S20+T20+U20</f>
        <v>-16.121000000000024</v>
      </c>
      <c r="DQ20" s="47">
        <f t="shared" ref="DQ20:DQ26" si="36">+V20+W20+X20+Y20</f>
        <v>-36.698999999999984</v>
      </c>
      <c r="DR20" s="47">
        <v>-56.9</v>
      </c>
      <c r="DS20" s="47">
        <v>-9</v>
      </c>
      <c r="DT20" s="47">
        <v>1</v>
      </c>
      <c r="DU20" s="47">
        <v>-89</v>
      </c>
      <c r="DV20" s="47">
        <v>-27</v>
      </c>
      <c r="DW20" s="47">
        <v>-30</v>
      </c>
      <c r="DX20" s="47">
        <v>-43</v>
      </c>
      <c r="DY20" s="47">
        <v>-70</v>
      </c>
      <c r="DZ20" s="47">
        <v>12</v>
      </c>
      <c r="EA20" s="873">
        <v>-419</v>
      </c>
      <c r="EB20" s="873">
        <v>-63</v>
      </c>
      <c r="EC20" s="873">
        <v>-371</v>
      </c>
      <c r="ED20" s="915">
        <v>41</v>
      </c>
      <c r="EE20" s="898">
        <f>-327</f>
        <v>-327</v>
      </c>
      <c r="EF20" s="917">
        <v>-256</v>
      </c>
      <c r="EG20" s="920">
        <v>-217</v>
      </c>
      <c r="EH20" s="841">
        <f t="shared" ref="EH20:EH26" si="37">SUM(CD20:CG20)</f>
        <v>7</v>
      </c>
      <c r="EI20" s="841">
        <v>-19</v>
      </c>
      <c r="EJ20" s="841">
        <v>123</v>
      </c>
      <c r="EK20" s="821">
        <v>-193</v>
      </c>
      <c r="EL20" s="821">
        <v>315</v>
      </c>
      <c r="EM20" s="1697">
        <f>SUM(CX20:DA20)</f>
        <v>-4.0816021251139318</v>
      </c>
      <c r="EN20" s="838">
        <f>'Balance Sheet'!EM9-'Balance Sheet'!EN9</f>
        <v>-10.61414696168822</v>
      </c>
      <c r="EO20" s="838">
        <f>'Balance Sheet'!EN9-'Balance Sheet'!EO9</f>
        <v>-10.566359276124331</v>
      </c>
      <c r="EP20" s="838">
        <f>'Balance Sheet'!EO9-'Balance Sheet'!EP9</f>
        <v>-9.3572795147717898</v>
      </c>
      <c r="EQ20" s="838">
        <f>'Balance Sheet'!EP9-'Balance Sheet'!EQ9</f>
        <v>-13.753332287972398</v>
      </c>
      <c r="ER20" s="838">
        <f>'Balance Sheet'!EQ9-'Balance Sheet'!ER9</f>
        <v>-14.294376776666923</v>
      </c>
      <c r="ES20" s="838">
        <f>'Balance Sheet'!ER9-'Balance Sheet'!ES9</f>
        <v>-14.862225494021004</v>
      </c>
      <c r="ET20" s="838">
        <f>'Balance Sheet'!ES9-'Balance Sheet'!ET9</f>
        <v>-15.458216695001511</v>
      </c>
      <c r="EU20" s="820">
        <f>'Balance Sheet'!ET9-'Balance Sheet'!EU9</f>
        <v>-16.083755559608335</v>
      </c>
      <c r="EV20" s="413"/>
      <c r="EW20"/>
      <c r="EX20"/>
      <c r="EY20"/>
      <c r="EZ20"/>
      <c r="FA20"/>
      <c r="FB20"/>
      <c r="FG20" s="841"/>
      <c r="FH20" s="841"/>
      <c r="FI20" s="841"/>
      <c r="FJ20" s="841"/>
      <c r="FK20" s="841"/>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row>
    <row r="21" spans="1:260" s="4" customFormat="1" x14ac:dyDescent="0.2">
      <c r="A21" s="179" t="s">
        <v>516</v>
      </c>
      <c r="B21" s="47">
        <v>-78.462000000000003</v>
      </c>
      <c r="C21" s="47">
        <v>-140.51</v>
      </c>
      <c r="D21" s="47">
        <v>-354.91200000000003</v>
      </c>
      <c r="E21" s="709">
        <v>185.92500000000001</v>
      </c>
      <c r="F21" s="47">
        <v>-66.567999999999998</v>
      </c>
      <c r="G21" s="47">
        <f>-225.55-F21</f>
        <v>-158.98200000000003</v>
      </c>
      <c r="H21" s="47">
        <v>-627.58000000000004</v>
      </c>
      <c r="I21" s="709">
        <v>583.40300000000002</v>
      </c>
      <c r="J21" s="47">
        <v>-94.713999999999999</v>
      </c>
      <c r="K21" s="47">
        <v>-266.66899999999998</v>
      </c>
      <c r="L21" s="47">
        <v>-704.90699999999993</v>
      </c>
      <c r="M21" s="709">
        <v>772.82500000000005</v>
      </c>
      <c r="N21" s="47">
        <v>-167.81700000000001</v>
      </c>
      <c r="O21" s="47">
        <v>-78.423000000000002</v>
      </c>
      <c r="P21" s="47">
        <v>-412.4</v>
      </c>
      <c r="Q21" s="709">
        <v>727.72299999999996</v>
      </c>
      <c r="R21" s="47">
        <v>22.042000000000002</v>
      </c>
      <c r="S21" s="47">
        <f>-56.302-R21</f>
        <v>-78.343999999999994</v>
      </c>
      <c r="T21" s="47">
        <v>-491.36</v>
      </c>
      <c r="U21" s="709">
        <v>618.93299999999999</v>
      </c>
      <c r="V21" s="47">
        <v>-40.356000000000002</v>
      </c>
      <c r="W21" s="47">
        <v>-66.822000000000003</v>
      </c>
      <c r="X21" s="47">
        <v>-516.96199999999999</v>
      </c>
      <c r="Y21" s="709">
        <v>638.56200000000001</v>
      </c>
      <c r="Z21" s="47">
        <v>-65.03</v>
      </c>
      <c r="AA21" s="47">
        <f>-241.28-Z21</f>
        <v>-176.25</v>
      </c>
      <c r="AB21" s="47">
        <f>-1036.177-SUM(Z21:AA21)</f>
        <v>-794.89699999999993</v>
      </c>
      <c r="AC21" s="709">
        <f t="shared" si="19"/>
        <v>898.86199999999985</v>
      </c>
      <c r="AD21" s="47">
        <v>-131</v>
      </c>
      <c r="AE21" s="47">
        <f>-273-AD21</f>
        <v>-142</v>
      </c>
      <c r="AF21" s="47">
        <f>-1144-SUM(AD21:AE21)</f>
        <v>-871</v>
      </c>
      <c r="AG21" s="709">
        <f t="shared" si="20"/>
        <v>959</v>
      </c>
      <c r="AH21" s="47">
        <v>-214</v>
      </c>
      <c r="AI21" s="47">
        <f>-325-AH21</f>
        <v>-111</v>
      </c>
      <c r="AJ21" s="47">
        <f>-1517-SUM(AH21:AI21)</f>
        <v>-1192</v>
      </c>
      <c r="AK21" s="709">
        <f t="shared" si="21"/>
        <v>1193</v>
      </c>
      <c r="AL21" s="47">
        <v>-370</v>
      </c>
      <c r="AM21" s="47">
        <v>16</v>
      </c>
      <c r="AN21" s="47">
        <v>-1475</v>
      </c>
      <c r="AO21" s="709">
        <f t="shared" si="22"/>
        <v>1604</v>
      </c>
      <c r="AP21" s="47">
        <v>-274</v>
      </c>
      <c r="AQ21" s="47">
        <f>-549-AP21</f>
        <v>-275</v>
      </c>
      <c r="AR21" s="47">
        <f>2308-AQ21-AP21</f>
        <v>2857</v>
      </c>
      <c r="AS21" s="709">
        <f t="shared" si="23"/>
        <v>-2815</v>
      </c>
      <c r="AT21" s="47">
        <v>-332</v>
      </c>
      <c r="AU21" s="47">
        <f>-392-AT21</f>
        <v>-60</v>
      </c>
      <c r="AV21" s="47">
        <f>-2171-AT21-AU21</f>
        <v>-1779</v>
      </c>
      <c r="AW21" s="709">
        <f t="shared" si="24"/>
        <v>1931</v>
      </c>
      <c r="AX21" s="47">
        <v>-420</v>
      </c>
      <c r="AY21" s="47">
        <f>-385-AX21</f>
        <v>35</v>
      </c>
      <c r="AZ21" s="47">
        <f>-2443-AY21-AX21</f>
        <v>-2058</v>
      </c>
      <c r="BA21" s="709">
        <f t="shared" si="25"/>
        <v>1986</v>
      </c>
      <c r="BB21" s="47">
        <v>-343</v>
      </c>
      <c r="BC21" s="47">
        <f>-548-BB21</f>
        <v>-205</v>
      </c>
      <c r="BD21" s="47">
        <f>-2597-SUM(BB21:BC21)</f>
        <v>-2049</v>
      </c>
      <c r="BE21" s="709">
        <f t="shared" si="26"/>
        <v>2047</v>
      </c>
      <c r="BF21" s="47">
        <v>-210</v>
      </c>
      <c r="BG21" s="47">
        <f>-555-BF21</f>
        <v>-345</v>
      </c>
      <c r="BH21" s="47">
        <f>-3295-BG21-BF21</f>
        <v>-2740</v>
      </c>
      <c r="BI21" s="709">
        <f>DZ21-BF21-BG21-BH21</f>
        <v>2733</v>
      </c>
      <c r="BJ21" s="873">
        <v>-295</v>
      </c>
      <c r="BK21" s="873">
        <f>-899-BJ21</f>
        <v>-604</v>
      </c>
      <c r="BL21" s="873">
        <f>-3210-BJ21-BK21</f>
        <v>-2311</v>
      </c>
      <c r="BM21" s="874">
        <f>EA21-BJ21-BK21-BL21</f>
        <v>3468</v>
      </c>
      <c r="BN21" s="873">
        <v>-668</v>
      </c>
      <c r="BO21" s="873">
        <f>-883-BN21</f>
        <v>-215</v>
      </c>
      <c r="BP21" s="873">
        <f>-4087-BN21-BO21</f>
        <v>-3204</v>
      </c>
      <c r="BQ21" s="874">
        <f>EB21-BN21-BO21-BP21</f>
        <v>3478</v>
      </c>
      <c r="BR21" s="873">
        <v>-873</v>
      </c>
      <c r="BS21" s="873">
        <f>-909-BR21</f>
        <v>-36</v>
      </c>
      <c r="BT21" s="873">
        <f>-4561-BR21-BS21</f>
        <v>-3652</v>
      </c>
      <c r="BU21" s="874">
        <f>EC21-BR21-BS21-BT21</f>
        <v>4161</v>
      </c>
      <c r="BV21" s="873">
        <v>-430</v>
      </c>
      <c r="BW21" s="873">
        <f>-474-BV21</f>
        <v>-44</v>
      </c>
      <c r="BX21" s="873">
        <f>-3402-BW21-BV21</f>
        <v>-2928</v>
      </c>
      <c r="BY21" s="874">
        <f>ED21-BV21-BW21-BX21</f>
        <v>3522</v>
      </c>
      <c r="BZ21" s="873">
        <v>765</v>
      </c>
      <c r="CA21" s="873">
        <f>512-BZ21</f>
        <v>-253</v>
      </c>
      <c r="CB21" s="873">
        <f>-1330-CA21-BZ21</f>
        <v>-1842</v>
      </c>
      <c r="CC21" s="874">
        <f>EG21-BZ21-CA21-CB21</f>
        <v>1595</v>
      </c>
      <c r="CD21" s="1062">
        <v>702</v>
      </c>
      <c r="CE21" s="947">
        <f>569-CD21</f>
        <v>-133</v>
      </c>
      <c r="CF21" s="947">
        <f>-974-CE21-CD21</f>
        <v>-1543</v>
      </c>
      <c r="CG21" s="874">
        <f>597-CD21-CE21-CF21</f>
        <v>1571</v>
      </c>
      <c r="CH21" s="732">
        <v>121</v>
      </c>
      <c r="CI21" s="1095">
        <f>-205-CH21</f>
        <v>-326</v>
      </c>
      <c r="CJ21" s="1095">
        <f>-1541-CI21-CH21</f>
        <v>-1336</v>
      </c>
      <c r="CK21" s="655">
        <f t="shared" si="27"/>
        <v>1400</v>
      </c>
      <c r="CL21" s="1628">
        <v>261</v>
      </c>
      <c r="CM21" s="1629">
        <f>168-CL21</f>
        <v>-93</v>
      </c>
      <c r="CN21" s="1629">
        <f>-1494-SUM(CL21:CM21)</f>
        <v>-1662</v>
      </c>
      <c r="CO21" s="1630">
        <f t="shared" si="28"/>
        <v>1580</v>
      </c>
      <c r="CP21" s="1629">
        <v>365</v>
      </c>
      <c r="CQ21" s="1629">
        <f>160-CP21</f>
        <v>-205</v>
      </c>
      <c r="CR21" s="1629">
        <f>-1370-SUM(CP21:CQ21)</f>
        <v>-1530</v>
      </c>
      <c r="CS21" s="1630">
        <f t="shared" si="29"/>
        <v>1569</v>
      </c>
      <c r="CT21" s="1629">
        <v>223</v>
      </c>
      <c r="CU21" s="1629">
        <f>-285-CT21</f>
        <v>-508</v>
      </c>
      <c r="CV21" s="1629">
        <f>+-1811-CU21-CT21</f>
        <v>-1526</v>
      </c>
      <c r="CW21" s="1630">
        <f t="shared" si="30"/>
        <v>1476</v>
      </c>
      <c r="CX21" s="2803">
        <f>'Balance Sheet'!CW10-'Balance Sheet'!CX10</f>
        <v>224.048637202799</v>
      </c>
      <c r="CY21" s="841">
        <f>'Balance Sheet'!CX10-'Balance Sheet'!CY10</f>
        <v>-520.59958009614456</v>
      </c>
      <c r="CZ21" s="841">
        <f>'Balance Sheet'!CY10-'Balance Sheet'!CZ10</f>
        <v>-1539.795069419828</v>
      </c>
      <c r="DA21" s="822">
        <f>'Balance Sheet'!CZ10-'Balance Sheet'!DA10</f>
        <v>1811.0897050010353</v>
      </c>
      <c r="DB21" s="732"/>
      <c r="DC21" s="655"/>
      <c r="DD21" s="988" t="s">
        <v>599</v>
      </c>
      <c r="DE21" s="988" t="s">
        <v>599</v>
      </c>
      <c r="DF21" s="988" t="s">
        <v>599</v>
      </c>
      <c r="DG21" s="988" t="s">
        <v>599</v>
      </c>
      <c r="DH21" s="988" t="s">
        <v>599</v>
      </c>
      <c r="DI21" s="47">
        <v>-2.6930000000000001</v>
      </c>
      <c r="DJ21" s="47">
        <v>-40.154000000000003</v>
      </c>
      <c r="DK21" s="47">
        <f>'Balance Sheet'!DJ10-'Balance Sheet'!DK10</f>
        <v>-114.15300000000002</v>
      </c>
      <c r="DL21" s="47">
        <f t="shared" si="31"/>
        <v>-387.959</v>
      </c>
      <c r="DM21" s="47">
        <f t="shared" si="32"/>
        <v>-269.72700000000009</v>
      </c>
      <c r="DN21" s="47">
        <f t="shared" si="33"/>
        <v>-293.46499999999992</v>
      </c>
      <c r="DO21" s="47">
        <f t="shared" si="34"/>
        <v>69.08299999999997</v>
      </c>
      <c r="DP21" s="47">
        <f t="shared" si="35"/>
        <v>71.270999999999958</v>
      </c>
      <c r="DQ21" s="47">
        <f t="shared" si="36"/>
        <v>14.422000000000025</v>
      </c>
      <c r="DR21" s="47">
        <v>-137.315</v>
      </c>
      <c r="DS21" s="47">
        <v>-185</v>
      </c>
      <c r="DT21" s="47">
        <v>-324</v>
      </c>
      <c r="DU21" s="47">
        <v>-225</v>
      </c>
      <c r="DV21" s="47">
        <v>-507</v>
      </c>
      <c r="DW21" s="47">
        <v>-240</v>
      </c>
      <c r="DX21" s="47">
        <v>-457</v>
      </c>
      <c r="DY21" s="47">
        <v>-550</v>
      </c>
      <c r="DZ21" s="47">
        <v>-562</v>
      </c>
      <c r="EA21" s="873">
        <v>258</v>
      </c>
      <c r="EB21" s="873">
        <v>-609</v>
      </c>
      <c r="EC21" s="873">
        <v>-400</v>
      </c>
      <c r="ED21" s="915">
        <v>120</v>
      </c>
      <c r="EE21" s="898">
        <f>-873</f>
        <v>-873</v>
      </c>
      <c r="EF21" s="917">
        <v>524</v>
      </c>
      <c r="EG21" s="920">
        <v>265</v>
      </c>
      <c r="EH21" s="841">
        <f t="shared" si="37"/>
        <v>597</v>
      </c>
      <c r="EI21" s="841">
        <v>-141</v>
      </c>
      <c r="EJ21" s="841">
        <v>86</v>
      </c>
      <c r="EK21" s="821">
        <v>199</v>
      </c>
      <c r="EL21" s="821">
        <v>-335</v>
      </c>
      <c r="EM21" s="1697">
        <f t="shared" ref="EM21:EM26" si="38">SUM(CX21:DA21)</f>
        <v>-25.256307312138233</v>
      </c>
      <c r="EN21" s="838">
        <f>'Balance Sheet'!EM10-'Balance Sheet'!EN10</f>
        <v>-56.525848189485259</v>
      </c>
      <c r="EO21" s="838">
        <f>'Balance Sheet'!EN10-'Balance Sheet'!EO10</f>
        <v>-50.643428469997161</v>
      </c>
      <c r="EP21" s="838">
        <f>'Balance Sheet'!EO10-'Balance Sheet'!EP10</f>
        <v>-49.73308168400672</v>
      </c>
      <c r="EQ21" s="838">
        <f>'Balance Sheet'!EP10-'Balance Sheet'!EQ10</f>
        <v>-71.670504488833103</v>
      </c>
      <c r="ER21" s="838">
        <f>'Balance Sheet'!EQ10-'Balance Sheet'!ER10</f>
        <v>-74.452938818639268</v>
      </c>
      <c r="ES21" s="838">
        <f>'Balance Sheet'!ER10-'Balance Sheet'!ES10</f>
        <v>-77.37421154277672</v>
      </c>
      <c r="ET21" s="838">
        <f>'Balance Sheet'!ES10-'Balance Sheet'!ET10</f>
        <v>-80.441343400930236</v>
      </c>
      <c r="EU21" s="820">
        <f>'Balance Sheet'!ET10-'Balance Sheet'!EU10</f>
        <v>-83.661710764917188</v>
      </c>
      <c r="EV21" s="413"/>
      <c r="EW21"/>
      <c r="EX21"/>
      <c r="EY21"/>
      <c r="EZ21"/>
      <c r="FA21"/>
      <c r="FB21"/>
      <c r="FG21" s="841"/>
      <c r="FH21" s="841"/>
      <c r="FI21" s="841"/>
      <c r="FJ21" s="841"/>
      <c r="FK21" s="841"/>
      <c r="FL21"/>
      <c r="FM21"/>
      <c r="FN21"/>
      <c r="FO21"/>
      <c r="FP21"/>
      <c r="FQ21"/>
      <c r="FR21"/>
      <c r="FS21"/>
      <c r="FT21"/>
      <c r="FU21"/>
      <c r="FV21"/>
      <c r="FW21"/>
      <c r="FX21"/>
      <c r="FY21"/>
      <c r="FZ21"/>
      <c r="GA21"/>
      <c r="GB21"/>
      <c r="GC21"/>
      <c r="GD21"/>
      <c r="GE21"/>
      <c r="GF21"/>
      <c r="GG21"/>
      <c r="GH21"/>
      <c r="GI21"/>
      <c r="GJ21"/>
      <c r="GK21"/>
      <c r="GL21"/>
      <c r="GM21"/>
      <c r="GN21"/>
      <c r="GO21"/>
      <c r="GP21"/>
      <c r="GQ21"/>
      <c r="GR21"/>
      <c r="GS21"/>
      <c r="GT21"/>
      <c r="GU21"/>
      <c r="GV21"/>
      <c r="GW21"/>
      <c r="GX21"/>
      <c r="GY21"/>
      <c r="GZ21"/>
      <c r="HA21"/>
      <c r="HB21"/>
      <c r="HC21"/>
      <c r="HD21"/>
      <c r="HE21"/>
      <c r="HF21"/>
      <c r="HG21"/>
      <c r="HH21"/>
      <c r="HI21"/>
      <c r="HJ21"/>
      <c r="HK21"/>
      <c r="HL21"/>
      <c r="HM21"/>
      <c r="HN21"/>
      <c r="HO21"/>
      <c r="HP21"/>
      <c r="HQ21"/>
      <c r="HR21"/>
      <c r="HS21"/>
      <c r="HT21"/>
      <c r="HU21"/>
      <c r="HV21"/>
      <c r="HW21"/>
      <c r="HX21"/>
      <c r="HY21"/>
      <c r="HZ21"/>
      <c r="IA21"/>
      <c r="IB21"/>
      <c r="IC21"/>
      <c r="ID21"/>
      <c r="IE21"/>
      <c r="IF21"/>
      <c r="IG21"/>
      <c r="IH21"/>
      <c r="II21"/>
      <c r="IJ21"/>
      <c r="IK21"/>
      <c r="IL21"/>
      <c r="IM21"/>
      <c r="IN21"/>
      <c r="IO21"/>
      <c r="IP21"/>
      <c r="IQ21"/>
      <c r="IR21"/>
      <c r="IS21"/>
      <c r="IT21"/>
      <c r="IU21"/>
      <c r="IV21"/>
      <c r="IW21"/>
      <c r="IX21"/>
      <c r="IY21"/>
      <c r="IZ21"/>
    </row>
    <row r="22" spans="1:260" s="4" customFormat="1" x14ac:dyDescent="0.2">
      <c r="A22" s="179" t="s">
        <v>517</v>
      </c>
      <c r="B22" s="47">
        <v>-1.294</v>
      </c>
      <c r="C22" s="47">
        <v>-0.46799999999999997</v>
      </c>
      <c r="D22" s="47">
        <v>-2.8439999999999999</v>
      </c>
      <c r="E22" s="709">
        <v>-0.62800000000000011</v>
      </c>
      <c r="F22" s="47">
        <v>-1.343</v>
      </c>
      <c r="G22" s="47">
        <f>-7.298-F22</f>
        <v>-5.9550000000000001</v>
      </c>
      <c r="H22" s="47">
        <v>-6.9529999999999994</v>
      </c>
      <c r="I22" s="709">
        <v>8.3219999999999992</v>
      </c>
      <c r="J22" s="47">
        <v>-4.7460000000000004</v>
      </c>
      <c r="K22" s="47">
        <v>-4.5049999999999999</v>
      </c>
      <c r="L22" s="47">
        <v>-4.9329999999999981</v>
      </c>
      <c r="M22" s="709">
        <v>-2.0890000000000013</v>
      </c>
      <c r="N22" s="47">
        <v>-5.1909999999999998</v>
      </c>
      <c r="O22" s="47">
        <v>6.5090000000000003</v>
      </c>
      <c r="P22" s="47">
        <v>-12.882000000000001</v>
      </c>
      <c r="Q22" s="709">
        <v>19.738</v>
      </c>
      <c r="R22" s="47">
        <v>-4.7619999999999996</v>
      </c>
      <c r="S22" s="47">
        <f>-11.589-R22</f>
        <v>-6.8270000000000008</v>
      </c>
      <c r="T22" s="47">
        <v>19.704999999999998</v>
      </c>
      <c r="U22" s="709">
        <v>-3.4589999999999979</v>
      </c>
      <c r="V22" s="47">
        <v>4.3419999999999996</v>
      </c>
      <c r="W22" s="47">
        <f>11.409-V22</f>
        <v>7.0670000000000011</v>
      </c>
      <c r="X22" s="47">
        <v>-3.6870000000000003</v>
      </c>
      <c r="Y22" s="709">
        <v>-6.8680000000000003</v>
      </c>
      <c r="Z22" s="47">
        <v>-15.387</v>
      </c>
      <c r="AA22" s="47">
        <f>0-Z22</f>
        <v>15.387</v>
      </c>
      <c r="AB22" s="47">
        <v>0</v>
      </c>
      <c r="AC22" s="709">
        <f t="shared" si="19"/>
        <v>97.813999999999993</v>
      </c>
      <c r="AD22" s="47">
        <v>-3</v>
      </c>
      <c r="AE22" s="47">
        <f>21-AD22</f>
        <v>24</v>
      </c>
      <c r="AF22" s="47">
        <f>37-SUM(AD22:AE22)</f>
        <v>16</v>
      </c>
      <c r="AG22" s="709">
        <f t="shared" si="20"/>
        <v>106</v>
      </c>
      <c r="AH22" s="47">
        <v>-79</v>
      </c>
      <c r="AI22" s="47">
        <f>-51-AH22</f>
        <v>28</v>
      </c>
      <c r="AJ22" s="47">
        <f>-28-SUM(AH22:AI22)</f>
        <v>23</v>
      </c>
      <c r="AK22" s="709">
        <f t="shared" si="21"/>
        <v>281</v>
      </c>
      <c r="AL22" s="47">
        <v>-159</v>
      </c>
      <c r="AM22" s="47">
        <v>29</v>
      </c>
      <c r="AN22" s="47">
        <v>38</v>
      </c>
      <c r="AO22" s="709">
        <f t="shared" si="22"/>
        <v>203</v>
      </c>
      <c r="AP22" s="47">
        <v>-242</v>
      </c>
      <c r="AQ22" s="47">
        <f>-165-AP22</f>
        <v>77</v>
      </c>
      <c r="AR22" s="47">
        <f>-91-AQ22-AP22</f>
        <v>74</v>
      </c>
      <c r="AS22" s="709">
        <f t="shared" si="23"/>
        <v>288</v>
      </c>
      <c r="AT22" s="47">
        <v>-189</v>
      </c>
      <c r="AU22" s="47">
        <f>-100-AT22</f>
        <v>89</v>
      </c>
      <c r="AV22" s="47">
        <f>-9-AT22-AU22</f>
        <v>91</v>
      </c>
      <c r="AW22" s="709">
        <f t="shared" si="24"/>
        <v>310</v>
      </c>
      <c r="AX22" s="47">
        <v>0</v>
      </c>
      <c r="AY22" s="47">
        <v>0</v>
      </c>
      <c r="AZ22" s="47">
        <v>0</v>
      </c>
      <c r="BA22" s="709">
        <f t="shared" si="25"/>
        <v>0</v>
      </c>
      <c r="BB22" s="47">
        <v>0</v>
      </c>
      <c r="BC22" s="47">
        <v>0</v>
      </c>
      <c r="BD22" s="47">
        <v>0</v>
      </c>
      <c r="BE22" s="709">
        <f t="shared" si="26"/>
        <v>0</v>
      </c>
      <c r="BF22" s="47">
        <v>0</v>
      </c>
      <c r="BG22" s="47">
        <v>0</v>
      </c>
      <c r="BH22" s="47">
        <v>0</v>
      </c>
      <c r="BI22" s="709">
        <f>DZ22-SUM(BF22:BH22)</f>
        <v>0</v>
      </c>
      <c r="BJ22" s="873">
        <v>-350</v>
      </c>
      <c r="BK22" s="873">
        <f>-384-BJ22</f>
        <v>-34</v>
      </c>
      <c r="BL22" s="873">
        <f>-291-BK22-BJ22</f>
        <v>93</v>
      </c>
      <c r="BM22" s="874">
        <f>EA22-SUM(BJ22:BL22)</f>
        <v>286</v>
      </c>
      <c r="BN22" s="873">
        <f>-184</f>
        <v>-184</v>
      </c>
      <c r="BO22" s="873">
        <f>-245-BN22</f>
        <v>-61</v>
      </c>
      <c r="BP22" s="873">
        <f>-204-BO22-BN22</f>
        <v>41</v>
      </c>
      <c r="BQ22" s="874">
        <f>EB22-SUM(BN22:BP22)</f>
        <v>307</v>
      </c>
      <c r="BR22" s="873">
        <v>-257</v>
      </c>
      <c r="BS22" s="873">
        <f>-437-BR22</f>
        <v>-180</v>
      </c>
      <c r="BT22" s="873">
        <f>-313-BS22-BR22</f>
        <v>124</v>
      </c>
      <c r="BU22" s="874">
        <f>EC22-SUM(BR22:BT22)</f>
        <v>280</v>
      </c>
      <c r="BV22" s="873">
        <v>-182</v>
      </c>
      <c r="BW22" s="873">
        <f>-264-BV22</f>
        <v>-82</v>
      </c>
      <c r="BX22" s="873">
        <f>-364-BW22-BV22</f>
        <v>-100</v>
      </c>
      <c r="BY22" s="874">
        <f>ED22-SUM(BV22:BX22)</f>
        <v>389</v>
      </c>
      <c r="BZ22" s="898">
        <v>27</v>
      </c>
      <c r="CA22" s="873">
        <f>-316-BZ22</f>
        <v>-343</v>
      </c>
      <c r="CB22" s="873">
        <f>-368-CA22-BZ22</f>
        <v>-52</v>
      </c>
      <c r="CC22" s="874">
        <f>EG22-SUM(BZ22:CB22)</f>
        <v>216</v>
      </c>
      <c r="CD22" s="917">
        <v>-88</v>
      </c>
      <c r="CE22" s="947">
        <f>15-CD22</f>
        <v>103</v>
      </c>
      <c r="CF22" s="947">
        <f>0-CE22-CD22</f>
        <v>-15</v>
      </c>
      <c r="CG22" s="909">
        <f>54-CD22-CE22-CF22</f>
        <v>54</v>
      </c>
      <c r="CH22" s="1454">
        <v>-50</v>
      </c>
      <c r="CI22" s="167">
        <f>0-CH22</f>
        <v>50</v>
      </c>
      <c r="CJ22" s="167">
        <f>-100-CI22-CH22</f>
        <v>-100</v>
      </c>
      <c r="CK22" s="537">
        <f t="shared" si="27"/>
        <v>185</v>
      </c>
      <c r="CL22" s="1631">
        <v>-206</v>
      </c>
      <c r="CM22" s="1447">
        <f>-226-CL22</f>
        <v>-20</v>
      </c>
      <c r="CN22" s="1447">
        <f>-215-SUM(CL22:CM22)</f>
        <v>11</v>
      </c>
      <c r="CO22" s="1448">
        <f t="shared" si="28"/>
        <v>121</v>
      </c>
      <c r="CP22" s="1447">
        <v>-88</v>
      </c>
      <c r="CQ22" s="1447">
        <f>-81-CP22</f>
        <v>7</v>
      </c>
      <c r="CR22" s="1447">
        <f>-124-SUM(CP22:CQ22)</f>
        <v>-43</v>
      </c>
      <c r="CS22" s="1448">
        <f t="shared" si="29"/>
        <v>-89</v>
      </c>
      <c r="CT22" s="1447">
        <v>67</v>
      </c>
      <c r="CU22" s="1447">
        <f>41-CT22</f>
        <v>-26</v>
      </c>
      <c r="CV22" s="1447">
        <f>62-CU22-CT22</f>
        <v>21</v>
      </c>
      <c r="CW22" s="1448">
        <f t="shared" si="30"/>
        <v>228</v>
      </c>
      <c r="CX22" s="1698">
        <v>0</v>
      </c>
      <c r="CY22" s="830">
        <v>0</v>
      </c>
      <c r="CZ22" s="830">
        <v>0</v>
      </c>
      <c r="DA22" s="828">
        <v>0</v>
      </c>
      <c r="DB22" s="665"/>
      <c r="DC22" s="512"/>
      <c r="DD22" s="988" t="s">
        <v>599</v>
      </c>
      <c r="DE22" s="988" t="s">
        <v>599</v>
      </c>
      <c r="DF22" s="988" t="s">
        <v>599</v>
      </c>
      <c r="DG22" s="988" t="s">
        <v>599</v>
      </c>
      <c r="DH22" s="988" t="s">
        <v>599</v>
      </c>
      <c r="DI22" s="47">
        <v>-0.32900000000000001</v>
      </c>
      <c r="DJ22" s="47">
        <v>-0.22500000000000001</v>
      </c>
      <c r="DK22" s="47">
        <v>-2.0630000000000002</v>
      </c>
      <c r="DL22" s="47">
        <f t="shared" si="31"/>
        <v>-5.234</v>
      </c>
      <c r="DM22" s="47">
        <f t="shared" si="32"/>
        <v>-5.9290000000000003</v>
      </c>
      <c r="DN22" s="47">
        <f t="shared" si="33"/>
        <v>-16.273</v>
      </c>
      <c r="DO22" s="47">
        <f t="shared" si="34"/>
        <v>8.1739999999999995</v>
      </c>
      <c r="DP22" s="47">
        <f t="shared" si="35"/>
        <v>4.657</v>
      </c>
      <c r="DQ22" s="47">
        <f t="shared" si="36"/>
        <v>0.85400000000000009</v>
      </c>
      <c r="DR22" s="47">
        <v>97.813999999999993</v>
      </c>
      <c r="DS22" s="47">
        <v>143</v>
      </c>
      <c r="DT22" s="47">
        <v>253</v>
      </c>
      <c r="DU22" s="47">
        <v>111</v>
      </c>
      <c r="DV22" s="47">
        <v>197</v>
      </c>
      <c r="DW22" s="47">
        <v>301</v>
      </c>
      <c r="DX22" s="47">
        <v>0</v>
      </c>
      <c r="DY22" s="47">
        <v>0</v>
      </c>
      <c r="DZ22" s="47">
        <v>0</v>
      </c>
      <c r="EA22" s="873">
        <v>-5</v>
      </c>
      <c r="EB22" s="873">
        <v>103</v>
      </c>
      <c r="EC22" s="873">
        <v>-33</v>
      </c>
      <c r="ED22" s="915">
        <v>25</v>
      </c>
      <c r="EE22" s="898">
        <v>0</v>
      </c>
      <c r="EF22" s="917">
        <v>0</v>
      </c>
      <c r="EG22" s="920">
        <v>-152</v>
      </c>
      <c r="EH22" s="830">
        <f t="shared" si="37"/>
        <v>54</v>
      </c>
      <c r="EI22" s="830">
        <v>85</v>
      </c>
      <c r="EJ22" s="830">
        <v>-94</v>
      </c>
      <c r="EK22" s="56">
        <v>-213</v>
      </c>
      <c r="EL22" s="56">
        <v>290</v>
      </c>
      <c r="EM22" s="1696">
        <f t="shared" si="38"/>
        <v>0</v>
      </c>
      <c r="EN22" s="830">
        <v>0</v>
      </c>
      <c r="EO22" s="830">
        <v>0</v>
      </c>
      <c r="EP22" s="830">
        <v>0</v>
      </c>
      <c r="EQ22" s="830">
        <v>0</v>
      </c>
      <c r="ER22" s="830">
        <v>0</v>
      </c>
      <c r="ES22" s="830">
        <v>0</v>
      </c>
      <c r="ET22" s="830">
        <v>0</v>
      </c>
      <c r="EU22" s="828">
        <v>0</v>
      </c>
      <c r="EV22" s="413"/>
      <c r="EW22"/>
      <c r="EX22"/>
      <c r="EY22"/>
      <c r="EZ22"/>
      <c r="FA22"/>
      <c r="FB22"/>
      <c r="FG22" s="830"/>
      <c r="FH22" s="830"/>
      <c r="FI22" s="830"/>
      <c r="FJ22" s="830"/>
      <c r="FK22" s="830"/>
      <c r="FL22"/>
      <c r="FM22"/>
      <c r="FN22"/>
      <c r="FO22"/>
      <c r="FP22"/>
      <c r="FQ22"/>
      <c r="FR22"/>
      <c r="FS22"/>
      <c r="FT22"/>
      <c r="FU22"/>
      <c r="FV22"/>
      <c r="FW22"/>
      <c r="FX22"/>
      <c r="FY22"/>
      <c r="FZ22"/>
      <c r="GA22"/>
      <c r="GB22"/>
      <c r="GC22"/>
      <c r="GD22"/>
      <c r="GE22"/>
      <c r="GF22"/>
      <c r="GG22"/>
      <c r="GH22"/>
      <c r="GI22"/>
      <c r="GJ22"/>
      <c r="GK22"/>
      <c r="GL22"/>
      <c r="GM22"/>
      <c r="GN22"/>
      <c r="GO22"/>
      <c r="GP22"/>
      <c r="GQ22"/>
      <c r="GR22"/>
      <c r="GS22"/>
      <c r="GT22"/>
      <c r="GU22"/>
      <c r="GV22"/>
      <c r="GW22"/>
      <c r="GX22"/>
      <c r="GY22"/>
      <c r="GZ22"/>
      <c r="HA22"/>
      <c r="HB22"/>
      <c r="HC22"/>
      <c r="HD22"/>
      <c r="HE22"/>
      <c r="HF22"/>
      <c r="HG22"/>
      <c r="HH22"/>
      <c r="HI22"/>
      <c r="HJ22"/>
      <c r="HK22"/>
      <c r="HL22"/>
      <c r="HM22"/>
      <c r="HN22"/>
      <c r="HO22"/>
      <c r="HP22"/>
      <c r="HQ22"/>
      <c r="HR22"/>
      <c r="HS22"/>
      <c r="HT22"/>
      <c r="HU22"/>
      <c r="HV22"/>
      <c r="HW22"/>
      <c r="HX22"/>
      <c r="HY22"/>
      <c r="HZ22"/>
      <c r="IA22"/>
      <c r="IB22"/>
      <c r="IC22"/>
      <c r="ID22"/>
      <c r="IE22"/>
      <c r="IF22"/>
      <c r="IG22"/>
      <c r="IH22"/>
      <c r="II22"/>
      <c r="IJ22"/>
      <c r="IK22"/>
      <c r="IL22"/>
      <c r="IM22"/>
      <c r="IN22"/>
      <c r="IO22"/>
      <c r="IP22"/>
      <c r="IQ22"/>
      <c r="IR22"/>
      <c r="IS22"/>
      <c r="IT22"/>
      <c r="IU22"/>
      <c r="IV22"/>
      <c r="IW22"/>
      <c r="IX22"/>
      <c r="IY22"/>
      <c r="IZ22"/>
    </row>
    <row r="23" spans="1:260" s="4" customFormat="1" x14ac:dyDescent="0.2">
      <c r="A23" s="179" t="s">
        <v>518</v>
      </c>
      <c r="B23" s="47">
        <v>0</v>
      </c>
      <c r="C23" s="47">
        <v>0</v>
      </c>
      <c r="D23" s="47">
        <v>0</v>
      </c>
      <c r="E23" s="709">
        <v>0</v>
      </c>
      <c r="F23" s="47">
        <v>0</v>
      </c>
      <c r="G23" s="47">
        <v>0</v>
      </c>
      <c r="H23" s="47">
        <v>0</v>
      </c>
      <c r="I23" s="709">
        <v>0</v>
      </c>
      <c r="J23" s="47">
        <v>0</v>
      </c>
      <c r="K23" s="47">
        <v>0</v>
      </c>
      <c r="L23" s="47">
        <v>0</v>
      </c>
      <c r="M23" s="709">
        <v>0</v>
      </c>
      <c r="N23" s="47">
        <v>0</v>
      </c>
      <c r="O23" s="47">
        <v>0</v>
      </c>
      <c r="P23" s="47">
        <v>0</v>
      </c>
      <c r="Q23" s="709">
        <v>0</v>
      </c>
      <c r="R23" s="47">
        <v>0</v>
      </c>
      <c r="S23" s="47">
        <v>0</v>
      </c>
      <c r="T23" s="47">
        <v>0</v>
      </c>
      <c r="U23" s="709">
        <v>0</v>
      </c>
      <c r="V23" s="47">
        <v>0</v>
      </c>
      <c r="W23" s="47">
        <v>0</v>
      </c>
      <c r="X23" s="47">
        <v>0</v>
      </c>
      <c r="Y23" s="709">
        <v>0</v>
      </c>
      <c r="Z23" s="47">
        <v>-0.64200000000000002</v>
      </c>
      <c r="AA23" s="47">
        <f>-1.383-Z23</f>
        <v>-0.74099999999999999</v>
      </c>
      <c r="AB23" s="47">
        <f>-7.562-SUM(Z23:AA23)</f>
        <v>-6.1790000000000003</v>
      </c>
      <c r="AC23" s="709">
        <f t="shared" si="19"/>
        <v>-3.4430000000000005</v>
      </c>
      <c r="AD23" s="47">
        <v>-3</v>
      </c>
      <c r="AE23" s="47">
        <f>-9-AD23</f>
        <v>-6</v>
      </c>
      <c r="AF23" s="47">
        <f>-19-SUM(AD23:AE23)</f>
        <v>-10</v>
      </c>
      <c r="AG23" s="709">
        <f t="shared" si="20"/>
        <v>3</v>
      </c>
      <c r="AH23" s="47">
        <v>-13</v>
      </c>
      <c r="AI23" s="47">
        <f>-8-AH23</f>
        <v>5</v>
      </c>
      <c r="AJ23" s="47">
        <f>-28-SUM(AH23:AI23)</f>
        <v>-20</v>
      </c>
      <c r="AK23" s="709">
        <f t="shared" si="21"/>
        <v>4</v>
      </c>
      <c r="AL23" s="47">
        <v>-17</v>
      </c>
      <c r="AM23" s="47">
        <v>-10</v>
      </c>
      <c r="AN23" s="47">
        <v>-9</v>
      </c>
      <c r="AO23" s="709">
        <f t="shared" si="22"/>
        <v>0</v>
      </c>
      <c r="AP23" s="47">
        <v>-15</v>
      </c>
      <c r="AQ23" s="47">
        <f>-17-AP23</f>
        <v>-2</v>
      </c>
      <c r="AR23" s="47">
        <f>-20-AQ23-AP23</f>
        <v>-3</v>
      </c>
      <c r="AS23" s="709">
        <f t="shared" si="23"/>
        <v>-5</v>
      </c>
      <c r="AT23" s="47">
        <v>-104</v>
      </c>
      <c r="AU23" s="47">
        <f>-175-AT23</f>
        <v>-71</v>
      </c>
      <c r="AV23" s="47">
        <f>-110-AT23-AU23</f>
        <v>65</v>
      </c>
      <c r="AW23" s="709">
        <f t="shared" si="24"/>
        <v>-80</v>
      </c>
      <c r="AX23" s="47">
        <v>3</v>
      </c>
      <c r="AY23" s="47">
        <f>-21-AX23</f>
        <v>-24</v>
      </c>
      <c r="AZ23" s="47">
        <f>-10-AY23-AX23</f>
        <v>11</v>
      </c>
      <c r="BA23" s="709">
        <f t="shared" si="25"/>
        <v>-1</v>
      </c>
      <c r="BB23" s="47">
        <v>-10</v>
      </c>
      <c r="BC23" s="47">
        <f>-5-BB23</f>
        <v>5</v>
      </c>
      <c r="BD23" s="47">
        <f>-54-SUM(BB23:BC23)</f>
        <v>-49</v>
      </c>
      <c r="BE23" s="709">
        <f t="shared" si="26"/>
        <v>7</v>
      </c>
      <c r="BF23" s="47">
        <v>-42</v>
      </c>
      <c r="BG23" s="47">
        <f>-2-BF23</f>
        <v>40</v>
      </c>
      <c r="BH23" s="47">
        <f>11-BF23-BG23</f>
        <v>13</v>
      </c>
      <c r="BI23" s="709">
        <f>DZ23-BF23-BG23-BH23</f>
        <v>31</v>
      </c>
      <c r="BJ23" s="873">
        <v>-33</v>
      </c>
      <c r="BK23" s="873">
        <f>14-BJ23</f>
        <v>47</v>
      </c>
      <c r="BL23" s="873">
        <f>-117-BJ23-BK23</f>
        <v>-131</v>
      </c>
      <c r="BM23" s="874">
        <f>EA23-BJ23-BK23-BL23</f>
        <v>-58</v>
      </c>
      <c r="BN23" s="873">
        <v>99</v>
      </c>
      <c r="BO23" s="873">
        <f>48-BN23</f>
        <v>-51</v>
      </c>
      <c r="BP23" s="873">
        <f>-5-BN23-BO23</f>
        <v>-53</v>
      </c>
      <c r="BQ23" s="874">
        <f>EB23-BN23-BO23-BP23</f>
        <v>-93</v>
      </c>
      <c r="BR23" s="873">
        <v>49</v>
      </c>
      <c r="BS23" s="873">
        <f>75-BR23</f>
        <v>26</v>
      </c>
      <c r="BT23" s="873">
        <f>80-BR23-BS23</f>
        <v>5</v>
      </c>
      <c r="BU23" s="874">
        <f>EC23-BR23-BS23-BT23</f>
        <v>-40</v>
      </c>
      <c r="BV23" s="873">
        <v>26</v>
      </c>
      <c r="BW23" s="898">
        <f>36-BV23</f>
        <v>10</v>
      </c>
      <c r="BX23" s="898">
        <f>20-BW23-BV23</f>
        <v>-16</v>
      </c>
      <c r="BY23" s="874">
        <f>ED23-BV23-BW23-BX23</f>
        <v>-44</v>
      </c>
      <c r="BZ23" s="898">
        <v>-96</v>
      </c>
      <c r="CA23" s="873">
        <f>-139-BZ23</f>
        <v>-43</v>
      </c>
      <c r="CB23" s="898">
        <f>-167-CA23-BZ23</f>
        <v>-28</v>
      </c>
      <c r="CC23" s="874">
        <f>EG23-BZ23-CA23-CB23</f>
        <v>57</v>
      </c>
      <c r="CD23" s="917">
        <v>26</v>
      </c>
      <c r="CE23" s="947">
        <f>-59-CD23</f>
        <v>-85</v>
      </c>
      <c r="CF23" s="910">
        <f>-102-CE23-CD23</f>
        <v>-43</v>
      </c>
      <c r="CG23" s="874">
        <f>-70-CD23-CE23-CF23</f>
        <v>32</v>
      </c>
      <c r="CH23" s="732">
        <v>7</v>
      </c>
      <c r="CI23" s="1095">
        <f>17-1-CH23</f>
        <v>9</v>
      </c>
      <c r="CJ23" s="1095">
        <f>14-CI23-CH23</f>
        <v>-2</v>
      </c>
      <c r="CK23" s="655">
        <f t="shared" si="27"/>
        <v>15</v>
      </c>
      <c r="CL23" s="1628">
        <v>4</v>
      </c>
      <c r="CM23" s="1447">
        <f>-9-CL23</f>
        <v>-13</v>
      </c>
      <c r="CN23" s="1629">
        <f>20-SUM(CL23:CM23)</f>
        <v>29</v>
      </c>
      <c r="CO23" s="1630">
        <f t="shared" si="28"/>
        <v>16</v>
      </c>
      <c r="CP23" s="1629">
        <v>-30</v>
      </c>
      <c r="CQ23" s="1629">
        <f>-29-CP23</f>
        <v>1</v>
      </c>
      <c r="CR23" s="1629">
        <f>-18-SUM(CP23:CQ23)</f>
        <v>11</v>
      </c>
      <c r="CS23" s="1630">
        <f t="shared" si="29"/>
        <v>28</v>
      </c>
      <c r="CT23" s="1629">
        <v>-25</v>
      </c>
      <c r="CU23" s="1629">
        <f>-45-CT23</f>
        <v>-20</v>
      </c>
      <c r="CV23" s="1629">
        <f>+-36-CU23-CT23</f>
        <v>9</v>
      </c>
      <c r="CW23" s="1630">
        <f t="shared" si="30"/>
        <v>15</v>
      </c>
      <c r="CX23" s="2803">
        <f>'Balance Sheet'!CW11-'Balance Sheet'!CX11+'Balance Sheet'!CW20-'Balance Sheet'!CX20</f>
        <v>-70.010761751023949</v>
      </c>
      <c r="CY23" s="841">
        <f>'Balance Sheet'!CX11-'Balance Sheet'!CY11+'Balance Sheet'!CX20-'Balance Sheet'!CY20</f>
        <v>-0.58762463643006413</v>
      </c>
      <c r="CZ23" s="841">
        <f>'Balance Sheet'!CY11-'Balance Sheet'!CZ11+'Balance Sheet'!CY20-'Balance Sheet'!CZ20</f>
        <v>-0.93542229292700085</v>
      </c>
      <c r="DA23" s="822">
        <f>'Balance Sheet'!CZ11-'Balance Sheet'!DA11+'Balance Sheet'!CZ20-'Balance Sheet'!DA20</f>
        <v>86.38373612389222</v>
      </c>
      <c r="DB23" s="732"/>
      <c r="DC23" s="655"/>
      <c r="DD23" s="988" t="s">
        <v>599</v>
      </c>
      <c r="DE23" s="988" t="s">
        <v>599</v>
      </c>
      <c r="DF23" s="988" t="s">
        <v>599</v>
      </c>
      <c r="DG23" s="988" t="s">
        <v>599</v>
      </c>
      <c r="DH23" s="988" t="s">
        <v>599</v>
      </c>
      <c r="DI23" s="47">
        <v>0</v>
      </c>
      <c r="DJ23" s="47">
        <v>0</v>
      </c>
      <c r="DK23" s="47">
        <v>0</v>
      </c>
      <c r="DL23" s="47">
        <f t="shared" si="31"/>
        <v>0</v>
      </c>
      <c r="DM23" s="47">
        <f t="shared" si="32"/>
        <v>0</v>
      </c>
      <c r="DN23" s="47">
        <f t="shared" si="33"/>
        <v>0</v>
      </c>
      <c r="DO23" s="47">
        <f t="shared" si="34"/>
        <v>0</v>
      </c>
      <c r="DP23" s="47">
        <f t="shared" si="35"/>
        <v>0</v>
      </c>
      <c r="DQ23" s="47">
        <f t="shared" si="36"/>
        <v>0</v>
      </c>
      <c r="DR23" s="47">
        <v>-11.005000000000001</v>
      </c>
      <c r="DS23" s="47">
        <v>-16</v>
      </c>
      <c r="DT23" s="47">
        <v>-24</v>
      </c>
      <c r="DU23" s="47">
        <v>-36</v>
      </c>
      <c r="DV23" s="47">
        <v>-25</v>
      </c>
      <c r="DW23" s="47">
        <v>-190</v>
      </c>
      <c r="DX23" s="47">
        <v>-11</v>
      </c>
      <c r="DY23" s="47">
        <v>-47</v>
      </c>
      <c r="DZ23" s="47">
        <v>42</v>
      </c>
      <c r="EA23" s="873">
        <v>-175</v>
      </c>
      <c r="EB23" s="873">
        <v>-98</v>
      </c>
      <c r="EC23" s="873">
        <v>40</v>
      </c>
      <c r="ED23" s="915">
        <v>-24</v>
      </c>
      <c r="EE23" s="898">
        <v>0</v>
      </c>
      <c r="EF23" s="917">
        <v>0</v>
      </c>
      <c r="EG23" s="920">
        <v>-110</v>
      </c>
      <c r="EH23" s="841">
        <f t="shared" si="37"/>
        <v>-70</v>
      </c>
      <c r="EI23" s="841">
        <v>29</v>
      </c>
      <c r="EJ23" s="841">
        <v>36</v>
      </c>
      <c r="EK23" s="821">
        <v>10</v>
      </c>
      <c r="EL23" s="821">
        <v>-21</v>
      </c>
      <c r="EM23" s="1697">
        <f t="shared" si="38"/>
        <v>14.849927443511206</v>
      </c>
      <c r="EN23" s="838">
        <f>'Balance Sheet'!EM11-'Balance Sheet'!EN11+'Balance Sheet'!EM20-'Balance Sheet'!EN20</f>
        <v>-4.264984829190837</v>
      </c>
      <c r="EO23" s="838">
        <f>'Balance Sheet'!EN11-'Balance Sheet'!EO11+'Balance Sheet'!EN20-'Balance Sheet'!EO20</f>
        <v>-4.2457827440220512</v>
      </c>
      <c r="EP23" s="838">
        <f>'Balance Sheet'!EO11-'Balance Sheet'!EP11+'Balance Sheet'!EO20-'Balance Sheet'!EP20</f>
        <v>-3.7599493691816406</v>
      </c>
      <c r="EQ23" s="838">
        <f>'Balance Sheet'!EP11-'Balance Sheet'!EQ11+'Balance Sheet'!EP20-'Balance Sheet'!EQ20</f>
        <v>-5.5263747308896427</v>
      </c>
      <c r="ER23" s="838">
        <f>'Balance Sheet'!EQ11-'Balance Sheet'!ER11+'Balance Sheet'!EQ20-'Balance Sheet'!ER20</f>
        <v>-5.7437776502696352</v>
      </c>
      <c r="ES23" s="838">
        <f>'Balance Sheet'!ER11-'Balance Sheet'!ES11+'Balance Sheet'!ER20-'Balance Sheet'!ES20</f>
        <v>-5.9719510657624824</v>
      </c>
      <c r="ET23" s="838">
        <f>'Balance Sheet'!ES11-'Balance Sheet'!ET11+'Balance Sheet'!ES20-'Balance Sheet'!ET20</f>
        <v>-6.2114327160248308</v>
      </c>
      <c r="EU23" s="820">
        <f>'Balance Sheet'!ET11-'Balance Sheet'!EU11+'Balance Sheet'!ET20-'Balance Sheet'!EU20</f>
        <v>-6.4627872315829222</v>
      </c>
      <c r="EV23" s="413"/>
      <c r="EW23"/>
      <c r="EX23"/>
      <c r="EY23"/>
      <c r="EZ23"/>
      <c r="FA23"/>
      <c r="FB23"/>
      <c r="FG23" s="841"/>
      <c r="FH23" s="841"/>
      <c r="FI23" s="841"/>
      <c r="FJ23" s="841"/>
      <c r="FK23" s="841"/>
      <c r="FL23"/>
      <c r="FM23"/>
      <c r="FN23"/>
      <c r="FO23"/>
      <c r="FP23"/>
      <c r="FQ23"/>
      <c r="FR23"/>
      <c r="FS23"/>
      <c r="FT23"/>
      <c r="FU23"/>
      <c r="FV23"/>
      <c r="FW23"/>
      <c r="FX23"/>
      <c r="FY23"/>
      <c r="FZ23"/>
      <c r="GA23"/>
      <c r="GB23"/>
      <c r="GC23"/>
      <c r="GD23"/>
      <c r="GE23"/>
      <c r="GF23"/>
      <c r="GG23"/>
      <c r="GH23"/>
      <c r="GI23"/>
      <c r="GJ23"/>
      <c r="GK23"/>
      <c r="GL23"/>
      <c r="GM23"/>
      <c r="GN23"/>
      <c r="GO23"/>
      <c r="GP23"/>
      <c r="GQ23"/>
      <c r="GR23"/>
      <c r="GS23"/>
      <c r="GT23"/>
      <c r="GU23"/>
      <c r="GV23"/>
      <c r="GW23"/>
      <c r="GX23"/>
      <c r="GY23"/>
      <c r="GZ23"/>
      <c r="HA23"/>
      <c r="HB23"/>
      <c r="HC23"/>
      <c r="HD23"/>
      <c r="HE23"/>
      <c r="HF23"/>
      <c r="HG23"/>
      <c r="HH23"/>
      <c r="HI23"/>
      <c r="HJ23"/>
      <c r="HK23"/>
      <c r="HL23"/>
      <c r="HM23"/>
      <c r="HN23"/>
      <c r="HO23"/>
      <c r="HP23"/>
      <c r="HQ23"/>
      <c r="HR23"/>
      <c r="HS23"/>
      <c r="HT23"/>
      <c r="HU23"/>
      <c r="HV23"/>
      <c r="HW23"/>
      <c r="HX23"/>
      <c r="HY23"/>
      <c r="HZ23"/>
      <c r="IA23"/>
      <c r="IB23"/>
      <c r="IC23"/>
      <c r="ID23"/>
      <c r="IE23"/>
      <c r="IF23"/>
      <c r="IG23"/>
      <c r="IH23"/>
      <c r="II23"/>
      <c r="IJ23"/>
      <c r="IK23"/>
      <c r="IL23"/>
      <c r="IM23"/>
      <c r="IN23"/>
      <c r="IO23"/>
      <c r="IP23"/>
      <c r="IQ23"/>
      <c r="IR23"/>
      <c r="IS23"/>
      <c r="IT23"/>
      <c r="IU23"/>
      <c r="IV23"/>
      <c r="IW23"/>
      <c r="IX23"/>
      <c r="IY23"/>
      <c r="IZ23"/>
    </row>
    <row r="24" spans="1:260" s="4" customFormat="1" x14ac:dyDescent="0.2">
      <c r="A24" s="179" t="s">
        <v>519</v>
      </c>
      <c r="B24" s="47">
        <v>41.811999999999998</v>
      </c>
      <c r="C24" s="47">
        <v>69.319999999999993</v>
      </c>
      <c r="D24" s="47">
        <v>291.55700000000002</v>
      </c>
      <c r="E24" s="709">
        <v>-226.96699999999998</v>
      </c>
      <c r="F24" s="47">
        <v>18.603999999999999</v>
      </c>
      <c r="G24" s="47">
        <f>187.38-F24</f>
        <v>168.77600000000001</v>
      </c>
      <c r="H24" s="47">
        <v>306.267</v>
      </c>
      <c r="I24" s="709">
        <v>-386.72699999999998</v>
      </c>
      <c r="J24" s="47">
        <v>28.724</v>
      </c>
      <c r="K24" s="47">
        <v>226.851</v>
      </c>
      <c r="L24" s="47">
        <v>460.608</v>
      </c>
      <c r="M24" s="709">
        <v>-437.66800000000001</v>
      </c>
      <c r="N24" s="47">
        <v>-158.55500000000001</v>
      </c>
      <c r="O24" s="47">
        <v>104.218</v>
      </c>
      <c r="P24" s="47">
        <v>428.42599999999999</v>
      </c>
      <c r="Q24" s="709">
        <v>-560.1389999999999</v>
      </c>
      <c r="R24" s="47">
        <v>32.552</v>
      </c>
      <c r="S24" s="47">
        <f>142.961-R24</f>
        <v>110.40900000000002</v>
      </c>
      <c r="T24" s="47">
        <f>665.019-S24-R24</f>
        <v>522.05799999999999</v>
      </c>
      <c r="U24" s="709">
        <v>-528.98599999999999</v>
      </c>
      <c r="V24" s="47">
        <v>-59.35</v>
      </c>
      <c r="W24" s="47">
        <f>72.193-V24</f>
        <v>131.54300000000001</v>
      </c>
      <c r="X24" s="47">
        <v>683.55899999999986</v>
      </c>
      <c r="Y24" s="709">
        <v>-506.65799999999984</v>
      </c>
      <c r="Z24" s="47">
        <v>-144.417</v>
      </c>
      <c r="AA24" s="47">
        <f>47.175-Z24</f>
        <v>191.59199999999998</v>
      </c>
      <c r="AB24" s="47">
        <f>1058.508-SUM(Z24:AA24)</f>
        <v>1011.3330000000001</v>
      </c>
      <c r="AC24" s="709">
        <f t="shared" si="19"/>
        <v>-756.31400000000008</v>
      </c>
      <c r="AD24" s="47">
        <v>-91</v>
      </c>
      <c r="AE24" s="47">
        <f>165-AD24</f>
        <v>256</v>
      </c>
      <c r="AF24" s="47">
        <f>1169-SUM(AD24:AE24)</f>
        <v>1004</v>
      </c>
      <c r="AG24" s="709">
        <f t="shared" si="20"/>
        <v>-1010</v>
      </c>
      <c r="AH24" s="47">
        <v>49</v>
      </c>
      <c r="AI24" s="47">
        <f>285-AH24</f>
        <v>236</v>
      </c>
      <c r="AJ24" s="47">
        <f>1650-SUM(AH24:AI24)</f>
        <v>1365</v>
      </c>
      <c r="AK24" s="709">
        <f t="shared" si="21"/>
        <v>-1075</v>
      </c>
      <c r="AL24" s="47">
        <v>-31</v>
      </c>
      <c r="AM24" s="47">
        <v>-91</v>
      </c>
      <c r="AN24" s="47">
        <v>1734</v>
      </c>
      <c r="AO24" s="709">
        <f t="shared" si="22"/>
        <v>-1632</v>
      </c>
      <c r="AP24" s="47">
        <v>145</v>
      </c>
      <c r="AQ24" s="47">
        <f>380-AP24</f>
        <v>235</v>
      </c>
      <c r="AR24" s="47">
        <f>2263-AQ24-AP24</f>
        <v>1883</v>
      </c>
      <c r="AS24" s="709">
        <f t="shared" si="23"/>
        <v>-1991</v>
      </c>
      <c r="AT24" s="47">
        <v>181</v>
      </c>
      <c r="AU24" s="47">
        <f>265-AT24</f>
        <v>84</v>
      </c>
      <c r="AV24" s="47">
        <f>2550-AT24-AU24</f>
        <v>2285</v>
      </c>
      <c r="AW24" s="709">
        <f t="shared" si="24"/>
        <v>-2203</v>
      </c>
      <c r="AX24" s="47">
        <v>228</v>
      </c>
      <c r="AY24" s="47">
        <f>-75-AX24</f>
        <v>-303</v>
      </c>
      <c r="AZ24" s="47">
        <f>2487-AY24-AX24</f>
        <v>2562</v>
      </c>
      <c r="BA24" s="709">
        <f t="shared" si="25"/>
        <v>-2102</v>
      </c>
      <c r="BB24" s="47">
        <v>-201</v>
      </c>
      <c r="BC24" s="47">
        <f>231-BB24</f>
        <v>432</v>
      </c>
      <c r="BD24" s="47">
        <f>2595-SUM(BB24:BC24)</f>
        <v>2364</v>
      </c>
      <c r="BE24" s="709">
        <f t="shared" si="26"/>
        <v>-2275</v>
      </c>
      <c r="BF24" s="47">
        <v>-25</v>
      </c>
      <c r="BG24" s="47">
        <f>278-BF24</f>
        <v>303</v>
      </c>
      <c r="BH24" s="47">
        <f>3498-BF24-BG24</f>
        <v>3220</v>
      </c>
      <c r="BI24" s="709">
        <f>DZ24-BF24-BG24-BH24</f>
        <v>-3277</v>
      </c>
      <c r="BJ24" s="873">
        <v>344</v>
      </c>
      <c r="BK24" s="873">
        <f>782-BJ24</f>
        <v>438</v>
      </c>
      <c r="BL24" s="873">
        <f>3285-BJ24-BK24</f>
        <v>2503</v>
      </c>
      <c r="BM24" s="874">
        <f>EA24-BJ24-BK24-BL24</f>
        <v>-3146</v>
      </c>
      <c r="BN24" s="873">
        <v>-33</v>
      </c>
      <c r="BO24" s="873">
        <f>316-BN24</f>
        <v>349</v>
      </c>
      <c r="BP24" s="873">
        <f>3936-BN24-BO24</f>
        <v>3620</v>
      </c>
      <c r="BQ24" s="874">
        <f>EB24-BN24-BO24-BP24</f>
        <v>-3795</v>
      </c>
      <c r="BR24" s="873">
        <v>620</v>
      </c>
      <c r="BS24" s="873">
        <f>361-BR24</f>
        <v>-259</v>
      </c>
      <c r="BT24" s="873">
        <f>4492-BR24-BS24</f>
        <v>4131</v>
      </c>
      <c r="BU24" s="874">
        <f>EC24-BR24-BS24-BT24</f>
        <v>-4935</v>
      </c>
      <c r="BV24" s="873">
        <v>844</v>
      </c>
      <c r="BW24" s="873">
        <f>936-BV24</f>
        <v>92</v>
      </c>
      <c r="BX24" s="873">
        <f>5278-BW24-BV24</f>
        <v>4342</v>
      </c>
      <c r="BY24" s="874">
        <f>ED24-BV24-BW24-BX24</f>
        <v>-4704</v>
      </c>
      <c r="BZ24" s="873">
        <v>-1153</v>
      </c>
      <c r="CA24" s="873">
        <f>-834-BZ24</f>
        <v>319</v>
      </c>
      <c r="CB24" s="873">
        <f>967-CA24-BZ24</f>
        <v>1801</v>
      </c>
      <c r="CC24" s="874">
        <f>EG24-BZ24-CA24-CB24</f>
        <v>-929</v>
      </c>
      <c r="CD24" s="1062">
        <v>-1118</v>
      </c>
      <c r="CE24" s="947">
        <f>-1114-CD24</f>
        <v>4</v>
      </c>
      <c r="CF24" s="947">
        <f>465-CE24-CD24</f>
        <v>1579</v>
      </c>
      <c r="CG24" s="874">
        <f>-986-CD24-CE24-CF24</f>
        <v>-1451</v>
      </c>
      <c r="CH24" s="1143">
        <v>-144</v>
      </c>
      <c r="CI24" s="1095">
        <f>120-CH24</f>
        <v>264</v>
      </c>
      <c r="CJ24" s="1095">
        <f>1526-CI24-CH24</f>
        <v>1406</v>
      </c>
      <c r="CK24" s="655">
        <f t="shared" si="27"/>
        <v>-1092</v>
      </c>
      <c r="CL24" s="1628">
        <v>-446</v>
      </c>
      <c r="CM24" s="1629">
        <f>-335-CL24</f>
        <v>111</v>
      </c>
      <c r="CN24" s="1629">
        <f>1152-SUM(CL24:CM24)</f>
        <v>1487</v>
      </c>
      <c r="CO24" s="1630">
        <f t="shared" si="28"/>
        <v>-1688</v>
      </c>
      <c r="CP24" s="1629">
        <v>-73</v>
      </c>
      <c r="CQ24" s="1629">
        <f>355-CP24</f>
        <v>428</v>
      </c>
      <c r="CR24" s="1629">
        <f>1801-SUM(CP24:CQ24)</f>
        <v>1446</v>
      </c>
      <c r="CS24" s="1630">
        <f t="shared" si="29"/>
        <v>-1283</v>
      </c>
      <c r="CT24" s="1629">
        <v>-382</v>
      </c>
      <c r="CU24" s="1629">
        <f>15-CT24</f>
        <v>397</v>
      </c>
      <c r="CV24" s="1629">
        <f>1530-CU24-CT24</f>
        <v>1515</v>
      </c>
      <c r="CW24" s="1630">
        <f t="shared" si="30"/>
        <v>-1726</v>
      </c>
      <c r="CX24" s="2803">
        <f>-('Balance Sheet'!CW24-'Balance Sheet'!CX24)</f>
        <v>71.099917512255161</v>
      </c>
      <c r="CY24" s="841">
        <f>-('Balance Sheet'!CX24-'Balance Sheet'!CY24)</f>
        <v>460.22645801610724</v>
      </c>
      <c r="CZ24" s="841">
        <f>-('Balance Sheet'!CY24-'Balance Sheet'!CZ24)</f>
        <v>1560.6584936156987</v>
      </c>
      <c r="DA24" s="822">
        <f>-('Balance Sheet'!CZ24-'Balance Sheet'!DA24)</f>
        <v>-2068.3576882010684</v>
      </c>
      <c r="DB24" s="732"/>
      <c r="DC24" s="655"/>
      <c r="DD24" s="988" t="s">
        <v>599</v>
      </c>
      <c r="DE24" s="988" t="s">
        <v>599</v>
      </c>
      <c r="DF24" s="988" t="s">
        <v>599</v>
      </c>
      <c r="DG24" s="988" t="s">
        <v>599</v>
      </c>
      <c r="DH24" s="988" t="s">
        <v>599</v>
      </c>
      <c r="DI24" s="47">
        <v>12.19</v>
      </c>
      <c r="DJ24" s="47">
        <v>26.77</v>
      </c>
      <c r="DK24" s="47">
        <v>49.667999999999999</v>
      </c>
      <c r="DL24" s="47">
        <f t="shared" si="31"/>
        <v>175.72200000000004</v>
      </c>
      <c r="DM24" s="47">
        <f t="shared" si="32"/>
        <v>106.92000000000002</v>
      </c>
      <c r="DN24" s="47">
        <f t="shared" si="33"/>
        <v>278.51499999999999</v>
      </c>
      <c r="DO24" s="47">
        <f t="shared" si="34"/>
        <v>-186.0499999999999</v>
      </c>
      <c r="DP24" s="47">
        <f t="shared" si="35"/>
        <v>136.03300000000002</v>
      </c>
      <c r="DQ24" s="47">
        <f t="shared" si="36"/>
        <v>249.09399999999999</v>
      </c>
      <c r="DR24" s="47">
        <v>302.19400000000002</v>
      </c>
      <c r="DS24" s="47">
        <v>159</v>
      </c>
      <c r="DT24" s="47">
        <v>575</v>
      </c>
      <c r="DU24" s="47">
        <v>-20</v>
      </c>
      <c r="DV24" s="47">
        <v>272</v>
      </c>
      <c r="DW24" s="47">
        <v>347</v>
      </c>
      <c r="DX24" s="47">
        <v>385</v>
      </c>
      <c r="DY24" s="47">
        <v>320</v>
      </c>
      <c r="DZ24" s="47">
        <v>221</v>
      </c>
      <c r="EA24" s="873">
        <v>139</v>
      </c>
      <c r="EB24" s="873">
        <v>141</v>
      </c>
      <c r="EC24" s="873">
        <v>-443</v>
      </c>
      <c r="ED24" s="915">
        <v>574</v>
      </c>
      <c r="EE24" s="898">
        <v>0</v>
      </c>
      <c r="EF24" s="917">
        <v>353</v>
      </c>
      <c r="EG24" s="920">
        <v>38</v>
      </c>
      <c r="EH24" s="841">
        <f t="shared" si="37"/>
        <v>-986</v>
      </c>
      <c r="EI24" s="841">
        <v>434</v>
      </c>
      <c r="EJ24" s="841">
        <v>-536</v>
      </c>
      <c r="EK24" s="821">
        <v>518</v>
      </c>
      <c r="EL24" s="821">
        <v>-196</v>
      </c>
      <c r="EM24" s="1697">
        <f t="shared" si="38"/>
        <v>23.627180942992709</v>
      </c>
      <c r="EN24" s="838">
        <f>'Balance Sheet'!EN24-'Balance Sheet'!EM24</f>
        <v>70.300516131851509</v>
      </c>
      <c r="EO24" s="838">
        <f>'Balance Sheet'!EO24-'Balance Sheet'!EN24</f>
        <v>47.543489818587659</v>
      </c>
      <c r="EP24" s="838">
        <f>'Balance Sheet'!EP24-'Balance Sheet'!EO24</f>
        <v>46.688866337147374</v>
      </c>
      <c r="EQ24" s="838">
        <f>'Balance Sheet'!EQ24-'Balance Sheet'!EP24</f>
        <v>67.283475929686574</v>
      </c>
      <c r="ER24" s="838">
        <f>'Balance Sheet'!ER24-'Balance Sheet'!EQ24</f>
        <v>69.895594465627255</v>
      </c>
      <c r="ES24" s="838">
        <f>'Balance Sheet'!ES24-'Balance Sheet'!ER24</f>
        <v>72.638052948659606</v>
      </c>
      <c r="ET24" s="838">
        <f>'Balance Sheet'!ET24-'Balance Sheet'!ES24</f>
        <v>75.517442371448851</v>
      </c>
      <c r="EU24" s="820">
        <f>'Balance Sheet'!EU24-'Balance Sheet'!ET24</f>
        <v>78.540687590177185</v>
      </c>
      <c r="EV24" s="413"/>
      <c r="EW24"/>
      <c r="EX24"/>
      <c r="EY24"/>
      <c r="EZ24"/>
      <c r="FA24"/>
      <c r="FB24"/>
      <c r="FG24" s="841"/>
      <c r="FH24" s="841"/>
      <c r="FI24" s="841"/>
      <c r="FJ24" s="841"/>
      <c r="FK24" s="841"/>
      <c r="FL24"/>
      <c r="FM24"/>
      <c r="FN24"/>
      <c r="FO24"/>
      <c r="FP24"/>
      <c r="FQ24"/>
      <c r="FR24"/>
      <c r="FS24"/>
      <c r="FT24"/>
      <c r="FU24"/>
      <c r="FV24"/>
      <c r="FW24"/>
      <c r="FX24"/>
      <c r="FY24"/>
      <c r="FZ24"/>
      <c r="GA24"/>
      <c r="GB24"/>
      <c r="GC24"/>
      <c r="GD24"/>
      <c r="GE24"/>
      <c r="GF24"/>
      <c r="GG24"/>
      <c r="GH24"/>
      <c r="GI24"/>
      <c r="GJ24"/>
      <c r="GK24"/>
      <c r="GL24"/>
      <c r="GM24"/>
      <c r="GN24"/>
      <c r="GO24"/>
      <c r="GP24"/>
      <c r="GQ24"/>
      <c r="GR24"/>
      <c r="GS24"/>
      <c r="GT24"/>
      <c r="GU24"/>
      <c r="GV24"/>
      <c r="GW24"/>
      <c r="GX24"/>
      <c r="GY24"/>
      <c r="GZ24"/>
      <c r="HA24"/>
      <c r="HB24"/>
      <c r="HC24"/>
      <c r="HD24"/>
      <c r="HE24"/>
      <c r="HF24"/>
      <c r="HG24"/>
      <c r="HH24"/>
      <c r="HI24"/>
      <c r="HJ24"/>
      <c r="HK24"/>
      <c r="HL24"/>
      <c r="HM24"/>
      <c r="HN24"/>
      <c r="HO24"/>
      <c r="HP24"/>
      <c r="HQ24"/>
      <c r="HR24"/>
      <c r="HS24"/>
      <c r="HT24"/>
      <c r="HU24"/>
      <c r="HV24"/>
      <c r="HW24"/>
      <c r="HX24"/>
      <c r="HY24"/>
      <c r="HZ24"/>
      <c r="IA24"/>
      <c r="IB24"/>
      <c r="IC24"/>
      <c r="ID24"/>
      <c r="IE24"/>
      <c r="IF24"/>
      <c r="IG24"/>
      <c r="IH24"/>
      <c r="II24"/>
      <c r="IJ24"/>
      <c r="IK24"/>
      <c r="IL24"/>
      <c r="IM24"/>
      <c r="IN24"/>
      <c r="IO24"/>
      <c r="IP24"/>
      <c r="IQ24"/>
      <c r="IR24"/>
      <c r="IS24"/>
      <c r="IT24"/>
      <c r="IU24"/>
      <c r="IV24"/>
      <c r="IW24"/>
      <c r="IX24"/>
      <c r="IY24"/>
      <c r="IZ24"/>
    </row>
    <row r="25" spans="1:260" s="4" customFormat="1" x14ac:dyDescent="0.2">
      <c r="A25" s="179" t="s">
        <v>520</v>
      </c>
      <c r="B25" s="47">
        <v>-6.6309999999999993</v>
      </c>
      <c r="C25" s="47">
        <v>7.2439999999999998</v>
      </c>
      <c r="D25" s="47">
        <v>14.616</v>
      </c>
      <c r="E25" s="709">
        <v>17.785</v>
      </c>
      <c r="F25" s="47">
        <v>-7.7669999999999995</v>
      </c>
      <c r="G25" s="47">
        <f>-0.138+1.659-F25</f>
        <v>9.2880000000000003</v>
      </c>
      <c r="H25" s="47">
        <v>29.744</v>
      </c>
      <c r="I25" s="709">
        <v>14.851999999999997</v>
      </c>
      <c r="J25" s="47">
        <v>3.9990000000000001</v>
      </c>
      <c r="K25" s="47">
        <v>25.563000000000002</v>
      </c>
      <c r="L25" s="47">
        <v>60.499000000000002</v>
      </c>
      <c r="M25" s="709">
        <v>-39.46200000000001</v>
      </c>
      <c r="N25" s="47">
        <v>16.420000000000002</v>
      </c>
      <c r="O25" s="47">
        <v>3.450999999999997</v>
      </c>
      <c r="P25" s="47">
        <v>14.635</v>
      </c>
      <c r="Q25" s="709">
        <v>-29.717999999999996</v>
      </c>
      <c r="R25" s="47">
        <v>3.0179999999999998</v>
      </c>
      <c r="S25" s="47">
        <f>23.285-R25</f>
        <v>20.266999999999999</v>
      </c>
      <c r="T25" s="47">
        <f>39.281-S25-R25</f>
        <v>15.995999999999999</v>
      </c>
      <c r="U25" s="709">
        <v>-8.1349999999999998</v>
      </c>
      <c r="V25" s="47">
        <v>-25.439</v>
      </c>
      <c r="W25" s="47">
        <f>-10.217-V25</f>
        <v>15.222</v>
      </c>
      <c r="X25" s="47">
        <v>68.036000000000001</v>
      </c>
      <c r="Y25" s="709">
        <v>51.893999999999991</v>
      </c>
      <c r="Z25" s="47">
        <v>-10.542999999999999</v>
      </c>
      <c r="AA25" s="47">
        <f>36.441-Z25</f>
        <v>46.984000000000002</v>
      </c>
      <c r="AB25" s="47">
        <f>153.542-SUM(Z25:AA25)</f>
        <v>117.101</v>
      </c>
      <c r="AC25" s="709">
        <f t="shared" si="19"/>
        <v>-44.713000000000008</v>
      </c>
      <c r="AD25" s="47">
        <f>-13+53</f>
        <v>40</v>
      </c>
      <c r="AE25" s="47">
        <f>(3+74)-AD25</f>
        <v>37</v>
      </c>
      <c r="AF25" s="47">
        <f>(31+116)-SUM(AD25:AE25)</f>
        <v>70</v>
      </c>
      <c r="AG25" s="709">
        <f t="shared" si="20"/>
        <v>2</v>
      </c>
      <c r="AH25" s="47">
        <f>3+19</f>
        <v>22</v>
      </c>
      <c r="AI25" s="47">
        <f>(17+190)-AH25</f>
        <v>185</v>
      </c>
      <c r="AJ25" s="47">
        <f>(52+328)-SUM(AH25:AI25)</f>
        <v>173</v>
      </c>
      <c r="AK25" s="709">
        <f t="shared" si="21"/>
        <v>-184</v>
      </c>
      <c r="AL25" s="47">
        <v>-61</v>
      </c>
      <c r="AM25" s="47">
        <v>37</v>
      </c>
      <c r="AN25" s="47">
        <v>115</v>
      </c>
      <c r="AO25" s="709">
        <f t="shared" si="22"/>
        <v>-5</v>
      </c>
      <c r="AP25" s="47">
        <v>-42</v>
      </c>
      <c r="AQ25" s="47">
        <f>74-AP25</f>
        <v>116</v>
      </c>
      <c r="AR25" s="47">
        <f>287-AQ25-AP25</f>
        <v>213</v>
      </c>
      <c r="AS25" s="709">
        <f t="shared" si="23"/>
        <v>-37</v>
      </c>
      <c r="AT25" s="47">
        <v>-134</v>
      </c>
      <c r="AU25" s="47">
        <f>-4-AT25</f>
        <v>130</v>
      </c>
      <c r="AV25" s="47">
        <f>193-AT25-AU25</f>
        <v>197</v>
      </c>
      <c r="AW25" s="709">
        <f t="shared" si="24"/>
        <v>50</v>
      </c>
      <c r="AX25" s="47">
        <f>-189-371</f>
        <v>-560</v>
      </c>
      <c r="AY25" s="47">
        <f>-19-273-AX25</f>
        <v>268</v>
      </c>
      <c r="AZ25" s="47">
        <f>218-193-AY25-AX25</f>
        <v>317</v>
      </c>
      <c r="BA25" s="709">
        <f t="shared" si="25"/>
        <v>318</v>
      </c>
      <c r="BB25" s="47">
        <f>-179-391</f>
        <v>-570</v>
      </c>
      <c r="BC25" s="47">
        <f>(-185-263)-BB25</f>
        <v>122</v>
      </c>
      <c r="BD25" s="47">
        <f>(246-324)-SUM(BB25:BC25)</f>
        <v>370</v>
      </c>
      <c r="BE25" s="709">
        <f t="shared" si="26"/>
        <v>127</v>
      </c>
      <c r="BF25" s="47">
        <f>-232-272</f>
        <v>-504</v>
      </c>
      <c r="BG25" s="47">
        <f>-142-204-BF25</f>
        <v>158</v>
      </c>
      <c r="BH25" s="47">
        <f>176-123-BG25-BF25</f>
        <v>399</v>
      </c>
      <c r="BI25" s="709">
        <f>DZ25-BF25-BG25-BH25</f>
        <v>120</v>
      </c>
      <c r="BJ25" s="873">
        <f>-87</f>
        <v>-87</v>
      </c>
      <c r="BK25" s="873">
        <f>-126-BJ25</f>
        <v>-39</v>
      </c>
      <c r="BL25" s="873">
        <f>152-BJ25-BK25</f>
        <v>278</v>
      </c>
      <c r="BM25" s="874">
        <f>EA25-BJ25-BK25-BL25</f>
        <v>-227</v>
      </c>
      <c r="BN25" s="873">
        <v>-163</v>
      </c>
      <c r="BO25" s="873">
        <f>-33-BN25</f>
        <v>130</v>
      </c>
      <c r="BP25" s="873">
        <f>374-BN25-BO25</f>
        <v>407</v>
      </c>
      <c r="BQ25" s="874">
        <f>EB25-BN25-BO25-BP25</f>
        <v>-95</v>
      </c>
      <c r="BR25" s="873">
        <v>-208</v>
      </c>
      <c r="BS25" s="873">
        <f>-225-BR25</f>
        <v>-17</v>
      </c>
      <c r="BT25" s="873">
        <f>159-BR25-BS25</f>
        <v>384</v>
      </c>
      <c r="BU25" s="874">
        <f>EC25-BR25-BS25-BT25</f>
        <v>-315</v>
      </c>
      <c r="BV25" s="873">
        <v>-86</v>
      </c>
      <c r="BW25" s="873">
        <f>-96-BV25</f>
        <v>-10</v>
      </c>
      <c r="BX25" s="873">
        <f>340-BW25-BV25</f>
        <v>436</v>
      </c>
      <c r="BY25" s="874">
        <f>ED25-BV25-BW25-BX25</f>
        <v>-363</v>
      </c>
      <c r="BZ25" s="873">
        <v>-264</v>
      </c>
      <c r="CA25" s="873">
        <f>-575-BZ25</f>
        <v>-311</v>
      </c>
      <c r="CB25" s="873">
        <f>-541-CA25-BZ25</f>
        <v>34</v>
      </c>
      <c r="CC25" s="874">
        <f>EG25-BZ25-CA25-CB25</f>
        <v>109</v>
      </c>
      <c r="CD25" s="1062">
        <v>-362</v>
      </c>
      <c r="CE25" s="947">
        <f>-392-CD25</f>
        <v>-30</v>
      </c>
      <c r="CF25" s="947">
        <f>-347-45-CE25-CD25</f>
        <v>0</v>
      </c>
      <c r="CG25" s="874">
        <f>-273-CD25-CE25-CF25</f>
        <v>119</v>
      </c>
      <c r="CH25" s="1143">
        <v>-312</v>
      </c>
      <c r="CI25" s="1095">
        <f>-270-64-CH25</f>
        <v>-22</v>
      </c>
      <c r="CJ25" s="1095">
        <f>-263-CI25-CH25</f>
        <v>71</v>
      </c>
      <c r="CK25" s="655">
        <f t="shared" si="27"/>
        <v>99</v>
      </c>
      <c r="CL25" s="1628">
        <v>-309</v>
      </c>
      <c r="CM25" s="1629">
        <f>-284-CL25</f>
        <v>25</v>
      </c>
      <c r="CN25" s="1629">
        <f>-271-SUM(CL25:CM25)</f>
        <v>13</v>
      </c>
      <c r="CO25" s="1630">
        <f t="shared" si="28"/>
        <v>131</v>
      </c>
      <c r="CP25" s="1629">
        <v>-211</v>
      </c>
      <c r="CQ25" s="1629">
        <f>-159-CP25</f>
        <v>52</v>
      </c>
      <c r="CR25" s="1629">
        <f>-192-SUM(CP25:CQ25)</f>
        <v>-33</v>
      </c>
      <c r="CS25" s="1630">
        <f t="shared" si="29"/>
        <v>215</v>
      </c>
      <c r="CT25" s="1629">
        <v>-364</v>
      </c>
      <c r="CU25" s="1629">
        <f>-237-CT25</f>
        <v>127</v>
      </c>
      <c r="CV25" s="1629">
        <f>+-187-CU25-CT25</f>
        <v>50</v>
      </c>
      <c r="CW25" s="1630">
        <f t="shared" si="30"/>
        <v>304</v>
      </c>
      <c r="CX25" s="2803">
        <f>'Balance Sheet'!CX25-'Balance Sheet'!CW25+'Balance Sheet'!CX26-'Balance Sheet'!CW26+'Balance Sheet'!CX27-'Balance Sheet'!CW27+'Balance Sheet'!CX33-'Balance Sheet'!CW33</f>
        <v>-367.57616583274057</v>
      </c>
      <c r="CY25" s="841">
        <f>'Balance Sheet'!CY25-'Balance Sheet'!CX25+'Balance Sheet'!CY26-'Balance Sheet'!CX26+'Balance Sheet'!CY27-'Balance Sheet'!CX27+'Balance Sheet'!CY33-'Balance Sheet'!CX33</f>
        <v>-12.572370022377982</v>
      </c>
      <c r="CZ25" s="841">
        <f>'Balance Sheet'!CZ25-'Balance Sheet'!CY25+'Balance Sheet'!CZ26-'Balance Sheet'!CY26+'Balance Sheet'!CZ27-'Balance Sheet'!CY27+'Balance Sheet'!CZ33-'Balance Sheet'!CY33</f>
        <v>132.63061786889318</v>
      </c>
      <c r="DA25" s="822">
        <f>'Balance Sheet'!DA25-'Balance Sheet'!CZ25+'Balance Sheet'!DA26-'Balance Sheet'!CZ26+'Balance Sheet'!DA27-'Balance Sheet'!CZ27+'Balance Sheet'!DA33-'Balance Sheet'!CZ33</f>
        <v>203.22796412177911</v>
      </c>
      <c r="DB25" s="732"/>
      <c r="DC25" s="655"/>
      <c r="DD25" s="988" t="s">
        <v>599</v>
      </c>
      <c r="DE25" s="988" t="s">
        <v>599</v>
      </c>
      <c r="DF25" s="988" t="s">
        <v>599</v>
      </c>
      <c r="DG25" s="988" t="s">
        <v>599</v>
      </c>
      <c r="DH25" s="988" t="s">
        <v>599</v>
      </c>
      <c r="DI25" s="47">
        <v>0.77700000000000002</v>
      </c>
      <c r="DJ25" s="47">
        <v>7.0620000000000003</v>
      </c>
      <c r="DK25" s="47">
        <v>16.106000000000002</v>
      </c>
      <c r="DL25" s="47">
        <f t="shared" si="31"/>
        <v>33.013999999999996</v>
      </c>
      <c r="DM25" s="47">
        <f t="shared" si="32"/>
        <v>46.116999999999997</v>
      </c>
      <c r="DN25" s="47">
        <f t="shared" si="33"/>
        <v>50.598999999999997</v>
      </c>
      <c r="DO25" s="47">
        <f t="shared" si="34"/>
        <v>4.7880000000000038</v>
      </c>
      <c r="DP25" s="47">
        <f t="shared" si="35"/>
        <v>31.146000000000001</v>
      </c>
      <c r="DQ25" s="47">
        <f t="shared" si="36"/>
        <v>109.71299999999999</v>
      </c>
      <c r="DR25" s="47">
        <v>108.82899999999999</v>
      </c>
      <c r="DS25" s="47">
        <v>149</v>
      </c>
      <c r="DT25" s="47">
        <v>196</v>
      </c>
      <c r="DU25" s="47">
        <v>86</v>
      </c>
      <c r="DV25" s="47">
        <v>250</v>
      </c>
      <c r="DW25" s="47">
        <v>243</v>
      </c>
      <c r="DX25" s="47">
        <f>343</f>
        <v>343</v>
      </c>
      <c r="DY25" s="47">
        <f>185-136</f>
        <v>49</v>
      </c>
      <c r="DZ25" s="47">
        <f>74+99</f>
        <v>173</v>
      </c>
      <c r="EA25" s="873">
        <f>-75</f>
        <v>-75</v>
      </c>
      <c r="EB25" s="873">
        <f>279</f>
        <v>279</v>
      </c>
      <c r="EC25" s="873">
        <f>-156</f>
        <v>-156</v>
      </c>
      <c r="ED25" s="915">
        <v>-23</v>
      </c>
      <c r="EE25" s="898">
        <v>0</v>
      </c>
      <c r="EF25" s="917">
        <v>0</v>
      </c>
      <c r="EG25" s="920">
        <v>-432</v>
      </c>
      <c r="EH25" s="841">
        <f t="shared" si="37"/>
        <v>-273</v>
      </c>
      <c r="EI25" s="841">
        <v>-164</v>
      </c>
      <c r="EJ25" s="841">
        <v>-140</v>
      </c>
      <c r="EK25" s="821">
        <v>23</v>
      </c>
      <c r="EL25" s="821">
        <v>117</v>
      </c>
      <c r="EM25" s="1697">
        <f t="shared" si="38"/>
        <v>-44.289953864446261</v>
      </c>
      <c r="EN25" s="838">
        <f>'Balance Sheet'!EN25-'Balance Sheet'!EM25+'Balance Sheet'!EN26-'Balance Sheet'!EM26+'Balance Sheet'!EN27-'Balance Sheet'!EM27+'Balance Sheet'!EN33-'Balance Sheet'!EM33</f>
        <v>24.177903209331816</v>
      </c>
      <c r="EO25" s="838">
        <f>'Balance Sheet'!EO25-'Balance Sheet'!EN25+'Balance Sheet'!EO26-'Balance Sheet'!EN26+'Balance Sheet'!EO27-'Balance Sheet'!EN27+'Balance Sheet'!EO33-'Balance Sheet'!EN33</f>
        <v>24.069047920223284</v>
      </c>
      <c r="EP25" s="838">
        <f>'Balance Sheet'!EP25-'Balance Sheet'!EO25+'Balance Sheet'!EP26-'Balance Sheet'!EO26+'Balance Sheet'!EP27-'Balance Sheet'!EO27+'Balance Sheet'!EP33-'Balance Sheet'!EO33</f>
        <v>21.314892212010818</v>
      </c>
      <c r="EQ25" s="838">
        <f>'Balance Sheet'!EQ25-'Balance Sheet'!EP25+'Balance Sheet'!EQ26-'Balance Sheet'!EP26+'Balance Sheet'!EQ27-'Balance Sheet'!EP27+'Balance Sheet'!EQ33-'Balance Sheet'!EP33</f>
        <v>31.328635081522634</v>
      </c>
      <c r="ER25" s="838">
        <f>'Balance Sheet'!ER25-'Balance Sheet'!EQ25+'Balance Sheet'!ER26-'Balance Sheet'!EQ26+'Balance Sheet'!ER27-'Balance Sheet'!EQ27+'Balance Sheet'!ER33-'Balance Sheet'!EQ33</f>
        <v>32.561077154052327</v>
      </c>
      <c r="ES25" s="838">
        <f>'Balance Sheet'!ES25-'Balance Sheet'!ER25+'Balance Sheet'!ES26-'Balance Sheet'!ER26+'Balance Sheet'!ES27-'Balance Sheet'!ER27+'Balance Sheet'!ES33-'Balance Sheet'!ER33</f>
        <v>33.854576422085074</v>
      </c>
      <c r="ET25" s="838">
        <f>'Balance Sheet'!ET25-'Balance Sheet'!ES25+'Balance Sheet'!ET26-'Balance Sheet'!ES26+'Balance Sheet'!ET27-'Balance Sheet'!ES27+'Balance Sheet'!ET33-'Balance Sheet'!ES33</f>
        <v>35.212181288772172</v>
      </c>
      <c r="EU25" s="820">
        <f>'Balance Sheet'!EU25-'Balance Sheet'!ET25+'Balance Sheet'!EU26-'Balance Sheet'!ET26+'Balance Sheet'!EU27-'Balance Sheet'!ET27+'Balance Sheet'!EU33-'Balance Sheet'!ET33</f>
        <v>36.637092605406906</v>
      </c>
      <c r="EV25" s="413"/>
      <c r="EW25"/>
      <c r="EX25"/>
      <c r="EY25"/>
      <c r="EZ25"/>
      <c r="FA25"/>
      <c r="FB25"/>
      <c r="FG25" s="841"/>
      <c r="FH25" s="841"/>
      <c r="FI25" s="841"/>
      <c r="FJ25" s="841"/>
      <c r="FK25" s="841"/>
      <c r="FL25"/>
      <c r="FM25"/>
      <c r="FN25"/>
      <c r="FO25"/>
      <c r="FP25"/>
      <c r="FQ25"/>
      <c r="FR25"/>
      <c r="FS25"/>
      <c r="FT25"/>
      <c r="FU25"/>
      <c r="FV25"/>
      <c r="FW25"/>
      <c r="FX25"/>
      <c r="FY25"/>
      <c r="FZ25"/>
      <c r="GA25"/>
      <c r="GB25"/>
      <c r="GC25"/>
      <c r="GD25"/>
      <c r="GE25"/>
      <c r="GF25"/>
      <c r="GG25"/>
      <c r="GH25"/>
      <c r="GI25"/>
      <c r="GJ25"/>
      <c r="GK25"/>
      <c r="GL25"/>
      <c r="GM25"/>
      <c r="GN25"/>
      <c r="GO25"/>
      <c r="GP25"/>
      <c r="GQ25"/>
      <c r="GR25"/>
      <c r="GS25"/>
      <c r="GT25"/>
      <c r="GU25"/>
      <c r="GV25"/>
      <c r="GW25"/>
      <c r="GX25"/>
      <c r="GY25"/>
      <c r="GZ25"/>
      <c r="HA25"/>
      <c r="HB25"/>
      <c r="HC25"/>
      <c r="HD25"/>
      <c r="HE25"/>
      <c r="HF25"/>
      <c r="HG25"/>
      <c r="HH25"/>
      <c r="HI25"/>
      <c r="HJ25"/>
      <c r="HK25"/>
      <c r="HL25"/>
      <c r="HM25"/>
      <c r="HN25"/>
      <c r="HO25"/>
      <c r="HP25"/>
      <c r="HQ25"/>
      <c r="HR25"/>
      <c r="HS25"/>
      <c r="HT25"/>
      <c r="HU25"/>
      <c r="HV25"/>
      <c r="HW25"/>
      <c r="HX25"/>
      <c r="HY25"/>
      <c r="HZ25"/>
      <c r="IA25"/>
      <c r="IB25"/>
      <c r="IC25"/>
      <c r="ID25"/>
      <c r="IE25"/>
      <c r="IF25"/>
      <c r="IG25"/>
      <c r="IH25"/>
      <c r="II25"/>
      <c r="IJ25"/>
      <c r="IK25"/>
      <c r="IL25"/>
      <c r="IM25"/>
      <c r="IN25"/>
      <c r="IO25"/>
      <c r="IP25"/>
      <c r="IQ25"/>
      <c r="IR25"/>
      <c r="IS25"/>
      <c r="IT25"/>
      <c r="IU25"/>
      <c r="IV25"/>
      <c r="IW25"/>
      <c r="IX25"/>
      <c r="IY25"/>
      <c r="IZ25"/>
    </row>
    <row r="26" spans="1:260" s="4" customFormat="1" x14ac:dyDescent="0.2">
      <c r="A26" s="179" t="s">
        <v>521</v>
      </c>
      <c r="B26" s="981">
        <v>0.57599999999999996</v>
      </c>
      <c r="C26" s="981">
        <v>3.32</v>
      </c>
      <c r="D26" s="981">
        <v>1.827</v>
      </c>
      <c r="E26" s="982">
        <v>2.67</v>
      </c>
      <c r="F26" s="981">
        <v>2.2189999999999999</v>
      </c>
      <c r="G26" s="981">
        <f>5.305-F26</f>
        <v>3.0859999999999999</v>
      </c>
      <c r="H26" s="981">
        <v>5.9349999999999996</v>
      </c>
      <c r="I26" s="982">
        <v>8.4830000000000005</v>
      </c>
      <c r="J26" s="981">
        <v>4.8760000000000003</v>
      </c>
      <c r="K26" s="981">
        <v>6.246999999999999</v>
      </c>
      <c r="L26" s="981">
        <v>9.3699999999999992</v>
      </c>
      <c r="M26" s="982">
        <v>-7.4989999999999988</v>
      </c>
      <c r="N26" s="981">
        <v>-8.2100000000000009</v>
      </c>
      <c r="O26" s="981">
        <v>-7.9409999999999989</v>
      </c>
      <c r="P26" s="981">
        <v>-7.6430000000000007</v>
      </c>
      <c r="Q26" s="982">
        <v>-3.468</v>
      </c>
      <c r="R26" s="981">
        <v>-3.4489999999999998</v>
      </c>
      <c r="S26" s="981">
        <f>-8.394-R26</f>
        <v>-4.9450000000000003</v>
      </c>
      <c r="T26" s="981">
        <v>0</v>
      </c>
      <c r="U26" s="982">
        <v>46.113</v>
      </c>
      <c r="V26" s="981">
        <v>-24.608000000000001</v>
      </c>
      <c r="W26" s="981">
        <f>1.872-V26</f>
        <v>26.48</v>
      </c>
      <c r="X26" s="981">
        <v>4.4710000000000036</v>
      </c>
      <c r="Y26" s="982">
        <v>15.9</v>
      </c>
      <c r="Z26" s="981">
        <v>0</v>
      </c>
      <c r="AA26" s="981">
        <v>0</v>
      </c>
      <c r="AB26" s="981">
        <v>0</v>
      </c>
      <c r="AC26" s="982">
        <f t="shared" si="19"/>
        <v>0</v>
      </c>
      <c r="AD26" s="981">
        <v>0</v>
      </c>
      <c r="AE26" s="981">
        <v>0</v>
      </c>
      <c r="AF26" s="981">
        <v>0</v>
      </c>
      <c r="AG26" s="982">
        <f t="shared" si="20"/>
        <v>0</v>
      </c>
      <c r="AH26" s="981">
        <v>0</v>
      </c>
      <c r="AI26" s="981">
        <v>0</v>
      </c>
      <c r="AJ26" s="981">
        <v>0</v>
      </c>
      <c r="AK26" s="982">
        <f t="shared" si="21"/>
        <v>0</v>
      </c>
      <c r="AL26" s="981">
        <v>0</v>
      </c>
      <c r="AM26" s="981">
        <f>0-AL26</f>
        <v>0</v>
      </c>
      <c r="AN26" s="981">
        <v>0</v>
      </c>
      <c r="AO26" s="982">
        <f t="shared" si="22"/>
        <v>0</v>
      </c>
      <c r="AP26" s="981">
        <v>0</v>
      </c>
      <c r="AQ26" s="981">
        <f>0-AP26</f>
        <v>0</v>
      </c>
      <c r="AR26" s="981"/>
      <c r="AS26" s="982">
        <f t="shared" si="23"/>
        <v>0</v>
      </c>
      <c r="AT26" s="981">
        <v>0</v>
      </c>
      <c r="AU26" s="981">
        <f>0-AT26</f>
        <v>0</v>
      </c>
      <c r="AV26" s="981">
        <f>0-AU26</f>
        <v>0</v>
      </c>
      <c r="AW26" s="982">
        <f t="shared" si="24"/>
        <v>0</v>
      </c>
      <c r="AX26" s="981">
        <v>0</v>
      </c>
      <c r="AY26" s="981">
        <f>0-AX26</f>
        <v>0</v>
      </c>
      <c r="AZ26" s="981">
        <f>0-AY26</f>
        <v>0</v>
      </c>
      <c r="BA26" s="982">
        <f t="shared" si="25"/>
        <v>0</v>
      </c>
      <c r="BB26" s="981">
        <v>0</v>
      </c>
      <c r="BC26" s="981">
        <v>0</v>
      </c>
      <c r="BD26" s="981">
        <v>0</v>
      </c>
      <c r="BE26" s="982">
        <f t="shared" si="26"/>
        <v>0</v>
      </c>
      <c r="BF26" s="981">
        <v>0</v>
      </c>
      <c r="BG26" s="981">
        <v>0</v>
      </c>
      <c r="BH26" s="981">
        <v>0</v>
      </c>
      <c r="BI26" s="982">
        <f>DZ26-SUM(BF26:BH26)</f>
        <v>0</v>
      </c>
      <c r="BJ26" s="790">
        <v>0</v>
      </c>
      <c r="BK26" s="790">
        <v>0</v>
      </c>
      <c r="BL26" s="790">
        <v>0</v>
      </c>
      <c r="BM26" s="944">
        <f>EA26-SUM(BJ26:BL26)</f>
        <v>0</v>
      </c>
      <c r="BN26" s="911">
        <v>0</v>
      </c>
      <c r="BO26" s="911">
        <v>0</v>
      </c>
      <c r="BP26" s="911">
        <v>0</v>
      </c>
      <c r="BQ26" s="912">
        <f>EB26-SUM(BN26:BP26)</f>
        <v>0</v>
      </c>
      <c r="BR26" s="911">
        <v>0</v>
      </c>
      <c r="BS26" s="911">
        <v>0</v>
      </c>
      <c r="BT26" s="911">
        <v>0</v>
      </c>
      <c r="BU26" s="912">
        <v>0</v>
      </c>
      <c r="BV26" s="911">
        <v>0</v>
      </c>
      <c r="BW26" s="911">
        <v>0</v>
      </c>
      <c r="BX26" s="911">
        <v>0</v>
      </c>
      <c r="BY26" s="912">
        <v>0</v>
      </c>
      <c r="BZ26" s="911">
        <v>0</v>
      </c>
      <c r="CA26" s="911">
        <v>0</v>
      </c>
      <c r="CB26" s="911">
        <v>0</v>
      </c>
      <c r="CC26" s="912">
        <v>0</v>
      </c>
      <c r="CD26" s="1064">
        <v>0</v>
      </c>
      <c r="CE26" s="911">
        <v>0</v>
      </c>
      <c r="CF26" s="911">
        <v>0</v>
      </c>
      <c r="CG26" s="912">
        <v>0</v>
      </c>
      <c r="CH26" s="1455">
        <v>0</v>
      </c>
      <c r="CI26" s="1456">
        <v>0</v>
      </c>
      <c r="CJ26" s="1456">
        <v>0</v>
      </c>
      <c r="CK26" s="1457">
        <f t="shared" si="27"/>
        <v>0</v>
      </c>
      <c r="CL26" s="1632">
        <v>0</v>
      </c>
      <c r="CM26" s="1000">
        <v>0</v>
      </c>
      <c r="CN26" s="1000">
        <v>0</v>
      </c>
      <c r="CO26" s="1633">
        <f t="shared" si="28"/>
        <v>0</v>
      </c>
      <c r="CP26" s="1000">
        <v>0</v>
      </c>
      <c r="CQ26" s="1000">
        <v>0</v>
      </c>
      <c r="CR26" s="1000">
        <v>0</v>
      </c>
      <c r="CS26" s="1633">
        <f t="shared" si="29"/>
        <v>0</v>
      </c>
      <c r="CT26" s="1000">
        <v>0</v>
      </c>
      <c r="CU26" s="1000">
        <v>0</v>
      </c>
      <c r="CV26" s="1000">
        <v>0</v>
      </c>
      <c r="CW26" s="1633">
        <f t="shared" si="30"/>
        <v>0</v>
      </c>
      <c r="CX26" s="2805">
        <v>0</v>
      </c>
      <c r="CY26" s="1000">
        <v>0</v>
      </c>
      <c r="CZ26" s="1000">
        <v>0</v>
      </c>
      <c r="DA26" s="1668">
        <v>0</v>
      </c>
      <c r="DB26" s="667"/>
      <c r="DC26" s="524"/>
      <c r="DD26" s="989" t="s">
        <v>599</v>
      </c>
      <c r="DE26" s="989" t="s">
        <v>599</v>
      </c>
      <c r="DF26" s="989" t="s">
        <v>599</v>
      </c>
      <c r="DG26" s="989" t="s">
        <v>599</v>
      </c>
      <c r="DH26" s="989" t="s">
        <v>599</v>
      </c>
      <c r="DI26" s="981">
        <v>0.11899999999999999</v>
      </c>
      <c r="DJ26" s="981">
        <v>1.6E-2</v>
      </c>
      <c r="DK26" s="981">
        <v>6.1479999999999997</v>
      </c>
      <c r="DL26" s="981">
        <f t="shared" si="31"/>
        <v>8.3930000000000007</v>
      </c>
      <c r="DM26" s="981">
        <f t="shared" si="32"/>
        <v>19.722999999999999</v>
      </c>
      <c r="DN26" s="981">
        <f t="shared" si="33"/>
        <v>12.994</v>
      </c>
      <c r="DO26" s="981">
        <f t="shared" si="34"/>
        <v>-27.262</v>
      </c>
      <c r="DP26" s="981">
        <f t="shared" si="35"/>
        <v>37.719000000000001</v>
      </c>
      <c r="DQ26" s="981">
        <f t="shared" si="36"/>
        <v>22.243000000000002</v>
      </c>
      <c r="DR26" s="981">
        <v>0</v>
      </c>
      <c r="DS26" s="981">
        <v>0</v>
      </c>
      <c r="DT26" s="981">
        <v>0</v>
      </c>
      <c r="DU26" s="981">
        <v>0</v>
      </c>
      <c r="DV26" s="981">
        <v>0</v>
      </c>
      <c r="DW26" s="981">
        <v>0</v>
      </c>
      <c r="DX26" s="981">
        <v>0</v>
      </c>
      <c r="DY26" s="981">
        <v>0</v>
      </c>
      <c r="DZ26" s="981">
        <v>0</v>
      </c>
      <c r="EA26" s="790">
        <v>0</v>
      </c>
      <c r="EB26" s="918">
        <v>0</v>
      </c>
      <c r="EC26" s="918">
        <v>0</v>
      </c>
      <c r="ED26" s="918">
        <v>0</v>
      </c>
      <c r="EE26" s="911">
        <v>0</v>
      </c>
      <c r="EF26" s="1064">
        <v>0</v>
      </c>
      <c r="EG26" s="918">
        <v>0</v>
      </c>
      <c r="EH26" s="1453">
        <f t="shared" si="37"/>
        <v>0</v>
      </c>
      <c r="EI26" s="1453">
        <v>0</v>
      </c>
      <c r="EJ26" s="1453">
        <v>0</v>
      </c>
      <c r="EK26" s="1450">
        <v>0</v>
      </c>
      <c r="EL26" s="1450">
        <v>0</v>
      </c>
      <c r="EM26" s="1701">
        <f t="shared" si="38"/>
        <v>0</v>
      </c>
      <c r="EN26" s="1450">
        <v>0</v>
      </c>
      <c r="EO26" s="1450">
        <v>0</v>
      </c>
      <c r="EP26" s="1450">
        <v>0</v>
      </c>
      <c r="EQ26" s="1450">
        <v>0</v>
      </c>
      <c r="ER26" s="1450">
        <v>0</v>
      </c>
      <c r="ES26" s="1450">
        <v>0</v>
      </c>
      <c r="ET26" s="1450">
        <v>0</v>
      </c>
      <c r="EU26" s="1451">
        <v>0</v>
      </c>
      <c r="EV26" s="413"/>
      <c r="EW26"/>
      <c r="EX26"/>
      <c r="EY26"/>
      <c r="EZ26"/>
      <c r="FA26"/>
      <c r="FB26"/>
      <c r="FG26" s="830"/>
      <c r="FH26" s="830"/>
      <c r="FI26" s="830"/>
      <c r="FJ26" s="830"/>
      <c r="FK26" s="830"/>
      <c r="FL26"/>
      <c r="FM26"/>
      <c r="FN26"/>
      <c r="FO26"/>
      <c r="FP26"/>
      <c r="FQ26"/>
      <c r="FR26"/>
      <c r="FS26"/>
      <c r="FT26"/>
      <c r="FU26"/>
      <c r="FV26"/>
      <c r="FW26"/>
      <c r="FX26"/>
      <c r="FY26"/>
      <c r="FZ26"/>
      <c r="GA26"/>
      <c r="GB26"/>
      <c r="GC26"/>
      <c r="GD26"/>
      <c r="GE26"/>
      <c r="GF26"/>
      <c r="GG26"/>
      <c r="GH26"/>
      <c r="GI26"/>
      <c r="GJ26"/>
      <c r="GK26"/>
      <c r="GL26"/>
      <c r="GM26"/>
      <c r="GN26"/>
      <c r="GO26"/>
      <c r="GP26"/>
      <c r="GQ26"/>
      <c r="GR26"/>
      <c r="GS26"/>
      <c r="GT26"/>
      <c r="GU26"/>
      <c r="GV26"/>
      <c r="GW26"/>
      <c r="GX26"/>
      <c r="GY26"/>
      <c r="GZ26"/>
      <c r="HA26"/>
      <c r="HB26"/>
      <c r="HC26"/>
      <c r="HD26"/>
      <c r="HE26"/>
      <c r="HF26"/>
      <c r="HG26"/>
      <c r="HH26"/>
      <c r="HI26"/>
      <c r="HJ26"/>
      <c r="HK26"/>
      <c r="HL26"/>
      <c r="HM26"/>
      <c r="HN26"/>
      <c r="HO26"/>
      <c r="HP26"/>
      <c r="HQ26"/>
      <c r="HR26"/>
      <c r="HS26"/>
      <c r="HT26"/>
      <c r="HU26"/>
      <c r="HV26"/>
      <c r="HW26"/>
      <c r="HX26"/>
      <c r="HY26"/>
      <c r="HZ26"/>
      <c r="IA26"/>
      <c r="IB26"/>
      <c r="IC26"/>
      <c r="ID26"/>
      <c r="IE26"/>
      <c r="IF26"/>
      <c r="IG26"/>
      <c r="IH26"/>
      <c r="II26"/>
      <c r="IJ26"/>
      <c r="IK26"/>
      <c r="IL26"/>
      <c r="IM26"/>
      <c r="IN26"/>
      <c r="IO26"/>
      <c r="IP26"/>
      <c r="IQ26"/>
      <c r="IR26"/>
      <c r="IS26"/>
      <c r="IT26"/>
      <c r="IU26"/>
      <c r="IV26"/>
      <c r="IW26"/>
      <c r="IX26"/>
      <c r="IY26"/>
      <c r="IZ26"/>
    </row>
    <row r="27" spans="1:260" s="6" customFormat="1" x14ac:dyDescent="0.2">
      <c r="A27" s="599" t="s">
        <v>522</v>
      </c>
      <c r="B27" s="873">
        <f t="shared" ref="B27:AG27" si="39">+B20+B21+B24</f>
        <v>-38.853999999999999</v>
      </c>
      <c r="C27" s="873">
        <f t="shared" si="39"/>
        <v>-68.623999999999995</v>
      </c>
      <c r="D27" s="873">
        <f t="shared" si="39"/>
        <v>-111.94500000000005</v>
      </c>
      <c r="E27" s="874">
        <f t="shared" si="39"/>
        <v>-7.7899999999999636</v>
      </c>
      <c r="F27" s="873">
        <f t="shared" si="39"/>
        <v>-62.350999999999999</v>
      </c>
      <c r="G27" s="873">
        <f t="shared" si="39"/>
        <v>1.3019999999999925</v>
      </c>
      <c r="H27" s="873">
        <f t="shared" si="39"/>
        <v>-387.63500000000005</v>
      </c>
      <c r="I27" s="874">
        <f t="shared" si="39"/>
        <v>254.38100000000009</v>
      </c>
      <c r="J27" s="873">
        <f t="shared" si="39"/>
        <v>-81.554999999999993</v>
      </c>
      <c r="K27" s="873">
        <f t="shared" si="39"/>
        <v>-56.286999999999978</v>
      </c>
      <c r="L27" s="873">
        <f t="shared" si="39"/>
        <v>-319.74499999999995</v>
      </c>
      <c r="M27" s="874">
        <f t="shared" si="39"/>
        <v>405.63900000000001</v>
      </c>
      <c r="N27" s="873">
        <f t="shared" si="39"/>
        <v>-309.66600000000005</v>
      </c>
      <c r="O27" s="873">
        <f t="shared" si="39"/>
        <v>4.6569999999999965</v>
      </c>
      <c r="P27" s="873">
        <f t="shared" si="39"/>
        <v>-75.20999999999998</v>
      </c>
      <c r="Q27" s="874">
        <f t="shared" si="39"/>
        <v>305.10900000000004</v>
      </c>
      <c r="R27" s="873">
        <f t="shared" si="39"/>
        <v>49.752000000000002</v>
      </c>
      <c r="S27" s="873">
        <f t="shared" si="39"/>
        <v>2.1340000000000146</v>
      </c>
      <c r="T27" s="873">
        <f t="shared" si="39"/>
        <v>-52.139999999999986</v>
      </c>
      <c r="U27" s="874">
        <f t="shared" si="39"/>
        <v>191.43700000000001</v>
      </c>
      <c r="V27" s="873">
        <f t="shared" si="39"/>
        <v>-79.567000000000007</v>
      </c>
      <c r="W27" s="873">
        <f t="shared" si="39"/>
        <v>-0.43000000000000682</v>
      </c>
      <c r="X27" s="873">
        <f t="shared" si="39"/>
        <v>28.842999999999847</v>
      </c>
      <c r="Y27" s="874">
        <f t="shared" si="39"/>
        <v>277.97100000000017</v>
      </c>
      <c r="Z27" s="873">
        <f t="shared" si="39"/>
        <v>-222.745</v>
      </c>
      <c r="AA27" s="873">
        <f t="shared" si="39"/>
        <v>-17.451000000000022</v>
      </c>
      <c r="AB27" s="873">
        <f t="shared" si="39"/>
        <v>11.467000000000098</v>
      </c>
      <c r="AC27" s="874">
        <f t="shared" si="39"/>
        <v>336.70799999999986</v>
      </c>
      <c r="AD27" s="873">
        <f t="shared" si="39"/>
        <v>-235</v>
      </c>
      <c r="AE27" s="873">
        <f t="shared" si="39"/>
        <v>115</v>
      </c>
      <c r="AF27" s="873">
        <f t="shared" si="39"/>
        <v>-93</v>
      </c>
      <c r="AG27" s="874">
        <f t="shared" si="39"/>
        <v>178</v>
      </c>
      <c r="AH27" s="873">
        <f t="shared" ref="AH27:BI27" si="40">+AH20+AH21+AH24</f>
        <v>-149</v>
      </c>
      <c r="AI27" s="873">
        <f t="shared" si="40"/>
        <v>82</v>
      </c>
      <c r="AJ27" s="873">
        <f t="shared" si="40"/>
        <v>42</v>
      </c>
      <c r="AK27" s="874">
        <f t="shared" si="40"/>
        <v>277</v>
      </c>
      <c r="AL27" s="873">
        <f t="shared" si="40"/>
        <v>-395</v>
      </c>
      <c r="AM27" s="873">
        <f t="shared" si="40"/>
        <v>-90</v>
      </c>
      <c r="AN27" s="873">
        <f t="shared" si="40"/>
        <v>-80</v>
      </c>
      <c r="AO27" s="874">
        <f t="shared" si="40"/>
        <v>231</v>
      </c>
      <c r="AP27" s="873">
        <f t="shared" si="40"/>
        <v>-117</v>
      </c>
      <c r="AQ27" s="873">
        <f t="shared" si="40"/>
        <v>-40</v>
      </c>
      <c r="AR27" s="873">
        <f t="shared" si="40"/>
        <v>4366</v>
      </c>
      <c r="AS27" s="874">
        <f t="shared" si="40"/>
        <v>-4471</v>
      </c>
      <c r="AT27" s="873">
        <f t="shared" si="40"/>
        <v>-179</v>
      </c>
      <c r="AU27" s="873">
        <f t="shared" si="40"/>
        <v>67</v>
      </c>
      <c r="AV27" s="873">
        <f t="shared" si="40"/>
        <v>95</v>
      </c>
      <c r="AW27" s="874">
        <f t="shared" si="40"/>
        <v>94</v>
      </c>
      <c r="AX27" s="873">
        <f t="shared" si="40"/>
        <v>-167</v>
      </c>
      <c r="AY27" s="873">
        <f t="shared" si="40"/>
        <v>-306</v>
      </c>
      <c r="AZ27" s="873">
        <f t="shared" si="40"/>
        <v>12</v>
      </c>
      <c r="BA27" s="874">
        <f t="shared" si="40"/>
        <v>346</v>
      </c>
      <c r="BB27" s="873">
        <f t="shared" si="40"/>
        <v>-510</v>
      </c>
      <c r="BC27" s="873">
        <f t="shared" si="40"/>
        <v>178</v>
      </c>
      <c r="BD27" s="873">
        <f t="shared" si="40"/>
        <v>-311</v>
      </c>
      <c r="BE27" s="874">
        <f t="shared" si="40"/>
        <v>343</v>
      </c>
      <c r="BF27" s="873">
        <f t="shared" si="40"/>
        <v>-154</v>
      </c>
      <c r="BG27" s="873">
        <f t="shared" si="40"/>
        <v>-119</v>
      </c>
      <c r="BH27" s="873">
        <f t="shared" si="40"/>
        <v>299</v>
      </c>
      <c r="BI27" s="874">
        <f t="shared" si="40"/>
        <v>-355</v>
      </c>
      <c r="BJ27" s="873">
        <f>BJ20+BJ21+BJ24</f>
        <v>76</v>
      </c>
      <c r="BK27" s="873">
        <f>BK20+BK21+BK24</f>
        <v>-250</v>
      </c>
      <c r="BL27" s="873">
        <f>BL20+BL21+BL24</f>
        <v>-783</v>
      </c>
      <c r="BM27" s="874">
        <f>+BM20+BM21+BM24</f>
        <v>935</v>
      </c>
      <c r="BN27" s="873">
        <f>BN20+BN21+BN24</f>
        <v>-280</v>
      </c>
      <c r="BO27" s="873">
        <f>BO20+BO21+BO24</f>
        <v>-122</v>
      </c>
      <c r="BP27" s="873">
        <f>BP20+BP21+BP24</f>
        <v>-440</v>
      </c>
      <c r="BQ27" s="874">
        <f>+BQ20+BQ21+BQ24</f>
        <v>311</v>
      </c>
      <c r="BR27" s="873">
        <f>BR20+BR21+BR24</f>
        <v>135</v>
      </c>
      <c r="BS27" s="873">
        <f>BS20+BS21+BS24</f>
        <v>-486</v>
      </c>
      <c r="BT27" s="873">
        <f>BT20+BT21+BT24</f>
        <v>-523</v>
      </c>
      <c r="BU27" s="874">
        <f>+BU20+BU21+BU24</f>
        <v>-340</v>
      </c>
      <c r="BV27" s="873">
        <f>BV20+BV21+BV24</f>
        <v>1065</v>
      </c>
      <c r="BW27" s="873">
        <f>BW20+BW21+BW24</f>
        <v>-139</v>
      </c>
      <c r="BX27" s="873">
        <f>BX20+BX21+BX24</f>
        <v>189</v>
      </c>
      <c r="BY27" s="874">
        <f>+BY20+BY21+BY24</f>
        <v>-380</v>
      </c>
      <c r="BZ27" s="873">
        <f>BZ20+BZ21+BZ24</f>
        <v>235</v>
      </c>
      <c r="CA27" s="873">
        <f>CA20+CA21+CA24</f>
        <v>-257</v>
      </c>
      <c r="CB27" s="873">
        <f>CB20+CB21+CB24</f>
        <v>-125</v>
      </c>
      <c r="CC27" s="874">
        <f t="shared" ref="CC27:CJ27" si="41">+CC20+CC21+CC24</f>
        <v>233</v>
      </c>
      <c r="CD27" s="1062">
        <f t="shared" si="41"/>
        <v>57</v>
      </c>
      <c r="CE27" s="947">
        <f t="shared" si="41"/>
        <v>-457</v>
      </c>
      <c r="CF27" s="947">
        <f t="shared" si="41"/>
        <v>99</v>
      </c>
      <c r="CG27" s="874">
        <f t="shared" si="41"/>
        <v>-81</v>
      </c>
      <c r="CH27" s="732">
        <f t="shared" si="41"/>
        <v>413</v>
      </c>
      <c r="CI27" s="1095">
        <f t="shared" si="41"/>
        <v>-197</v>
      </c>
      <c r="CJ27" s="1095">
        <f t="shared" si="41"/>
        <v>6</v>
      </c>
      <c r="CK27" s="655">
        <f t="shared" ref="CK27:CS27" si="42">+CK20+CK21+CK24</f>
        <v>52</v>
      </c>
      <c r="CL27" s="1628">
        <f t="shared" si="42"/>
        <v>117</v>
      </c>
      <c r="CM27" s="1629">
        <f t="shared" si="42"/>
        <v>-16</v>
      </c>
      <c r="CN27" s="1629">
        <f t="shared" si="42"/>
        <v>-214</v>
      </c>
      <c r="CO27" s="1630">
        <f t="shared" si="42"/>
        <v>-214</v>
      </c>
      <c r="CP27" s="1629">
        <f>+CP20+CP21+CP24</f>
        <v>365</v>
      </c>
      <c r="CQ27" s="1629">
        <f t="shared" si="42"/>
        <v>390</v>
      </c>
      <c r="CR27" s="1629">
        <f t="shared" si="42"/>
        <v>-244</v>
      </c>
      <c r="CS27" s="822">
        <f t="shared" si="42"/>
        <v>13</v>
      </c>
      <c r="CT27" s="841">
        <f>+CT20+CT21+CT24</f>
        <v>174</v>
      </c>
      <c r="CU27" s="841">
        <f t="shared" ref="CU27" si="43">+CU20+CU21+CU24</f>
        <v>-43</v>
      </c>
      <c r="CV27" s="841">
        <f t="shared" ref="CV27:DA27" si="44">+CV20+CV21+CV24</f>
        <v>1</v>
      </c>
      <c r="CW27" s="822">
        <f t="shared" si="44"/>
        <v>-348</v>
      </c>
      <c r="CX27" s="2803">
        <f t="shared" si="44"/>
        <v>260.27733617970762</v>
      </c>
      <c r="CY27" s="841">
        <f t="shared" si="44"/>
        <v>-1.687688864265283</v>
      </c>
      <c r="CZ27" s="841">
        <f t="shared" si="44"/>
        <v>22.215652217518709</v>
      </c>
      <c r="DA27" s="822">
        <f t="shared" si="44"/>
        <v>-286.5160280272205</v>
      </c>
      <c r="DB27" s="732"/>
      <c r="DC27" s="655"/>
      <c r="DD27" s="873"/>
      <c r="DE27" s="873"/>
      <c r="DF27" s="873"/>
      <c r="DG27" s="873"/>
      <c r="DH27" s="873"/>
      <c r="DI27" s="873">
        <f>+DI20+DI21+DI24</f>
        <v>8.0990000000000002</v>
      </c>
      <c r="DJ27" s="873">
        <f>+DJ20+DJ21+DJ24</f>
        <v>-20.649000000000004</v>
      </c>
      <c r="DK27" s="873">
        <f>+DK20+DK21+DK24</f>
        <v>-86.472000000000008</v>
      </c>
      <c r="DL27" s="873">
        <f t="shared" ref="DL27:EC27" si="45">+DL20+DL21+DL24</f>
        <v>-227.21299999999997</v>
      </c>
      <c r="DM27" s="873">
        <f t="shared" si="45"/>
        <v>-194.30300000000005</v>
      </c>
      <c r="DN27" s="873">
        <f t="shared" si="45"/>
        <v>-51.947999999999922</v>
      </c>
      <c r="DO27" s="873">
        <f t="shared" si="45"/>
        <v>-75.109999999999928</v>
      </c>
      <c r="DP27" s="873">
        <f t="shared" si="45"/>
        <v>191.18299999999994</v>
      </c>
      <c r="DQ27" s="873">
        <f t="shared" si="45"/>
        <v>226.81700000000004</v>
      </c>
      <c r="DR27" s="873">
        <f t="shared" si="45"/>
        <v>107.97900000000001</v>
      </c>
      <c r="DS27" s="873">
        <f t="shared" si="45"/>
        <v>-35</v>
      </c>
      <c r="DT27" s="873">
        <f t="shared" si="45"/>
        <v>252</v>
      </c>
      <c r="DU27" s="873">
        <f t="shared" si="45"/>
        <v>-334</v>
      </c>
      <c r="DV27" s="873">
        <f t="shared" si="45"/>
        <v>-262</v>
      </c>
      <c r="DW27" s="873">
        <f t="shared" si="45"/>
        <v>77</v>
      </c>
      <c r="DX27" s="873">
        <f t="shared" si="45"/>
        <v>-115</v>
      </c>
      <c r="DY27" s="873">
        <f t="shared" si="45"/>
        <v>-300</v>
      </c>
      <c r="DZ27" s="873">
        <f t="shared" si="45"/>
        <v>-329</v>
      </c>
      <c r="EA27" s="873">
        <f t="shared" si="45"/>
        <v>-22</v>
      </c>
      <c r="EB27" s="873">
        <f t="shared" si="45"/>
        <v>-531</v>
      </c>
      <c r="EC27" s="873">
        <f t="shared" si="45"/>
        <v>-1214</v>
      </c>
      <c r="ED27" s="873">
        <f t="shared" ref="ED27:EI27" si="46">+ED20+ED21+ED24</f>
        <v>735</v>
      </c>
      <c r="EE27" s="873">
        <f t="shared" si="46"/>
        <v>-1200</v>
      </c>
      <c r="EF27" s="1062">
        <f t="shared" si="46"/>
        <v>621</v>
      </c>
      <c r="EG27" s="947">
        <f t="shared" si="46"/>
        <v>86</v>
      </c>
      <c r="EH27" s="841">
        <f t="shared" si="46"/>
        <v>-382</v>
      </c>
      <c r="EI27" s="841">
        <f t="shared" si="46"/>
        <v>274</v>
      </c>
      <c r="EJ27" s="841">
        <f>+EJ20+EJ21+EJ24</f>
        <v>-327</v>
      </c>
      <c r="EK27" s="821">
        <f t="shared" ref="EK27:ES27" si="47">+EK20+EK21+EK24</f>
        <v>524</v>
      </c>
      <c r="EL27" s="821">
        <f t="shared" si="47"/>
        <v>-216</v>
      </c>
      <c r="EM27" s="1697">
        <f t="shared" ref="EM27" si="48">+EM20+EM21+EM24</f>
        <v>-5.7107284942594561</v>
      </c>
      <c r="EN27" s="841">
        <f t="shared" si="47"/>
        <v>3.1605209806780294</v>
      </c>
      <c r="EO27" s="841">
        <f t="shared" si="47"/>
        <v>-13.666297927533833</v>
      </c>
      <c r="EP27" s="841">
        <f t="shared" si="47"/>
        <v>-12.401494861631136</v>
      </c>
      <c r="EQ27" s="841">
        <f t="shared" si="47"/>
        <v>-18.140360847118927</v>
      </c>
      <c r="ER27" s="841">
        <f t="shared" si="47"/>
        <v>-18.851721129678936</v>
      </c>
      <c r="ES27" s="841">
        <f t="shared" si="47"/>
        <v>-19.598384088138118</v>
      </c>
      <c r="ET27" s="841">
        <f>+ET20+ET21+ET24</f>
        <v>-20.382117724482896</v>
      </c>
      <c r="EU27" s="822">
        <f>+EU20+EU21+EU24</f>
        <v>-21.204778734348338</v>
      </c>
      <c r="EV27" s="413"/>
      <c r="EW27"/>
      <c r="EX27"/>
      <c r="EY27"/>
      <c r="EZ27"/>
      <c r="FA27"/>
      <c r="FB27"/>
      <c r="FC27" s="4"/>
      <c r="FD27" s="4"/>
      <c r="FE27" s="4"/>
      <c r="FF27" s="4"/>
      <c r="FG27" s="841"/>
      <c r="FH27" s="841"/>
      <c r="FI27" s="841"/>
      <c r="FJ27" s="841"/>
      <c r="FK27" s="841"/>
      <c r="FL27"/>
      <c r="FM27"/>
      <c r="FN27"/>
      <c r="FO27"/>
      <c r="FP27"/>
      <c r="FQ27"/>
      <c r="FR27"/>
      <c r="FS27"/>
      <c r="FT27"/>
      <c r="FU27"/>
      <c r="FV27"/>
      <c r="FW27"/>
      <c r="FX27"/>
      <c r="FY27"/>
      <c r="FZ27"/>
      <c r="GA27"/>
      <c r="GB27"/>
      <c r="GC27"/>
      <c r="GD27"/>
      <c r="GE27"/>
      <c r="GF27"/>
      <c r="GG27"/>
      <c r="GH27"/>
      <c r="GI27"/>
      <c r="GJ27"/>
      <c r="GK27"/>
      <c r="GL27"/>
      <c r="GM27"/>
      <c r="GN27"/>
      <c r="GO27"/>
      <c r="GP27"/>
      <c r="GQ27"/>
      <c r="GR27"/>
      <c r="GS27"/>
      <c r="GT27"/>
      <c r="GU27"/>
      <c r="GV27"/>
      <c r="GW27"/>
      <c r="GX27"/>
      <c r="GY27"/>
      <c r="GZ27"/>
      <c r="HA27"/>
      <c r="HB27"/>
      <c r="HC27"/>
      <c r="HD27"/>
      <c r="HE27"/>
      <c r="HF27"/>
      <c r="HG27"/>
      <c r="HH27"/>
      <c r="HI27"/>
      <c r="HJ27"/>
      <c r="HK27"/>
      <c r="HL27"/>
      <c r="HM27"/>
      <c r="HN27"/>
      <c r="HO27"/>
      <c r="HP27"/>
      <c r="HQ27"/>
      <c r="HR27"/>
      <c r="HS27"/>
      <c r="HT27"/>
      <c r="HU27"/>
      <c r="HV27"/>
      <c r="HW27"/>
      <c r="HX27"/>
      <c r="HY27"/>
      <c r="HZ27"/>
      <c r="IA27"/>
      <c r="IB27"/>
      <c r="IC27"/>
      <c r="ID27"/>
      <c r="IE27"/>
      <c r="IF27"/>
      <c r="IG27"/>
      <c r="IH27"/>
      <c r="II27"/>
      <c r="IJ27"/>
      <c r="IK27"/>
      <c r="IL27"/>
      <c r="IM27"/>
      <c r="IN27"/>
      <c r="IO27"/>
      <c r="IP27"/>
      <c r="IQ27"/>
      <c r="IR27"/>
      <c r="IS27"/>
      <c r="IT27"/>
      <c r="IU27"/>
      <c r="IV27"/>
      <c r="IW27"/>
      <c r="IX27"/>
      <c r="IY27"/>
      <c r="IZ27"/>
    </row>
    <row r="28" spans="1:260" s="6" customFormat="1" x14ac:dyDescent="0.2">
      <c r="A28" s="599" t="s">
        <v>523</v>
      </c>
      <c r="B28" s="790">
        <f t="shared" ref="B28:AG28" si="49">SUM(B20:B26)</f>
        <v>-46.202999999999996</v>
      </c>
      <c r="C28" s="790">
        <f t="shared" si="49"/>
        <v>-58.527999999999984</v>
      </c>
      <c r="D28" s="790">
        <f t="shared" si="49"/>
        <v>-98.346000000000046</v>
      </c>
      <c r="E28" s="944">
        <f t="shared" si="49"/>
        <v>12.037000000000051</v>
      </c>
      <c r="F28" s="790">
        <f t="shared" si="49"/>
        <v>-69.242000000000004</v>
      </c>
      <c r="G28" s="790">
        <f t="shared" si="49"/>
        <v>7.7209999999999805</v>
      </c>
      <c r="H28" s="790">
        <f t="shared" si="49"/>
        <v>-358.90900000000005</v>
      </c>
      <c r="I28" s="944">
        <f t="shared" si="49"/>
        <v>286.03800000000007</v>
      </c>
      <c r="J28" s="790">
        <f t="shared" si="49"/>
        <v>-77.425999999999988</v>
      </c>
      <c r="K28" s="790">
        <f t="shared" si="49"/>
        <v>-28.981999999999971</v>
      </c>
      <c r="L28" s="790">
        <f t="shared" si="49"/>
        <v>-254.80899999999991</v>
      </c>
      <c r="M28" s="944">
        <f t="shared" si="49"/>
        <v>356.58899999999994</v>
      </c>
      <c r="N28" s="790">
        <f t="shared" si="49"/>
        <v>-306.64699999999999</v>
      </c>
      <c r="O28" s="790">
        <f t="shared" si="49"/>
        <v>6.6759999999999948</v>
      </c>
      <c r="P28" s="790">
        <f t="shared" si="49"/>
        <v>-81.099999999999923</v>
      </c>
      <c r="Q28" s="944">
        <f t="shared" si="49"/>
        <v>291.66099999999994</v>
      </c>
      <c r="R28" s="790">
        <f t="shared" si="49"/>
        <v>44.559000000000005</v>
      </c>
      <c r="S28" s="790">
        <f t="shared" si="49"/>
        <v>10.629000000000016</v>
      </c>
      <c r="T28" s="790">
        <f t="shared" si="49"/>
        <v>-16.438999999999947</v>
      </c>
      <c r="U28" s="944">
        <f t="shared" si="49"/>
        <v>225.95600000000007</v>
      </c>
      <c r="V28" s="790">
        <f t="shared" si="49"/>
        <v>-125.27200000000002</v>
      </c>
      <c r="W28" s="790">
        <f t="shared" si="49"/>
        <v>48.338999999999999</v>
      </c>
      <c r="X28" s="790">
        <f t="shared" si="49"/>
        <v>97.66299999999984</v>
      </c>
      <c r="Y28" s="944">
        <f t="shared" si="49"/>
        <v>338.89700000000011</v>
      </c>
      <c r="Z28" s="790">
        <f t="shared" si="49"/>
        <v>-249.31700000000001</v>
      </c>
      <c r="AA28" s="790">
        <f t="shared" si="49"/>
        <v>44.178999999999967</v>
      </c>
      <c r="AB28" s="790">
        <f t="shared" si="49"/>
        <v>122.38900000000012</v>
      </c>
      <c r="AC28" s="944">
        <f t="shared" si="49"/>
        <v>386.36599999999993</v>
      </c>
      <c r="AD28" s="790">
        <f t="shared" si="49"/>
        <v>-201</v>
      </c>
      <c r="AE28" s="790">
        <f t="shared" si="49"/>
        <v>170</v>
      </c>
      <c r="AF28" s="790">
        <f t="shared" si="49"/>
        <v>-17</v>
      </c>
      <c r="AG28" s="944">
        <f t="shared" si="49"/>
        <v>289</v>
      </c>
      <c r="AH28" s="790">
        <f t="shared" ref="AH28:BM28" si="50">SUM(AH20:AH26)</f>
        <v>-219</v>
      </c>
      <c r="AI28" s="790">
        <f t="shared" si="50"/>
        <v>300</v>
      </c>
      <c r="AJ28" s="790">
        <f t="shared" si="50"/>
        <v>218</v>
      </c>
      <c r="AK28" s="944">
        <f t="shared" si="50"/>
        <v>378</v>
      </c>
      <c r="AL28" s="790">
        <f t="shared" si="50"/>
        <v>-632</v>
      </c>
      <c r="AM28" s="790">
        <f t="shared" si="50"/>
        <v>-34</v>
      </c>
      <c r="AN28" s="790">
        <f t="shared" si="50"/>
        <v>64</v>
      </c>
      <c r="AO28" s="944">
        <f t="shared" si="50"/>
        <v>429</v>
      </c>
      <c r="AP28" s="790">
        <f t="shared" si="50"/>
        <v>-416</v>
      </c>
      <c r="AQ28" s="790">
        <f t="shared" si="50"/>
        <v>151</v>
      </c>
      <c r="AR28" s="790">
        <f t="shared" si="50"/>
        <v>4650</v>
      </c>
      <c r="AS28" s="944">
        <f t="shared" si="50"/>
        <v>-4225</v>
      </c>
      <c r="AT28" s="790">
        <f t="shared" si="50"/>
        <v>-606</v>
      </c>
      <c r="AU28" s="790">
        <f t="shared" si="50"/>
        <v>215</v>
      </c>
      <c r="AV28" s="790">
        <f t="shared" si="50"/>
        <v>448</v>
      </c>
      <c r="AW28" s="944">
        <f t="shared" si="50"/>
        <v>374</v>
      </c>
      <c r="AX28" s="790">
        <f t="shared" si="50"/>
        <v>-724</v>
      </c>
      <c r="AY28" s="790">
        <f t="shared" si="50"/>
        <v>-62</v>
      </c>
      <c r="AZ28" s="790">
        <f t="shared" si="50"/>
        <v>340</v>
      </c>
      <c r="BA28" s="944">
        <f t="shared" si="50"/>
        <v>663</v>
      </c>
      <c r="BB28" s="790">
        <f t="shared" si="50"/>
        <v>-1090</v>
      </c>
      <c r="BC28" s="790">
        <f t="shared" si="50"/>
        <v>305</v>
      </c>
      <c r="BD28" s="790">
        <f t="shared" si="50"/>
        <v>10</v>
      </c>
      <c r="BE28" s="944">
        <f t="shared" si="50"/>
        <v>477</v>
      </c>
      <c r="BF28" s="790">
        <f t="shared" si="50"/>
        <v>-700</v>
      </c>
      <c r="BG28" s="790">
        <f t="shared" si="50"/>
        <v>79</v>
      </c>
      <c r="BH28" s="790">
        <f t="shared" si="50"/>
        <v>711</v>
      </c>
      <c r="BI28" s="944">
        <f t="shared" si="50"/>
        <v>-204</v>
      </c>
      <c r="BJ28" s="790">
        <f t="shared" si="50"/>
        <v>-394</v>
      </c>
      <c r="BK28" s="790">
        <f t="shared" si="50"/>
        <v>-276</v>
      </c>
      <c r="BL28" s="790">
        <f t="shared" si="50"/>
        <v>-543</v>
      </c>
      <c r="BM28" s="944">
        <f t="shared" si="50"/>
        <v>936</v>
      </c>
      <c r="BN28" s="790">
        <f t="shared" ref="BN28:CJ28" si="51">SUM(BN20:BN26)</f>
        <v>-528</v>
      </c>
      <c r="BO28" s="790">
        <f t="shared" si="51"/>
        <v>-104</v>
      </c>
      <c r="BP28" s="790">
        <f t="shared" si="51"/>
        <v>-45</v>
      </c>
      <c r="BQ28" s="944">
        <f t="shared" si="51"/>
        <v>430</v>
      </c>
      <c r="BR28" s="790">
        <f t="shared" si="51"/>
        <v>-281</v>
      </c>
      <c r="BS28" s="790">
        <f t="shared" si="51"/>
        <v>-657</v>
      </c>
      <c r="BT28" s="790">
        <f t="shared" si="51"/>
        <v>-10</v>
      </c>
      <c r="BU28" s="944">
        <f t="shared" si="51"/>
        <v>-415</v>
      </c>
      <c r="BV28" s="790">
        <f t="shared" si="51"/>
        <v>823</v>
      </c>
      <c r="BW28" s="790">
        <f t="shared" si="51"/>
        <v>-221</v>
      </c>
      <c r="BX28" s="790">
        <f t="shared" si="51"/>
        <v>509</v>
      </c>
      <c r="BY28" s="944">
        <f t="shared" si="51"/>
        <v>-398</v>
      </c>
      <c r="BZ28" s="790">
        <f t="shared" si="51"/>
        <v>-98</v>
      </c>
      <c r="CA28" s="790">
        <f t="shared" si="51"/>
        <v>-954</v>
      </c>
      <c r="CB28" s="790">
        <f t="shared" si="51"/>
        <v>-171</v>
      </c>
      <c r="CC28" s="944">
        <f t="shared" si="51"/>
        <v>615</v>
      </c>
      <c r="CD28" s="1127">
        <f t="shared" si="51"/>
        <v>-367</v>
      </c>
      <c r="CE28" s="790">
        <f t="shared" si="51"/>
        <v>-469</v>
      </c>
      <c r="CF28" s="790">
        <f t="shared" si="51"/>
        <v>41</v>
      </c>
      <c r="CG28" s="944">
        <f t="shared" si="51"/>
        <v>124</v>
      </c>
      <c r="CH28" s="1144">
        <f t="shared" si="51"/>
        <v>58</v>
      </c>
      <c r="CI28" s="1458">
        <f t="shared" si="51"/>
        <v>-160</v>
      </c>
      <c r="CJ28" s="1458">
        <f t="shared" si="51"/>
        <v>-25</v>
      </c>
      <c r="CK28" s="1459">
        <f t="shared" ref="CK28:CS28" si="52">SUM(CK20:CK26)</f>
        <v>351</v>
      </c>
      <c r="CL28" s="1665">
        <f t="shared" si="52"/>
        <v>-394</v>
      </c>
      <c r="CM28" s="1666">
        <f t="shared" si="52"/>
        <v>-24</v>
      </c>
      <c r="CN28" s="1666">
        <f t="shared" si="52"/>
        <v>-161</v>
      </c>
      <c r="CO28" s="1667">
        <f>SUM(CO20:CO26)</f>
        <v>54</v>
      </c>
      <c r="CP28" s="1666">
        <f>SUM(CP20:CP26)</f>
        <v>36</v>
      </c>
      <c r="CQ28" s="1666">
        <f t="shared" si="52"/>
        <v>450</v>
      </c>
      <c r="CR28" s="1666">
        <f t="shared" si="52"/>
        <v>-309</v>
      </c>
      <c r="CS28" s="1663">
        <f t="shared" si="52"/>
        <v>167</v>
      </c>
      <c r="CT28" s="1461">
        <f>SUM(CT20:CT26)</f>
        <v>-148</v>
      </c>
      <c r="CU28" s="1461">
        <f t="shared" ref="CU28" si="53">SUM(CU20:CU26)</f>
        <v>38</v>
      </c>
      <c r="CV28" s="1461">
        <f t="shared" ref="CV28:DA28" si="54">SUM(CV20:CV26)</f>
        <v>81</v>
      </c>
      <c r="CW28" s="1663">
        <f t="shared" si="54"/>
        <v>199</v>
      </c>
      <c r="CX28" s="1707">
        <f t="shared" si="54"/>
        <v>-177.3095914040569</v>
      </c>
      <c r="CY28" s="1461">
        <f t="shared" si="54"/>
        <v>-14.847683523073329</v>
      </c>
      <c r="CZ28" s="1461">
        <f t="shared" si="54"/>
        <v>153.910847793485</v>
      </c>
      <c r="DA28" s="1663">
        <f t="shared" si="54"/>
        <v>3.0956722184508862</v>
      </c>
      <c r="DB28" s="732"/>
      <c r="DC28" s="655"/>
      <c r="DD28" s="790">
        <v>-8.9860000000000007</v>
      </c>
      <c r="DE28" s="790">
        <v>-35.581000000000003</v>
      </c>
      <c r="DF28" s="790">
        <v>-22.417999999999999</v>
      </c>
      <c r="DG28" s="790">
        <v>-1.0009999999999999</v>
      </c>
      <c r="DH28" s="790">
        <v>22.343</v>
      </c>
      <c r="DI28" s="790">
        <f t="shared" ref="DI28:EC28" si="55">SUM(DI20:DI26)</f>
        <v>8.6659999999999986</v>
      </c>
      <c r="DJ28" s="790">
        <f t="shared" si="55"/>
        <v>-13.796000000000005</v>
      </c>
      <c r="DK28" s="790">
        <f t="shared" si="55"/>
        <v>-66.281000000000006</v>
      </c>
      <c r="DL28" s="790">
        <f t="shared" si="55"/>
        <v>-191.03999999999994</v>
      </c>
      <c r="DM28" s="790">
        <f t="shared" si="55"/>
        <v>-134.39200000000005</v>
      </c>
      <c r="DN28" s="790">
        <f t="shared" si="55"/>
        <v>-4.6279999999999504</v>
      </c>
      <c r="DO28" s="790">
        <f t="shared" si="55"/>
        <v>-89.409999999999911</v>
      </c>
      <c r="DP28" s="790">
        <f t="shared" si="55"/>
        <v>264.70499999999993</v>
      </c>
      <c r="DQ28" s="790">
        <f t="shared" si="55"/>
        <v>359.62700000000001</v>
      </c>
      <c r="DR28" s="790">
        <f t="shared" si="55"/>
        <v>303.61700000000002</v>
      </c>
      <c r="DS28" s="790">
        <f t="shared" si="55"/>
        <v>241</v>
      </c>
      <c r="DT28" s="790">
        <f t="shared" si="55"/>
        <v>677</v>
      </c>
      <c r="DU28" s="790">
        <f t="shared" si="55"/>
        <v>-173</v>
      </c>
      <c r="DV28" s="790">
        <f t="shared" si="55"/>
        <v>160</v>
      </c>
      <c r="DW28" s="790">
        <f t="shared" si="55"/>
        <v>431</v>
      </c>
      <c r="DX28" s="790">
        <f t="shared" si="55"/>
        <v>217</v>
      </c>
      <c r="DY28" s="790">
        <f t="shared" si="55"/>
        <v>-298</v>
      </c>
      <c r="DZ28" s="790">
        <f t="shared" si="55"/>
        <v>-114</v>
      </c>
      <c r="EA28" s="790">
        <f t="shared" si="55"/>
        <v>-277</v>
      </c>
      <c r="EB28" s="790">
        <f t="shared" si="55"/>
        <v>-247</v>
      </c>
      <c r="EC28" s="790">
        <f t="shared" si="55"/>
        <v>-1363</v>
      </c>
      <c r="ED28" s="790">
        <f t="shared" ref="ED28:EI28" si="56">SUM(ED20:ED26)</f>
        <v>713</v>
      </c>
      <c r="EE28" s="790">
        <f t="shared" si="56"/>
        <v>-1200</v>
      </c>
      <c r="EF28" s="1127">
        <f t="shared" si="56"/>
        <v>621</v>
      </c>
      <c r="EG28" s="790">
        <f t="shared" si="56"/>
        <v>-608</v>
      </c>
      <c r="EH28" s="1461">
        <f t="shared" si="56"/>
        <v>-671</v>
      </c>
      <c r="EI28" s="1461">
        <f t="shared" si="56"/>
        <v>224</v>
      </c>
      <c r="EJ28" s="1461">
        <f>SUM(EJ20:EJ26)</f>
        <v>-525</v>
      </c>
      <c r="EK28" s="1461">
        <f>SUM(CP28:CS28)</f>
        <v>344</v>
      </c>
      <c r="EL28" s="1461">
        <f>SUM(CT28:CW28)</f>
        <v>170</v>
      </c>
      <c r="EM28" s="1707">
        <f>SUM(CX28:DA28)</f>
        <v>-35.150754915194341</v>
      </c>
      <c r="EN28" s="1461">
        <f t="shared" ref="EN28:ES28" si="57">SUM(EN20:EN26)</f>
        <v>23.073439360819009</v>
      </c>
      <c r="EO28" s="1461">
        <f t="shared" si="57"/>
        <v>6.1569672486673994</v>
      </c>
      <c r="EP28" s="1461">
        <f t="shared" si="57"/>
        <v>5.1534479811980418</v>
      </c>
      <c r="EQ28" s="1461">
        <f t="shared" si="57"/>
        <v>7.6618995035140642</v>
      </c>
      <c r="ER28" s="1461">
        <f t="shared" si="57"/>
        <v>7.9655783741037567</v>
      </c>
      <c r="ES28" s="1461">
        <f t="shared" si="57"/>
        <v>8.2842412681844735</v>
      </c>
      <c r="ET28" s="1461">
        <f>SUM(ET20:ET26)</f>
        <v>8.6186308482644449</v>
      </c>
      <c r="EU28" s="1663">
        <f>SUM(EU20:EU26)</f>
        <v>8.9695266394756459</v>
      </c>
      <c r="EV28" s="413"/>
      <c r="EW28"/>
      <c r="EX28"/>
      <c r="EY28"/>
      <c r="EZ28"/>
      <c r="FA28"/>
      <c r="FB28"/>
      <c r="FC28" s="4"/>
      <c r="FD28" s="4"/>
      <c r="FE28" s="4"/>
      <c r="FF28" s="4"/>
      <c r="FG28" s="841"/>
      <c r="FH28" s="841"/>
      <c r="FI28" s="841"/>
      <c r="FJ28" s="841"/>
      <c r="FK28" s="841"/>
      <c r="FL28"/>
      <c r="FM28"/>
      <c r="FN28"/>
      <c r="FO28"/>
      <c r="FP28"/>
      <c r="FQ28"/>
      <c r="FR28"/>
      <c r="FS28"/>
      <c r="FT28"/>
      <c r="FU28"/>
      <c r="FV28"/>
      <c r="FW28"/>
      <c r="FX28"/>
      <c r="FY28"/>
      <c r="FZ28"/>
      <c r="GA28"/>
      <c r="GB28"/>
      <c r="GC28"/>
      <c r="GD28"/>
      <c r="GE28"/>
      <c r="GF28"/>
      <c r="GG28"/>
      <c r="GH28"/>
      <c r="GI28"/>
      <c r="GJ28"/>
      <c r="GK28"/>
      <c r="GL28"/>
      <c r="GM28"/>
      <c r="GN28"/>
      <c r="GO28"/>
      <c r="GP28"/>
      <c r="GQ28"/>
      <c r="GR28"/>
      <c r="GS28"/>
      <c r="GT28"/>
      <c r="GU28"/>
      <c r="GV28"/>
      <c r="GW28"/>
      <c r="GX28"/>
      <c r="GY28"/>
      <c r="GZ28"/>
      <c r="HA28"/>
      <c r="HB28"/>
      <c r="HC28"/>
      <c r="HD28"/>
      <c r="HE28"/>
      <c r="HF28"/>
      <c r="HG28"/>
      <c r="HH28"/>
      <c r="HI28"/>
      <c r="HJ28"/>
      <c r="HK28"/>
      <c r="HL28"/>
      <c r="HM28"/>
      <c r="HN28"/>
      <c r="HO28"/>
      <c r="HP28"/>
      <c r="HQ28"/>
      <c r="HR28"/>
      <c r="HS28"/>
      <c r="HT28"/>
      <c r="HU28"/>
      <c r="HV28"/>
      <c r="HW28"/>
      <c r="HX28"/>
      <c r="HY28"/>
      <c r="HZ28"/>
      <c r="IA28"/>
      <c r="IB28"/>
      <c r="IC28"/>
      <c r="ID28"/>
      <c r="IE28"/>
      <c r="IF28"/>
      <c r="IG28"/>
      <c r="IH28"/>
      <c r="II28"/>
      <c r="IJ28"/>
      <c r="IK28"/>
      <c r="IL28"/>
      <c r="IM28"/>
      <c r="IN28"/>
      <c r="IO28"/>
      <c r="IP28"/>
      <c r="IQ28"/>
      <c r="IR28"/>
      <c r="IS28"/>
      <c r="IT28"/>
      <c r="IU28"/>
      <c r="IV28"/>
      <c r="IW28"/>
      <c r="IX28"/>
      <c r="IY28"/>
      <c r="IZ28"/>
    </row>
    <row r="29" spans="1:260" s="4" customFormat="1" x14ac:dyDescent="0.2">
      <c r="A29" s="321" t="s">
        <v>139</v>
      </c>
      <c r="B29" s="254">
        <f t="shared" ref="B29:AG29" si="58">SUM(B8:B26)</f>
        <v>-41.302</v>
      </c>
      <c r="C29" s="254">
        <f t="shared" si="58"/>
        <v>-53.634999999999984</v>
      </c>
      <c r="D29" s="254">
        <f t="shared" si="58"/>
        <v>-92.660000000000011</v>
      </c>
      <c r="E29" s="650">
        <f t="shared" si="58"/>
        <v>19.39400000000002</v>
      </c>
      <c r="F29" s="254">
        <f t="shared" si="58"/>
        <v>-61.103000000000002</v>
      </c>
      <c r="G29" s="254">
        <f t="shared" si="58"/>
        <v>16.213999999999974</v>
      </c>
      <c r="H29" s="254">
        <f t="shared" si="58"/>
        <v>-348.54700000000008</v>
      </c>
      <c r="I29" s="650">
        <f t="shared" si="58"/>
        <v>297.61399999999998</v>
      </c>
      <c r="J29" s="254">
        <f t="shared" si="58"/>
        <v>-64.662999999999982</v>
      </c>
      <c r="K29" s="254">
        <f t="shared" si="58"/>
        <v>-15.774000000000001</v>
      </c>
      <c r="L29" s="254">
        <f t="shared" si="58"/>
        <v>-240.45999999999989</v>
      </c>
      <c r="M29" s="650">
        <f t="shared" si="58"/>
        <v>372.39799999999991</v>
      </c>
      <c r="N29" s="254">
        <f t="shared" si="58"/>
        <v>-289.60500000000002</v>
      </c>
      <c r="O29" s="254">
        <f t="shared" si="58"/>
        <v>23.506000000000007</v>
      </c>
      <c r="P29" s="254">
        <f t="shared" si="58"/>
        <v>-49.229000000000006</v>
      </c>
      <c r="Q29" s="650">
        <f t="shared" si="58"/>
        <v>293.23000000000013</v>
      </c>
      <c r="R29" s="254">
        <f t="shared" si="58"/>
        <v>59.015000000000001</v>
      </c>
      <c r="S29" s="254">
        <f t="shared" si="58"/>
        <v>35.523000000000017</v>
      </c>
      <c r="T29" s="254">
        <f t="shared" si="58"/>
        <v>27.265999999999924</v>
      </c>
      <c r="U29" s="650">
        <f t="shared" si="58"/>
        <v>308.93800000000005</v>
      </c>
      <c r="V29" s="254">
        <f t="shared" si="58"/>
        <v>-91.943000000000012</v>
      </c>
      <c r="W29" s="254">
        <f t="shared" si="58"/>
        <v>111.19200000000001</v>
      </c>
      <c r="X29" s="254">
        <f t="shared" si="58"/>
        <v>172.12399999999985</v>
      </c>
      <c r="Y29" s="650">
        <f t="shared" si="58"/>
        <v>471.05800000000016</v>
      </c>
      <c r="Z29" s="254">
        <f t="shared" si="58"/>
        <v>-178.40400000000002</v>
      </c>
      <c r="AA29" s="254">
        <f t="shared" si="58"/>
        <v>125.672</v>
      </c>
      <c r="AB29" s="254">
        <f t="shared" si="58"/>
        <v>224.38200000000018</v>
      </c>
      <c r="AC29" s="650">
        <f t="shared" si="58"/>
        <v>588.57799999999997</v>
      </c>
      <c r="AD29" s="254">
        <f t="shared" si="58"/>
        <v>-95</v>
      </c>
      <c r="AE29" s="254">
        <f t="shared" si="58"/>
        <v>285</v>
      </c>
      <c r="AF29" s="254">
        <f t="shared" si="58"/>
        <v>85</v>
      </c>
      <c r="AG29" s="650">
        <f t="shared" si="58"/>
        <v>586</v>
      </c>
      <c r="AH29" s="254">
        <f t="shared" ref="AH29:BM29" si="59">SUM(AH8:AH26)</f>
        <v>-89</v>
      </c>
      <c r="AI29" s="254">
        <f t="shared" si="59"/>
        <v>471</v>
      </c>
      <c r="AJ29" s="254">
        <f t="shared" si="59"/>
        <v>396</v>
      </c>
      <c r="AK29" s="650">
        <f t="shared" si="59"/>
        <v>765</v>
      </c>
      <c r="AL29" s="254">
        <f t="shared" si="59"/>
        <v>-871</v>
      </c>
      <c r="AM29" s="254">
        <f t="shared" si="59"/>
        <v>393</v>
      </c>
      <c r="AN29" s="254">
        <f t="shared" si="59"/>
        <v>143</v>
      </c>
      <c r="AO29" s="650">
        <f t="shared" si="59"/>
        <v>126</v>
      </c>
      <c r="AP29" s="254">
        <f t="shared" si="59"/>
        <v>-350</v>
      </c>
      <c r="AQ29" s="254">
        <f t="shared" si="59"/>
        <v>481</v>
      </c>
      <c r="AR29" s="254">
        <f t="shared" si="59"/>
        <v>4843</v>
      </c>
      <c r="AS29" s="650">
        <f t="shared" si="59"/>
        <v>-3700</v>
      </c>
      <c r="AT29" s="254">
        <f t="shared" si="59"/>
        <v>-390</v>
      </c>
      <c r="AU29" s="254">
        <f t="shared" si="59"/>
        <v>480</v>
      </c>
      <c r="AV29" s="254">
        <f t="shared" si="59"/>
        <v>714</v>
      </c>
      <c r="AW29" s="650">
        <f t="shared" si="59"/>
        <v>1087</v>
      </c>
      <c r="AX29" s="254">
        <f t="shared" si="59"/>
        <v>-419</v>
      </c>
      <c r="AY29" s="254">
        <f t="shared" si="59"/>
        <v>222</v>
      </c>
      <c r="AZ29" s="254">
        <f t="shared" si="59"/>
        <v>608</v>
      </c>
      <c r="BA29" s="650">
        <f t="shared" si="59"/>
        <v>1329</v>
      </c>
      <c r="BB29" s="254">
        <f t="shared" si="59"/>
        <v>-726</v>
      </c>
      <c r="BC29" s="254">
        <f t="shared" si="59"/>
        <v>695</v>
      </c>
      <c r="BD29" s="254">
        <f t="shared" si="59"/>
        <v>288</v>
      </c>
      <c r="BE29" s="650">
        <f t="shared" si="59"/>
        <v>1505</v>
      </c>
      <c r="BF29" s="254">
        <f t="shared" si="59"/>
        <v>-428</v>
      </c>
      <c r="BG29" s="254">
        <f t="shared" si="59"/>
        <v>559</v>
      </c>
      <c r="BH29" s="254">
        <f t="shared" si="59"/>
        <v>1115</v>
      </c>
      <c r="BI29" s="650">
        <f t="shared" si="59"/>
        <v>779</v>
      </c>
      <c r="BJ29" s="254">
        <f t="shared" si="59"/>
        <v>-61</v>
      </c>
      <c r="BK29" s="254">
        <f t="shared" si="59"/>
        <v>111</v>
      </c>
      <c r="BL29" s="254">
        <f t="shared" si="59"/>
        <v>-130</v>
      </c>
      <c r="BM29" s="650">
        <f t="shared" si="59"/>
        <v>1957</v>
      </c>
      <c r="BN29" s="254">
        <f t="shared" ref="BN29:CJ29" si="60">SUM(BN8:BN26)</f>
        <v>-53</v>
      </c>
      <c r="BO29" s="254">
        <f t="shared" si="60"/>
        <v>291</v>
      </c>
      <c r="BP29" s="254">
        <f t="shared" si="60"/>
        <v>441</v>
      </c>
      <c r="BQ29" s="650">
        <f t="shared" si="60"/>
        <v>1527</v>
      </c>
      <c r="BR29" s="254">
        <f t="shared" si="60"/>
        <v>169</v>
      </c>
      <c r="BS29" s="254">
        <f t="shared" si="60"/>
        <v>-85</v>
      </c>
      <c r="BT29" s="254">
        <f t="shared" si="60"/>
        <v>461</v>
      </c>
      <c r="BU29" s="650">
        <f t="shared" si="60"/>
        <v>645</v>
      </c>
      <c r="BV29" s="254">
        <f t="shared" si="60"/>
        <v>1324</v>
      </c>
      <c r="BW29" s="254">
        <f t="shared" si="60"/>
        <v>213</v>
      </c>
      <c r="BX29" s="254">
        <f t="shared" si="60"/>
        <v>1090</v>
      </c>
      <c r="BY29" s="650">
        <f t="shared" si="60"/>
        <v>666</v>
      </c>
      <c r="BZ29" s="254">
        <f t="shared" si="60"/>
        <v>379</v>
      </c>
      <c r="CA29" s="254">
        <f t="shared" si="60"/>
        <v>-601</v>
      </c>
      <c r="CB29" s="254">
        <f t="shared" si="60"/>
        <v>101</v>
      </c>
      <c r="CC29" s="650">
        <f t="shared" si="60"/>
        <v>1543</v>
      </c>
      <c r="CD29" s="1088">
        <f t="shared" si="60"/>
        <v>-5</v>
      </c>
      <c r="CE29" s="254">
        <f t="shared" si="60"/>
        <v>24</v>
      </c>
      <c r="CF29" s="254">
        <f t="shared" si="60"/>
        <v>305</v>
      </c>
      <c r="CG29" s="650">
        <f t="shared" si="60"/>
        <v>770</v>
      </c>
      <c r="CH29" s="1088">
        <f t="shared" si="60"/>
        <v>308</v>
      </c>
      <c r="CI29" s="254">
        <f t="shared" si="60"/>
        <v>179</v>
      </c>
      <c r="CJ29" s="254">
        <f t="shared" si="60"/>
        <v>287</v>
      </c>
      <c r="CK29" s="650">
        <f t="shared" ref="CK29:CS29" si="61">SUM(CK8:CK26)</f>
        <v>1161</v>
      </c>
      <c r="CL29" s="1088">
        <f t="shared" si="61"/>
        <v>-10</v>
      </c>
      <c r="CM29" s="254">
        <f t="shared" si="61"/>
        <v>318</v>
      </c>
      <c r="CN29" s="254">
        <f t="shared" si="61"/>
        <v>155</v>
      </c>
      <c r="CO29" s="650">
        <f t="shared" si="61"/>
        <v>859</v>
      </c>
      <c r="CP29" s="254">
        <f>SUM(CP8:CP26)</f>
        <v>483</v>
      </c>
      <c r="CQ29" s="254">
        <f t="shared" si="61"/>
        <v>805</v>
      </c>
      <c r="CR29" s="254">
        <f t="shared" si="61"/>
        <v>107</v>
      </c>
      <c r="CS29" s="650">
        <f t="shared" si="61"/>
        <v>1162</v>
      </c>
      <c r="CT29" s="254">
        <f>SUM(CT8:CT26)</f>
        <v>243</v>
      </c>
      <c r="CU29" s="254">
        <f t="shared" ref="CU29" si="62">SUM(CU8:CU26)</f>
        <v>449</v>
      </c>
      <c r="CV29" s="254">
        <f t="shared" ref="CV29:DA29" si="63">SUM(CV8:CV26)</f>
        <v>511</v>
      </c>
      <c r="CW29" s="650">
        <f t="shared" si="63"/>
        <v>938</v>
      </c>
      <c r="CX29" s="1708">
        <f t="shared" si="63"/>
        <v>222.7207012840222</v>
      </c>
      <c r="CY29" s="1123">
        <f t="shared" si="63"/>
        <v>411.74236258940658</v>
      </c>
      <c r="CZ29" s="1123">
        <f t="shared" si="63"/>
        <v>612.88294345372685</v>
      </c>
      <c r="DA29" s="650">
        <f t="shared" si="63"/>
        <v>1013.4193319358741</v>
      </c>
      <c r="DB29" s="733"/>
      <c r="DC29" s="712"/>
      <c r="DD29" s="254">
        <f>SUM(DD9:DD28)</f>
        <v>-8.4720000000000013</v>
      </c>
      <c r="DE29" s="254">
        <f>SUM(DE9:DE28)</f>
        <v>-33.936</v>
      </c>
      <c r="DF29" s="254">
        <f>SUM(DF9:DF28)</f>
        <v>-17.363</v>
      </c>
      <c r="DG29" s="254">
        <f>SUM(DG9:DG28)</f>
        <v>7.4350000000000005</v>
      </c>
      <c r="DH29" s="254">
        <f>SUM(DH9:DH28)</f>
        <v>28.536999999999999</v>
      </c>
      <c r="DI29" s="254">
        <f>SUM(DI9:DI26)</f>
        <v>17.033000000000001</v>
      </c>
      <c r="DJ29" s="254">
        <f>SUM(DJ9:DJ26)</f>
        <v>-3.3460000000000027</v>
      </c>
      <c r="DK29" s="254">
        <f>SUM(DK9:DK26)</f>
        <v>-50.904000000000011</v>
      </c>
      <c r="DL29" s="254">
        <f>+E29+D29+C29+B29</f>
        <v>-168.20299999999997</v>
      </c>
      <c r="DM29" s="254">
        <f>+F29+G29+H29+I29</f>
        <v>-95.822000000000116</v>
      </c>
      <c r="DN29" s="254">
        <f>+J29+K29+L29+M29</f>
        <v>51.501000000000033</v>
      </c>
      <c r="DO29" s="254">
        <f>+N29+O29+P29+Q29</f>
        <v>-22.097999999999843</v>
      </c>
      <c r="DP29" s="254">
        <f>+R29+S29+T29+U29</f>
        <v>430.74199999999996</v>
      </c>
      <c r="DQ29" s="254">
        <f>+V29+W29+X29+Y29</f>
        <v>662.43100000000004</v>
      </c>
      <c r="DR29" s="254">
        <f>+Z29+AA29+AB29+AC29</f>
        <v>760.22800000000007</v>
      </c>
      <c r="DS29" s="254">
        <f>+AD29+AE29+AF29+AG29</f>
        <v>861</v>
      </c>
      <c r="DT29" s="254">
        <f>+AH29+AI29+AJ29+AK29</f>
        <v>1543</v>
      </c>
      <c r="DU29" s="254">
        <f t="shared" ref="DU29:EC29" si="64">SUM(DU8:DU26)</f>
        <v>223</v>
      </c>
      <c r="DV29" s="254">
        <f t="shared" si="64"/>
        <v>1274</v>
      </c>
      <c r="DW29" s="254">
        <f t="shared" si="64"/>
        <v>1891</v>
      </c>
      <c r="DX29" s="254">
        <f t="shared" si="64"/>
        <v>1740</v>
      </c>
      <c r="DY29" s="254">
        <f t="shared" si="64"/>
        <v>1762</v>
      </c>
      <c r="DZ29" s="254">
        <f t="shared" si="64"/>
        <v>2025</v>
      </c>
      <c r="EA29" s="254">
        <f t="shared" si="64"/>
        <v>1877</v>
      </c>
      <c r="EB29" s="254">
        <f t="shared" si="64"/>
        <v>2206</v>
      </c>
      <c r="EC29" s="254">
        <f t="shared" si="64"/>
        <v>1190</v>
      </c>
      <c r="ED29" s="254">
        <f t="shared" ref="ED29:EI29" si="65">SUM(ED8:ED26)</f>
        <v>3293</v>
      </c>
      <c r="EE29" s="254">
        <f t="shared" si="65"/>
        <v>1216</v>
      </c>
      <c r="EF29" s="1088">
        <f t="shared" si="65"/>
        <v>3070</v>
      </c>
      <c r="EG29" s="254">
        <f t="shared" si="65"/>
        <v>1422</v>
      </c>
      <c r="EH29" s="254">
        <f t="shared" si="65"/>
        <v>1094</v>
      </c>
      <c r="EI29" s="254">
        <f t="shared" si="65"/>
        <v>1935</v>
      </c>
      <c r="EJ29" s="254">
        <f>SUM(EJ8:EJ26)</f>
        <v>1322</v>
      </c>
      <c r="EK29" s="254">
        <f>EK28+SUM(EK8:EK17)</f>
        <v>2557</v>
      </c>
      <c r="EL29" s="254">
        <f t="shared" ref="EL29:ES29" si="66">EL28+SUM(EL8:EL17)</f>
        <v>2141</v>
      </c>
      <c r="EM29" s="1708">
        <f t="shared" ref="EM29" si="67">EM28+SUM(EM8:EM17)</f>
        <v>2260.76533926303</v>
      </c>
      <c r="EN29" s="254">
        <f t="shared" si="66"/>
        <v>2357.9658848357844</v>
      </c>
      <c r="EO29" s="254">
        <f t="shared" si="66"/>
        <v>2376.9814287716354</v>
      </c>
      <c r="EP29" s="254">
        <f t="shared" si="66"/>
        <v>2361.4067252583427</v>
      </c>
      <c r="EQ29" s="254">
        <f t="shared" si="66"/>
        <v>2370.7449376106397</v>
      </c>
      <c r="ER29" s="254">
        <f t="shared" si="66"/>
        <v>2387.7289241029093</v>
      </c>
      <c r="ES29" s="254">
        <f t="shared" si="66"/>
        <v>2394.2635258816922</v>
      </c>
      <c r="ET29" s="254">
        <f>ET28+SUM(ET8:ET17)</f>
        <v>2401.6352280964738</v>
      </c>
      <c r="EU29" s="650">
        <f>EU28+SUM(EU8:EU17)</f>
        <v>2421.1318029563076</v>
      </c>
      <c r="EV29" s="413"/>
      <c r="EW29"/>
      <c r="EX29"/>
      <c r="EY29"/>
      <c r="EZ29"/>
      <c r="FA29"/>
      <c r="FB29"/>
      <c r="FG29" s="1123"/>
      <c r="FH29" s="1123"/>
      <c r="FI29" s="1123"/>
      <c r="FJ29" s="1123"/>
      <c r="FK29" s="1123"/>
      <c r="FL29"/>
      <c r="FM29"/>
      <c r="FN29"/>
      <c r="FO29"/>
      <c r="FP29"/>
      <c r="FQ29"/>
      <c r="FR29"/>
      <c r="FS29"/>
      <c r="FT29"/>
      <c r="FU29"/>
      <c r="FV29"/>
      <c r="FW29"/>
      <c r="FX29"/>
      <c r="FY29"/>
      <c r="FZ29"/>
      <c r="GA29"/>
      <c r="GB29"/>
      <c r="GC29"/>
      <c r="GD29"/>
      <c r="GE29"/>
      <c r="GF29"/>
      <c r="GG29"/>
      <c r="GH29"/>
      <c r="GI29"/>
      <c r="GJ29"/>
      <c r="GK29"/>
      <c r="GL29"/>
      <c r="GM29"/>
      <c r="GN29"/>
      <c r="GO29"/>
      <c r="GP29"/>
      <c r="GQ29"/>
      <c r="GR29"/>
      <c r="GS29"/>
      <c r="GT29"/>
      <c r="GU29"/>
      <c r="GV29"/>
      <c r="GW29"/>
      <c r="GX29"/>
      <c r="GY29"/>
      <c r="GZ29"/>
      <c r="HA29"/>
      <c r="HB29"/>
      <c r="HC29"/>
      <c r="HD29"/>
      <c r="HE29"/>
      <c r="HF29"/>
      <c r="HG29"/>
      <c r="HH29"/>
      <c r="HI29"/>
      <c r="HJ29"/>
      <c r="HK29"/>
      <c r="HL29"/>
      <c r="HM29"/>
      <c r="HN29"/>
      <c r="HO29"/>
      <c r="HP29"/>
      <c r="HQ29"/>
      <c r="HR29"/>
      <c r="HS29"/>
      <c r="HT29"/>
      <c r="HU29"/>
      <c r="HV29"/>
      <c r="HW29"/>
      <c r="HX29"/>
      <c r="HY29"/>
      <c r="HZ29"/>
      <c r="IA29"/>
      <c r="IB29"/>
      <c r="IC29"/>
      <c r="ID29"/>
      <c r="IE29"/>
      <c r="IF29"/>
      <c r="IG29"/>
      <c r="IH29"/>
      <c r="II29"/>
      <c r="IJ29"/>
      <c r="IK29"/>
      <c r="IL29"/>
      <c r="IM29"/>
      <c r="IN29"/>
      <c r="IO29"/>
      <c r="IP29"/>
      <c r="IQ29"/>
      <c r="IR29"/>
      <c r="IS29"/>
      <c r="IT29"/>
      <c r="IU29"/>
      <c r="IV29"/>
      <c r="IW29"/>
      <c r="IX29"/>
      <c r="IY29"/>
      <c r="IZ29"/>
    </row>
    <row r="30" spans="1:260" s="4" customFormat="1" x14ac:dyDescent="0.2">
      <c r="A30" s="322"/>
      <c r="B30" s="63"/>
      <c r="C30" s="63"/>
      <c r="D30" s="63"/>
      <c r="E30" s="613"/>
      <c r="F30" s="63"/>
      <c r="G30" s="63"/>
      <c r="H30" s="63"/>
      <c r="I30" s="613"/>
      <c r="J30" s="63"/>
      <c r="K30" s="63"/>
      <c r="L30" s="63"/>
      <c r="M30" s="613"/>
      <c r="N30" s="63"/>
      <c r="O30" s="63"/>
      <c r="P30" s="63"/>
      <c r="Q30" s="613"/>
      <c r="R30" s="63"/>
      <c r="S30" s="63"/>
      <c r="T30" s="63"/>
      <c r="U30" s="613"/>
      <c r="V30" s="63"/>
      <c r="W30" s="63"/>
      <c r="X30" s="63"/>
      <c r="Y30" s="613"/>
      <c r="Z30" s="63"/>
      <c r="AA30" s="63"/>
      <c r="AB30" s="63"/>
      <c r="AC30" s="613"/>
      <c r="AD30" s="63"/>
      <c r="AE30" s="63"/>
      <c r="AF30" s="63"/>
      <c r="AG30" s="613"/>
      <c r="AH30" s="63"/>
      <c r="AI30" s="63"/>
      <c r="AJ30" s="63"/>
      <c r="AK30" s="613"/>
      <c r="AL30" s="63"/>
      <c r="AM30" s="63"/>
      <c r="AN30" s="63"/>
      <c r="AO30" s="613"/>
      <c r="AP30" s="63"/>
      <c r="AQ30" s="63"/>
      <c r="AR30" s="63"/>
      <c r="AS30" s="613"/>
      <c r="AT30" s="63"/>
      <c r="AU30" s="63"/>
      <c r="AV30" s="63"/>
      <c r="AW30" s="613"/>
      <c r="AX30" s="63"/>
      <c r="AY30" s="63"/>
      <c r="AZ30" s="63"/>
      <c r="BA30" s="613"/>
      <c r="BB30" s="63"/>
      <c r="BC30" s="63"/>
      <c r="BD30" s="63"/>
      <c r="BE30" s="613"/>
      <c r="BF30" s="63"/>
      <c r="BG30" s="63"/>
      <c r="BH30" s="63"/>
      <c r="BI30" s="613"/>
      <c r="BJ30" s="148"/>
      <c r="BK30" s="148"/>
      <c r="BL30" s="148"/>
      <c r="BM30" s="655"/>
      <c r="BN30" s="148"/>
      <c r="BO30" s="148"/>
      <c r="BP30" s="148"/>
      <c r="BQ30" s="655"/>
      <c r="BR30" s="148"/>
      <c r="BS30" s="148"/>
      <c r="BT30" s="148"/>
      <c r="BU30" s="655"/>
      <c r="BV30" s="148"/>
      <c r="BW30" s="148"/>
      <c r="BX30" s="148"/>
      <c r="BY30" s="655"/>
      <c r="BZ30" s="148"/>
      <c r="CA30" s="148"/>
      <c r="CB30" s="148"/>
      <c r="CC30" s="655"/>
      <c r="CD30" s="732"/>
      <c r="CE30" s="1095"/>
      <c r="CF30" s="1095"/>
      <c r="CG30" s="655"/>
      <c r="CH30" s="732"/>
      <c r="CI30" s="1095"/>
      <c r="CJ30" s="1095"/>
      <c r="CK30" s="655"/>
      <c r="CL30" s="1625"/>
      <c r="CM30" s="1626"/>
      <c r="CN30" s="151"/>
      <c r="CO30" s="724"/>
      <c r="CP30" s="1626"/>
      <c r="CQ30" s="151"/>
      <c r="CR30" s="151"/>
      <c r="CS30" s="724"/>
      <c r="CT30" s="1095"/>
      <c r="CU30" s="1095"/>
      <c r="CV30" s="1095"/>
      <c r="CW30" s="724"/>
      <c r="CX30" s="1676"/>
      <c r="CY30" s="1095"/>
      <c r="CZ30" s="1095"/>
      <c r="DA30" s="655"/>
      <c r="DB30" s="732"/>
      <c r="DC30" s="655"/>
      <c r="DD30" s="129"/>
      <c r="DE30" s="129"/>
      <c r="DF30" s="129"/>
      <c r="DG30" s="129"/>
      <c r="DH30" s="129"/>
      <c r="DI30" s="129"/>
      <c r="DJ30" s="129"/>
      <c r="DK30" s="129"/>
      <c r="DL30" s="63"/>
      <c r="DM30" s="63"/>
      <c r="DN30" s="63"/>
      <c r="DO30" s="63"/>
      <c r="DP30" s="63"/>
      <c r="DQ30" s="63"/>
      <c r="DR30" s="63"/>
      <c r="DS30" s="63"/>
      <c r="DT30" s="63"/>
      <c r="DU30" s="63"/>
      <c r="DV30" s="63"/>
      <c r="DW30" s="63"/>
      <c r="DX30" s="63"/>
      <c r="DY30" s="63"/>
      <c r="DZ30" s="63"/>
      <c r="EA30" s="148"/>
      <c r="EB30" s="148"/>
      <c r="EC30" s="148"/>
      <c r="ED30" s="148"/>
      <c r="EE30" s="63"/>
      <c r="EF30" s="677"/>
      <c r="EG30" s="1095"/>
      <c r="EH30" s="1095"/>
      <c r="EI30" s="1095"/>
      <c r="EJ30" s="1095"/>
      <c r="EK30" s="148"/>
      <c r="EL30" s="148"/>
      <c r="EM30" s="1695"/>
      <c r="EN30" s="1037"/>
      <c r="EO30" s="1037"/>
      <c r="EP30" s="1037"/>
      <c r="EQ30" s="1037"/>
      <c r="ER30" s="1037"/>
      <c r="ES30" s="1037"/>
      <c r="ET30" s="1037"/>
      <c r="EU30" s="613"/>
      <c r="EV30" s="413"/>
      <c r="EW30"/>
      <c r="EX30"/>
      <c r="EY30"/>
      <c r="EZ30"/>
      <c r="FA30"/>
      <c r="FB30"/>
      <c r="FG30" s="1095"/>
      <c r="FH30" s="1095"/>
      <c r="FI30" s="1095"/>
      <c r="FJ30" s="1095"/>
      <c r="FK30" s="1095"/>
      <c r="FL30"/>
      <c r="FM30"/>
      <c r="FN30"/>
      <c r="FO30"/>
      <c r="FP30"/>
      <c r="FQ30"/>
      <c r="FR30"/>
      <c r="FS30"/>
      <c r="FT30"/>
      <c r="FU30"/>
      <c r="FV30"/>
      <c r="FW30"/>
      <c r="FX30"/>
      <c r="FY30"/>
      <c r="FZ30"/>
      <c r="GA30"/>
      <c r="GB30"/>
      <c r="GC30"/>
      <c r="GD30"/>
      <c r="GE30"/>
      <c r="GF30"/>
      <c r="GG30"/>
      <c r="GH30"/>
      <c r="GI30"/>
      <c r="GJ30"/>
      <c r="GK30"/>
      <c r="GL30"/>
      <c r="GM30"/>
      <c r="GN30"/>
      <c r="GO30"/>
      <c r="GP30"/>
      <c r="GQ30"/>
      <c r="GR30"/>
      <c r="GS30"/>
      <c r="GT30"/>
      <c r="GU30"/>
      <c r="GV30"/>
      <c r="GW30"/>
      <c r="GX30"/>
      <c r="GY30"/>
      <c r="GZ30"/>
      <c r="HA30"/>
      <c r="HB30"/>
      <c r="HC30"/>
      <c r="HD30"/>
      <c r="HE30"/>
      <c r="HF30"/>
      <c r="HG30"/>
      <c r="HH30"/>
      <c r="HI30"/>
      <c r="HJ30"/>
      <c r="HK30"/>
      <c r="HL30"/>
      <c r="HM30"/>
      <c r="HN30"/>
      <c r="HO30"/>
      <c r="HP30"/>
      <c r="HQ30"/>
      <c r="HR30"/>
      <c r="HS30"/>
      <c r="HT30"/>
      <c r="HU30"/>
      <c r="HV30"/>
      <c r="HW30"/>
      <c r="HX30"/>
      <c r="HY30"/>
      <c r="HZ30"/>
      <c r="IA30"/>
      <c r="IB30"/>
      <c r="IC30"/>
      <c r="ID30"/>
      <c r="IE30"/>
      <c r="IF30"/>
      <c r="IG30"/>
      <c r="IH30"/>
      <c r="II30"/>
      <c r="IJ30"/>
      <c r="IK30"/>
      <c r="IL30"/>
      <c r="IM30"/>
      <c r="IN30"/>
      <c r="IO30"/>
      <c r="IP30"/>
      <c r="IQ30"/>
      <c r="IR30"/>
      <c r="IS30"/>
      <c r="IT30"/>
      <c r="IU30"/>
      <c r="IV30"/>
      <c r="IW30"/>
      <c r="IX30"/>
      <c r="IY30"/>
      <c r="IZ30"/>
    </row>
    <row r="31" spans="1:260" s="4" customFormat="1" x14ac:dyDescent="0.2">
      <c r="A31" s="323" t="s">
        <v>48</v>
      </c>
      <c r="B31" s="63"/>
      <c r="C31" s="63"/>
      <c r="D31" s="63"/>
      <c r="E31" s="613"/>
      <c r="F31" s="63"/>
      <c r="G31" s="63"/>
      <c r="H31" s="63"/>
      <c r="I31" s="613"/>
      <c r="J31" s="63"/>
      <c r="K31" s="63"/>
      <c r="L31" s="63"/>
      <c r="M31" s="613"/>
      <c r="N31" s="63"/>
      <c r="O31" s="63"/>
      <c r="P31" s="63"/>
      <c r="Q31" s="613"/>
      <c r="R31" s="63"/>
      <c r="S31" s="63"/>
      <c r="T31" s="63"/>
      <c r="U31" s="613"/>
      <c r="V31" s="63"/>
      <c r="W31" s="63"/>
      <c r="X31" s="63"/>
      <c r="Y31" s="613"/>
      <c r="Z31" s="63"/>
      <c r="AA31" s="63"/>
      <c r="AB31" s="63"/>
      <c r="AC31" s="613"/>
      <c r="AD31" s="63"/>
      <c r="AE31" s="63"/>
      <c r="AF31" s="63"/>
      <c r="AG31" s="613"/>
      <c r="AH31" s="63"/>
      <c r="AI31" s="63"/>
      <c r="AJ31" s="63"/>
      <c r="AK31" s="613"/>
      <c r="AL31" s="63"/>
      <c r="AM31" s="63"/>
      <c r="AN31" s="63"/>
      <c r="AO31" s="613"/>
      <c r="AP31" s="63"/>
      <c r="AQ31" s="63"/>
      <c r="AR31" s="63"/>
      <c r="AS31" s="613"/>
      <c r="AT31" s="63"/>
      <c r="AU31" s="63"/>
      <c r="AV31" s="63"/>
      <c r="AW31" s="613"/>
      <c r="AX31" s="63"/>
      <c r="AY31" s="63"/>
      <c r="AZ31" s="63"/>
      <c r="BA31" s="613"/>
      <c r="BB31" s="63"/>
      <c r="BC31" s="63"/>
      <c r="BD31" s="63"/>
      <c r="BE31" s="613"/>
      <c r="BF31" s="63"/>
      <c r="BG31" s="63"/>
      <c r="BH31" s="63"/>
      <c r="BI31" s="613"/>
      <c r="BJ31" s="148"/>
      <c r="BK31" s="148"/>
      <c r="BL31" s="148"/>
      <c r="BM31" s="655"/>
      <c r="BN31" s="148"/>
      <c r="BO31" s="148"/>
      <c r="BP31" s="148"/>
      <c r="BQ31" s="655"/>
      <c r="BR31" s="148"/>
      <c r="BS31" s="148"/>
      <c r="BT31" s="148"/>
      <c r="BU31" s="655"/>
      <c r="BV31" s="148"/>
      <c r="BW31" s="148"/>
      <c r="BX31" s="148"/>
      <c r="BY31" s="655"/>
      <c r="BZ31" s="148"/>
      <c r="CA31" s="148"/>
      <c r="CB31" s="148"/>
      <c r="CC31" s="655"/>
      <c r="CD31" s="732"/>
      <c r="CE31" s="1095"/>
      <c r="CF31" s="1095"/>
      <c r="CG31" s="655"/>
      <c r="CH31" s="732"/>
      <c r="CI31" s="1095"/>
      <c r="CJ31" s="1095"/>
      <c r="CK31" s="655"/>
      <c r="CL31" s="1625"/>
      <c r="CM31" s="1626"/>
      <c r="CN31" s="1626"/>
      <c r="CO31" s="1627"/>
      <c r="CP31" s="1626"/>
      <c r="CQ31" s="1626"/>
      <c r="CR31" s="1626"/>
      <c r="CS31" s="655"/>
      <c r="CT31" s="1095"/>
      <c r="CU31" s="1095"/>
      <c r="CV31" s="1095"/>
      <c r="CW31" s="655"/>
      <c r="CX31" s="1676"/>
      <c r="CY31" s="1095"/>
      <c r="CZ31" s="1095"/>
      <c r="DA31" s="655"/>
      <c r="DB31" s="732"/>
      <c r="DC31" s="655"/>
      <c r="DD31" s="129"/>
      <c r="DE31" s="129"/>
      <c r="DF31" s="129"/>
      <c r="DG31" s="129"/>
      <c r="DH31" s="129"/>
      <c r="DI31" s="129"/>
      <c r="DJ31" s="129"/>
      <c r="DK31" s="129"/>
      <c r="DL31" s="63"/>
      <c r="DM31" s="63"/>
      <c r="DN31" s="63"/>
      <c r="DO31" s="63"/>
      <c r="DP31" s="63"/>
      <c r="DQ31" s="63"/>
      <c r="DR31" s="63"/>
      <c r="DS31" s="63"/>
      <c r="DT31" s="63"/>
      <c r="DU31" s="63"/>
      <c r="DV31" s="63"/>
      <c r="DW31" s="63"/>
      <c r="DX31" s="63"/>
      <c r="DY31" s="63"/>
      <c r="DZ31" s="63"/>
      <c r="EA31" s="148"/>
      <c r="EB31" s="148"/>
      <c r="EC31" s="148"/>
      <c r="ED31" s="148"/>
      <c r="EE31" s="63"/>
      <c r="EF31" s="677"/>
      <c r="EG31" s="1095"/>
      <c r="EH31" s="1095"/>
      <c r="EI31" s="1095"/>
      <c r="EJ31" s="1095"/>
      <c r="EK31" s="148"/>
      <c r="EL31" s="148"/>
      <c r="EM31" s="1695"/>
      <c r="EN31" s="1037"/>
      <c r="EO31" s="1037"/>
      <c r="EP31" s="1037"/>
      <c r="EQ31" s="1037"/>
      <c r="ER31" s="1037"/>
      <c r="ES31" s="1037"/>
      <c r="ET31" s="1037"/>
      <c r="EU31" s="613"/>
      <c r="EV31" s="413"/>
      <c r="EW31"/>
      <c r="EX31"/>
      <c r="EY31"/>
      <c r="EZ31"/>
      <c r="FA31"/>
      <c r="FB31"/>
      <c r="FG31" s="1095"/>
      <c r="FH31" s="1095"/>
      <c r="FI31" s="1095"/>
      <c r="FJ31" s="1095"/>
      <c r="FK31" s="1095"/>
      <c r="FL31"/>
      <c r="FM31"/>
      <c r="FN31"/>
      <c r="FO31"/>
      <c r="FP31"/>
      <c r="FQ31"/>
      <c r="FR31"/>
      <c r="FS31"/>
      <c r="FT31"/>
      <c r="FU31"/>
      <c r="FV31"/>
      <c r="FW31"/>
      <c r="FX31"/>
      <c r="FY31"/>
      <c r="FZ31"/>
      <c r="GA31"/>
      <c r="GB31"/>
      <c r="GC31"/>
      <c r="GD31"/>
      <c r="GE31"/>
      <c r="GF31"/>
      <c r="GG31"/>
      <c r="GH31"/>
      <c r="GI31"/>
      <c r="GJ31"/>
      <c r="GK31"/>
      <c r="GL31"/>
      <c r="GM31"/>
      <c r="GN31"/>
      <c r="GO31"/>
      <c r="GP31"/>
      <c r="GQ31"/>
      <c r="GR31"/>
      <c r="GS31"/>
      <c r="GT31"/>
      <c r="GU31"/>
      <c r="GV31"/>
      <c r="GW31"/>
      <c r="GX31"/>
      <c r="GY31"/>
      <c r="GZ31"/>
      <c r="HA31"/>
      <c r="HB31"/>
      <c r="HC31"/>
      <c r="HD31"/>
      <c r="HE31"/>
      <c r="HF31"/>
      <c r="HG31"/>
      <c r="HH31"/>
      <c r="HI31"/>
      <c r="HJ31"/>
      <c r="HK31"/>
      <c r="HL31"/>
      <c r="HM31"/>
      <c r="HN31"/>
      <c r="HO31"/>
      <c r="HP31"/>
      <c r="HQ31"/>
      <c r="HR31"/>
      <c r="HS31"/>
      <c r="HT31"/>
      <c r="HU31"/>
      <c r="HV31"/>
      <c r="HW31"/>
      <c r="HX31"/>
      <c r="HY31"/>
      <c r="HZ31"/>
      <c r="IA31"/>
      <c r="IB31"/>
      <c r="IC31"/>
      <c r="ID31"/>
      <c r="IE31"/>
      <c r="IF31"/>
      <c r="IG31"/>
      <c r="IH31"/>
      <c r="II31"/>
      <c r="IJ31"/>
      <c r="IK31"/>
      <c r="IL31"/>
      <c r="IM31"/>
      <c r="IN31"/>
      <c r="IO31"/>
      <c r="IP31"/>
      <c r="IQ31"/>
      <c r="IR31"/>
      <c r="IS31"/>
      <c r="IT31"/>
      <c r="IU31"/>
      <c r="IV31"/>
      <c r="IW31"/>
      <c r="IX31"/>
      <c r="IY31"/>
      <c r="IZ31"/>
    </row>
    <row r="32" spans="1:260" s="4" customFormat="1" x14ac:dyDescent="0.2">
      <c r="A32" s="179" t="s">
        <v>524</v>
      </c>
      <c r="B32" s="47">
        <v>-11.164999999999999</v>
      </c>
      <c r="C32" s="47">
        <f>-28.711-B32</f>
        <v>-17.545999999999999</v>
      </c>
      <c r="D32" s="47">
        <v>-42.81</v>
      </c>
      <c r="E32" s="709">
        <v>-29.891000000000005</v>
      </c>
      <c r="F32" s="47">
        <v>-31.571999999999999</v>
      </c>
      <c r="G32" s="47">
        <f>-81.983-F32</f>
        <v>-50.411000000000001</v>
      </c>
      <c r="H32" s="47">
        <v>-80.908999999999992</v>
      </c>
      <c r="I32" s="709">
        <v>44.774000000000001</v>
      </c>
      <c r="J32" s="47">
        <v>-23.489000000000001</v>
      </c>
      <c r="K32" s="47">
        <v>-32.192999999999998</v>
      </c>
      <c r="L32" s="47">
        <v>-43.314999999999998</v>
      </c>
      <c r="M32" s="709">
        <v>-27.203999999999997</v>
      </c>
      <c r="N32" s="47">
        <v>-16.082999999999998</v>
      </c>
      <c r="O32" s="47">
        <v>-24.267000000000003</v>
      </c>
      <c r="P32" s="47">
        <v>-19.818999999999996</v>
      </c>
      <c r="Q32" s="709">
        <v>-27.423999999999999</v>
      </c>
      <c r="R32" s="47">
        <v>-6.7830000000000004</v>
      </c>
      <c r="S32" s="47">
        <v>-21.152999999999999</v>
      </c>
      <c r="T32" s="47">
        <v>-20.018999999999998</v>
      </c>
      <c r="U32" s="709">
        <v>-24.108000000000004</v>
      </c>
      <c r="V32" s="47">
        <v>-12.084</v>
      </c>
      <c r="W32" s="47">
        <v>-19.04</v>
      </c>
      <c r="X32" s="47">
        <v>-63.915999999999997</v>
      </c>
      <c r="Y32" s="709">
        <v>-70.658000000000015</v>
      </c>
      <c r="Z32" s="47">
        <v>-36.936999999999998</v>
      </c>
      <c r="AA32" s="47">
        <f>-144.733-Z32</f>
        <v>-107.79600000000001</v>
      </c>
      <c r="AB32" s="47">
        <f>-255.624-SUM(Z32:AA32)</f>
        <v>-110.89099999999999</v>
      </c>
      <c r="AC32" s="709">
        <f>DR32-SUM(Z32:AB32)</f>
        <v>-105.4</v>
      </c>
      <c r="AD32" s="47">
        <v>-79</v>
      </c>
      <c r="AE32" s="47">
        <f>-266-AD32</f>
        <v>-187</v>
      </c>
      <c r="AF32" s="47">
        <f>-471-SUM(AD32:AE32)</f>
        <v>-205</v>
      </c>
      <c r="AG32" s="709">
        <f>DS32-SUM(AD32:AF32)</f>
        <v>-186</v>
      </c>
      <c r="AH32" s="47">
        <v>-115</v>
      </c>
      <c r="AI32" s="47">
        <f>-257-AH32</f>
        <v>-142</v>
      </c>
      <c r="AJ32" s="47">
        <f>-431-SUM(AH32:AI32)</f>
        <v>-174</v>
      </c>
      <c r="AK32" s="709">
        <f>DT32-SUM(AH32:AJ32)</f>
        <v>-150</v>
      </c>
      <c r="AL32" s="47">
        <v>-175</v>
      </c>
      <c r="AM32" s="47">
        <v>-264</v>
      </c>
      <c r="AN32" s="47">
        <v>-210</v>
      </c>
      <c r="AO32" s="709">
        <f>DU32-SUM(AL32:AN32)</f>
        <v>-76</v>
      </c>
      <c r="AP32" s="47">
        <v>-155</v>
      </c>
      <c r="AQ32" s="47">
        <f>-292-AP32</f>
        <v>-137</v>
      </c>
      <c r="AR32" s="47">
        <f>-449-AQ32-AP32</f>
        <v>-157</v>
      </c>
      <c r="AS32" s="709">
        <f>DV32-SUM(AP32:AR32)</f>
        <v>-96</v>
      </c>
      <c r="AT32" s="47">
        <v>-85</v>
      </c>
      <c r="AU32" s="47">
        <f>-202-AT32</f>
        <v>-117</v>
      </c>
      <c r="AV32" s="47">
        <f>-352-AT32-AU32</f>
        <v>-150</v>
      </c>
      <c r="AW32" s="709">
        <f>DW32-SUM(AT32:AV32)</f>
        <v>-150</v>
      </c>
      <c r="AX32" s="47">
        <v>-105</v>
      </c>
      <c r="AY32" s="47">
        <f>-280-AX32</f>
        <v>-175</v>
      </c>
      <c r="AZ32" s="47">
        <f>-497-AY32-AX32</f>
        <v>-217</v>
      </c>
      <c r="BA32" s="709">
        <f>DX32-SUM(AX32:AZ32)</f>
        <v>-151</v>
      </c>
      <c r="BB32" s="47">
        <v>-154</v>
      </c>
      <c r="BC32" s="47">
        <f>-299-BB32</f>
        <v>-145</v>
      </c>
      <c r="BD32" s="47">
        <f>-520-SUM(BB32:BC32)</f>
        <v>-221</v>
      </c>
      <c r="BE32" s="709">
        <f>DY32-SUM(BB32:BD32)</f>
        <v>-213</v>
      </c>
      <c r="BF32" s="47">
        <v>-179</v>
      </c>
      <c r="BG32" s="47">
        <f>-376-BF32</f>
        <v>-197</v>
      </c>
      <c r="BH32" s="47">
        <f>-584-BG32-BF32</f>
        <v>-208</v>
      </c>
      <c r="BI32" s="709">
        <f>DZ32-BF32-BG32-BH32</f>
        <v>-213</v>
      </c>
      <c r="BJ32" s="873">
        <v>-220</v>
      </c>
      <c r="BK32" s="873">
        <f>-502-BJ32</f>
        <v>-282</v>
      </c>
      <c r="BL32" s="873">
        <f>-927-BJ32-BK32</f>
        <v>-425</v>
      </c>
      <c r="BM32" s="874">
        <f>EA32-BJ32-BK32-BL32</f>
        <v>-376</v>
      </c>
      <c r="BN32" s="898">
        <v>-186</v>
      </c>
      <c r="BO32" s="898">
        <f>-310-BN32</f>
        <v>-124</v>
      </c>
      <c r="BP32" s="898">
        <f>-469-BN32-BO32</f>
        <v>-159</v>
      </c>
      <c r="BQ32" s="909">
        <f>EB32-BN32-BO32-BP32</f>
        <v>-146</v>
      </c>
      <c r="BR32" s="898">
        <v>-161</v>
      </c>
      <c r="BS32" s="898">
        <f>-342-BR32</f>
        <v>-181</v>
      </c>
      <c r="BT32" s="898">
        <f>-529-BR32-BS32</f>
        <v>-187</v>
      </c>
      <c r="BU32" s="909">
        <f>EC32-BR32-BS32-BT32</f>
        <v>-215</v>
      </c>
      <c r="BV32" s="873">
        <v>-202</v>
      </c>
      <c r="BW32" s="873">
        <f>-411-BV32</f>
        <v>-209</v>
      </c>
      <c r="BX32" s="873">
        <f>-616-BW32-BV32</f>
        <v>-205</v>
      </c>
      <c r="BY32" s="909">
        <f>ED32-BV32-BW32-BX32</f>
        <v>-150</v>
      </c>
      <c r="BZ32" s="873">
        <v>-141</v>
      </c>
      <c r="CA32" s="873">
        <f>-316-BZ32</f>
        <v>-175</v>
      </c>
      <c r="CB32" s="873">
        <f>-522-CA32-BZ32</f>
        <v>-206</v>
      </c>
      <c r="CC32" s="909">
        <f>EG32-BZ32-CA32-CB32</f>
        <v>-220</v>
      </c>
      <c r="CD32" s="1062">
        <v>-174</v>
      </c>
      <c r="CE32" s="947">
        <f>-301-CD32</f>
        <v>-127</v>
      </c>
      <c r="CF32" s="947">
        <f>-422-CE32-CD32</f>
        <v>-121</v>
      </c>
      <c r="CG32" s="874">
        <f>-547-CD32-CE32-CF32</f>
        <v>-125</v>
      </c>
      <c r="CH32" s="862">
        <v>-111</v>
      </c>
      <c r="CI32" s="841">
        <f>-258-CH32</f>
        <v>-147</v>
      </c>
      <c r="CJ32" s="841">
        <f>-425-CI32-CH32</f>
        <v>-167</v>
      </c>
      <c r="CK32" s="822">
        <f t="shared" ref="CK32:CK39" si="68">+EI32-SUM(CH32:CJ32)</f>
        <v>-136</v>
      </c>
      <c r="CL32" s="1628">
        <v>-124</v>
      </c>
      <c r="CM32" s="1629">
        <f>-293-CL32</f>
        <v>-169</v>
      </c>
      <c r="CN32" s="1629">
        <f>-493-SUM(CL32:CM32)</f>
        <v>-200</v>
      </c>
      <c r="CO32" s="1630">
        <f t="shared" ref="CO32:CO39" si="69">+EJ32-SUM(CL32:CN32)</f>
        <v>-156</v>
      </c>
      <c r="CP32" s="1629">
        <v>-136</v>
      </c>
      <c r="CQ32" s="1629">
        <f>-276-CP32</f>
        <v>-140</v>
      </c>
      <c r="CR32" s="1629">
        <f>-445-SUM(CP32:CQ32)</f>
        <v>-169</v>
      </c>
      <c r="CS32" s="822">
        <f>+EK32-CR32-CQ32-CP32</f>
        <v>-135</v>
      </c>
      <c r="CT32" s="1629">
        <v>-153</v>
      </c>
      <c r="CU32" s="1629">
        <f>-296-CT32</f>
        <v>-143</v>
      </c>
      <c r="CV32" s="1629">
        <f>+-489-CU32-CT32</f>
        <v>-193</v>
      </c>
      <c r="CW32" s="822">
        <f t="shared" ref="CW32:CW39" si="70">+EL32-SUM(CT32:CV32)</f>
        <v>-199</v>
      </c>
      <c r="CX32" s="2803">
        <f>EM32/4</f>
        <v>-211.81065601789899</v>
      </c>
      <c r="CY32" s="841">
        <f>CX32</f>
        <v>-211.81065601789899</v>
      </c>
      <c r="CZ32" s="841">
        <f>CY32</f>
        <v>-211.81065601789899</v>
      </c>
      <c r="DA32" s="822">
        <f>+CZ32</f>
        <v>-211.81065601789899</v>
      </c>
      <c r="DB32" s="732"/>
      <c r="DC32" s="655"/>
      <c r="DD32" s="47">
        <v>-2.8420000000000001</v>
      </c>
      <c r="DE32" s="47">
        <v>-11.284000000000001</v>
      </c>
      <c r="DF32" s="47">
        <v>-19.359000000000002</v>
      </c>
      <c r="DG32" s="47">
        <v>-6.4720000000000004</v>
      </c>
      <c r="DH32" s="47">
        <v>-9.66</v>
      </c>
      <c r="DI32" s="47">
        <f>-20.267</f>
        <v>-20.266999999999999</v>
      </c>
      <c r="DJ32" s="47">
        <f>-25.279</f>
        <v>-25.279</v>
      </c>
      <c r="DK32" s="47">
        <v>-74.891000000000005</v>
      </c>
      <c r="DL32" s="47">
        <f>+E32+D32+C32+B32</f>
        <v>-101.41200000000001</v>
      </c>
      <c r="DM32" s="47">
        <f>+F32+G32+H32+I32</f>
        <v>-118.11799999999999</v>
      </c>
      <c r="DN32" s="47">
        <f>+J32+K32+L32+M32</f>
        <v>-126.20099999999999</v>
      </c>
      <c r="DO32" s="47">
        <f>+N32+O32+P32+Q32</f>
        <v>-87.592999999999989</v>
      </c>
      <c r="DP32" s="47">
        <f>+R32+S32+T32+U32</f>
        <v>-72.063000000000002</v>
      </c>
      <c r="DQ32" s="47">
        <f>+V32+W32+X32+Y32</f>
        <v>-165.69800000000001</v>
      </c>
      <c r="DR32" s="47">
        <v>-361.024</v>
      </c>
      <c r="DS32" s="47">
        <v>-657</v>
      </c>
      <c r="DT32" s="47">
        <v>-581</v>
      </c>
      <c r="DU32" s="47">
        <v>-725</v>
      </c>
      <c r="DV32" s="47">
        <v>-545</v>
      </c>
      <c r="DW32" s="47">
        <v>-502</v>
      </c>
      <c r="DX32" s="47">
        <v>-648</v>
      </c>
      <c r="DY32" s="47">
        <v>-733</v>
      </c>
      <c r="DZ32" s="47">
        <v>-797</v>
      </c>
      <c r="EA32" s="873">
        <v>-1303</v>
      </c>
      <c r="EB32" s="915">
        <v>-615</v>
      </c>
      <c r="EC32" s="915">
        <v>-744</v>
      </c>
      <c r="ED32" s="915">
        <v>-766</v>
      </c>
      <c r="EE32" s="47">
        <v>-706</v>
      </c>
      <c r="EF32" s="1126">
        <v>-747</v>
      </c>
      <c r="EG32" s="920">
        <v>-742</v>
      </c>
      <c r="EH32" s="841">
        <f t="shared" ref="EH32:EH39" si="71">SUM(CD32:CG32)</f>
        <v>-547</v>
      </c>
      <c r="EI32" s="841">
        <v>-561</v>
      </c>
      <c r="EJ32" s="841">
        <v>-649</v>
      </c>
      <c r="EK32" s="821">
        <v>-580</v>
      </c>
      <c r="EL32" s="821">
        <v>-688</v>
      </c>
      <c r="EM32" s="1697">
        <f>-EM82</f>
        <v>-847.24262407159597</v>
      </c>
      <c r="EN32" s="841">
        <f>-EN82</f>
        <v>-750.20708665237623</v>
      </c>
      <c r="EO32" s="841">
        <f t="shared" ref="EO32:ER32" si="72">-EO82</f>
        <v>-759.41077984584967</v>
      </c>
      <c r="EP32" s="841">
        <f t="shared" si="72"/>
        <v>-724.50121231842547</v>
      </c>
      <c r="EQ32" s="841">
        <f t="shared" si="72"/>
        <v>-656.22993454793334</v>
      </c>
      <c r="ER32" s="841">
        <f t="shared" si="72"/>
        <v>-680.09878521854125</v>
      </c>
      <c r="ES32" s="841">
        <f>-ES82</f>
        <v>-691.12571768440489</v>
      </c>
      <c r="ET32" s="841">
        <f>-ET82</f>
        <v>-702.55621811171818</v>
      </c>
      <c r="EU32" s="822">
        <f>-EU82</f>
        <v>-714.40814844353281</v>
      </c>
      <c r="EV32" s="413"/>
      <c r="EW32"/>
      <c r="EX32"/>
      <c r="EY32"/>
      <c r="EZ32"/>
      <c r="FA32"/>
      <c r="FB32"/>
      <c r="FG32" s="841"/>
      <c r="FH32" s="841"/>
      <c r="FI32" s="841"/>
      <c r="FJ32" s="841"/>
      <c r="FK32" s="841"/>
      <c r="FL32"/>
      <c r="FM32"/>
      <c r="FN32"/>
      <c r="FO32"/>
      <c r="FP32"/>
      <c r="FQ32"/>
      <c r="FR32"/>
      <c r="FS32"/>
      <c r="FT32"/>
      <c r="FU32"/>
      <c r="FV32"/>
      <c r="FW32"/>
      <c r="FX32"/>
      <c r="FY32"/>
      <c r="FZ32"/>
      <c r="GA32"/>
      <c r="GB32"/>
      <c r="GC32"/>
      <c r="GD32"/>
      <c r="GE32"/>
      <c r="GF32"/>
      <c r="GG32"/>
      <c r="GH32"/>
      <c r="GI32"/>
      <c r="GJ32"/>
      <c r="GK32"/>
      <c r="GL32"/>
      <c r="GM32"/>
      <c r="GN32"/>
      <c r="GO32"/>
      <c r="GP32"/>
      <c r="GQ32"/>
      <c r="GR32"/>
      <c r="GS32"/>
      <c r="GT32"/>
      <c r="GU32"/>
      <c r="GV32"/>
      <c r="GW32"/>
      <c r="GX32"/>
      <c r="GY32"/>
      <c r="GZ32"/>
      <c r="HA32"/>
      <c r="HB32"/>
      <c r="HC32"/>
      <c r="HD32"/>
      <c r="HE32"/>
      <c r="HF32"/>
      <c r="HG32"/>
      <c r="HH32"/>
      <c r="HI32"/>
      <c r="HJ32"/>
      <c r="HK32"/>
      <c r="HL32"/>
      <c r="HM32"/>
      <c r="HN32"/>
      <c r="HO32"/>
      <c r="HP32"/>
      <c r="HQ32"/>
      <c r="HR32"/>
      <c r="HS32"/>
      <c r="HT32"/>
      <c r="HU32"/>
      <c r="HV32"/>
      <c r="HW32"/>
      <c r="HX32"/>
      <c r="HY32"/>
      <c r="HZ32"/>
      <c r="IA32"/>
      <c r="IB32"/>
      <c r="IC32"/>
      <c r="ID32"/>
      <c r="IE32"/>
      <c r="IF32"/>
      <c r="IG32"/>
      <c r="IH32"/>
      <c r="II32"/>
      <c r="IJ32"/>
      <c r="IK32"/>
      <c r="IL32"/>
      <c r="IM32"/>
      <c r="IN32"/>
      <c r="IO32"/>
      <c r="IP32"/>
      <c r="IQ32"/>
      <c r="IR32"/>
      <c r="IS32"/>
      <c r="IT32"/>
      <c r="IU32"/>
      <c r="IV32"/>
      <c r="IW32"/>
      <c r="IX32"/>
      <c r="IY32"/>
      <c r="IZ32"/>
    </row>
    <row r="33" spans="1:260" s="4" customFormat="1" x14ac:dyDescent="0.2">
      <c r="A33" s="179" t="s">
        <v>525</v>
      </c>
      <c r="B33" s="47">
        <v>0</v>
      </c>
      <c r="C33" s="47">
        <f>0.046-B33</f>
        <v>4.5999999999999999E-2</v>
      </c>
      <c r="D33" s="47">
        <v>0</v>
      </c>
      <c r="E33" s="709">
        <v>-4.5999999999999999E-2</v>
      </c>
      <c r="F33" s="47">
        <v>0</v>
      </c>
      <c r="G33" s="47">
        <v>0</v>
      </c>
      <c r="H33" s="47">
        <v>0</v>
      </c>
      <c r="I33" s="709">
        <v>0</v>
      </c>
      <c r="J33" s="47">
        <v>0</v>
      </c>
      <c r="K33" s="47">
        <v>0</v>
      </c>
      <c r="L33" s="47">
        <v>0</v>
      </c>
      <c r="M33" s="709">
        <v>0</v>
      </c>
      <c r="N33" s="47">
        <v>0</v>
      </c>
      <c r="O33" s="47">
        <v>0</v>
      </c>
      <c r="P33" s="47">
        <v>0</v>
      </c>
      <c r="Q33" s="709">
        <v>0</v>
      </c>
      <c r="R33" s="47">
        <v>0</v>
      </c>
      <c r="S33" s="47">
        <v>0</v>
      </c>
      <c r="T33" s="47">
        <v>0</v>
      </c>
      <c r="U33" s="709">
        <v>0</v>
      </c>
      <c r="V33" s="47">
        <v>0</v>
      </c>
      <c r="W33" s="47">
        <v>0</v>
      </c>
      <c r="X33" s="47">
        <v>0</v>
      </c>
      <c r="Y33" s="709">
        <v>0</v>
      </c>
      <c r="Z33" s="47">
        <v>0</v>
      </c>
      <c r="AA33" s="47">
        <v>0</v>
      </c>
      <c r="AB33" s="47">
        <v>0</v>
      </c>
      <c r="AC33" s="709">
        <f>DR33-SUM(Z33:AB33)</f>
        <v>0</v>
      </c>
      <c r="AD33" s="47">
        <v>0</v>
      </c>
      <c r="AE33" s="47">
        <v>0</v>
      </c>
      <c r="AF33" s="47">
        <v>0</v>
      </c>
      <c r="AG33" s="709">
        <f>DS33-SUM(AD33:AF33)</f>
        <v>-326</v>
      </c>
      <c r="AH33" s="47">
        <v>0</v>
      </c>
      <c r="AI33" s="47">
        <v>0</v>
      </c>
      <c r="AJ33" s="47">
        <f>-360-SUM(AH33:AI33)</f>
        <v>-360</v>
      </c>
      <c r="AK33" s="709">
        <f>DT33-SUM(AH33:AJ33)</f>
        <v>-8</v>
      </c>
      <c r="AL33" s="47">
        <v>0</v>
      </c>
      <c r="AM33" s="47">
        <v>0</v>
      </c>
      <c r="AN33" s="47">
        <v>-3</v>
      </c>
      <c r="AO33" s="709">
        <f>DU33-SUM(AL33:AN33)</f>
        <v>0</v>
      </c>
      <c r="AP33" s="47">
        <v>0</v>
      </c>
      <c r="AQ33" s="47">
        <f>0-AP33</f>
        <v>0</v>
      </c>
      <c r="AR33" s="47">
        <f>0-AQ33-AP33</f>
        <v>0</v>
      </c>
      <c r="AS33" s="709">
        <f>DV33-SUM(AP33:AR33)</f>
        <v>0</v>
      </c>
      <c r="AT33" s="47">
        <v>0</v>
      </c>
      <c r="AU33" s="47">
        <v>0</v>
      </c>
      <c r="AV33" s="47">
        <v>0</v>
      </c>
      <c r="AW33" s="709">
        <f>DW33-SUM(AT33:AV33)</f>
        <v>0</v>
      </c>
      <c r="AX33" s="47">
        <v>0</v>
      </c>
      <c r="AY33" s="47">
        <f>0-AX33</f>
        <v>0</v>
      </c>
      <c r="AZ33" s="47">
        <f>0-AY33-AX33</f>
        <v>0</v>
      </c>
      <c r="BA33" s="709">
        <f>DX33-SUM(AX33:AZ33)</f>
        <v>0</v>
      </c>
      <c r="BB33" s="47">
        <v>-408</v>
      </c>
      <c r="BC33" s="47">
        <f>-421-BB33</f>
        <v>-13</v>
      </c>
      <c r="BD33" s="47">
        <f>-421-SUM(BB33:BC33)</f>
        <v>0</v>
      </c>
      <c r="BE33" s="709">
        <f>DY33-SUM(BB33:BD33)</f>
        <v>0</v>
      </c>
      <c r="BF33" s="47">
        <v>-89</v>
      </c>
      <c r="BG33" s="47">
        <f>-89-BF33</f>
        <v>0</v>
      </c>
      <c r="BH33" s="47">
        <f>-89-BG33-BF33</f>
        <v>0</v>
      </c>
      <c r="BI33" s="709">
        <f>DZ33-BF33-BG33-BH33</f>
        <v>0</v>
      </c>
      <c r="BJ33" s="873">
        <v>0</v>
      </c>
      <c r="BK33" s="873">
        <f>-2089-BJ33</f>
        <v>-2089</v>
      </c>
      <c r="BL33" s="873">
        <f>-2167-BJ33-BK33</f>
        <v>-78</v>
      </c>
      <c r="BM33" s="874">
        <f>EA33-BJ33-BK33-BL33</f>
        <v>-3</v>
      </c>
      <c r="BN33" s="898">
        <v>0</v>
      </c>
      <c r="BO33" s="898">
        <v>0</v>
      </c>
      <c r="BP33" s="898">
        <v>0</v>
      </c>
      <c r="BQ33" s="909">
        <f>EB33-BN33-BO33-BP33</f>
        <v>-7</v>
      </c>
      <c r="BR33" s="898">
        <v>0</v>
      </c>
      <c r="BS33" s="898">
        <f>21-BR33</f>
        <v>21</v>
      </c>
      <c r="BT33" s="898">
        <f>21-BR33-BS33</f>
        <v>0</v>
      </c>
      <c r="BU33" s="909">
        <f>EC33-BR33-BS33-BT33</f>
        <v>0</v>
      </c>
      <c r="BV33" s="898">
        <v>0</v>
      </c>
      <c r="BW33" s="898">
        <f>0-BV33</f>
        <v>0</v>
      </c>
      <c r="BX33" s="898">
        <f>-111+167-BW33</f>
        <v>56</v>
      </c>
      <c r="BY33" s="909">
        <f>ED33-BV33-BW33-BX33</f>
        <v>-230</v>
      </c>
      <c r="BZ33" s="898">
        <f>25-10</f>
        <v>15</v>
      </c>
      <c r="CA33" s="898">
        <f>0-BZ33</f>
        <v>-15</v>
      </c>
      <c r="CB33" s="898">
        <f>0-CA33-BZ33</f>
        <v>0</v>
      </c>
      <c r="CC33" s="909">
        <f>EG33-BZ33-CA33-CB33</f>
        <v>0</v>
      </c>
      <c r="CD33" s="917">
        <f>22+26</f>
        <v>48</v>
      </c>
      <c r="CE33" s="910">
        <f>67-CD33</f>
        <v>19</v>
      </c>
      <c r="CF33" s="910">
        <f>0+67-CE33-CD33</f>
        <v>0</v>
      </c>
      <c r="CG33" s="909">
        <f>206-CD33-CE33-CF33</f>
        <v>139</v>
      </c>
      <c r="CH33" s="1386">
        <v>21</v>
      </c>
      <c r="CI33" s="830">
        <f>37-CH33</f>
        <v>16</v>
      </c>
      <c r="CJ33" s="830">
        <f>38-CI33-CH33</f>
        <v>1</v>
      </c>
      <c r="CK33" s="828">
        <f t="shared" si="68"/>
        <v>1</v>
      </c>
      <c r="CL33" s="1631">
        <v>0</v>
      </c>
      <c r="CM33" s="1447"/>
      <c r="CN33" s="1447">
        <f>102-SUM(CL33:CM33)</f>
        <v>102</v>
      </c>
      <c r="CO33" s="1448">
        <f t="shared" si="69"/>
        <v>1</v>
      </c>
      <c r="CP33" s="1447">
        <v>0</v>
      </c>
      <c r="CQ33" s="1447">
        <v>0</v>
      </c>
      <c r="CR33" s="1447">
        <v>0</v>
      </c>
      <c r="CS33" s="1448">
        <f t="shared" ref="CS33:CS39" si="73">+EK33-CR33-CQ33-CP33</f>
        <v>0</v>
      </c>
      <c r="CT33" s="1447">
        <v>0</v>
      </c>
      <c r="CU33" s="1447">
        <v>0</v>
      </c>
      <c r="CV33" s="1447">
        <v>0</v>
      </c>
      <c r="CW33" s="1448">
        <f t="shared" si="70"/>
        <v>0</v>
      </c>
      <c r="CX33" s="2752">
        <v>0</v>
      </c>
      <c r="CY33" s="1653">
        <v>0</v>
      </c>
      <c r="CZ33" s="1653">
        <v>0</v>
      </c>
      <c r="DA33" s="1611">
        <v>0</v>
      </c>
      <c r="DB33" s="667"/>
      <c r="DC33" s="524"/>
      <c r="DD33" s="47">
        <v>0</v>
      </c>
      <c r="DE33" s="47">
        <v>0</v>
      </c>
      <c r="DF33" s="47">
        <v>0</v>
      </c>
      <c r="DG33" s="47">
        <v>0</v>
      </c>
      <c r="DH33" s="47">
        <v>0</v>
      </c>
      <c r="DI33" s="47">
        <v>0</v>
      </c>
      <c r="DJ33" s="47">
        <v>0</v>
      </c>
      <c r="DK33" s="47">
        <v>0</v>
      </c>
      <c r="DL33" s="47">
        <f>+E33+D33+C33+B33</f>
        <v>0</v>
      </c>
      <c r="DM33" s="47">
        <f>+F33+G33+H33+I33</f>
        <v>0</v>
      </c>
      <c r="DN33" s="47">
        <f>+J33+K33+L33+M33</f>
        <v>0</v>
      </c>
      <c r="DO33" s="47">
        <f>+N33+O33+P33+Q33</f>
        <v>0</v>
      </c>
      <c r="DP33" s="47">
        <f>+R33+S33+T33+U33</f>
        <v>0</v>
      </c>
      <c r="DQ33" s="47">
        <f>+V33+W33+X33+Y33</f>
        <v>0</v>
      </c>
      <c r="DR33" s="47">
        <v>0</v>
      </c>
      <c r="DS33" s="47">
        <v>-326</v>
      </c>
      <c r="DT33" s="47">
        <v>-368</v>
      </c>
      <c r="DU33" s="47">
        <v>-3</v>
      </c>
      <c r="DV33" s="47">
        <v>0</v>
      </c>
      <c r="DW33" s="47">
        <v>0</v>
      </c>
      <c r="DX33" s="47">
        <v>0</v>
      </c>
      <c r="DY33" s="47">
        <v>-421</v>
      </c>
      <c r="DZ33" s="47">
        <v>-89</v>
      </c>
      <c r="EA33" s="873">
        <f>-2170</f>
        <v>-2170</v>
      </c>
      <c r="EB33" s="915">
        <v>-7</v>
      </c>
      <c r="EC33" s="915">
        <f>21</f>
        <v>21</v>
      </c>
      <c r="ED33" s="915">
        <v>-174</v>
      </c>
      <c r="EE33" s="898">
        <v>0</v>
      </c>
      <c r="EF33" s="917">
        <v>0</v>
      </c>
      <c r="EG33" s="920">
        <v>0</v>
      </c>
      <c r="EH33" s="829">
        <f t="shared" si="71"/>
        <v>206</v>
      </c>
      <c r="EI33" s="829">
        <v>39</v>
      </c>
      <c r="EJ33" s="829">
        <v>103</v>
      </c>
      <c r="EK33" s="830">
        <v>0</v>
      </c>
      <c r="EL33" s="830">
        <v>0</v>
      </c>
      <c r="EM33" s="1698">
        <f>SUM(CX33:DA33)</f>
        <v>0</v>
      </c>
      <c r="EN33" s="830">
        <v>0</v>
      </c>
      <c r="EO33" s="830">
        <v>0</v>
      </c>
      <c r="EP33" s="830">
        <v>0</v>
      </c>
      <c r="EQ33" s="830">
        <v>0</v>
      </c>
      <c r="ER33" s="830">
        <v>0</v>
      </c>
      <c r="ES33" s="830">
        <v>0</v>
      </c>
      <c r="ET33" s="830">
        <v>0</v>
      </c>
      <c r="EU33" s="828">
        <v>0</v>
      </c>
      <c r="EV33" s="413"/>
      <c r="EW33"/>
      <c r="EX33"/>
      <c r="EY33"/>
      <c r="EZ33"/>
      <c r="FA33"/>
      <c r="FB33"/>
      <c r="FG33" s="830"/>
      <c r="FH33" s="830"/>
      <c r="FI33" s="830"/>
      <c r="FJ33" s="830"/>
      <c r="FK33" s="830"/>
      <c r="FL33"/>
      <c r="FM33"/>
      <c r="FN33"/>
      <c r="FO33"/>
      <c r="FP33"/>
      <c r="FQ33"/>
      <c r="FR33"/>
      <c r="FS33"/>
      <c r="FT33"/>
      <c r="FU33"/>
      <c r="FV33"/>
      <c r="FW33"/>
      <c r="FX33"/>
      <c r="FY33"/>
      <c r="FZ33"/>
      <c r="GA33"/>
      <c r="GB33"/>
      <c r="GC33"/>
      <c r="GD33"/>
      <c r="GE33"/>
      <c r="GF33"/>
      <c r="GG33"/>
      <c r="GH33"/>
      <c r="GI33"/>
      <c r="GJ33"/>
      <c r="GK33"/>
      <c r="GL33"/>
      <c r="GM33"/>
      <c r="GN33"/>
      <c r="GO33"/>
      <c r="GP33"/>
      <c r="GQ33"/>
      <c r="GR33"/>
      <c r="GS33"/>
      <c r="GT33"/>
      <c r="GU33"/>
      <c r="GV33"/>
      <c r="GW33"/>
      <c r="GX33"/>
      <c r="GY33"/>
      <c r="GZ33"/>
      <c r="HA33"/>
      <c r="HB33"/>
      <c r="HC33"/>
      <c r="HD33"/>
      <c r="HE33"/>
      <c r="HF33"/>
      <c r="HG33"/>
      <c r="HH33"/>
      <c r="HI33"/>
      <c r="HJ33"/>
      <c r="HK33"/>
      <c r="HL33"/>
      <c r="HM33"/>
      <c r="HN33"/>
      <c r="HO33"/>
      <c r="HP33"/>
      <c r="HQ33"/>
      <c r="HR33"/>
      <c r="HS33"/>
      <c r="HT33"/>
      <c r="HU33"/>
      <c r="HV33"/>
      <c r="HW33"/>
      <c r="HX33"/>
      <c r="HY33"/>
      <c r="HZ33"/>
      <c r="IA33"/>
      <c r="IB33"/>
      <c r="IC33"/>
      <c r="ID33"/>
      <c r="IE33"/>
      <c r="IF33"/>
      <c r="IG33"/>
      <c r="IH33"/>
      <c r="II33"/>
      <c r="IJ33"/>
      <c r="IK33"/>
      <c r="IL33"/>
      <c r="IM33"/>
      <c r="IN33"/>
      <c r="IO33"/>
      <c r="IP33"/>
      <c r="IQ33"/>
      <c r="IR33"/>
      <c r="IS33"/>
      <c r="IT33"/>
      <c r="IU33"/>
      <c r="IV33"/>
      <c r="IW33"/>
      <c r="IX33"/>
      <c r="IY33"/>
      <c r="IZ33"/>
    </row>
    <row r="34" spans="1:260" s="4" customFormat="1" x14ac:dyDescent="0.2">
      <c r="A34" s="179" t="s">
        <v>526</v>
      </c>
      <c r="B34" s="47"/>
      <c r="C34" s="47"/>
      <c r="D34" s="47"/>
      <c r="E34" s="709"/>
      <c r="F34" s="47"/>
      <c r="G34" s="47"/>
      <c r="H34" s="47"/>
      <c r="I34" s="709"/>
      <c r="J34" s="47"/>
      <c r="K34" s="47"/>
      <c r="L34" s="47"/>
      <c r="M34" s="709"/>
      <c r="N34" s="47"/>
      <c r="O34" s="47"/>
      <c r="P34" s="47"/>
      <c r="Q34" s="709"/>
      <c r="R34" s="47"/>
      <c r="S34" s="47"/>
      <c r="T34" s="47"/>
      <c r="U34" s="709"/>
      <c r="V34" s="47"/>
      <c r="W34" s="47"/>
      <c r="X34" s="47"/>
      <c r="Y34" s="709"/>
      <c r="Z34" s="47"/>
      <c r="AA34" s="47"/>
      <c r="AB34" s="47"/>
      <c r="AC34" s="709"/>
      <c r="AD34" s="47"/>
      <c r="AE34" s="47"/>
      <c r="AF34" s="47"/>
      <c r="AG34" s="709"/>
      <c r="AH34" s="47"/>
      <c r="AI34" s="47"/>
      <c r="AJ34" s="47"/>
      <c r="AK34" s="709"/>
      <c r="AL34" s="47"/>
      <c r="AM34" s="47"/>
      <c r="AN34" s="47"/>
      <c r="AO34" s="709"/>
      <c r="AP34" s="47"/>
      <c r="AQ34" s="47"/>
      <c r="AR34" s="47"/>
      <c r="AS34" s="709"/>
      <c r="AT34" s="47">
        <v>0</v>
      </c>
      <c r="AU34" s="47">
        <v>0</v>
      </c>
      <c r="AV34" s="47">
        <v>0</v>
      </c>
      <c r="AW34" s="709">
        <f>DW34-SUM(AT34:AV34)</f>
        <v>-7789</v>
      </c>
      <c r="AX34" s="47">
        <v>-229</v>
      </c>
      <c r="AY34" s="47">
        <f>-799-AX34</f>
        <v>-570</v>
      </c>
      <c r="AZ34" s="47">
        <f>-1589-AY34-AX34</f>
        <v>-790</v>
      </c>
      <c r="BA34" s="709">
        <f>DX34-SUM(AX34:AZ34)</f>
        <v>-2730</v>
      </c>
      <c r="BB34" s="47">
        <v>-497</v>
      </c>
      <c r="BC34" s="47">
        <f>-1635-BB34</f>
        <v>-1138</v>
      </c>
      <c r="BD34" s="47">
        <f>-1910-SUM(BB34:BC34)</f>
        <v>-275</v>
      </c>
      <c r="BE34" s="709">
        <f>DY34-SUM(BB34:BD34)</f>
        <v>-2631</v>
      </c>
      <c r="BF34" s="47">
        <v>-2283</v>
      </c>
      <c r="BG34" s="47">
        <f>-3812-BF34</f>
        <v>-1529</v>
      </c>
      <c r="BH34" s="47">
        <f>-4762-BF34-BG34</f>
        <v>-950</v>
      </c>
      <c r="BI34" s="709">
        <f>DZ34-BF34-BG34-BH34</f>
        <v>-3739</v>
      </c>
      <c r="BJ34" s="873">
        <v>-58</v>
      </c>
      <c r="BK34" s="873">
        <f>-70-BJ34</f>
        <v>-12</v>
      </c>
      <c r="BL34" s="873">
        <f>-95-BJ34-BK34</f>
        <v>-25</v>
      </c>
      <c r="BM34" s="874">
        <f>EA34-BJ34-BK34-BL34</f>
        <v>14</v>
      </c>
      <c r="BN34" s="898">
        <v>-3</v>
      </c>
      <c r="BO34" s="898">
        <f>-7-BN34</f>
        <v>-4</v>
      </c>
      <c r="BP34" s="898">
        <f>-10-BN34-BO34</f>
        <v>-3</v>
      </c>
      <c r="BQ34" s="909">
        <f>EB34-BN34-BO34-BP34</f>
        <v>-6</v>
      </c>
      <c r="BR34" s="898">
        <f>-150</f>
        <v>-150</v>
      </c>
      <c r="BS34" s="898">
        <f>-241-BR34</f>
        <v>-91</v>
      </c>
      <c r="BT34" s="898">
        <f>-245-BR34-BS34</f>
        <v>-4</v>
      </c>
      <c r="BU34" s="909">
        <f>EC34-BR34-BS34-BT34</f>
        <v>-22</v>
      </c>
      <c r="BV34" s="898">
        <v>-24</v>
      </c>
      <c r="BW34" s="898">
        <f>-106-BV34</f>
        <v>-82</v>
      </c>
      <c r="BX34" s="898">
        <f>0-BW34-BV34</f>
        <v>106</v>
      </c>
      <c r="BY34" s="909">
        <f>ED34-BV34-BW34-BX34</f>
        <v>-112</v>
      </c>
      <c r="BZ34" s="898">
        <v>-5</v>
      </c>
      <c r="CA34" s="898">
        <f>-11-BZ34</f>
        <v>-6</v>
      </c>
      <c r="CB34" s="898">
        <f>-13-CA34-BZ34</f>
        <v>-2</v>
      </c>
      <c r="CC34" s="909">
        <f>EG34-BZ34-CA34-CB34</f>
        <v>0</v>
      </c>
      <c r="CD34" s="917">
        <v>-1</v>
      </c>
      <c r="CE34" s="910">
        <f>0-CD34</f>
        <v>1</v>
      </c>
      <c r="CF34" s="910">
        <f>-5-CE34-CD34</f>
        <v>-5</v>
      </c>
      <c r="CG34" s="909">
        <f>-230-CD34-CE34-CF34</f>
        <v>-225</v>
      </c>
      <c r="CH34" s="1386">
        <v>-272</v>
      </c>
      <c r="CI34" s="830">
        <f>-715-CH34</f>
        <v>-443</v>
      </c>
      <c r="CJ34" s="830">
        <f>-983-CI34-CH34</f>
        <v>-268</v>
      </c>
      <c r="CK34" s="828">
        <f t="shared" si="68"/>
        <v>-241</v>
      </c>
      <c r="CL34" s="1631">
        <v>-107</v>
      </c>
      <c r="CM34" s="1447">
        <f>-239-CL34</f>
        <v>-132</v>
      </c>
      <c r="CN34" s="1447">
        <f>-196-SUM(CL34:CM34)</f>
        <v>43</v>
      </c>
      <c r="CO34" s="1448">
        <f t="shared" si="69"/>
        <v>-2085</v>
      </c>
      <c r="CP34" s="1447">
        <f>-591+683</f>
        <v>92</v>
      </c>
      <c r="CQ34" s="1447">
        <f>-1388+1112-CP34</f>
        <v>-368</v>
      </c>
      <c r="CR34" s="1447">
        <f>-464-SUM(CP34:CQ34)</f>
        <v>-188</v>
      </c>
      <c r="CS34" s="1448">
        <f t="shared" si="73"/>
        <v>-2581</v>
      </c>
      <c r="CT34" s="1447">
        <v>-1134</v>
      </c>
      <c r="CU34" s="1447">
        <f>-2221-CT34</f>
        <v>-1087</v>
      </c>
      <c r="CV34" s="1447">
        <f>+-4047-CU34-CT34</f>
        <v>-1826</v>
      </c>
      <c r="CW34" s="1448">
        <f t="shared" si="70"/>
        <v>-278</v>
      </c>
      <c r="CX34" s="2752">
        <v>0</v>
      </c>
      <c r="CY34" s="1653">
        <v>0</v>
      </c>
      <c r="CZ34" s="1653">
        <v>0</v>
      </c>
      <c r="DA34" s="1611">
        <v>0</v>
      </c>
      <c r="DB34" s="667"/>
      <c r="DC34" s="524"/>
      <c r="DD34" s="47">
        <v>0</v>
      </c>
      <c r="DE34" s="47">
        <v>0</v>
      </c>
      <c r="DF34" s="47">
        <v>0</v>
      </c>
      <c r="DG34" s="47">
        <v>0</v>
      </c>
      <c r="DH34" s="47">
        <v>0</v>
      </c>
      <c r="DI34" s="47">
        <v>0</v>
      </c>
      <c r="DJ34" s="47">
        <v>0</v>
      </c>
      <c r="DK34" s="47">
        <v>0</v>
      </c>
      <c r="DL34" s="47">
        <v>0</v>
      </c>
      <c r="DM34" s="47">
        <v>0</v>
      </c>
      <c r="DN34" s="47">
        <v>0</v>
      </c>
      <c r="DO34" s="47">
        <v>0</v>
      </c>
      <c r="DP34" s="47">
        <v>0</v>
      </c>
      <c r="DQ34" s="47">
        <v>0</v>
      </c>
      <c r="DR34" s="47">
        <v>0</v>
      </c>
      <c r="DS34" s="47">
        <v>0</v>
      </c>
      <c r="DT34" s="47">
        <v>0</v>
      </c>
      <c r="DU34" s="47">
        <v>0</v>
      </c>
      <c r="DV34" s="47">
        <v>-2989</v>
      </c>
      <c r="DW34" s="47">
        <v>-7789</v>
      </c>
      <c r="DX34" s="47">
        <v>-4319</v>
      </c>
      <c r="DY34" s="47">
        <v>-4541</v>
      </c>
      <c r="DZ34" s="47">
        <v>-8501</v>
      </c>
      <c r="EA34" s="873">
        <v>-81</v>
      </c>
      <c r="EB34" s="915">
        <f>-16</f>
        <v>-16</v>
      </c>
      <c r="EC34" s="915">
        <v>-267</v>
      </c>
      <c r="ED34" s="915">
        <v>-112</v>
      </c>
      <c r="EE34" s="898">
        <v>0</v>
      </c>
      <c r="EF34" s="917">
        <v>0</v>
      </c>
      <c r="EG34" s="920">
        <v>-13</v>
      </c>
      <c r="EH34" s="829">
        <f t="shared" si="71"/>
        <v>-230</v>
      </c>
      <c r="EI34" s="829">
        <v>-1224</v>
      </c>
      <c r="EJ34" s="829">
        <v>-2281</v>
      </c>
      <c r="EK34" s="830">
        <v>-3045</v>
      </c>
      <c r="EL34" s="830">
        <v>-4325</v>
      </c>
      <c r="EM34" s="1698">
        <f t="shared" ref="EM34:EM39" si="74">SUM(CX34:DA34)</f>
        <v>0</v>
      </c>
      <c r="EN34" s="830">
        <v>0</v>
      </c>
      <c r="EO34" s="830">
        <v>0</v>
      </c>
      <c r="EP34" s="830">
        <v>0</v>
      </c>
      <c r="EQ34" s="830">
        <v>0</v>
      </c>
      <c r="ER34" s="830">
        <v>0</v>
      </c>
      <c r="ES34" s="830">
        <v>0</v>
      </c>
      <c r="ET34" s="830">
        <v>0</v>
      </c>
      <c r="EU34" s="828">
        <v>0</v>
      </c>
      <c r="EV34" s="413"/>
      <c r="EW34"/>
      <c r="EX34"/>
      <c r="EY34"/>
      <c r="EZ34"/>
      <c r="FA34"/>
      <c r="FB34"/>
      <c r="FG34" s="830"/>
      <c r="FH34" s="830"/>
      <c r="FI34" s="830"/>
      <c r="FJ34" s="830"/>
      <c r="FK34" s="830"/>
      <c r="FL34"/>
      <c r="FM34"/>
      <c r="FN34"/>
      <c r="FO34"/>
      <c r="FP34"/>
      <c r="FQ34"/>
      <c r="FR34"/>
      <c r="FS34"/>
      <c r="FT34"/>
      <c r="FU34"/>
      <c r="FV34"/>
      <c r="FW34"/>
      <c r="FX34"/>
      <c r="FY34"/>
      <c r="FZ34"/>
      <c r="GA34"/>
      <c r="GB34"/>
      <c r="GC34"/>
      <c r="GD34"/>
      <c r="GE34"/>
      <c r="GF34"/>
      <c r="GG34"/>
      <c r="GH34"/>
      <c r="GI34"/>
      <c r="GJ34"/>
      <c r="GK34"/>
      <c r="GL34"/>
      <c r="GM34"/>
      <c r="GN34"/>
      <c r="GO34"/>
      <c r="GP34"/>
      <c r="GQ34"/>
      <c r="GR34"/>
      <c r="GS34"/>
      <c r="GT34"/>
      <c r="GU34"/>
      <c r="GV34"/>
      <c r="GW34"/>
      <c r="GX34"/>
      <c r="GY34"/>
      <c r="GZ34"/>
      <c r="HA34"/>
      <c r="HB34"/>
      <c r="HC34"/>
      <c r="HD34"/>
      <c r="HE34"/>
      <c r="HF34"/>
      <c r="HG34"/>
      <c r="HH34"/>
      <c r="HI34"/>
      <c r="HJ34"/>
      <c r="HK34"/>
      <c r="HL34"/>
      <c r="HM34"/>
      <c r="HN34"/>
      <c r="HO34"/>
      <c r="HP34"/>
      <c r="HQ34"/>
      <c r="HR34"/>
      <c r="HS34"/>
      <c r="HT34"/>
      <c r="HU34"/>
      <c r="HV34"/>
      <c r="HW34"/>
      <c r="HX34"/>
      <c r="HY34"/>
      <c r="HZ34"/>
      <c r="IA34"/>
      <c r="IB34"/>
      <c r="IC34"/>
      <c r="ID34"/>
      <c r="IE34"/>
      <c r="IF34"/>
      <c r="IG34"/>
      <c r="IH34"/>
      <c r="II34"/>
      <c r="IJ34"/>
      <c r="IK34"/>
      <c r="IL34"/>
      <c r="IM34"/>
      <c r="IN34"/>
      <c r="IO34"/>
      <c r="IP34"/>
      <c r="IQ34"/>
      <c r="IR34"/>
      <c r="IS34"/>
      <c r="IT34"/>
      <c r="IU34"/>
      <c r="IV34"/>
      <c r="IW34"/>
      <c r="IX34"/>
      <c r="IY34"/>
      <c r="IZ34"/>
    </row>
    <row r="35" spans="1:260" s="4" customFormat="1" x14ac:dyDescent="0.2">
      <c r="A35" s="179" t="s">
        <v>527</v>
      </c>
      <c r="B35" s="47"/>
      <c r="C35" s="47"/>
      <c r="D35" s="47"/>
      <c r="E35" s="709"/>
      <c r="F35" s="47"/>
      <c r="G35" s="47"/>
      <c r="H35" s="47"/>
      <c r="I35" s="709"/>
      <c r="J35" s="47"/>
      <c r="K35" s="47"/>
      <c r="L35" s="47"/>
      <c r="M35" s="709"/>
      <c r="N35" s="47"/>
      <c r="O35" s="47"/>
      <c r="P35" s="47"/>
      <c r="Q35" s="709"/>
      <c r="R35" s="47"/>
      <c r="S35" s="47"/>
      <c r="T35" s="47"/>
      <c r="U35" s="709"/>
      <c r="V35" s="47"/>
      <c r="W35" s="47"/>
      <c r="X35" s="47"/>
      <c r="Y35" s="709"/>
      <c r="Z35" s="47"/>
      <c r="AA35" s="47"/>
      <c r="AB35" s="47"/>
      <c r="AC35" s="709"/>
      <c r="AD35" s="47"/>
      <c r="AE35" s="47"/>
      <c r="AF35" s="47"/>
      <c r="AG35" s="709"/>
      <c r="AH35" s="47"/>
      <c r="AI35" s="47"/>
      <c r="AJ35" s="47"/>
      <c r="AK35" s="709"/>
      <c r="AL35" s="47"/>
      <c r="AM35" s="47"/>
      <c r="AN35" s="47"/>
      <c r="AO35" s="709"/>
      <c r="AP35" s="47"/>
      <c r="AQ35" s="47"/>
      <c r="AR35" s="47"/>
      <c r="AS35" s="709"/>
      <c r="AT35" s="47">
        <v>0</v>
      </c>
      <c r="AU35" s="47">
        <v>0</v>
      </c>
      <c r="AV35" s="47">
        <v>0</v>
      </c>
      <c r="AW35" s="709">
        <f>DW35-SUM(AT35:AV35)</f>
        <v>7118</v>
      </c>
      <c r="AX35" s="47">
        <v>1139</v>
      </c>
      <c r="AY35" s="47">
        <f>1677-AX35</f>
        <v>538</v>
      </c>
      <c r="AZ35" s="47">
        <f>2328-AY35-AX35</f>
        <v>651</v>
      </c>
      <c r="BA35" s="709">
        <f>DX35-SUM(AX35:AZ35)</f>
        <v>1859</v>
      </c>
      <c r="BB35" s="47">
        <v>1908</v>
      </c>
      <c r="BC35" s="47">
        <f>3060-BB35</f>
        <v>1152</v>
      </c>
      <c r="BD35" s="47">
        <f>3341-SUM(BB35:BC35)</f>
        <v>281</v>
      </c>
      <c r="BE35" s="709">
        <f>DY35-SUM(BB35:BD35)</f>
        <v>1545</v>
      </c>
      <c r="BF35" s="47">
        <v>3449</v>
      </c>
      <c r="BG35" s="47">
        <f>6429-BF35</f>
        <v>2980</v>
      </c>
      <c r="BH35" s="47">
        <f>7327-BG35-BF35</f>
        <v>898</v>
      </c>
      <c r="BI35" s="709">
        <f>DZ35-BF35-BG35-BH35</f>
        <v>3608</v>
      </c>
      <c r="BJ35" s="873">
        <v>91</v>
      </c>
      <c r="BK35" s="873">
        <f>183-BJ35</f>
        <v>92</v>
      </c>
      <c r="BL35" s="873">
        <f>255-BJ35-BK35</f>
        <v>72</v>
      </c>
      <c r="BM35" s="874">
        <f>EA35-BJ35-BK35-BL35</f>
        <v>-9</v>
      </c>
      <c r="BN35" s="898">
        <v>22</v>
      </c>
      <c r="BO35" s="898">
        <f>37-BN35</f>
        <v>15</v>
      </c>
      <c r="BP35" s="898">
        <f>46-BN35-BO35</f>
        <v>9</v>
      </c>
      <c r="BQ35" s="909">
        <f>EB35-BN35-BO35-BP35</f>
        <v>10</v>
      </c>
      <c r="BR35" s="898">
        <v>35</v>
      </c>
      <c r="BS35" s="898">
        <f>379-BR35</f>
        <v>344</v>
      </c>
      <c r="BT35" s="898">
        <f>383-BR35-BS35</f>
        <v>4</v>
      </c>
      <c r="BU35" s="909">
        <f>EC35-BR35-BS35-BT35</f>
        <v>32</v>
      </c>
      <c r="BV35" s="898">
        <v>37</v>
      </c>
      <c r="BW35" s="898">
        <f>66-BV35</f>
        <v>29</v>
      </c>
      <c r="BX35" s="898">
        <f>0-BW35-BV35</f>
        <v>-66</v>
      </c>
      <c r="BY35" s="909">
        <f>ED35-BV35-BW35-BX35</f>
        <v>290</v>
      </c>
      <c r="BZ35" s="898">
        <v>17</v>
      </c>
      <c r="CA35" s="898">
        <f>64-BZ35</f>
        <v>47</v>
      </c>
      <c r="CB35" s="898">
        <f>68-CA35-BZ35</f>
        <v>4</v>
      </c>
      <c r="CC35" s="909">
        <f>EG35-BZ35-CA35-CB35</f>
        <v>1</v>
      </c>
      <c r="CD35" s="917">
        <v>12</v>
      </c>
      <c r="CE35" s="910">
        <f>33-CD35</f>
        <v>21</v>
      </c>
      <c r="CF35" s="910">
        <f>49-CE35-CD35</f>
        <v>16</v>
      </c>
      <c r="CG35" s="909">
        <f>50-CD35-CE35-CF35</f>
        <v>1</v>
      </c>
      <c r="CH35" s="1386">
        <v>0</v>
      </c>
      <c r="CI35" s="830">
        <v>0</v>
      </c>
      <c r="CJ35" s="830">
        <v>0</v>
      </c>
      <c r="CK35" s="828">
        <f t="shared" si="68"/>
        <v>0</v>
      </c>
      <c r="CL35" s="1631">
        <v>0</v>
      </c>
      <c r="CM35" s="1447"/>
      <c r="CN35" s="1447">
        <v>0</v>
      </c>
      <c r="CO35" s="1448">
        <f t="shared" si="69"/>
        <v>2427</v>
      </c>
      <c r="CP35" s="1447">
        <v>0</v>
      </c>
      <c r="CQ35" s="1447">
        <f>56-CP35</f>
        <v>56</v>
      </c>
      <c r="CR35" s="1447">
        <f>56-SUM(CP35:CQ35)</f>
        <v>0</v>
      </c>
      <c r="CS35" s="1448">
        <f t="shared" si="73"/>
        <v>2633</v>
      </c>
      <c r="CT35" s="1447">
        <v>863</v>
      </c>
      <c r="CU35" s="1447">
        <f>1806-CT35</f>
        <v>943</v>
      </c>
      <c r="CV35" s="1447">
        <f>3518-CU35-CT35</f>
        <v>1712</v>
      </c>
      <c r="CW35" s="1448">
        <f t="shared" si="70"/>
        <v>500</v>
      </c>
      <c r="CX35" s="2752">
        <v>0</v>
      </c>
      <c r="CY35" s="1653">
        <v>0</v>
      </c>
      <c r="CZ35" s="1653">
        <v>0</v>
      </c>
      <c r="DA35" s="1611">
        <v>0</v>
      </c>
      <c r="DB35" s="667"/>
      <c r="DC35" s="524"/>
      <c r="DD35" s="47">
        <v>0</v>
      </c>
      <c r="DE35" s="47">
        <v>0</v>
      </c>
      <c r="DF35" s="47">
        <v>0</v>
      </c>
      <c r="DG35" s="47">
        <v>0</v>
      </c>
      <c r="DH35" s="47">
        <v>0</v>
      </c>
      <c r="DI35" s="47">
        <v>0</v>
      </c>
      <c r="DJ35" s="47">
        <v>0</v>
      </c>
      <c r="DK35" s="47">
        <v>0</v>
      </c>
      <c r="DL35" s="47">
        <v>0</v>
      </c>
      <c r="DM35" s="47">
        <v>0</v>
      </c>
      <c r="DN35" s="47">
        <v>0</v>
      </c>
      <c r="DO35" s="47">
        <v>0</v>
      </c>
      <c r="DP35" s="47">
        <v>0</v>
      </c>
      <c r="DQ35" s="47">
        <v>0</v>
      </c>
      <c r="DR35" s="47">
        <v>0</v>
      </c>
      <c r="DS35" s="47">
        <v>0</v>
      </c>
      <c r="DT35" s="47">
        <v>0</v>
      </c>
      <c r="DU35" s="47">
        <v>0</v>
      </c>
      <c r="DV35" s="47">
        <v>2175</v>
      </c>
      <c r="DW35" s="47">
        <v>7118</v>
      </c>
      <c r="DX35" s="47">
        <v>4187</v>
      </c>
      <c r="DY35" s="47">
        <v>4886</v>
      </c>
      <c r="DZ35" s="47">
        <v>10935</v>
      </c>
      <c r="EA35" s="873">
        <v>246</v>
      </c>
      <c r="EB35" s="915">
        <v>56</v>
      </c>
      <c r="EC35" s="915">
        <v>415</v>
      </c>
      <c r="ED35" s="915">
        <v>290</v>
      </c>
      <c r="EE35" s="898">
        <v>0</v>
      </c>
      <c r="EF35" s="917">
        <v>0</v>
      </c>
      <c r="EG35" s="920">
        <v>69</v>
      </c>
      <c r="EH35" s="829">
        <f t="shared" si="71"/>
        <v>50</v>
      </c>
      <c r="EI35" s="829">
        <v>0</v>
      </c>
      <c r="EJ35" s="829">
        <v>2427</v>
      </c>
      <c r="EK35" s="830">
        <v>2689</v>
      </c>
      <c r="EL35" s="830">
        <v>4018</v>
      </c>
      <c r="EM35" s="1698">
        <f t="shared" si="74"/>
        <v>0</v>
      </c>
      <c r="EN35" s="830">
        <v>0</v>
      </c>
      <c r="EO35" s="830">
        <v>0</v>
      </c>
      <c r="EP35" s="830">
        <v>0</v>
      </c>
      <c r="EQ35" s="830">
        <v>0</v>
      </c>
      <c r="ER35" s="830">
        <v>0</v>
      </c>
      <c r="ES35" s="830">
        <v>0</v>
      </c>
      <c r="ET35" s="830">
        <v>0</v>
      </c>
      <c r="EU35" s="828">
        <v>0</v>
      </c>
      <c r="EV35" s="413"/>
      <c r="EW35"/>
      <c r="EX35"/>
      <c r="EY35"/>
      <c r="EZ35"/>
      <c r="FA35"/>
      <c r="FB35"/>
      <c r="FG35" s="830"/>
      <c r="FH35" s="830"/>
      <c r="FI35" s="830"/>
      <c r="FJ35" s="830"/>
      <c r="FK35" s="830"/>
      <c r="FL35"/>
      <c r="FM35"/>
      <c r="FN35"/>
      <c r="FO35"/>
      <c r="FP35"/>
      <c r="FQ35"/>
      <c r="FR35"/>
      <c r="FS35"/>
      <c r="FT35"/>
      <c r="FU35"/>
      <c r="FV35"/>
      <c r="FW35"/>
      <c r="FX35"/>
      <c r="FY35"/>
      <c r="FZ35"/>
      <c r="GA35"/>
      <c r="GB35"/>
      <c r="GC35"/>
      <c r="GD35"/>
      <c r="GE35"/>
      <c r="GF35"/>
      <c r="GG35"/>
      <c r="GH35"/>
      <c r="GI35"/>
      <c r="GJ35"/>
      <c r="GK35"/>
      <c r="GL35"/>
      <c r="GM35"/>
      <c r="GN35"/>
      <c r="GO35"/>
      <c r="GP35"/>
      <c r="GQ35"/>
      <c r="GR35"/>
      <c r="GS35"/>
      <c r="GT35"/>
      <c r="GU35"/>
      <c r="GV35"/>
      <c r="GW35"/>
      <c r="GX35"/>
      <c r="GY35"/>
      <c r="GZ35"/>
      <c r="HA35"/>
      <c r="HB35"/>
      <c r="HC35"/>
      <c r="HD35"/>
      <c r="HE35"/>
      <c r="HF35"/>
      <c r="HG35"/>
      <c r="HH35"/>
      <c r="HI35"/>
      <c r="HJ35"/>
      <c r="HK35"/>
      <c r="HL35"/>
      <c r="HM35"/>
      <c r="HN35"/>
      <c r="HO35"/>
      <c r="HP35"/>
      <c r="HQ35"/>
      <c r="HR35"/>
      <c r="HS35"/>
      <c r="HT35"/>
      <c r="HU35"/>
      <c r="HV35"/>
      <c r="HW35"/>
      <c r="HX35"/>
      <c r="HY35"/>
      <c r="HZ35"/>
      <c r="IA35"/>
      <c r="IB35"/>
      <c r="IC35"/>
      <c r="ID35"/>
      <c r="IE35"/>
      <c r="IF35"/>
      <c r="IG35"/>
      <c r="IH35"/>
      <c r="II35"/>
      <c r="IJ35"/>
      <c r="IK35"/>
      <c r="IL35"/>
      <c r="IM35"/>
      <c r="IN35"/>
      <c r="IO35"/>
      <c r="IP35"/>
      <c r="IQ35"/>
      <c r="IR35"/>
      <c r="IS35"/>
      <c r="IT35"/>
      <c r="IU35"/>
      <c r="IV35"/>
      <c r="IW35"/>
      <c r="IX35"/>
      <c r="IY35"/>
      <c r="IZ35"/>
    </row>
    <row r="36" spans="1:260" s="4" customFormat="1" x14ac:dyDescent="0.2">
      <c r="A36" s="179" t="s">
        <v>528</v>
      </c>
      <c r="B36" s="47"/>
      <c r="C36" s="47"/>
      <c r="D36" s="47"/>
      <c r="E36" s="709"/>
      <c r="F36" s="47"/>
      <c r="G36" s="47"/>
      <c r="H36" s="47"/>
      <c r="I36" s="709"/>
      <c r="J36" s="47"/>
      <c r="K36" s="47"/>
      <c r="L36" s="47"/>
      <c r="M36" s="709"/>
      <c r="N36" s="47"/>
      <c r="O36" s="47"/>
      <c r="P36" s="47"/>
      <c r="Q36" s="709"/>
      <c r="R36" s="47"/>
      <c r="S36" s="47"/>
      <c r="T36" s="47"/>
      <c r="U36" s="709"/>
      <c r="V36" s="47"/>
      <c r="W36" s="47"/>
      <c r="X36" s="47"/>
      <c r="Y36" s="709"/>
      <c r="Z36" s="47"/>
      <c r="AA36" s="47"/>
      <c r="AB36" s="47"/>
      <c r="AC36" s="709"/>
      <c r="AD36" s="47"/>
      <c r="AE36" s="47"/>
      <c r="AF36" s="47"/>
      <c r="AG36" s="709"/>
      <c r="AH36" s="47"/>
      <c r="AI36" s="47"/>
      <c r="AJ36" s="47"/>
      <c r="AK36" s="709"/>
      <c r="AL36" s="47"/>
      <c r="AM36" s="47"/>
      <c r="AN36" s="47"/>
      <c r="AO36" s="709"/>
      <c r="AP36" s="47"/>
      <c r="AQ36" s="47"/>
      <c r="AR36" s="47"/>
      <c r="AS36" s="709"/>
      <c r="AT36" s="47"/>
      <c r="AU36" s="47"/>
      <c r="AV36" s="47"/>
      <c r="AW36" s="709"/>
      <c r="AX36" s="47"/>
      <c r="AY36" s="47"/>
      <c r="AZ36" s="47"/>
      <c r="BA36" s="709"/>
      <c r="BB36" s="47"/>
      <c r="BC36" s="47"/>
      <c r="BD36" s="47"/>
      <c r="BE36" s="709"/>
      <c r="BF36" s="47"/>
      <c r="BG36" s="47"/>
      <c r="BH36" s="47"/>
      <c r="BI36" s="709"/>
      <c r="BJ36" s="873">
        <v>-24</v>
      </c>
      <c r="BK36" s="873">
        <f>-10-BJ36</f>
        <v>14</v>
      </c>
      <c r="BL36" s="873">
        <f>-17-BK36-BJ36</f>
        <v>-7</v>
      </c>
      <c r="BM36" s="874">
        <f>EA36-BJ36-BK36-BL36</f>
        <v>-80</v>
      </c>
      <c r="BN36" s="898">
        <v>11</v>
      </c>
      <c r="BO36" s="898">
        <f>-11-BN36</f>
        <v>-22</v>
      </c>
      <c r="BP36" s="898">
        <f>19-BO36-BN36</f>
        <v>30</v>
      </c>
      <c r="BQ36" s="909">
        <f>EB36-BN36-BO36-BP36</f>
        <v>-1</v>
      </c>
      <c r="BR36" s="898">
        <v>11</v>
      </c>
      <c r="BS36" s="898">
        <f>12-BR36</f>
        <v>1</v>
      </c>
      <c r="BT36" s="898">
        <f>-1-BS36-BR36</f>
        <v>-13</v>
      </c>
      <c r="BU36" s="909">
        <f>EC36-BR36-BS36-BT36</f>
        <v>-1</v>
      </c>
      <c r="BV36" s="898">
        <v>3</v>
      </c>
      <c r="BW36" s="898">
        <f>-45-BV36</f>
        <v>-48</v>
      </c>
      <c r="BX36" s="898">
        <f>-31-BW36-BV36</f>
        <v>14</v>
      </c>
      <c r="BY36" s="909">
        <f>ED36-BV36-BW36-BX36</f>
        <v>71</v>
      </c>
      <c r="BZ36" s="898">
        <v>20</v>
      </c>
      <c r="CA36" s="898">
        <f>73-BZ36</f>
        <v>53</v>
      </c>
      <c r="CB36" s="898">
        <f>59-CA36-BZ36</f>
        <v>-14</v>
      </c>
      <c r="CC36" s="909">
        <f>EG36-BZ36-CA36-CB36</f>
        <v>15</v>
      </c>
      <c r="CD36" s="917">
        <v>-1</v>
      </c>
      <c r="CE36" s="910">
        <f>0-CD36</f>
        <v>1</v>
      </c>
      <c r="CF36" s="910">
        <f>-3-CE36-CD36</f>
        <v>-3</v>
      </c>
      <c r="CG36" s="909">
        <f>5-CD36-CE36-CF36</f>
        <v>8</v>
      </c>
      <c r="CH36" s="1386">
        <v>0</v>
      </c>
      <c r="CI36" s="830">
        <f>26-CH36</f>
        <v>26</v>
      </c>
      <c r="CJ36" s="830">
        <f>25-CI36-CH36</f>
        <v>-1</v>
      </c>
      <c r="CK36" s="828">
        <f t="shared" si="68"/>
        <v>4</v>
      </c>
      <c r="CL36" s="1631">
        <v>-36</v>
      </c>
      <c r="CM36" s="1447">
        <f>-46-CL36</f>
        <v>-10</v>
      </c>
      <c r="CN36" s="1447">
        <f>-45-SUM(CL36:CM36)</f>
        <v>1</v>
      </c>
      <c r="CO36" s="1448">
        <f t="shared" si="69"/>
        <v>-2</v>
      </c>
      <c r="CP36" s="1447">
        <v>-2</v>
      </c>
      <c r="CQ36" s="1447">
        <f>-4-CP36</f>
        <v>-2</v>
      </c>
      <c r="CR36" s="1447">
        <f>-8-SUM(CP36:CQ36)</f>
        <v>-4</v>
      </c>
      <c r="CS36" s="1448">
        <f t="shared" si="73"/>
        <v>8</v>
      </c>
      <c r="CT36" s="1447">
        <v>0</v>
      </c>
      <c r="CU36" s="1447">
        <f>2-CT36</f>
        <v>2</v>
      </c>
      <c r="CV36" s="1447">
        <f>2-CU36-CT36</f>
        <v>0</v>
      </c>
      <c r="CW36" s="1448">
        <f t="shared" si="70"/>
        <v>-2</v>
      </c>
      <c r="CX36" s="2752">
        <v>0</v>
      </c>
      <c r="CY36" s="1653">
        <v>0</v>
      </c>
      <c r="CZ36" s="1653">
        <v>0</v>
      </c>
      <c r="DA36" s="1611">
        <v>0</v>
      </c>
      <c r="DB36" s="667"/>
      <c r="DC36" s="524"/>
      <c r="DD36" s="47">
        <v>0</v>
      </c>
      <c r="DE36" s="47">
        <v>0</v>
      </c>
      <c r="DF36" s="47">
        <v>0</v>
      </c>
      <c r="DG36" s="47">
        <v>0</v>
      </c>
      <c r="DH36" s="47">
        <v>0</v>
      </c>
      <c r="DI36" s="47">
        <v>0</v>
      </c>
      <c r="DJ36" s="47">
        <v>0</v>
      </c>
      <c r="DK36" s="47">
        <v>0</v>
      </c>
      <c r="DL36" s="47">
        <v>0</v>
      </c>
      <c r="DM36" s="47">
        <v>0</v>
      </c>
      <c r="DN36" s="47">
        <v>0</v>
      </c>
      <c r="DO36" s="47">
        <v>0</v>
      </c>
      <c r="DP36" s="47">
        <v>0</v>
      </c>
      <c r="DQ36" s="47">
        <v>0</v>
      </c>
      <c r="DR36" s="47">
        <v>0</v>
      </c>
      <c r="DS36" s="47">
        <v>0</v>
      </c>
      <c r="DT36" s="47">
        <v>0</v>
      </c>
      <c r="DU36" s="47">
        <v>0</v>
      </c>
      <c r="DV36" s="47">
        <v>0</v>
      </c>
      <c r="DW36" s="47">
        <v>0</v>
      </c>
      <c r="DX36" s="47">
        <v>0</v>
      </c>
      <c r="DY36" s="47">
        <v>0</v>
      </c>
      <c r="DZ36" s="47">
        <v>0</v>
      </c>
      <c r="EA36" s="873">
        <f>-97</f>
        <v>-97</v>
      </c>
      <c r="EB36" s="915">
        <f>18</f>
        <v>18</v>
      </c>
      <c r="EC36" s="915">
        <f>-2</f>
        <v>-2</v>
      </c>
      <c r="ED36" s="915">
        <v>40</v>
      </c>
      <c r="EE36" s="898">
        <v>0</v>
      </c>
      <c r="EF36" s="917">
        <v>0</v>
      </c>
      <c r="EG36" s="920">
        <v>74</v>
      </c>
      <c r="EH36" s="829">
        <f t="shared" si="71"/>
        <v>5</v>
      </c>
      <c r="EI36" s="829">
        <v>29</v>
      </c>
      <c r="EJ36" s="829">
        <v>-47</v>
      </c>
      <c r="EK36" s="830">
        <v>0</v>
      </c>
      <c r="EL36" s="830">
        <v>0</v>
      </c>
      <c r="EM36" s="1698">
        <f t="shared" si="74"/>
        <v>0</v>
      </c>
      <c r="EN36" s="830">
        <v>0</v>
      </c>
      <c r="EO36" s="830">
        <v>0</v>
      </c>
      <c r="EP36" s="830">
        <v>0</v>
      </c>
      <c r="EQ36" s="830">
        <v>0</v>
      </c>
      <c r="ER36" s="830">
        <v>0</v>
      </c>
      <c r="ES36" s="830">
        <v>0</v>
      </c>
      <c r="ET36" s="830">
        <v>0</v>
      </c>
      <c r="EU36" s="828">
        <v>0</v>
      </c>
      <c r="EV36" s="413"/>
      <c r="EW36"/>
      <c r="EX36"/>
      <c r="EY36"/>
      <c r="EZ36"/>
      <c r="FA36"/>
      <c r="FB36"/>
      <c r="FG36" s="830"/>
      <c r="FH36" s="830"/>
      <c r="FI36" s="830"/>
      <c r="FJ36" s="830"/>
      <c r="FK36" s="830"/>
      <c r="FL36"/>
      <c r="FM36"/>
      <c r="FN36"/>
      <c r="FO36"/>
      <c r="FP36"/>
      <c r="FQ36"/>
      <c r="FR36"/>
      <c r="FS36"/>
      <c r="FT36"/>
      <c r="FU36"/>
      <c r="FV36"/>
      <c r="FW36"/>
      <c r="FX36"/>
      <c r="FY36"/>
      <c r="FZ36"/>
      <c r="GA36"/>
      <c r="GB36"/>
      <c r="GC36"/>
      <c r="GD36"/>
      <c r="GE36"/>
      <c r="GF36"/>
      <c r="GG36"/>
      <c r="GH36"/>
      <c r="GI36"/>
      <c r="GJ36"/>
      <c r="GK36"/>
      <c r="GL36"/>
      <c r="GM36"/>
      <c r="GN36"/>
      <c r="GO36"/>
      <c r="GP36"/>
      <c r="GQ36"/>
      <c r="GR36"/>
      <c r="GS36"/>
      <c r="GT36"/>
      <c r="GU36"/>
      <c r="GV36"/>
      <c r="GW36"/>
      <c r="GX36"/>
      <c r="GY36"/>
      <c r="GZ36"/>
      <c r="HA36"/>
      <c r="HB36"/>
      <c r="HC36"/>
      <c r="HD36"/>
      <c r="HE36"/>
      <c r="HF36"/>
      <c r="HG36"/>
      <c r="HH36"/>
      <c r="HI36"/>
      <c r="HJ36"/>
      <c r="HK36"/>
      <c r="HL36"/>
      <c r="HM36"/>
      <c r="HN36"/>
      <c r="HO36"/>
      <c r="HP36"/>
      <c r="HQ36"/>
      <c r="HR36"/>
      <c r="HS36"/>
      <c r="HT36"/>
      <c r="HU36"/>
      <c r="HV36"/>
      <c r="HW36"/>
      <c r="HX36"/>
      <c r="HY36"/>
      <c r="HZ36"/>
      <c r="IA36"/>
      <c r="IB36"/>
      <c r="IC36"/>
      <c r="ID36"/>
      <c r="IE36"/>
      <c r="IF36"/>
      <c r="IG36"/>
      <c r="IH36"/>
      <c r="II36"/>
      <c r="IJ36"/>
      <c r="IK36"/>
      <c r="IL36"/>
      <c r="IM36"/>
      <c r="IN36"/>
      <c r="IO36"/>
      <c r="IP36"/>
      <c r="IQ36"/>
      <c r="IR36"/>
      <c r="IS36"/>
      <c r="IT36"/>
      <c r="IU36"/>
      <c r="IV36"/>
      <c r="IW36"/>
      <c r="IX36"/>
      <c r="IY36"/>
      <c r="IZ36"/>
    </row>
    <row r="37" spans="1:260" s="4" customFormat="1" x14ac:dyDescent="0.2">
      <c r="A37" s="179" t="s">
        <v>529</v>
      </c>
      <c r="B37" s="47">
        <v>0</v>
      </c>
      <c r="C37" s="47">
        <v>0</v>
      </c>
      <c r="D37" s="47">
        <v>0</v>
      </c>
      <c r="E37" s="709">
        <v>0</v>
      </c>
      <c r="F37" s="47">
        <v>0</v>
      </c>
      <c r="G37" s="47">
        <f>-11.981-F37</f>
        <v>-11.981</v>
      </c>
      <c r="H37" s="47">
        <v>4.1449999999999996</v>
      </c>
      <c r="I37" s="709">
        <v>-78.385999999999996</v>
      </c>
      <c r="J37" s="47">
        <v>-17.300999999999998</v>
      </c>
      <c r="K37" s="47">
        <v>-43.659000000000006</v>
      </c>
      <c r="L37" s="47">
        <v>17.88</v>
      </c>
      <c r="M37" s="709">
        <v>3.0650000000000084</v>
      </c>
      <c r="N37" s="47">
        <v>3.464</v>
      </c>
      <c r="O37" s="47">
        <v>25.838000000000001</v>
      </c>
      <c r="P37" s="47">
        <v>5.5149999999999997</v>
      </c>
      <c r="Q37" s="709">
        <v>37.935000000000002</v>
      </c>
      <c r="R37" s="47">
        <v>-3.3010000000000002</v>
      </c>
      <c r="S37" s="47">
        <v>9.5809999999999995</v>
      </c>
      <c r="T37" s="47">
        <v>10.322000000000001</v>
      </c>
      <c r="U37" s="709">
        <v>28.668000000000003</v>
      </c>
      <c r="V37" s="47">
        <v>-17.702000000000002</v>
      </c>
      <c r="W37" s="47">
        <f>-39.83-V37</f>
        <v>-22.127999999999997</v>
      </c>
      <c r="X37" s="47">
        <v>-27.284000000000002</v>
      </c>
      <c r="Y37" s="709">
        <v>1.3730000000000047</v>
      </c>
      <c r="Z37" s="47">
        <v>-10.302</v>
      </c>
      <c r="AA37" s="47">
        <f>-15.743-Z37</f>
        <v>-5.4410000000000007</v>
      </c>
      <c r="AB37" s="47">
        <f>-13.421-SUM(Z37:AA37)</f>
        <v>2.322000000000001</v>
      </c>
      <c r="AC37" s="709">
        <f>DR37-SUM(Z37:AB37)</f>
        <v>-7.588000000000001</v>
      </c>
      <c r="AD37" s="47">
        <v>-33</v>
      </c>
      <c r="AE37" s="47">
        <f>-44-AD37</f>
        <v>-11</v>
      </c>
      <c r="AF37" s="47">
        <f>-38-SUM(AD37:AE37)</f>
        <v>6</v>
      </c>
      <c r="AG37" s="709">
        <f>DS37-SUM(AD37:AF37)</f>
        <v>7</v>
      </c>
      <c r="AH37" s="47">
        <v>4</v>
      </c>
      <c r="AI37" s="47">
        <f>12-AH37</f>
        <v>8</v>
      </c>
      <c r="AJ37" s="47">
        <f>26-SUM(AH37:AI37)</f>
        <v>14</v>
      </c>
      <c r="AK37" s="709">
        <f>DT37-SUM(AH37:AJ37)</f>
        <v>-1</v>
      </c>
      <c r="AL37" s="47">
        <v>0</v>
      </c>
      <c r="AM37" s="47">
        <v>23</v>
      </c>
      <c r="AN37" s="47">
        <v>22</v>
      </c>
      <c r="AO37" s="709">
        <f>DU37-SUM(AL37:AN37)</f>
        <v>24</v>
      </c>
      <c r="AP37" s="47">
        <v>0</v>
      </c>
      <c r="AQ37" s="47">
        <f>6-AP37</f>
        <v>6</v>
      </c>
      <c r="AR37" s="47">
        <f>6-AQ37-AP37</f>
        <v>0</v>
      </c>
      <c r="AS37" s="709">
        <f>DV37-SUM(AP37:AR37)</f>
        <v>-6</v>
      </c>
      <c r="AT37" s="47">
        <v>0</v>
      </c>
      <c r="AU37" s="47">
        <v>0</v>
      </c>
      <c r="AV37" s="47">
        <v>0</v>
      </c>
      <c r="AW37" s="709">
        <f>DW37-SUM(AT37:AV37)</f>
        <v>0</v>
      </c>
      <c r="AX37" s="47">
        <v>0</v>
      </c>
      <c r="AY37" s="47">
        <f>0-AX37</f>
        <v>0</v>
      </c>
      <c r="AZ37" s="47">
        <f>0-AY37-AX37</f>
        <v>0</v>
      </c>
      <c r="BA37" s="709">
        <f>DX37-SUM(AX37:AZ37)</f>
        <v>0</v>
      </c>
      <c r="BB37" s="47">
        <v>0</v>
      </c>
      <c r="BC37" s="47">
        <v>0</v>
      </c>
      <c r="BD37" s="47">
        <v>0</v>
      </c>
      <c r="BE37" s="709">
        <f>DY37-SUM(BB37:BD37)</f>
        <v>0</v>
      </c>
      <c r="BF37" s="47">
        <v>0</v>
      </c>
      <c r="BG37" s="47">
        <v>0</v>
      </c>
      <c r="BH37" s="47">
        <v>0</v>
      </c>
      <c r="BI37" s="709">
        <f>DZ37-SUM(BF37:BH37)</f>
        <v>0</v>
      </c>
      <c r="BJ37" s="873">
        <v>0</v>
      </c>
      <c r="BK37" s="873">
        <v>0</v>
      </c>
      <c r="BL37" s="873">
        <v>0</v>
      </c>
      <c r="BM37" s="874">
        <f>EA37-SUM(BJ37:BL37)</f>
        <v>0</v>
      </c>
      <c r="BN37" s="898">
        <v>0</v>
      </c>
      <c r="BO37" s="898">
        <v>0</v>
      </c>
      <c r="BP37" s="898">
        <v>0</v>
      </c>
      <c r="BQ37" s="909">
        <f>EB37-SUM(BN37:BP37)</f>
        <v>0</v>
      </c>
      <c r="BR37" s="898">
        <v>0</v>
      </c>
      <c r="BS37" s="898">
        <v>0</v>
      </c>
      <c r="BT37" s="898">
        <v>0</v>
      </c>
      <c r="BU37" s="909">
        <v>0</v>
      </c>
      <c r="BV37" s="898">
        <v>0</v>
      </c>
      <c r="BW37" s="898">
        <v>0</v>
      </c>
      <c r="BX37" s="898">
        <v>0</v>
      </c>
      <c r="BY37" s="909">
        <v>0</v>
      </c>
      <c r="BZ37" s="898">
        <v>0</v>
      </c>
      <c r="CA37" s="898">
        <v>0</v>
      </c>
      <c r="CB37" s="898">
        <v>0</v>
      </c>
      <c r="CC37" s="909">
        <v>0</v>
      </c>
      <c r="CD37" s="917">
        <v>0</v>
      </c>
      <c r="CE37" s="910">
        <v>0</v>
      </c>
      <c r="CF37" s="910">
        <v>0</v>
      </c>
      <c r="CG37" s="909">
        <v>0</v>
      </c>
      <c r="CH37" s="1386">
        <v>0</v>
      </c>
      <c r="CI37" s="830">
        <v>0</v>
      </c>
      <c r="CJ37" s="830">
        <v>0</v>
      </c>
      <c r="CK37" s="828">
        <f t="shared" si="68"/>
        <v>0</v>
      </c>
      <c r="CL37" s="1631">
        <v>0</v>
      </c>
      <c r="CM37" s="1447"/>
      <c r="CN37" s="1447">
        <v>0</v>
      </c>
      <c r="CO37" s="1448">
        <f t="shared" si="69"/>
        <v>0</v>
      </c>
      <c r="CP37" s="1447">
        <v>0</v>
      </c>
      <c r="CQ37" s="1447">
        <v>0</v>
      </c>
      <c r="CR37" s="1447">
        <v>0</v>
      </c>
      <c r="CS37" s="1448">
        <f t="shared" si="73"/>
        <v>0</v>
      </c>
      <c r="CT37" s="1447">
        <v>0</v>
      </c>
      <c r="CU37" s="1447">
        <v>0</v>
      </c>
      <c r="CV37" s="1447">
        <v>0</v>
      </c>
      <c r="CW37" s="1448">
        <f t="shared" si="70"/>
        <v>0</v>
      </c>
      <c r="CX37" s="2752">
        <v>0</v>
      </c>
      <c r="CY37" s="1653">
        <v>0</v>
      </c>
      <c r="CZ37" s="1653">
        <v>0</v>
      </c>
      <c r="DA37" s="1611">
        <v>0</v>
      </c>
      <c r="DB37" s="667"/>
      <c r="DC37" s="524"/>
      <c r="DD37" s="47">
        <v>0</v>
      </c>
      <c r="DE37" s="47">
        <v>0</v>
      </c>
      <c r="DF37" s="47">
        <v>0</v>
      </c>
      <c r="DG37" s="47">
        <v>0</v>
      </c>
      <c r="DH37" s="47">
        <v>0</v>
      </c>
      <c r="DI37" s="47">
        <v>0</v>
      </c>
      <c r="DJ37" s="47">
        <v>0</v>
      </c>
      <c r="DK37" s="47">
        <v>0</v>
      </c>
      <c r="DL37" s="47">
        <f>+E37+D37+C37+B37</f>
        <v>0</v>
      </c>
      <c r="DM37" s="47">
        <f>+F37+G37+H37+I37</f>
        <v>-86.221999999999994</v>
      </c>
      <c r="DN37" s="47">
        <f>+J37+K37+L37+M37</f>
        <v>-40.015000000000001</v>
      </c>
      <c r="DO37" s="47">
        <f>+N37+O37+P37+Q37</f>
        <v>72.75200000000001</v>
      </c>
      <c r="DP37" s="47">
        <f>+R37+S37+T37+U37</f>
        <v>45.27</v>
      </c>
      <c r="DQ37" s="47">
        <f>+V37+W37+X37+Y37</f>
        <v>-65.741</v>
      </c>
      <c r="DR37" s="47">
        <v>-21.009</v>
      </c>
      <c r="DS37" s="47">
        <v>-31</v>
      </c>
      <c r="DT37" s="47">
        <v>25</v>
      </c>
      <c r="DU37" s="47">
        <v>69</v>
      </c>
      <c r="DV37" s="47">
        <v>0</v>
      </c>
      <c r="DW37" s="47">
        <v>0</v>
      </c>
      <c r="DX37" s="47">
        <v>0</v>
      </c>
      <c r="DY37" s="47">
        <v>0</v>
      </c>
      <c r="DZ37" s="47">
        <v>0</v>
      </c>
      <c r="EA37" s="873">
        <v>0</v>
      </c>
      <c r="EB37" s="915">
        <v>0</v>
      </c>
      <c r="EC37" s="915">
        <v>0</v>
      </c>
      <c r="ED37" s="915">
        <v>0</v>
      </c>
      <c r="EE37" s="898">
        <v>0</v>
      </c>
      <c r="EF37" s="917">
        <v>0</v>
      </c>
      <c r="EG37" s="920">
        <v>0</v>
      </c>
      <c r="EH37" s="829">
        <f t="shared" si="71"/>
        <v>0</v>
      </c>
      <c r="EI37" s="829">
        <v>0</v>
      </c>
      <c r="EJ37" s="829">
        <v>0</v>
      </c>
      <c r="EK37" s="830">
        <v>0</v>
      </c>
      <c r="EL37" s="830">
        <v>0</v>
      </c>
      <c r="EM37" s="1698">
        <f t="shared" si="74"/>
        <v>0</v>
      </c>
      <c r="EN37" s="830">
        <v>0</v>
      </c>
      <c r="EO37" s="830">
        <v>0</v>
      </c>
      <c r="EP37" s="830">
        <v>0</v>
      </c>
      <c r="EQ37" s="830">
        <v>0</v>
      </c>
      <c r="ER37" s="830">
        <v>0</v>
      </c>
      <c r="ES37" s="830">
        <v>0</v>
      </c>
      <c r="ET37" s="830">
        <v>0</v>
      </c>
      <c r="EU37" s="828">
        <v>0</v>
      </c>
      <c r="EV37" s="413"/>
      <c r="EW37"/>
      <c r="EX37"/>
      <c r="EY37"/>
      <c r="EZ37"/>
      <c r="FA37"/>
      <c r="FB37"/>
      <c r="FG37" s="830"/>
      <c r="FH37" s="830"/>
      <c r="FI37" s="830"/>
      <c r="FJ37" s="830"/>
      <c r="FK37" s="830"/>
      <c r="FL37"/>
      <c r="FM37"/>
      <c r="FN37"/>
      <c r="FO37"/>
      <c r="FP37"/>
      <c r="FQ37"/>
      <c r="FR37"/>
      <c r="FS37"/>
      <c r="FT37"/>
      <c r="FU37"/>
      <c r="FV37"/>
      <c r="FW37"/>
      <c r="FX37"/>
      <c r="FY37"/>
      <c r="FZ37"/>
      <c r="GA37"/>
      <c r="GB37"/>
      <c r="GC37"/>
      <c r="GD37"/>
      <c r="GE37"/>
      <c r="GF37"/>
      <c r="GG37"/>
      <c r="GH37"/>
      <c r="GI37"/>
      <c r="GJ37"/>
      <c r="GK37"/>
      <c r="GL37"/>
      <c r="GM37"/>
      <c r="GN37"/>
      <c r="GO37"/>
      <c r="GP37"/>
      <c r="GQ37"/>
      <c r="GR37"/>
      <c r="GS37"/>
      <c r="GT37"/>
      <c r="GU37"/>
      <c r="GV37"/>
      <c r="GW37"/>
      <c r="GX37"/>
      <c r="GY37"/>
      <c r="GZ37"/>
      <c r="HA37"/>
      <c r="HB37"/>
      <c r="HC37"/>
      <c r="HD37"/>
      <c r="HE37"/>
      <c r="HF37"/>
      <c r="HG37"/>
      <c r="HH37"/>
      <c r="HI37"/>
      <c r="HJ37"/>
      <c r="HK37"/>
      <c r="HL37"/>
      <c r="HM37"/>
      <c r="HN37"/>
      <c r="HO37"/>
      <c r="HP37"/>
      <c r="HQ37"/>
      <c r="HR37"/>
      <c r="HS37"/>
      <c r="HT37"/>
      <c r="HU37"/>
      <c r="HV37"/>
      <c r="HW37"/>
      <c r="HX37"/>
      <c r="HY37"/>
      <c r="HZ37"/>
      <c r="IA37"/>
      <c r="IB37"/>
      <c r="IC37"/>
      <c r="ID37"/>
      <c r="IE37"/>
      <c r="IF37"/>
      <c r="IG37"/>
      <c r="IH37"/>
      <c r="II37"/>
      <c r="IJ37"/>
      <c r="IK37"/>
      <c r="IL37"/>
      <c r="IM37"/>
      <c r="IN37"/>
      <c r="IO37"/>
      <c r="IP37"/>
      <c r="IQ37"/>
      <c r="IR37"/>
      <c r="IS37"/>
      <c r="IT37"/>
      <c r="IU37"/>
      <c r="IV37"/>
      <c r="IW37"/>
      <c r="IX37"/>
      <c r="IY37"/>
      <c r="IZ37"/>
    </row>
    <row r="38" spans="1:260" s="4" customFormat="1" x14ac:dyDescent="0.2">
      <c r="A38" s="179" t="s">
        <v>530</v>
      </c>
      <c r="B38" s="47">
        <v>44.505000000000003</v>
      </c>
      <c r="C38" s="47">
        <f>44.46-B38</f>
        <v>-4.5000000000001705E-2</v>
      </c>
      <c r="D38" s="47">
        <v>0</v>
      </c>
      <c r="E38" s="709">
        <v>4.5999999999999375E-2</v>
      </c>
      <c r="F38" s="47">
        <v>4.7</v>
      </c>
      <c r="G38" s="47">
        <f>7.954-F38</f>
        <v>3.2539999999999996</v>
      </c>
      <c r="H38" s="47">
        <v>10.335999999999999</v>
      </c>
      <c r="I38" s="709">
        <v>5.77</v>
      </c>
      <c r="J38" s="47">
        <v>0</v>
      </c>
      <c r="K38" s="47">
        <v>0</v>
      </c>
      <c r="L38" s="47">
        <v>0</v>
      </c>
      <c r="M38" s="709">
        <v>0</v>
      </c>
      <c r="N38" s="47">
        <v>0</v>
      </c>
      <c r="O38" s="47">
        <v>0</v>
      </c>
      <c r="P38" s="47">
        <v>0</v>
      </c>
      <c r="Q38" s="709">
        <v>0</v>
      </c>
      <c r="R38" s="47">
        <v>0</v>
      </c>
      <c r="S38" s="47">
        <v>0</v>
      </c>
      <c r="T38" s="47">
        <v>0</v>
      </c>
      <c r="U38" s="709">
        <v>0</v>
      </c>
      <c r="V38" s="47">
        <v>0</v>
      </c>
      <c r="W38" s="47">
        <v>0</v>
      </c>
      <c r="X38" s="47">
        <v>0</v>
      </c>
      <c r="Y38" s="709">
        <v>0</v>
      </c>
      <c r="Z38" s="47">
        <v>0</v>
      </c>
      <c r="AA38" s="47">
        <v>0</v>
      </c>
      <c r="AB38" s="47">
        <v>0</v>
      </c>
      <c r="AC38" s="709">
        <f>DR38-SUM(Z38:AB38)</f>
        <v>0</v>
      </c>
      <c r="AD38" s="47">
        <v>0</v>
      </c>
      <c r="AE38" s="47">
        <v>0</v>
      </c>
      <c r="AF38" s="47">
        <v>0</v>
      </c>
      <c r="AG38" s="709">
        <f>DS38-SUM(AD38:AF38)</f>
        <v>0</v>
      </c>
      <c r="AH38" s="47">
        <v>0</v>
      </c>
      <c r="AI38" s="47">
        <v>0</v>
      </c>
      <c r="AJ38" s="47">
        <v>0</v>
      </c>
      <c r="AK38" s="709">
        <f>DT38-SUM(AH38:AJ38)</f>
        <v>0</v>
      </c>
      <c r="AL38" s="47">
        <v>0</v>
      </c>
      <c r="AM38" s="47">
        <f>0-AL38</f>
        <v>0</v>
      </c>
      <c r="AN38" s="47">
        <v>0</v>
      </c>
      <c r="AO38" s="709">
        <f>DU38-SUM(AL38:AN38)</f>
        <v>0</v>
      </c>
      <c r="AP38" s="47">
        <v>0</v>
      </c>
      <c r="AQ38" s="47">
        <f>0-AP38</f>
        <v>0</v>
      </c>
      <c r="AR38" s="47">
        <f>0-AQ38-AP38</f>
        <v>0</v>
      </c>
      <c r="AS38" s="709">
        <f>DV38-SUM(AP38:AR38)</f>
        <v>0</v>
      </c>
      <c r="AT38" s="47">
        <v>0</v>
      </c>
      <c r="AU38" s="47">
        <v>0</v>
      </c>
      <c r="AV38" s="47">
        <v>0</v>
      </c>
      <c r="AW38" s="709">
        <f>DW38-SUM(AT38:AV38)</f>
        <v>0</v>
      </c>
      <c r="AX38" s="47">
        <v>0</v>
      </c>
      <c r="AY38" s="47">
        <f>0-AX38</f>
        <v>0</v>
      </c>
      <c r="AZ38" s="47">
        <f>0-AY38-AX38</f>
        <v>0</v>
      </c>
      <c r="BA38" s="709">
        <f>DX38-SUM(AX38:AZ38)</f>
        <v>0</v>
      </c>
      <c r="BB38" s="47">
        <v>0</v>
      </c>
      <c r="BC38" s="47">
        <v>0</v>
      </c>
      <c r="BD38" s="47">
        <v>0</v>
      </c>
      <c r="BE38" s="709">
        <f>DY38-SUM(BB38:BD38)</f>
        <v>0</v>
      </c>
      <c r="BF38" s="47">
        <v>0</v>
      </c>
      <c r="BG38" s="47">
        <v>0</v>
      </c>
      <c r="BH38" s="47">
        <v>0</v>
      </c>
      <c r="BI38" s="709">
        <f>DZ38-SUM(BF38:BH38)</f>
        <v>0</v>
      </c>
      <c r="BJ38" s="873">
        <v>0</v>
      </c>
      <c r="BK38" s="873">
        <v>0</v>
      </c>
      <c r="BL38" s="873">
        <v>0</v>
      </c>
      <c r="BM38" s="874">
        <f>EA38-SUM(BJ38:BL38)</f>
        <v>0</v>
      </c>
      <c r="BN38" s="898">
        <v>0</v>
      </c>
      <c r="BO38" s="898">
        <v>0</v>
      </c>
      <c r="BP38" s="898">
        <v>0</v>
      </c>
      <c r="BQ38" s="909">
        <f>EB38-SUM(BN38:BP38)</f>
        <v>0</v>
      </c>
      <c r="BR38" s="898">
        <v>0</v>
      </c>
      <c r="BS38" s="898">
        <v>0</v>
      </c>
      <c r="BT38" s="898">
        <v>0</v>
      </c>
      <c r="BU38" s="909">
        <v>0</v>
      </c>
      <c r="BV38" s="898">
        <v>0</v>
      </c>
      <c r="BW38" s="898">
        <v>0</v>
      </c>
      <c r="BX38" s="898">
        <v>0</v>
      </c>
      <c r="BY38" s="909">
        <v>0</v>
      </c>
      <c r="BZ38" s="898">
        <v>0</v>
      </c>
      <c r="CA38" s="898">
        <v>0</v>
      </c>
      <c r="CB38" s="898">
        <v>0</v>
      </c>
      <c r="CC38" s="909">
        <v>0</v>
      </c>
      <c r="CD38" s="917">
        <v>0</v>
      </c>
      <c r="CE38" s="910">
        <v>0</v>
      </c>
      <c r="CF38" s="910">
        <v>0</v>
      </c>
      <c r="CG38" s="909">
        <v>0</v>
      </c>
      <c r="CH38" s="1386">
        <v>0</v>
      </c>
      <c r="CI38" s="830">
        <v>0</v>
      </c>
      <c r="CJ38" s="830">
        <v>0</v>
      </c>
      <c r="CK38" s="828">
        <f t="shared" si="68"/>
        <v>0</v>
      </c>
      <c r="CL38" s="1631">
        <v>0</v>
      </c>
      <c r="CM38" s="1447"/>
      <c r="CN38" s="1447">
        <v>0</v>
      </c>
      <c r="CO38" s="1448">
        <f t="shared" si="69"/>
        <v>0</v>
      </c>
      <c r="CP38" s="1447">
        <v>0</v>
      </c>
      <c r="CQ38" s="1447">
        <v>0</v>
      </c>
      <c r="CR38" s="1447">
        <v>0</v>
      </c>
      <c r="CS38" s="1448">
        <f t="shared" si="73"/>
        <v>56</v>
      </c>
      <c r="CT38" s="1447">
        <v>0</v>
      </c>
      <c r="CU38" s="1447">
        <v>0</v>
      </c>
      <c r="CV38" s="1447">
        <v>0</v>
      </c>
      <c r="CW38" s="1448">
        <f t="shared" si="70"/>
        <v>2</v>
      </c>
      <c r="CX38" s="2752">
        <v>0</v>
      </c>
      <c r="CY38" s="1653">
        <v>0</v>
      </c>
      <c r="CZ38" s="1653">
        <v>0</v>
      </c>
      <c r="DA38" s="1611">
        <v>0</v>
      </c>
      <c r="DB38" s="667"/>
      <c r="DC38" s="524"/>
      <c r="DD38" s="47">
        <v>0</v>
      </c>
      <c r="DE38" s="47">
        <v>0</v>
      </c>
      <c r="DF38" s="47">
        <v>0</v>
      </c>
      <c r="DG38" s="47">
        <v>1.177</v>
      </c>
      <c r="DH38" s="47">
        <v>1.458</v>
      </c>
      <c r="DI38" s="47">
        <v>0.35199999999999998</v>
      </c>
      <c r="DJ38" s="47">
        <v>0.114</v>
      </c>
      <c r="DK38" s="47">
        <v>2.7E-2</v>
      </c>
      <c r="DL38" s="47">
        <f>+E38+D38+C38+B38</f>
        <v>44.506</v>
      </c>
      <c r="DM38" s="47">
        <f>+F38+G38+H38+I38</f>
        <v>24.06</v>
      </c>
      <c r="DN38" s="47">
        <f>+J38+K38+L38+M38</f>
        <v>0</v>
      </c>
      <c r="DO38" s="47">
        <f>+N38+O38+P38+Q38</f>
        <v>0</v>
      </c>
      <c r="DP38" s="47">
        <f>+R38+S38+T38+U38</f>
        <v>0</v>
      </c>
      <c r="DQ38" s="47">
        <f>+V38+W38+X38+Y38</f>
        <v>0</v>
      </c>
      <c r="DR38" s="47">
        <v>0</v>
      </c>
      <c r="DS38" s="47">
        <v>0</v>
      </c>
      <c r="DT38" s="47">
        <v>0</v>
      </c>
      <c r="DU38" s="47">
        <v>0</v>
      </c>
      <c r="DV38" s="47">
        <v>0</v>
      </c>
      <c r="DW38" s="47">
        <v>0</v>
      </c>
      <c r="DX38" s="47">
        <v>0</v>
      </c>
      <c r="DY38" s="47">
        <v>0</v>
      </c>
      <c r="DZ38" s="47">
        <v>0</v>
      </c>
      <c r="EA38" s="873">
        <v>0</v>
      </c>
      <c r="EB38" s="915">
        <v>0</v>
      </c>
      <c r="EC38" s="915">
        <v>0</v>
      </c>
      <c r="ED38" s="915">
        <v>0</v>
      </c>
      <c r="EE38" s="898">
        <v>0</v>
      </c>
      <c r="EF38" s="917">
        <v>0</v>
      </c>
      <c r="EG38" s="920">
        <v>0</v>
      </c>
      <c r="EH38" s="829">
        <f t="shared" si="71"/>
        <v>0</v>
      </c>
      <c r="EI38" s="829">
        <v>0</v>
      </c>
      <c r="EJ38" s="829">
        <v>0</v>
      </c>
      <c r="EK38" s="830">
        <v>56</v>
      </c>
      <c r="EL38" s="830">
        <v>2</v>
      </c>
      <c r="EM38" s="1698">
        <f t="shared" si="74"/>
        <v>0</v>
      </c>
      <c r="EN38" s="830">
        <v>0</v>
      </c>
      <c r="EO38" s="830">
        <v>0</v>
      </c>
      <c r="EP38" s="830">
        <v>0</v>
      </c>
      <c r="EQ38" s="830">
        <v>0</v>
      </c>
      <c r="ER38" s="830">
        <v>0</v>
      </c>
      <c r="ES38" s="830">
        <v>0</v>
      </c>
      <c r="ET38" s="830">
        <v>0</v>
      </c>
      <c r="EU38" s="828">
        <v>0</v>
      </c>
      <c r="EV38" s="413"/>
      <c r="EW38"/>
      <c r="EX38"/>
      <c r="EY38"/>
      <c r="EZ38"/>
      <c r="FA38"/>
      <c r="FB38"/>
      <c r="FG38" s="830"/>
      <c r="FH38" s="830"/>
      <c r="FI38" s="830"/>
      <c r="FJ38" s="830"/>
      <c r="FK38" s="830"/>
      <c r="FL38"/>
      <c r="FM38"/>
      <c r="FN38"/>
      <c r="FO38"/>
      <c r="FP38"/>
      <c r="FQ38"/>
      <c r="FR38"/>
      <c r="FS38"/>
      <c r="FT38"/>
      <c r="FU38"/>
      <c r="FV38"/>
      <c r="FW38"/>
      <c r="FX38"/>
      <c r="FY38"/>
      <c r="FZ38"/>
      <c r="GA38"/>
      <c r="GB38"/>
      <c r="GC38"/>
      <c r="GD38"/>
      <c r="GE38"/>
      <c r="GF38"/>
      <c r="GG38"/>
      <c r="GH38"/>
      <c r="GI38"/>
      <c r="GJ38"/>
      <c r="GK38"/>
      <c r="GL38"/>
      <c r="GM38"/>
      <c r="GN38"/>
      <c r="GO38"/>
      <c r="GP38"/>
      <c r="GQ38"/>
      <c r="GR38"/>
      <c r="GS38"/>
      <c r="GT38"/>
      <c r="GU38"/>
      <c r="GV38"/>
      <c r="GW38"/>
      <c r="GX38"/>
      <c r="GY38"/>
      <c r="GZ38"/>
      <c r="HA38"/>
      <c r="HB38"/>
      <c r="HC38"/>
      <c r="HD38"/>
      <c r="HE38"/>
      <c r="HF38"/>
      <c r="HG38"/>
      <c r="HH38"/>
      <c r="HI38"/>
      <c r="HJ38"/>
      <c r="HK38"/>
      <c r="HL38"/>
      <c r="HM38"/>
      <c r="HN38"/>
      <c r="HO38"/>
      <c r="HP38"/>
      <c r="HQ38"/>
      <c r="HR38"/>
      <c r="HS38"/>
      <c r="HT38"/>
      <c r="HU38"/>
      <c r="HV38"/>
      <c r="HW38"/>
      <c r="HX38"/>
      <c r="HY38"/>
      <c r="HZ38"/>
      <c r="IA38"/>
      <c r="IB38"/>
      <c r="IC38"/>
      <c r="ID38"/>
      <c r="IE38"/>
      <c r="IF38"/>
      <c r="IG38"/>
      <c r="IH38"/>
      <c r="II38"/>
      <c r="IJ38"/>
      <c r="IK38"/>
      <c r="IL38"/>
      <c r="IM38"/>
      <c r="IN38"/>
      <c r="IO38"/>
      <c r="IP38"/>
      <c r="IQ38"/>
      <c r="IR38"/>
      <c r="IS38"/>
      <c r="IT38"/>
      <c r="IU38"/>
      <c r="IV38"/>
      <c r="IW38"/>
      <c r="IX38"/>
      <c r="IY38"/>
      <c r="IZ38"/>
    </row>
    <row r="39" spans="1:260" s="4" customFormat="1" x14ac:dyDescent="0.2">
      <c r="A39" s="179" t="s">
        <v>531</v>
      </c>
      <c r="B39" s="981">
        <v>0.45100000000000001</v>
      </c>
      <c r="C39" s="981">
        <f>-1.556-B39</f>
        <v>-2.0070000000000001</v>
      </c>
      <c r="D39" s="981">
        <v>-7.8169999999999993</v>
      </c>
      <c r="E39" s="982">
        <v>2.7809999999999997</v>
      </c>
      <c r="F39" s="981">
        <f>-0.683</f>
        <v>-0.68300000000000005</v>
      </c>
      <c r="G39" s="981">
        <f>-0.747+0.053-F39</f>
        <v>-1.0999999999999899E-2</v>
      </c>
      <c r="H39" s="981">
        <f>-8.772+0.071-G39-F39</f>
        <v>-8.0070000000000014</v>
      </c>
      <c r="I39" s="982">
        <f>-11.676-H39-G39-F39</f>
        <v>-2.9749999999999988</v>
      </c>
      <c r="J39" s="981">
        <v>0.154</v>
      </c>
      <c r="K39" s="981">
        <v>-0.54700000000000004</v>
      </c>
      <c r="L39" s="981">
        <v>2.9880000000000004</v>
      </c>
      <c r="M39" s="982">
        <v>5.1169999999999991</v>
      </c>
      <c r="N39" s="981">
        <v>-0.13700000000000001</v>
      </c>
      <c r="O39" s="981">
        <v>-0.72899999999999998</v>
      </c>
      <c r="P39" s="981">
        <v>7.3999999999999955E-2</v>
      </c>
      <c r="Q39" s="982">
        <v>-4.8010000000000002</v>
      </c>
      <c r="R39" s="981">
        <v>0.30399999999999999</v>
      </c>
      <c r="S39" s="981">
        <v>2.3120000000000003</v>
      </c>
      <c r="T39" s="981">
        <v>0.38799999999999973</v>
      </c>
      <c r="U39" s="982">
        <v>1.49</v>
      </c>
      <c r="V39" s="981">
        <v>-3.58</v>
      </c>
      <c r="W39" s="981">
        <f>-3.531-V39</f>
        <v>4.8999999999999932E-2</v>
      </c>
      <c r="X39" s="981">
        <v>0.28600000000000003</v>
      </c>
      <c r="Y39" s="982">
        <v>-14.882999999999999</v>
      </c>
      <c r="Z39" s="981">
        <v>-2.9489999999999998</v>
      </c>
      <c r="AA39" s="981">
        <f>-3.933-Z39</f>
        <v>-0.98399999999999999</v>
      </c>
      <c r="AB39" s="981">
        <f>-16.841-SUM(Z39:AA39)</f>
        <v>-12.908000000000001</v>
      </c>
      <c r="AC39" s="982">
        <f>DR39-SUM(Z39:AB39)</f>
        <v>-1.2399999999999984</v>
      </c>
      <c r="AD39" s="981">
        <v>-3</v>
      </c>
      <c r="AE39" s="981">
        <f>-6-AD39</f>
        <v>-3</v>
      </c>
      <c r="AF39" s="981">
        <f>-8-SUM(AD39:AE39)</f>
        <v>-2</v>
      </c>
      <c r="AG39" s="982">
        <f>DS39-SUM(AD39:AF39)</f>
        <v>-7</v>
      </c>
      <c r="AH39" s="981">
        <v>0</v>
      </c>
      <c r="AI39" s="981">
        <f>-4-AH39</f>
        <v>-4</v>
      </c>
      <c r="AJ39" s="981">
        <f>0-SUM(AH39:AI39)</f>
        <v>4</v>
      </c>
      <c r="AK39" s="982">
        <f>DT39-SUM(AH39:AJ39)</f>
        <v>0</v>
      </c>
      <c r="AL39" s="981">
        <v>-1</v>
      </c>
      <c r="AM39" s="981">
        <v>0</v>
      </c>
      <c r="AN39" s="981">
        <v>0</v>
      </c>
      <c r="AO39" s="982">
        <f>DU39-SUM(AL39:AN39)</f>
        <v>1</v>
      </c>
      <c r="AP39" s="981">
        <v>7</v>
      </c>
      <c r="AQ39" s="981">
        <f>0-AP39</f>
        <v>-7</v>
      </c>
      <c r="AR39" s="981">
        <f>-1-AQ39-AP39</f>
        <v>-1</v>
      </c>
      <c r="AS39" s="982">
        <f>DV39-SUM(AP39:AR39)</f>
        <v>2</v>
      </c>
      <c r="AT39" s="981">
        <v>-3</v>
      </c>
      <c r="AU39" s="981">
        <f>-48-2-AT39</f>
        <v>-47</v>
      </c>
      <c r="AV39" s="981">
        <f>-219-9-AT39-AU39</f>
        <v>-178</v>
      </c>
      <c r="AW39" s="982">
        <f>DW39-SUM(AT39:AV39)</f>
        <v>235</v>
      </c>
      <c r="AX39" s="981">
        <f>3+4</f>
        <v>7</v>
      </c>
      <c r="AY39" s="981">
        <f>12+10+42-AX39</f>
        <v>57</v>
      </c>
      <c r="AZ39" s="981">
        <f>42+18+18-AY39-AX39</f>
        <v>14</v>
      </c>
      <c r="BA39" s="982">
        <f>DX39-SUM(AX39:AZ39)</f>
        <v>-52</v>
      </c>
      <c r="BB39" s="981">
        <f>6+9</f>
        <v>15</v>
      </c>
      <c r="BC39" s="981">
        <f>-16+12-BB39</f>
        <v>-19</v>
      </c>
      <c r="BD39" s="981">
        <f>-32+8-SUM(BB39:BC39)</f>
        <v>-20</v>
      </c>
      <c r="BE39" s="982">
        <f>DY39-SUM(BB39:BD39)</f>
        <v>53</v>
      </c>
      <c r="BF39" s="981">
        <v>22</v>
      </c>
      <c r="BG39" s="981">
        <f>-9-BF39</f>
        <v>-31</v>
      </c>
      <c r="BH39" s="981">
        <f>9+2-BG39-BF39</f>
        <v>20</v>
      </c>
      <c r="BI39" s="982">
        <f>DZ39-BF39-BG39-BH39</f>
        <v>-95</v>
      </c>
      <c r="BJ39" s="790">
        <v>0</v>
      </c>
      <c r="BK39" s="790">
        <f>-12-BJ39</f>
        <v>-12</v>
      </c>
      <c r="BL39" s="790">
        <f>-18-BJ39-BK39</f>
        <v>-6</v>
      </c>
      <c r="BM39" s="944">
        <f>EA39-BJ39-BK39-BL39</f>
        <v>-4</v>
      </c>
      <c r="BN39" s="911">
        <f>-15</f>
        <v>-15</v>
      </c>
      <c r="BO39" s="911">
        <f>66-13-BN39</f>
        <v>68</v>
      </c>
      <c r="BP39" s="911">
        <f>27-18-BN39-BO39</f>
        <v>-44</v>
      </c>
      <c r="BQ39" s="912">
        <f>EB39-BN39-BO39-BP39</f>
        <v>15</v>
      </c>
      <c r="BR39" s="911">
        <f>12-1</f>
        <v>11</v>
      </c>
      <c r="BS39" s="911">
        <f>12-1-BR39</f>
        <v>0</v>
      </c>
      <c r="BT39" s="911">
        <f>12-2-BR39-BS39</f>
        <v>-1</v>
      </c>
      <c r="BU39" s="912">
        <f>EC39-BR39-BS39-BT39</f>
        <v>-2</v>
      </c>
      <c r="BV39" s="911">
        <v>0</v>
      </c>
      <c r="BW39" s="898">
        <v>0</v>
      </c>
      <c r="BX39" s="898">
        <v>-7</v>
      </c>
      <c r="BY39" s="912">
        <f>ED39-BV39-BW39-BX39</f>
        <v>5</v>
      </c>
      <c r="BZ39" s="911">
        <v>0</v>
      </c>
      <c r="CA39" s="898">
        <f>-5-BZ39</f>
        <v>-5</v>
      </c>
      <c r="CB39" s="898">
        <f>-4-CA39-BZ39</f>
        <v>1</v>
      </c>
      <c r="CC39" s="912">
        <f>EG39-BZ39-CA39-CB39</f>
        <v>14</v>
      </c>
      <c r="CD39" s="1064">
        <v>0</v>
      </c>
      <c r="CE39" s="910">
        <f>-2-CD39</f>
        <v>-2</v>
      </c>
      <c r="CF39" s="910">
        <f>-1-CE39-CD39</f>
        <v>1</v>
      </c>
      <c r="CG39" s="909">
        <f>-1-CD39-CE39-CF39</f>
        <v>0</v>
      </c>
      <c r="CH39" s="1386">
        <v>0</v>
      </c>
      <c r="CI39" s="830">
        <f>3-CH39</f>
        <v>3</v>
      </c>
      <c r="CJ39" s="830">
        <f>3-CI39-CH39</f>
        <v>0</v>
      </c>
      <c r="CK39" s="828">
        <f t="shared" si="68"/>
        <v>2</v>
      </c>
      <c r="CL39" s="1631">
        <f>48+5</f>
        <v>53</v>
      </c>
      <c r="CM39" s="1447">
        <f>92-CL39+8</f>
        <v>47</v>
      </c>
      <c r="CN39" s="1447">
        <f>14-SUM(CL39:CM39)</f>
        <v>-86</v>
      </c>
      <c r="CO39" s="1448">
        <f t="shared" si="69"/>
        <v>14</v>
      </c>
      <c r="CP39" s="1447">
        <v>4</v>
      </c>
      <c r="CQ39" s="1447">
        <f>5-CP39</f>
        <v>1</v>
      </c>
      <c r="CR39" s="1447">
        <f>5-SUM(CP39:CQ39)</f>
        <v>0</v>
      </c>
      <c r="CS39" s="1448">
        <f t="shared" si="73"/>
        <v>-2</v>
      </c>
      <c r="CT39" s="1447">
        <v>1</v>
      </c>
      <c r="CU39" s="1447">
        <f>1-CT39</f>
        <v>0</v>
      </c>
      <c r="CV39" s="1447">
        <f>0-CU39-CT39</f>
        <v>-1</v>
      </c>
      <c r="CW39" s="1448">
        <f t="shared" si="70"/>
        <v>-9</v>
      </c>
      <c r="CX39" s="2752">
        <v>0</v>
      </c>
      <c r="CY39" s="1653">
        <v>0</v>
      </c>
      <c r="CZ39" s="1653">
        <v>0</v>
      </c>
      <c r="DA39" s="1611">
        <v>0</v>
      </c>
      <c r="DB39" s="667"/>
      <c r="DC39" s="524"/>
      <c r="DD39" s="981">
        <v>0</v>
      </c>
      <c r="DE39" s="981">
        <v>0</v>
      </c>
      <c r="DF39" s="981">
        <v>-0.99299999999999999</v>
      </c>
      <c r="DG39" s="981">
        <v>0.23599999999999999</v>
      </c>
      <c r="DH39" s="981">
        <v>0.20699999999999999</v>
      </c>
      <c r="DI39" s="981">
        <v>-6.6000000000000003E-2</v>
      </c>
      <c r="DJ39" s="981">
        <v>0.35799999999999998</v>
      </c>
      <c r="DK39" s="981">
        <v>-1.18</v>
      </c>
      <c r="DL39" s="981">
        <f>+E39+D39+C39+B39</f>
        <v>-6.5919999999999996</v>
      </c>
      <c r="DM39" s="981">
        <f>+F39+G39+H39+I39</f>
        <v>-11.675999999999998</v>
      </c>
      <c r="DN39" s="981">
        <f>+J39+K39+L39+M39</f>
        <v>7.7119999999999997</v>
      </c>
      <c r="DO39" s="981">
        <f>+N39+O39+P39+Q39</f>
        <v>-5.593</v>
      </c>
      <c r="DP39" s="981">
        <f>+R39+S39+T39+U39</f>
        <v>4.4939999999999998</v>
      </c>
      <c r="DQ39" s="981">
        <f>+V39+W39+X39+Y39</f>
        <v>-18.128</v>
      </c>
      <c r="DR39" s="981">
        <v>-18.081</v>
      </c>
      <c r="DS39" s="981">
        <v>-15</v>
      </c>
      <c r="DT39" s="981">
        <v>0</v>
      </c>
      <c r="DU39" s="981">
        <v>0</v>
      </c>
      <c r="DV39" s="981">
        <v>1</v>
      </c>
      <c r="DW39" s="981">
        <f>7</f>
        <v>7</v>
      </c>
      <c r="DX39" s="981">
        <f>-20+46</f>
        <v>26</v>
      </c>
      <c r="DY39" s="981">
        <f>5+24</f>
        <v>29</v>
      </c>
      <c r="DZ39" s="981">
        <f>-85+1</f>
        <v>-84</v>
      </c>
      <c r="EA39" s="790">
        <f>-22</f>
        <v>-22</v>
      </c>
      <c r="EB39" s="918">
        <f>-16+40</f>
        <v>24</v>
      </c>
      <c r="EC39" s="918">
        <f>12-4</f>
        <v>8</v>
      </c>
      <c r="ED39" s="918">
        <v>-2</v>
      </c>
      <c r="EE39" s="911">
        <v>163</v>
      </c>
      <c r="EF39" s="1064">
        <v>82</v>
      </c>
      <c r="EG39" s="918">
        <v>10</v>
      </c>
      <c r="EH39" s="1453">
        <f t="shared" si="71"/>
        <v>-1</v>
      </c>
      <c r="EI39" s="1453">
        <v>5</v>
      </c>
      <c r="EJ39" s="1453">
        <v>28</v>
      </c>
      <c r="EK39" s="1450">
        <v>3</v>
      </c>
      <c r="EL39" s="1450">
        <v>-9</v>
      </c>
      <c r="EM39" s="1701">
        <f t="shared" si="74"/>
        <v>0</v>
      </c>
      <c r="EN39" s="1450">
        <f>'Balance Sheet'!EM19-'Balance Sheet'!EN19</f>
        <v>0</v>
      </c>
      <c r="EO39" s="1450">
        <f>'Balance Sheet'!EN19-'Balance Sheet'!EO19</f>
        <v>0</v>
      </c>
      <c r="EP39" s="1450">
        <f>'Balance Sheet'!EO19-'Balance Sheet'!EP19</f>
        <v>0</v>
      </c>
      <c r="EQ39" s="1450">
        <f>'Balance Sheet'!EP19-'Balance Sheet'!EQ19</f>
        <v>0</v>
      </c>
      <c r="ER39" s="1450">
        <f>'Balance Sheet'!EQ19-'Balance Sheet'!ER19</f>
        <v>0</v>
      </c>
      <c r="ES39" s="1450">
        <f>'Balance Sheet'!ER19-'Balance Sheet'!ES19</f>
        <v>0</v>
      </c>
      <c r="ET39" s="1450">
        <f>'Balance Sheet'!ES19-'Balance Sheet'!ET19</f>
        <v>0</v>
      </c>
      <c r="EU39" s="1451">
        <f>'Balance Sheet'!ET19-'Balance Sheet'!EU19</f>
        <v>0</v>
      </c>
      <c r="EV39" s="413"/>
      <c r="EW39"/>
      <c r="EX39"/>
      <c r="EY39"/>
      <c r="EZ39"/>
      <c r="FA39"/>
      <c r="FB39"/>
      <c r="FG39" s="830"/>
      <c r="FH39" s="830"/>
      <c r="FI39" s="830"/>
      <c r="FJ39" s="830"/>
      <c r="FK39" s="830"/>
      <c r="FL39"/>
      <c r="FM39"/>
      <c r="FN39"/>
      <c r="FO39"/>
      <c r="FP39"/>
      <c r="FQ39"/>
      <c r="FR39"/>
      <c r="FS39"/>
      <c r="FT39"/>
      <c r="FU39"/>
      <c r="FV39"/>
      <c r="FW39"/>
      <c r="FX39"/>
      <c r="FY39"/>
      <c r="FZ39"/>
      <c r="GA39"/>
      <c r="GB39"/>
      <c r="GC39"/>
      <c r="GD39"/>
      <c r="GE39"/>
      <c r="GF39"/>
      <c r="GG39"/>
      <c r="GH39"/>
      <c r="GI39"/>
      <c r="GJ39"/>
      <c r="GK39"/>
      <c r="GL39"/>
      <c r="GM39"/>
      <c r="GN39"/>
      <c r="GO39"/>
      <c r="GP39"/>
      <c r="GQ39"/>
      <c r="GR39"/>
      <c r="GS39"/>
      <c r="GT39"/>
      <c r="GU39"/>
      <c r="GV39"/>
      <c r="GW39"/>
      <c r="GX39"/>
      <c r="GY39"/>
      <c r="GZ39"/>
      <c r="HA39"/>
      <c r="HB39"/>
      <c r="HC39"/>
      <c r="HD39"/>
      <c r="HE39"/>
      <c r="HF39"/>
      <c r="HG39"/>
      <c r="HH39"/>
      <c r="HI39"/>
      <c r="HJ39"/>
      <c r="HK39"/>
      <c r="HL39"/>
      <c r="HM39"/>
      <c r="HN39"/>
      <c r="HO39"/>
      <c r="HP39"/>
      <c r="HQ39"/>
      <c r="HR39"/>
      <c r="HS39"/>
      <c r="HT39"/>
      <c r="HU39"/>
      <c r="HV39"/>
      <c r="HW39"/>
      <c r="HX39"/>
      <c r="HY39"/>
      <c r="HZ39"/>
      <c r="IA39"/>
      <c r="IB39"/>
      <c r="IC39"/>
      <c r="ID39"/>
      <c r="IE39"/>
      <c r="IF39"/>
      <c r="IG39"/>
      <c r="IH39"/>
      <c r="II39"/>
      <c r="IJ39"/>
      <c r="IK39"/>
      <c r="IL39"/>
      <c r="IM39"/>
      <c r="IN39"/>
      <c r="IO39"/>
      <c r="IP39"/>
      <c r="IQ39"/>
      <c r="IR39"/>
      <c r="IS39"/>
      <c r="IT39"/>
      <c r="IU39"/>
      <c r="IV39"/>
      <c r="IW39"/>
      <c r="IX39"/>
      <c r="IY39"/>
      <c r="IZ39"/>
    </row>
    <row r="40" spans="1:260" s="4" customFormat="1" x14ac:dyDescent="0.2">
      <c r="A40" s="321" t="s">
        <v>140</v>
      </c>
      <c r="B40" s="254">
        <f t="shared" ref="B40:AW40" si="75">SUM(B32:B39)</f>
        <v>33.791000000000004</v>
      </c>
      <c r="C40" s="254">
        <f t="shared" si="75"/>
        <v>-19.552000000000003</v>
      </c>
      <c r="D40" s="254">
        <f t="shared" si="75"/>
        <v>-50.627000000000002</v>
      </c>
      <c r="E40" s="650">
        <f t="shared" si="75"/>
        <v>-27.110000000000007</v>
      </c>
      <c r="F40" s="254">
        <f t="shared" si="75"/>
        <v>-27.555</v>
      </c>
      <c r="G40" s="254">
        <f t="shared" si="75"/>
        <v>-59.149000000000008</v>
      </c>
      <c r="H40" s="254">
        <f t="shared" si="75"/>
        <v>-74.435000000000002</v>
      </c>
      <c r="I40" s="650">
        <f t="shared" si="75"/>
        <v>-30.816999999999993</v>
      </c>
      <c r="J40" s="254">
        <f t="shared" si="75"/>
        <v>-40.635999999999996</v>
      </c>
      <c r="K40" s="254">
        <f t="shared" si="75"/>
        <v>-76.399000000000001</v>
      </c>
      <c r="L40" s="254">
        <f t="shared" si="75"/>
        <v>-22.446999999999999</v>
      </c>
      <c r="M40" s="650">
        <f t="shared" si="75"/>
        <v>-19.021999999999991</v>
      </c>
      <c r="N40" s="254">
        <f t="shared" si="75"/>
        <v>-12.755999999999998</v>
      </c>
      <c r="O40" s="254">
        <f t="shared" si="75"/>
        <v>0.84199999999999797</v>
      </c>
      <c r="P40" s="254">
        <f t="shared" si="75"/>
        <v>-14.229999999999995</v>
      </c>
      <c r="Q40" s="650">
        <f t="shared" si="75"/>
        <v>5.7100000000000026</v>
      </c>
      <c r="R40" s="254">
        <f t="shared" si="75"/>
        <v>-9.7799999999999994</v>
      </c>
      <c r="S40" s="254">
        <f t="shared" si="75"/>
        <v>-9.259999999999998</v>
      </c>
      <c r="T40" s="254">
        <f t="shared" si="75"/>
        <v>-9.3089999999999975</v>
      </c>
      <c r="U40" s="650">
        <f t="shared" si="75"/>
        <v>6.0499999999999989</v>
      </c>
      <c r="V40" s="254">
        <f t="shared" si="75"/>
        <v>-33.366</v>
      </c>
      <c r="W40" s="254">
        <f t="shared" si="75"/>
        <v>-41.118999999999993</v>
      </c>
      <c r="X40" s="254">
        <f t="shared" si="75"/>
        <v>-90.914000000000001</v>
      </c>
      <c r="Y40" s="650">
        <f t="shared" si="75"/>
        <v>-84.168000000000006</v>
      </c>
      <c r="Z40" s="254">
        <f t="shared" si="75"/>
        <v>-50.187999999999995</v>
      </c>
      <c r="AA40" s="254">
        <f t="shared" si="75"/>
        <v>-114.221</v>
      </c>
      <c r="AB40" s="254">
        <f t="shared" si="75"/>
        <v>-121.47699999999999</v>
      </c>
      <c r="AC40" s="650">
        <f t="shared" si="75"/>
        <v>-114.22799999999999</v>
      </c>
      <c r="AD40" s="254">
        <f t="shared" si="75"/>
        <v>-115</v>
      </c>
      <c r="AE40" s="254">
        <f t="shared" si="75"/>
        <v>-201</v>
      </c>
      <c r="AF40" s="254">
        <f t="shared" si="75"/>
        <v>-201</v>
      </c>
      <c r="AG40" s="650">
        <f t="shared" si="75"/>
        <v>-512</v>
      </c>
      <c r="AH40" s="254">
        <f t="shared" si="75"/>
        <v>-111</v>
      </c>
      <c r="AI40" s="254">
        <f t="shared" si="75"/>
        <v>-138</v>
      </c>
      <c r="AJ40" s="254">
        <f t="shared" si="75"/>
        <v>-516</v>
      </c>
      <c r="AK40" s="650">
        <f t="shared" si="75"/>
        <v>-159</v>
      </c>
      <c r="AL40" s="254">
        <f t="shared" si="75"/>
        <v>-176</v>
      </c>
      <c r="AM40" s="254">
        <f t="shared" si="75"/>
        <v>-241</v>
      </c>
      <c r="AN40" s="254">
        <f t="shared" si="75"/>
        <v>-191</v>
      </c>
      <c r="AO40" s="650">
        <f t="shared" si="75"/>
        <v>-51</v>
      </c>
      <c r="AP40" s="254">
        <f t="shared" si="75"/>
        <v>-148</v>
      </c>
      <c r="AQ40" s="254">
        <f t="shared" si="75"/>
        <v>-138</v>
      </c>
      <c r="AR40" s="254">
        <f t="shared" si="75"/>
        <v>-158</v>
      </c>
      <c r="AS40" s="650">
        <f t="shared" si="75"/>
        <v>-100</v>
      </c>
      <c r="AT40" s="254">
        <f t="shared" si="75"/>
        <v>-88</v>
      </c>
      <c r="AU40" s="254">
        <f t="shared" si="75"/>
        <v>-164</v>
      </c>
      <c r="AV40" s="254">
        <f t="shared" si="75"/>
        <v>-328</v>
      </c>
      <c r="AW40" s="650">
        <f t="shared" si="75"/>
        <v>-586</v>
      </c>
      <c r="AX40" s="254">
        <f t="shared" ref="AX40:BS40" si="76">SUM(AX32:AX39)</f>
        <v>812</v>
      </c>
      <c r="AY40" s="254">
        <f t="shared" si="76"/>
        <v>-150</v>
      </c>
      <c r="AZ40" s="254">
        <f t="shared" si="76"/>
        <v>-342</v>
      </c>
      <c r="BA40" s="650">
        <f t="shared" si="76"/>
        <v>-1074</v>
      </c>
      <c r="BB40" s="254">
        <f t="shared" si="76"/>
        <v>864</v>
      </c>
      <c r="BC40" s="254">
        <f t="shared" si="76"/>
        <v>-163</v>
      </c>
      <c r="BD40" s="254">
        <f t="shared" si="76"/>
        <v>-235</v>
      </c>
      <c r="BE40" s="650">
        <f t="shared" si="76"/>
        <v>-1246</v>
      </c>
      <c r="BF40" s="254">
        <f t="shared" si="76"/>
        <v>920</v>
      </c>
      <c r="BG40" s="254">
        <f t="shared" si="76"/>
        <v>1223</v>
      </c>
      <c r="BH40" s="254">
        <f t="shared" si="76"/>
        <v>-240</v>
      </c>
      <c r="BI40" s="650">
        <f t="shared" si="76"/>
        <v>-439</v>
      </c>
      <c r="BJ40" s="254">
        <f t="shared" si="76"/>
        <v>-211</v>
      </c>
      <c r="BK40" s="254">
        <f t="shared" si="76"/>
        <v>-2289</v>
      </c>
      <c r="BL40" s="254">
        <f t="shared" si="76"/>
        <v>-469</v>
      </c>
      <c r="BM40" s="650">
        <f t="shared" si="76"/>
        <v>-458</v>
      </c>
      <c r="BN40" s="254">
        <f t="shared" si="76"/>
        <v>-171</v>
      </c>
      <c r="BO40" s="254">
        <f t="shared" si="76"/>
        <v>-67</v>
      </c>
      <c r="BP40" s="254">
        <f t="shared" si="76"/>
        <v>-167</v>
      </c>
      <c r="BQ40" s="650">
        <f>SUM(BQ32:BQ39)</f>
        <v>-135</v>
      </c>
      <c r="BR40" s="254">
        <f t="shared" si="76"/>
        <v>-254</v>
      </c>
      <c r="BS40" s="254">
        <f t="shared" si="76"/>
        <v>94</v>
      </c>
      <c r="BT40" s="254">
        <f t="shared" ref="BT40:CJ40" si="77">SUM(BT32:BT39)</f>
        <v>-201</v>
      </c>
      <c r="BU40" s="650">
        <f t="shared" si="77"/>
        <v>-208</v>
      </c>
      <c r="BV40" s="254">
        <f t="shared" si="77"/>
        <v>-186</v>
      </c>
      <c r="BW40" s="254">
        <f t="shared" si="77"/>
        <v>-310</v>
      </c>
      <c r="BX40" s="254">
        <f t="shared" si="77"/>
        <v>-102</v>
      </c>
      <c r="BY40" s="650">
        <f t="shared" si="77"/>
        <v>-126</v>
      </c>
      <c r="BZ40" s="254">
        <f t="shared" si="77"/>
        <v>-94</v>
      </c>
      <c r="CA40" s="254">
        <f t="shared" si="77"/>
        <v>-101</v>
      </c>
      <c r="CB40" s="254">
        <f t="shared" si="77"/>
        <v>-217</v>
      </c>
      <c r="CC40" s="650">
        <f t="shared" si="77"/>
        <v>-190</v>
      </c>
      <c r="CD40" s="1088">
        <f t="shared" si="77"/>
        <v>-116</v>
      </c>
      <c r="CE40" s="254">
        <f t="shared" si="77"/>
        <v>-87</v>
      </c>
      <c r="CF40" s="254">
        <f t="shared" si="77"/>
        <v>-112</v>
      </c>
      <c r="CG40" s="650">
        <f t="shared" si="77"/>
        <v>-202</v>
      </c>
      <c r="CH40" s="1088">
        <f t="shared" si="77"/>
        <v>-362</v>
      </c>
      <c r="CI40" s="254">
        <f t="shared" si="77"/>
        <v>-545</v>
      </c>
      <c r="CJ40" s="254">
        <f t="shared" si="77"/>
        <v>-435</v>
      </c>
      <c r="CK40" s="650">
        <f t="shared" ref="CK40:CS40" si="78">SUM(CK32:CK39)</f>
        <v>-370</v>
      </c>
      <c r="CL40" s="1401">
        <f t="shared" si="78"/>
        <v>-214</v>
      </c>
      <c r="CM40" s="1402">
        <f t="shared" si="78"/>
        <v>-264</v>
      </c>
      <c r="CN40" s="1402">
        <f t="shared" si="78"/>
        <v>-140</v>
      </c>
      <c r="CO40" s="1403">
        <f>SUM(CO32:CO39)</f>
        <v>199</v>
      </c>
      <c r="CP40" s="1402">
        <f>SUM(CP32:CP39)</f>
        <v>-42</v>
      </c>
      <c r="CQ40" s="1402">
        <f t="shared" si="78"/>
        <v>-453</v>
      </c>
      <c r="CR40" s="1402">
        <f t="shared" si="78"/>
        <v>-361</v>
      </c>
      <c r="CS40" s="1403">
        <f t="shared" si="78"/>
        <v>-21</v>
      </c>
      <c r="CT40" s="1402">
        <f>SUM(CT32:CT39)</f>
        <v>-423</v>
      </c>
      <c r="CU40" s="1402">
        <f t="shared" ref="CU40" si="79">SUM(CU32:CU39)</f>
        <v>-285</v>
      </c>
      <c r="CV40" s="1402">
        <f t="shared" ref="CV40:DA40" si="80">SUM(CV32:CV39)</f>
        <v>-308</v>
      </c>
      <c r="CW40" s="1403">
        <f t="shared" si="80"/>
        <v>14</v>
      </c>
      <c r="CX40" s="1699">
        <f t="shared" si="80"/>
        <v>-211.81065601789899</v>
      </c>
      <c r="CY40" s="1402">
        <f t="shared" si="80"/>
        <v>-211.81065601789899</v>
      </c>
      <c r="CZ40" s="1402">
        <f t="shared" si="80"/>
        <v>-211.81065601789899</v>
      </c>
      <c r="DA40" s="1403">
        <f t="shared" si="80"/>
        <v>-211.81065601789899</v>
      </c>
      <c r="DB40" s="1656"/>
      <c r="DC40" s="1657"/>
      <c r="DD40" s="1402">
        <f t="shared" ref="DD40:DK40" si="81">SUM(DD32:DD39)</f>
        <v>-2.8420000000000001</v>
      </c>
      <c r="DE40" s="1402">
        <f t="shared" si="81"/>
        <v>-11.284000000000001</v>
      </c>
      <c r="DF40" s="1402">
        <f t="shared" si="81"/>
        <v>-20.352</v>
      </c>
      <c r="DG40" s="1402">
        <f t="shared" si="81"/>
        <v>-5.0590000000000002</v>
      </c>
      <c r="DH40" s="1402">
        <f t="shared" si="81"/>
        <v>-7.9950000000000001</v>
      </c>
      <c r="DI40" s="1402">
        <f t="shared" si="81"/>
        <v>-19.980999999999998</v>
      </c>
      <c r="DJ40" s="1402">
        <f t="shared" si="81"/>
        <v>-24.806999999999999</v>
      </c>
      <c r="DK40" s="1402">
        <f t="shared" si="81"/>
        <v>-76.044000000000011</v>
      </c>
      <c r="DL40" s="1402">
        <f>+E40+D40+C40+B40</f>
        <v>-63.498000000000012</v>
      </c>
      <c r="DM40" s="1402">
        <f>+F40+G40+H40+I40</f>
        <v>-191.95600000000002</v>
      </c>
      <c r="DN40" s="1402">
        <f>+J40+K40+L40+M40</f>
        <v>-158.50399999999999</v>
      </c>
      <c r="DO40" s="1402">
        <f>+N40+O40+P40+Q40</f>
        <v>-20.43399999999999</v>
      </c>
      <c r="DP40" s="1402">
        <f>+R40+S40+T40+U40</f>
        <v>-22.298999999999999</v>
      </c>
      <c r="DQ40" s="1402">
        <f>+V40+W40+X40+Y40</f>
        <v>-249.56700000000001</v>
      </c>
      <c r="DR40" s="1402">
        <f t="shared" ref="DR40:EC40" si="82">SUM(DR32:DR39)</f>
        <v>-400.11400000000003</v>
      </c>
      <c r="DS40" s="1402">
        <f t="shared" si="82"/>
        <v>-1029</v>
      </c>
      <c r="DT40" s="1402">
        <f t="shared" si="82"/>
        <v>-924</v>
      </c>
      <c r="DU40" s="1402">
        <f t="shared" si="82"/>
        <v>-659</v>
      </c>
      <c r="DV40" s="1402">
        <f t="shared" si="82"/>
        <v>-1358</v>
      </c>
      <c r="DW40" s="1402">
        <f t="shared" si="82"/>
        <v>-1166</v>
      </c>
      <c r="DX40" s="1402">
        <f t="shared" si="82"/>
        <v>-754</v>
      </c>
      <c r="DY40" s="1402">
        <f t="shared" si="82"/>
        <v>-780</v>
      </c>
      <c r="DZ40" s="1402">
        <f t="shared" si="82"/>
        <v>1464</v>
      </c>
      <c r="EA40" s="1402">
        <f t="shared" si="82"/>
        <v>-3427</v>
      </c>
      <c r="EB40" s="1402">
        <f t="shared" si="82"/>
        <v>-540</v>
      </c>
      <c r="EC40" s="1402">
        <f t="shared" si="82"/>
        <v>-569</v>
      </c>
      <c r="ED40" s="1402">
        <f>SUM(ED32:ED39)</f>
        <v>-724</v>
      </c>
      <c r="EE40" s="1402">
        <f>SUM(EE32:EE39)</f>
        <v>-543</v>
      </c>
      <c r="EF40" s="1401">
        <f t="shared" ref="EF40:EP40" si="83">SUM(EF32:EF39)</f>
        <v>-665</v>
      </c>
      <c r="EG40" s="1402">
        <f>SUM(EG32:EG39)</f>
        <v>-602</v>
      </c>
      <c r="EH40" s="1402">
        <f>SUM(EH32:EH39)</f>
        <v>-517</v>
      </c>
      <c r="EI40" s="1402">
        <f>SUM(EI32:EI39)</f>
        <v>-1712</v>
      </c>
      <c r="EJ40" s="1402">
        <f>SUM(EJ32:EJ39)</f>
        <v>-419</v>
      </c>
      <c r="EK40" s="1402">
        <f>SUM(EK32:EK39)</f>
        <v>-877</v>
      </c>
      <c r="EL40" s="1402">
        <f t="shared" si="83"/>
        <v>-1002</v>
      </c>
      <c r="EM40" s="1699">
        <f t="shared" ref="EM40" si="84">SUM(EM32:EM39)</f>
        <v>-847.24262407159597</v>
      </c>
      <c r="EN40" s="1402">
        <f t="shared" si="83"/>
        <v>-750.20708665237623</v>
      </c>
      <c r="EO40" s="1402">
        <f t="shared" si="83"/>
        <v>-759.41077984584967</v>
      </c>
      <c r="EP40" s="1402">
        <f t="shared" si="83"/>
        <v>-724.50121231842547</v>
      </c>
      <c r="EQ40" s="1402">
        <f>SUM(EQ32:EQ39)</f>
        <v>-656.22993454793334</v>
      </c>
      <c r="ER40" s="1402">
        <f>SUM(ER32:ER39)</f>
        <v>-680.09878521854125</v>
      </c>
      <c r="ES40" s="1402">
        <f>SUM(ES32:ES39)</f>
        <v>-691.12571768440489</v>
      </c>
      <c r="ET40" s="1402">
        <f>SUM(ET32:ET39)</f>
        <v>-702.55621811171818</v>
      </c>
      <c r="EU40" s="1403">
        <f>SUM(EU32:EU39)</f>
        <v>-714.40814844353281</v>
      </c>
      <c r="EV40" s="413"/>
      <c r="EW40"/>
      <c r="EX40"/>
      <c r="EY40"/>
      <c r="EZ40"/>
      <c r="FA40"/>
      <c r="FB40"/>
      <c r="FG40" s="1123"/>
      <c r="FH40" s="1123"/>
      <c r="FI40" s="1658"/>
      <c r="FJ40" s="1658"/>
      <c r="FK40" s="1658"/>
      <c r="FL40"/>
      <c r="FM40"/>
      <c r="FN40"/>
      <c r="FO40"/>
      <c r="FP40"/>
      <c r="FQ40"/>
      <c r="FR40"/>
      <c r="FS40"/>
      <c r="FT40"/>
      <c r="FU40"/>
      <c r="FV40"/>
      <c r="FW40"/>
      <c r="FX40"/>
      <c r="FY40"/>
      <c r="FZ40"/>
      <c r="GA40"/>
      <c r="GB40"/>
      <c r="GC40"/>
      <c r="GD40"/>
      <c r="GE40"/>
      <c r="GF40"/>
      <c r="GG40"/>
      <c r="GH40"/>
      <c r="GI40"/>
      <c r="GJ40"/>
      <c r="GK40"/>
      <c r="GL40"/>
      <c r="GM40"/>
      <c r="GN40"/>
      <c r="GO40"/>
      <c r="GP40"/>
      <c r="GQ40"/>
      <c r="GR40"/>
      <c r="GS40"/>
      <c r="GT40"/>
      <c r="GU40"/>
      <c r="GV40"/>
      <c r="GW40"/>
      <c r="GX40"/>
      <c r="GY40"/>
      <c r="GZ40"/>
      <c r="HA40"/>
      <c r="HB40"/>
      <c r="HC40"/>
      <c r="HD40"/>
      <c r="HE40"/>
      <c r="HF40"/>
      <c r="HG40"/>
      <c r="HH40"/>
      <c r="HI40"/>
      <c r="HJ40"/>
      <c r="HK40"/>
      <c r="HL40"/>
      <c r="HM40"/>
      <c r="HN40"/>
      <c r="HO40"/>
      <c r="HP40"/>
      <c r="HQ40"/>
      <c r="HR40"/>
      <c r="HS40"/>
      <c r="HT40"/>
      <c r="HU40"/>
      <c r="HV40"/>
      <c r="HW40"/>
      <c r="HX40"/>
      <c r="HY40"/>
      <c r="HZ40"/>
      <c r="IA40"/>
      <c r="IB40"/>
      <c r="IC40"/>
      <c r="ID40"/>
      <c r="IE40"/>
      <c r="IF40"/>
      <c r="IG40"/>
      <c r="IH40"/>
      <c r="II40"/>
      <c r="IJ40"/>
      <c r="IK40"/>
      <c r="IL40"/>
      <c r="IM40"/>
      <c r="IN40"/>
      <c r="IO40"/>
      <c r="IP40"/>
      <c r="IQ40"/>
      <c r="IR40"/>
      <c r="IS40"/>
      <c r="IT40"/>
      <c r="IU40"/>
      <c r="IV40"/>
      <c r="IW40"/>
      <c r="IX40"/>
      <c r="IY40"/>
      <c r="IZ40"/>
    </row>
    <row r="41" spans="1:260" s="4" customFormat="1" x14ac:dyDescent="0.2">
      <c r="A41" s="322"/>
      <c r="B41" s="63"/>
      <c r="C41" s="63"/>
      <c r="D41" s="63"/>
      <c r="E41" s="613"/>
      <c r="F41" s="63"/>
      <c r="G41" s="63"/>
      <c r="H41" s="63"/>
      <c r="I41" s="613"/>
      <c r="J41" s="63"/>
      <c r="K41" s="63"/>
      <c r="L41" s="63"/>
      <c r="M41" s="613"/>
      <c r="N41" s="63"/>
      <c r="O41" s="63"/>
      <c r="P41" s="63"/>
      <c r="Q41" s="613"/>
      <c r="R41" s="63"/>
      <c r="S41" s="63"/>
      <c r="T41" s="63"/>
      <c r="U41" s="613"/>
      <c r="V41" s="63"/>
      <c r="W41" s="63"/>
      <c r="X41" s="63"/>
      <c r="Y41" s="613"/>
      <c r="Z41" s="63"/>
      <c r="AA41" s="63"/>
      <c r="AB41" s="63"/>
      <c r="AC41" s="613"/>
      <c r="AD41" s="63"/>
      <c r="AE41" s="63"/>
      <c r="AF41" s="63"/>
      <c r="AG41" s="613"/>
      <c r="AH41" s="63"/>
      <c r="AI41" s="63"/>
      <c r="AJ41" s="63"/>
      <c r="AK41" s="613"/>
      <c r="AL41" s="63"/>
      <c r="AM41" s="63"/>
      <c r="AN41" s="63"/>
      <c r="AO41" s="613"/>
      <c r="AP41" s="63"/>
      <c r="AQ41" s="63"/>
      <c r="AR41" s="63"/>
      <c r="AS41" s="613"/>
      <c r="AT41" s="63"/>
      <c r="AU41" s="63"/>
      <c r="AV41" s="63"/>
      <c r="AW41" s="613"/>
      <c r="AX41" s="63"/>
      <c r="AY41" s="63"/>
      <c r="AZ41" s="63"/>
      <c r="BA41" s="613"/>
      <c r="BB41" s="63"/>
      <c r="BC41" s="63"/>
      <c r="BD41" s="63"/>
      <c r="BE41" s="613"/>
      <c r="BF41" s="63"/>
      <c r="BG41" s="63"/>
      <c r="BH41" s="63"/>
      <c r="BI41" s="613"/>
      <c r="BJ41" s="148"/>
      <c r="BK41" s="148"/>
      <c r="BL41" s="148"/>
      <c r="BM41" s="655"/>
      <c r="BN41" s="148"/>
      <c r="BO41" s="148"/>
      <c r="BP41" s="148"/>
      <c r="BQ41" s="655"/>
      <c r="BR41" s="148"/>
      <c r="BS41" s="148"/>
      <c r="BT41" s="148"/>
      <c r="BU41" s="655"/>
      <c r="BV41" s="148"/>
      <c r="BW41" s="63"/>
      <c r="BX41" s="63"/>
      <c r="BY41" s="655"/>
      <c r="BZ41" s="148"/>
      <c r="CA41" s="63"/>
      <c r="CB41" s="63"/>
      <c r="CC41" s="655"/>
      <c r="CD41" s="732"/>
      <c r="CE41" s="1095"/>
      <c r="CF41" s="1095"/>
      <c r="CG41" s="655"/>
      <c r="CH41" s="732"/>
      <c r="CI41" s="1095"/>
      <c r="CJ41" s="1095"/>
      <c r="CK41" s="655"/>
      <c r="CL41" s="1625"/>
      <c r="CM41" s="1626"/>
      <c r="CN41" s="151"/>
      <c r="CO41" s="724"/>
      <c r="CP41" s="1626"/>
      <c r="CQ41" s="151"/>
      <c r="CR41" s="151"/>
      <c r="CS41" s="724"/>
      <c r="CT41" s="1095"/>
      <c r="CU41" s="1095"/>
      <c r="CV41" s="1095"/>
      <c r="CW41" s="724"/>
      <c r="CX41" s="1676"/>
      <c r="CY41" s="1095"/>
      <c r="CZ41" s="1095"/>
      <c r="DA41" s="655"/>
      <c r="DB41" s="732"/>
      <c r="DC41" s="655"/>
      <c r="DD41" s="129"/>
      <c r="DE41" s="129"/>
      <c r="DF41" s="129"/>
      <c r="DG41" s="129"/>
      <c r="DH41" s="129"/>
      <c r="DI41" s="129"/>
      <c r="DJ41" s="129"/>
      <c r="DK41" s="129"/>
      <c r="DL41" s="63"/>
      <c r="DM41" s="63"/>
      <c r="DN41" s="63"/>
      <c r="DO41" s="63"/>
      <c r="DP41" s="63"/>
      <c r="DQ41" s="63"/>
      <c r="DR41" s="63"/>
      <c r="DS41" s="63"/>
      <c r="DT41" s="63"/>
      <c r="DU41" s="63"/>
      <c r="DV41" s="63"/>
      <c r="DW41" s="63"/>
      <c r="DX41" s="63"/>
      <c r="DY41" s="63"/>
      <c r="DZ41" s="63"/>
      <c r="EA41" s="148"/>
      <c r="EB41" s="148"/>
      <c r="EC41" s="148"/>
      <c r="ED41" s="148"/>
      <c r="EE41" s="63"/>
      <c r="EF41" s="677"/>
      <c r="EG41" s="1095"/>
      <c r="EH41" s="1095"/>
      <c r="EI41" s="1095"/>
      <c r="EJ41" s="1095"/>
      <c r="EK41" s="148"/>
      <c r="EL41" s="148"/>
      <c r="EM41" s="1695"/>
      <c r="EN41" s="1037"/>
      <c r="EO41" s="1037"/>
      <c r="EP41" s="1037"/>
      <c r="EQ41" s="1037"/>
      <c r="ER41" s="1037"/>
      <c r="ES41" s="1037"/>
      <c r="ET41" s="1037"/>
      <c r="EU41" s="613"/>
      <c r="EV41" s="413"/>
      <c r="EW41"/>
      <c r="EX41"/>
      <c r="EY41"/>
      <c r="EZ41"/>
      <c r="FA41"/>
      <c r="FB41"/>
      <c r="FG41" s="1095"/>
      <c r="FH41" s="1095"/>
      <c r="FI41" s="1095"/>
      <c r="FJ41" s="1095"/>
      <c r="FK41" s="1095"/>
      <c r="FL41"/>
      <c r="FM41"/>
      <c r="FN41"/>
      <c r="FO41"/>
      <c r="FP41"/>
      <c r="FQ41"/>
      <c r="FR41"/>
      <c r="FS41"/>
      <c r="FT41"/>
      <c r="FU41"/>
      <c r="FV41"/>
      <c r="FW41"/>
      <c r="FX41"/>
      <c r="FY41"/>
      <c r="FZ41"/>
      <c r="GA41"/>
      <c r="GB41"/>
      <c r="GC41"/>
      <c r="GD41"/>
      <c r="GE41"/>
      <c r="GF41"/>
      <c r="GG41"/>
      <c r="GH41"/>
      <c r="GI41"/>
      <c r="GJ41"/>
      <c r="GK41"/>
      <c r="GL41"/>
      <c r="GM41"/>
      <c r="GN41"/>
      <c r="GO41"/>
      <c r="GP41"/>
      <c r="GQ41"/>
      <c r="GR41"/>
      <c r="GS41"/>
      <c r="GT41"/>
      <c r="GU41"/>
      <c r="GV41"/>
      <c r="GW41"/>
      <c r="GX41"/>
      <c r="GY41"/>
      <c r="GZ41"/>
      <c r="HA41"/>
      <c r="HB41"/>
      <c r="HC41"/>
      <c r="HD41"/>
      <c r="HE41"/>
      <c r="HF41"/>
      <c r="HG41"/>
      <c r="HH41"/>
      <c r="HI41"/>
      <c r="HJ41"/>
      <c r="HK41"/>
      <c r="HL41"/>
      <c r="HM41"/>
      <c r="HN41"/>
      <c r="HO41"/>
      <c r="HP41"/>
      <c r="HQ41"/>
      <c r="HR41"/>
      <c r="HS41"/>
      <c r="HT41"/>
      <c r="HU41"/>
      <c r="HV41"/>
      <c r="HW41"/>
      <c r="HX41"/>
      <c r="HY41"/>
      <c r="HZ41"/>
      <c r="IA41"/>
      <c r="IB41"/>
      <c r="IC41"/>
      <c r="ID41"/>
      <c r="IE41"/>
      <c r="IF41"/>
      <c r="IG41"/>
      <c r="IH41"/>
      <c r="II41"/>
      <c r="IJ41"/>
      <c r="IK41"/>
      <c r="IL41"/>
      <c r="IM41"/>
      <c r="IN41"/>
      <c r="IO41"/>
      <c r="IP41"/>
      <c r="IQ41"/>
      <c r="IR41"/>
      <c r="IS41"/>
      <c r="IT41"/>
      <c r="IU41"/>
      <c r="IV41"/>
      <c r="IW41"/>
      <c r="IX41"/>
      <c r="IY41"/>
      <c r="IZ41"/>
    </row>
    <row r="42" spans="1:260" s="3" customFormat="1" x14ac:dyDescent="0.2">
      <c r="A42" s="1591" t="s">
        <v>141</v>
      </c>
      <c r="B42" s="1591">
        <f t="shared" ref="B42:AG42" si="85">B29+B32</f>
        <v>-52.466999999999999</v>
      </c>
      <c r="C42" s="1591">
        <f t="shared" si="85"/>
        <v>-71.180999999999983</v>
      </c>
      <c r="D42" s="1591">
        <f t="shared" si="85"/>
        <v>-135.47000000000003</v>
      </c>
      <c r="E42" s="1591">
        <f t="shared" si="85"/>
        <v>-10.496999999999986</v>
      </c>
      <c r="F42" s="1591">
        <f t="shared" si="85"/>
        <v>-92.674999999999997</v>
      </c>
      <c r="G42" s="1591">
        <f t="shared" si="85"/>
        <v>-34.197000000000031</v>
      </c>
      <c r="H42" s="1591">
        <f t="shared" si="85"/>
        <v>-429.45600000000007</v>
      </c>
      <c r="I42" s="1591">
        <f t="shared" si="85"/>
        <v>342.38799999999998</v>
      </c>
      <c r="J42" s="1591">
        <f t="shared" si="85"/>
        <v>-88.151999999999987</v>
      </c>
      <c r="K42" s="1591">
        <f t="shared" si="85"/>
        <v>-47.966999999999999</v>
      </c>
      <c r="L42" s="1591">
        <f t="shared" si="85"/>
        <v>-283.77499999999986</v>
      </c>
      <c r="M42" s="1591">
        <f t="shared" si="85"/>
        <v>345.1939999999999</v>
      </c>
      <c r="N42" s="1591">
        <f t="shared" si="85"/>
        <v>-305.68799999999999</v>
      </c>
      <c r="O42" s="1591">
        <f t="shared" si="85"/>
        <v>-0.76099999999999568</v>
      </c>
      <c r="P42" s="1591">
        <f t="shared" si="85"/>
        <v>-69.048000000000002</v>
      </c>
      <c r="Q42" s="1591">
        <f t="shared" si="85"/>
        <v>265.80600000000015</v>
      </c>
      <c r="R42" s="1591">
        <f t="shared" si="85"/>
        <v>52.231999999999999</v>
      </c>
      <c r="S42" s="1591">
        <f t="shared" si="85"/>
        <v>14.370000000000019</v>
      </c>
      <c r="T42" s="1591">
        <f t="shared" si="85"/>
        <v>7.2469999999999253</v>
      </c>
      <c r="U42" s="1591">
        <f t="shared" si="85"/>
        <v>284.83000000000004</v>
      </c>
      <c r="V42" s="1591">
        <f t="shared" si="85"/>
        <v>-104.02700000000002</v>
      </c>
      <c r="W42" s="1591">
        <f t="shared" si="85"/>
        <v>92.152000000000015</v>
      </c>
      <c r="X42" s="1591">
        <f t="shared" si="85"/>
        <v>108.20799999999986</v>
      </c>
      <c r="Y42" s="1591">
        <f t="shared" si="85"/>
        <v>400.40000000000015</v>
      </c>
      <c r="Z42" s="1591">
        <f t="shared" si="85"/>
        <v>-215.34100000000001</v>
      </c>
      <c r="AA42" s="1591">
        <f t="shared" si="85"/>
        <v>17.875999999999991</v>
      </c>
      <c r="AB42" s="1591">
        <f t="shared" si="85"/>
        <v>113.49100000000018</v>
      </c>
      <c r="AC42" s="1591">
        <f t="shared" si="85"/>
        <v>483.178</v>
      </c>
      <c r="AD42" s="1591">
        <f t="shared" si="85"/>
        <v>-174</v>
      </c>
      <c r="AE42" s="1591">
        <f t="shared" si="85"/>
        <v>98</v>
      </c>
      <c r="AF42" s="1591">
        <f t="shared" si="85"/>
        <v>-120</v>
      </c>
      <c r="AG42" s="1591">
        <f t="shared" si="85"/>
        <v>400</v>
      </c>
      <c r="AH42" s="1591">
        <f t="shared" ref="AH42:BM42" si="86">AH29+AH32</f>
        <v>-204</v>
      </c>
      <c r="AI42" s="1591">
        <f t="shared" si="86"/>
        <v>329</v>
      </c>
      <c r="AJ42" s="1591">
        <f t="shared" si="86"/>
        <v>222</v>
      </c>
      <c r="AK42" s="1591">
        <f t="shared" si="86"/>
        <v>615</v>
      </c>
      <c r="AL42" s="1591">
        <f t="shared" si="86"/>
        <v>-1046</v>
      </c>
      <c r="AM42" s="1591">
        <f t="shared" si="86"/>
        <v>129</v>
      </c>
      <c r="AN42" s="1591">
        <f t="shared" si="86"/>
        <v>-67</v>
      </c>
      <c r="AO42" s="1591">
        <f t="shared" si="86"/>
        <v>50</v>
      </c>
      <c r="AP42" s="1591">
        <f t="shared" si="86"/>
        <v>-505</v>
      </c>
      <c r="AQ42" s="1591">
        <f t="shared" si="86"/>
        <v>344</v>
      </c>
      <c r="AR42" s="1591">
        <f t="shared" si="86"/>
        <v>4686</v>
      </c>
      <c r="AS42" s="1591">
        <f t="shared" si="86"/>
        <v>-3796</v>
      </c>
      <c r="AT42" s="1591">
        <f t="shared" si="86"/>
        <v>-475</v>
      </c>
      <c r="AU42" s="1591">
        <f t="shared" si="86"/>
        <v>363</v>
      </c>
      <c r="AV42" s="1591">
        <f t="shared" si="86"/>
        <v>564</v>
      </c>
      <c r="AW42" s="1591">
        <f t="shared" si="86"/>
        <v>937</v>
      </c>
      <c r="AX42" s="1591">
        <f t="shared" si="86"/>
        <v>-524</v>
      </c>
      <c r="AY42" s="1591">
        <f t="shared" si="86"/>
        <v>47</v>
      </c>
      <c r="AZ42" s="1591">
        <f t="shared" si="86"/>
        <v>391</v>
      </c>
      <c r="BA42" s="1591">
        <f t="shared" si="86"/>
        <v>1178</v>
      </c>
      <c r="BB42" s="1591">
        <f t="shared" si="86"/>
        <v>-880</v>
      </c>
      <c r="BC42" s="1591">
        <f t="shared" si="86"/>
        <v>550</v>
      </c>
      <c r="BD42" s="1591">
        <f t="shared" si="86"/>
        <v>67</v>
      </c>
      <c r="BE42" s="1591">
        <f t="shared" si="86"/>
        <v>1292</v>
      </c>
      <c r="BF42" s="1591">
        <f t="shared" si="86"/>
        <v>-607</v>
      </c>
      <c r="BG42" s="1591">
        <f t="shared" si="86"/>
        <v>362</v>
      </c>
      <c r="BH42" s="1591">
        <f t="shared" si="86"/>
        <v>907</v>
      </c>
      <c r="BI42" s="1591">
        <f t="shared" si="86"/>
        <v>566</v>
      </c>
      <c r="BJ42" s="1591">
        <f t="shared" si="86"/>
        <v>-281</v>
      </c>
      <c r="BK42" s="1591">
        <f t="shared" si="86"/>
        <v>-171</v>
      </c>
      <c r="BL42" s="1591">
        <f t="shared" si="86"/>
        <v>-555</v>
      </c>
      <c r="BM42" s="1591">
        <f t="shared" si="86"/>
        <v>1581</v>
      </c>
      <c r="BN42" s="1591">
        <f t="shared" ref="BN42:CJ42" si="87">BN29+BN32</f>
        <v>-239</v>
      </c>
      <c r="BO42" s="1591">
        <f t="shared" si="87"/>
        <v>167</v>
      </c>
      <c r="BP42" s="1591">
        <f t="shared" si="87"/>
        <v>282</v>
      </c>
      <c r="BQ42" s="1591">
        <f t="shared" si="87"/>
        <v>1381</v>
      </c>
      <c r="BR42" s="1591">
        <f t="shared" si="87"/>
        <v>8</v>
      </c>
      <c r="BS42" s="1591">
        <f t="shared" si="87"/>
        <v>-266</v>
      </c>
      <c r="BT42" s="1591">
        <f t="shared" si="87"/>
        <v>274</v>
      </c>
      <c r="BU42" s="1591">
        <f t="shared" si="87"/>
        <v>430</v>
      </c>
      <c r="BV42" s="1591">
        <f t="shared" si="87"/>
        <v>1122</v>
      </c>
      <c r="BW42" s="1591">
        <f t="shared" si="87"/>
        <v>4</v>
      </c>
      <c r="BX42" s="1591">
        <f t="shared" si="87"/>
        <v>885</v>
      </c>
      <c r="BY42" s="1591">
        <f t="shared" si="87"/>
        <v>516</v>
      </c>
      <c r="BZ42" s="1591">
        <f t="shared" si="87"/>
        <v>238</v>
      </c>
      <c r="CA42" s="1591">
        <f t="shared" si="87"/>
        <v>-776</v>
      </c>
      <c r="CB42" s="1591">
        <f t="shared" si="87"/>
        <v>-105</v>
      </c>
      <c r="CC42" s="1591">
        <f t="shared" si="87"/>
        <v>1323</v>
      </c>
      <c r="CD42" s="1591">
        <f t="shared" si="87"/>
        <v>-179</v>
      </c>
      <c r="CE42" s="1591">
        <f t="shared" si="87"/>
        <v>-103</v>
      </c>
      <c r="CF42" s="1591">
        <f t="shared" si="87"/>
        <v>184</v>
      </c>
      <c r="CG42" s="1591">
        <f t="shared" si="87"/>
        <v>645</v>
      </c>
      <c r="CH42" s="1591">
        <f t="shared" si="87"/>
        <v>197</v>
      </c>
      <c r="CI42" s="1591">
        <f t="shared" si="87"/>
        <v>32</v>
      </c>
      <c r="CJ42" s="1591">
        <f t="shared" si="87"/>
        <v>120</v>
      </c>
      <c r="CK42" s="1591">
        <f t="shared" ref="CK42:CS42" si="88">CK29+CK32</f>
        <v>1025</v>
      </c>
      <c r="CL42" s="1654">
        <f t="shared" si="88"/>
        <v>-134</v>
      </c>
      <c r="CM42" s="1654">
        <f t="shared" si="88"/>
        <v>149</v>
      </c>
      <c r="CN42" s="1654">
        <f t="shared" si="88"/>
        <v>-45</v>
      </c>
      <c r="CO42" s="1655">
        <f t="shared" si="88"/>
        <v>703</v>
      </c>
      <c r="CP42" s="1654">
        <f>CP29+CP32</f>
        <v>347</v>
      </c>
      <c r="CQ42" s="1654">
        <f t="shared" si="88"/>
        <v>665</v>
      </c>
      <c r="CR42" s="1654">
        <f t="shared" si="88"/>
        <v>-62</v>
      </c>
      <c r="CS42" s="1655">
        <f t="shared" si="88"/>
        <v>1027</v>
      </c>
      <c r="CT42" s="1654">
        <f>CT29+CT32</f>
        <v>90</v>
      </c>
      <c r="CU42" s="1654">
        <f t="shared" ref="CU42" si="89">CU29+CU32</f>
        <v>306</v>
      </c>
      <c r="CV42" s="1654">
        <f t="shared" ref="CV42:DA42" si="90">CV29+CV32</f>
        <v>318</v>
      </c>
      <c r="CW42" s="1655">
        <f t="shared" si="90"/>
        <v>739</v>
      </c>
      <c r="CX42" s="1654">
        <f t="shared" si="90"/>
        <v>10.910045266123205</v>
      </c>
      <c r="CY42" s="1654">
        <f t="shared" si="90"/>
        <v>199.93170657150759</v>
      </c>
      <c r="CZ42" s="1654">
        <f t="shared" si="90"/>
        <v>401.07228743582789</v>
      </c>
      <c r="DA42" s="1655">
        <f t="shared" si="90"/>
        <v>801.60867591797512</v>
      </c>
      <c r="DB42" s="733"/>
      <c r="DC42" s="712"/>
      <c r="DD42" s="1123">
        <f>DD29+DD32</f>
        <v>-11.314000000000002</v>
      </c>
      <c r="DE42" s="1123">
        <f>DE29+DE32</f>
        <v>-45.22</v>
      </c>
      <c r="DF42" s="1123">
        <f>DF29+DF32</f>
        <v>-36.722000000000001</v>
      </c>
      <c r="DG42" s="1123">
        <f>DG29+DG32</f>
        <v>0.96300000000000008</v>
      </c>
      <c r="DH42" s="1123">
        <f>DH29+DH32</f>
        <v>18.876999999999999</v>
      </c>
      <c r="DI42" s="1123">
        <f t="shared" ref="DI42:EG42" si="91">DI29+DI32</f>
        <v>-3.2339999999999982</v>
      </c>
      <c r="DJ42" s="1123">
        <f t="shared" si="91"/>
        <v>-28.625000000000004</v>
      </c>
      <c r="DK42" s="1123">
        <f t="shared" si="91"/>
        <v>-125.79500000000002</v>
      </c>
      <c r="DL42" s="1123">
        <f t="shared" si="91"/>
        <v>-269.61500000000001</v>
      </c>
      <c r="DM42" s="1123">
        <f t="shared" si="91"/>
        <v>-213.94000000000011</v>
      </c>
      <c r="DN42" s="1123">
        <f t="shared" si="91"/>
        <v>-74.69999999999996</v>
      </c>
      <c r="DO42" s="1123">
        <f t="shared" si="91"/>
        <v>-109.69099999999983</v>
      </c>
      <c r="DP42" s="1123">
        <f t="shared" si="91"/>
        <v>358.67899999999997</v>
      </c>
      <c r="DQ42" s="1123">
        <f t="shared" si="91"/>
        <v>496.73300000000006</v>
      </c>
      <c r="DR42" s="1123">
        <f t="shared" si="91"/>
        <v>399.20400000000006</v>
      </c>
      <c r="DS42" s="1123">
        <f t="shared" si="91"/>
        <v>204</v>
      </c>
      <c r="DT42" s="1123">
        <f t="shared" si="91"/>
        <v>962</v>
      </c>
      <c r="DU42" s="1123">
        <f t="shared" si="91"/>
        <v>-502</v>
      </c>
      <c r="DV42" s="1123">
        <f t="shared" si="91"/>
        <v>729</v>
      </c>
      <c r="DW42" s="1123">
        <f t="shared" si="91"/>
        <v>1389</v>
      </c>
      <c r="DX42" s="1123">
        <f t="shared" si="91"/>
        <v>1092</v>
      </c>
      <c r="DY42" s="1123">
        <f t="shared" si="91"/>
        <v>1029</v>
      </c>
      <c r="DZ42" s="1123">
        <f t="shared" si="91"/>
        <v>1228</v>
      </c>
      <c r="EA42" s="1123">
        <f t="shared" si="91"/>
        <v>574</v>
      </c>
      <c r="EB42" s="1123">
        <f t="shared" si="91"/>
        <v>1591</v>
      </c>
      <c r="EC42" s="1123">
        <f t="shared" si="91"/>
        <v>446</v>
      </c>
      <c r="ED42" s="1123">
        <f t="shared" si="91"/>
        <v>2527</v>
      </c>
      <c r="EE42" s="1123">
        <f t="shared" si="91"/>
        <v>510</v>
      </c>
      <c r="EF42" s="733">
        <f t="shared" si="91"/>
        <v>2323</v>
      </c>
      <c r="EG42" s="1123">
        <f t="shared" si="91"/>
        <v>680</v>
      </c>
      <c r="EH42" s="1654">
        <f>SUM(EH29,EH32)</f>
        <v>547</v>
      </c>
      <c r="EI42" s="1654">
        <f>SUM(EI29,EI32)</f>
        <v>1374</v>
      </c>
      <c r="EJ42" s="1654">
        <f>SUM(EJ29,EJ32)</f>
        <v>673</v>
      </c>
      <c r="EK42" s="1654">
        <f t="shared" ref="EK42:ER42" si="92">EK29+EK32</f>
        <v>1977</v>
      </c>
      <c r="EL42" s="1654">
        <f t="shared" si="92"/>
        <v>1453</v>
      </c>
      <c r="EM42" s="1654">
        <f t="shared" ref="EM42" si="93">EM29+EM32</f>
        <v>1413.5227151914341</v>
      </c>
      <c r="EN42" s="1654">
        <f t="shared" si="92"/>
        <v>1607.7587981834081</v>
      </c>
      <c r="EO42" s="1654">
        <f t="shared" si="92"/>
        <v>1617.5706489257857</v>
      </c>
      <c r="EP42" s="1654">
        <f t="shared" si="92"/>
        <v>1636.9055129399171</v>
      </c>
      <c r="EQ42" s="1654">
        <f t="shared" si="92"/>
        <v>1714.5150030627065</v>
      </c>
      <c r="ER42" s="1654">
        <f t="shared" si="92"/>
        <v>1707.6301388843681</v>
      </c>
      <c r="ES42" s="1654">
        <f>ES29+ES32</f>
        <v>1703.1378081972873</v>
      </c>
      <c r="ET42" s="1654">
        <f>ET29+ET32</f>
        <v>1699.0790099847557</v>
      </c>
      <c r="EU42" s="1655">
        <f>EU29+EU32</f>
        <v>1706.7236545127748</v>
      </c>
      <c r="EV42" s="413"/>
      <c r="EW42"/>
      <c r="EX42"/>
      <c r="EY42"/>
      <c r="EZ42"/>
      <c r="FA42"/>
      <c r="FB42"/>
      <c r="FC42" s="4"/>
      <c r="FD42" s="4"/>
      <c r="FE42" s="4"/>
      <c r="FF42" s="4"/>
      <c r="FG42" s="1123"/>
      <c r="FH42" s="1123"/>
      <c r="FI42" s="2599"/>
      <c r="FJ42" s="2599"/>
      <c r="FK42" s="2599"/>
      <c r="FL42"/>
      <c r="FM42"/>
      <c r="FN42"/>
      <c r="FO42"/>
      <c r="FP42"/>
      <c r="FQ42"/>
      <c r="FR42"/>
      <c r="FS42"/>
      <c r="FT42"/>
      <c r="FU42"/>
      <c r="FV42"/>
      <c r="FW42"/>
      <c r="FX42"/>
      <c r="FY42"/>
      <c r="FZ42"/>
      <c r="GA42"/>
      <c r="GB42"/>
      <c r="GC42"/>
      <c r="GD42"/>
      <c r="GE42"/>
      <c r="GF42"/>
      <c r="GG42"/>
      <c r="GH42"/>
      <c r="GI42"/>
      <c r="GJ42"/>
      <c r="GK42"/>
      <c r="GL42"/>
      <c r="GM42"/>
      <c r="GN42"/>
      <c r="GO42"/>
      <c r="GP42"/>
      <c r="GQ42"/>
      <c r="GR42"/>
      <c r="GS42"/>
      <c r="GT42"/>
      <c r="GU42"/>
      <c r="GV42"/>
      <c r="GW42"/>
      <c r="GX42"/>
      <c r="GY42"/>
      <c r="GZ42"/>
      <c r="HA42"/>
      <c r="HB42"/>
      <c r="HC42"/>
      <c r="HD42"/>
      <c r="HE42"/>
      <c r="HF42"/>
      <c r="HG42"/>
      <c r="HH42"/>
      <c r="HI42"/>
      <c r="HJ42"/>
      <c r="HK42"/>
      <c r="HL42"/>
      <c r="HM42"/>
      <c r="HN42"/>
      <c r="HO42"/>
      <c r="HP42"/>
      <c r="HQ42"/>
      <c r="HR42"/>
      <c r="HS42"/>
      <c r="HT42"/>
      <c r="HU42"/>
      <c r="HV42"/>
      <c r="HW42"/>
      <c r="HX42"/>
      <c r="HY42"/>
      <c r="HZ42"/>
      <c r="IA42"/>
      <c r="IB42"/>
      <c r="IC42"/>
      <c r="ID42"/>
      <c r="IE42"/>
      <c r="IF42"/>
      <c r="IG42"/>
      <c r="IH42"/>
      <c r="II42"/>
      <c r="IJ42"/>
      <c r="IK42"/>
      <c r="IL42"/>
      <c r="IM42"/>
      <c r="IN42"/>
      <c r="IO42"/>
      <c r="IP42"/>
      <c r="IQ42"/>
      <c r="IR42"/>
      <c r="IS42"/>
      <c r="IT42"/>
      <c r="IU42"/>
      <c r="IV42"/>
      <c r="IW42"/>
      <c r="IX42"/>
      <c r="IY42"/>
      <c r="IZ42"/>
    </row>
    <row r="43" spans="1:260" s="4" customFormat="1" x14ac:dyDescent="0.2">
      <c r="A43" s="322"/>
      <c r="B43" s="63"/>
      <c r="C43" s="63"/>
      <c r="D43" s="63"/>
      <c r="E43" s="613"/>
      <c r="F43" s="63"/>
      <c r="G43" s="63"/>
      <c r="H43" s="63"/>
      <c r="I43" s="613"/>
      <c r="J43" s="63"/>
      <c r="K43" s="63"/>
      <c r="L43" s="63"/>
      <c r="M43" s="613"/>
      <c r="N43" s="63"/>
      <c r="O43" s="63"/>
      <c r="P43" s="63"/>
      <c r="Q43" s="613"/>
      <c r="R43" s="63"/>
      <c r="S43" s="63"/>
      <c r="T43" s="63"/>
      <c r="U43" s="613"/>
      <c r="V43" s="63"/>
      <c r="W43" s="63"/>
      <c r="X43" s="63"/>
      <c r="Y43" s="613"/>
      <c r="Z43" s="63"/>
      <c r="AA43" s="63"/>
      <c r="AB43" s="63"/>
      <c r="AC43" s="613"/>
      <c r="AD43" s="63"/>
      <c r="AE43" s="63"/>
      <c r="AF43" s="63"/>
      <c r="AG43" s="613"/>
      <c r="AH43" s="63"/>
      <c r="AI43" s="63"/>
      <c r="AJ43" s="63"/>
      <c r="AK43" s="613"/>
      <c r="AL43" s="63"/>
      <c r="AM43" s="63"/>
      <c r="AN43" s="63"/>
      <c r="AO43" s="613"/>
      <c r="AP43" s="63"/>
      <c r="AQ43" s="63"/>
      <c r="AR43" s="63"/>
      <c r="AS43" s="613"/>
      <c r="AT43" s="63"/>
      <c r="AU43" s="63"/>
      <c r="AV43" s="63"/>
      <c r="AW43" s="613"/>
      <c r="AX43" s="63"/>
      <c r="AY43" s="63"/>
      <c r="AZ43" s="63"/>
      <c r="BA43" s="613"/>
      <c r="BB43" s="63"/>
      <c r="BC43" s="63"/>
      <c r="BD43" s="148"/>
      <c r="BE43" s="613"/>
      <c r="BF43" s="63"/>
      <c r="BG43" s="63"/>
      <c r="BH43" s="63"/>
      <c r="BI43" s="613"/>
      <c r="BJ43" s="148"/>
      <c r="BK43" s="148"/>
      <c r="BL43" s="148"/>
      <c r="BM43" s="655"/>
      <c r="BN43" s="148"/>
      <c r="BO43" s="148"/>
      <c r="BP43" s="148"/>
      <c r="BQ43" s="655"/>
      <c r="BR43" s="148"/>
      <c r="BS43" s="148"/>
      <c r="BT43" s="148"/>
      <c r="BU43" s="655"/>
      <c r="BV43" s="148"/>
      <c r="BW43" s="63"/>
      <c r="BX43" s="63"/>
      <c r="BY43" s="655"/>
      <c r="BZ43" s="148"/>
      <c r="CA43" s="63"/>
      <c r="CB43" s="63"/>
      <c r="CC43" s="655"/>
      <c r="CD43" s="732"/>
      <c r="CE43" s="1095"/>
      <c r="CF43" s="1095"/>
      <c r="CG43" s="655"/>
      <c r="CH43" s="732"/>
      <c r="CI43" s="1095"/>
      <c r="CJ43" s="1095"/>
      <c r="CK43" s="655"/>
      <c r="CL43" s="1625"/>
      <c r="CM43" s="1626"/>
      <c r="CN43" s="1626"/>
      <c r="CO43" s="1627"/>
      <c r="CP43" s="1626"/>
      <c r="CQ43" s="1626"/>
      <c r="CR43" s="1626"/>
      <c r="CS43" s="655"/>
      <c r="CT43" s="1095"/>
      <c r="CU43" s="1095"/>
      <c r="CV43" s="1095"/>
      <c r="CW43" s="655"/>
      <c r="CX43" s="1676"/>
      <c r="CY43" s="1095"/>
      <c r="CZ43" s="1095"/>
      <c r="DA43" s="655"/>
      <c r="DB43" s="579"/>
      <c r="DC43" s="559"/>
      <c r="DD43" s="129"/>
      <c r="DE43" s="129"/>
      <c r="DF43" s="129"/>
      <c r="DG43" s="129"/>
      <c r="DH43" s="129"/>
      <c r="DI43" s="129"/>
      <c r="DJ43" s="129"/>
      <c r="DK43" s="129"/>
      <c r="DL43" s="63"/>
      <c r="DM43" s="63"/>
      <c r="DN43" s="63"/>
      <c r="DO43" s="63"/>
      <c r="DP43" s="63"/>
      <c r="DQ43" s="63"/>
      <c r="DR43" s="63"/>
      <c r="DS43" s="63"/>
      <c r="DT43" s="63"/>
      <c r="DU43" s="63"/>
      <c r="DV43" s="63"/>
      <c r="DW43" s="63"/>
      <c r="DX43" s="63"/>
      <c r="DY43" s="63"/>
      <c r="DZ43" s="29"/>
      <c r="EA43" s="73"/>
      <c r="EB43" s="73"/>
      <c r="EC43" s="73"/>
      <c r="ED43" s="73"/>
      <c r="EE43" s="63"/>
      <c r="EF43" s="677"/>
      <c r="EG43" s="65"/>
      <c r="EH43" s="65"/>
      <c r="EI43" s="65"/>
      <c r="EJ43" s="65"/>
      <c r="EK43" s="148"/>
      <c r="EL43" s="148"/>
      <c r="EM43" s="1695"/>
      <c r="EN43" s="1037"/>
      <c r="EO43" s="1037"/>
      <c r="EP43" s="1037"/>
      <c r="EQ43" s="1037"/>
      <c r="ER43" s="1037"/>
      <c r="ES43" s="1037"/>
      <c r="ET43" s="1037"/>
      <c r="EU43" s="613"/>
      <c r="EV43" s="413"/>
      <c r="EW43"/>
      <c r="EX43"/>
      <c r="EY43"/>
      <c r="EZ43"/>
      <c r="FA43"/>
      <c r="FB43"/>
      <c r="FG43" s="1095"/>
      <c r="FH43" s="1095"/>
      <c r="FI43" s="1095"/>
      <c r="FJ43" s="1095"/>
      <c r="FK43" s="1095"/>
      <c r="FL43"/>
      <c r="FM43"/>
      <c r="FN43"/>
      <c r="FO43"/>
      <c r="FP43"/>
      <c r="FQ43"/>
      <c r="FR43"/>
      <c r="FS43"/>
      <c r="FT43"/>
      <c r="FU43"/>
      <c r="FV43"/>
      <c r="FW43"/>
      <c r="FX43"/>
      <c r="FY43"/>
      <c r="FZ43"/>
      <c r="GA43"/>
      <c r="GB43"/>
      <c r="GC43"/>
      <c r="GD43"/>
      <c r="GE43"/>
      <c r="GF43"/>
      <c r="GG43"/>
      <c r="GH43"/>
      <c r="GI43"/>
      <c r="GJ43"/>
      <c r="GK43"/>
      <c r="GL43"/>
      <c r="GM43"/>
      <c r="GN43"/>
      <c r="GO43"/>
      <c r="GP43"/>
      <c r="GQ43"/>
      <c r="GR43"/>
      <c r="GS43"/>
      <c r="GT43"/>
      <c r="GU43"/>
      <c r="GV43"/>
      <c r="GW43"/>
      <c r="GX43"/>
      <c r="GY43"/>
      <c r="GZ43"/>
      <c r="HA43"/>
      <c r="HB43"/>
      <c r="HC43"/>
      <c r="HD43"/>
      <c r="HE43"/>
      <c r="HF43"/>
      <c r="HG43"/>
      <c r="HH43"/>
      <c r="HI43"/>
      <c r="HJ43"/>
      <c r="HK43"/>
      <c r="HL43"/>
      <c r="HM43"/>
      <c r="HN43"/>
      <c r="HO43"/>
      <c r="HP43"/>
      <c r="HQ43"/>
      <c r="HR43"/>
      <c r="HS43"/>
      <c r="HT43"/>
      <c r="HU43"/>
      <c r="HV43"/>
      <c r="HW43"/>
      <c r="HX43"/>
      <c r="HY43"/>
      <c r="HZ43"/>
      <c r="IA43"/>
      <c r="IB43"/>
      <c r="IC43"/>
      <c r="ID43"/>
      <c r="IE43"/>
      <c r="IF43"/>
      <c r="IG43"/>
      <c r="IH43"/>
      <c r="II43"/>
      <c r="IJ43"/>
      <c r="IK43"/>
      <c r="IL43"/>
      <c r="IM43"/>
      <c r="IN43"/>
      <c r="IO43"/>
      <c r="IP43"/>
      <c r="IQ43"/>
      <c r="IR43"/>
      <c r="IS43"/>
      <c r="IT43"/>
      <c r="IU43"/>
      <c r="IV43"/>
      <c r="IW43"/>
      <c r="IX43"/>
      <c r="IY43"/>
      <c r="IZ43"/>
    </row>
    <row r="44" spans="1:260" s="4" customFormat="1" x14ac:dyDescent="0.2">
      <c r="A44" s="323" t="s">
        <v>142</v>
      </c>
      <c r="B44" s="63"/>
      <c r="C44" s="63"/>
      <c r="D44" s="63"/>
      <c r="E44" s="613"/>
      <c r="F44" s="63"/>
      <c r="G44" s="63"/>
      <c r="H44" s="63"/>
      <c r="I44" s="613"/>
      <c r="J44" s="63"/>
      <c r="K44" s="63"/>
      <c r="L44" s="63"/>
      <c r="M44" s="613"/>
      <c r="N44" s="63"/>
      <c r="O44" s="63"/>
      <c r="P44" s="63"/>
      <c r="Q44" s="613"/>
      <c r="R44" s="63"/>
      <c r="S44" s="63"/>
      <c r="T44" s="63"/>
      <c r="U44" s="613"/>
      <c r="V44" s="63"/>
      <c r="W44" s="63"/>
      <c r="X44" s="63"/>
      <c r="Y44" s="613"/>
      <c r="Z44" s="63"/>
      <c r="AA44" s="63"/>
      <c r="AB44" s="63"/>
      <c r="AC44" s="613"/>
      <c r="AD44" s="63"/>
      <c r="AE44" s="63"/>
      <c r="AF44" s="63"/>
      <c r="AG44" s="613"/>
      <c r="AH44" s="63"/>
      <c r="AI44" s="63"/>
      <c r="AJ44" s="63"/>
      <c r="AK44" s="613"/>
      <c r="AL44" s="63"/>
      <c r="AM44" s="63"/>
      <c r="AN44" s="63"/>
      <c r="AO44" s="613"/>
      <c r="AP44" s="63"/>
      <c r="AQ44" s="63"/>
      <c r="AR44" s="63"/>
      <c r="AS44" s="613"/>
      <c r="AT44" s="63"/>
      <c r="AU44" s="63"/>
      <c r="AV44" s="63"/>
      <c r="AW44" s="613"/>
      <c r="AX44" s="63"/>
      <c r="AY44" s="63"/>
      <c r="AZ44" s="63"/>
      <c r="BA44" s="613"/>
      <c r="BB44" s="63"/>
      <c r="BC44" s="63"/>
      <c r="BD44" s="148"/>
      <c r="BE44" s="613"/>
      <c r="BF44" s="63"/>
      <c r="BG44" s="63"/>
      <c r="BH44" s="63"/>
      <c r="BI44" s="470"/>
      <c r="BJ44" s="148"/>
      <c r="BK44" s="148"/>
      <c r="BL44" s="148"/>
      <c r="BM44" s="655"/>
      <c r="BN44" s="148"/>
      <c r="BO44" s="148"/>
      <c r="BP44" s="148"/>
      <c r="BQ44" s="655"/>
      <c r="BR44" s="148"/>
      <c r="BS44" s="148"/>
      <c r="BT44" s="148"/>
      <c r="BU44" s="655"/>
      <c r="BV44" s="148"/>
      <c r="BW44" s="63"/>
      <c r="BX44" s="63"/>
      <c r="BY44" s="655"/>
      <c r="BZ44" s="148"/>
      <c r="CA44" s="63"/>
      <c r="CB44" s="63"/>
      <c r="CC44" s="655"/>
      <c r="CD44" s="732"/>
      <c r="CE44" s="1095"/>
      <c r="CF44" s="1095"/>
      <c r="CG44" s="655"/>
      <c r="CH44" s="732"/>
      <c r="CI44" s="1095"/>
      <c r="CJ44" s="1095"/>
      <c r="CK44" s="655"/>
      <c r="CL44" s="1625"/>
      <c r="CM44" s="1626"/>
      <c r="CN44" s="1626"/>
      <c r="CO44" s="1627"/>
      <c r="CP44" s="1626"/>
      <c r="CQ44" s="1626"/>
      <c r="CR44" s="1626"/>
      <c r="CS44" s="655"/>
      <c r="CT44" s="1095"/>
      <c r="CU44" s="1095"/>
      <c r="CV44" s="1095"/>
      <c r="CW44" s="655"/>
      <c r="CX44" s="1676"/>
      <c r="CY44" s="1095"/>
      <c r="CZ44" s="1095"/>
      <c r="DA44" s="655"/>
      <c r="DB44" s="732"/>
      <c r="DC44" s="655"/>
      <c r="DD44" s="129"/>
      <c r="DE44" s="129"/>
      <c r="DF44" s="129"/>
      <c r="DG44" s="129"/>
      <c r="DH44" s="129"/>
      <c r="DI44" s="129"/>
      <c r="DJ44" s="129"/>
      <c r="DK44" s="129"/>
      <c r="DL44" s="63"/>
      <c r="DM44" s="63"/>
      <c r="DN44" s="63"/>
      <c r="DO44" s="63"/>
      <c r="DP44" s="63"/>
      <c r="DQ44" s="63"/>
      <c r="DR44" s="63"/>
      <c r="DS44" s="63"/>
      <c r="DT44" s="63"/>
      <c r="DU44" s="63"/>
      <c r="DV44" s="63"/>
      <c r="DW44" s="63"/>
      <c r="DX44" s="63"/>
      <c r="DY44" s="63"/>
      <c r="DZ44" s="63"/>
      <c r="EA44" s="148"/>
      <c r="EB44" s="148"/>
      <c r="EC44" s="148"/>
      <c r="ED44" s="148"/>
      <c r="EE44" s="63"/>
      <c r="EF44" s="677"/>
      <c r="EG44" s="1095"/>
      <c r="EH44" s="1095"/>
      <c r="EI44" s="1095"/>
      <c r="EJ44" s="1095"/>
      <c r="EK44" s="148"/>
      <c r="EL44" s="148"/>
      <c r="EM44" s="1695"/>
      <c r="EN44" s="1037"/>
      <c r="EO44" s="1037"/>
      <c r="EP44" s="1037"/>
      <c r="EQ44" s="1037"/>
      <c r="ER44" s="1037"/>
      <c r="ES44" s="1037"/>
      <c r="ET44" s="1037"/>
      <c r="EU44" s="613"/>
      <c r="EV44" s="413"/>
      <c r="EW44"/>
      <c r="EX44"/>
      <c r="EY44"/>
      <c r="EZ44"/>
      <c r="FA44"/>
      <c r="FB44"/>
      <c r="FG44" s="1095"/>
      <c r="FH44" s="1095"/>
      <c r="FI44" s="1095"/>
      <c r="FJ44" s="1095"/>
      <c r="FK44" s="1095"/>
      <c r="FL44"/>
      <c r="FM44"/>
      <c r="FN44"/>
      <c r="FO44"/>
      <c r="FP44"/>
      <c r="FQ44"/>
      <c r="FR44"/>
      <c r="FS44"/>
      <c r="FT44"/>
      <c r="FU44"/>
      <c r="FV44"/>
      <c r="FW44"/>
      <c r="FX44"/>
      <c r="FY44"/>
      <c r="FZ44"/>
      <c r="GA44"/>
      <c r="GB44"/>
      <c r="GC44"/>
      <c r="GD44"/>
      <c r="GE44"/>
      <c r="GF44"/>
      <c r="GG44"/>
      <c r="GH44"/>
      <c r="GI44"/>
      <c r="GJ44"/>
      <c r="GK44"/>
      <c r="GL44"/>
      <c r="GM44"/>
      <c r="GN44"/>
      <c r="GO44"/>
      <c r="GP44"/>
      <c r="GQ44"/>
      <c r="GR44"/>
      <c r="GS44"/>
      <c r="GT44"/>
      <c r="GU44"/>
      <c r="GV44"/>
      <c r="GW44"/>
      <c r="GX44"/>
      <c r="GY44"/>
      <c r="GZ44"/>
      <c r="HA44"/>
      <c r="HB44"/>
      <c r="HC44"/>
      <c r="HD44"/>
      <c r="HE44"/>
      <c r="HF44"/>
      <c r="HG44"/>
      <c r="HH44"/>
      <c r="HI44"/>
      <c r="HJ44"/>
      <c r="HK44"/>
      <c r="HL44"/>
      <c r="HM44"/>
      <c r="HN44"/>
      <c r="HO44"/>
      <c r="HP44"/>
      <c r="HQ44"/>
      <c r="HR44"/>
      <c r="HS44"/>
      <c r="HT44"/>
      <c r="HU44"/>
      <c r="HV44"/>
      <c r="HW44"/>
      <c r="HX44"/>
      <c r="HY44"/>
      <c r="HZ44"/>
      <c r="IA44"/>
      <c r="IB44"/>
      <c r="IC44"/>
      <c r="ID44"/>
      <c r="IE44"/>
      <c r="IF44"/>
      <c r="IG44"/>
      <c r="IH44"/>
      <c r="II44"/>
      <c r="IJ44"/>
      <c r="IK44"/>
      <c r="IL44"/>
      <c r="IM44"/>
      <c r="IN44"/>
      <c r="IO44"/>
      <c r="IP44"/>
      <c r="IQ44"/>
      <c r="IR44"/>
      <c r="IS44"/>
      <c r="IT44"/>
      <c r="IU44"/>
      <c r="IV44"/>
      <c r="IW44"/>
      <c r="IX44"/>
      <c r="IY44"/>
      <c r="IZ44"/>
    </row>
    <row r="45" spans="1:260" s="4" customFormat="1" x14ac:dyDescent="0.2">
      <c r="A45" s="179" t="s">
        <v>532</v>
      </c>
      <c r="B45" s="873">
        <v>82.602999999999994</v>
      </c>
      <c r="C45" s="873">
        <f>86.513-B45</f>
        <v>3.9100000000000108</v>
      </c>
      <c r="D45" s="873">
        <v>0.98199999999999932</v>
      </c>
      <c r="E45" s="874">
        <v>-0.98199999999999998</v>
      </c>
      <c r="F45" s="983">
        <v>1.9239999999999999</v>
      </c>
      <c r="G45" s="983">
        <f>4.361-F45</f>
        <v>2.4369999999999998</v>
      </c>
      <c r="H45" s="983">
        <v>1.8770000000000007</v>
      </c>
      <c r="I45" s="984">
        <v>-3.8720000000000003</v>
      </c>
      <c r="J45" s="983">
        <v>1.6120000000000001</v>
      </c>
      <c r="K45" s="983">
        <v>0.70199999999999996</v>
      </c>
      <c r="L45" s="983">
        <v>0.29400000000000004</v>
      </c>
      <c r="M45" s="984">
        <v>0.52500000000000002</v>
      </c>
      <c r="N45" s="983">
        <v>1.244</v>
      </c>
      <c r="O45" s="983">
        <v>0.92500000000000004</v>
      </c>
      <c r="P45" s="983">
        <v>0.48599999999999977</v>
      </c>
      <c r="Q45" s="984">
        <v>8.5000000000000409E-2</v>
      </c>
      <c r="R45" s="983">
        <v>3.387</v>
      </c>
      <c r="S45" s="983">
        <v>9.2999999999999972E-2</v>
      </c>
      <c r="T45" s="983">
        <v>0.99299999999999988</v>
      </c>
      <c r="U45" s="984">
        <v>10.396000000000001</v>
      </c>
      <c r="V45" s="983">
        <v>6.165</v>
      </c>
      <c r="W45" s="983">
        <v>3.9249999999999998</v>
      </c>
      <c r="X45" s="983">
        <v>-0.40399999999999991</v>
      </c>
      <c r="Y45" s="984">
        <v>8.4959999999999987</v>
      </c>
      <c r="Z45" s="983">
        <f>-52.438+9.14</f>
        <v>-43.298000000000002</v>
      </c>
      <c r="AA45" s="983">
        <f>(-97.54+27.125)-Z45</f>
        <v>-27.117000000000004</v>
      </c>
      <c r="AB45" s="983">
        <f>-158.704+29.832-SUM(Z45:AA45)</f>
        <v>-58.457000000000008</v>
      </c>
      <c r="AC45" s="984">
        <f>DR45-SUM(Z45:AB45)</f>
        <v>-236.35000000000002</v>
      </c>
      <c r="AD45" s="983">
        <v>226</v>
      </c>
      <c r="AE45" s="983">
        <f>231-AD45</f>
        <v>5</v>
      </c>
      <c r="AF45" s="983">
        <f>233-SUM(AD45:AE45)</f>
        <v>2</v>
      </c>
      <c r="AG45" s="984">
        <f>DS45-SUM(AD45:AF45)</f>
        <v>2</v>
      </c>
      <c r="AH45" s="983">
        <v>19</v>
      </c>
      <c r="AI45" s="983">
        <f>29-AH45</f>
        <v>10</v>
      </c>
      <c r="AJ45" s="983">
        <f>36-SUM(AH45:AI45)</f>
        <v>7</v>
      </c>
      <c r="AK45" s="984">
        <f>DT45-SUM(AH45:AJ45)</f>
        <v>12</v>
      </c>
      <c r="AL45" s="983">
        <v>36</v>
      </c>
      <c r="AM45" s="983">
        <v>36</v>
      </c>
      <c r="AN45" s="983">
        <v>3</v>
      </c>
      <c r="AO45" s="984">
        <f>DU45-SUM(AL45:AN45)</f>
        <v>-35</v>
      </c>
      <c r="AP45" s="983">
        <v>5</v>
      </c>
      <c r="AQ45" s="983">
        <f>36-AP45</f>
        <v>31</v>
      </c>
      <c r="AR45" s="983">
        <f>94-60-AQ45-AP45</f>
        <v>-2</v>
      </c>
      <c r="AS45" s="984">
        <f>DV45-SUM(AP45:AR45)</f>
        <v>-20</v>
      </c>
      <c r="AT45" s="983">
        <f>-82+69</f>
        <v>-13</v>
      </c>
      <c r="AU45" s="983">
        <f>-150+100-AT45</f>
        <v>-37</v>
      </c>
      <c r="AV45" s="983">
        <f>229-174-AT45-AU45</f>
        <v>105</v>
      </c>
      <c r="AW45" s="984">
        <f>DW45-SUM(AT45:AV45)</f>
        <v>1</v>
      </c>
      <c r="AX45" s="983">
        <f>-207+31</f>
        <v>-176</v>
      </c>
      <c r="AY45" s="983">
        <f>-262+187-AX45</f>
        <v>101</v>
      </c>
      <c r="AZ45" s="983">
        <f>-434+228-AY45-AX45</f>
        <v>-131</v>
      </c>
      <c r="BA45" s="984">
        <f>DX45-SUM(AX45:AZ45)</f>
        <v>-274</v>
      </c>
      <c r="BB45" s="983">
        <f>89-238</f>
        <v>-149</v>
      </c>
      <c r="BC45" s="983">
        <f>-462+117-BB45</f>
        <v>-196</v>
      </c>
      <c r="BD45" s="983">
        <f>-484+191-SUM(BB45:BC45)</f>
        <v>52</v>
      </c>
      <c r="BE45" s="984">
        <f>DY45-SUM(BB45:BD45)</f>
        <v>-89</v>
      </c>
      <c r="BF45" s="983">
        <f>-412+42</f>
        <v>-370</v>
      </c>
      <c r="BG45" s="983">
        <f>-3461+59-BF45</f>
        <v>-3032</v>
      </c>
      <c r="BH45" s="983">
        <f>-3461+110-BG45-BF45</f>
        <v>51</v>
      </c>
      <c r="BI45" s="984">
        <f>DZ45-BF45-BG45-BH45</f>
        <v>36</v>
      </c>
      <c r="BJ45" s="873">
        <v>35</v>
      </c>
      <c r="BK45" s="873">
        <f>46-BJ45</f>
        <v>11</v>
      </c>
      <c r="BL45" s="873">
        <f>78-BJ45-BK45</f>
        <v>32</v>
      </c>
      <c r="BM45" s="874">
        <f>EA45-BJ45-BK45-BL45</f>
        <v>5</v>
      </c>
      <c r="BN45" s="898">
        <v>71</v>
      </c>
      <c r="BO45" s="898">
        <f>77-BN45</f>
        <v>6</v>
      </c>
      <c r="BP45" s="898">
        <f>120-BN45-BO45</f>
        <v>43</v>
      </c>
      <c r="BQ45" s="909">
        <f>EB45-BN45-BO45-BP45</f>
        <v>18</v>
      </c>
      <c r="BR45" s="873">
        <v>110</v>
      </c>
      <c r="BS45" s="873">
        <f>113-BR45</f>
        <v>3</v>
      </c>
      <c r="BT45" s="873">
        <f>171-BR45-BS45</f>
        <v>58</v>
      </c>
      <c r="BU45" s="874">
        <f>EC45-BR45-BS45-BT45</f>
        <v>8</v>
      </c>
      <c r="BV45" s="873">
        <v>46</v>
      </c>
      <c r="BW45" s="873">
        <f>49-BV45</f>
        <v>3</v>
      </c>
      <c r="BX45" s="873">
        <f>64-BW45-BV45</f>
        <v>15</v>
      </c>
      <c r="BY45" s="874">
        <f>ED45-BV45-BW45-BX45</f>
        <v>3</v>
      </c>
      <c r="BZ45" s="873">
        <v>13</v>
      </c>
      <c r="CA45" s="873">
        <f>15-BZ45</f>
        <v>2</v>
      </c>
      <c r="CB45" s="873">
        <f>26-CA45-BZ45</f>
        <v>11</v>
      </c>
      <c r="CC45" s="874">
        <f>EG45-BZ45-CA45-CB45</f>
        <v>1</v>
      </c>
      <c r="CD45" s="1062">
        <v>9</v>
      </c>
      <c r="CE45" s="947">
        <f>22-CD45</f>
        <v>13</v>
      </c>
      <c r="CF45" s="947">
        <f>147-CE45-CD45</f>
        <v>125</v>
      </c>
      <c r="CG45" s="909">
        <f>171-CD45-CE45-CF45</f>
        <v>24</v>
      </c>
      <c r="CH45" s="1386">
        <v>9</v>
      </c>
      <c r="CI45" s="830">
        <f>0-CH45</f>
        <v>-9</v>
      </c>
      <c r="CJ45" s="1460">
        <f>0-CI45-CH45</f>
        <v>0</v>
      </c>
      <c r="CK45" s="828">
        <f t="shared" ref="CK45:CK53" si="94">+EI45-SUM(CH45:CJ45)</f>
        <v>0</v>
      </c>
      <c r="CL45" s="1631">
        <v>25</v>
      </c>
      <c r="CM45" s="1447">
        <f>28-CL45</f>
        <v>3</v>
      </c>
      <c r="CN45" s="1447">
        <f>44-SUM(CL45:CM45)</f>
        <v>16</v>
      </c>
      <c r="CO45" s="1448">
        <f t="shared" ref="CO45:CO53" si="95">+EJ45-SUM(CL45:CN45)</f>
        <v>-44</v>
      </c>
      <c r="CP45" s="1447">
        <v>21</v>
      </c>
      <c r="CQ45" s="1447">
        <f>23-CP45</f>
        <v>2</v>
      </c>
      <c r="CR45" s="1447">
        <f>66-SUM(CP45:CQ45)</f>
        <v>43</v>
      </c>
      <c r="CS45" s="1448">
        <f t="shared" ref="CS45:CS53" si="96">+EK45-CR45-CQ45-CP45</f>
        <v>-66</v>
      </c>
      <c r="CT45" s="1447">
        <v>75</v>
      </c>
      <c r="CU45" s="1447">
        <f>125-CT45</f>
        <v>50</v>
      </c>
      <c r="CV45" s="1447">
        <f>145-CU45-CT45</f>
        <v>20</v>
      </c>
      <c r="CW45" s="1448">
        <f t="shared" ref="CW45:CW53" si="97">+EL45-SUM(CT45:CV45)</f>
        <v>-145</v>
      </c>
      <c r="CX45" s="2752">
        <v>0</v>
      </c>
      <c r="CY45" s="1653">
        <v>0</v>
      </c>
      <c r="CZ45" s="1653">
        <v>0</v>
      </c>
      <c r="DA45" s="1611">
        <v>0</v>
      </c>
      <c r="DB45" s="667"/>
      <c r="DC45" s="524"/>
      <c r="DD45" s="47">
        <v>7.9109999999999996</v>
      </c>
      <c r="DE45" s="47">
        <v>33.630000000000003</v>
      </c>
      <c r="DF45" s="47">
        <v>-0.34799999999999998</v>
      </c>
      <c r="DG45" s="47">
        <v>0.17199999999999999</v>
      </c>
      <c r="DH45" s="47">
        <v>6.8000000000000005E-2</v>
      </c>
      <c r="DI45" s="47">
        <v>4.8000000000000001E-2</v>
      </c>
      <c r="DJ45" s="47">
        <v>91.225999999999999</v>
      </c>
      <c r="DK45" s="47">
        <v>4.8600000000000003</v>
      </c>
      <c r="DL45" s="873">
        <f>+E45+D45+C45+B45</f>
        <v>86.513000000000005</v>
      </c>
      <c r="DM45" s="983">
        <f>+F45+G45+H45+I45</f>
        <v>2.3660000000000001</v>
      </c>
      <c r="DN45" s="983">
        <f>+J45+K45+L45+M45</f>
        <v>3.133</v>
      </c>
      <c r="DO45" s="983">
        <f>+N45+O45+P45+Q45</f>
        <v>2.74</v>
      </c>
      <c r="DP45" s="983">
        <f>+R45+S45+T45+U45</f>
        <v>14.869</v>
      </c>
      <c r="DQ45" s="983">
        <f>+V45+W45+X45+Y45</f>
        <v>18.181999999999999</v>
      </c>
      <c r="DR45" s="983">
        <f>(32.229-397.451)</f>
        <v>-365.22200000000004</v>
      </c>
      <c r="DS45" s="983">
        <v>235</v>
      </c>
      <c r="DT45" s="983">
        <v>48</v>
      </c>
      <c r="DU45" s="983">
        <v>40</v>
      </c>
      <c r="DV45" s="983">
        <f>114-100</f>
        <v>14</v>
      </c>
      <c r="DW45" s="983">
        <f>256-200</f>
        <v>56</v>
      </c>
      <c r="DX45" s="983">
        <f>-772+292</f>
        <v>-480</v>
      </c>
      <c r="DY45" s="983">
        <f>-599+217</f>
        <v>-382</v>
      </c>
      <c r="DZ45" s="983">
        <f>-3461+146</f>
        <v>-3315</v>
      </c>
      <c r="EA45" s="873">
        <v>83</v>
      </c>
      <c r="EB45" s="915">
        <f>138</f>
        <v>138</v>
      </c>
      <c r="EC45" s="873">
        <v>179</v>
      </c>
      <c r="ED45" s="915">
        <v>67</v>
      </c>
      <c r="EE45" s="898">
        <v>0</v>
      </c>
      <c r="EF45" s="917">
        <v>0</v>
      </c>
      <c r="EG45" s="920">
        <v>27</v>
      </c>
      <c r="EH45" s="829">
        <f t="shared" ref="EH45:EH53" si="98">SUM(CD45:CG45)</f>
        <v>171</v>
      </c>
      <c r="EI45" s="829">
        <v>0</v>
      </c>
      <c r="EJ45" s="829">
        <v>0</v>
      </c>
      <c r="EK45" s="56">
        <v>0</v>
      </c>
      <c r="EL45" s="56">
        <v>0</v>
      </c>
      <c r="EM45" s="1696">
        <f>SUM(CX45:DA45)</f>
        <v>0</v>
      </c>
      <c r="EN45" s="830">
        <v>0</v>
      </c>
      <c r="EO45" s="830">
        <v>0</v>
      </c>
      <c r="EP45" s="830">
        <v>0</v>
      </c>
      <c r="EQ45" s="830">
        <v>0</v>
      </c>
      <c r="ER45" s="830">
        <v>0</v>
      </c>
      <c r="ES45" s="830">
        <v>0</v>
      </c>
      <c r="ET45" s="830">
        <v>0</v>
      </c>
      <c r="EU45" s="828">
        <v>0</v>
      </c>
      <c r="EV45" s="413"/>
      <c r="EW45"/>
      <c r="EX45"/>
      <c r="EY45"/>
      <c r="EZ45"/>
      <c r="FA45"/>
      <c r="FB45"/>
      <c r="FG45" s="830"/>
      <c r="FH45" s="830"/>
      <c r="FI45" s="830"/>
      <c r="FJ45" s="830"/>
      <c r="FK45" s="830"/>
      <c r="FL45"/>
      <c r="FM45"/>
      <c r="FN45"/>
      <c r="FO45"/>
      <c r="FP45"/>
      <c r="FQ45"/>
      <c r="FR45"/>
      <c r="FS45"/>
      <c r="FT45"/>
      <c r="FU45"/>
      <c r="FV45"/>
      <c r="FW45"/>
      <c r="FX45"/>
      <c r="FY45"/>
      <c r="FZ45"/>
      <c r="GA45"/>
      <c r="GB45"/>
      <c r="GC45"/>
      <c r="GD45"/>
      <c r="GE45"/>
      <c r="GF45"/>
      <c r="GG45"/>
      <c r="GH45"/>
      <c r="GI45"/>
      <c r="GJ45"/>
      <c r="GK45"/>
      <c r="GL45"/>
      <c r="GM45"/>
      <c r="GN45"/>
      <c r="GO45"/>
      <c r="GP45"/>
      <c r="GQ45"/>
      <c r="GR45"/>
      <c r="GS45"/>
      <c r="GT45"/>
      <c r="GU45"/>
      <c r="GV45"/>
      <c r="GW45"/>
      <c r="GX45"/>
      <c r="GY45"/>
      <c r="GZ45"/>
      <c r="HA45"/>
      <c r="HB45"/>
      <c r="HC45"/>
      <c r="HD45"/>
      <c r="HE45"/>
      <c r="HF45"/>
      <c r="HG45"/>
      <c r="HH45"/>
      <c r="HI45"/>
      <c r="HJ45"/>
      <c r="HK45"/>
      <c r="HL45"/>
      <c r="HM45"/>
      <c r="HN45"/>
      <c r="HO45"/>
      <c r="HP45"/>
      <c r="HQ45"/>
      <c r="HR45"/>
      <c r="HS45"/>
      <c r="HT45"/>
      <c r="HU45"/>
      <c r="HV45"/>
      <c r="HW45"/>
      <c r="HX45"/>
      <c r="HY45"/>
      <c r="HZ45"/>
      <c r="IA45"/>
      <c r="IB45"/>
      <c r="IC45"/>
      <c r="ID45"/>
      <c r="IE45"/>
      <c r="IF45"/>
      <c r="IG45"/>
      <c r="IH45"/>
      <c r="II45"/>
      <c r="IJ45"/>
      <c r="IK45"/>
      <c r="IL45"/>
      <c r="IM45"/>
      <c r="IN45"/>
      <c r="IO45"/>
      <c r="IP45"/>
      <c r="IQ45"/>
      <c r="IR45"/>
      <c r="IS45"/>
      <c r="IT45"/>
      <c r="IU45"/>
      <c r="IV45"/>
      <c r="IW45"/>
      <c r="IX45"/>
      <c r="IY45"/>
      <c r="IZ45"/>
    </row>
    <row r="46" spans="1:260" s="4" customFormat="1" x14ac:dyDescent="0.2">
      <c r="A46" s="179" t="s">
        <v>533</v>
      </c>
      <c r="B46" s="983"/>
      <c r="C46" s="983"/>
      <c r="D46" s="983"/>
      <c r="E46" s="984"/>
      <c r="F46" s="983"/>
      <c r="G46" s="983"/>
      <c r="H46" s="983"/>
      <c r="I46" s="984"/>
      <c r="J46" s="983"/>
      <c r="K46" s="983"/>
      <c r="L46" s="983"/>
      <c r="M46" s="984"/>
      <c r="N46" s="983"/>
      <c r="O46" s="983"/>
      <c r="P46" s="983"/>
      <c r="Q46" s="984"/>
      <c r="R46" s="983"/>
      <c r="S46" s="983"/>
      <c r="T46" s="983"/>
      <c r="U46" s="984"/>
      <c r="V46" s="983"/>
      <c r="W46" s="983"/>
      <c r="X46" s="983"/>
      <c r="Y46" s="984"/>
      <c r="Z46" s="983"/>
      <c r="AA46" s="983"/>
      <c r="AB46" s="983"/>
      <c r="AC46" s="984"/>
      <c r="AD46" s="983"/>
      <c r="AE46" s="983"/>
      <c r="AF46" s="983"/>
      <c r="AG46" s="984"/>
      <c r="AH46" s="983"/>
      <c r="AI46" s="983"/>
      <c r="AJ46" s="983"/>
      <c r="AK46" s="984"/>
      <c r="AL46" s="983"/>
      <c r="AM46" s="983"/>
      <c r="AN46" s="983"/>
      <c r="AO46" s="984"/>
      <c r="AP46" s="983"/>
      <c r="AQ46" s="983"/>
      <c r="AR46" s="983"/>
      <c r="AS46" s="984"/>
      <c r="AT46" s="983"/>
      <c r="AU46" s="983"/>
      <c r="AV46" s="983"/>
      <c r="AW46" s="984"/>
      <c r="AX46" s="983"/>
      <c r="AY46" s="983"/>
      <c r="AZ46" s="983"/>
      <c r="BA46" s="984"/>
      <c r="BB46" s="983"/>
      <c r="BC46" s="983"/>
      <c r="BD46" s="983"/>
      <c r="BE46" s="984"/>
      <c r="BF46" s="983"/>
      <c r="BG46" s="983"/>
      <c r="BH46" s="983"/>
      <c r="BI46" s="984"/>
      <c r="BJ46" s="873">
        <v>0</v>
      </c>
      <c r="BK46" s="873">
        <v>0</v>
      </c>
      <c r="BL46" s="873">
        <v>0</v>
      </c>
      <c r="BM46" s="874">
        <f>EA46-BJ46-BK46-BL46</f>
        <v>0</v>
      </c>
      <c r="BN46" s="898">
        <v>0</v>
      </c>
      <c r="BO46" s="898">
        <v>0</v>
      </c>
      <c r="BP46" s="898">
        <v>0</v>
      </c>
      <c r="BQ46" s="909">
        <f>EB46-BN46-BO46-BP46</f>
        <v>0</v>
      </c>
      <c r="BR46" s="873">
        <v>-111</v>
      </c>
      <c r="BS46" s="873">
        <f>-667-BR46</f>
        <v>-556</v>
      </c>
      <c r="BT46" s="873">
        <f>-1128-BS46-BR46</f>
        <v>-461</v>
      </c>
      <c r="BU46" s="874">
        <f>EC46-BR46-BS46-BT46</f>
        <v>-65</v>
      </c>
      <c r="BV46" s="873">
        <v>-480</v>
      </c>
      <c r="BW46" s="873">
        <f>-846-BV46</f>
        <v>-366</v>
      </c>
      <c r="BX46" s="873">
        <f>-1165-BW46-BV46</f>
        <v>-319</v>
      </c>
      <c r="BY46" s="874">
        <f>ED46-BV46-BW46-BX46</f>
        <v>-335</v>
      </c>
      <c r="BZ46" s="873">
        <v>-132</v>
      </c>
      <c r="CA46" s="873">
        <f>-255-BZ46</f>
        <v>-123</v>
      </c>
      <c r="CB46" s="873">
        <f>-255-CA46-BZ46</f>
        <v>0</v>
      </c>
      <c r="CC46" s="874">
        <f>EG46-BZ46-CA46-CB46</f>
        <v>0</v>
      </c>
      <c r="CD46" s="917">
        <v>0</v>
      </c>
      <c r="CE46" s="910">
        <f>0-CD46</f>
        <v>0</v>
      </c>
      <c r="CF46" s="910">
        <f>0-CE46</f>
        <v>0</v>
      </c>
      <c r="CG46" s="909">
        <v>0</v>
      </c>
      <c r="CH46" s="1386">
        <v>0</v>
      </c>
      <c r="CI46" s="830">
        <v>0</v>
      </c>
      <c r="CJ46" s="830">
        <v>0</v>
      </c>
      <c r="CK46" s="828">
        <f t="shared" si="94"/>
        <v>0</v>
      </c>
      <c r="CL46" s="1631">
        <v>0</v>
      </c>
      <c r="CM46" s="1447">
        <f>-321-CL46</f>
        <v>-321</v>
      </c>
      <c r="CN46" s="1447">
        <f>-385-SUM(CL46:CM46)</f>
        <v>-64</v>
      </c>
      <c r="CO46" s="1448">
        <f t="shared" si="95"/>
        <v>-670</v>
      </c>
      <c r="CP46" s="1447">
        <v>-52</v>
      </c>
      <c r="CQ46" s="1447">
        <f>-271-CP46</f>
        <v>-219</v>
      </c>
      <c r="CR46" s="1447">
        <f>-472-SUM(CP46:CQ46)</f>
        <v>-201</v>
      </c>
      <c r="CS46" s="1448">
        <f t="shared" si="96"/>
        <v>-226</v>
      </c>
      <c r="CT46" s="1447">
        <v>-373</v>
      </c>
      <c r="CU46" s="1447">
        <f>-771-CT46</f>
        <v>-398</v>
      </c>
      <c r="CV46" s="1447">
        <f>+-1138-CU46-CT46</f>
        <v>-367</v>
      </c>
      <c r="CW46" s="1448">
        <f t="shared" si="97"/>
        <v>-866</v>
      </c>
      <c r="CX46" s="1698">
        <f>-'Income Statement'!DJ69</f>
        <v>-650</v>
      </c>
      <c r="CY46" s="830">
        <f>-'Income Statement'!DK69</f>
        <v>-250</v>
      </c>
      <c r="CZ46" s="830">
        <f>-'Income Statement'!DL69</f>
        <v>-250</v>
      </c>
      <c r="DA46" s="828">
        <f>-'Income Statement'!DM69</f>
        <v>-350</v>
      </c>
      <c r="DB46" s="667"/>
      <c r="DC46" s="524"/>
      <c r="DD46" s="47">
        <v>0</v>
      </c>
      <c r="DE46" s="47">
        <v>0</v>
      </c>
      <c r="DF46" s="47">
        <v>0</v>
      </c>
      <c r="DG46" s="47">
        <v>0</v>
      </c>
      <c r="DH46" s="47">
        <v>0</v>
      </c>
      <c r="DI46" s="47">
        <v>0</v>
      </c>
      <c r="DJ46" s="47">
        <v>0</v>
      </c>
      <c r="DK46" s="47">
        <v>0</v>
      </c>
      <c r="DL46" s="47">
        <v>0</v>
      </c>
      <c r="DM46" s="47">
        <v>0</v>
      </c>
      <c r="DN46" s="47">
        <v>0</v>
      </c>
      <c r="DO46" s="47">
        <v>0</v>
      </c>
      <c r="DP46" s="47">
        <v>0</v>
      </c>
      <c r="DQ46" s="47">
        <v>0</v>
      </c>
      <c r="DR46" s="47">
        <v>0</v>
      </c>
      <c r="DS46" s="47">
        <v>0</v>
      </c>
      <c r="DT46" s="47">
        <v>0</v>
      </c>
      <c r="DU46" s="47">
        <v>0</v>
      </c>
      <c r="DV46" s="47">
        <v>0</v>
      </c>
      <c r="DW46" s="47">
        <v>0</v>
      </c>
      <c r="DX46" s="47">
        <v>0</v>
      </c>
      <c r="DY46" s="47">
        <v>0</v>
      </c>
      <c r="DZ46" s="47">
        <v>0</v>
      </c>
      <c r="EA46" s="873">
        <v>0</v>
      </c>
      <c r="EB46" s="915">
        <v>0</v>
      </c>
      <c r="EC46" s="873">
        <v>-1193</v>
      </c>
      <c r="ED46" s="915">
        <v>-1500</v>
      </c>
      <c r="EE46" s="910">
        <f>-1193-EE47</f>
        <v>-956.30199999999991</v>
      </c>
      <c r="EF46" s="917">
        <f>-1368-EF47</f>
        <v>-1138.2280000000001</v>
      </c>
      <c r="EG46" s="920">
        <v>-255</v>
      </c>
      <c r="EH46" s="829">
        <f t="shared" si="98"/>
        <v>0</v>
      </c>
      <c r="EI46" s="829">
        <v>0</v>
      </c>
      <c r="EJ46" s="829">
        <f>-55-1000</f>
        <v>-1055</v>
      </c>
      <c r="EK46" s="821">
        <v>-698</v>
      </c>
      <c r="EL46" s="821">
        <v>-2004</v>
      </c>
      <c r="EM46" s="1697">
        <f t="shared" ref="EM46:EM53" si="99">SUM(CX46:DA46)</f>
        <v>-1500</v>
      </c>
      <c r="EN46" s="841">
        <f>-'Income Statement'!FA69</f>
        <v>-1500</v>
      </c>
      <c r="EO46" s="841">
        <f>-'Income Statement'!FB69</f>
        <v>-1500</v>
      </c>
      <c r="EP46" s="841">
        <f>-'Income Statement'!FC69</f>
        <v>-1200</v>
      </c>
      <c r="EQ46" s="841">
        <f>-'Income Statement'!FD69</f>
        <v>-1200</v>
      </c>
      <c r="ER46" s="841">
        <f>-'Income Statement'!FE69</f>
        <v>-1200</v>
      </c>
      <c r="ES46" s="841">
        <f>-'Income Statement'!FF69</f>
        <v>-1200</v>
      </c>
      <c r="ET46" s="841">
        <f>-'Income Statement'!FG69</f>
        <v>-1200</v>
      </c>
      <c r="EU46" s="822">
        <f>-'Income Statement'!FH69</f>
        <v>-1200</v>
      </c>
      <c r="EV46" s="413"/>
      <c r="EW46"/>
      <c r="EX46"/>
      <c r="EY46"/>
      <c r="EZ46"/>
      <c r="FA46"/>
      <c r="FB46"/>
      <c r="FG46" s="841"/>
      <c r="FH46" s="841"/>
      <c r="FI46" s="841"/>
      <c r="FJ46" s="841"/>
      <c r="FK46" s="841"/>
      <c r="FL46"/>
      <c r="FM46"/>
      <c r="FN46"/>
      <c r="FO46"/>
      <c r="FP46"/>
      <c r="FQ46"/>
      <c r="FR46"/>
      <c r="FS46"/>
      <c r="FT46"/>
      <c r="FU46"/>
      <c r="FV46"/>
      <c r="FW46"/>
      <c r="FX46"/>
      <c r="FY46"/>
      <c r="FZ46"/>
      <c r="GA46"/>
      <c r="GB46"/>
      <c r="GC46"/>
      <c r="GD46"/>
      <c r="GE46"/>
      <c r="GF46"/>
      <c r="GG46"/>
      <c r="GH46"/>
      <c r="GI46"/>
      <c r="GJ46"/>
      <c r="GK46"/>
      <c r="GL46"/>
      <c r="GM46"/>
      <c r="GN46"/>
      <c r="GO46"/>
      <c r="GP46"/>
      <c r="GQ46"/>
      <c r="GR46"/>
      <c r="GS46"/>
      <c r="GT46"/>
      <c r="GU46"/>
      <c r="GV46"/>
      <c r="GW46"/>
      <c r="GX46"/>
      <c r="GY46"/>
      <c r="GZ46"/>
      <c r="HA46"/>
      <c r="HB46"/>
      <c r="HC46"/>
      <c r="HD46"/>
      <c r="HE46"/>
      <c r="HF46"/>
      <c r="HG46"/>
      <c r="HH46"/>
      <c r="HI46"/>
      <c r="HJ46"/>
      <c r="HK46"/>
      <c r="HL46"/>
      <c r="HM46"/>
      <c r="HN46"/>
      <c r="HO46"/>
      <c r="HP46"/>
      <c r="HQ46"/>
      <c r="HR46"/>
      <c r="HS46"/>
      <c r="HT46"/>
      <c r="HU46"/>
      <c r="HV46"/>
      <c r="HW46"/>
      <c r="HX46"/>
      <c r="HY46"/>
      <c r="HZ46"/>
      <c r="IA46"/>
      <c r="IB46"/>
      <c r="IC46"/>
      <c r="ID46"/>
      <c r="IE46"/>
      <c r="IF46"/>
      <c r="IG46"/>
      <c r="IH46"/>
      <c r="II46"/>
      <c r="IJ46"/>
      <c r="IK46"/>
      <c r="IL46"/>
      <c r="IM46"/>
      <c r="IN46"/>
      <c r="IO46"/>
      <c r="IP46"/>
      <c r="IQ46"/>
      <c r="IR46"/>
      <c r="IS46"/>
      <c r="IT46"/>
      <c r="IU46"/>
      <c r="IV46"/>
      <c r="IW46"/>
      <c r="IX46"/>
      <c r="IY46"/>
      <c r="IZ46"/>
    </row>
    <row r="47" spans="1:260" s="4" customFormat="1" x14ac:dyDescent="0.2">
      <c r="A47" s="179" t="s">
        <v>534</v>
      </c>
      <c r="B47" s="47"/>
      <c r="C47" s="47"/>
      <c r="D47" s="47"/>
      <c r="E47" s="709"/>
      <c r="F47" s="47"/>
      <c r="G47" s="47"/>
      <c r="H47" s="47"/>
      <c r="I47" s="709"/>
      <c r="J47" s="47"/>
      <c r="K47" s="47"/>
      <c r="L47" s="47"/>
      <c r="M47" s="709"/>
      <c r="N47" s="47"/>
      <c r="O47" s="47"/>
      <c r="P47" s="47"/>
      <c r="Q47" s="709"/>
      <c r="R47" s="47"/>
      <c r="S47" s="47"/>
      <c r="T47" s="47"/>
      <c r="U47" s="709"/>
      <c r="V47" s="47"/>
      <c r="W47" s="47"/>
      <c r="X47" s="47"/>
      <c r="Y47" s="709"/>
      <c r="Z47" s="47"/>
      <c r="AA47" s="47"/>
      <c r="AB47" s="47"/>
      <c r="AC47" s="709"/>
      <c r="AD47" s="47"/>
      <c r="AE47" s="47"/>
      <c r="AF47" s="47"/>
      <c r="AG47" s="709"/>
      <c r="AH47" s="47"/>
      <c r="AI47" s="47"/>
      <c r="AJ47" s="47"/>
      <c r="AK47" s="709"/>
      <c r="AL47" s="47"/>
      <c r="AM47" s="47"/>
      <c r="AN47" s="47"/>
      <c r="AO47" s="709"/>
      <c r="AP47" s="47">
        <v>0</v>
      </c>
      <c r="AQ47" s="47">
        <v>0</v>
      </c>
      <c r="AR47" s="47">
        <f>0-AQ47-AP47</f>
        <v>0</v>
      </c>
      <c r="AS47" s="709">
        <f>DV47-SUM(AP47:AR47)</f>
        <v>-130</v>
      </c>
      <c r="AT47" s="47">
        <v>-32</v>
      </c>
      <c r="AU47" s="47">
        <f>-65-AT47</f>
        <v>-33</v>
      </c>
      <c r="AV47" s="47">
        <f>-100-AT47-AU47</f>
        <v>-35</v>
      </c>
      <c r="AW47" s="709">
        <f>DW47-SUM(AT47:AV47)</f>
        <v>-37</v>
      </c>
      <c r="AX47" s="47">
        <v>-36</v>
      </c>
      <c r="AY47" s="47">
        <f>-73-AX47</f>
        <v>-37</v>
      </c>
      <c r="AZ47" s="47">
        <f>-112-AY47-AX47</f>
        <v>-39</v>
      </c>
      <c r="BA47" s="709">
        <f>DX47-SUM(AX47:AZ47)</f>
        <v>-39</v>
      </c>
      <c r="BB47" s="47">
        <v>-38</v>
      </c>
      <c r="BC47" s="47">
        <f>-78-BB47</f>
        <v>-40</v>
      </c>
      <c r="BD47" s="47">
        <f>-125-SUM(BB47:BC47)</f>
        <v>-47</v>
      </c>
      <c r="BE47" s="709">
        <f>DY47-SUM(BB47:BD47)</f>
        <v>-49</v>
      </c>
      <c r="BF47" s="47">
        <v>-48</v>
      </c>
      <c r="BG47" s="47">
        <f>-93-BF47</f>
        <v>-45</v>
      </c>
      <c r="BH47" s="47">
        <f>-148-BG47-BF47</f>
        <v>-55</v>
      </c>
      <c r="BI47" s="709">
        <f>DZ47-BF47-BG47-BH47</f>
        <v>-56</v>
      </c>
      <c r="BJ47" s="873">
        <v>-54</v>
      </c>
      <c r="BK47" s="873">
        <f>-107-BJ47</f>
        <v>-53</v>
      </c>
      <c r="BL47" s="873">
        <f>-165-BJ47-BK47</f>
        <v>-58</v>
      </c>
      <c r="BM47" s="874">
        <f>EA47-BJ47-BK47-BL47</f>
        <v>-58</v>
      </c>
      <c r="BN47" s="898">
        <v>-58</v>
      </c>
      <c r="BO47" s="898">
        <f>-117-BN47</f>
        <v>-59</v>
      </c>
      <c r="BP47" s="898">
        <f>-175-BN47-BO47</f>
        <v>-58</v>
      </c>
      <c r="BQ47" s="909">
        <f>EB47-BN47-BO47-BP47</f>
        <v>-59</v>
      </c>
      <c r="BR47" s="873">
        <f>-59</f>
        <v>-59</v>
      </c>
      <c r="BS47" s="873">
        <f>-118-BR47</f>
        <v>-59</v>
      </c>
      <c r="BT47" s="873">
        <f>-178-BR47-BS47</f>
        <v>-60</v>
      </c>
      <c r="BU47" s="874">
        <f>EC47-BR47-BS47-BT47</f>
        <v>-59</v>
      </c>
      <c r="BV47" s="873">
        <v>-59</v>
      </c>
      <c r="BW47" s="873">
        <f>-115-BV47</f>
        <v>-56</v>
      </c>
      <c r="BX47" s="873">
        <f>-172-BW47-BV47</f>
        <v>-57</v>
      </c>
      <c r="BY47" s="874">
        <f>ED47-BV47-BW47-BX47</f>
        <v>-56</v>
      </c>
      <c r="BZ47" s="873">
        <f>-BZ93*BZ110</f>
        <v>-54.752000000000002</v>
      </c>
      <c r="CA47" s="873">
        <f>-109-BZ47</f>
        <v>-54.247999999999998</v>
      </c>
      <c r="CB47" s="873">
        <f>-166-CA47-BZ47</f>
        <v>-57.000000000000007</v>
      </c>
      <c r="CC47" s="874">
        <f>EG47-BZ47-CA47-CB47</f>
        <v>-57.999999999999993</v>
      </c>
      <c r="CD47" s="1062">
        <v>-58</v>
      </c>
      <c r="CE47" s="947">
        <f>-116-CD47</f>
        <v>-58</v>
      </c>
      <c r="CF47" s="947">
        <f>-174-CE47-CD47</f>
        <v>-58</v>
      </c>
      <c r="CG47" s="909">
        <f>-233-CD47-CE47-CF47</f>
        <v>-59</v>
      </c>
      <c r="CH47" s="1386">
        <v>-59</v>
      </c>
      <c r="CI47" s="830">
        <f>-118-CH47</f>
        <v>-59</v>
      </c>
      <c r="CJ47" s="830">
        <f>-185-CI47-CH47</f>
        <v>-67</v>
      </c>
      <c r="CK47" s="828">
        <f t="shared" si="94"/>
        <v>-66</v>
      </c>
      <c r="CL47" s="1631">
        <v>-261</v>
      </c>
      <c r="CM47" s="1447">
        <f>-341-CL47</f>
        <v>-80</v>
      </c>
      <c r="CN47" s="1447">
        <f>-421-SUM(CL47:CM47)</f>
        <v>-80</v>
      </c>
      <c r="CO47" s="1448">
        <f t="shared" si="95"/>
        <v>-78</v>
      </c>
      <c r="CP47" s="1447">
        <v>-238</v>
      </c>
      <c r="CQ47" s="1447">
        <f>-328-CP47</f>
        <v>-90</v>
      </c>
      <c r="CR47" s="1447">
        <f>-417-SUM(CP47:CQ47)</f>
        <v>-89</v>
      </c>
      <c r="CS47" s="1448">
        <f t="shared" si="96"/>
        <v>-88</v>
      </c>
      <c r="CT47" s="1447">
        <v>-105</v>
      </c>
      <c r="CU47" s="1447">
        <f>-208-CT47</f>
        <v>-103</v>
      </c>
      <c r="CV47" s="1447">
        <f>+-310-CU47-CT47</f>
        <v>-102</v>
      </c>
      <c r="CW47" s="1448">
        <f t="shared" si="97"/>
        <v>-99</v>
      </c>
      <c r="CX47" s="1698">
        <f t="shared" ref="CX47:DA47" si="100">-CX93*CX110</f>
        <v>-114.62824324324325</v>
      </c>
      <c r="CY47" s="830">
        <f t="shared" si="100"/>
        <v>-127.18406325260902</v>
      </c>
      <c r="CZ47" s="830">
        <f t="shared" si="100"/>
        <v>-126.64254673793242</v>
      </c>
      <c r="DA47" s="828">
        <f t="shared" si="100"/>
        <v>-125.8207477253859</v>
      </c>
      <c r="DB47" s="667"/>
      <c r="DC47" s="524"/>
      <c r="DD47" s="47">
        <v>0</v>
      </c>
      <c r="DE47" s="47">
        <v>0</v>
      </c>
      <c r="DF47" s="47">
        <v>0</v>
      </c>
      <c r="DG47" s="47">
        <v>0</v>
      </c>
      <c r="DH47" s="47">
        <v>0</v>
      </c>
      <c r="DI47" s="47">
        <v>0</v>
      </c>
      <c r="DJ47" s="47">
        <v>0</v>
      </c>
      <c r="DK47" s="47">
        <v>0</v>
      </c>
      <c r="DL47" s="47">
        <v>0</v>
      </c>
      <c r="DM47" s="47">
        <v>0</v>
      </c>
      <c r="DN47" s="47">
        <v>0</v>
      </c>
      <c r="DO47" s="47">
        <v>0</v>
      </c>
      <c r="DP47" s="47">
        <v>0</v>
      </c>
      <c r="DQ47" s="47">
        <v>0</v>
      </c>
      <c r="DR47" s="47">
        <v>0</v>
      </c>
      <c r="DS47" s="47">
        <v>0</v>
      </c>
      <c r="DT47" s="47">
        <v>0</v>
      </c>
      <c r="DU47" s="47">
        <v>0</v>
      </c>
      <c r="DV47" s="47">
        <v>-130</v>
      </c>
      <c r="DW47" s="47">
        <v>-137</v>
      </c>
      <c r="DX47" s="47">
        <v>-151</v>
      </c>
      <c r="DY47" s="47">
        <v>-174</v>
      </c>
      <c r="DZ47" s="47">
        <v>-204</v>
      </c>
      <c r="EA47" s="873">
        <v>-223</v>
      </c>
      <c r="EB47" s="915">
        <v>-234</v>
      </c>
      <c r="EC47" s="873">
        <f>-237</f>
        <v>-237</v>
      </c>
      <c r="ED47" s="915">
        <v>-228</v>
      </c>
      <c r="EE47" s="898">
        <f>-EE93*EE110</f>
        <v>-236.69800000000004</v>
      </c>
      <c r="EF47" s="917">
        <f>-EF93*EF110</f>
        <v>-229.77200000000002</v>
      </c>
      <c r="EG47" s="920">
        <v>-224</v>
      </c>
      <c r="EH47" s="829">
        <f t="shared" si="98"/>
        <v>-233</v>
      </c>
      <c r="EI47" s="829">
        <v>-251</v>
      </c>
      <c r="EJ47" s="829">
        <v>-499</v>
      </c>
      <c r="EK47" s="821">
        <v>-505</v>
      </c>
      <c r="EL47" s="821">
        <v>-409</v>
      </c>
      <c r="EM47" s="1697">
        <f t="shared" si="99"/>
        <v>-494.27560095917062</v>
      </c>
      <c r="EN47" s="841">
        <f t="shared" ref="EN47:ES47" si="101">-EN93*EN110</f>
        <v>-511.55749617886511</v>
      </c>
      <c r="EO47" s="841">
        <f t="shared" si="101"/>
        <v>-527.71477759008314</v>
      </c>
      <c r="EP47" s="841">
        <f t="shared" si="101"/>
        <v>-550.00708889345276</v>
      </c>
      <c r="EQ47" s="841">
        <f t="shared" si="101"/>
        <v>-579.76993499508023</v>
      </c>
      <c r="ER47" s="841">
        <f t="shared" si="101"/>
        <v>-613.80070649292929</v>
      </c>
      <c r="ES47" s="841">
        <f t="shared" si="101"/>
        <v>-652.57020212149803</v>
      </c>
      <c r="ET47" s="841">
        <f>-ET93*ET110</f>
        <v>-696.59815710115345</v>
      </c>
      <c r="EU47" s="822">
        <f>-EU93*EU110</f>
        <v>-746.45812694852987</v>
      </c>
      <c r="EV47" s="413"/>
      <c r="EW47"/>
      <c r="EX47"/>
      <c r="EY47"/>
      <c r="EZ47"/>
      <c r="FA47"/>
      <c r="FB47"/>
      <c r="FG47" s="841"/>
      <c r="FH47" s="841"/>
      <c r="FI47" s="841"/>
      <c r="FJ47" s="841"/>
      <c r="FK47" s="841"/>
      <c r="FL47"/>
      <c r="FM47"/>
      <c r="FN47"/>
      <c r="FO47"/>
      <c r="FP47"/>
      <c r="FQ47"/>
      <c r="FR47"/>
      <c r="FS47"/>
      <c r="FT47"/>
      <c r="FU47"/>
      <c r="FV47"/>
      <c r="FW47"/>
      <c r="FX47"/>
      <c r="FY47"/>
      <c r="FZ47"/>
      <c r="GA47"/>
      <c r="GB47"/>
      <c r="GC47"/>
      <c r="GD47"/>
      <c r="GE47"/>
      <c r="GF47"/>
      <c r="GG47"/>
      <c r="GH47"/>
      <c r="GI47"/>
      <c r="GJ47"/>
      <c r="GK47"/>
      <c r="GL47"/>
      <c r="GM47"/>
      <c r="GN47"/>
      <c r="GO47"/>
      <c r="GP47"/>
      <c r="GQ47"/>
      <c r="GR47"/>
      <c r="GS47"/>
      <c r="GT47"/>
      <c r="GU47"/>
      <c r="GV47"/>
      <c r="GW47"/>
      <c r="GX47"/>
      <c r="GY47"/>
      <c r="GZ47"/>
      <c r="HA47"/>
      <c r="HB47"/>
      <c r="HC47"/>
      <c r="HD47"/>
      <c r="HE47"/>
      <c r="HF47"/>
      <c r="HG47"/>
      <c r="HH47"/>
      <c r="HI47"/>
      <c r="HJ47"/>
      <c r="HK47"/>
      <c r="HL47"/>
      <c r="HM47"/>
      <c r="HN47"/>
      <c r="HO47"/>
      <c r="HP47"/>
      <c r="HQ47"/>
      <c r="HR47"/>
      <c r="HS47"/>
      <c r="HT47"/>
      <c r="HU47"/>
      <c r="HV47"/>
      <c r="HW47"/>
      <c r="HX47"/>
      <c r="HY47"/>
      <c r="HZ47"/>
      <c r="IA47"/>
      <c r="IB47"/>
      <c r="IC47"/>
      <c r="ID47"/>
      <c r="IE47"/>
      <c r="IF47"/>
      <c r="IG47"/>
      <c r="IH47"/>
      <c r="II47"/>
      <c r="IJ47"/>
      <c r="IK47"/>
      <c r="IL47"/>
      <c r="IM47"/>
      <c r="IN47"/>
      <c r="IO47"/>
      <c r="IP47"/>
      <c r="IQ47"/>
      <c r="IR47"/>
      <c r="IS47"/>
      <c r="IT47"/>
      <c r="IU47"/>
      <c r="IV47"/>
      <c r="IW47"/>
      <c r="IX47"/>
      <c r="IY47"/>
      <c r="IZ47"/>
    </row>
    <row r="48" spans="1:260" s="4" customFormat="1" x14ac:dyDescent="0.2">
      <c r="A48" s="179" t="s">
        <v>513</v>
      </c>
      <c r="B48" s="47"/>
      <c r="C48" s="47"/>
      <c r="D48" s="47"/>
      <c r="E48" s="709"/>
      <c r="F48" s="47"/>
      <c r="G48" s="47"/>
      <c r="H48" s="47"/>
      <c r="I48" s="709"/>
      <c r="J48" s="47"/>
      <c r="K48" s="47"/>
      <c r="L48" s="47"/>
      <c r="M48" s="709"/>
      <c r="N48" s="47"/>
      <c r="O48" s="47"/>
      <c r="P48" s="47"/>
      <c r="Q48" s="709"/>
      <c r="R48" s="47"/>
      <c r="S48" s="47"/>
      <c r="T48" s="47"/>
      <c r="U48" s="709"/>
      <c r="V48" s="47"/>
      <c r="W48" s="47"/>
      <c r="X48" s="47"/>
      <c r="Y48" s="709"/>
      <c r="Z48" s="47"/>
      <c r="AA48" s="47"/>
      <c r="AB48" s="47"/>
      <c r="AC48" s="709"/>
      <c r="AD48" s="47"/>
      <c r="AE48" s="47"/>
      <c r="AF48" s="47"/>
      <c r="AG48" s="709"/>
      <c r="AH48" s="47"/>
      <c r="AI48" s="47"/>
      <c r="AJ48" s="47"/>
      <c r="AK48" s="709"/>
      <c r="AL48" s="47"/>
      <c r="AM48" s="47"/>
      <c r="AN48" s="47"/>
      <c r="AO48" s="709"/>
      <c r="AP48" s="47"/>
      <c r="AQ48" s="47"/>
      <c r="AR48" s="47"/>
      <c r="AS48" s="709"/>
      <c r="AT48" s="47"/>
      <c r="AU48" s="47"/>
      <c r="AV48" s="47"/>
      <c r="AW48" s="709"/>
      <c r="AX48" s="47"/>
      <c r="AY48" s="47"/>
      <c r="AZ48" s="47"/>
      <c r="BA48" s="709"/>
      <c r="BB48" s="47"/>
      <c r="BC48" s="47"/>
      <c r="BD48" s="47"/>
      <c r="BE48" s="709"/>
      <c r="BF48" s="47"/>
      <c r="BG48" s="47"/>
      <c r="BH48" s="47"/>
      <c r="BI48" s="709"/>
      <c r="BJ48" s="873">
        <v>4</v>
      </c>
      <c r="BK48" s="873">
        <f>4-BJ48</f>
        <v>0</v>
      </c>
      <c r="BL48" s="873">
        <f>5-BK48-BJ48</f>
        <v>1</v>
      </c>
      <c r="BM48" s="874">
        <f>EA48-BJ48-BK48-BL48</f>
        <v>1</v>
      </c>
      <c r="BN48" s="898">
        <v>2</v>
      </c>
      <c r="BO48" s="898">
        <f>1-BN48</f>
        <v>-1</v>
      </c>
      <c r="BP48" s="898">
        <f>3-BO48-BN48</f>
        <v>2</v>
      </c>
      <c r="BQ48" s="909">
        <f>EB48-BN48-BO48-BP48</f>
        <v>4</v>
      </c>
      <c r="BR48" s="873">
        <v>10</v>
      </c>
      <c r="BS48" s="873">
        <f>10-BR48</f>
        <v>0</v>
      </c>
      <c r="BT48" s="873">
        <f>13-BS48-BR48</f>
        <v>3</v>
      </c>
      <c r="BU48" s="874">
        <f>EC48-BR48-BS48-BT48</f>
        <v>-2</v>
      </c>
      <c r="BV48" s="898">
        <v>1</v>
      </c>
      <c r="BW48" s="898">
        <f>0-BV48</f>
        <v>-1</v>
      </c>
      <c r="BX48" s="898">
        <f>0-BW48-BV48</f>
        <v>0</v>
      </c>
      <c r="BY48" s="916">
        <f>ED48-BV48-BW48-BX48</f>
        <v>0</v>
      </c>
      <c r="BZ48" s="898">
        <v>0</v>
      </c>
      <c r="CA48" s="898">
        <f>0-BZ48</f>
        <v>0</v>
      </c>
      <c r="CB48" s="898">
        <f>0-CA48-BZ48</f>
        <v>0</v>
      </c>
      <c r="CC48" s="916">
        <f>EG48-BZ48-CA48-CB48</f>
        <v>0</v>
      </c>
      <c r="CD48" s="917">
        <v>0</v>
      </c>
      <c r="CE48" s="910">
        <f>0-CD48</f>
        <v>0</v>
      </c>
      <c r="CF48" s="910">
        <f>8-CE48</f>
        <v>8</v>
      </c>
      <c r="CG48" s="909">
        <f>0-CD48-CE48-CF48</f>
        <v>-8</v>
      </c>
      <c r="CH48" s="1386">
        <v>0</v>
      </c>
      <c r="CI48" s="1460">
        <v>0</v>
      </c>
      <c r="CJ48" s="830">
        <f>0-CI48-CH48</f>
        <v>0</v>
      </c>
      <c r="CK48" s="828">
        <f t="shared" si="94"/>
        <v>0</v>
      </c>
      <c r="CL48" s="1631">
        <v>0</v>
      </c>
      <c r="CM48" s="1447">
        <v>0</v>
      </c>
      <c r="CN48" s="1447"/>
      <c r="CO48" s="1448">
        <f t="shared" si="95"/>
        <v>0</v>
      </c>
      <c r="CP48" s="1447">
        <v>0</v>
      </c>
      <c r="CQ48" s="1447">
        <v>0</v>
      </c>
      <c r="CR48" s="1447">
        <v>0</v>
      </c>
      <c r="CS48" s="1448">
        <f t="shared" si="96"/>
        <v>0</v>
      </c>
      <c r="CT48" s="1447">
        <v>0</v>
      </c>
      <c r="CU48" s="1447">
        <v>0</v>
      </c>
      <c r="CV48" s="1447">
        <v>0</v>
      </c>
      <c r="CW48" s="1448">
        <f t="shared" si="97"/>
        <v>0</v>
      </c>
      <c r="CX48" s="2752">
        <v>0</v>
      </c>
      <c r="CY48" s="1653">
        <v>0</v>
      </c>
      <c r="CZ48" s="1653">
        <v>0</v>
      </c>
      <c r="DA48" s="1611">
        <v>0</v>
      </c>
      <c r="DB48" s="667"/>
      <c r="DC48" s="524"/>
      <c r="DD48" s="47">
        <v>0</v>
      </c>
      <c r="DE48" s="47">
        <v>0</v>
      </c>
      <c r="DF48" s="47">
        <v>0</v>
      </c>
      <c r="DG48" s="47">
        <v>0</v>
      </c>
      <c r="DH48" s="47">
        <v>0</v>
      </c>
      <c r="DI48" s="47">
        <v>0</v>
      </c>
      <c r="DJ48" s="47">
        <v>0</v>
      </c>
      <c r="DK48" s="47">
        <v>0</v>
      </c>
      <c r="DL48" s="47">
        <v>0</v>
      </c>
      <c r="DM48" s="47">
        <v>0</v>
      </c>
      <c r="DN48" s="47">
        <v>0</v>
      </c>
      <c r="DO48" s="47">
        <v>0</v>
      </c>
      <c r="DP48" s="47">
        <v>0</v>
      </c>
      <c r="DQ48" s="47">
        <v>0</v>
      </c>
      <c r="DR48" s="47">
        <v>0</v>
      </c>
      <c r="DS48" s="47">
        <v>0</v>
      </c>
      <c r="DT48" s="47">
        <v>0</v>
      </c>
      <c r="DU48" s="47">
        <v>0</v>
      </c>
      <c r="DV48" s="47">
        <v>0</v>
      </c>
      <c r="DW48" s="47">
        <v>0</v>
      </c>
      <c r="DX48" s="47">
        <v>0</v>
      </c>
      <c r="DY48" s="47">
        <v>0</v>
      </c>
      <c r="DZ48" s="47">
        <v>0</v>
      </c>
      <c r="EA48" s="873">
        <v>6</v>
      </c>
      <c r="EB48" s="915">
        <f>7</f>
        <v>7</v>
      </c>
      <c r="EC48" s="873">
        <v>11</v>
      </c>
      <c r="ED48" s="915">
        <v>0</v>
      </c>
      <c r="EE48" s="898">
        <v>0</v>
      </c>
      <c r="EF48" s="917">
        <v>0</v>
      </c>
      <c r="EG48" s="920">
        <v>0</v>
      </c>
      <c r="EH48" s="829">
        <f t="shared" si="98"/>
        <v>0</v>
      </c>
      <c r="EI48" s="829">
        <v>0</v>
      </c>
      <c r="EJ48" s="829">
        <v>0</v>
      </c>
      <c r="EK48" s="830">
        <v>0</v>
      </c>
      <c r="EL48" s="830">
        <v>0</v>
      </c>
      <c r="EM48" s="1698">
        <f t="shared" si="99"/>
        <v>0</v>
      </c>
      <c r="EN48" s="830">
        <f t="shared" ref="EN48:ES48" si="102">-EN16</f>
        <v>0</v>
      </c>
      <c r="EO48" s="830">
        <f t="shared" si="102"/>
        <v>0</v>
      </c>
      <c r="EP48" s="830">
        <f t="shared" si="102"/>
        <v>0</v>
      </c>
      <c r="EQ48" s="830">
        <f t="shared" si="102"/>
        <v>0</v>
      </c>
      <c r="ER48" s="830">
        <f t="shared" si="102"/>
        <v>0</v>
      </c>
      <c r="ES48" s="830">
        <f t="shared" si="102"/>
        <v>0</v>
      </c>
      <c r="ET48" s="830">
        <f>-ET16</f>
        <v>0</v>
      </c>
      <c r="EU48" s="828">
        <f>-EU16</f>
        <v>0</v>
      </c>
      <c r="EV48" s="413"/>
      <c r="EW48"/>
      <c r="EX48"/>
      <c r="EY48"/>
      <c r="EZ48"/>
      <c r="FA48"/>
      <c r="FB48"/>
      <c r="FG48" s="830"/>
      <c r="FH48" s="830"/>
      <c r="FI48" s="830"/>
      <c r="FJ48" s="830"/>
      <c r="FK48" s="830"/>
      <c r="FL48"/>
      <c r="FM48"/>
      <c r="FN48"/>
      <c r="FO48"/>
      <c r="FP48"/>
      <c r="FQ48"/>
      <c r="FR48"/>
      <c r="FS48"/>
      <c r="FT48"/>
      <c r="FU48"/>
      <c r="FV48"/>
      <c r="FW48"/>
      <c r="FX48"/>
      <c r="FY48"/>
      <c r="FZ48"/>
      <c r="GA48"/>
      <c r="GB48"/>
      <c r="GC48"/>
      <c r="GD48"/>
      <c r="GE48"/>
      <c r="GF48"/>
      <c r="GG48"/>
      <c r="GH48"/>
      <c r="GI48"/>
      <c r="GJ48"/>
      <c r="GK48"/>
      <c r="GL48"/>
      <c r="GM48"/>
      <c r="GN48"/>
      <c r="GO48"/>
      <c r="GP48"/>
      <c r="GQ48"/>
      <c r="GR48"/>
      <c r="GS48"/>
      <c r="GT48"/>
      <c r="GU48"/>
      <c r="GV48"/>
      <c r="GW48"/>
      <c r="GX48"/>
      <c r="GY48"/>
      <c r="GZ48"/>
      <c r="HA48"/>
      <c r="HB48"/>
      <c r="HC48"/>
      <c r="HD48"/>
      <c r="HE48"/>
      <c r="HF48"/>
      <c r="HG48"/>
      <c r="HH48"/>
      <c r="HI48"/>
      <c r="HJ48"/>
      <c r="HK48"/>
      <c r="HL48"/>
      <c r="HM48"/>
      <c r="HN48"/>
      <c r="HO48"/>
      <c r="HP48"/>
      <c r="HQ48"/>
      <c r="HR48"/>
      <c r="HS48"/>
      <c r="HT48"/>
      <c r="HU48"/>
      <c r="HV48"/>
      <c r="HW48"/>
      <c r="HX48"/>
      <c r="HY48"/>
      <c r="HZ48"/>
      <c r="IA48"/>
      <c r="IB48"/>
      <c r="IC48"/>
      <c r="ID48"/>
      <c r="IE48"/>
      <c r="IF48"/>
      <c r="IG48"/>
      <c r="IH48"/>
      <c r="II48"/>
      <c r="IJ48"/>
      <c r="IK48"/>
      <c r="IL48"/>
      <c r="IM48"/>
      <c r="IN48"/>
      <c r="IO48"/>
      <c r="IP48"/>
      <c r="IQ48"/>
      <c r="IR48"/>
      <c r="IS48"/>
      <c r="IT48"/>
      <c r="IU48"/>
      <c r="IV48"/>
      <c r="IW48"/>
      <c r="IX48"/>
      <c r="IY48"/>
      <c r="IZ48"/>
    </row>
    <row r="49" spans="1:260" s="4" customFormat="1" x14ac:dyDescent="0.2">
      <c r="A49" s="179" t="s">
        <v>535</v>
      </c>
      <c r="B49" s="47"/>
      <c r="C49" s="47"/>
      <c r="D49" s="47"/>
      <c r="E49" s="709"/>
      <c r="F49" s="47"/>
      <c r="G49" s="47"/>
      <c r="H49" s="47">
        <v>230</v>
      </c>
      <c r="I49" s="709">
        <v>0</v>
      </c>
      <c r="J49" s="47"/>
      <c r="K49" s="47"/>
      <c r="L49" s="47"/>
      <c r="M49" s="709"/>
      <c r="N49" s="47"/>
      <c r="O49" s="47"/>
      <c r="P49" s="47"/>
      <c r="Q49" s="709"/>
      <c r="R49" s="47"/>
      <c r="S49" s="47"/>
      <c r="T49" s="47"/>
      <c r="U49" s="709"/>
      <c r="V49" s="47"/>
      <c r="W49" s="47"/>
      <c r="X49" s="47"/>
      <c r="Y49" s="709"/>
      <c r="Z49" s="47"/>
      <c r="AA49" s="47"/>
      <c r="AB49" s="47"/>
      <c r="AC49" s="709"/>
      <c r="AD49" s="47"/>
      <c r="AE49" s="47"/>
      <c r="AF49" s="47"/>
      <c r="AG49" s="709"/>
      <c r="AH49" s="47"/>
      <c r="AI49" s="47"/>
      <c r="AJ49" s="47"/>
      <c r="AK49" s="709"/>
      <c r="AL49" s="47"/>
      <c r="AM49" s="47"/>
      <c r="AN49" s="47"/>
      <c r="AO49" s="709"/>
      <c r="AP49" s="47">
        <v>0</v>
      </c>
      <c r="AQ49" s="47">
        <v>0</v>
      </c>
      <c r="AR49" s="47">
        <v>0</v>
      </c>
      <c r="AS49" s="709">
        <f>DV49-SUM(AP49:AR49)</f>
        <v>46</v>
      </c>
      <c r="AT49" s="47">
        <v>0</v>
      </c>
      <c r="AU49" s="47">
        <v>0</v>
      </c>
      <c r="AV49" s="47">
        <v>0</v>
      </c>
      <c r="AW49" s="709">
        <f>DW49-SUM(AT49:AV49)</f>
        <v>-7</v>
      </c>
      <c r="AX49" s="47">
        <f>2+15</f>
        <v>17</v>
      </c>
      <c r="AY49" s="47">
        <f>21+37-AX49</f>
        <v>41</v>
      </c>
      <c r="AZ49" s="47">
        <f>24+72-AY49-AX49</f>
        <v>38</v>
      </c>
      <c r="BA49" s="709">
        <f>DX49-SUM(AX49:AZ49)</f>
        <v>-51</v>
      </c>
      <c r="BB49" s="47">
        <f>23+15</f>
        <v>38</v>
      </c>
      <c r="BC49" s="47">
        <f>22+37-BB49</f>
        <v>21</v>
      </c>
      <c r="BD49" s="47">
        <f>46+87-SUM(BB49:BC49)</f>
        <v>74</v>
      </c>
      <c r="BE49" s="709">
        <f>DY49-SUM(BB49:BD49)</f>
        <v>-102</v>
      </c>
      <c r="BF49" s="47">
        <f>8+3</f>
        <v>11</v>
      </c>
      <c r="BG49" s="47">
        <f>12-BF49</f>
        <v>1</v>
      </c>
      <c r="BH49" s="47">
        <f>17+41-BG49-BF49</f>
        <v>46</v>
      </c>
      <c r="BI49" s="709">
        <f>DZ49-BF49-BG49-BH49</f>
        <v>-50</v>
      </c>
      <c r="BJ49" s="873">
        <f>12</f>
        <v>12</v>
      </c>
      <c r="BK49" s="873">
        <f>-12-BJ49</f>
        <v>-24</v>
      </c>
      <c r="BL49" s="873">
        <f>-9-BJ49-BK49</f>
        <v>3</v>
      </c>
      <c r="BM49" s="874">
        <f>EA49-BJ49-BK49-BL49</f>
        <v>-160</v>
      </c>
      <c r="BN49" s="898">
        <f>-2</f>
        <v>-2</v>
      </c>
      <c r="BO49" s="898">
        <f>4-34-BN49</f>
        <v>-28</v>
      </c>
      <c r="BP49" s="898">
        <f>-34-12-BN49-BO49</f>
        <v>-16</v>
      </c>
      <c r="BQ49" s="909">
        <f>EB49-BN49-BO49-BP49</f>
        <v>-3</v>
      </c>
      <c r="BR49" s="898">
        <v>0</v>
      </c>
      <c r="BS49" s="898">
        <f>9-BR49</f>
        <v>9</v>
      </c>
      <c r="BT49" s="898">
        <f>-21+9-BR49-BS49</f>
        <v>-21</v>
      </c>
      <c r="BU49" s="909">
        <f>EC49-BR49-BS49-BT49</f>
        <v>-6</v>
      </c>
      <c r="BV49" s="898">
        <v>-7</v>
      </c>
      <c r="BW49" s="898">
        <f>-2-BV49</f>
        <v>5</v>
      </c>
      <c r="BX49" s="898">
        <f>-22-BW49-BV49</f>
        <v>-20</v>
      </c>
      <c r="BY49" s="909">
        <f>ED49-BV49-BW49-BX49</f>
        <v>-1304</v>
      </c>
      <c r="BZ49" s="898">
        <f>9-BZ47</f>
        <v>63.752000000000002</v>
      </c>
      <c r="CA49" s="898">
        <f>-8-BZ49</f>
        <v>-71.75200000000001</v>
      </c>
      <c r="CB49" s="898">
        <f>-12-CA49-BZ49</f>
        <v>-3.9999999999999929</v>
      </c>
      <c r="CC49" s="909">
        <f>EG49-BZ49-CA49-CB49</f>
        <v>-2.0000000000000071</v>
      </c>
      <c r="CD49" s="917">
        <v>0</v>
      </c>
      <c r="CE49" s="910">
        <f>-7-CD49</f>
        <v>-7</v>
      </c>
      <c r="CF49" s="910">
        <f>-9-CE49</f>
        <v>-2</v>
      </c>
      <c r="CG49" s="909">
        <f>0-CD49-CE49-CF49</f>
        <v>9</v>
      </c>
      <c r="CH49" s="1386">
        <v>3</v>
      </c>
      <c r="CI49" s="1460">
        <f>17-1-CH49</f>
        <v>13</v>
      </c>
      <c r="CJ49" s="830">
        <f>27+2-CI49-CH49</f>
        <v>13</v>
      </c>
      <c r="CK49" s="828">
        <f t="shared" si="94"/>
        <v>23</v>
      </c>
      <c r="CL49" s="1631">
        <v>6</v>
      </c>
      <c r="CM49" s="1447">
        <f>7-CL49</f>
        <v>1</v>
      </c>
      <c r="CN49" s="1447">
        <f>19-SUM(CL49:CM49)</f>
        <v>12</v>
      </c>
      <c r="CO49" s="1448">
        <f t="shared" si="95"/>
        <v>48</v>
      </c>
      <c r="CP49" s="1447">
        <v>19</v>
      </c>
      <c r="CQ49" s="1447">
        <f>17-CP49</f>
        <v>-2</v>
      </c>
      <c r="CR49" s="1447">
        <f>20-SUM(CP49:CQ49)</f>
        <v>3</v>
      </c>
      <c r="CS49" s="1448">
        <f t="shared" si="96"/>
        <v>151</v>
      </c>
      <c r="CT49" s="1447">
        <v>0</v>
      </c>
      <c r="CU49" s="1447">
        <f>-1-CT49-13</f>
        <v>-14</v>
      </c>
      <c r="CV49" s="1447">
        <f>+-1-CU49-CT49-14</f>
        <v>-1</v>
      </c>
      <c r="CW49" s="1448">
        <f t="shared" si="97"/>
        <v>178</v>
      </c>
      <c r="CX49" s="2752">
        <v>0</v>
      </c>
      <c r="CY49" s="1653">
        <v>0</v>
      </c>
      <c r="CZ49" s="1653">
        <v>0</v>
      </c>
      <c r="DA49" s="1611">
        <v>0</v>
      </c>
      <c r="DB49" s="667"/>
      <c r="DC49" s="524"/>
      <c r="DD49" s="47">
        <v>0</v>
      </c>
      <c r="DE49" s="47">
        <v>0</v>
      </c>
      <c r="DF49" s="47">
        <v>0</v>
      </c>
      <c r="DG49" s="47">
        <v>0</v>
      </c>
      <c r="DH49" s="47">
        <v>0</v>
      </c>
      <c r="DI49" s="47">
        <v>0</v>
      </c>
      <c r="DJ49" s="47">
        <v>0</v>
      </c>
      <c r="DK49" s="47">
        <v>0</v>
      </c>
      <c r="DL49" s="47">
        <v>0</v>
      </c>
      <c r="DM49" s="47">
        <f t="shared" ref="DM49:DM54" si="103">+F49+G49+H49+I49</f>
        <v>230</v>
      </c>
      <c r="DN49" s="47">
        <v>0</v>
      </c>
      <c r="DO49" s="47">
        <v>0</v>
      </c>
      <c r="DP49" s="47">
        <v>0</v>
      </c>
      <c r="DQ49" s="47">
        <v>0</v>
      </c>
      <c r="DR49" s="47">
        <v>0</v>
      </c>
      <c r="DS49" s="47">
        <v>0</v>
      </c>
      <c r="DT49" s="47">
        <v>0</v>
      </c>
      <c r="DU49" s="47">
        <v>0</v>
      </c>
      <c r="DV49" s="47">
        <v>46</v>
      </c>
      <c r="DW49" s="47">
        <v>-7</v>
      </c>
      <c r="DX49" s="47">
        <f>-10+55</f>
        <v>45</v>
      </c>
      <c r="DY49" s="873">
        <f>-19+50</f>
        <v>31</v>
      </c>
      <c r="DZ49" s="873">
        <f>-16+24</f>
        <v>8</v>
      </c>
      <c r="EA49" s="873">
        <f>-23-146</f>
        <v>-169</v>
      </c>
      <c r="EB49" s="915">
        <f>-34-15</f>
        <v>-49</v>
      </c>
      <c r="EC49" s="915">
        <f>-21+3</f>
        <v>-18</v>
      </c>
      <c r="ED49" s="915">
        <f>-1303-23</f>
        <v>-1326</v>
      </c>
      <c r="EE49" s="910">
        <v>-62</v>
      </c>
      <c r="EF49" s="917">
        <v>-1494</v>
      </c>
      <c r="EG49" s="920">
        <v>-14</v>
      </c>
      <c r="EH49" s="829">
        <f t="shared" si="98"/>
        <v>0</v>
      </c>
      <c r="EI49" s="829">
        <v>52</v>
      </c>
      <c r="EJ49" s="829">
        <f>47+20</f>
        <v>67</v>
      </c>
      <c r="EK49" s="830">
        <v>171</v>
      </c>
      <c r="EL49" s="830">
        <v>163</v>
      </c>
      <c r="EM49" s="1698">
        <f t="shared" si="99"/>
        <v>0</v>
      </c>
      <c r="EN49" s="830">
        <v>0</v>
      </c>
      <c r="EO49" s="830">
        <v>0</v>
      </c>
      <c r="EP49" s="830">
        <v>0</v>
      </c>
      <c r="EQ49" s="830">
        <v>0</v>
      </c>
      <c r="ER49" s="830">
        <v>0</v>
      </c>
      <c r="ES49" s="830">
        <v>0</v>
      </c>
      <c r="ET49" s="830">
        <v>0</v>
      </c>
      <c r="EU49" s="828">
        <v>0</v>
      </c>
      <c r="EV49" s="413"/>
      <c r="EW49"/>
      <c r="EX49"/>
      <c r="EY49"/>
      <c r="EZ49"/>
      <c r="FA49"/>
      <c r="FB49"/>
      <c r="FG49" s="830"/>
      <c r="FH49" s="830"/>
      <c r="FI49" s="830"/>
      <c r="FJ49" s="830"/>
      <c r="FK49" s="830"/>
      <c r="FL49"/>
      <c r="FM49"/>
      <c r="FN49"/>
      <c r="FO49"/>
      <c r="FP49"/>
      <c r="FQ49"/>
      <c r="FR49"/>
      <c r="FS49"/>
      <c r="FT49"/>
      <c r="FU49"/>
      <c r="FV49"/>
      <c r="FW49"/>
      <c r="FX49"/>
      <c r="FY49"/>
      <c r="FZ49"/>
      <c r="GA49"/>
      <c r="GB49"/>
      <c r="GC49"/>
      <c r="GD49"/>
      <c r="GE49"/>
      <c r="GF49"/>
      <c r="GG49"/>
      <c r="GH49"/>
      <c r="GI49"/>
      <c r="GJ49"/>
      <c r="GK49"/>
      <c r="GL49"/>
      <c r="GM49"/>
      <c r="GN49"/>
      <c r="GO49"/>
      <c r="GP49"/>
      <c r="GQ49"/>
      <c r="GR49"/>
      <c r="GS49"/>
      <c r="GT49"/>
      <c r="GU49"/>
      <c r="GV49"/>
      <c r="GW49"/>
      <c r="GX49"/>
      <c r="GY49"/>
      <c r="GZ49"/>
      <c r="HA49"/>
      <c r="HB49"/>
      <c r="HC49"/>
      <c r="HD49"/>
      <c r="HE49"/>
      <c r="HF49"/>
      <c r="HG49"/>
      <c r="HH49"/>
      <c r="HI49"/>
      <c r="HJ49"/>
      <c r="HK49"/>
      <c r="HL49"/>
      <c r="HM49"/>
      <c r="HN49"/>
      <c r="HO49"/>
      <c r="HP49"/>
      <c r="HQ49"/>
      <c r="HR49"/>
      <c r="HS49"/>
      <c r="HT49"/>
      <c r="HU49"/>
      <c r="HV49"/>
      <c r="HW49"/>
      <c r="HX49"/>
      <c r="HY49"/>
      <c r="HZ49"/>
      <c r="IA49"/>
      <c r="IB49"/>
      <c r="IC49"/>
      <c r="ID49"/>
      <c r="IE49"/>
      <c r="IF49"/>
      <c r="IG49"/>
      <c r="IH49"/>
      <c r="II49"/>
      <c r="IJ49"/>
      <c r="IK49"/>
      <c r="IL49"/>
      <c r="IM49"/>
      <c r="IN49"/>
      <c r="IO49"/>
      <c r="IP49"/>
      <c r="IQ49"/>
      <c r="IR49"/>
      <c r="IS49"/>
      <c r="IT49"/>
      <c r="IU49"/>
      <c r="IV49"/>
      <c r="IW49"/>
      <c r="IX49"/>
      <c r="IY49"/>
      <c r="IZ49"/>
    </row>
    <row r="50" spans="1:260" s="4" customFormat="1" x14ac:dyDescent="0.2">
      <c r="A50" s="179" t="s">
        <v>536</v>
      </c>
      <c r="B50" s="873">
        <v>59.3</v>
      </c>
      <c r="C50" s="873">
        <f>59.3-B50</f>
        <v>0</v>
      </c>
      <c r="D50" s="873">
        <v>-63</v>
      </c>
      <c r="E50" s="709">
        <v>83.2</v>
      </c>
      <c r="F50" s="873">
        <v>58.8</v>
      </c>
      <c r="G50" s="873">
        <f>322.8-F50</f>
        <v>264</v>
      </c>
      <c r="H50" s="873">
        <v>-130.80000000000001</v>
      </c>
      <c r="I50" s="709">
        <v>83</v>
      </c>
      <c r="J50" s="873">
        <v>50</v>
      </c>
      <c r="K50" s="873">
        <v>100</v>
      </c>
      <c r="L50" s="873">
        <v>160</v>
      </c>
      <c r="M50" s="709">
        <v>-310</v>
      </c>
      <c r="N50" s="873">
        <v>185</v>
      </c>
      <c r="O50" s="873">
        <v>23</v>
      </c>
      <c r="P50" s="873">
        <v>63.5</v>
      </c>
      <c r="Q50" s="709">
        <v>-271.5</v>
      </c>
      <c r="R50" s="873">
        <v>0</v>
      </c>
      <c r="S50" s="873">
        <v>0</v>
      </c>
      <c r="T50" s="873">
        <v>0</v>
      </c>
      <c r="U50" s="709">
        <v>0</v>
      </c>
      <c r="V50" s="873">
        <v>0</v>
      </c>
      <c r="W50" s="873">
        <v>0</v>
      </c>
      <c r="X50" s="873">
        <v>0</v>
      </c>
      <c r="Y50" s="709">
        <v>0</v>
      </c>
      <c r="Z50" s="873">
        <v>0</v>
      </c>
      <c r="AA50" s="873">
        <v>0</v>
      </c>
      <c r="AB50" s="873">
        <v>0</v>
      </c>
      <c r="AC50" s="709">
        <f>DR50-SUM(Z50:AB50)</f>
        <v>0</v>
      </c>
      <c r="AD50" s="873">
        <v>0</v>
      </c>
      <c r="AE50" s="873">
        <v>0</v>
      </c>
      <c r="AF50" s="873">
        <v>0</v>
      </c>
      <c r="AG50" s="709">
        <f>DS50-SUM(AD50:AF50)</f>
        <v>0</v>
      </c>
      <c r="AH50" s="873">
        <v>0</v>
      </c>
      <c r="AI50" s="873">
        <v>0</v>
      </c>
      <c r="AJ50" s="873">
        <v>0</v>
      </c>
      <c r="AK50" s="709">
        <f>DT50-SUM(AH50:AJ50)</f>
        <v>0</v>
      </c>
      <c r="AL50" s="873">
        <v>0</v>
      </c>
      <c r="AM50" s="873">
        <f>0-AL50</f>
        <v>0</v>
      </c>
      <c r="AN50" s="873">
        <v>0</v>
      </c>
      <c r="AO50" s="709">
        <f>DU50-SUM(AL50:AN50)</f>
        <v>0</v>
      </c>
      <c r="AP50" s="873">
        <v>0</v>
      </c>
      <c r="AQ50" s="873">
        <f>0-AP50</f>
        <v>0</v>
      </c>
      <c r="AR50" s="873">
        <f>0-AQ50-AP50</f>
        <v>0</v>
      </c>
      <c r="AS50" s="709">
        <f>DV50-SUM(AP50:AR50)</f>
        <v>0</v>
      </c>
      <c r="AT50" s="873">
        <v>0</v>
      </c>
      <c r="AU50" s="873">
        <f>0-AT50</f>
        <v>0</v>
      </c>
      <c r="AV50" s="873">
        <f>0-AT50-AU50</f>
        <v>0</v>
      </c>
      <c r="AW50" s="709">
        <v>0</v>
      </c>
      <c r="AX50" s="873">
        <v>0</v>
      </c>
      <c r="AY50" s="873">
        <f>0-AX50</f>
        <v>0</v>
      </c>
      <c r="AZ50" s="873">
        <f>0-AY50-AX50</f>
        <v>0</v>
      </c>
      <c r="BA50" s="709">
        <v>0</v>
      </c>
      <c r="BB50" s="873">
        <v>0</v>
      </c>
      <c r="BC50" s="873">
        <v>0</v>
      </c>
      <c r="BD50" s="873">
        <v>0</v>
      </c>
      <c r="BE50" s="709">
        <v>0</v>
      </c>
      <c r="BF50" s="873">
        <v>0</v>
      </c>
      <c r="BG50" s="873">
        <v>0</v>
      </c>
      <c r="BH50" s="873">
        <v>0</v>
      </c>
      <c r="BI50" s="709">
        <v>0</v>
      </c>
      <c r="BJ50" s="873">
        <v>0</v>
      </c>
      <c r="BK50" s="873">
        <v>0</v>
      </c>
      <c r="BL50" s="873">
        <v>0</v>
      </c>
      <c r="BM50" s="874">
        <v>0</v>
      </c>
      <c r="BN50" s="898">
        <v>0</v>
      </c>
      <c r="BO50" s="898">
        <v>0</v>
      </c>
      <c r="BP50" s="898">
        <v>0</v>
      </c>
      <c r="BQ50" s="909">
        <v>0</v>
      </c>
      <c r="BR50" s="898">
        <v>0</v>
      </c>
      <c r="BS50" s="898">
        <v>0</v>
      </c>
      <c r="BT50" s="898">
        <v>0</v>
      </c>
      <c r="BU50" s="909">
        <v>0</v>
      </c>
      <c r="BV50" s="898">
        <v>0</v>
      </c>
      <c r="BW50" s="898">
        <v>0</v>
      </c>
      <c r="BX50" s="898">
        <v>0</v>
      </c>
      <c r="BY50" s="909">
        <v>0</v>
      </c>
      <c r="BZ50" s="898">
        <v>0</v>
      </c>
      <c r="CA50" s="898">
        <v>0</v>
      </c>
      <c r="CB50" s="898">
        <v>0</v>
      </c>
      <c r="CC50" s="909">
        <v>0</v>
      </c>
      <c r="CD50" s="917">
        <v>0</v>
      </c>
      <c r="CE50" s="910">
        <v>0</v>
      </c>
      <c r="CF50" s="910">
        <v>0</v>
      </c>
      <c r="CG50" s="909">
        <v>0</v>
      </c>
      <c r="CH50" s="1386">
        <v>0</v>
      </c>
      <c r="CI50" s="1460">
        <v>0</v>
      </c>
      <c r="CJ50" s="830">
        <f>0-CI50-CH50</f>
        <v>0</v>
      </c>
      <c r="CK50" s="828">
        <f t="shared" si="94"/>
        <v>0</v>
      </c>
      <c r="CL50" s="1631">
        <v>0</v>
      </c>
      <c r="CM50" s="1447">
        <v>0</v>
      </c>
      <c r="CN50" s="1447"/>
      <c r="CO50" s="1448">
        <f t="shared" si="95"/>
        <v>0</v>
      </c>
      <c r="CP50" s="1447">
        <v>0</v>
      </c>
      <c r="CQ50" s="1447">
        <v>0</v>
      </c>
      <c r="CR50" s="1447">
        <v>0</v>
      </c>
      <c r="CS50" s="1448">
        <f t="shared" si="96"/>
        <v>0</v>
      </c>
      <c r="CT50" s="1447">
        <v>0</v>
      </c>
      <c r="CU50" s="1447">
        <v>0</v>
      </c>
      <c r="CV50" s="1447">
        <v>0</v>
      </c>
      <c r="CW50" s="1448">
        <f t="shared" si="97"/>
        <v>0</v>
      </c>
      <c r="CX50" s="2752">
        <v>0</v>
      </c>
      <c r="CY50" s="1653">
        <v>0</v>
      </c>
      <c r="CZ50" s="1653">
        <v>0</v>
      </c>
      <c r="DA50" s="1611">
        <v>0</v>
      </c>
      <c r="DB50" s="667"/>
      <c r="DC50" s="524"/>
      <c r="DD50" s="47">
        <v>-0.35799999999999998</v>
      </c>
      <c r="DE50" s="47">
        <v>1.6759999999999999</v>
      </c>
      <c r="DF50" s="47">
        <v>-3.0960000000000001</v>
      </c>
      <c r="DG50" s="47">
        <v>4.2350000000000003</v>
      </c>
      <c r="DH50" s="47">
        <v>-3.0760000000000001</v>
      </c>
      <c r="DI50" s="47">
        <v>73.2</v>
      </c>
      <c r="DJ50" s="47">
        <v>47.2</v>
      </c>
      <c r="DK50" s="47">
        <v>298.89999999999998</v>
      </c>
      <c r="DL50" s="873">
        <f>+E50+D50+C50+B50</f>
        <v>79.5</v>
      </c>
      <c r="DM50" s="873">
        <f t="shared" si="103"/>
        <v>275</v>
      </c>
      <c r="DN50" s="873">
        <f>+J50+K50+L50+M50</f>
        <v>0</v>
      </c>
      <c r="DO50" s="873">
        <f>+N50+O50+P50+Q50</f>
        <v>0</v>
      </c>
      <c r="DP50" s="873">
        <f>+R50+S50+T50+U50</f>
        <v>0</v>
      </c>
      <c r="DQ50" s="873">
        <f>+V50+W50+X50+Y50</f>
        <v>0</v>
      </c>
      <c r="DR50" s="873">
        <v>0</v>
      </c>
      <c r="DS50" s="873">
        <v>0</v>
      </c>
      <c r="DT50" s="873">
        <v>0</v>
      </c>
      <c r="DU50" s="873">
        <v>0</v>
      </c>
      <c r="DV50" s="873">
        <v>0</v>
      </c>
      <c r="DW50" s="873">
        <v>0</v>
      </c>
      <c r="DX50" s="873">
        <v>0</v>
      </c>
      <c r="DY50" s="873">
        <v>0</v>
      </c>
      <c r="DZ50" s="873">
        <v>0</v>
      </c>
      <c r="EA50" s="873">
        <v>0</v>
      </c>
      <c r="EB50" s="915">
        <v>0</v>
      </c>
      <c r="EC50" s="915">
        <v>0</v>
      </c>
      <c r="ED50" s="915">
        <v>0</v>
      </c>
      <c r="EE50" s="898">
        <v>0</v>
      </c>
      <c r="EF50" s="917">
        <v>0</v>
      </c>
      <c r="EG50" s="920">
        <v>0</v>
      </c>
      <c r="EH50" s="829">
        <f t="shared" si="98"/>
        <v>0</v>
      </c>
      <c r="EI50" s="829">
        <v>0</v>
      </c>
      <c r="EJ50" s="829">
        <v>0</v>
      </c>
      <c r="EK50" s="56">
        <v>0</v>
      </c>
      <c r="EL50" s="56">
        <v>0</v>
      </c>
      <c r="EM50" s="1696">
        <f t="shared" si="99"/>
        <v>0</v>
      </c>
      <c r="EN50" s="830">
        <v>0</v>
      </c>
      <c r="EO50" s="830">
        <v>0</v>
      </c>
      <c r="EP50" s="830">
        <v>0</v>
      </c>
      <c r="EQ50" s="830">
        <v>0</v>
      </c>
      <c r="ER50" s="830">
        <v>0</v>
      </c>
      <c r="ES50" s="830">
        <v>0</v>
      </c>
      <c r="ET50" s="830">
        <v>0</v>
      </c>
      <c r="EU50" s="828">
        <v>0</v>
      </c>
      <c r="EV50" s="413"/>
      <c r="EW50"/>
      <c r="EX50"/>
      <c r="EY50"/>
      <c r="EZ50"/>
      <c r="FA50"/>
      <c r="FB50"/>
      <c r="FG50" s="830"/>
      <c r="FH50" s="830"/>
      <c r="FI50" s="830"/>
      <c r="FJ50" s="830"/>
      <c r="FK50" s="830"/>
      <c r="FL50"/>
      <c r="FM50"/>
      <c r="FN50"/>
      <c r="FO50"/>
      <c r="FP50"/>
      <c r="FQ50"/>
      <c r="FR50"/>
      <c r="FS50"/>
      <c r="FT50"/>
      <c r="FU50"/>
      <c r="FV50"/>
      <c r="FW50"/>
      <c r="FX50"/>
      <c r="FY50"/>
      <c r="FZ50"/>
      <c r="GA50"/>
      <c r="GB50"/>
      <c r="GC50"/>
      <c r="GD50"/>
      <c r="GE50"/>
      <c r="GF50"/>
      <c r="GG50"/>
      <c r="GH50"/>
      <c r="GI50"/>
      <c r="GJ50"/>
      <c r="GK50"/>
      <c r="GL50"/>
      <c r="GM50"/>
      <c r="GN50"/>
      <c r="GO50"/>
      <c r="GP50"/>
      <c r="GQ50"/>
      <c r="GR50"/>
      <c r="GS50"/>
      <c r="GT50"/>
      <c r="GU50"/>
      <c r="GV50"/>
      <c r="GW50"/>
      <c r="GX50"/>
      <c r="GY50"/>
      <c r="GZ50"/>
      <c r="HA50"/>
      <c r="HB50"/>
      <c r="HC50"/>
      <c r="HD50"/>
      <c r="HE50"/>
      <c r="HF50"/>
      <c r="HG50"/>
      <c r="HH50"/>
      <c r="HI50"/>
      <c r="HJ50"/>
      <c r="HK50"/>
      <c r="HL50"/>
      <c r="HM50"/>
      <c r="HN50"/>
      <c r="HO50"/>
      <c r="HP50"/>
      <c r="HQ50"/>
      <c r="HR50"/>
      <c r="HS50"/>
      <c r="HT50"/>
      <c r="HU50"/>
      <c r="HV50"/>
      <c r="HW50"/>
      <c r="HX50"/>
      <c r="HY50"/>
      <c r="HZ50"/>
      <c r="IA50"/>
      <c r="IB50"/>
      <c r="IC50"/>
      <c r="ID50"/>
      <c r="IE50"/>
      <c r="IF50"/>
      <c r="IG50"/>
      <c r="IH50"/>
      <c r="II50"/>
      <c r="IJ50"/>
      <c r="IK50"/>
      <c r="IL50"/>
      <c r="IM50"/>
      <c r="IN50"/>
      <c r="IO50"/>
      <c r="IP50"/>
      <c r="IQ50"/>
      <c r="IR50"/>
      <c r="IS50"/>
      <c r="IT50"/>
      <c r="IU50"/>
      <c r="IV50"/>
      <c r="IW50"/>
      <c r="IX50"/>
      <c r="IY50"/>
      <c r="IZ50"/>
    </row>
    <row r="51" spans="1:260" s="4" customFormat="1" x14ac:dyDescent="0.2">
      <c r="A51" s="179" t="s">
        <v>537</v>
      </c>
      <c r="B51" s="873">
        <v>-63</v>
      </c>
      <c r="C51" s="873">
        <f>-63-B51</f>
        <v>0</v>
      </c>
      <c r="D51" s="873">
        <v>63</v>
      </c>
      <c r="E51" s="709">
        <v>-83.2</v>
      </c>
      <c r="F51" s="873">
        <v>-26.3</v>
      </c>
      <c r="G51" s="873">
        <f>-227.8-F51</f>
        <v>-201.5</v>
      </c>
      <c r="H51" s="873">
        <v>227.8</v>
      </c>
      <c r="I51" s="709">
        <v>-275</v>
      </c>
      <c r="J51" s="873">
        <v>0</v>
      </c>
      <c r="K51" s="873">
        <v>0</v>
      </c>
      <c r="L51" s="873">
        <v>0</v>
      </c>
      <c r="M51" s="709">
        <v>0</v>
      </c>
      <c r="N51" s="873">
        <v>0</v>
      </c>
      <c r="O51" s="873">
        <v>0</v>
      </c>
      <c r="P51" s="873">
        <v>0</v>
      </c>
      <c r="Q51" s="709">
        <v>0</v>
      </c>
      <c r="R51" s="873">
        <v>0</v>
      </c>
      <c r="S51" s="873">
        <v>0</v>
      </c>
      <c r="T51" s="873">
        <v>0</v>
      </c>
      <c r="U51" s="709">
        <v>0</v>
      </c>
      <c r="V51" s="873">
        <v>0</v>
      </c>
      <c r="W51" s="873">
        <v>0</v>
      </c>
      <c r="X51" s="873">
        <v>0</v>
      </c>
      <c r="Y51" s="709">
        <v>0</v>
      </c>
      <c r="Z51" s="873">
        <v>0</v>
      </c>
      <c r="AA51" s="873">
        <v>0</v>
      </c>
      <c r="AB51" s="873">
        <v>0</v>
      </c>
      <c r="AC51" s="709">
        <f>DR51-SUM(Z51:AB51)</f>
        <v>0</v>
      </c>
      <c r="AD51" s="873">
        <v>0</v>
      </c>
      <c r="AE51" s="873">
        <v>0</v>
      </c>
      <c r="AF51" s="873">
        <v>0</v>
      </c>
      <c r="AG51" s="709">
        <f>DS51-SUM(AD51:AF51)</f>
        <v>0</v>
      </c>
      <c r="AH51" s="873">
        <v>0</v>
      </c>
      <c r="AI51" s="873">
        <v>0</v>
      </c>
      <c r="AJ51" s="873">
        <v>0</v>
      </c>
      <c r="AK51" s="709">
        <f>DT51-SUM(AH51:AJ51)</f>
        <v>0</v>
      </c>
      <c r="AL51" s="873">
        <v>0</v>
      </c>
      <c r="AM51" s="873">
        <f>0-AL51</f>
        <v>0</v>
      </c>
      <c r="AN51" s="873">
        <v>0</v>
      </c>
      <c r="AO51" s="709">
        <f>DU51-SUM(AL51:AN51)</f>
        <v>0</v>
      </c>
      <c r="AP51" s="873">
        <v>0</v>
      </c>
      <c r="AQ51" s="873">
        <f>0-AP51</f>
        <v>0</v>
      </c>
      <c r="AR51" s="873">
        <f>0-AQ51-AP51</f>
        <v>0</v>
      </c>
      <c r="AS51" s="709">
        <f>DV51-SUM(AP51:AR51)</f>
        <v>0</v>
      </c>
      <c r="AT51" s="873">
        <v>0</v>
      </c>
      <c r="AU51" s="873">
        <f>0-AT51</f>
        <v>0</v>
      </c>
      <c r="AV51" s="873">
        <f>0-AT51-AU51</f>
        <v>0</v>
      </c>
      <c r="AW51" s="709">
        <v>0</v>
      </c>
      <c r="AX51" s="873">
        <v>0</v>
      </c>
      <c r="AY51" s="873">
        <f>0-AX51</f>
        <v>0</v>
      </c>
      <c r="AZ51" s="873">
        <f>0-AY51-AX51</f>
        <v>0</v>
      </c>
      <c r="BA51" s="709">
        <v>0</v>
      </c>
      <c r="BB51" s="873">
        <v>0</v>
      </c>
      <c r="BC51" s="873">
        <v>0</v>
      </c>
      <c r="BD51" s="873">
        <v>0</v>
      </c>
      <c r="BE51" s="709">
        <v>0</v>
      </c>
      <c r="BF51" s="873">
        <v>0</v>
      </c>
      <c r="BG51" s="873">
        <v>0</v>
      </c>
      <c r="BH51" s="873">
        <v>0</v>
      </c>
      <c r="BI51" s="709">
        <v>0</v>
      </c>
      <c r="BJ51" s="873">
        <v>0</v>
      </c>
      <c r="BK51" s="873">
        <v>0</v>
      </c>
      <c r="BL51" s="873">
        <v>0</v>
      </c>
      <c r="BM51" s="874">
        <v>0</v>
      </c>
      <c r="BN51" s="898">
        <v>0</v>
      </c>
      <c r="BO51" s="898">
        <v>0</v>
      </c>
      <c r="BP51" s="898">
        <v>0</v>
      </c>
      <c r="BQ51" s="909">
        <v>0</v>
      </c>
      <c r="BR51" s="898">
        <v>0</v>
      </c>
      <c r="BS51" s="898">
        <v>0</v>
      </c>
      <c r="BT51" s="898">
        <v>0</v>
      </c>
      <c r="BU51" s="909">
        <v>0</v>
      </c>
      <c r="BV51" s="898">
        <v>0</v>
      </c>
      <c r="BW51" s="898">
        <v>0</v>
      </c>
      <c r="BX51" s="898">
        <v>0</v>
      </c>
      <c r="BY51" s="909">
        <v>0</v>
      </c>
      <c r="BZ51" s="898">
        <v>0</v>
      </c>
      <c r="CA51" s="898">
        <v>0</v>
      </c>
      <c r="CB51" s="898">
        <v>0</v>
      </c>
      <c r="CC51" s="909">
        <v>0</v>
      </c>
      <c r="CD51" s="917">
        <v>0</v>
      </c>
      <c r="CE51" s="910">
        <v>0</v>
      </c>
      <c r="CF51" s="910">
        <v>0</v>
      </c>
      <c r="CG51" s="909">
        <v>0</v>
      </c>
      <c r="CH51" s="1386">
        <v>0</v>
      </c>
      <c r="CI51" s="1460">
        <v>0</v>
      </c>
      <c r="CJ51" s="830">
        <f>-19-CI51-CH51</f>
        <v>-19</v>
      </c>
      <c r="CK51" s="828">
        <f t="shared" si="94"/>
        <v>-5</v>
      </c>
      <c r="CL51" s="1631">
        <v>0</v>
      </c>
      <c r="CM51" s="1447">
        <v>0</v>
      </c>
      <c r="CN51" s="1447"/>
      <c r="CO51" s="1448">
        <f t="shared" si="95"/>
        <v>-28</v>
      </c>
      <c r="CP51" s="1447">
        <v>-362</v>
      </c>
      <c r="CQ51" s="1447">
        <f>-374-CP51</f>
        <v>-12</v>
      </c>
      <c r="CR51" s="1447">
        <f>-384-SUM(CP51:CQ51)</f>
        <v>-10</v>
      </c>
      <c r="CS51" s="1448">
        <f t="shared" si="96"/>
        <v>-10</v>
      </c>
      <c r="CT51" s="1447">
        <v>0</v>
      </c>
      <c r="CU51" s="1447">
        <f>0-CT51</f>
        <v>0</v>
      </c>
      <c r="CV51" s="1447">
        <v>0</v>
      </c>
      <c r="CW51" s="1448">
        <f t="shared" si="97"/>
        <v>-46</v>
      </c>
      <c r="CX51" s="2752">
        <v>0</v>
      </c>
      <c r="CY51" s="1653">
        <v>0</v>
      </c>
      <c r="CZ51" s="1653">
        <v>0</v>
      </c>
      <c r="DA51" s="1611">
        <v>0</v>
      </c>
      <c r="DB51" s="667"/>
      <c r="DC51" s="524"/>
      <c r="DD51" s="47">
        <v>0</v>
      </c>
      <c r="DE51" s="47">
        <v>0</v>
      </c>
      <c r="DF51" s="47">
        <v>0</v>
      </c>
      <c r="DG51" s="47">
        <v>0</v>
      </c>
      <c r="DH51" s="47">
        <v>0</v>
      </c>
      <c r="DI51" s="47">
        <v>-73.2</v>
      </c>
      <c r="DJ51" s="47">
        <v>-47.2</v>
      </c>
      <c r="DK51" s="47">
        <v>-295.2</v>
      </c>
      <c r="DL51" s="873">
        <f>+E51+D51+C51+B51</f>
        <v>-83.2</v>
      </c>
      <c r="DM51" s="873">
        <f t="shared" si="103"/>
        <v>-275</v>
      </c>
      <c r="DN51" s="873">
        <f>+J51+K51+L51+M51</f>
        <v>0</v>
      </c>
      <c r="DO51" s="873">
        <f>+N51+O51+P51+Q51</f>
        <v>0</v>
      </c>
      <c r="DP51" s="873">
        <f>+R51+S51+T51+U51</f>
        <v>0</v>
      </c>
      <c r="DQ51" s="873">
        <f>+V51+W51+X51+Y51</f>
        <v>0</v>
      </c>
      <c r="DR51" s="873">
        <v>0</v>
      </c>
      <c r="DS51" s="873">
        <v>0</v>
      </c>
      <c r="DT51" s="873">
        <v>0</v>
      </c>
      <c r="DU51" s="873">
        <v>0</v>
      </c>
      <c r="DV51" s="873">
        <v>0</v>
      </c>
      <c r="DW51" s="873">
        <v>0</v>
      </c>
      <c r="DX51" s="873">
        <v>0</v>
      </c>
      <c r="DY51" s="873">
        <v>0</v>
      </c>
      <c r="DZ51" s="873">
        <v>0</v>
      </c>
      <c r="EA51" s="873">
        <v>0</v>
      </c>
      <c r="EB51" s="915">
        <v>0</v>
      </c>
      <c r="EC51" s="915">
        <v>0</v>
      </c>
      <c r="ED51" s="915">
        <v>0</v>
      </c>
      <c r="EE51" s="898">
        <v>0</v>
      </c>
      <c r="EF51" s="917">
        <v>0</v>
      </c>
      <c r="EG51" s="920">
        <v>0</v>
      </c>
      <c r="EH51" s="829">
        <f t="shared" si="98"/>
        <v>0</v>
      </c>
      <c r="EI51" s="829">
        <v>-24</v>
      </c>
      <c r="EJ51" s="829">
        <v>-28</v>
      </c>
      <c r="EK51" s="56">
        <v>-394</v>
      </c>
      <c r="EL51" s="56">
        <v>-46</v>
      </c>
      <c r="EM51" s="1696">
        <f t="shared" si="99"/>
        <v>0</v>
      </c>
      <c r="EN51" s="830">
        <v>0</v>
      </c>
      <c r="EO51" s="830">
        <v>0</v>
      </c>
      <c r="EP51" s="830">
        <v>0</v>
      </c>
      <c r="EQ51" s="830">
        <v>0</v>
      </c>
      <c r="ER51" s="830">
        <v>0</v>
      </c>
      <c r="ES51" s="830">
        <v>0</v>
      </c>
      <c r="ET51" s="830">
        <v>0</v>
      </c>
      <c r="EU51" s="828">
        <v>0</v>
      </c>
      <c r="EV51" s="413"/>
      <c r="EW51"/>
      <c r="EX51"/>
      <c r="EY51"/>
      <c r="EZ51"/>
      <c r="FA51"/>
      <c r="FB51"/>
      <c r="FG51" s="830"/>
      <c r="FH51" s="830"/>
      <c r="FI51" s="830"/>
      <c r="FJ51" s="830"/>
      <c r="FK51" s="830"/>
      <c r="FL51"/>
      <c r="FM51"/>
      <c r="FN51"/>
      <c r="FO51"/>
      <c r="FP51"/>
      <c r="FQ51"/>
      <c r="FR51"/>
      <c r="FS51"/>
      <c r="FT51"/>
      <c r="FU51"/>
      <c r="FV51"/>
      <c r="FW51"/>
      <c r="FX51"/>
      <c r="FY51"/>
      <c r="FZ51"/>
      <c r="GA51"/>
      <c r="GB51"/>
      <c r="GC51"/>
      <c r="GD51"/>
      <c r="GE51"/>
      <c r="GF51"/>
      <c r="GG51"/>
      <c r="GH51"/>
      <c r="GI51"/>
      <c r="GJ51"/>
      <c r="GK51"/>
      <c r="GL51"/>
      <c r="GM51"/>
      <c r="GN51"/>
      <c r="GO51"/>
      <c r="GP51"/>
      <c r="GQ51"/>
      <c r="GR51"/>
      <c r="GS51"/>
      <c r="GT51"/>
      <c r="GU51"/>
      <c r="GV51"/>
      <c r="GW51"/>
      <c r="GX51"/>
      <c r="GY51"/>
      <c r="GZ51"/>
      <c r="HA51"/>
      <c r="HB51"/>
      <c r="HC51"/>
      <c r="HD51"/>
      <c r="HE51"/>
      <c r="HF51"/>
      <c r="HG51"/>
      <c r="HH51"/>
      <c r="HI51"/>
      <c r="HJ51"/>
      <c r="HK51"/>
      <c r="HL51"/>
      <c r="HM51"/>
      <c r="HN51"/>
      <c r="HO51"/>
      <c r="HP51"/>
      <c r="HQ51"/>
      <c r="HR51"/>
      <c r="HS51"/>
      <c r="HT51"/>
      <c r="HU51"/>
      <c r="HV51"/>
      <c r="HW51"/>
      <c r="HX51"/>
      <c r="HY51"/>
      <c r="HZ51"/>
      <c r="IA51"/>
      <c r="IB51"/>
      <c r="IC51"/>
      <c r="ID51"/>
      <c r="IE51"/>
      <c r="IF51"/>
      <c r="IG51"/>
      <c r="IH51"/>
      <c r="II51"/>
      <c r="IJ51"/>
      <c r="IK51"/>
      <c r="IL51"/>
      <c r="IM51"/>
      <c r="IN51"/>
      <c r="IO51"/>
      <c r="IP51"/>
      <c r="IQ51"/>
      <c r="IR51"/>
      <c r="IS51"/>
      <c r="IT51"/>
      <c r="IU51"/>
      <c r="IV51"/>
      <c r="IW51"/>
      <c r="IX51"/>
      <c r="IY51"/>
      <c r="IZ51"/>
    </row>
    <row r="52" spans="1:260" s="4" customFormat="1" x14ac:dyDescent="0.2">
      <c r="A52" s="35" t="s">
        <v>538</v>
      </c>
      <c r="B52" s="47">
        <v>0.877</v>
      </c>
      <c r="C52" s="47">
        <f>5.311-B52</f>
        <v>4.4340000000000002</v>
      </c>
      <c r="D52" s="47">
        <v>155</v>
      </c>
      <c r="E52" s="709">
        <v>-1E-3</v>
      </c>
      <c r="F52" s="47">
        <v>0</v>
      </c>
      <c r="G52" s="47">
        <f>0-F52</f>
        <v>0</v>
      </c>
      <c r="H52" s="47">
        <v>21.404</v>
      </c>
      <c r="I52" s="709">
        <v>2.4999999999998579E-2</v>
      </c>
      <c r="J52" s="47">
        <v>0</v>
      </c>
      <c r="K52" s="47">
        <v>0</v>
      </c>
      <c r="L52" s="47">
        <v>0</v>
      </c>
      <c r="M52" s="709">
        <v>0</v>
      </c>
      <c r="N52" s="47">
        <v>5</v>
      </c>
      <c r="O52" s="47">
        <v>8</v>
      </c>
      <c r="P52" s="47">
        <v>8.5420000000000016</v>
      </c>
      <c r="Q52" s="709">
        <v>12</v>
      </c>
      <c r="R52" s="47">
        <v>0</v>
      </c>
      <c r="S52" s="47">
        <v>10</v>
      </c>
      <c r="T52" s="47">
        <v>0</v>
      </c>
      <c r="U52" s="709">
        <v>0</v>
      </c>
      <c r="V52" s="47">
        <v>0</v>
      </c>
      <c r="W52" s="47">
        <v>0</v>
      </c>
      <c r="X52" s="47">
        <v>0</v>
      </c>
      <c r="Y52" s="709">
        <v>0</v>
      </c>
      <c r="Z52" s="47">
        <v>0</v>
      </c>
      <c r="AA52" s="47">
        <v>0</v>
      </c>
      <c r="AB52" s="47">
        <v>0</v>
      </c>
      <c r="AC52" s="709">
        <f>DR52-SUM(Z52:AB52)</f>
        <v>0</v>
      </c>
      <c r="AD52" s="47">
        <v>0</v>
      </c>
      <c r="AE52" s="47">
        <v>0</v>
      </c>
      <c r="AF52" s="47">
        <v>0</v>
      </c>
      <c r="AG52" s="709">
        <f>DS52-SUM(AD52:AF52)</f>
        <v>0</v>
      </c>
      <c r="AH52" s="47">
        <v>0</v>
      </c>
      <c r="AI52" s="47">
        <f>330-AH52</f>
        <v>330</v>
      </c>
      <c r="AJ52" s="47">
        <f>330-SUM(AH52:AI52)</f>
        <v>0</v>
      </c>
      <c r="AK52" s="709">
        <f>DT52-SUM(AH52:AJ52)</f>
        <v>396</v>
      </c>
      <c r="AL52" s="47">
        <v>0</v>
      </c>
      <c r="AM52" s="47">
        <v>12</v>
      </c>
      <c r="AN52" s="47">
        <v>5</v>
      </c>
      <c r="AO52" s="709">
        <f>DU52-SUM(AL52:AN52)</f>
        <v>1</v>
      </c>
      <c r="AP52" s="47">
        <v>0</v>
      </c>
      <c r="AQ52" s="47">
        <f>0-AP52</f>
        <v>0</v>
      </c>
      <c r="AR52" s="47">
        <f>0-AQ52-AP52</f>
        <v>0</v>
      </c>
      <c r="AS52" s="709">
        <f>DV52-SUM(AP52:AR52)</f>
        <v>0</v>
      </c>
      <c r="AT52" s="47">
        <v>0</v>
      </c>
      <c r="AU52" s="47">
        <f>0-AT52</f>
        <v>0</v>
      </c>
      <c r="AV52" s="47">
        <f>0-AT52-AU52</f>
        <v>0</v>
      </c>
      <c r="AW52" s="709">
        <f>DW52-SUM(AT52:AV52)</f>
        <v>0</v>
      </c>
      <c r="AX52" s="47">
        <v>3</v>
      </c>
      <c r="AY52" s="47">
        <f>7-AX52</f>
        <v>4</v>
      </c>
      <c r="AZ52" s="47">
        <f>5-AY52-AX52</f>
        <v>-2</v>
      </c>
      <c r="BA52" s="709">
        <f>DX52-SUM(AX52:AZ52)</f>
        <v>31</v>
      </c>
      <c r="BB52" s="47">
        <v>17</v>
      </c>
      <c r="BC52" s="47">
        <f>38-BB52</f>
        <v>21</v>
      </c>
      <c r="BD52" s="47">
        <f>70-SUM(BB52:BC52)</f>
        <v>32</v>
      </c>
      <c r="BE52" s="709">
        <f>DY52-SUM(BB52:BD52)</f>
        <v>26</v>
      </c>
      <c r="BF52" s="47">
        <v>42</v>
      </c>
      <c r="BG52" s="47">
        <f>2861-BF52</f>
        <v>2819</v>
      </c>
      <c r="BH52" s="47">
        <f>4288-BG52-BF52</f>
        <v>1427</v>
      </c>
      <c r="BI52" s="709">
        <f>DZ52-BF52-BG52-BH52</f>
        <v>198</v>
      </c>
      <c r="BJ52" s="873">
        <v>627</v>
      </c>
      <c r="BK52" s="873">
        <f>2188-BJ52</f>
        <v>1561</v>
      </c>
      <c r="BL52" s="873">
        <f>4314-BJ52-BK52</f>
        <v>2126</v>
      </c>
      <c r="BM52" s="874">
        <f>EA52-BJ52-BK52-BL52</f>
        <v>1292</v>
      </c>
      <c r="BN52" s="898">
        <v>1806</v>
      </c>
      <c r="BO52" s="898">
        <f>2967-BN52</f>
        <v>1161</v>
      </c>
      <c r="BP52" s="898">
        <f>3593-BN52-BO52</f>
        <v>626</v>
      </c>
      <c r="BQ52" s="909">
        <f>EB52-BN52-BO52-BP52</f>
        <v>1539</v>
      </c>
      <c r="BR52" s="873">
        <v>463</v>
      </c>
      <c r="BS52" s="873">
        <f>955-BR52</f>
        <v>492</v>
      </c>
      <c r="BT52" s="873">
        <f>1925-BR52-BS52</f>
        <v>970</v>
      </c>
      <c r="BU52" s="874">
        <f>EC52-BR52-BS52-BT52</f>
        <v>1096</v>
      </c>
      <c r="BV52" s="873">
        <v>1375</v>
      </c>
      <c r="BW52" s="898">
        <f>1996-BV52</f>
        <v>621</v>
      </c>
      <c r="BX52" s="898">
        <f>2438-BW52-BV52</f>
        <v>442</v>
      </c>
      <c r="BY52" s="874">
        <f>ED52-BV52-BW52-BX52</f>
        <v>1483</v>
      </c>
      <c r="BZ52" s="898">
        <v>221</v>
      </c>
      <c r="CA52" s="898">
        <f>23-BZ52</f>
        <v>-198</v>
      </c>
      <c r="CB52" s="898">
        <f>1034-CA52-BZ52</f>
        <v>1011</v>
      </c>
      <c r="CC52" s="874">
        <f>EG52-BZ52-CA52-CB52</f>
        <v>1139</v>
      </c>
      <c r="CD52" s="917">
        <v>293</v>
      </c>
      <c r="CE52" s="910">
        <f>393-CD52</f>
        <v>100</v>
      </c>
      <c r="CF52" s="910">
        <f>2414-CE52-CD52</f>
        <v>2021</v>
      </c>
      <c r="CG52" s="909">
        <f>2414-CD52-CE52-CF52</f>
        <v>0</v>
      </c>
      <c r="CH52" s="1386">
        <v>0</v>
      </c>
      <c r="CI52" s="1460">
        <v>0</v>
      </c>
      <c r="CJ52" s="830">
        <f>0-CI52-CH52</f>
        <v>0</v>
      </c>
      <c r="CK52" s="828">
        <f t="shared" si="94"/>
        <v>0</v>
      </c>
      <c r="CL52" s="1631">
        <v>0</v>
      </c>
      <c r="CM52" s="1447">
        <v>0</v>
      </c>
      <c r="CN52" s="1447"/>
      <c r="CO52" s="1448">
        <f t="shared" si="95"/>
        <v>0</v>
      </c>
      <c r="CP52" s="1447">
        <v>0</v>
      </c>
      <c r="CQ52" s="1447">
        <v>0</v>
      </c>
      <c r="CR52" s="1447">
        <v>0</v>
      </c>
      <c r="CS52" s="1448">
        <f t="shared" si="96"/>
        <v>0</v>
      </c>
      <c r="CT52" s="1447">
        <v>0</v>
      </c>
      <c r="CU52" s="1447">
        <v>0</v>
      </c>
      <c r="CV52" s="1447">
        <v>0</v>
      </c>
      <c r="CW52" s="1448">
        <f t="shared" si="97"/>
        <v>0</v>
      </c>
      <c r="CX52" s="2752">
        <v>0</v>
      </c>
      <c r="CY52" s="1653">
        <v>450</v>
      </c>
      <c r="CZ52" s="1653">
        <v>0</v>
      </c>
      <c r="DA52" s="1611">
        <v>0</v>
      </c>
      <c r="DB52" s="667"/>
      <c r="DC52" s="524"/>
      <c r="DD52" s="47">
        <v>0</v>
      </c>
      <c r="DE52" s="47">
        <v>0</v>
      </c>
      <c r="DF52" s="47">
        <v>0</v>
      </c>
      <c r="DG52" s="47">
        <v>0</v>
      </c>
      <c r="DH52" s="47">
        <v>0</v>
      </c>
      <c r="DI52" s="47">
        <v>0</v>
      </c>
      <c r="DJ52" s="47">
        <v>15.018000000000001</v>
      </c>
      <c r="DK52" s="47">
        <v>29.7</v>
      </c>
      <c r="DL52" s="47">
        <f>+E52+D52+C52+B52</f>
        <v>160.31</v>
      </c>
      <c r="DM52" s="47">
        <f t="shared" si="103"/>
        <v>21.428999999999998</v>
      </c>
      <c r="DN52" s="47">
        <f>+J52+K52+L52+M52</f>
        <v>0</v>
      </c>
      <c r="DO52" s="47">
        <f>+N52+O52+P52+Q52</f>
        <v>33.542000000000002</v>
      </c>
      <c r="DP52" s="47">
        <f>+R52+S52+T52+U52</f>
        <v>10</v>
      </c>
      <c r="DQ52" s="47">
        <f>+V52+W52+X52+Y52</f>
        <v>0</v>
      </c>
      <c r="DR52" s="47">
        <v>0</v>
      </c>
      <c r="DS52" s="47">
        <v>0</v>
      </c>
      <c r="DT52" s="47">
        <v>726</v>
      </c>
      <c r="DU52" s="47">
        <v>18</v>
      </c>
      <c r="DV52" s="47">
        <v>0</v>
      </c>
      <c r="DW52" s="47">
        <v>0</v>
      </c>
      <c r="DX52" s="47">
        <v>36</v>
      </c>
      <c r="DY52" s="47">
        <v>96</v>
      </c>
      <c r="DZ52" s="47">
        <v>4486</v>
      </c>
      <c r="EA52" s="873">
        <v>5606</v>
      </c>
      <c r="EB52" s="915">
        <v>5132</v>
      </c>
      <c r="EC52" s="873">
        <f>3021</f>
        <v>3021</v>
      </c>
      <c r="ED52" s="915">
        <v>3921</v>
      </c>
      <c r="EE52" s="898">
        <v>0</v>
      </c>
      <c r="EF52" s="917">
        <v>0</v>
      </c>
      <c r="EG52" s="920">
        <v>2173</v>
      </c>
      <c r="EH52" s="829">
        <f t="shared" si="98"/>
        <v>2414</v>
      </c>
      <c r="EI52" s="829">
        <v>0</v>
      </c>
      <c r="EJ52" s="829">
        <v>0</v>
      </c>
      <c r="EK52" s="56">
        <v>0</v>
      </c>
      <c r="EL52" s="56">
        <v>0</v>
      </c>
      <c r="EM52" s="1696">
        <f t="shared" si="99"/>
        <v>450</v>
      </c>
      <c r="EN52" s="830">
        <v>350</v>
      </c>
      <c r="EO52" s="830">
        <v>250</v>
      </c>
      <c r="EP52" s="830">
        <v>1000</v>
      </c>
      <c r="EQ52" s="830">
        <v>0</v>
      </c>
      <c r="ER52" s="830">
        <v>0</v>
      </c>
      <c r="ES52" s="830">
        <v>500</v>
      </c>
      <c r="ET52" s="830">
        <v>0</v>
      </c>
      <c r="EU52" s="828">
        <v>0</v>
      </c>
      <c r="EV52" s="413"/>
      <c r="EW52"/>
      <c r="EX52"/>
      <c r="EY52"/>
      <c r="EZ52"/>
      <c r="FA52"/>
      <c r="FB52"/>
      <c r="FG52" s="830"/>
      <c r="FH52" s="830"/>
      <c r="FI52" s="830"/>
      <c r="FJ52" s="830"/>
      <c r="FK52" s="830"/>
      <c r="FL52"/>
      <c r="FM52"/>
      <c r="FN52"/>
      <c r="FO52"/>
      <c r="FP52"/>
      <c r="FQ52"/>
      <c r="FR52"/>
      <c r="FS52"/>
      <c r="FT52"/>
      <c r="FU52"/>
      <c r="FV52"/>
      <c r="FW52"/>
      <c r="FX52"/>
      <c r="FY52"/>
      <c r="FZ52"/>
      <c r="GA52"/>
      <c r="GB52"/>
      <c r="GC52"/>
      <c r="GD52"/>
      <c r="GE52"/>
      <c r="GF52"/>
      <c r="GG52"/>
      <c r="GH52"/>
      <c r="GI52"/>
      <c r="GJ52"/>
      <c r="GK52"/>
      <c r="GL52"/>
      <c r="GM52"/>
      <c r="GN52"/>
      <c r="GO52"/>
      <c r="GP52"/>
      <c r="GQ52"/>
      <c r="GR52"/>
      <c r="GS52"/>
      <c r="GT52"/>
      <c r="GU52"/>
      <c r="GV52"/>
      <c r="GW52"/>
      <c r="GX52"/>
      <c r="GY52"/>
      <c r="GZ52"/>
      <c r="HA52"/>
      <c r="HB52"/>
      <c r="HC52"/>
      <c r="HD52"/>
      <c r="HE52"/>
      <c r="HF52"/>
      <c r="HG52"/>
      <c r="HH52"/>
      <c r="HI52"/>
      <c r="HJ52"/>
      <c r="HK52"/>
      <c r="HL52"/>
      <c r="HM52"/>
      <c r="HN52"/>
      <c r="HO52"/>
      <c r="HP52"/>
      <c r="HQ52"/>
      <c r="HR52"/>
      <c r="HS52"/>
      <c r="HT52"/>
      <c r="HU52"/>
      <c r="HV52"/>
      <c r="HW52"/>
      <c r="HX52"/>
      <c r="HY52"/>
      <c r="HZ52"/>
      <c r="IA52"/>
      <c r="IB52"/>
      <c r="IC52"/>
      <c r="ID52"/>
      <c r="IE52"/>
      <c r="IF52"/>
      <c r="IG52"/>
      <c r="IH52"/>
      <c r="II52"/>
      <c r="IJ52"/>
      <c r="IK52"/>
      <c r="IL52"/>
      <c r="IM52"/>
      <c r="IN52"/>
      <c r="IO52"/>
      <c r="IP52"/>
      <c r="IQ52"/>
      <c r="IR52"/>
      <c r="IS52"/>
      <c r="IT52"/>
      <c r="IU52"/>
      <c r="IV52"/>
      <c r="IW52"/>
      <c r="IX52"/>
      <c r="IY52"/>
      <c r="IZ52"/>
    </row>
    <row r="53" spans="1:260" s="4" customFormat="1" x14ac:dyDescent="0.2">
      <c r="A53" s="35" t="s">
        <v>539</v>
      </c>
      <c r="B53" s="47">
        <v>0</v>
      </c>
      <c r="C53" s="47">
        <f>-2.777-B53</f>
        <v>-2.7770000000000001</v>
      </c>
      <c r="D53" s="47">
        <v>-1.7130000000000001</v>
      </c>
      <c r="E53" s="709">
        <v>-2.4870000000000001</v>
      </c>
      <c r="F53" s="47">
        <v>-2.0550000000000002</v>
      </c>
      <c r="G53" s="47">
        <f>-4.607-F53</f>
        <v>-2.552</v>
      </c>
      <c r="H53" s="47">
        <v>-2.2810000000000001</v>
      </c>
      <c r="I53" s="709">
        <v>-3.3109999999999995</v>
      </c>
      <c r="J53" s="47">
        <v>-3.6280000000000001</v>
      </c>
      <c r="K53" s="47">
        <v>-3.7030000000000003</v>
      </c>
      <c r="L53" s="47">
        <v>-3.3920000000000003</v>
      </c>
      <c r="M53" s="709">
        <v>-3.876999999999998</v>
      </c>
      <c r="N53" s="47">
        <v>-3.6379999999999999</v>
      </c>
      <c r="O53" s="47">
        <v>-13.255000000000001</v>
      </c>
      <c r="P53" s="47">
        <v>-4.4869999999999983</v>
      </c>
      <c r="Q53" s="709">
        <v>-4.3140000000000001</v>
      </c>
      <c r="R53" s="47">
        <v>-4.226</v>
      </c>
      <c r="S53" s="47">
        <v>-9.1039999999999992</v>
      </c>
      <c r="T53" s="47">
        <v>-4.7750000000000004</v>
      </c>
      <c r="U53" s="709">
        <v>-4.5890000000000022</v>
      </c>
      <c r="V53" s="47">
        <v>-3.6850000000000001</v>
      </c>
      <c r="W53" s="47">
        <v>-4.9349999999999996</v>
      </c>
      <c r="X53" s="47">
        <v>-153.411</v>
      </c>
      <c r="Y53" s="709">
        <v>-3.3649999999999807</v>
      </c>
      <c r="Z53" s="47">
        <v>-3.004</v>
      </c>
      <c r="AA53" s="47">
        <f>-24.777-Z53</f>
        <v>-21.773</v>
      </c>
      <c r="AB53" s="47">
        <f>-27.872-SUM(Z53:AA53)</f>
        <v>-3.0949999999999989</v>
      </c>
      <c r="AC53" s="709">
        <f>DR53-SUM(Z53:AB53)</f>
        <v>-2.0740000000000016</v>
      </c>
      <c r="AD53" s="47">
        <v>-2</v>
      </c>
      <c r="AE53" s="47">
        <f>-11-AD53</f>
        <v>-9</v>
      </c>
      <c r="AF53" s="47">
        <f>-13-SUM(AD53:AE53)</f>
        <v>-2</v>
      </c>
      <c r="AG53" s="709">
        <f>DS53-SUM(AD53:AF53)</f>
        <v>-4</v>
      </c>
      <c r="AH53" s="47">
        <v>-100</v>
      </c>
      <c r="AI53" s="47">
        <f>-278-AH53</f>
        <v>-178</v>
      </c>
      <c r="AJ53" s="47">
        <f>-283-SUM(AH53:AI53)</f>
        <v>-5</v>
      </c>
      <c r="AK53" s="709">
        <f>DT53-SUM(AH53:AJ53)</f>
        <v>278</v>
      </c>
      <c r="AL53" s="47">
        <v>-2</v>
      </c>
      <c r="AM53" s="47">
        <v>-40</v>
      </c>
      <c r="AN53" s="47">
        <v>-8</v>
      </c>
      <c r="AO53" s="709">
        <f>DU53-SUM(AL53:AN53)</f>
        <v>37</v>
      </c>
      <c r="AP53" s="47">
        <v>0</v>
      </c>
      <c r="AQ53" s="47">
        <f>-8-AP53</f>
        <v>-8</v>
      </c>
      <c r="AR53" s="47">
        <f>-13-AQ53-AP53</f>
        <v>-5</v>
      </c>
      <c r="AS53" s="709">
        <f>DV53-SUM(AP53:AR53)</f>
        <v>-4</v>
      </c>
      <c r="AT53" s="47">
        <v>-5</v>
      </c>
      <c r="AU53" s="47">
        <f>-363-AT53</f>
        <v>-358</v>
      </c>
      <c r="AV53" s="47">
        <f>-365-AT53-AU53</f>
        <v>-2</v>
      </c>
      <c r="AW53" s="709">
        <f>DW53-SUM(AT53:AV53)</f>
        <v>-6</v>
      </c>
      <c r="AX53" s="47">
        <v>-62</v>
      </c>
      <c r="AY53" s="47">
        <f>-66-AX53</f>
        <v>-4</v>
      </c>
      <c r="AZ53" s="47">
        <f>-68-AY53-AX53</f>
        <v>-2</v>
      </c>
      <c r="BA53" s="709">
        <f>DX53-SUM(AX53:AZ53)</f>
        <v>-1</v>
      </c>
      <c r="BB53" s="47">
        <v>-2</v>
      </c>
      <c r="BC53" s="47">
        <f>-7-BB53</f>
        <v>-5</v>
      </c>
      <c r="BD53" s="47">
        <f>-62-SUM(BB53:BC53)</f>
        <v>-55</v>
      </c>
      <c r="BE53" s="709">
        <f>DY53-SUM(BB53:BD53)</f>
        <v>-22</v>
      </c>
      <c r="BF53" s="47">
        <v>-35</v>
      </c>
      <c r="BG53" s="47">
        <f>-1538-BF53</f>
        <v>-1503</v>
      </c>
      <c r="BH53" s="47">
        <f>-3986-BG53-BF53</f>
        <v>-2448</v>
      </c>
      <c r="BI53" s="709">
        <f>DZ53-BF53-BG53-BH53</f>
        <v>-367</v>
      </c>
      <c r="BJ53" s="873">
        <v>-313</v>
      </c>
      <c r="BK53" s="873">
        <f>-614-BJ53</f>
        <v>-301</v>
      </c>
      <c r="BL53" s="873">
        <f>-2082-BJ53-BK53</f>
        <v>-1468</v>
      </c>
      <c r="BM53" s="874">
        <f>EA53-BJ53-BK53-BL53</f>
        <v>-2630</v>
      </c>
      <c r="BN53" s="898">
        <v>-1558</v>
      </c>
      <c r="BO53" s="898">
        <f>-2680-BN53</f>
        <v>-1122</v>
      </c>
      <c r="BP53" s="898">
        <f>-3703-BN53-BO53</f>
        <v>-1023</v>
      </c>
      <c r="BQ53" s="909">
        <f>EB53-BN53-BO53-BP53</f>
        <v>-1639</v>
      </c>
      <c r="BR53" s="873">
        <v>-907</v>
      </c>
      <c r="BS53" s="873">
        <f>-1207-BR53</f>
        <v>-300</v>
      </c>
      <c r="BT53" s="873">
        <f>-1884-BR53-BS53</f>
        <v>-677</v>
      </c>
      <c r="BU53" s="874">
        <f>EC53-BR53-BS53-BT53</f>
        <v>-1236</v>
      </c>
      <c r="BV53" s="873">
        <v>-913</v>
      </c>
      <c r="BW53" s="873">
        <f>-1187-BV53</f>
        <v>-274</v>
      </c>
      <c r="BX53" s="873">
        <f>-1870-BW53-BV53</f>
        <v>-683</v>
      </c>
      <c r="BY53" s="874">
        <f>ED53-BV53-BW53-BX53</f>
        <v>-1542</v>
      </c>
      <c r="BZ53" s="898">
        <v>-416</v>
      </c>
      <c r="CA53" s="873">
        <f>0-BZ53</f>
        <v>416</v>
      </c>
      <c r="CB53" s="873">
        <f>-1234-CA53-BZ53</f>
        <v>-1234</v>
      </c>
      <c r="CC53" s="874">
        <f>EG53-BZ53-CA53-CB53</f>
        <v>-869</v>
      </c>
      <c r="CD53" s="917">
        <v>-885</v>
      </c>
      <c r="CE53" s="947">
        <f>0-CD53</f>
        <v>885</v>
      </c>
      <c r="CF53" s="947">
        <f>-2027-CE53-CD53</f>
        <v>-2027</v>
      </c>
      <c r="CG53" s="909">
        <f>-2033-CD53-CE53-CF53</f>
        <v>-6</v>
      </c>
      <c r="CH53" s="1386">
        <v>-6</v>
      </c>
      <c r="CI53" s="1460">
        <f>-12-CH53</f>
        <v>-6</v>
      </c>
      <c r="CJ53" s="830">
        <f>0-CI53-CH53</f>
        <v>12</v>
      </c>
      <c r="CK53" s="828">
        <f t="shared" si="94"/>
        <v>0</v>
      </c>
      <c r="CL53" s="1631">
        <v>-8</v>
      </c>
      <c r="CM53" s="1447">
        <f>-13-CL53</f>
        <v>-5</v>
      </c>
      <c r="CN53" s="1447">
        <f>-18-SUM(CL53:CM53)</f>
        <v>-5</v>
      </c>
      <c r="CO53" s="1448">
        <f t="shared" si="95"/>
        <v>18</v>
      </c>
      <c r="CP53" s="1447"/>
      <c r="CQ53" s="1447"/>
      <c r="CR53" s="1447"/>
      <c r="CS53" s="1448">
        <f t="shared" si="96"/>
        <v>0</v>
      </c>
      <c r="CT53" s="1447">
        <v>-10</v>
      </c>
      <c r="CU53" s="1447">
        <f>-19-CT53</f>
        <v>-9</v>
      </c>
      <c r="CV53" s="1447">
        <f>+-31-CU53-CT53</f>
        <v>-12</v>
      </c>
      <c r="CW53" s="1448">
        <f t="shared" si="97"/>
        <v>14</v>
      </c>
      <c r="CX53" s="2768">
        <v>0</v>
      </c>
      <c r="CY53" s="1447">
        <v>-500</v>
      </c>
      <c r="CZ53" s="1447">
        <v>0</v>
      </c>
      <c r="DA53" s="1448">
        <v>-50</v>
      </c>
      <c r="DB53" s="667"/>
      <c r="DC53" s="524"/>
      <c r="DD53" s="47">
        <v>-6.6000000000000003E-2</v>
      </c>
      <c r="DE53" s="47">
        <v>4.5129999999999999</v>
      </c>
      <c r="DF53" s="47">
        <v>36.47</v>
      </c>
      <c r="DG53" s="47">
        <v>-8.7100000000000009</v>
      </c>
      <c r="DH53" s="47">
        <v>-0.156</v>
      </c>
      <c r="DI53" s="47">
        <v>-0.253</v>
      </c>
      <c r="DJ53" s="47">
        <v>-1.696</v>
      </c>
      <c r="DK53" s="47">
        <v>-37.515000000000001</v>
      </c>
      <c r="DL53" s="47">
        <f>+E53+D53+C53+B53</f>
        <v>-6.9770000000000003</v>
      </c>
      <c r="DM53" s="47">
        <f t="shared" si="103"/>
        <v>-10.199</v>
      </c>
      <c r="DN53" s="47">
        <f>+J53+K53+L53+M53</f>
        <v>-14.599999999999998</v>
      </c>
      <c r="DO53" s="47">
        <f>+N53+O53+P53+Q53</f>
        <v>-25.693999999999999</v>
      </c>
      <c r="DP53" s="47">
        <f>+R53+S53+T53+U53</f>
        <v>-22.693999999999999</v>
      </c>
      <c r="DQ53" s="47">
        <f>+V53+W53+X53+Y53</f>
        <v>-165.39599999999999</v>
      </c>
      <c r="DR53" s="47">
        <v>-29.946000000000002</v>
      </c>
      <c r="DS53" s="47">
        <v>-17</v>
      </c>
      <c r="DT53" s="47">
        <v>-5</v>
      </c>
      <c r="DU53" s="47">
        <v>-13</v>
      </c>
      <c r="DV53" s="47">
        <v>-17</v>
      </c>
      <c r="DW53" s="47">
        <v>-371</v>
      </c>
      <c r="DX53" s="47">
        <v>-69</v>
      </c>
      <c r="DY53" s="47">
        <v>-84</v>
      </c>
      <c r="DZ53" s="47">
        <v>-4353</v>
      </c>
      <c r="EA53" s="873">
        <v>-4712</v>
      </c>
      <c r="EB53" s="915">
        <v>-5342</v>
      </c>
      <c r="EC53" s="873">
        <f>-3120</f>
        <v>-3120</v>
      </c>
      <c r="ED53" s="915">
        <v>-3412</v>
      </c>
      <c r="EE53" s="47">
        <v>-99</v>
      </c>
      <c r="EF53" s="1126">
        <v>513</v>
      </c>
      <c r="EG53" s="920">
        <v>-2103</v>
      </c>
      <c r="EH53" s="829">
        <f t="shared" si="98"/>
        <v>-2033</v>
      </c>
      <c r="EI53" s="829">
        <v>0</v>
      </c>
      <c r="EJ53" s="829">
        <v>0</v>
      </c>
      <c r="EK53" s="56">
        <v>0</v>
      </c>
      <c r="EL53" s="56">
        <v>-17</v>
      </c>
      <c r="EM53" s="1696">
        <f t="shared" si="99"/>
        <v>-550</v>
      </c>
      <c r="EN53" s="830">
        <v>0</v>
      </c>
      <c r="EO53" s="830">
        <v>0</v>
      </c>
      <c r="EP53" s="830">
        <v>-650</v>
      </c>
      <c r="EQ53" s="830">
        <v>0</v>
      </c>
      <c r="ER53" s="830">
        <v>0</v>
      </c>
      <c r="ES53" s="830">
        <v>0</v>
      </c>
      <c r="ET53" s="830">
        <v>0</v>
      </c>
      <c r="EU53" s="828">
        <v>0</v>
      </c>
      <c r="EV53" s="413"/>
      <c r="EW53"/>
      <c r="EX53"/>
      <c r="EY53"/>
      <c r="EZ53"/>
      <c r="FA53"/>
      <c r="FB53"/>
      <c r="FG53" s="830"/>
      <c r="FH53" s="830"/>
      <c r="FI53" s="830"/>
      <c r="FJ53" s="830"/>
      <c r="FK53" s="830"/>
      <c r="FL53"/>
      <c r="FM53"/>
      <c r="FN53"/>
      <c r="FO53"/>
      <c r="FP53"/>
      <c r="FQ53"/>
      <c r="FR53"/>
      <c r="FS53"/>
      <c r="FT53"/>
      <c r="FU53"/>
      <c r="FV53"/>
      <c r="FW53"/>
      <c r="FX53"/>
      <c r="FY53"/>
      <c r="FZ53"/>
      <c r="GA53"/>
      <c r="GB53"/>
      <c r="GC53"/>
      <c r="GD53"/>
      <c r="GE53"/>
      <c r="GF53"/>
      <c r="GG53"/>
      <c r="GH53"/>
      <c r="GI53"/>
      <c r="GJ53"/>
      <c r="GK53"/>
      <c r="GL53"/>
      <c r="GM53"/>
      <c r="GN53"/>
      <c r="GO53"/>
      <c r="GP53"/>
      <c r="GQ53"/>
      <c r="GR53"/>
      <c r="GS53"/>
      <c r="GT53"/>
      <c r="GU53"/>
      <c r="GV53"/>
      <c r="GW53"/>
      <c r="GX53"/>
      <c r="GY53"/>
      <c r="GZ53"/>
      <c r="HA53"/>
      <c r="HB53"/>
      <c r="HC53"/>
      <c r="HD53"/>
      <c r="HE53"/>
      <c r="HF53"/>
      <c r="HG53"/>
      <c r="HH53"/>
      <c r="HI53"/>
      <c r="HJ53"/>
      <c r="HK53"/>
      <c r="HL53"/>
      <c r="HM53"/>
      <c r="HN53"/>
      <c r="HO53"/>
      <c r="HP53"/>
      <c r="HQ53"/>
      <c r="HR53"/>
      <c r="HS53"/>
      <c r="HT53"/>
      <c r="HU53"/>
      <c r="HV53"/>
      <c r="HW53"/>
      <c r="HX53"/>
      <c r="HY53"/>
      <c r="HZ53"/>
      <c r="IA53"/>
      <c r="IB53"/>
      <c r="IC53"/>
      <c r="ID53"/>
      <c r="IE53"/>
      <c r="IF53"/>
      <c r="IG53"/>
      <c r="IH53"/>
      <c r="II53"/>
      <c r="IJ53"/>
      <c r="IK53"/>
      <c r="IL53"/>
      <c r="IM53"/>
      <c r="IN53"/>
      <c r="IO53"/>
      <c r="IP53"/>
      <c r="IQ53"/>
      <c r="IR53"/>
      <c r="IS53"/>
      <c r="IT53"/>
      <c r="IU53"/>
      <c r="IV53"/>
      <c r="IW53"/>
      <c r="IX53"/>
      <c r="IY53"/>
      <c r="IZ53"/>
    </row>
    <row r="54" spans="1:260" s="4" customFormat="1" x14ac:dyDescent="0.2">
      <c r="A54" s="61" t="s">
        <v>67</v>
      </c>
      <c r="B54" s="254">
        <f t="shared" ref="B54:AG54" si="104">SUM(B45:B53)</f>
        <v>79.779999999999987</v>
      </c>
      <c r="C54" s="254">
        <f t="shared" si="104"/>
        <v>5.5670000000000117</v>
      </c>
      <c r="D54" s="254">
        <f t="shared" si="104"/>
        <v>154.26900000000001</v>
      </c>
      <c r="E54" s="650">
        <f t="shared" si="104"/>
        <v>-3.4699999999999993</v>
      </c>
      <c r="F54" s="254">
        <f t="shared" si="104"/>
        <v>32.368999999999993</v>
      </c>
      <c r="G54" s="254">
        <f t="shared" si="104"/>
        <v>62.385000000000012</v>
      </c>
      <c r="H54" s="254">
        <f t="shared" si="104"/>
        <v>348</v>
      </c>
      <c r="I54" s="650">
        <f t="shared" si="104"/>
        <v>-199.15800000000002</v>
      </c>
      <c r="J54" s="254">
        <f t="shared" si="104"/>
        <v>47.984000000000002</v>
      </c>
      <c r="K54" s="254">
        <f t="shared" si="104"/>
        <v>96.998999999999995</v>
      </c>
      <c r="L54" s="254">
        <f t="shared" si="104"/>
        <v>156.90200000000002</v>
      </c>
      <c r="M54" s="650">
        <f t="shared" si="104"/>
        <v>-313.35200000000003</v>
      </c>
      <c r="N54" s="254">
        <f t="shared" si="104"/>
        <v>187.60599999999999</v>
      </c>
      <c r="O54" s="254">
        <f t="shared" si="104"/>
        <v>18.670000000000002</v>
      </c>
      <c r="P54" s="254">
        <f t="shared" si="104"/>
        <v>68.040999999999997</v>
      </c>
      <c r="Q54" s="650">
        <f t="shared" si="104"/>
        <v>-263.72900000000004</v>
      </c>
      <c r="R54" s="254">
        <f t="shared" si="104"/>
        <v>-0.83899999999999997</v>
      </c>
      <c r="S54" s="254">
        <f t="shared" si="104"/>
        <v>0.98900000000000077</v>
      </c>
      <c r="T54" s="254">
        <f t="shared" si="104"/>
        <v>-3.7820000000000005</v>
      </c>
      <c r="U54" s="650">
        <f t="shared" si="104"/>
        <v>5.8069999999999986</v>
      </c>
      <c r="V54" s="254">
        <f t="shared" si="104"/>
        <v>2.48</v>
      </c>
      <c r="W54" s="254">
        <f t="shared" si="104"/>
        <v>-1.0099999999999998</v>
      </c>
      <c r="X54" s="254">
        <f t="shared" si="104"/>
        <v>-153.815</v>
      </c>
      <c r="Y54" s="650">
        <f t="shared" si="104"/>
        <v>5.131000000000018</v>
      </c>
      <c r="Z54" s="254">
        <f t="shared" si="104"/>
        <v>-46.302</v>
      </c>
      <c r="AA54" s="254">
        <f t="shared" si="104"/>
        <v>-48.89</v>
      </c>
      <c r="AB54" s="254">
        <f t="shared" si="104"/>
        <v>-61.552000000000007</v>
      </c>
      <c r="AC54" s="650">
        <f t="shared" si="104"/>
        <v>-238.42400000000004</v>
      </c>
      <c r="AD54" s="254">
        <f t="shared" si="104"/>
        <v>224</v>
      </c>
      <c r="AE54" s="254">
        <f t="shared" si="104"/>
        <v>-4</v>
      </c>
      <c r="AF54" s="254">
        <f t="shared" si="104"/>
        <v>0</v>
      </c>
      <c r="AG54" s="650">
        <f t="shared" si="104"/>
        <v>-2</v>
      </c>
      <c r="AH54" s="254">
        <f t="shared" ref="AH54:BM54" si="105">SUM(AH45:AH53)</f>
        <v>-81</v>
      </c>
      <c r="AI54" s="254">
        <f t="shared" si="105"/>
        <v>162</v>
      </c>
      <c r="AJ54" s="254">
        <f t="shared" si="105"/>
        <v>2</v>
      </c>
      <c r="AK54" s="650">
        <f t="shared" si="105"/>
        <v>686</v>
      </c>
      <c r="AL54" s="254">
        <f t="shared" si="105"/>
        <v>34</v>
      </c>
      <c r="AM54" s="254">
        <f t="shared" si="105"/>
        <v>8</v>
      </c>
      <c r="AN54" s="254">
        <f t="shared" si="105"/>
        <v>0</v>
      </c>
      <c r="AO54" s="650">
        <f t="shared" si="105"/>
        <v>3</v>
      </c>
      <c r="AP54" s="254">
        <f t="shared" si="105"/>
        <v>5</v>
      </c>
      <c r="AQ54" s="254">
        <f t="shared" si="105"/>
        <v>23</v>
      </c>
      <c r="AR54" s="254">
        <f t="shared" si="105"/>
        <v>-7</v>
      </c>
      <c r="AS54" s="650">
        <f t="shared" si="105"/>
        <v>-108</v>
      </c>
      <c r="AT54" s="254">
        <f t="shared" si="105"/>
        <v>-50</v>
      </c>
      <c r="AU54" s="254">
        <f t="shared" si="105"/>
        <v>-428</v>
      </c>
      <c r="AV54" s="254">
        <f t="shared" si="105"/>
        <v>68</v>
      </c>
      <c r="AW54" s="650">
        <f t="shared" si="105"/>
        <v>-49</v>
      </c>
      <c r="AX54" s="254">
        <f t="shared" si="105"/>
        <v>-254</v>
      </c>
      <c r="AY54" s="254">
        <f t="shared" si="105"/>
        <v>105</v>
      </c>
      <c r="AZ54" s="254">
        <f t="shared" si="105"/>
        <v>-136</v>
      </c>
      <c r="BA54" s="650">
        <f t="shared" si="105"/>
        <v>-334</v>
      </c>
      <c r="BB54" s="254">
        <f t="shared" si="105"/>
        <v>-134</v>
      </c>
      <c r="BC54" s="254">
        <f t="shared" si="105"/>
        <v>-199</v>
      </c>
      <c r="BD54" s="254">
        <f t="shared" si="105"/>
        <v>56</v>
      </c>
      <c r="BE54" s="650">
        <f t="shared" si="105"/>
        <v>-236</v>
      </c>
      <c r="BF54" s="254">
        <f t="shared" si="105"/>
        <v>-400</v>
      </c>
      <c r="BG54" s="254">
        <f t="shared" si="105"/>
        <v>-1760</v>
      </c>
      <c r="BH54" s="254">
        <f t="shared" si="105"/>
        <v>-979</v>
      </c>
      <c r="BI54" s="650">
        <f t="shared" si="105"/>
        <v>-239</v>
      </c>
      <c r="BJ54" s="254">
        <f t="shared" si="105"/>
        <v>311</v>
      </c>
      <c r="BK54" s="254">
        <f t="shared" si="105"/>
        <v>1194</v>
      </c>
      <c r="BL54" s="254">
        <f t="shared" si="105"/>
        <v>636</v>
      </c>
      <c r="BM54" s="650">
        <f t="shared" si="105"/>
        <v>-1550</v>
      </c>
      <c r="BN54" s="254">
        <f t="shared" ref="BN54:CJ54" si="106">SUM(BN45:BN53)</f>
        <v>261</v>
      </c>
      <c r="BO54" s="254">
        <f t="shared" si="106"/>
        <v>-43</v>
      </c>
      <c r="BP54" s="254">
        <f t="shared" si="106"/>
        <v>-426</v>
      </c>
      <c r="BQ54" s="650">
        <f t="shared" si="106"/>
        <v>-140</v>
      </c>
      <c r="BR54" s="254">
        <f t="shared" si="106"/>
        <v>-494</v>
      </c>
      <c r="BS54" s="254">
        <f t="shared" si="106"/>
        <v>-411</v>
      </c>
      <c r="BT54" s="254">
        <f t="shared" si="106"/>
        <v>-188</v>
      </c>
      <c r="BU54" s="650">
        <f t="shared" si="106"/>
        <v>-264</v>
      </c>
      <c r="BV54" s="254">
        <f t="shared" si="106"/>
        <v>-37</v>
      </c>
      <c r="BW54" s="254">
        <f t="shared" si="106"/>
        <v>-68</v>
      </c>
      <c r="BX54" s="254">
        <f t="shared" si="106"/>
        <v>-622</v>
      </c>
      <c r="BY54" s="650">
        <f t="shared" si="106"/>
        <v>-1751</v>
      </c>
      <c r="BZ54" s="254">
        <f t="shared" si="106"/>
        <v>-305</v>
      </c>
      <c r="CA54" s="254">
        <f t="shared" si="106"/>
        <v>-29</v>
      </c>
      <c r="CB54" s="254">
        <f t="shared" si="106"/>
        <v>-273</v>
      </c>
      <c r="CC54" s="650">
        <f t="shared" si="106"/>
        <v>211</v>
      </c>
      <c r="CD54" s="1088">
        <f t="shared" si="106"/>
        <v>-641</v>
      </c>
      <c r="CE54" s="254">
        <f t="shared" si="106"/>
        <v>933</v>
      </c>
      <c r="CF54" s="254">
        <f t="shared" si="106"/>
        <v>67</v>
      </c>
      <c r="CG54" s="650">
        <f t="shared" si="106"/>
        <v>-40</v>
      </c>
      <c r="CH54" s="1088">
        <f t="shared" si="106"/>
        <v>-53</v>
      </c>
      <c r="CI54" s="254">
        <f t="shared" si="106"/>
        <v>-61</v>
      </c>
      <c r="CJ54" s="254">
        <f t="shared" si="106"/>
        <v>-61</v>
      </c>
      <c r="CK54" s="650">
        <f t="shared" ref="CK54:CS54" si="107">SUM(CK45:CK53)</f>
        <v>-48</v>
      </c>
      <c r="CL54" s="1401">
        <f t="shared" si="107"/>
        <v>-238</v>
      </c>
      <c r="CM54" s="1402">
        <f t="shared" si="107"/>
        <v>-402</v>
      </c>
      <c r="CN54" s="1402">
        <f t="shared" si="107"/>
        <v>-121</v>
      </c>
      <c r="CO54" s="1403">
        <f t="shared" si="107"/>
        <v>-754</v>
      </c>
      <c r="CP54" s="1402">
        <f>SUM(CP45:CP53)</f>
        <v>-612</v>
      </c>
      <c r="CQ54" s="1402">
        <f t="shared" si="107"/>
        <v>-321</v>
      </c>
      <c r="CR54" s="1402">
        <f t="shared" si="107"/>
        <v>-254</v>
      </c>
      <c r="CS54" s="1403">
        <f t="shared" si="107"/>
        <v>-239</v>
      </c>
      <c r="CT54" s="1402">
        <f>SUM(CT45:CT53)</f>
        <v>-413</v>
      </c>
      <c r="CU54" s="1402">
        <f t="shared" ref="CU54" si="108">SUM(CU45:CU53)</f>
        <v>-474</v>
      </c>
      <c r="CV54" s="1402">
        <f t="shared" ref="CV54:DA54" si="109">SUM(CV45:CV53)</f>
        <v>-462</v>
      </c>
      <c r="CW54" s="1403">
        <f t="shared" si="109"/>
        <v>-964</v>
      </c>
      <c r="CX54" s="1699">
        <f t="shared" si="109"/>
        <v>-764.62824324324322</v>
      </c>
      <c r="CY54" s="1402">
        <f t="shared" si="109"/>
        <v>-427.18406325260901</v>
      </c>
      <c r="CZ54" s="1402">
        <f t="shared" si="109"/>
        <v>-376.64254673793243</v>
      </c>
      <c r="DA54" s="1403">
        <f t="shared" si="109"/>
        <v>-525.8207477253859</v>
      </c>
      <c r="DB54" s="1656"/>
      <c r="DC54" s="1657"/>
      <c r="DD54" s="1402">
        <f t="shared" ref="DD54:DK54" si="110">SUM(DD45:DD53)</f>
        <v>7.4870000000000001</v>
      </c>
      <c r="DE54" s="1402">
        <f t="shared" si="110"/>
        <v>39.819000000000003</v>
      </c>
      <c r="DF54" s="1402">
        <f t="shared" si="110"/>
        <v>33.025999999999996</v>
      </c>
      <c r="DG54" s="1402">
        <f t="shared" si="110"/>
        <v>-4.3030000000000008</v>
      </c>
      <c r="DH54" s="1402">
        <f t="shared" si="110"/>
        <v>-3.1640000000000001</v>
      </c>
      <c r="DI54" s="1402">
        <f t="shared" si="110"/>
        <v>-0.20499999999999818</v>
      </c>
      <c r="DJ54" s="1402">
        <f t="shared" si="110"/>
        <v>104.54799999999999</v>
      </c>
      <c r="DK54" s="1402">
        <f t="shared" si="110"/>
        <v>0.74500000000000455</v>
      </c>
      <c r="DL54" s="1402">
        <f>+E54+D54+C54+B54</f>
        <v>236.14600000000002</v>
      </c>
      <c r="DM54" s="1402">
        <f t="shared" si="103"/>
        <v>243.596</v>
      </c>
      <c r="DN54" s="1402">
        <f>+J54+K54+L54+M54</f>
        <v>-11.467000000000041</v>
      </c>
      <c r="DO54" s="1402">
        <f>+N54+O54+P54+Q54</f>
        <v>10.587999999999965</v>
      </c>
      <c r="DP54" s="1402">
        <f>+R54+S54+T54+U54</f>
        <v>2.1749999999999989</v>
      </c>
      <c r="DQ54" s="1402">
        <f>+V54+W54+X54+Y54</f>
        <v>-147.21399999999997</v>
      </c>
      <c r="DR54" s="1402">
        <f t="shared" ref="DR54:EC54" si="111">SUM(DR45:DR53)</f>
        <v>-395.16800000000006</v>
      </c>
      <c r="DS54" s="1402">
        <f t="shared" si="111"/>
        <v>218</v>
      </c>
      <c r="DT54" s="1402">
        <f t="shared" si="111"/>
        <v>769</v>
      </c>
      <c r="DU54" s="1402">
        <f t="shared" si="111"/>
        <v>45</v>
      </c>
      <c r="DV54" s="1402">
        <f t="shared" si="111"/>
        <v>-87</v>
      </c>
      <c r="DW54" s="1402">
        <f t="shared" si="111"/>
        <v>-459</v>
      </c>
      <c r="DX54" s="1402">
        <f t="shared" si="111"/>
        <v>-619</v>
      </c>
      <c r="DY54" s="1402">
        <f t="shared" si="111"/>
        <v>-513</v>
      </c>
      <c r="DZ54" s="1402">
        <f t="shared" si="111"/>
        <v>-3378</v>
      </c>
      <c r="EA54" s="1402">
        <f t="shared" si="111"/>
        <v>591</v>
      </c>
      <c r="EB54" s="1402">
        <f t="shared" si="111"/>
        <v>-348</v>
      </c>
      <c r="EC54" s="1402">
        <f t="shared" si="111"/>
        <v>-1357</v>
      </c>
      <c r="ED54" s="1402">
        <f>SUM(ED45:ED53)</f>
        <v>-2478</v>
      </c>
      <c r="EE54" s="1402">
        <f>SUM(EE45:EE53)</f>
        <v>-1354</v>
      </c>
      <c r="EF54" s="1401">
        <f t="shared" ref="EF54:EP54" si="112">SUM(EF45:EF53)</f>
        <v>-2349</v>
      </c>
      <c r="EG54" s="1402">
        <f t="shared" ref="EG54:EL54" si="113">SUM(EG45:EG53)</f>
        <v>-396</v>
      </c>
      <c r="EH54" s="1402">
        <f t="shared" si="113"/>
        <v>319</v>
      </c>
      <c r="EI54" s="1402">
        <f t="shared" si="113"/>
        <v>-223</v>
      </c>
      <c r="EJ54" s="1402">
        <f>SUM(EJ45:EJ53)</f>
        <v>-1515</v>
      </c>
      <c r="EK54" s="1402">
        <f t="shared" si="113"/>
        <v>-1426</v>
      </c>
      <c r="EL54" s="1402">
        <f t="shared" si="113"/>
        <v>-2313</v>
      </c>
      <c r="EM54" s="1699">
        <f t="shared" ref="EM54" si="114">SUM(EM45:EM53)</f>
        <v>-2094.2756009591703</v>
      </c>
      <c r="EN54" s="1402">
        <f t="shared" si="112"/>
        <v>-1661.5574961788652</v>
      </c>
      <c r="EO54" s="1402">
        <f t="shared" si="112"/>
        <v>-1777.714777590083</v>
      </c>
      <c r="EP54" s="1402">
        <f t="shared" si="112"/>
        <v>-1400.0070888934529</v>
      </c>
      <c r="EQ54" s="1402">
        <f>SUM(EQ45:EQ53)</f>
        <v>-1779.7699349950803</v>
      </c>
      <c r="ER54" s="1402">
        <f>SUM(ER45:ER53)</f>
        <v>-1813.8007064929293</v>
      </c>
      <c r="ES54" s="1402">
        <f>SUM(ES45:ES53)</f>
        <v>-1352.5702021214979</v>
      </c>
      <c r="ET54" s="1402">
        <f>SUM(ET45:ET53)</f>
        <v>-1896.5981571011534</v>
      </c>
      <c r="EU54" s="1403">
        <f>SUM(EU45:EU53)</f>
        <v>-1946.4581269485298</v>
      </c>
      <c r="EV54" s="413"/>
      <c r="EW54"/>
      <c r="EX54"/>
      <c r="EY54"/>
      <c r="EZ54"/>
      <c r="FA54"/>
      <c r="FB54"/>
      <c r="FG54" s="1123"/>
      <c r="FH54" s="1123"/>
      <c r="FI54" s="1658"/>
      <c r="FJ54" s="1658"/>
      <c r="FK54" s="1658"/>
      <c r="FL54"/>
      <c r="FM54"/>
      <c r="FN54"/>
      <c r="FO54"/>
      <c r="FP54"/>
      <c r="FQ54"/>
      <c r="FR54"/>
      <c r="FS54"/>
      <c r="FT54"/>
      <c r="FU54"/>
      <c r="FV54"/>
      <c r="FW54"/>
      <c r="FX54"/>
      <c r="FY54"/>
      <c r="FZ54"/>
      <c r="GA54"/>
      <c r="GB54"/>
      <c r="GC54"/>
      <c r="GD54"/>
      <c r="GE54"/>
      <c r="GF54"/>
      <c r="GG54"/>
      <c r="GH54"/>
      <c r="GI54"/>
      <c r="GJ54"/>
      <c r="GK54"/>
      <c r="GL54"/>
      <c r="GM54"/>
      <c r="GN54"/>
      <c r="GO54"/>
      <c r="GP54"/>
      <c r="GQ54"/>
      <c r="GR54"/>
      <c r="GS54"/>
      <c r="GT54"/>
      <c r="GU54"/>
      <c r="GV54"/>
      <c r="GW54"/>
      <c r="GX54"/>
      <c r="GY54"/>
      <c r="GZ54"/>
      <c r="HA54"/>
      <c r="HB54"/>
      <c r="HC54"/>
      <c r="HD54"/>
      <c r="HE54"/>
      <c r="HF54"/>
      <c r="HG54"/>
      <c r="HH54"/>
      <c r="HI54"/>
      <c r="HJ54"/>
      <c r="HK54"/>
      <c r="HL54"/>
      <c r="HM54"/>
      <c r="HN54"/>
      <c r="HO54"/>
      <c r="HP54"/>
      <c r="HQ54"/>
      <c r="HR54"/>
      <c r="HS54"/>
      <c r="HT54"/>
      <c r="HU54"/>
      <c r="HV54"/>
      <c r="HW54"/>
      <c r="HX54"/>
      <c r="HY54"/>
      <c r="HZ54"/>
      <c r="IA54"/>
      <c r="IB54"/>
      <c r="IC54"/>
      <c r="ID54"/>
      <c r="IE54"/>
      <c r="IF54"/>
      <c r="IG54"/>
      <c r="IH54"/>
      <c r="II54"/>
      <c r="IJ54"/>
      <c r="IK54"/>
      <c r="IL54"/>
      <c r="IM54"/>
      <c r="IN54"/>
      <c r="IO54"/>
      <c r="IP54"/>
      <c r="IQ54"/>
      <c r="IR54"/>
      <c r="IS54"/>
      <c r="IT54"/>
      <c r="IU54"/>
      <c r="IV54"/>
      <c r="IW54"/>
      <c r="IX54"/>
      <c r="IY54"/>
      <c r="IZ54"/>
    </row>
    <row r="55" spans="1:260" s="4" customFormat="1" x14ac:dyDescent="0.2">
      <c r="A55" s="61"/>
      <c r="B55" s="150"/>
      <c r="C55" s="150"/>
      <c r="D55" s="150"/>
      <c r="E55" s="710"/>
      <c r="F55" s="150"/>
      <c r="G55" s="150"/>
      <c r="H55" s="150"/>
      <c r="I55" s="710"/>
      <c r="J55" s="150"/>
      <c r="K55" s="150"/>
      <c r="L55" s="150"/>
      <c r="M55" s="710"/>
      <c r="N55" s="150"/>
      <c r="O55" s="150"/>
      <c r="P55" s="150"/>
      <c r="Q55" s="710"/>
      <c r="R55" s="150"/>
      <c r="S55" s="150"/>
      <c r="T55" s="150"/>
      <c r="U55" s="710"/>
      <c r="V55" s="150"/>
      <c r="W55" s="150"/>
      <c r="X55" s="150"/>
      <c r="Y55" s="710"/>
      <c r="Z55" s="150"/>
      <c r="AA55" s="150"/>
      <c r="AB55" s="150"/>
      <c r="AC55" s="710"/>
      <c r="AD55" s="150"/>
      <c r="AE55" s="150"/>
      <c r="AF55" s="150"/>
      <c r="AG55" s="710"/>
      <c r="AH55" s="150"/>
      <c r="AI55" s="150"/>
      <c r="AJ55" s="150"/>
      <c r="AK55" s="710"/>
      <c r="AL55" s="150"/>
      <c r="AM55" s="150"/>
      <c r="AN55" s="150"/>
      <c r="AO55" s="710"/>
      <c r="AP55" s="150"/>
      <c r="AQ55" s="150"/>
      <c r="AR55" s="150"/>
      <c r="AS55" s="710"/>
      <c r="AT55" s="150"/>
      <c r="AU55" s="150"/>
      <c r="AV55" s="150"/>
      <c r="AW55" s="710"/>
      <c r="AX55" s="150"/>
      <c r="AY55" s="150"/>
      <c r="AZ55" s="150"/>
      <c r="BA55" s="710"/>
      <c r="BB55" s="150"/>
      <c r="BC55" s="150"/>
      <c r="BD55" s="150"/>
      <c r="BE55" s="710"/>
      <c r="BF55" s="150"/>
      <c r="BG55" s="150"/>
      <c r="BH55" s="150"/>
      <c r="BI55" s="710"/>
      <c r="BJ55" s="151"/>
      <c r="BK55" s="151"/>
      <c r="BL55" s="151"/>
      <c r="BM55" s="724"/>
      <c r="BN55" s="151"/>
      <c r="BO55" s="151"/>
      <c r="BP55" s="151"/>
      <c r="BQ55" s="724"/>
      <c r="BR55" s="151"/>
      <c r="BS55" s="151"/>
      <c r="BT55" s="151"/>
      <c r="BU55" s="724"/>
      <c r="BV55" s="151"/>
      <c r="BW55" s="151"/>
      <c r="BX55" s="151"/>
      <c r="BY55" s="724"/>
      <c r="BZ55" s="151"/>
      <c r="CA55" s="151"/>
      <c r="CB55" s="151"/>
      <c r="CC55" s="724"/>
      <c r="CD55" s="734"/>
      <c r="CE55" s="151"/>
      <c r="CF55" s="151"/>
      <c r="CG55" s="724"/>
      <c r="CH55" s="734"/>
      <c r="CI55" s="151"/>
      <c r="CJ55" s="151"/>
      <c r="CK55" s="724"/>
      <c r="CL55" s="734"/>
      <c r="CM55" s="151"/>
      <c r="CN55" s="151"/>
      <c r="CO55" s="724"/>
      <c r="CP55" s="151"/>
      <c r="CQ55" s="151"/>
      <c r="CR55" s="151"/>
      <c r="CS55" s="724"/>
      <c r="CT55" s="151"/>
      <c r="CU55" s="151"/>
      <c r="CV55" s="151"/>
      <c r="CW55" s="724"/>
      <c r="CX55" s="1700"/>
      <c r="CY55" s="151"/>
      <c r="CZ55" s="151"/>
      <c r="DA55" s="724"/>
      <c r="DB55" s="734"/>
      <c r="DC55" s="724"/>
      <c r="DD55" s="1036"/>
      <c r="DE55" s="130"/>
      <c r="DF55" s="130"/>
      <c r="DG55" s="130"/>
      <c r="DH55" s="130"/>
      <c r="DI55" s="130"/>
      <c r="DJ55" s="130"/>
      <c r="DK55" s="130"/>
      <c r="DL55" s="150"/>
      <c r="DM55" s="150"/>
      <c r="DN55" s="150"/>
      <c r="DO55" s="150"/>
      <c r="DP55" s="150"/>
      <c r="DQ55" s="150"/>
      <c r="DR55" s="150"/>
      <c r="DS55" s="150"/>
      <c r="DT55" s="150"/>
      <c r="DU55" s="150"/>
      <c r="DV55" s="150"/>
      <c r="DW55" s="150"/>
      <c r="DX55" s="150"/>
      <c r="DY55" s="150"/>
      <c r="DZ55" s="150"/>
      <c r="EA55" s="151"/>
      <c r="EB55" s="151"/>
      <c r="EC55" s="151"/>
      <c r="ED55" s="151"/>
      <c r="EE55" s="150"/>
      <c r="EF55" s="1128"/>
      <c r="EG55" s="151"/>
      <c r="EH55" s="151"/>
      <c r="EI55" s="151"/>
      <c r="EJ55" s="151"/>
      <c r="EK55" s="151"/>
      <c r="EL55" s="151"/>
      <c r="EM55" s="1700"/>
      <c r="EN55" s="150"/>
      <c r="EO55" s="150"/>
      <c r="EP55" s="150"/>
      <c r="EQ55" s="150"/>
      <c r="ER55" s="150"/>
      <c r="ES55" s="150"/>
      <c r="ET55" s="150"/>
      <c r="EU55" s="710"/>
      <c r="EV55" s="413"/>
      <c r="EW55"/>
      <c r="EX55"/>
      <c r="EY55"/>
      <c r="EZ55"/>
      <c r="FA55"/>
      <c r="FB55"/>
      <c r="FG55" s="151"/>
      <c r="FH55" s="151"/>
      <c r="FI55" s="151"/>
      <c r="FJ55" s="151"/>
      <c r="FK55" s="151"/>
      <c r="FL55"/>
      <c r="FM55"/>
      <c r="FN55"/>
      <c r="FO55"/>
      <c r="FP55"/>
      <c r="FQ55"/>
      <c r="FR55"/>
      <c r="FS55"/>
      <c r="FT55"/>
      <c r="FU55"/>
      <c r="FV55"/>
      <c r="FW55"/>
      <c r="FX55"/>
      <c r="FY55"/>
      <c r="FZ55"/>
      <c r="GA55"/>
      <c r="GB55"/>
      <c r="GC55"/>
      <c r="GD55"/>
      <c r="GE55"/>
      <c r="GF55"/>
      <c r="GG55"/>
      <c r="GH55"/>
      <c r="GI55"/>
      <c r="GJ55"/>
      <c r="GK55"/>
      <c r="GL55"/>
      <c r="GM55"/>
      <c r="GN55"/>
      <c r="GO55"/>
      <c r="GP55"/>
      <c r="GQ55"/>
      <c r="GR55"/>
      <c r="GS55"/>
      <c r="GT55"/>
      <c r="GU55"/>
      <c r="GV55"/>
      <c r="GW55"/>
      <c r="GX55"/>
      <c r="GY55"/>
      <c r="GZ55"/>
      <c r="HA55"/>
      <c r="HB55"/>
      <c r="HC55"/>
      <c r="HD55"/>
      <c r="HE55"/>
      <c r="HF55"/>
      <c r="HG55"/>
      <c r="HH55"/>
      <c r="HI55"/>
      <c r="HJ55"/>
      <c r="HK55"/>
      <c r="HL55"/>
      <c r="HM55"/>
      <c r="HN55"/>
      <c r="HO55"/>
      <c r="HP55"/>
      <c r="HQ55"/>
      <c r="HR55"/>
      <c r="HS55"/>
      <c r="HT55"/>
      <c r="HU55"/>
      <c r="HV55"/>
      <c r="HW55"/>
      <c r="HX55"/>
      <c r="HY55"/>
      <c r="HZ55"/>
      <c r="IA55"/>
      <c r="IB55"/>
      <c r="IC55"/>
      <c r="ID55"/>
      <c r="IE55"/>
      <c r="IF55"/>
      <c r="IG55"/>
      <c r="IH55"/>
      <c r="II55"/>
      <c r="IJ55"/>
      <c r="IK55"/>
      <c r="IL55"/>
      <c r="IM55"/>
      <c r="IN55"/>
      <c r="IO55"/>
      <c r="IP55"/>
      <c r="IQ55"/>
      <c r="IR55"/>
      <c r="IS55"/>
      <c r="IT55"/>
      <c r="IU55"/>
      <c r="IV55"/>
      <c r="IW55"/>
      <c r="IX55"/>
      <c r="IY55"/>
      <c r="IZ55"/>
    </row>
    <row r="56" spans="1:260" s="4" customFormat="1" x14ac:dyDescent="0.2">
      <c r="A56" s="35" t="s">
        <v>85</v>
      </c>
      <c r="B56" s="1035">
        <v>0</v>
      </c>
      <c r="C56" s="1035">
        <v>0</v>
      </c>
      <c r="D56" s="1035">
        <v>0</v>
      </c>
      <c r="E56" s="709">
        <v>0</v>
      </c>
      <c r="F56" s="1035">
        <v>0</v>
      </c>
      <c r="G56" s="1035">
        <v>0</v>
      </c>
      <c r="H56" s="1035">
        <v>0</v>
      </c>
      <c r="I56" s="709">
        <v>0</v>
      </c>
      <c r="J56" s="1035">
        <v>0</v>
      </c>
      <c r="K56" s="1035">
        <v>0</v>
      </c>
      <c r="L56" s="1035">
        <v>0</v>
      </c>
      <c r="M56" s="709">
        <v>0</v>
      </c>
      <c r="N56" s="1035">
        <v>0</v>
      </c>
      <c r="O56" s="1035">
        <v>0</v>
      </c>
      <c r="P56" s="1035">
        <v>0</v>
      </c>
      <c r="Q56" s="709">
        <v>0</v>
      </c>
      <c r="R56" s="1035">
        <v>0</v>
      </c>
      <c r="S56" s="1035">
        <v>0</v>
      </c>
      <c r="T56" s="1035">
        <v>0</v>
      </c>
      <c r="U56" s="709">
        <v>0</v>
      </c>
      <c r="V56" s="1035">
        <v>0</v>
      </c>
      <c r="W56" s="1035">
        <v>0</v>
      </c>
      <c r="X56" s="1035">
        <v>0</v>
      </c>
      <c r="Y56" s="709">
        <v>0</v>
      </c>
      <c r="Z56" s="1035">
        <v>0</v>
      </c>
      <c r="AA56" s="1035">
        <v>0</v>
      </c>
      <c r="AB56" s="1035">
        <v>0</v>
      </c>
      <c r="AC56" s="709">
        <v>0</v>
      </c>
      <c r="AD56" s="1035">
        <v>0</v>
      </c>
      <c r="AE56" s="1035">
        <v>0</v>
      </c>
      <c r="AF56" s="1035">
        <v>0</v>
      </c>
      <c r="AG56" s="709">
        <v>0</v>
      </c>
      <c r="AH56" s="1035">
        <v>0</v>
      </c>
      <c r="AI56" s="1035">
        <v>0</v>
      </c>
      <c r="AJ56" s="1035">
        <v>0</v>
      </c>
      <c r="AK56" s="709">
        <v>0</v>
      </c>
      <c r="AL56" s="1035">
        <v>0</v>
      </c>
      <c r="AM56" s="1035">
        <v>0</v>
      </c>
      <c r="AN56" s="1035">
        <v>0</v>
      </c>
      <c r="AO56" s="709">
        <v>0</v>
      </c>
      <c r="AP56" s="1035">
        <v>1</v>
      </c>
      <c r="AQ56" s="1035">
        <f>0-AP56</f>
        <v>-1</v>
      </c>
      <c r="AR56" s="1035">
        <f>2-AQ56-AP56</f>
        <v>2</v>
      </c>
      <c r="AS56" s="709">
        <f>DV56-SUM(AP56:AR56)</f>
        <v>-1</v>
      </c>
      <c r="AT56" s="1035">
        <v>-2</v>
      </c>
      <c r="AU56" s="1035">
        <f>2-AT56</f>
        <v>4</v>
      </c>
      <c r="AV56" s="1035">
        <f>21-AT56-AU56</f>
        <v>19</v>
      </c>
      <c r="AW56" s="709">
        <f>DW56-SUM(AT56:AV56)</f>
        <v>-12</v>
      </c>
      <c r="AX56" s="1035">
        <v>-5</v>
      </c>
      <c r="AY56" s="1035">
        <f>12-AX56</f>
        <v>17</v>
      </c>
      <c r="AZ56" s="1035">
        <f>12-AY56-AX56</f>
        <v>0</v>
      </c>
      <c r="BA56" s="709">
        <f>DX56-SUM(AX56:AZ56)</f>
        <v>15</v>
      </c>
      <c r="BB56" s="1035">
        <v>20</v>
      </c>
      <c r="BC56" s="1035">
        <f>19-BB56</f>
        <v>-1</v>
      </c>
      <c r="BD56" s="1035">
        <f>8-SUM(BB56:BC56)</f>
        <v>-11</v>
      </c>
      <c r="BE56" s="709">
        <f>DY56-SUM(BB56:BD56)</f>
        <v>-20</v>
      </c>
      <c r="BF56" s="1035">
        <v>69</v>
      </c>
      <c r="BG56" s="1035">
        <f>71-BF56</f>
        <v>2</v>
      </c>
      <c r="BH56" s="1035">
        <f>104-BG56-BF56</f>
        <v>33</v>
      </c>
      <c r="BI56" s="709">
        <f>DZ56-BF56-BG56-BH56</f>
        <v>18</v>
      </c>
      <c r="BJ56" s="947">
        <v>-2</v>
      </c>
      <c r="BK56" s="947">
        <f>51-BJ56</f>
        <v>53</v>
      </c>
      <c r="BL56" s="947">
        <f>39-BJ56-BK56</f>
        <v>-12</v>
      </c>
      <c r="BM56" s="874">
        <f>EA56-BJ56-BK56-BL56</f>
        <v>-20</v>
      </c>
      <c r="BN56" s="899">
        <v>0</v>
      </c>
      <c r="BO56" s="910">
        <f>-48-BN56</f>
        <v>-48</v>
      </c>
      <c r="BP56" s="910">
        <f>0-BN56-BO56</f>
        <v>48</v>
      </c>
      <c r="BQ56" s="909">
        <f>EB56-BN56-BO56-BP56</f>
        <v>10</v>
      </c>
      <c r="BR56" s="910">
        <v>-8</v>
      </c>
      <c r="BS56" s="910">
        <f>-2-BR56</f>
        <v>6</v>
      </c>
      <c r="BT56" s="910">
        <f>8-BR56-BS56</f>
        <v>10</v>
      </c>
      <c r="BU56" s="909">
        <f>EC56-BR56-BS56-BT56</f>
        <v>5</v>
      </c>
      <c r="BV56" s="910">
        <v>4</v>
      </c>
      <c r="BW56" s="910">
        <f>1-BV56</f>
        <v>-3</v>
      </c>
      <c r="BX56" s="910">
        <f>-13-BW56-BV56</f>
        <v>-14</v>
      </c>
      <c r="BY56" s="909">
        <f>ED56-BV56-BW56-BX56</f>
        <v>18</v>
      </c>
      <c r="BZ56" s="910">
        <v>5</v>
      </c>
      <c r="CA56" s="910">
        <f>30-BZ56</f>
        <v>25</v>
      </c>
      <c r="CB56" s="910">
        <f>48-CA56-BZ56</f>
        <v>18</v>
      </c>
      <c r="CC56" s="909">
        <f>EG56-BZ56-CA56-CB56</f>
        <v>-47</v>
      </c>
      <c r="CD56" s="917">
        <v>7</v>
      </c>
      <c r="CE56" s="910">
        <f>-24-CD56</f>
        <v>-31</v>
      </c>
      <c r="CF56" s="910">
        <f>-24-CE56-CD56</f>
        <v>0</v>
      </c>
      <c r="CG56" s="909">
        <f>-44-CD56-CE56-CF56</f>
        <v>-20</v>
      </c>
      <c r="CH56" s="1386">
        <v>-2</v>
      </c>
      <c r="CI56" s="830">
        <f>-3-CH56</f>
        <v>-1</v>
      </c>
      <c r="CJ56" s="830">
        <f>-6-CI56-CH56</f>
        <v>-3</v>
      </c>
      <c r="CK56" s="828">
        <f>+EI56-SUM(CH56:CJ56)</f>
        <v>-46</v>
      </c>
      <c r="CL56" s="1631">
        <v>9</v>
      </c>
      <c r="CM56" s="1447">
        <f>-16-CL56</f>
        <v>-25</v>
      </c>
      <c r="CN56" s="1447">
        <f>-13-SUM(CL56:CM56)</f>
        <v>3</v>
      </c>
      <c r="CO56" s="1448">
        <f>+EJ56-SUM(CL56:CN56)</f>
        <v>-25</v>
      </c>
      <c r="CP56" s="1447">
        <v>40</v>
      </c>
      <c r="CQ56" s="1447">
        <f>25-CP56</f>
        <v>-15</v>
      </c>
      <c r="CR56" s="1447">
        <f>13-SUM(CP56:CQ56)</f>
        <v>-12</v>
      </c>
      <c r="CS56" s="1448">
        <f t="shared" ref="CS56:CS57" si="115">+EK56-CR56-CQ56-CP56</f>
        <v>-3</v>
      </c>
      <c r="CT56" s="1447">
        <v>-6</v>
      </c>
      <c r="CU56" s="1447">
        <f>18-CT56</f>
        <v>24</v>
      </c>
      <c r="CV56" s="1447">
        <f>15-CU56-CT56</f>
        <v>-3</v>
      </c>
      <c r="CW56" s="1448">
        <f t="shared" ref="CW56:CW57" si="116">+EL56-SUM(CT56:CV56)</f>
        <v>10</v>
      </c>
      <c r="CX56" s="2752">
        <v>0</v>
      </c>
      <c r="CY56" s="1653">
        <v>0</v>
      </c>
      <c r="CZ56" s="1653">
        <v>0</v>
      </c>
      <c r="DA56" s="1611">
        <v>0</v>
      </c>
      <c r="DB56" s="667"/>
      <c r="DC56" s="524"/>
      <c r="DD56" s="677">
        <v>0</v>
      </c>
      <c r="DE56" s="1037">
        <v>0</v>
      </c>
      <c r="DF56" s="1037">
        <v>0</v>
      </c>
      <c r="DG56" s="1037">
        <v>0</v>
      </c>
      <c r="DH56" s="1037">
        <v>0</v>
      </c>
      <c r="DI56" s="1037">
        <v>0</v>
      </c>
      <c r="DJ56" s="1037">
        <v>0</v>
      </c>
      <c r="DK56" s="1037">
        <v>0</v>
      </c>
      <c r="DL56" s="1037">
        <v>0</v>
      </c>
      <c r="DM56" s="1037">
        <v>0</v>
      </c>
      <c r="DN56" s="1037">
        <v>0</v>
      </c>
      <c r="DO56" s="1037">
        <v>0</v>
      </c>
      <c r="DP56" s="1037">
        <v>0</v>
      </c>
      <c r="DQ56" s="1037">
        <v>0</v>
      </c>
      <c r="DR56" s="1037">
        <v>0</v>
      </c>
      <c r="DS56" s="1037">
        <v>0</v>
      </c>
      <c r="DT56" s="1037">
        <v>0</v>
      </c>
      <c r="DU56" s="1037">
        <v>0</v>
      </c>
      <c r="DV56" s="1035">
        <v>1</v>
      </c>
      <c r="DW56" s="1035">
        <v>9</v>
      </c>
      <c r="DX56" s="1035">
        <v>27</v>
      </c>
      <c r="DY56" s="1035">
        <v>-12</v>
      </c>
      <c r="DZ56" s="1035">
        <v>122</v>
      </c>
      <c r="EA56" s="947">
        <v>19</v>
      </c>
      <c r="EB56" s="910">
        <v>10</v>
      </c>
      <c r="EC56" s="910">
        <v>13</v>
      </c>
      <c r="ED56" s="910">
        <v>5</v>
      </c>
      <c r="EE56" s="910">
        <f>24+169</f>
        <v>193</v>
      </c>
      <c r="EF56" s="917">
        <v>7</v>
      </c>
      <c r="EG56" s="910">
        <v>1</v>
      </c>
      <c r="EH56" s="829">
        <f>SUM(CD56:CG56)</f>
        <v>-44</v>
      </c>
      <c r="EI56" s="829">
        <v>-52</v>
      </c>
      <c r="EJ56" s="829">
        <v>-38</v>
      </c>
      <c r="EK56" s="830">
        <v>10</v>
      </c>
      <c r="EL56" s="830">
        <v>25</v>
      </c>
      <c r="EM56" s="1698">
        <f>+SUM(CX56:DA56)</f>
        <v>0</v>
      </c>
      <c r="EN56" s="830">
        <v>0</v>
      </c>
      <c r="EO56" s="830">
        <v>0</v>
      </c>
      <c r="EP56" s="830">
        <v>0</v>
      </c>
      <c r="EQ56" s="830">
        <v>0</v>
      </c>
      <c r="ER56" s="830">
        <v>0</v>
      </c>
      <c r="ES56" s="830">
        <v>0</v>
      </c>
      <c r="ET56" s="830">
        <v>0</v>
      </c>
      <c r="EU56" s="828">
        <v>0</v>
      </c>
      <c r="EV56" s="413"/>
      <c r="EW56"/>
      <c r="EX56"/>
      <c r="EY56"/>
      <c r="EZ56"/>
      <c r="FA56"/>
      <c r="FB56"/>
      <c r="FG56" s="830"/>
      <c r="FH56" s="830"/>
      <c r="FI56" s="830"/>
      <c r="FJ56" s="830"/>
      <c r="FK56" s="830"/>
      <c r="FL56"/>
      <c r="FM56"/>
      <c r="FN56"/>
      <c r="FO56"/>
      <c r="FP56"/>
      <c r="FQ56"/>
      <c r="FR56"/>
      <c r="FS56"/>
      <c r="FT56"/>
      <c r="FU56"/>
      <c r="FV56"/>
      <c r="FW56"/>
      <c r="FX56"/>
      <c r="FY56"/>
      <c r="FZ56"/>
      <c r="GA56"/>
      <c r="GB56"/>
      <c r="GC56"/>
      <c r="GD56"/>
      <c r="GE56"/>
      <c r="GF56"/>
      <c r="GG56"/>
      <c r="GH56"/>
      <c r="GI56"/>
      <c r="GJ56"/>
      <c r="GK56"/>
      <c r="GL56"/>
      <c r="GM56"/>
      <c r="GN56"/>
      <c r="GO56"/>
      <c r="GP56"/>
      <c r="GQ56"/>
      <c r="GR56"/>
      <c r="GS56"/>
      <c r="GT56"/>
      <c r="GU56"/>
      <c r="GV56"/>
      <c r="GW56"/>
      <c r="GX56"/>
      <c r="GY56"/>
      <c r="GZ56"/>
      <c r="HA56"/>
      <c r="HB56"/>
      <c r="HC56"/>
      <c r="HD56"/>
      <c r="HE56"/>
      <c r="HF56"/>
      <c r="HG56"/>
      <c r="HH56"/>
      <c r="HI56"/>
      <c r="HJ56"/>
      <c r="HK56"/>
      <c r="HL56"/>
      <c r="HM56"/>
      <c r="HN56"/>
      <c r="HO56"/>
      <c r="HP56"/>
      <c r="HQ56"/>
      <c r="HR56"/>
      <c r="HS56"/>
      <c r="HT56"/>
      <c r="HU56"/>
      <c r="HV56"/>
      <c r="HW56"/>
      <c r="HX56"/>
      <c r="HY56"/>
      <c r="HZ56"/>
      <c r="IA56"/>
      <c r="IB56"/>
      <c r="IC56"/>
      <c r="ID56"/>
      <c r="IE56"/>
      <c r="IF56"/>
      <c r="IG56"/>
      <c r="IH56"/>
      <c r="II56"/>
      <c r="IJ56"/>
      <c r="IK56"/>
      <c r="IL56"/>
      <c r="IM56"/>
      <c r="IN56"/>
      <c r="IO56"/>
      <c r="IP56"/>
      <c r="IQ56"/>
      <c r="IR56"/>
      <c r="IS56"/>
      <c r="IT56"/>
      <c r="IU56"/>
      <c r="IV56"/>
      <c r="IW56"/>
      <c r="IX56"/>
      <c r="IY56"/>
      <c r="IZ56"/>
    </row>
    <row r="57" spans="1:260" s="4" customFormat="1" x14ac:dyDescent="0.2">
      <c r="A57" s="35" t="s">
        <v>563</v>
      </c>
      <c r="B57" s="981">
        <v>0</v>
      </c>
      <c r="C57" s="981">
        <v>0</v>
      </c>
      <c r="D57" s="981">
        <v>0</v>
      </c>
      <c r="E57" s="982">
        <v>0</v>
      </c>
      <c r="F57" s="981">
        <v>0</v>
      </c>
      <c r="G57" s="981">
        <v>0</v>
      </c>
      <c r="H57" s="981">
        <v>0</v>
      </c>
      <c r="I57" s="982">
        <v>0</v>
      </c>
      <c r="J57" s="981">
        <v>0</v>
      </c>
      <c r="K57" s="981">
        <v>0</v>
      </c>
      <c r="L57" s="981">
        <v>0</v>
      </c>
      <c r="M57" s="982">
        <v>0</v>
      </c>
      <c r="N57" s="981">
        <v>0</v>
      </c>
      <c r="O57" s="981">
        <v>0</v>
      </c>
      <c r="P57" s="981">
        <v>0</v>
      </c>
      <c r="Q57" s="982">
        <v>0</v>
      </c>
      <c r="R57" s="981">
        <v>0</v>
      </c>
      <c r="S57" s="981">
        <v>0</v>
      </c>
      <c r="T57" s="981">
        <v>0</v>
      </c>
      <c r="U57" s="982">
        <v>0</v>
      </c>
      <c r="V57" s="981">
        <v>0</v>
      </c>
      <c r="W57" s="981">
        <v>0</v>
      </c>
      <c r="X57" s="981">
        <v>0</v>
      </c>
      <c r="Y57" s="982">
        <v>0</v>
      </c>
      <c r="Z57" s="981">
        <v>0</v>
      </c>
      <c r="AA57" s="981">
        <v>0</v>
      </c>
      <c r="AB57" s="981">
        <v>0</v>
      </c>
      <c r="AC57" s="982">
        <v>0</v>
      </c>
      <c r="AD57" s="981">
        <v>0</v>
      </c>
      <c r="AE57" s="981">
        <v>0</v>
      </c>
      <c r="AF57" s="981">
        <v>0</v>
      </c>
      <c r="AG57" s="982">
        <f>DS57-SUM(AD57:AF57)</f>
        <v>-58</v>
      </c>
      <c r="AH57" s="981">
        <v>0</v>
      </c>
      <c r="AI57" s="981">
        <v>0</v>
      </c>
      <c r="AJ57" s="981">
        <v>0</v>
      </c>
      <c r="AK57" s="982">
        <f>DT57-AJ57-AI57-AH57</f>
        <v>-270</v>
      </c>
      <c r="AL57" s="981">
        <v>0</v>
      </c>
      <c r="AM57" s="981">
        <v>0</v>
      </c>
      <c r="AN57" s="981">
        <v>0</v>
      </c>
      <c r="AO57" s="982">
        <f>DU57-AN57-AM57-AL57</f>
        <v>-79</v>
      </c>
      <c r="AP57" s="981">
        <v>-50</v>
      </c>
      <c r="AQ57" s="981">
        <f>-54-AP57</f>
        <v>-4</v>
      </c>
      <c r="AR57" s="981">
        <f>-53-AQ57-AP57</f>
        <v>1</v>
      </c>
      <c r="AS57" s="982">
        <f>DV57-SUM(AP57:AR57)</f>
        <v>0</v>
      </c>
      <c r="AT57" s="981">
        <v>0</v>
      </c>
      <c r="AU57" s="981">
        <f>0-AT57</f>
        <v>0</v>
      </c>
      <c r="AV57" s="981">
        <f>0-AT57-AU57</f>
        <v>0</v>
      </c>
      <c r="AW57" s="982">
        <v>0</v>
      </c>
      <c r="AX57" s="981">
        <v>0</v>
      </c>
      <c r="AY57" s="981">
        <v>0</v>
      </c>
      <c r="AZ57" s="981">
        <v>0</v>
      </c>
      <c r="BA57" s="982">
        <v>0</v>
      </c>
      <c r="BB57" s="981">
        <v>0</v>
      </c>
      <c r="BC57" s="981">
        <v>0</v>
      </c>
      <c r="BD57" s="981">
        <v>0</v>
      </c>
      <c r="BE57" s="982">
        <v>0</v>
      </c>
      <c r="BF57" s="981">
        <v>0</v>
      </c>
      <c r="BG57" s="981">
        <v>0</v>
      </c>
      <c r="BH57" s="981">
        <v>0</v>
      </c>
      <c r="BI57" s="982">
        <v>0</v>
      </c>
      <c r="BJ57" s="790">
        <v>0</v>
      </c>
      <c r="BK57" s="790">
        <v>0</v>
      </c>
      <c r="BL57" s="790">
        <v>0</v>
      </c>
      <c r="BM57" s="944">
        <v>0</v>
      </c>
      <c r="BN57" s="911">
        <v>0</v>
      </c>
      <c r="BO57" s="911">
        <v>0</v>
      </c>
      <c r="BP57" s="911">
        <v>0</v>
      </c>
      <c r="BQ57" s="912">
        <v>0</v>
      </c>
      <c r="BR57" s="911">
        <v>0</v>
      </c>
      <c r="BS57" s="911">
        <v>0</v>
      </c>
      <c r="BT57" s="911">
        <v>0</v>
      </c>
      <c r="BU57" s="912">
        <v>0</v>
      </c>
      <c r="BV57" s="911">
        <v>0</v>
      </c>
      <c r="BW57" s="911">
        <v>0</v>
      </c>
      <c r="BX57" s="911">
        <v>0</v>
      </c>
      <c r="BY57" s="912">
        <v>0</v>
      </c>
      <c r="BZ57" s="911">
        <v>0</v>
      </c>
      <c r="CA57" s="911">
        <v>0</v>
      </c>
      <c r="CB57" s="911">
        <v>0</v>
      </c>
      <c r="CC57" s="912">
        <v>0</v>
      </c>
      <c r="CD57" s="1064">
        <v>0</v>
      </c>
      <c r="CE57" s="911">
        <v>0</v>
      </c>
      <c r="CF57" s="911">
        <v>0</v>
      </c>
      <c r="CG57" s="912">
        <v>0</v>
      </c>
      <c r="CH57" s="1449">
        <v>0</v>
      </c>
      <c r="CI57" s="1450">
        <v>0</v>
      </c>
      <c r="CJ57" s="1450">
        <v>0</v>
      </c>
      <c r="CK57" s="1451">
        <f>+EI57-SUM(CH57:CJ57)</f>
        <v>0</v>
      </c>
      <c r="CL57" s="1632">
        <v>0</v>
      </c>
      <c r="CM57" s="1000">
        <v>0</v>
      </c>
      <c r="CN57" s="1000">
        <v>0</v>
      </c>
      <c r="CO57" s="1633">
        <v>0</v>
      </c>
      <c r="CP57" s="1000">
        <v>0</v>
      </c>
      <c r="CQ57" s="1000">
        <v>0</v>
      </c>
      <c r="CR57" s="1000">
        <v>0</v>
      </c>
      <c r="CS57" s="1633">
        <f t="shared" si="115"/>
        <v>0</v>
      </c>
      <c r="CT57" s="1000">
        <v>0</v>
      </c>
      <c r="CU57" s="1000">
        <v>0</v>
      </c>
      <c r="CV57" s="1000">
        <v>0</v>
      </c>
      <c r="CW57" s="1633">
        <f t="shared" si="116"/>
        <v>0</v>
      </c>
      <c r="CX57" s="2805">
        <v>0</v>
      </c>
      <c r="CY57" s="2623">
        <v>0</v>
      </c>
      <c r="CZ57" s="2623">
        <v>0</v>
      </c>
      <c r="DA57" s="1668">
        <v>0</v>
      </c>
      <c r="DB57" s="667"/>
      <c r="DC57" s="524"/>
      <c r="DD57" s="788">
        <v>0</v>
      </c>
      <c r="DE57" s="788">
        <v>0</v>
      </c>
      <c r="DF57" s="788">
        <v>0</v>
      </c>
      <c r="DG57" s="788">
        <v>0</v>
      </c>
      <c r="DH57" s="788">
        <v>0</v>
      </c>
      <c r="DI57" s="788">
        <v>0</v>
      </c>
      <c r="DJ57" s="788">
        <v>0</v>
      </c>
      <c r="DK57" s="788">
        <v>0</v>
      </c>
      <c r="DL57" s="788">
        <v>0</v>
      </c>
      <c r="DM57" s="788">
        <v>0</v>
      </c>
      <c r="DN57" s="788">
        <v>0</v>
      </c>
      <c r="DO57" s="788">
        <v>0</v>
      </c>
      <c r="DP57" s="788">
        <v>0</v>
      </c>
      <c r="DQ57" s="788">
        <v>0</v>
      </c>
      <c r="DR57" s="788">
        <v>0</v>
      </c>
      <c r="DS57" s="991">
        <v>-58</v>
      </c>
      <c r="DT57" s="991">
        <v>-270</v>
      </c>
      <c r="DU57" s="991">
        <v>-79</v>
      </c>
      <c r="DV57" s="981">
        <v>-53</v>
      </c>
      <c r="DW57" s="981">
        <v>0</v>
      </c>
      <c r="DX57" s="981">
        <v>0</v>
      </c>
      <c r="DY57" s="981">
        <v>0</v>
      </c>
      <c r="DZ57" s="981">
        <v>0</v>
      </c>
      <c r="EA57" s="790">
        <v>0</v>
      </c>
      <c r="EB57" s="911">
        <v>0</v>
      </c>
      <c r="EC57" s="911">
        <v>0</v>
      </c>
      <c r="ED57" s="911">
        <v>0</v>
      </c>
      <c r="EE57" s="911">
        <f>EC57</f>
        <v>0</v>
      </c>
      <c r="EF57" s="1064">
        <f>ED57</f>
        <v>0</v>
      </c>
      <c r="EG57" s="911">
        <v>0</v>
      </c>
      <c r="EH57" s="1453">
        <f>SUM(CD57:CG57)</f>
        <v>0</v>
      </c>
      <c r="EI57" s="1453">
        <f>SUM(CE57:CH57)</f>
        <v>0</v>
      </c>
      <c r="EJ57" s="1453">
        <f>SUM(CL57:CO57)</f>
        <v>0</v>
      </c>
      <c r="EK57" s="1450">
        <v>0</v>
      </c>
      <c r="EL57" s="1450">
        <v>0</v>
      </c>
      <c r="EM57" s="1701">
        <v>0</v>
      </c>
      <c r="EN57" s="1450">
        <v>0</v>
      </c>
      <c r="EO57" s="1450">
        <v>0</v>
      </c>
      <c r="EP57" s="1450">
        <v>0</v>
      </c>
      <c r="EQ57" s="1450">
        <v>0</v>
      </c>
      <c r="ER57" s="1450">
        <v>0</v>
      </c>
      <c r="ES57" s="1450">
        <v>0</v>
      </c>
      <c r="ET57" s="1450">
        <v>0</v>
      </c>
      <c r="EU57" s="1451">
        <v>0</v>
      </c>
      <c r="EV57" s="413"/>
      <c r="EW57"/>
      <c r="EX57"/>
      <c r="EY57"/>
      <c r="EZ57"/>
      <c r="FA57"/>
      <c r="FB57"/>
      <c r="FG57" s="830"/>
      <c r="FH57" s="830"/>
      <c r="FI57" s="830"/>
      <c r="FJ57" s="830"/>
      <c r="FK57" s="830"/>
      <c r="FL57"/>
      <c r="FM57"/>
      <c r="FN57"/>
      <c r="FO57"/>
      <c r="FP57"/>
      <c r="FQ57"/>
      <c r="FR57"/>
      <c r="FS57"/>
      <c r="FT57"/>
      <c r="FU57"/>
      <c r="FV57"/>
      <c r="FW57"/>
      <c r="FX57"/>
      <c r="FY57"/>
      <c r="FZ57"/>
      <c r="GA57"/>
      <c r="GB57"/>
      <c r="GC57"/>
      <c r="GD57"/>
      <c r="GE57"/>
      <c r="GF57"/>
      <c r="GG57"/>
      <c r="GH57"/>
      <c r="GI57"/>
      <c r="GJ57"/>
      <c r="GK57"/>
      <c r="GL57"/>
      <c r="GM57"/>
      <c r="GN57"/>
      <c r="GO57"/>
      <c r="GP57"/>
      <c r="GQ57"/>
      <c r="GR57"/>
      <c r="GS57"/>
      <c r="GT57"/>
      <c r="GU57"/>
      <c r="GV57"/>
      <c r="GW57"/>
      <c r="GX57"/>
      <c r="GY57"/>
      <c r="GZ57"/>
      <c r="HA57"/>
      <c r="HB57"/>
      <c r="HC57"/>
      <c r="HD57"/>
      <c r="HE57"/>
      <c r="HF57"/>
      <c r="HG57"/>
      <c r="HH57"/>
      <c r="HI57"/>
      <c r="HJ57"/>
      <c r="HK57"/>
      <c r="HL57"/>
      <c r="HM57"/>
      <c r="HN57"/>
      <c r="HO57"/>
      <c r="HP57"/>
      <c r="HQ57"/>
      <c r="HR57"/>
      <c r="HS57"/>
      <c r="HT57"/>
      <c r="HU57"/>
      <c r="HV57"/>
      <c r="HW57"/>
      <c r="HX57"/>
      <c r="HY57"/>
      <c r="HZ57"/>
      <c r="IA57"/>
      <c r="IB57"/>
      <c r="IC57"/>
      <c r="ID57"/>
      <c r="IE57"/>
      <c r="IF57"/>
      <c r="IG57"/>
      <c r="IH57"/>
      <c r="II57"/>
      <c r="IJ57"/>
      <c r="IK57"/>
      <c r="IL57"/>
      <c r="IM57"/>
      <c r="IN57"/>
      <c r="IO57"/>
      <c r="IP57"/>
      <c r="IQ57"/>
      <c r="IR57"/>
      <c r="IS57"/>
      <c r="IT57"/>
      <c r="IU57"/>
      <c r="IV57"/>
      <c r="IW57"/>
      <c r="IX57"/>
      <c r="IY57"/>
      <c r="IZ57"/>
    </row>
    <row r="58" spans="1:260" s="4" customFormat="1" x14ac:dyDescent="0.2">
      <c r="A58" s="36"/>
      <c r="B58" s="149"/>
      <c r="C58" s="149"/>
      <c r="D58" s="149"/>
      <c r="E58" s="710"/>
      <c r="F58" s="149"/>
      <c r="G58" s="149"/>
      <c r="H58" s="149"/>
      <c r="I58" s="710"/>
      <c r="J58" s="149"/>
      <c r="K58" s="149"/>
      <c r="L58" s="149"/>
      <c r="M58" s="710"/>
      <c r="N58" s="149"/>
      <c r="O58" s="149"/>
      <c r="P58" s="149"/>
      <c r="Q58" s="710"/>
      <c r="R58" s="149"/>
      <c r="S58" s="149"/>
      <c r="T58" s="149"/>
      <c r="U58" s="710"/>
      <c r="V58" s="149"/>
      <c r="W58" s="149"/>
      <c r="X58" s="149"/>
      <c r="Y58" s="710"/>
      <c r="Z58" s="149"/>
      <c r="AA58" s="149"/>
      <c r="AB58" s="149"/>
      <c r="AC58" s="710"/>
      <c r="AD58" s="149"/>
      <c r="AE58" s="149"/>
      <c r="AF58" s="149"/>
      <c r="AG58" s="710"/>
      <c r="AH58" s="149"/>
      <c r="AI58" s="149"/>
      <c r="AJ58" s="149"/>
      <c r="AK58" s="710"/>
      <c r="AL58" s="149"/>
      <c r="AM58" s="149"/>
      <c r="AN58" s="149"/>
      <c r="AO58" s="710"/>
      <c r="AP58" s="149"/>
      <c r="AQ58" s="149"/>
      <c r="AR58" s="149"/>
      <c r="AS58" s="710"/>
      <c r="AT58" s="149"/>
      <c r="AU58" s="149"/>
      <c r="AV58" s="149"/>
      <c r="AW58" s="710"/>
      <c r="AX58" s="149"/>
      <c r="AY58" s="149"/>
      <c r="AZ58" s="149"/>
      <c r="BA58" s="710"/>
      <c r="BB58" s="149"/>
      <c r="BC58" s="149"/>
      <c r="BD58" s="152"/>
      <c r="BE58" s="710"/>
      <c r="BF58" s="149"/>
      <c r="BG58" s="149"/>
      <c r="BH58" s="149"/>
      <c r="BI58" s="710"/>
      <c r="BJ58" s="152"/>
      <c r="BK58" s="152"/>
      <c r="BL58" s="152"/>
      <c r="BM58" s="724"/>
      <c r="BN58" s="152"/>
      <c r="BO58" s="152"/>
      <c r="BP58" s="152"/>
      <c r="BQ58" s="724"/>
      <c r="BR58" s="152"/>
      <c r="BS58" s="152"/>
      <c r="BT58" s="152"/>
      <c r="BU58" s="724"/>
      <c r="BV58" s="152"/>
      <c r="BW58" s="152"/>
      <c r="BX58" s="152"/>
      <c r="BY58" s="724"/>
      <c r="BZ58" s="152"/>
      <c r="CA58" s="152"/>
      <c r="CB58" s="152"/>
      <c r="CC58" s="724"/>
      <c r="CD58" s="734"/>
      <c r="CE58" s="151"/>
      <c r="CF58" s="151"/>
      <c r="CG58" s="724"/>
      <c r="CH58" s="734"/>
      <c r="CI58" s="151"/>
      <c r="CJ58" s="151"/>
      <c r="CK58" s="724"/>
      <c r="CL58" s="734"/>
      <c r="CM58" s="151"/>
      <c r="CN58" s="151"/>
      <c r="CO58" s="724"/>
      <c r="CP58" s="151"/>
      <c r="CQ58" s="151"/>
      <c r="CR58" s="151"/>
      <c r="CS58" s="724"/>
      <c r="CT58" s="151"/>
      <c r="CU58" s="151"/>
      <c r="CV58" s="151"/>
      <c r="CW58" s="724"/>
      <c r="CX58" s="1700"/>
      <c r="CY58" s="151"/>
      <c r="CZ58" s="151"/>
      <c r="DA58" s="724"/>
      <c r="DB58" s="734"/>
      <c r="DC58" s="724"/>
      <c r="DD58" s="149"/>
      <c r="DE58" s="149"/>
      <c r="DF58" s="149"/>
      <c r="DG58" s="149"/>
      <c r="DH58" s="149"/>
      <c r="DI58" s="149"/>
      <c r="DJ58" s="149"/>
      <c r="DK58" s="149"/>
      <c r="DL58" s="149"/>
      <c r="DM58" s="149"/>
      <c r="DN58" s="149"/>
      <c r="DO58" s="149"/>
      <c r="DP58" s="149"/>
      <c r="DQ58" s="149"/>
      <c r="DR58" s="149"/>
      <c r="DS58" s="149"/>
      <c r="DT58" s="149"/>
      <c r="DU58" s="149"/>
      <c r="DV58" s="149"/>
      <c r="DW58" s="149"/>
      <c r="DX58" s="149"/>
      <c r="DY58" s="149"/>
      <c r="DZ58" s="149"/>
      <c r="EA58" s="152"/>
      <c r="EB58" s="152"/>
      <c r="EC58" s="152"/>
      <c r="ED58" s="152"/>
      <c r="EE58" s="149"/>
      <c r="EF58" s="1128"/>
      <c r="EG58" s="151"/>
      <c r="EH58" s="151"/>
      <c r="EI58" s="151"/>
      <c r="EJ58" s="151"/>
      <c r="EK58" s="152"/>
      <c r="EL58" s="152"/>
      <c r="EM58" s="1702"/>
      <c r="EN58" s="150"/>
      <c r="EO58" s="150"/>
      <c r="EP58" s="150"/>
      <c r="EQ58" s="150"/>
      <c r="ER58" s="150"/>
      <c r="ES58" s="150"/>
      <c r="ET58" s="150"/>
      <c r="EU58" s="710"/>
      <c r="EV58" s="413"/>
      <c r="EW58"/>
      <c r="EX58"/>
      <c r="EY58"/>
      <c r="EZ58"/>
      <c r="FA58"/>
      <c r="FB58"/>
      <c r="FG58" s="151"/>
      <c r="FH58" s="151"/>
      <c r="FI58" s="151"/>
      <c r="FJ58" s="151"/>
      <c r="FK58" s="151"/>
      <c r="FL58"/>
      <c r="FM58"/>
      <c r="FN58"/>
      <c r="FO58"/>
      <c r="FP58"/>
      <c r="FQ58"/>
      <c r="FR58"/>
      <c r="FS58"/>
      <c r="FT58"/>
      <c r="FU58"/>
      <c r="FV58"/>
      <c r="FW58"/>
      <c r="FX58"/>
      <c r="FY58"/>
      <c r="FZ58"/>
      <c r="GA58"/>
      <c r="GB58"/>
      <c r="GC58"/>
      <c r="GD58"/>
      <c r="GE58"/>
      <c r="GF58"/>
      <c r="GG58"/>
      <c r="GH58"/>
      <c r="GI58"/>
      <c r="GJ58"/>
      <c r="GK58"/>
      <c r="GL58"/>
      <c r="GM58"/>
      <c r="GN58"/>
      <c r="GO58"/>
      <c r="GP58"/>
      <c r="GQ58"/>
      <c r="GR58"/>
      <c r="GS58"/>
      <c r="GT58"/>
      <c r="GU58"/>
      <c r="GV58"/>
      <c r="GW58"/>
      <c r="GX58"/>
      <c r="GY58"/>
      <c r="GZ58"/>
      <c r="HA58"/>
      <c r="HB58"/>
      <c r="HC58"/>
      <c r="HD58"/>
      <c r="HE58"/>
      <c r="HF58"/>
      <c r="HG58"/>
      <c r="HH58"/>
      <c r="HI58"/>
      <c r="HJ58"/>
      <c r="HK58"/>
      <c r="HL58"/>
      <c r="HM58"/>
      <c r="HN58"/>
      <c r="HO58"/>
      <c r="HP58"/>
      <c r="HQ58"/>
      <c r="HR58"/>
      <c r="HS58"/>
      <c r="HT58"/>
      <c r="HU58"/>
      <c r="HV58"/>
      <c r="HW58"/>
      <c r="HX58"/>
      <c r="HY58"/>
      <c r="HZ58"/>
      <c r="IA58"/>
      <c r="IB58"/>
      <c r="IC58"/>
      <c r="ID58"/>
      <c r="IE58"/>
      <c r="IF58"/>
      <c r="IG58"/>
      <c r="IH58"/>
      <c r="II58"/>
      <c r="IJ58"/>
      <c r="IK58"/>
      <c r="IL58"/>
      <c r="IM58"/>
      <c r="IN58"/>
      <c r="IO58"/>
      <c r="IP58"/>
      <c r="IQ58"/>
      <c r="IR58"/>
      <c r="IS58"/>
      <c r="IT58"/>
      <c r="IU58"/>
      <c r="IV58"/>
      <c r="IW58"/>
      <c r="IX58"/>
      <c r="IY58"/>
      <c r="IZ58"/>
    </row>
    <row r="59" spans="1:260" s="4" customFormat="1" x14ac:dyDescent="0.2">
      <c r="A59" s="36" t="s">
        <v>481</v>
      </c>
      <c r="B59" s="873">
        <v>0</v>
      </c>
      <c r="C59" s="873">
        <v>0</v>
      </c>
      <c r="D59" s="873">
        <v>0</v>
      </c>
      <c r="E59" s="874">
        <v>0</v>
      </c>
      <c r="F59" s="873">
        <v>0</v>
      </c>
      <c r="G59" s="873">
        <v>0</v>
      </c>
      <c r="H59" s="873">
        <v>0</v>
      </c>
      <c r="I59" s="874">
        <v>0</v>
      </c>
      <c r="J59" s="873">
        <v>0</v>
      </c>
      <c r="K59" s="873">
        <v>0</v>
      </c>
      <c r="L59" s="873">
        <v>0</v>
      </c>
      <c r="M59" s="874">
        <v>0</v>
      </c>
      <c r="N59" s="873">
        <v>0</v>
      </c>
      <c r="O59" s="873">
        <v>0</v>
      </c>
      <c r="P59" s="873">
        <v>0</v>
      </c>
      <c r="Q59" s="874">
        <v>0</v>
      </c>
      <c r="R59" s="47">
        <v>229.52600000000001</v>
      </c>
      <c r="S59" s="47">
        <v>-20.808</v>
      </c>
      <c r="T59" s="47">
        <v>0</v>
      </c>
      <c r="U59" s="709">
        <v>77.271999999999906</v>
      </c>
      <c r="V59" s="47">
        <v>0</v>
      </c>
      <c r="W59" s="47">
        <v>25.2710000000001</v>
      </c>
      <c r="X59" s="47">
        <v>-9.6539999999999395</v>
      </c>
      <c r="Y59" s="709">
        <v>-15.6170000000002</v>
      </c>
      <c r="Z59" s="47">
        <v>0</v>
      </c>
      <c r="AA59" s="47">
        <v>0</v>
      </c>
      <c r="AB59" s="47">
        <v>0</v>
      </c>
      <c r="AC59" s="709">
        <v>0</v>
      </c>
      <c r="AD59" s="47">
        <v>0.276999999999816</v>
      </c>
      <c r="AE59" s="47">
        <v>0</v>
      </c>
      <c r="AF59" s="47">
        <v>0</v>
      </c>
      <c r="AG59" s="709">
        <v>4</v>
      </c>
      <c r="AH59" s="47">
        <v>0</v>
      </c>
      <c r="AI59" s="47">
        <v>0</v>
      </c>
      <c r="AJ59" s="47">
        <v>0</v>
      </c>
      <c r="AK59" s="709">
        <v>-4</v>
      </c>
      <c r="AL59" s="47">
        <v>397</v>
      </c>
      <c r="AM59" s="47">
        <v>-291</v>
      </c>
      <c r="AN59" s="47">
        <v>83</v>
      </c>
      <c r="AO59" s="709">
        <v>766</v>
      </c>
      <c r="AP59" s="47">
        <v>94</v>
      </c>
      <c r="AQ59" s="47">
        <v>-93</v>
      </c>
      <c r="AR59" s="47">
        <v>-4588</v>
      </c>
      <c r="AS59" s="709">
        <v>2327</v>
      </c>
      <c r="AT59" s="47">
        <v>535</v>
      </c>
      <c r="AU59" s="47">
        <v>514</v>
      </c>
      <c r="AV59" s="47">
        <v>-446</v>
      </c>
      <c r="AW59" s="709">
        <v>-769</v>
      </c>
      <c r="AX59" s="47">
        <v>116</v>
      </c>
      <c r="AY59" s="47">
        <v>0</v>
      </c>
      <c r="AZ59" s="985">
        <v>-116</v>
      </c>
      <c r="BA59" s="709">
        <v>0</v>
      </c>
      <c r="BB59" s="873">
        <v>0</v>
      </c>
      <c r="BC59" s="873">
        <v>0</v>
      </c>
      <c r="BD59" s="873">
        <v>0</v>
      </c>
      <c r="BE59" s="874">
        <v>0</v>
      </c>
      <c r="BF59" s="873">
        <v>0</v>
      </c>
      <c r="BG59" s="873">
        <v>0</v>
      </c>
      <c r="BH59" s="873">
        <v>0</v>
      </c>
      <c r="BI59" s="874">
        <v>0</v>
      </c>
      <c r="BJ59" s="873">
        <v>0</v>
      </c>
      <c r="BK59" s="873">
        <v>0</v>
      </c>
      <c r="BL59" s="873">
        <v>0</v>
      </c>
      <c r="BM59" s="874">
        <v>0</v>
      </c>
      <c r="BN59" s="873">
        <v>0</v>
      </c>
      <c r="BO59" s="873">
        <v>0</v>
      </c>
      <c r="BP59" s="873">
        <v>0</v>
      </c>
      <c r="BQ59" s="874">
        <v>0</v>
      </c>
      <c r="BR59" s="873">
        <v>0</v>
      </c>
      <c r="BS59" s="873">
        <v>0</v>
      </c>
      <c r="BT59" s="873">
        <v>0</v>
      </c>
      <c r="BU59" s="874">
        <v>0</v>
      </c>
      <c r="BV59" s="873">
        <v>0</v>
      </c>
      <c r="BW59" s="873">
        <v>0</v>
      </c>
      <c r="BX59" s="873">
        <v>0</v>
      </c>
      <c r="BY59" s="874">
        <v>0</v>
      </c>
      <c r="BZ59" s="898">
        <v>202</v>
      </c>
      <c r="CA59" s="898">
        <f>202-BZ59</f>
        <v>0</v>
      </c>
      <c r="CB59" s="898">
        <f>202-CA59-BZ59</f>
        <v>0</v>
      </c>
      <c r="CC59" s="909">
        <f>202-BZ59-CA59-CB59</f>
        <v>0</v>
      </c>
      <c r="CD59" s="917">
        <v>0</v>
      </c>
      <c r="CE59" s="910">
        <v>0</v>
      </c>
      <c r="CF59" s="910">
        <v>0</v>
      </c>
      <c r="CG59" s="909">
        <v>0</v>
      </c>
      <c r="CH59" s="917">
        <v>0</v>
      </c>
      <c r="CI59" s="910">
        <v>0</v>
      </c>
      <c r="CJ59" s="910">
        <v>0</v>
      </c>
      <c r="CK59" s="909">
        <f>+EI59-SUM(CH59:CJ59)</f>
        <v>0</v>
      </c>
      <c r="CL59" s="1634">
        <v>0</v>
      </c>
      <c r="CM59" s="1635">
        <v>0</v>
      </c>
      <c r="CN59" s="1635">
        <v>0</v>
      </c>
      <c r="CO59" s="1636">
        <v>0</v>
      </c>
      <c r="CP59" s="1635">
        <v>0</v>
      </c>
      <c r="CQ59" s="1635">
        <v>0</v>
      </c>
      <c r="CR59" s="1635">
        <v>0</v>
      </c>
      <c r="CS59" s="909">
        <v>0</v>
      </c>
      <c r="CT59" s="910">
        <v>10</v>
      </c>
      <c r="CU59" s="910">
        <v>0</v>
      </c>
      <c r="CV59" s="910">
        <v>0</v>
      </c>
      <c r="CW59" s="909">
        <v>0</v>
      </c>
      <c r="CX59" s="1674">
        <v>0</v>
      </c>
      <c r="CY59" s="910">
        <v>0</v>
      </c>
      <c r="CZ59" s="910">
        <v>0</v>
      </c>
      <c r="DA59" s="909">
        <v>0</v>
      </c>
      <c r="DB59" s="667"/>
      <c r="DC59" s="524"/>
      <c r="DD59" s="63">
        <v>0</v>
      </c>
      <c r="DE59" s="63">
        <v>0</v>
      </c>
      <c r="DF59" s="63">
        <v>0</v>
      </c>
      <c r="DG59" s="63">
        <v>0</v>
      </c>
      <c r="DH59" s="63">
        <v>0</v>
      </c>
      <c r="DI59" s="63">
        <v>0</v>
      </c>
      <c r="DJ59" s="63">
        <v>0</v>
      </c>
      <c r="DK59" s="63">
        <v>0</v>
      </c>
      <c r="DL59" s="63">
        <v>0</v>
      </c>
      <c r="DM59" s="63">
        <v>0</v>
      </c>
      <c r="DN59" s="63">
        <v>0</v>
      </c>
      <c r="DO59" s="63">
        <v>0</v>
      </c>
      <c r="DP59" s="63">
        <v>285.99</v>
      </c>
      <c r="DQ59" s="47">
        <v>0</v>
      </c>
      <c r="DR59" s="47">
        <v>0</v>
      </c>
      <c r="DS59" s="47">
        <v>4.2770000000000401</v>
      </c>
      <c r="DT59" s="47">
        <v>-4</v>
      </c>
      <c r="DU59" s="47">
        <v>523</v>
      </c>
      <c r="DV59" s="47">
        <v>-1446</v>
      </c>
      <c r="DW59" s="47">
        <f>-116-50</f>
        <v>-166</v>
      </c>
      <c r="DX59" s="47">
        <v>0</v>
      </c>
      <c r="DY59" s="47">
        <v>0</v>
      </c>
      <c r="DZ59" s="47">
        <v>0</v>
      </c>
      <c r="EA59" s="873">
        <v>0</v>
      </c>
      <c r="EB59" s="873">
        <v>0</v>
      </c>
      <c r="EC59" s="873">
        <v>0</v>
      </c>
      <c r="ED59" s="873">
        <v>0</v>
      </c>
      <c r="EE59" s="910">
        <f>EC59</f>
        <v>0</v>
      </c>
      <c r="EF59" s="917">
        <f>BV59</f>
        <v>0</v>
      </c>
      <c r="EG59" s="1335">
        <v>0</v>
      </c>
      <c r="EH59" s="920">
        <f>SUM(CD59:CG59)</f>
        <v>0</v>
      </c>
      <c r="EI59" s="920">
        <f>SUM(CE59:CH59)</f>
        <v>0</v>
      </c>
      <c r="EJ59" s="920">
        <f>SUM(CF59:CI59)</f>
        <v>0</v>
      </c>
      <c r="EK59" s="910">
        <f>SUM(CP59:CS59)</f>
        <v>0</v>
      </c>
      <c r="EL59" s="910">
        <f>+SUM(CT59:CW59)</f>
        <v>10</v>
      </c>
      <c r="EM59" s="1674">
        <f>+SUM(CX59:DA59)</f>
        <v>0</v>
      </c>
      <c r="EN59" s="910">
        <v>0</v>
      </c>
      <c r="EO59" s="910">
        <v>0</v>
      </c>
      <c r="EP59" s="910">
        <v>0</v>
      </c>
      <c r="EQ59" s="910">
        <v>0</v>
      </c>
      <c r="ER59" s="910">
        <v>0</v>
      </c>
      <c r="ES59" s="910">
        <v>0</v>
      </c>
      <c r="ET59" s="910">
        <v>0</v>
      </c>
      <c r="EU59" s="909">
        <v>0</v>
      </c>
      <c r="EV59" s="413"/>
      <c r="EW59"/>
      <c r="EX59"/>
      <c r="EY59"/>
      <c r="EZ59"/>
      <c r="FA59"/>
      <c r="FB59"/>
      <c r="FG59" s="910"/>
      <c r="FH59" s="910"/>
      <c r="FI59" s="910"/>
      <c r="FJ59" s="910"/>
      <c r="FK59" s="910"/>
      <c r="FL59"/>
      <c r="FM59"/>
      <c r="FN59"/>
      <c r="FO59"/>
      <c r="FP59"/>
      <c r="FQ59"/>
      <c r="FR59"/>
      <c r="FS59"/>
      <c r="FT59"/>
      <c r="FU59"/>
      <c r="FV59"/>
      <c r="FW59"/>
      <c r="FX59"/>
      <c r="FY59"/>
      <c r="FZ59"/>
      <c r="GA59"/>
      <c r="GB59"/>
      <c r="GC59"/>
      <c r="GD59"/>
      <c r="GE59"/>
      <c r="GF59"/>
      <c r="GG59"/>
      <c r="GH59"/>
      <c r="GI59"/>
      <c r="GJ59"/>
      <c r="GK59"/>
      <c r="GL59"/>
      <c r="GM59"/>
      <c r="GN59"/>
      <c r="GO59"/>
      <c r="GP59"/>
      <c r="GQ59"/>
      <c r="GR59"/>
      <c r="GS59"/>
      <c r="GT59"/>
      <c r="GU59"/>
      <c r="GV59"/>
      <c r="GW59"/>
      <c r="GX59"/>
      <c r="GY59"/>
      <c r="GZ59"/>
      <c r="HA59"/>
      <c r="HB59"/>
      <c r="HC59"/>
      <c r="HD59"/>
      <c r="HE59"/>
      <c r="HF59"/>
      <c r="HG59"/>
      <c r="HH59"/>
      <c r="HI59"/>
      <c r="HJ59"/>
      <c r="HK59"/>
      <c r="HL59"/>
      <c r="HM59"/>
      <c r="HN59"/>
      <c r="HO59"/>
      <c r="HP59"/>
      <c r="HQ59"/>
      <c r="HR59"/>
      <c r="HS59"/>
      <c r="HT59"/>
      <c r="HU59"/>
      <c r="HV59"/>
      <c r="HW59"/>
      <c r="HX59"/>
      <c r="HY59"/>
      <c r="HZ59"/>
      <c r="IA59"/>
      <c r="IB59"/>
      <c r="IC59"/>
      <c r="ID59"/>
      <c r="IE59"/>
      <c r="IF59"/>
      <c r="IG59"/>
      <c r="IH59"/>
      <c r="II59"/>
      <c r="IJ59"/>
      <c r="IK59"/>
      <c r="IL59"/>
      <c r="IM59"/>
      <c r="IN59"/>
      <c r="IO59"/>
      <c r="IP59"/>
      <c r="IQ59"/>
      <c r="IR59"/>
      <c r="IS59"/>
      <c r="IT59"/>
      <c r="IU59"/>
      <c r="IV59"/>
      <c r="IW59"/>
      <c r="IX59"/>
      <c r="IY59"/>
      <c r="IZ59"/>
    </row>
    <row r="60" spans="1:260" s="4" customFormat="1" x14ac:dyDescent="0.2">
      <c r="A60" s="144" t="s">
        <v>479</v>
      </c>
      <c r="B60" s="873">
        <v>0</v>
      </c>
      <c r="C60" s="873">
        <v>0</v>
      </c>
      <c r="D60" s="873">
        <v>0</v>
      </c>
      <c r="E60" s="874">
        <v>0</v>
      </c>
      <c r="F60" s="873">
        <v>0</v>
      </c>
      <c r="G60" s="873">
        <v>0</v>
      </c>
      <c r="H60" s="873">
        <v>0</v>
      </c>
      <c r="I60" s="874">
        <v>0</v>
      </c>
      <c r="J60" s="873">
        <v>0</v>
      </c>
      <c r="K60" s="873">
        <v>0</v>
      </c>
      <c r="L60" s="873">
        <v>0</v>
      </c>
      <c r="M60" s="874">
        <v>0</v>
      </c>
      <c r="N60" s="873">
        <v>0</v>
      </c>
      <c r="O60" s="873">
        <v>0</v>
      </c>
      <c r="P60" s="873">
        <v>0</v>
      </c>
      <c r="Q60" s="874">
        <v>0</v>
      </c>
      <c r="R60" s="873">
        <v>0</v>
      </c>
      <c r="S60" s="873">
        <v>0</v>
      </c>
      <c r="T60" s="873">
        <v>0</v>
      </c>
      <c r="U60" s="874">
        <v>0</v>
      </c>
      <c r="V60" s="873">
        <v>0</v>
      </c>
      <c r="W60" s="873">
        <v>0</v>
      </c>
      <c r="X60" s="873">
        <v>0</v>
      </c>
      <c r="Y60" s="874">
        <v>0</v>
      </c>
      <c r="Z60" s="873">
        <v>0</v>
      </c>
      <c r="AA60" s="873">
        <v>0</v>
      </c>
      <c r="AB60" s="873">
        <v>0</v>
      </c>
      <c r="AC60" s="874">
        <v>0</v>
      </c>
      <c r="AD60" s="873">
        <v>0</v>
      </c>
      <c r="AE60" s="873">
        <v>0</v>
      </c>
      <c r="AF60" s="873">
        <v>0</v>
      </c>
      <c r="AG60" s="874">
        <v>0</v>
      </c>
      <c r="AH60" s="873">
        <v>0</v>
      </c>
      <c r="AI60" s="873">
        <v>0</v>
      </c>
      <c r="AJ60" s="873">
        <v>0</v>
      </c>
      <c r="AK60" s="874">
        <v>0</v>
      </c>
      <c r="AL60" s="873">
        <v>0</v>
      </c>
      <c r="AM60" s="873">
        <v>0</v>
      </c>
      <c r="AN60" s="873">
        <v>0</v>
      </c>
      <c r="AO60" s="874">
        <v>0</v>
      </c>
      <c r="AP60" s="873">
        <v>0</v>
      </c>
      <c r="AQ60" s="873">
        <v>0</v>
      </c>
      <c r="AR60" s="873">
        <v>0</v>
      </c>
      <c r="AS60" s="874">
        <v>0</v>
      </c>
      <c r="AT60" s="873">
        <v>0</v>
      </c>
      <c r="AU60" s="873">
        <v>0</v>
      </c>
      <c r="AV60" s="873">
        <v>0</v>
      </c>
      <c r="AW60" s="874">
        <v>0</v>
      </c>
      <c r="AX60" s="873">
        <v>0</v>
      </c>
      <c r="AY60" s="873">
        <v>0</v>
      </c>
      <c r="AZ60" s="873">
        <v>0</v>
      </c>
      <c r="BA60" s="874">
        <v>0</v>
      </c>
      <c r="BB60" s="873">
        <v>0</v>
      </c>
      <c r="BC60" s="873">
        <v>0</v>
      </c>
      <c r="BD60" s="873">
        <v>0</v>
      </c>
      <c r="BE60" s="874">
        <v>0</v>
      </c>
      <c r="BF60" s="873">
        <v>0</v>
      </c>
      <c r="BG60" s="873">
        <v>0</v>
      </c>
      <c r="BH60" s="873">
        <v>0</v>
      </c>
      <c r="BI60" s="874">
        <v>0</v>
      </c>
      <c r="BJ60" s="873">
        <v>0</v>
      </c>
      <c r="BK60" s="873">
        <v>0</v>
      </c>
      <c r="BL60" s="873">
        <v>0</v>
      </c>
      <c r="BM60" s="874">
        <v>0</v>
      </c>
      <c r="BN60" s="873">
        <v>0</v>
      </c>
      <c r="BO60" s="873">
        <v>0</v>
      </c>
      <c r="BP60" s="873">
        <v>0</v>
      </c>
      <c r="BQ60" s="874">
        <v>0</v>
      </c>
      <c r="BR60" s="873">
        <v>0</v>
      </c>
      <c r="BS60" s="873">
        <v>0</v>
      </c>
      <c r="BT60" s="873">
        <v>0</v>
      </c>
      <c r="BU60" s="874">
        <v>0</v>
      </c>
      <c r="BV60" s="873">
        <v>0</v>
      </c>
      <c r="BW60" s="873">
        <v>0</v>
      </c>
      <c r="BX60" s="873">
        <v>0</v>
      </c>
      <c r="BY60" s="874">
        <v>0</v>
      </c>
      <c r="BZ60" s="910">
        <v>0</v>
      </c>
      <c r="CA60" s="910">
        <v>0</v>
      </c>
      <c r="CB60" s="910">
        <v>0</v>
      </c>
      <c r="CC60" s="909">
        <v>0</v>
      </c>
      <c r="CD60" s="917">
        <v>-163</v>
      </c>
      <c r="CE60" s="910">
        <f>0-CD60</f>
        <v>163</v>
      </c>
      <c r="CF60" s="910">
        <v>0</v>
      </c>
      <c r="CG60" s="909">
        <v>0</v>
      </c>
      <c r="CH60" s="917">
        <v>0</v>
      </c>
      <c r="CI60" s="910">
        <v>0</v>
      </c>
      <c r="CJ60" s="910">
        <v>0</v>
      </c>
      <c r="CK60" s="909">
        <f>+EI60-SUM(CH60:CJ60)</f>
        <v>-194</v>
      </c>
      <c r="CL60" s="1634">
        <v>194</v>
      </c>
      <c r="CM60" s="1635">
        <f>194-CL60</f>
        <v>0</v>
      </c>
      <c r="CN60" s="1635">
        <v>0</v>
      </c>
      <c r="CO60" s="1636">
        <v>0</v>
      </c>
      <c r="CP60" s="1635">
        <v>0</v>
      </c>
      <c r="CQ60" s="1635">
        <v>0</v>
      </c>
      <c r="CR60" s="1635">
        <v>0</v>
      </c>
      <c r="CS60" s="909">
        <v>0</v>
      </c>
      <c r="CT60" s="910">
        <v>0</v>
      </c>
      <c r="CU60" s="910">
        <v>0</v>
      </c>
      <c r="CV60" s="910">
        <v>0</v>
      </c>
      <c r="CW60" s="909">
        <v>0</v>
      </c>
      <c r="CX60" s="1674">
        <v>0</v>
      </c>
      <c r="CY60" s="910">
        <v>0</v>
      </c>
      <c r="CZ60" s="910">
        <v>0</v>
      </c>
      <c r="DA60" s="909">
        <v>0</v>
      </c>
      <c r="DB60" s="667"/>
      <c r="DC60" s="524"/>
      <c r="DD60" s="143">
        <v>0</v>
      </c>
      <c r="DE60" s="143">
        <v>0</v>
      </c>
      <c r="DF60" s="143">
        <v>0</v>
      </c>
      <c r="DG60" s="143">
        <v>0</v>
      </c>
      <c r="DH60" s="143">
        <v>0</v>
      </c>
      <c r="DI60" s="143">
        <v>0</v>
      </c>
      <c r="DJ60" s="143">
        <v>0</v>
      </c>
      <c r="DK60" s="143">
        <v>0</v>
      </c>
      <c r="DL60" s="143">
        <v>0</v>
      </c>
      <c r="DM60" s="143">
        <v>0</v>
      </c>
      <c r="DN60" s="143">
        <v>0</v>
      </c>
      <c r="DO60" s="143">
        <v>0</v>
      </c>
      <c r="DP60" s="143">
        <v>0</v>
      </c>
      <c r="DQ60" s="985">
        <v>0</v>
      </c>
      <c r="DR60" s="985">
        <v>0</v>
      </c>
      <c r="DS60" s="985">
        <v>0</v>
      </c>
      <c r="DT60" s="985">
        <v>0</v>
      </c>
      <c r="DU60" s="985">
        <v>0</v>
      </c>
      <c r="DV60" s="985">
        <v>0</v>
      </c>
      <c r="DW60" s="985">
        <v>0</v>
      </c>
      <c r="DX60" s="985">
        <v>0</v>
      </c>
      <c r="DY60" s="985">
        <v>0</v>
      </c>
      <c r="DZ60" s="985">
        <v>0</v>
      </c>
      <c r="EA60" s="873">
        <v>0</v>
      </c>
      <c r="EB60" s="873">
        <v>0</v>
      </c>
      <c r="EC60" s="873">
        <v>0</v>
      </c>
      <c r="ED60" s="873">
        <v>0</v>
      </c>
      <c r="EE60" s="910">
        <f>EC60</f>
        <v>0</v>
      </c>
      <c r="EF60" s="917">
        <f>BV60</f>
        <v>0</v>
      </c>
      <c r="EG60" s="920">
        <f>SUM(BZ60:CC60)</f>
        <v>0</v>
      </c>
      <c r="EH60" s="920">
        <f>SUM(CD60:CG60)</f>
        <v>0</v>
      </c>
      <c r="EI60" s="920">
        <v>-194</v>
      </c>
      <c r="EJ60" s="920">
        <v>194</v>
      </c>
      <c r="EK60" s="910">
        <f>SUM(CP60:CS60)</f>
        <v>0</v>
      </c>
      <c r="EL60" s="910">
        <f>+SUM(CT60:CW60)</f>
        <v>0</v>
      </c>
      <c r="EM60" s="1674">
        <f>+SUM(CX60:DA60)</f>
        <v>0</v>
      </c>
      <c r="EN60" s="910">
        <v>0</v>
      </c>
      <c r="EO60" s="910">
        <v>0</v>
      </c>
      <c r="EP60" s="910">
        <v>0</v>
      </c>
      <c r="EQ60" s="910">
        <v>0</v>
      </c>
      <c r="ER60" s="910">
        <v>0</v>
      </c>
      <c r="ES60" s="910">
        <v>0</v>
      </c>
      <c r="ET60" s="910">
        <v>0</v>
      </c>
      <c r="EU60" s="909">
        <v>0</v>
      </c>
      <c r="EV60" s="413"/>
      <c r="EW60"/>
      <c r="EX60"/>
      <c r="EY60"/>
      <c r="EZ60"/>
      <c r="FA60"/>
      <c r="FB60"/>
      <c r="FG60" s="910"/>
      <c r="FH60" s="910"/>
      <c r="FI60" s="910"/>
      <c r="FJ60" s="910"/>
      <c r="FK60" s="910"/>
      <c r="FL60"/>
      <c r="FM60"/>
      <c r="FN60"/>
      <c r="FO60"/>
      <c r="FP60"/>
      <c r="FQ60"/>
      <c r="FR60"/>
      <c r="FS60"/>
      <c r="FT60"/>
      <c r="FU60"/>
      <c r="FV60"/>
      <c r="FW60"/>
      <c r="FX60"/>
      <c r="FY60"/>
      <c r="FZ60"/>
      <c r="GA60"/>
      <c r="GB60"/>
      <c r="GC60"/>
      <c r="GD60"/>
      <c r="GE60"/>
      <c r="GF60"/>
      <c r="GG60"/>
      <c r="GH60"/>
      <c r="GI60"/>
      <c r="GJ60"/>
      <c r="GK60"/>
      <c r="GL60"/>
      <c r="GM60"/>
      <c r="GN60"/>
      <c r="GO60"/>
      <c r="GP60"/>
      <c r="GQ60"/>
      <c r="GR60"/>
      <c r="GS60"/>
      <c r="GT60"/>
      <c r="GU60"/>
      <c r="GV60"/>
      <c r="GW60"/>
      <c r="GX60"/>
      <c r="GY60"/>
      <c r="GZ60"/>
      <c r="HA60"/>
      <c r="HB60"/>
      <c r="HC60"/>
      <c r="HD60"/>
      <c r="HE60"/>
      <c r="HF60"/>
      <c r="HG60"/>
      <c r="HH60"/>
      <c r="HI60"/>
      <c r="HJ60"/>
      <c r="HK60"/>
      <c r="HL60"/>
      <c r="HM60"/>
      <c r="HN60"/>
      <c r="HO60"/>
      <c r="HP60"/>
      <c r="HQ60"/>
      <c r="HR60"/>
      <c r="HS60"/>
      <c r="HT60"/>
      <c r="HU60"/>
      <c r="HV60"/>
      <c r="HW60"/>
      <c r="HX60"/>
      <c r="HY60"/>
      <c r="HZ60"/>
      <c r="IA60"/>
      <c r="IB60"/>
      <c r="IC60"/>
      <c r="ID60"/>
      <c r="IE60"/>
      <c r="IF60"/>
      <c r="IG60"/>
      <c r="IH60"/>
      <c r="II60"/>
      <c r="IJ60"/>
      <c r="IK60"/>
      <c r="IL60"/>
      <c r="IM60"/>
      <c r="IN60"/>
      <c r="IO60"/>
      <c r="IP60"/>
      <c r="IQ60"/>
      <c r="IR60"/>
      <c r="IS60"/>
      <c r="IT60"/>
      <c r="IU60"/>
      <c r="IV60"/>
      <c r="IW60"/>
      <c r="IX60"/>
      <c r="IY60"/>
      <c r="IZ60"/>
    </row>
    <row r="61" spans="1:260" s="4" customFormat="1" x14ac:dyDescent="0.2">
      <c r="A61" s="144"/>
      <c r="B61" s="153"/>
      <c r="C61" s="143"/>
      <c r="D61" s="143"/>
      <c r="E61" s="711"/>
      <c r="F61" s="153"/>
      <c r="G61" s="143"/>
      <c r="H61" s="143"/>
      <c r="I61" s="711"/>
      <c r="J61" s="153"/>
      <c r="K61" s="143"/>
      <c r="L61" s="143"/>
      <c r="M61" s="711"/>
      <c r="N61" s="153"/>
      <c r="O61" s="143"/>
      <c r="P61" s="143"/>
      <c r="Q61" s="711"/>
      <c r="R61" s="153"/>
      <c r="S61" s="143"/>
      <c r="T61" s="143"/>
      <c r="U61" s="711"/>
      <c r="V61" s="153"/>
      <c r="W61" s="143"/>
      <c r="X61" s="143"/>
      <c r="Y61" s="711"/>
      <c r="Z61" s="153"/>
      <c r="AA61" s="143"/>
      <c r="AB61" s="143"/>
      <c r="AC61" s="711"/>
      <c r="AD61" s="153"/>
      <c r="AE61" s="143"/>
      <c r="AF61" s="143"/>
      <c r="AG61" s="711"/>
      <c r="AH61" s="153"/>
      <c r="AI61" s="143"/>
      <c r="AJ61" s="143"/>
      <c r="AK61" s="711"/>
      <c r="AL61" s="153"/>
      <c r="AM61" s="143"/>
      <c r="AN61" s="143"/>
      <c r="AO61" s="711"/>
      <c r="AP61" s="153"/>
      <c r="AQ61" s="143"/>
      <c r="AR61" s="143"/>
      <c r="AS61" s="711"/>
      <c r="AT61" s="153"/>
      <c r="AU61" s="143"/>
      <c r="AV61" s="143"/>
      <c r="AW61" s="711"/>
      <c r="AX61" s="153"/>
      <c r="AY61" s="143"/>
      <c r="AZ61" s="143"/>
      <c r="BA61" s="711"/>
      <c r="BB61" s="143"/>
      <c r="BC61" s="143"/>
      <c r="BD61" s="143"/>
      <c r="BE61" s="711"/>
      <c r="BF61" s="143"/>
      <c r="BG61" s="143"/>
      <c r="BH61" s="143"/>
      <c r="BI61" s="711"/>
      <c r="BJ61" s="143"/>
      <c r="BK61" s="143"/>
      <c r="BL61" s="143"/>
      <c r="BM61" s="711"/>
      <c r="BN61" s="148"/>
      <c r="BO61" s="148"/>
      <c r="BP61" s="148"/>
      <c r="BQ61" s="655"/>
      <c r="BR61" s="175"/>
      <c r="BS61" s="175"/>
      <c r="BT61" s="175"/>
      <c r="BU61" s="728"/>
      <c r="BV61" s="175"/>
      <c r="BW61" s="175"/>
      <c r="BX61" s="175"/>
      <c r="BY61" s="728"/>
      <c r="BZ61" s="175"/>
      <c r="CA61" s="175"/>
      <c r="CB61" s="175"/>
      <c r="CC61" s="728"/>
      <c r="CD61" s="1145"/>
      <c r="CE61" s="1146"/>
      <c r="CF61" s="1146"/>
      <c r="CG61" s="728"/>
      <c r="CH61" s="1145"/>
      <c r="CI61" s="1146"/>
      <c r="CJ61" s="1146"/>
      <c r="CK61" s="728"/>
      <c r="CL61" s="1145"/>
      <c r="CM61" s="1146"/>
      <c r="CN61" s="1146"/>
      <c r="CO61" s="728"/>
      <c r="CP61" s="1146"/>
      <c r="CQ61" s="1146"/>
      <c r="CR61" s="1146"/>
      <c r="CS61" s="728"/>
      <c r="CT61" s="1146"/>
      <c r="CU61" s="1146"/>
      <c r="CV61" s="1146"/>
      <c r="CW61" s="728"/>
      <c r="CX61" s="2806"/>
      <c r="CY61" s="1146"/>
      <c r="CZ61" s="1146"/>
      <c r="DA61" s="728"/>
      <c r="DB61" s="732"/>
      <c r="DC61" s="655"/>
      <c r="DD61" s="143"/>
      <c r="DE61" s="143"/>
      <c r="DF61" s="143"/>
      <c r="DG61" s="143"/>
      <c r="DH61" s="143"/>
      <c r="DI61" s="143"/>
      <c r="DJ61" s="143"/>
      <c r="DK61" s="143"/>
      <c r="DL61" s="143"/>
      <c r="DM61" s="143"/>
      <c r="DN61" s="143"/>
      <c r="DO61" s="143"/>
      <c r="DP61" s="143"/>
      <c r="DQ61" s="143"/>
      <c r="DR61" s="143"/>
      <c r="DS61" s="143"/>
      <c r="DT61" s="143"/>
      <c r="DU61" s="143"/>
      <c r="DV61" s="143"/>
      <c r="DW61" s="143"/>
      <c r="DX61" s="143"/>
      <c r="DY61" s="143"/>
      <c r="DZ61" s="143"/>
      <c r="EA61" s="148"/>
      <c r="EB61" s="175"/>
      <c r="EC61" s="148"/>
      <c r="ED61" s="148"/>
      <c r="EE61" s="143"/>
      <c r="EF61" s="1129"/>
      <c r="EG61" s="1095"/>
      <c r="EH61" s="1095"/>
      <c r="EI61" s="1095"/>
      <c r="EJ61" s="1095"/>
      <c r="EK61" s="143"/>
      <c r="EL61" s="143"/>
      <c r="EM61" s="1703"/>
      <c r="EN61" s="1664"/>
      <c r="EO61" s="1664"/>
      <c r="EP61" s="1664"/>
      <c r="EQ61" s="1664"/>
      <c r="ER61" s="1664"/>
      <c r="ES61" s="1664"/>
      <c r="ET61" s="1664"/>
      <c r="EU61" s="711"/>
      <c r="EV61" s="413"/>
      <c r="EW61"/>
      <c r="EX61"/>
      <c r="EY61"/>
      <c r="EZ61"/>
      <c r="FA61"/>
      <c r="FB61"/>
      <c r="FG61"/>
      <c r="FH61"/>
      <c r="FI61" s="1664"/>
      <c r="FJ61" s="1664"/>
      <c r="FK61" s="1664"/>
      <c r="FL61"/>
      <c r="FM61"/>
      <c r="FN61"/>
      <c r="FO61"/>
      <c r="FP61"/>
      <c r="FQ61"/>
      <c r="FR61"/>
      <c r="FS61"/>
      <c r="FT61"/>
      <c r="FU61"/>
      <c r="FV61"/>
      <c r="FW61"/>
      <c r="FX61"/>
      <c r="FY61"/>
      <c r="FZ61"/>
      <c r="GA61"/>
      <c r="GB61"/>
      <c r="GC61"/>
      <c r="GD61"/>
      <c r="GE61"/>
      <c r="GF61"/>
      <c r="GG61"/>
      <c r="GH61"/>
      <c r="GI61"/>
      <c r="GJ61"/>
      <c r="GK61"/>
      <c r="GL61"/>
      <c r="GM61"/>
      <c r="GN61"/>
      <c r="GO61"/>
      <c r="GP61"/>
      <c r="GQ61"/>
      <c r="GR61"/>
      <c r="GS61"/>
      <c r="GT61"/>
      <c r="GU61"/>
      <c r="GV61"/>
      <c r="GW61"/>
      <c r="GX61"/>
      <c r="GY61"/>
      <c r="GZ61"/>
      <c r="HA61"/>
      <c r="HB61"/>
      <c r="HC61"/>
      <c r="HD61"/>
      <c r="HE61"/>
      <c r="HF61"/>
      <c r="HG61"/>
      <c r="HH61"/>
      <c r="HI61"/>
      <c r="HJ61"/>
      <c r="HK61"/>
      <c r="HL61"/>
      <c r="HM61"/>
      <c r="HN61"/>
      <c r="HO61"/>
      <c r="HP61"/>
      <c r="HQ61"/>
      <c r="HR61"/>
      <c r="HS61"/>
      <c r="HT61"/>
      <c r="HU61"/>
      <c r="HV61"/>
      <c r="HW61"/>
      <c r="HX61"/>
      <c r="HY61"/>
      <c r="HZ61"/>
      <c r="IA61"/>
      <c r="IB61"/>
      <c r="IC61"/>
      <c r="ID61"/>
      <c r="IE61"/>
      <c r="IF61"/>
      <c r="IG61"/>
      <c r="IH61"/>
      <c r="II61"/>
      <c r="IJ61"/>
      <c r="IK61"/>
      <c r="IL61"/>
      <c r="IM61"/>
      <c r="IN61"/>
      <c r="IO61"/>
      <c r="IP61"/>
      <c r="IQ61"/>
      <c r="IR61"/>
      <c r="IS61"/>
      <c r="IT61"/>
      <c r="IU61"/>
      <c r="IV61"/>
      <c r="IW61"/>
      <c r="IX61"/>
      <c r="IY61"/>
      <c r="IZ61"/>
    </row>
    <row r="62" spans="1:260" s="4" customFormat="1" x14ac:dyDescent="0.2">
      <c r="A62" s="48" t="s">
        <v>133</v>
      </c>
      <c r="B62" s="992">
        <v>7.1379999999999999</v>
      </c>
      <c r="C62" s="992">
        <f>B64</f>
        <v>79.406999999999996</v>
      </c>
      <c r="D62" s="992">
        <f>C64</f>
        <v>11.78700000000002</v>
      </c>
      <c r="E62" s="993">
        <f>D64</f>
        <v>22.76900000000002</v>
      </c>
      <c r="F62" s="992">
        <f>+E64</f>
        <v>11.583000000000034</v>
      </c>
      <c r="G62" s="992">
        <f>F64</f>
        <v>-44.705999999999975</v>
      </c>
      <c r="H62" s="992">
        <f>G64</f>
        <v>-25.255999999999993</v>
      </c>
      <c r="I62" s="993">
        <f>H64</f>
        <v>-100.23800000000008</v>
      </c>
      <c r="J62" s="992">
        <f>+I64</f>
        <v>-32.599000000000132</v>
      </c>
      <c r="K62" s="992">
        <f>J64</f>
        <v>-89.914000000000101</v>
      </c>
      <c r="L62" s="992">
        <f>K64</f>
        <v>-85.088000000000108</v>
      </c>
      <c r="M62" s="993">
        <f>L64</f>
        <v>-191.09299999999996</v>
      </c>
      <c r="N62" s="992">
        <f>+M64</f>
        <v>-151.06900000000007</v>
      </c>
      <c r="O62" s="992">
        <f>N64</f>
        <v>-265.82400000000007</v>
      </c>
      <c r="P62" s="992">
        <f>O64</f>
        <v>-222.80600000000007</v>
      </c>
      <c r="Q62" s="993">
        <f>P64</f>
        <v>-218.22400000000007</v>
      </c>
      <c r="R62" s="992">
        <f>+Q64</f>
        <v>-183.01300000000001</v>
      </c>
      <c r="S62" s="992">
        <f>R64</f>
        <v>94.908999999999992</v>
      </c>
      <c r="T62" s="992">
        <f>S64</f>
        <v>101.35300000000001</v>
      </c>
      <c r="U62" s="993">
        <f>T64</f>
        <v>122.06</v>
      </c>
      <c r="V62" s="992">
        <f>+U64</f>
        <v>520.12699999999995</v>
      </c>
      <c r="W62" s="992">
        <f>V64</f>
        <v>397.29799999999994</v>
      </c>
      <c r="X62" s="992">
        <f>W64</f>
        <v>491.63200000000006</v>
      </c>
      <c r="Y62" s="993">
        <f>X64</f>
        <v>409.37299999999999</v>
      </c>
      <c r="Z62" s="992">
        <f>+Y64</f>
        <v>785.77700000000004</v>
      </c>
      <c r="AA62" s="992">
        <f t="shared" ref="AA62:AG62" si="117">Z64</f>
        <v>510.88300000000004</v>
      </c>
      <c r="AB62" s="992">
        <f t="shared" si="117"/>
        <v>473.44400000000002</v>
      </c>
      <c r="AC62" s="993">
        <f t="shared" si="117"/>
        <v>514.79700000000025</v>
      </c>
      <c r="AD62" s="992">
        <f t="shared" si="117"/>
        <v>750.72300000000018</v>
      </c>
      <c r="AE62" s="992">
        <f t="shared" si="117"/>
        <v>765</v>
      </c>
      <c r="AF62" s="992">
        <f t="shared" si="117"/>
        <v>845</v>
      </c>
      <c r="AG62" s="993">
        <f t="shared" si="117"/>
        <v>729</v>
      </c>
      <c r="AH62" s="992">
        <f>+AG64</f>
        <v>747</v>
      </c>
      <c r="AI62" s="992">
        <f t="shared" ref="AI62:AW62" si="118">AH64</f>
        <v>466</v>
      </c>
      <c r="AJ62" s="992">
        <f t="shared" si="118"/>
        <v>961</v>
      </c>
      <c r="AK62" s="993">
        <f t="shared" si="118"/>
        <v>843</v>
      </c>
      <c r="AL62" s="992">
        <f t="shared" si="118"/>
        <v>1861</v>
      </c>
      <c r="AM62" s="992">
        <f t="shared" si="118"/>
        <v>1245</v>
      </c>
      <c r="AN62" s="992">
        <f t="shared" si="118"/>
        <v>1114</v>
      </c>
      <c r="AO62" s="993">
        <f t="shared" si="118"/>
        <v>1149</v>
      </c>
      <c r="AP62" s="992">
        <f t="shared" si="118"/>
        <v>1914</v>
      </c>
      <c r="AQ62" s="992">
        <f t="shared" si="118"/>
        <v>1466</v>
      </c>
      <c r="AR62" s="992">
        <f t="shared" si="118"/>
        <v>1734</v>
      </c>
      <c r="AS62" s="993">
        <f t="shared" si="118"/>
        <v>1827</v>
      </c>
      <c r="AT62" s="992">
        <f t="shared" si="118"/>
        <v>245</v>
      </c>
      <c r="AU62" s="992">
        <f t="shared" si="118"/>
        <v>250</v>
      </c>
      <c r="AV62" s="992">
        <f t="shared" si="118"/>
        <v>656</v>
      </c>
      <c r="AW62" s="993">
        <f t="shared" si="118"/>
        <v>683</v>
      </c>
      <c r="AX62" s="992">
        <f>DW64</f>
        <v>354.00000000000023</v>
      </c>
      <c r="AY62" s="992">
        <f>AX64</f>
        <v>604.00000000000023</v>
      </c>
      <c r="AZ62" s="992">
        <f>AY64</f>
        <v>798.00000000000023</v>
      </c>
      <c r="BA62" s="993">
        <f>AZ64</f>
        <v>812.00000000000023</v>
      </c>
      <c r="BB62" s="992">
        <f>DX64</f>
        <v>748.00000000000023</v>
      </c>
      <c r="BC62" s="992">
        <f t="shared" ref="BC62:BV62" si="119">BB64</f>
        <v>772.00000000000023</v>
      </c>
      <c r="BD62" s="992">
        <f t="shared" si="119"/>
        <v>1104.0000000000002</v>
      </c>
      <c r="BE62" s="993">
        <f t="shared" si="119"/>
        <v>1202.0000000000002</v>
      </c>
      <c r="BF62" s="992">
        <f t="shared" si="119"/>
        <v>1205.0000000000002</v>
      </c>
      <c r="BG62" s="992">
        <f t="shared" si="119"/>
        <v>1366.0000000000002</v>
      </c>
      <c r="BH62" s="992">
        <f t="shared" si="119"/>
        <v>1390.0000000000002</v>
      </c>
      <c r="BI62" s="993">
        <f t="shared" si="119"/>
        <v>1319.0000000000002</v>
      </c>
      <c r="BJ62" s="992">
        <f t="shared" si="119"/>
        <v>1438.0000000000002</v>
      </c>
      <c r="BK62" s="992">
        <f t="shared" si="119"/>
        <v>1475.0000000000002</v>
      </c>
      <c r="BL62" s="992">
        <f t="shared" si="119"/>
        <v>544.00000000000023</v>
      </c>
      <c r="BM62" s="993">
        <f t="shared" si="119"/>
        <v>569.00000000000023</v>
      </c>
      <c r="BN62" s="992">
        <f t="shared" si="119"/>
        <v>498.00000000000023</v>
      </c>
      <c r="BO62" s="992">
        <f t="shared" si="119"/>
        <v>535.00000000000023</v>
      </c>
      <c r="BP62" s="992">
        <f t="shared" si="119"/>
        <v>668.00000000000023</v>
      </c>
      <c r="BQ62" s="993">
        <f t="shared" si="119"/>
        <v>564.00000000000023</v>
      </c>
      <c r="BR62" s="992">
        <f t="shared" si="119"/>
        <v>1826.0000000000002</v>
      </c>
      <c r="BS62" s="992">
        <f t="shared" si="119"/>
        <v>1239.0000000000002</v>
      </c>
      <c r="BT62" s="992">
        <f t="shared" si="119"/>
        <v>843.00000000000023</v>
      </c>
      <c r="BU62" s="993">
        <f t="shared" si="119"/>
        <v>925.00000000000023</v>
      </c>
      <c r="BV62" s="992">
        <f t="shared" si="119"/>
        <v>1103.0000000000002</v>
      </c>
      <c r="BW62" s="992">
        <f t="shared" ref="BW62:CL62" si="120">BV64</f>
        <v>2208</v>
      </c>
      <c r="BX62" s="992">
        <f t="shared" si="120"/>
        <v>2040</v>
      </c>
      <c r="BY62" s="993">
        <f t="shared" si="120"/>
        <v>2392</v>
      </c>
      <c r="BZ62" s="992">
        <f t="shared" si="120"/>
        <v>1199</v>
      </c>
      <c r="CA62" s="992">
        <f t="shared" si="120"/>
        <v>1386</v>
      </c>
      <c r="CB62" s="992">
        <f t="shared" si="120"/>
        <v>680</v>
      </c>
      <c r="CC62" s="993">
        <f t="shared" si="120"/>
        <v>309</v>
      </c>
      <c r="CD62" s="1130">
        <f t="shared" si="120"/>
        <v>1826</v>
      </c>
      <c r="CE62" s="992">
        <f t="shared" si="120"/>
        <v>908</v>
      </c>
      <c r="CF62" s="992">
        <f t="shared" si="120"/>
        <v>1910</v>
      </c>
      <c r="CG62" s="993">
        <f t="shared" si="120"/>
        <v>2170</v>
      </c>
      <c r="CH62" s="1088">
        <f t="shared" si="120"/>
        <v>2678</v>
      </c>
      <c r="CI62" s="254">
        <f t="shared" si="120"/>
        <v>2569</v>
      </c>
      <c r="CJ62" s="254">
        <f t="shared" si="120"/>
        <v>2141</v>
      </c>
      <c r="CK62" s="650">
        <f t="shared" si="120"/>
        <v>1929</v>
      </c>
      <c r="CL62" s="1401">
        <f t="shared" si="120"/>
        <v>2432</v>
      </c>
      <c r="CM62" s="1402">
        <f t="shared" ref="CM62:CU62" si="121">CL64</f>
        <v>2173</v>
      </c>
      <c r="CN62" s="1402">
        <f t="shared" si="121"/>
        <v>1800</v>
      </c>
      <c r="CO62" s="1403">
        <f t="shared" si="121"/>
        <v>1697</v>
      </c>
      <c r="CP62" s="1402">
        <f t="shared" si="121"/>
        <v>1976</v>
      </c>
      <c r="CQ62" s="1402">
        <f t="shared" si="121"/>
        <v>1845</v>
      </c>
      <c r="CR62" s="1402">
        <f t="shared" si="121"/>
        <v>1861</v>
      </c>
      <c r="CS62" s="1403">
        <f t="shared" si="121"/>
        <v>1341</v>
      </c>
      <c r="CT62" s="1402">
        <f>CS64</f>
        <v>2240</v>
      </c>
      <c r="CU62" s="1402">
        <f t="shared" si="121"/>
        <v>1651</v>
      </c>
      <c r="CV62" s="1402">
        <f t="shared" ref="CV62:DA62" si="122">CU64</f>
        <v>1365</v>
      </c>
      <c r="CW62" s="1403">
        <f t="shared" si="122"/>
        <v>1103</v>
      </c>
      <c r="CX62" s="1699">
        <f t="shared" si="122"/>
        <v>1101</v>
      </c>
      <c r="CY62" s="1402">
        <f t="shared" si="122"/>
        <v>347.28180202288002</v>
      </c>
      <c r="CZ62" s="1402">
        <f t="shared" si="122"/>
        <v>120.0294453417786</v>
      </c>
      <c r="DA62" s="1403">
        <f t="shared" si="122"/>
        <v>144.45918603967405</v>
      </c>
      <c r="DB62" s="1656"/>
      <c r="DC62" s="1657"/>
      <c r="DD62" s="1402"/>
      <c r="DE62" s="1402">
        <f>+DD64</f>
        <v>0.13700000000000001</v>
      </c>
      <c r="DF62" s="1402">
        <f>+DE64</f>
        <v>-5.2639999999999958</v>
      </c>
      <c r="DG62" s="1402">
        <f>+DF64</f>
        <v>-9.953000000000003</v>
      </c>
      <c r="DH62" s="1402">
        <f>+DG64</f>
        <v>-11.880000000000003</v>
      </c>
      <c r="DI62" s="1402">
        <v>23.83</v>
      </c>
      <c r="DJ62" s="1402">
        <f>+DI64</f>
        <v>20.677000000000003</v>
      </c>
      <c r="DK62" s="1402">
        <f>+DJ64</f>
        <v>97.071999999999989</v>
      </c>
      <c r="DL62" s="1402">
        <f>+B62</f>
        <v>7.1379999999999999</v>
      </c>
      <c r="DM62" s="1402">
        <f>+F62</f>
        <v>11.583000000000034</v>
      </c>
      <c r="DN62" s="1402">
        <f>+J62</f>
        <v>-32.599000000000132</v>
      </c>
      <c r="DO62" s="1402">
        <f>+N62</f>
        <v>-151.06900000000007</v>
      </c>
      <c r="DP62" s="1402">
        <f t="shared" ref="DP62:DX62" si="123">DO64</f>
        <v>-183.01299999999995</v>
      </c>
      <c r="DQ62" s="1402">
        <f t="shared" si="123"/>
        <v>520.12700000000018</v>
      </c>
      <c r="DR62" s="1402">
        <f t="shared" si="123"/>
        <v>785.77700000000027</v>
      </c>
      <c r="DS62" s="1402">
        <f t="shared" si="123"/>
        <v>750.72300000000018</v>
      </c>
      <c r="DT62" s="1402">
        <f t="shared" si="123"/>
        <v>747.00000000000023</v>
      </c>
      <c r="DU62" s="1402">
        <f t="shared" si="123"/>
        <v>1861.0000000000002</v>
      </c>
      <c r="DV62" s="1402">
        <f t="shared" si="123"/>
        <v>1914.0000000000002</v>
      </c>
      <c r="DW62" s="1402">
        <f t="shared" si="123"/>
        <v>245.00000000000023</v>
      </c>
      <c r="DX62" s="1402">
        <f t="shared" si="123"/>
        <v>354.00000000000023</v>
      </c>
      <c r="DY62" s="1402">
        <f>DX64+DY60</f>
        <v>748.00000000000023</v>
      </c>
      <c r="DZ62" s="1402">
        <f>DY64</f>
        <v>1205.0000000000002</v>
      </c>
      <c r="EA62" s="1402">
        <f>DZ64</f>
        <v>1438.0000000000002</v>
      </c>
      <c r="EB62" s="1402">
        <f>EA64</f>
        <v>498.00000000000023</v>
      </c>
      <c r="EC62" s="1402">
        <f>EB64</f>
        <v>1826.0000000000002</v>
      </c>
      <c r="ED62" s="1402">
        <f>EC64</f>
        <v>1103.0000000000002</v>
      </c>
      <c r="EE62" s="1402">
        <f>EB64</f>
        <v>1826.0000000000002</v>
      </c>
      <c r="EF62" s="1401">
        <f>EE64</f>
        <v>1338.0000000000002</v>
      </c>
      <c r="EG62" s="1402">
        <f>EF64</f>
        <v>1401.0000000000002</v>
      </c>
      <c r="EH62" s="1402">
        <f>EG64</f>
        <v>1826.0000000000002</v>
      </c>
      <c r="EI62" s="1402">
        <f>EH64</f>
        <v>2678</v>
      </c>
      <c r="EJ62" s="1402">
        <f>EI64</f>
        <v>2432</v>
      </c>
      <c r="EK62" s="1402">
        <f t="shared" ref="EK62:EP62" si="124">EJ64</f>
        <v>1976</v>
      </c>
      <c r="EL62" s="1402">
        <f t="shared" si="124"/>
        <v>2240</v>
      </c>
      <c r="EM62" s="1699">
        <f t="shared" si="124"/>
        <v>1101</v>
      </c>
      <c r="EN62" s="1402">
        <f t="shared" si="124"/>
        <v>420.24711423226381</v>
      </c>
      <c r="EO62" s="1402">
        <f t="shared" si="124"/>
        <v>366.44841623680668</v>
      </c>
      <c r="EP62" s="1402">
        <f t="shared" si="124"/>
        <v>206.30428757250911</v>
      </c>
      <c r="EQ62" s="1402">
        <f>EP64</f>
        <v>443.20271161897335</v>
      </c>
      <c r="ER62" s="1402">
        <f>EQ64</f>
        <v>377.94777968659946</v>
      </c>
      <c r="ES62" s="1402">
        <f>ER64</f>
        <v>271.77721207803825</v>
      </c>
      <c r="ET62" s="1402">
        <f>ES64</f>
        <v>622.34481815382765</v>
      </c>
      <c r="EU62" s="1403">
        <f>ET64</f>
        <v>424.82567103742963</v>
      </c>
      <c r="EV62" s="413"/>
      <c r="EW62"/>
      <c r="EX62"/>
      <c r="EY62"/>
      <c r="EZ62"/>
      <c r="FA62"/>
      <c r="FB62"/>
      <c r="FG62" s="1123"/>
      <c r="FH62" s="1123"/>
      <c r="FI62" s="1658"/>
      <c r="FJ62" s="1658"/>
      <c r="FK62" s="1658"/>
      <c r="FL62"/>
      <c r="FM62"/>
      <c r="FN62"/>
      <c r="FO62"/>
      <c r="FP62"/>
      <c r="FQ62"/>
      <c r="FR62"/>
      <c r="FS62"/>
      <c r="FT62"/>
      <c r="FU62"/>
      <c r="FV62"/>
      <c r="FW62"/>
      <c r="FX62"/>
      <c r="FY62"/>
      <c r="FZ62"/>
      <c r="GA62"/>
      <c r="GB62"/>
      <c r="GC62"/>
      <c r="GD62"/>
      <c r="GE62"/>
      <c r="GF62"/>
      <c r="GG62"/>
      <c r="GH62"/>
      <c r="GI62"/>
      <c r="GJ62"/>
      <c r="GK62"/>
      <c r="GL62"/>
      <c r="GM62"/>
      <c r="GN62"/>
      <c r="GO62"/>
      <c r="GP62"/>
      <c r="GQ62"/>
      <c r="GR62"/>
      <c r="GS62"/>
      <c r="GT62"/>
      <c r="GU62"/>
      <c r="GV62"/>
      <c r="GW62"/>
      <c r="GX62"/>
      <c r="GY62"/>
      <c r="GZ62"/>
      <c r="HA62"/>
      <c r="HB62"/>
      <c r="HC62"/>
      <c r="HD62"/>
      <c r="HE62"/>
      <c r="HF62"/>
      <c r="HG62"/>
      <c r="HH62"/>
      <c r="HI62"/>
      <c r="HJ62"/>
      <c r="HK62"/>
      <c r="HL62"/>
      <c r="HM62"/>
      <c r="HN62"/>
      <c r="HO62"/>
      <c r="HP62"/>
      <c r="HQ62"/>
      <c r="HR62"/>
      <c r="HS62"/>
      <c r="HT62"/>
      <c r="HU62"/>
      <c r="HV62"/>
      <c r="HW62"/>
      <c r="HX62"/>
      <c r="HY62"/>
      <c r="HZ62"/>
      <c r="IA62"/>
      <c r="IB62"/>
      <c r="IC62"/>
      <c r="ID62"/>
      <c r="IE62"/>
      <c r="IF62"/>
      <c r="IG62"/>
      <c r="IH62"/>
      <c r="II62"/>
      <c r="IJ62"/>
      <c r="IK62"/>
      <c r="IL62"/>
      <c r="IM62"/>
      <c r="IN62"/>
      <c r="IO62"/>
      <c r="IP62"/>
      <c r="IQ62"/>
      <c r="IR62"/>
      <c r="IS62"/>
      <c r="IT62"/>
      <c r="IU62"/>
      <c r="IV62"/>
      <c r="IW62"/>
      <c r="IX62"/>
      <c r="IY62"/>
      <c r="IZ62"/>
    </row>
    <row r="63" spans="1:260" s="4" customFormat="1" x14ac:dyDescent="0.2">
      <c r="A63" s="37" t="s">
        <v>134</v>
      </c>
      <c r="B63" s="994">
        <f t="shared" ref="B63:S63" si="125">B29+B40+B54</f>
        <v>72.268999999999991</v>
      </c>
      <c r="C63" s="994">
        <f t="shared" si="125"/>
        <v>-67.619999999999976</v>
      </c>
      <c r="D63" s="994">
        <f t="shared" si="125"/>
        <v>10.981999999999999</v>
      </c>
      <c r="E63" s="995">
        <f t="shared" si="125"/>
        <v>-11.185999999999986</v>
      </c>
      <c r="F63" s="994">
        <f t="shared" si="125"/>
        <v>-56.289000000000009</v>
      </c>
      <c r="G63" s="994">
        <f t="shared" si="125"/>
        <v>19.449999999999982</v>
      </c>
      <c r="H63" s="994">
        <f t="shared" si="125"/>
        <v>-74.982000000000085</v>
      </c>
      <c r="I63" s="995">
        <f t="shared" si="125"/>
        <v>67.638999999999953</v>
      </c>
      <c r="J63" s="994">
        <f t="shared" si="125"/>
        <v>-57.314999999999976</v>
      </c>
      <c r="K63" s="994">
        <f t="shared" si="125"/>
        <v>4.8259999999999934</v>
      </c>
      <c r="L63" s="994">
        <f t="shared" si="125"/>
        <v>-106.00499999999985</v>
      </c>
      <c r="M63" s="995">
        <f t="shared" si="125"/>
        <v>40.023999999999887</v>
      </c>
      <c r="N63" s="994">
        <f t="shared" si="125"/>
        <v>-114.755</v>
      </c>
      <c r="O63" s="994">
        <f t="shared" si="125"/>
        <v>43.018000000000008</v>
      </c>
      <c r="P63" s="994">
        <f t="shared" si="125"/>
        <v>4.5819999999999936</v>
      </c>
      <c r="Q63" s="995">
        <f t="shared" si="125"/>
        <v>35.21100000000007</v>
      </c>
      <c r="R63" s="994">
        <f t="shared" si="125"/>
        <v>48.396000000000001</v>
      </c>
      <c r="S63" s="994">
        <f t="shared" si="125"/>
        <v>27.25200000000002</v>
      </c>
      <c r="T63" s="994">
        <v>20.707000000000001</v>
      </c>
      <c r="U63" s="995">
        <f t="shared" ref="U63:AF63" si="126">U29+U40+U54</f>
        <v>320.79500000000007</v>
      </c>
      <c r="V63" s="994">
        <f t="shared" si="126"/>
        <v>-122.82900000000001</v>
      </c>
      <c r="W63" s="994">
        <f t="shared" si="126"/>
        <v>69.063000000000002</v>
      </c>
      <c r="X63" s="994">
        <f t="shared" si="126"/>
        <v>-72.605000000000146</v>
      </c>
      <c r="Y63" s="995">
        <f t="shared" si="126"/>
        <v>392.02100000000019</v>
      </c>
      <c r="Z63" s="994">
        <f t="shared" si="126"/>
        <v>-274.89400000000001</v>
      </c>
      <c r="AA63" s="994">
        <f t="shared" si="126"/>
        <v>-37.439000000000007</v>
      </c>
      <c r="AB63" s="994">
        <f t="shared" si="126"/>
        <v>41.353000000000179</v>
      </c>
      <c r="AC63" s="995">
        <f t="shared" si="126"/>
        <v>235.92599999999993</v>
      </c>
      <c r="AD63" s="994">
        <f t="shared" si="126"/>
        <v>14</v>
      </c>
      <c r="AE63" s="994">
        <f t="shared" si="126"/>
        <v>80</v>
      </c>
      <c r="AF63" s="994">
        <f t="shared" si="126"/>
        <v>-116</v>
      </c>
      <c r="AG63" s="995">
        <f>AG29+AG40+AG54+AG57</f>
        <v>14</v>
      </c>
      <c r="AH63" s="994">
        <f>AH29+AH40+AH54</f>
        <v>-281</v>
      </c>
      <c r="AI63" s="994">
        <f>AI29+AI40+AI54</f>
        <v>495</v>
      </c>
      <c r="AJ63" s="994">
        <f>AJ29+AJ40+AJ54</f>
        <v>-118</v>
      </c>
      <c r="AK63" s="995">
        <f>AK29+AK40+AK54+AK57</f>
        <v>1022</v>
      </c>
      <c r="AL63" s="994">
        <f>AL29+AL40+AL54</f>
        <v>-1013</v>
      </c>
      <c r="AM63" s="994">
        <f>AM29+AM40+AM54</f>
        <v>160</v>
      </c>
      <c r="AN63" s="994">
        <f>AN29+AN40+AN54</f>
        <v>-48</v>
      </c>
      <c r="AO63" s="995">
        <f>AO29+AO40+AO54+AO57</f>
        <v>-1</v>
      </c>
      <c r="AP63" s="994">
        <f t="shared" ref="AP63:BY63" si="127">AP29+AP40+AP54+AP56+AP57</f>
        <v>-542</v>
      </c>
      <c r="AQ63" s="994">
        <f t="shared" si="127"/>
        <v>361</v>
      </c>
      <c r="AR63" s="994">
        <f t="shared" si="127"/>
        <v>4681</v>
      </c>
      <c r="AS63" s="995">
        <f t="shared" si="127"/>
        <v>-3909</v>
      </c>
      <c r="AT63" s="994">
        <f t="shared" si="127"/>
        <v>-530</v>
      </c>
      <c r="AU63" s="994">
        <f t="shared" si="127"/>
        <v>-108</v>
      </c>
      <c r="AV63" s="994">
        <f t="shared" si="127"/>
        <v>473</v>
      </c>
      <c r="AW63" s="995">
        <f t="shared" si="127"/>
        <v>440</v>
      </c>
      <c r="AX63" s="994">
        <f t="shared" si="127"/>
        <v>134</v>
      </c>
      <c r="AY63" s="994">
        <f t="shared" si="127"/>
        <v>194</v>
      </c>
      <c r="AZ63" s="994">
        <f t="shared" si="127"/>
        <v>130</v>
      </c>
      <c r="BA63" s="995">
        <f t="shared" si="127"/>
        <v>-64</v>
      </c>
      <c r="BB63" s="994">
        <f t="shared" si="127"/>
        <v>24</v>
      </c>
      <c r="BC63" s="994">
        <f t="shared" si="127"/>
        <v>332</v>
      </c>
      <c r="BD63" s="994">
        <f t="shared" si="127"/>
        <v>98</v>
      </c>
      <c r="BE63" s="995">
        <f t="shared" si="127"/>
        <v>3</v>
      </c>
      <c r="BF63" s="994">
        <f t="shared" si="127"/>
        <v>161</v>
      </c>
      <c r="BG63" s="994">
        <f t="shared" si="127"/>
        <v>24</v>
      </c>
      <c r="BH63" s="994">
        <f t="shared" si="127"/>
        <v>-71</v>
      </c>
      <c r="BI63" s="995">
        <f t="shared" si="127"/>
        <v>119</v>
      </c>
      <c r="BJ63" s="994">
        <f t="shared" si="127"/>
        <v>37</v>
      </c>
      <c r="BK63" s="994">
        <f t="shared" si="127"/>
        <v>-931</v>
      </c>
      <c r="BL63" s="994">
        <f t="shared" si="127"/>
        <v>25</v>
      </c>
      <c r="BM63" s="995">
        <f t="shared" si="127"/>
        <v>-71</v>
      </c>
      <c r="BN63" s="994">
        <f t="shared" si="127"/>
        <v>37</v>
      </c>
      <c r="BO63" s="994">
        <f t="shared" si="127"/>
        <v>133</v>
      </c>
      <c r="BP63" s="994">
        <f t="shared" si="127"/>
        <v>-104</v>
      </c>
      <c r="BQ63" s="995">
        <f t="shared" si="127"/>
        <v>1262</v>
      </c>
      <c r="BR63" s="994">
        <f t="shared" si="127"/>
        <v>-587</v>
      </c>
      <c r="BS63" s="994">
        <f t="shared" si="127"/>
        <v>-396</v>
      </c>
      <c r="BT63" s="994">
        <f t="shared" si="127"/>
        <v>82</v>
      </c>
      <c r="BU63" s="995">
        <f t="shared" si="127"/>
        <v>178</v>
      </c>
      <c r="BV63" s="994">
        <f t="shared" si="127"/>
        <v>1105</v>
      </c>
      <c r="BW63" s="994">
        <f t="shared" si="127"/>
        <v>-168</v>
      </c>
      <c r="BX63" s="994">
        <f t="shared" si="127"/>
        <v>352</v>
      </c>
      <c r="BY63" s="995">
        <f t="shared" si="127"/>
        <v>-1193</v>
      </c>
      <c r="BZ63" s="994">
        <f>BZ29+BZ40+BZ54+BZ56+BZ57+BZ59</f>
        <v>187</v>
      </c>
      <c r="CA63" s="994">
        <f>CA29+CA40+CA54+CA56+CA57+CA59</f>
        <v>-706</v>
      </c>
      <c r="CB63" s="994">
        <f>CB29+CB40+CB54+CB56+CB57+CB59</f>
        <v>-371</v>
      </c>
      <c r="CC63" s="995">
        <f>CC29+CC40+CC54+CC56+CC57+CC59</f>
        <v>1517</v>
      </c>
      <c r="CD63" s="1131">
        <f t="shared" ref="CD63:CJ63" si="128">CD29+CD40+CD54+CD56+CD57+CD59+CD60</f>
        <v>-918</v>
      </c>
      <c r="CE63" s="994">
        <f t="shared" si="128"/>
        <v>1002</v>
      </c>
      <c r="CF63" s="994">
        <f t="shared" si="128"/>
        <v>260</v>
      </c>
      <c r="CG63" s="995">
        <f t="shared" si="128"/>
        <v>508</v>
      </c>
      <c r="CH63" s="733">
        <f t="shared" si="128"/>
        <v>-109</v>
      </c>
      <c r="CI63" s="1123">
        <f t="shared" si="128"/>
        <v>-428</v>
      </c>
      <c r="CJ63" s="1123">
        <f t="shared" si="128"/>
        <v>-212</v>
      </c>
      <c r="CK63" s="712">
        <f t="shared" ref="CK63:CS63" si="129">CK29+CK40+CK54+CK56+CK57+CK59+CK60</f>
        <v>503</v>
      </c>
      <c r="CL63" s="1658">
        <f t="shared" si="129"/>
        <v>-259</v>
      </c>
      <c r="CM63" s="1658">
        <f t="shared" si="129"/>
        <v>-373</v>
      </c>
      <c r="CN63" s="1658">
        <f t="shared" si="129"/>
        <v>-103</v>
      </c>
      <c r="CO63" s="1657">
        <f t="shared" si="129"/>
        <v>279</v>
      </c>
      <c r="CP63" s="1658">
        <f>CP29+CP40+CP54+CP56+CP57+CP59+CP60</f>
        <v>-131</v>
      </c>
      <c r="CQ63" s="1658">
        <f t="shared" si="129"/>
        <v>16</v>
      </c>
      <c r="CR63" s="1658">
        <f t="shared" si="129"/>
        <v>-520</v>
      </c>
      <c r="CS63" s="1657">
        <f t="shared" si="129"/>
        <v>899</v>
      </c>
      <c r="CT63" s="1658">
        <f>CT29+CT40+CT54+CT56+CT57+CT59+CT60</f>
        <v>-589</v>
      </c>
      <c r="CU63" s="1658">
        <f t="shared" ref="CU63" si="130">CU29+CU40+CU54+CU56+CU57+CU59+CU60</f>
        <v>-286</v>
      </c>
      <c r="CV63" s="1658">
        <f t="shared" ref="CV63:DA63" si="131">CV29+CV40+CV54+CV56+CV57+CV59+CV60</f>
        <v>-262</v>
      </c>
      <c r="CW63" s="1657">
        <f t="shared" si="131"/>
        <v>-2</v>
      </c>
      <c r="CX63" s="1704">
        <f t="shared" si="131"/>
        <v>-753.71819797711998</v>
      </c>
      <c r="CY63" s="1658">
        <f t="shared" si="131"/>
        <v>-227.25235668110142</v>
      </c>
      <c r="CZ63" s="1658">
        <f t="shared" si="131"/>
        <v>24.429740697895454</v>
      </c>
      <c r="DA63" s="1657">
        <f t="shared" si="131"/>
        <v>275.78792819258922</v>
      </c>
      <c r="DB63" s="1656"/>
      <c r="DC63" s="1657"/>
      <c r="DD63" s="1658"/>
      <c r="DE63" s="1658">
        <f t="shared" ref="DE63:DK63" si="132">DE29+DE40+DE54</f>
        <v>-5.4009999999999962</v>
      </c>
      <c r="DF63" s="1658">
        <f t="shared" si="132"/>
        <v>-4.6890000000000072</v>
      </c>
      <c r="DG63" s="1658">
        <f t="shared" si="132"/>
        <v>-1.9270000000000005</v>
      </c>
      <c r="DH63" s="1658">
        <f t="shared" si="132"/>
        <v>17.377999999999997</v>
      </c>
      <c r="DI63" s="1658">
        <f t="shared" si="132"/>
        <v>-3.1529999999999951</v>
      </c>
      <c r="DJ63" s="1658">
        <f t="shared" si="132"/>
        <v>76.394999999999982</v>
      </c>
      <c r="DK63" s="1658">
        <f t="shared" si="132"/>
        <v>-126.20300000000002</v>
      </c>
      <c r="DL63" s="1658">
        <f>DL29+DL40+DL54</f>
        <v>4.4450000000000216</v>
      </c>
      <c r="DM63" s="1658">
        <f>DM29+DM40+DM54</f>
        <v>-44.18200000000013</v>
      </c>
      <c r="DN63" s="1658">
        <f>DN29+DN40+DN54</f>
        <v>-118.47</v>
      </c>
      <c r="DO63" s="1658">
        <f>DO29+DO40+DO54</f>
        <v>-31.943999999999868</v>
      </c>
      <c r="DP63" s="1658">
        <f>+R63+S63+T63+U63</f>
        <v>417.15000000000009</v>
      </c>
      <c r="DQ63" s="1658">
        <f>DQ29+DQ40+DQ54</f>
        <v>265.65000000000009</v>
      </c>
      <c r="DR63" s="1658">
        <f>DR29+DR40+DR54</f>
        <v>-35.05400000000003</v>
      </c>
      <c r="DS63" s="1658">
        <f>DS29+DS40+DS54+DS57</f>
        <v>-8</v>
      </c>
      <c r="DT63" s="1658">
        <f>DT29+DT40+DT54+DT57</f>
        <v>1118</v>
      </c>
      <c r="DU63" s="1658">
        <f>DU29+DU40+DU54+DU57</f>
        <v>-470</v>
      </c>
      <c r="DV63" s="1658">
        <f t="shared" ref="DV63:EC63" si="133">DV29+DV40+DV54+DV56+DV57</f>
        <v>-223</v>
      </c>
      <c r="DW63" s="1658">
        <f t="shared" si="133"/>
        <v>275</v>
      </c>
      <c r="DX63" s="1658">
        <f t="shared" si="133"/>
        <v>394</v>
      </c>
      <c r="DY63" s="1658">
        <f t="shared" si="133"/>
        <v>457</v>
      </c>
      <c r="DZ63" s="1658">
        <f t="shared" si="133"/>
        <v>233</v>
      </c>
      <c r="EA63" s="1658">
        <f t="shared" si="133"/>
        <v>-940</v>
      </c>
      <c r="EB63" s="1658">
        <f t="shared" si="133"/>
        <v>1328</v>
      </c>
      <c r="EC63" s="1658">
        <f t="shared" si="133"/>
        <v>-723</v>
      </c>
      <c r="ED63" s="1658">
        <f>ED29+ED40+ED54+ED56+ED57</f>
        <v>96</v>
      </c>
      <c r="EE63" s="1658">
        <f>EE54+EE56+EE57+EE59+EE60+EE40+EE29</f>
        <v>-488</v>
      </c>
      <c r="EF63" s="1656">
        <f>EF54+EF56+EF57+EF59+EF60+EF40+EF29</f>
        <v>63</v>
      </c>
      <c r="EG63" s="1658">
        <f>EG29+EG40+EG54+EG56+EG57+EG59</f>
        <v>425</v>
      </c>
      <c r="EH63" s="1658">
        <f>EH29+EH40+EH54+EH56+EH57+EH59+EH60</f>
        <v>852</v>
      </c>
      <c r="EI63" s="1658">
        <f>EI29+EI40+EI54+EI56+EI57+EI59+EI60</f>
        <v>-246</v>
      </c>
      <c r="EJ63" s="1658">
        <f>EJ29+EJ40+EJ54+EJ56+EJ57+EJ59+EJ60</f>
        <v>-456</v>
      </c>
      <c r="EK63" s="1658">
        <f t="shared" ref="EK63:EP63" si="134">EK54+EK56+EK57+EK59+EK60+EK40+EK29</f>
        <v>264</v>
      </c>
      <c r="EL63" s="1658">
        <f>EL54+EL56+EL57+EL59+EL60+EL40+EL29</f>
        <v>-1139</v>
      </c>
      <c r="EM63" s="1704">
        <f>EM54+EM56+EM57+EM59+EM60+EM40+EM29</f>
        <v>-680.75288576773619</v>
      </c>
      <c r="EN63" s="1658">
        <f t="shared" si="134"/>
        <v>-53.798697995457132</v>
      </c>
      <c r="EO63" s="1658">
        <f t="shared" si="134"/>
        <v>-160.14412866429757</v>
      </c>
      <c r="EP63" s="1658">
        <f t="shared" si="134"/>
        <v>236.89842404646424</v>
      </c>
      <c r="EQ63" s="1658">
        <f>EQ54+EQ56+EQ57+EQ59+EQ60+EQ40+EQ29</f>
        <v>-65.254931932373893</v>
      </c>
      <c r="ER63" s="1658">
        <f>ER54+ER56+ER57+ER59+ER60+ER40+ER29</f>
        <v>-106.17056760856121</v>
      </c>
      <c r="ES63" s="1658">
        <f>ES54+ES56+ES57+ES59+ES60+ES40+ES29</f>
        <v>350.5676060757894</v>
      </c>
      <c r="ET63" s="1658">
        <f>ET54+ET56+ET57+ET59+ET60+ET40+ET29</f>
        <v>-197.51914711639802</v>
      </c>
      <c r="EU63" s="1657">
        <f>EU54+EU56+EU57+EU59+EU60+EU40+EU29</f>
        <v>-239.73447243575492</v>
      </c>
      <c r="EV63" s="413"/>
      <c r="EW63"/>
      <c r="EX63"/>
      <c r="EY63"/>
      <c r="EZ63"/>
      <c r="FA63"/>
      <c r="FB63"/>
      <c r="FG63" s="1123"/>
      <c r="FH63" s="1123"/>
      <c r="FI63" s="1658"/>
      <c r="FJ63" s="1658"/>
      <c r="FK63" s="1658"/>
      <c r="FL63"/>
      <c r="FM63"/>
      <c r="FN63"/>
      <c r="FO63"/>
      <c r="FP63"/>
      <c r="FQ63"/>
      <c r="FR63"/>
      <c r="FS63"/>
      <c r="FT63"/>
      <c r="FU63"/>
      <c r="FV63"/>
      <c r="FW63"/>
      <c r="FX63"/>
      <c r="FY63"/>
      <c r="FZ63"/>
      <c r="GA63"/>
      <c r="GB63"/>
      <c r="GC63"/>
      <c r="GD63"/>
      <c r="GE63"/>
      <c r="GF63"/>
      <c r="GG63"/>
      <c r="GH63"/>
      <c r="GI63"/>
      <c r="GJ63"/>
      <c r="GK63"/>
      <c r="GL63"/>
      <c r="GM63"/>
      <c r="GN63"/>
      <c r="GO63"/>
      <c r="GP63"/>
      <c r="GQ63"/>
      <c r="GR63"/>
      <c r="GS63"/>
      <c r="GT63"/>
      <c r="GU63"/>
      <c r="GV63"/>
      <c r="GW63"/>
      <c r="GX63"/>
      <c r="GY63"/>
      <c r="GZ63"/>
      <c r="HA63"/>
      <c r="HB63"/>
      <c r="HC63"/>
      <c r="HD63"/>
      <c r="HE63"/>
      <c r="HF63"/>
      <c r="HG63"/>
      <c r="HH63"/>
      <c r="HI63"/>
      <c r="HJ63"/>
      <c r="HK63"/>
      <c r="HL63"/>
      <c r="HM63"/>
      <c r="HN63"/>
      <c r="HO63"/>
      <c r="HP63"/>
      <c r="HQ63"/>
      <c r="HR63"/>
      <c r="HS63"/>
      <c r="HT63"/>
      <c r="HU63"/>
      <c r="HV63"/>
      <c r="HW63"/>
      <c r="HX63"/>
      <c r="HY63"/>
      <c r="HZ63"/>
      <c r="IA63"/>
      <c r="IB63"/>
      <c r="IC63"/>
      <c r="ID63"/>
      <c r="IE63"/>
      <c r="IF63"/>
      <c r="IG63"/>
      <c r="IH63"/>
      <c r="II63"/>
      <c r="IJ63"/>
      <c r="IK63"/>
      <c r="IL63"/>
      <c r="IM63"/>
      <c r="IN63"/>
      <c r="IO63"/>
      <c r="IP63"/>
      <c r="IQ63"/>
      <c r="IR63"/>
      <c r="IS63"/>
      <c r="IT63"/>
      <c r="IU63"/>
      <c r="IV63"/>
      <c r="IW63"/>
      <c r="IX63"/>
      <c r="IY63"/>
      <c r="IZ63"/>
    </row>
    <row r="64" spans="1:260" s="4" customFormat="1" x14ac:dyDescent="0.2">
      <c r="A64" s="121" t="s">
        <v>135</v>
      </c>
      <c r="B64" s="996">
        <f t="shared" ref="B64:Q64" si="135">B62+B63</f>
        <v>79.406999999999996</v>
      </c>
      <c r="C64" s="996">
        <f t="shared" si="135"/>
        <v>11.78700000000002</v>
      </c>
      <c r="D64" s="996">
        <f t="shared" si="135"/>
        <v>22.76900000000002</v>
      </c>
      <c r="E64" s="997">
        <f t="shared" si="135"/>
        <v>11.583000000000034</v>
      </c>
      <c r="F64" s="996">
        <f t="shared" si="135"/>
        <v>-44.705999999999975</v>
      </c>
      <c r="G64" s="996">
        <f t="shared" si="135"/>
        <v>-25.255999999999993</v>
      </c>
      <c r="H64" s="996">
        <f t="shared" si="135"/>
        <v>-100.23800000000008</v>
      </c>
      <c r="I64" s="997">
        <f t="shared" si="135"/>
        <v>-32.599000000000132</v>
      </c>
      <c r="J64" s="996">
        <f t="shared" si="135"/>
        <v>-89.914000000000101</v>
      </c>
      <c r="K64" s="996">
        <f t="shared" si="135"/>
        <v>-85.088000000000108</v>
      </c>
      <c r="L64" s="996">
        <f t="shared" si="135"/>
        <v>-191.09299999999996</v>
      </c>
      <c r="M64" s="997">
        <f t="shared" si="135"/>
        <v>-151.06900000000007</v>
      </c>
      <c r="N64" s="996">
        <f t="shared" si="135"/>
        <v>-265.82400000000007</v>
      </c>
      <c r="O64" s="996">
        <f t="shared" si="135"/>
        <v>-222.80600000000007</v>
      </c>
      <c r="P64" s="996">
        <f t="shared" si="135"/>
        <v>-218.22400000000007</v>
      </c>
      <c r="Q64" s="997">
        <f t="shared" si="135"/>
        <v>-183.01300000000001</v>
      </c>
      <c r="R64" s="996">
        <f>R62+R63+R59</f>
        <v>94.908999999999992</v>
      </c>
      <c r="S64" s="996">
        <f t="shared" ref="S64:BA64" si="136">S62+S63+S59</f>
        <v>101.35300000000001</v>
      </c>
      <c r="T64" s="996">
        <f t="shared" si="136"/>
        <v>122.06</v>
      </c>
      <c r="U64" s="997">
        <f t="shared" si="136"/>
        <v>520.12699999999995</v>
      </c>
      <c r="V64" s="996">
        <f t="shared" si="136"/>
        <v>397.29799999999994</v>
      </c>
      <c r="W64" s="996">
        <f t="shared" si="136"/>
        <v>491.63200000000006</v>
      </c>
      <c r="X64" s="996">
        <f t="shared" si="136"/>
        <v>409.37299999999999</v>
      </c>
      <c r="Y64" s="997">
        <f t="shared" si="136"/>
        <v>785.77700000000004</v>
      </c>
      <c r="Z64" s="996">
        <f t="shared" si="136"/>
        <v>510.88300000000004</v>
      </c>
      <c r="AA64" s="996">
        <f t="shared" si="136"/>
        <v>473.44400000000002</v>
      </c>
      <c r="AB64" s="996">
        <f t="shared" si="136"/>
        <v>514.79700000000025</v>
      </c>
      <c r="AC64" s="997">
        <f t="shared" si="136"/>
        <v>750.72300000000018</v>
      </c>
      <c r="AD64" s="996">
        <f t="shared" si="136"/>
        <v>765</v>
      </c>
      <c r="AE64" s="996">
        <f t="shared" si="136"/>
        <v>845</v>
      </c>
      <c r="AF64" s="996">
        <f t="shared" si="136"/>
        <v>729</v>
      </c>
      <c r="AG64" s="997">
        <f t="shared" si="136"/>
        <v>747</v>
      </c>
      <c r="AH64" s="996">
        <f t="shared" si="136"/>
        <v>466</v>
      </c>
      <c r="AI64" s="996">
        <f t="shared" si="136"/>
        <v>961</v>
      </c>
      <c r="AJ64" s="996">
        <f t="shared" si="136"/>
        <v>843</v>
      </c>
      <c r="AK64" s="997">
        <f t="shared" si="136"/>
        <v>1861</v>
      </c>
      <c r="AL64" s="996">
        <f t="shared" si="136"/>
        <v>1245</v>
      </c>
      <c r="AM64" s="996">
        <f t="shared" si="136"/>
        <v>1114</v>
      </c>
      <c r="AN64" s="996">
        <f t="shared" si="136"/>
        <v>1149</v>
      </c>
      <c r="AO64" s="997">
        <f t="shared" si="136"/>
        <v>1914</v>
      </c>
      <c r="AP64" s="996">
        <f t="shared" si="136"/>
        <v>1466</v>
      </c>
      <c r="AQ64" s="996">
        <f t="shared" si="136"/>
        <v>1734</v>
      </c>
      <c r="AR64" s="996">
        <f t="shared" si="136"/>
        <v>1827</v>
      </c>
      <c r="AS64" s="997">
        <f t="shared" si="136"/>
        <v>245</v>
      </c>
      <c r="AT64" s="996">
        <f t="shared" si="136"/>
        <v>250</v>
      </c>
      <c r="AU64" s="996">
        <f t="shared" si="136"/>
        <v>656</v>
      </c>
      <c r="AV64" s="996">
        <f t="shared" si="136"/>
        <v>683</v>
      </c>
      <c r="AW64" s="997">
        <f t="shared" si="136"/>
        <v>354</v>
      </c>
      <c r="AX64" s="996">
        <f t="shared" si="136"/>
        <v>604.00000000000023</v>
      </c>
      <c r="AY64" s="996">
        <f t="shared" si="136"/>
        <v>798.00000000000023</v>
      </c>
      <c r="AZ64" s="996">
        <f t="shared" si="136"/>
        <v>812.00000000000023</v>
      </c>
      <c r="BA64" s="997">
        <f t="shared" si="136"/>
        <v>748.00000000000023</v>
      </c>
      <c r="BB64" s="996">
        <f t="shared" ref="BB64:BM64" si="137">BB62+BB63</f>
        <v>772.00000000000023</v>
      </c>
      <c r="BC64" s="996">
        <f t="shared" si="137"/>
        <v>1104.0000000000002</v>
      </c>
      <c r="BD64" s="996">
        <f t="shared" si="137"/>
        <v>1202.0000000000002</v>
      </c>
      <c r="BE64" s="997">
        <f t="shared" si="137"/>
        <v>1205.0000000000002</v>
      </c>
      <c r="BF64" s="996">
        <f t="shared" si="137"/>
        <v>1366.0000000000002</v>
      </c>
      <c r="BG64" s="996">
        <f t="shared" si="137"/>
        <v>1390.0000000000002</v>
      </c>
      <c r="BH64" s="996">
        <f t="shared" si="137"/>
        <v>1319.0000000000002</v>
      </c>
      <c r="BI64" s="997">
        <f t="shared" si="137"/>
        <v>1438.0000000000002</v>
      </c>
      <c r="BJ64" s="996">
        <f t="shared" si="137"/>
        <v>1475.0000000000002</v>
      </c>
      <c r="BK64" s="996">
        <f t="shared" si="137"/>
        <v>544.00000000000023</v>
      </c>
      <c r="BL64" s="996">
        <f t="shared" si="137"/>
        <v>569.00000000000023</v>
      </c>
      <c r="BM64" s="997">
        <f t="shared" si="137"/>
        <v>498.00000000000023</v>
      </c>
      <c r="BN64" s="996">
        <f t="shared" ref="BN64:CJ64" si="138">BN62+BN63</f>
        <v>535.00000000000023</v>
      </c>
      <c r="BO64" s="996">
        <f t="shared" si="138"/>
        <v>668.00000000000023</v>
      </c>
      <c r="BP64" s="996">
        <f t="shared" si="138"/>
        <v>564.00000000000023</v>
      </c>
      <c r="BQ64" s="997">
        <f t="shared" si="138"/>
        <v>1826.0000000000002</v>
      </c>
      <c r="BR64" s="996">
        <f t="shared" si="138"/>
        <v>1239.0000000000002</v>
      </c>
      <c r="BS64" s="996">
        <f t="shared" si="138"/>
        <v>843.00000000000023</v>
      </c>
      <c r="BT64" s="996">
        <f t="shared" si="138"/>
        <v>925.00000000000023</v>
      </c>
      <c r="BU64" s="997">
        <f t="shared" si="138"/>
        <v>1103.0000000000002</v>
      </c>
      <c r="BV64" s="996">
        <f t="shared" si="138"/>
        <v>2208</v>
      </c>
      <c r="BW64" s="996">
        <f t="shared" si="138"/>
        <v>2040</v>
      </c>
      <c r="BX64" s="996">
        <f t="shared" si="138"/>
        <v>2392</v>
      </c>
      <c r="BY64" s="997">
        <f t="shared" si="138"/>
        <v>1199</v>
      </c>
      <c r="BZ64" s="996">
        <f t="shared" si="138"/>
        <v>1386</v>
      </c>
      <c r="CA64" s="996">
        <f t="shared" si="138"/>
        <v>680</v>
      </c>
      <c r="CB64" s="996">
        <f t="shared" si="138"/>
        <v>309</v>
      </c>
      <c r="CC64" s="997">
        <f t="shared" si="138"/>
        <v>1826</v>
      </c>
      <c r="CD64" s="1132">
        <f t="shared" si="138"/>
        <v>908</v>
      </c>
      <c r="CE64" s="996">
        <f t="shared" si="138"/>
        <v>1910</v>
      </c>
      <c r="CF64" s="996">
        <f t="shared" si="138"/>
        <v>2170</v>
      </c>
      <c r="CG64" s="997">
        <f t="shared" si="138"/>
        <v>2678</v>
      </c>
      <c r="CH64" s="1398">
        <f>CH62+CH63</f>
        <v>2569</v>
      </c>
      <c r="CI64" s="1399">
        <f t="shared" si="138"/>
        <v>2141</v>
      </c>
      <c r="CJ64" s="1399">
        <f t="shared" si="138"/>
        <v>1929</v>
      </c>
      <c r="CK64" s="1400">
        <f t="shared" ref="CK64:CS64" si="139">CK62+CK63</f>
        <v>2432</v>
      </c>
      <c r="CL64" s="1659">
        <f t="shared" si="139"/>
        <v>2173</v>
      </c>
      <c r="CM64" s="1659">
        <f t="shared" si="139"/>
        <v>1800</v>
      </c>
      <c r="CN64" s="1659">
        <f t="shared" si="139"/>
        <v>1697</v>
      </c>
      <c r="CO64" s="1660">
        <f t="shared" si="139"/>
        <v>1976</v>
      </c>
      <c r="CP64" s="1659">
        <f>CP62+CP63</f>
        <v>1845</v>
      </c>
      <c r="CQ64" s="1659">
        <f t="shared" si="139"/>
        <v>1861</v>
      </c>
      <c r="CR64" s="1659">
        <f t="shared" si="139"/>
        <v>1341</v>
      </c>
      <c r="CS64" s="1660">
        <f t="shared" si="139"/>
        <v>2240</v>
      </c>
      <c r="CT64" s="1659">
        <f>CT62+CT63</f>
        <v>1651</v>
      </c>
      <c r="CU64" s="1659">
        <f t="shared" ref="CU64" si="140">CU62+CU63</f>
        <v>1365</v>
      </c>
      <c r="CV64" s="1659">
        <f t="shared" ref="CV64:DA64" si="141">CV62+CV63</f>
        <v>1103</v>
      </c>
      <c r="CW64" s="1660">
        <f t="shared" si="141"/>
        <v>1101</v>
      </c>
      <c r="CX64" s="2673">
        <f t="shared" si="141"/>
        <v>347.28180202288002</v>
      </c>
      <c r="CY64" s="1659">
        <f t="shared" si="141"/>
        <v>120.0294453417786</v>
      </c>
      <c r="CZ64" s="1659">
        <f t="shared" si="141"/>
        <v>144.45918603967405</v>
      </c>
      <c r="DA64" s="1660">
        <f t="shared" si="141"/>
        <v>420.24711423226324</v>
      </c>
      <c r="DB64" s="1656"/>
      <c r="DC64" s="1657"/>
      <c r="DD64" s="1659">
        <v>0.13700000000000001</v>
      </c>
      <c r="DE64" s="1659">
        <f>DE62+DE63</f>
        <v>-5.2639999999999958</v>
      </c>
      <c r="DF64" s="1659">
        <f>DF62+DF63</f>
        <v>-9.953000000000003</v>
      </c>
      <c r="DG64" s="1659">
        <f>DG62+DG63</f>
        <v>-11.880000000000003</v>
      </c>
      <c r="DH64" s="1659">
        <v>23.74</v>
      </c>
      <c r="DI64" s="1659">
        <f>DI63+DI62</f>
        <v>20.677000000000003</v>
      </c>
      <c r="DJ64" s="1659">
        <f t="shared" ref="DJ64:DO64" si="142">DJ62+DJ63</f>
        <v>97.071999999999989</v>
      </c>
      <c r="DK64" s="1659">
        <f t="shared" si="142"/>
        <v>-29.131000000000029</v>
      </c>
      <c r="DL64" s="1659">
        <f t="shared" si="142"/>
        <v>11.583000000000022</v>
      </c>
      <c r="DM64" s="1659">
        <f t="shared" si="142"/>
        <v>-32.599000000000096</v>
      </c>
      <c r="DN64" s="1659">
        <f t="shared" si="142"/>
        <v>-151.06900000000013</v>
      </c>
      <c r="DO64" s="1659">
        <f t="shared" si="142"/>
        <v>-183.01299999999995</v>
      </c>
      <c r="DP64" s="1659">
        <f t="shared" ref="DP64:DX64" si="143">DP62+DP63+DP59</f>
        <v>520.12700000000018</v>
      </c>
      <c r="DQ64" s="1659">
        <f t="shared" si="143"/>
        <v>785.77700000000027</v>
      </c>
      <c r="DR64" s="1659">
        <f t="shared" si="143"/>
        <v>750.72300000000018</v>
      </c>
      <c r="DS64" s="1659">
        <f t="shared" si="143"/>
        <v>747.00000000000023</v>
      </c>
      <c r="DT64" s="1659">
        <f t="shared" si="143"/>
        <v>1861.0000000000002</v>
      </c>
      <c r="DU64" s="1659">
        <f t="shared" si="143"/>
        <v>1914.0000000000002</v>
      </c>
      <c r="DV64" s="1659">
        <f t="shared" si="143"/>
        <v>245.00000000000023</v>
      </c>
      <c r="DW64" s="1659">
        <f t="shared" si="143"/>
        <v>354.00000000000023</v>
      </c>
      <c r="DX64" s="1659">
        <f t="shared" si="143"/>
        <v>748.00000000000023</v>
      </c>
      <c r="DY64" s="1659">
        <f t="shared" ref="DY64:EE64" si="144">DY62+DY63</f>
        <v>1205.0000000000002</v>
      </c>
      <c r="DZ64" s="1659">
        <f t="shared" si="144"/>
        <v>1438.0000000000002</v>
      </c>
      <c r="EA64" s="1659">
        <f t="shared" si="144"/>
        <v>498.00000000000023</v>
      </c>
      <c r="EB64" s="1659">
        <f t="shared" si="144"/>
        <v>1826.0000000000002</v>
      </c>
      <c r="EC64" s="1659">
        <f t="shared" si="144"/>
        <v>1103.0000000000002</v>
      </c>
      <c r="ED64" s="1659">
        <f t="shared" si="144"/>
        <v>1199.0000000000002</v>
      </c>
      <c r="EE64" s="1659">
        <f t="shared" si="144"/>
        <v>1338.0000000000002</v>
      </c>
      <c r="EF64" s="1661">
        <f t="shared" ref="EF64:EP64" si="145">EF62+EF63</f>
        <v>1401.0000000000002</v>
      </c>
      <c r="EG64" s="1659">
        <f>EG62+EG63</f>
        <v>1826.0000000000002</v>
      </c>
      <c r="EH64" s="1659">
        <f>EH62+EH63</f>
        <v>2678</v>
      </c>
      <c r="EI64" s="1659">
        <f>EI62+EI63</f>
        <v>2432</v>
      </c>
      <c r="EJ64" s="1659">
        <f>EJ62+EJ63</f>
        <v>1976</v>
      </c>
      <c r="EK64" s="1659">
        <f t="shared" si="145"/>
        <v>2240</v>
      </c>
      <c r="EL64" s="1659">
        <f>EL62+EL63</f>
        <v>1101</v>
      </c>
      <c r="EM64" s="2673">
        <f>EM62+EM63</f>
        <v>420.24711423226381</v>
      </c>
      <c r="EN64" s="1659">
        <f t="shared" si="145"/>
        <v>366.44841623680668</v>
      </c>
      <c r="EO64" s="1659">
        <f t="shared" si="145"/>
        <v>206.30428757250911</v>
      </c>
      <c r="EP64" s="1659">
        <f t="shared" si="145"/>
        <v>443.20271161897335</v>
      </c>
      <c r="EQ64" s="1659">
        <f>EQ62+EQ63</f>
        <v>377.94777968659946</v>
      </c>
      <c r="ER64" s="1659">
        <f>ER62+ER63</f>
        <v>271.77721207803825</v>
      </c>
      <c r="ES64" s="1659">
        <f>ES62+ES63</f>
        <v>622.34481815382765</v>
      </c>
      <c r="ET64" s="1659">
        <f>ET62+ET63</f>
        <v>424.82567103742963</v>
      </c>
      <c r="EU64" s="1660">
        <f>EU62+EU63</f>
        <v>185.09119860167471</v>
      </c>
      <c r="EV64" s="413"/>
      <c r="EW64"/>
      <c r="EX64"/>
      <c r="EY64"/>
      <c r="EZ64"/>
      <c r="FA64"/>
      <c r="FB64"/>
      <c r="FG64" s="1123"/>
      <c r="FH64" s="1123"/>
      <c r="FI64" s="1658"/>
      <c r="FJ64" s="1658"/>
      <c r="FK64" s="1658"/>
      <c r="FL64"/>
      <c r="FM64"/>
      <c r="FN64"/>
      <c r="FO64"/>
      <c r="FP64"/>
      <c r="FQ64"/>
      <c r="FR64"/>
      <c r="FS64"/>
      <c r="FT64"/>
      <c r="FU64"/>
      <c r="FV64"/>
      <c r="FW64"/>
      <c r="FX64"/>
      <c r="FY64"/>
      <c r="FZ64"/>
      <c r="GA64"/>
      <c r="GB64"/>
      <c r="GC64"/>
      <c r="GD64"/>
      <c r="GE64"/>
      <c r="GF64"/>
      <c r="GG64"/>
      <c r="GH64"/>
      <c r="GI64"/>
      <c r="GJ64"/>
      <c r="GK64"/>
      <c r="GL64"/>
      <c r="GM64"/>
      <c r="GN64"/>
      <c r="GO64"/>
      <c r="GP64"/>
      <c r="GQ64"/>
      <c r="GR64"/>
      <c r="GS64"/>
      <c r="GT64"/>
      <c r="GU64"/>
      <c r="GV64"/>
      <c r="GW64"/>
      <c r="GX64"/>
      <c r="GY64"/>
      <c r="GZ64"/>
      <c r="HA64"/>
      <c r="HB64"/>
      <c r="HC64"/>
      <c r="HD64"/>
      <c r="HE64"/>
      <c r="HF64"/>
      <c r="HG64"/>
      <c r="HH64"/>
      <c r="HI64"/>
      <c r="HJ64"/>
      <c r="HK64"/>
      <c r="HL64"/>
      <c r="HM64"/>
      <c r="HN64"/>
      <c r="HO64"/>
      <c r="HP64"/>
      <c r="HQ64"/>
      <c r="HR64"/>
      <c r="HS64"/>
      <c r="HT64"/>
      <c r="HU64"/>
      <c r="HV64"/>
      <c r="HW64"/>
      <c r="HX64"/>
      <c r="HY64"/>
      <c r="HZ64"/>
      <c r="IA64"/>
      <c r="IB64"/>
      <c r="IC64"/>
      <c r="ID64"/>
      <c r="IE64"/>
      <c r="IF64"/>
      <c r="IG64"/>
      <c r="IH64"/>
      <c r="II64"/>
      <c r="IJ64"/>
      <c r="IK64"/>
      <c r="IL64"/>
      <c r="IM64"/>
      <c r="IN64"/>
      <c r="IO64"/>
      <c r="IP64"/>
      <c r="IQ64"/>
      <c r="IR64"/>
      <c r="IS64"/>
      <c r="IT64"/>
      <c r="IU64"/>
      <c r="IV64"/>
      <c r="IW64"/>
      <c r="IX64"/>
      <c r="IY64"/>
      <c r="IZ64"/>
    </row>
    <row r="65" spans="1:260" s="7" customFormat="1" x14ac:dyDescent="0.2">
      <c r="A65" s="4" t="s">
        <v>46</v>
      </c>
      <c r="B65" s="283"/>
      <c r="C65" s="283"/>
      <c r="D65" s="283"/>
      <c r="E65" s="713"/>
      <c r="F65" s="283"/>
      <c r="G65" s="283"/>
      <c r="H65" s="283"/>
      <c r="I65" s="713"/>
      <c r="J65" s="283"/>
      <c r="K65" s="283"/>
      <c r="L65" s="283"/>
      <c r="M65" s="713"/>
      <c r="N65" s="283"/>
      <c r="O65" s="283"/>
      <c r="P65" s="283"/>
      <c r="Q65" s="713"/>
      <c r="R65" s="283">
        <f>R64-'Balance Sheet'!R7</f>
        <v>0</v>
      </c>
      <c r="S65" s="283">
        <f>S64-'Balance Sheet'!S7</f>
        <v>0</v>
      </c>
      <c r="T65" s="283">
        <f>T64-'Balance Sheet'!T7</f>
        <v>0</v>
      </c>
      <c r="U65" s="713">
        <f>U64-'Balance Sheet'!U7</f>
        <v>0</v>
      </c>
      <c r="V65" s="283">
        <f>V64-'Balance Sheet'!V7</f>
        <v>0</v>
      </c>
      <c r="W65" s="283">
        <f>W64-'Balance Sheet'!W7</f>
        <v>0</v>
      </c>
      <c r="X65" s="283">
        <f>X64-'Balance Sheet'!X7</f>
        <v>0</v>
      </c>
      <c r="Y65" s="713">
        <f>Y64-'Balance Sheet'!Y7</f>
        <v>0</v>
      </c>
      <c r="Z65" s="283">
        <f>Z64-'Balance Sheet'!Z7</f>
        <v>0</v>
      </c>
      <c r="AA65" s="283">
        <f>AA64-'Balance Sheet'!AA7</f>
        <v>0</v>
      </c>
      <c r="AB65" s="283">
        <f>AB64-'Balance Sheet'!AB7</f>
        <v>0</v>
      </c>
      <c r="AC65" s="713">
        <f>AC64-'Balance Sheet'!AC7</f>
        <v>0</v>
      </c>
      <c r="AD65" s="283">
        <f>AD64-'Balance Sheet'!AD7</f>
        <v>0</v>
      </c>
      <c r="AE65" s="283">
        <f>AE64-'Balance Sheet'!AE7</f>
        <v>0</v>
      </c>
      <c r="AF65" s="283">
        <f>AF64-'Balance Sheet'!AF7</f>
        <v>0</v>
      </c>
      <c r="AG65" s="713">
        <f>AG64-'Balance Sheet'!AG7</f>
        <v>0</v>
      </c>
      <c r="AH65" s="283">
        <f>AH64-'Balance Sheet'!AH7</f>
        <v>0</v>
      </c>
      <c r="AI65" s="283">
        <f>AI64-'Balance Sheet'!AI7</f>
        <v>0</v>
      </c>
      <c r="AJ65" s="283">
        <f>AJ64-'Balance Sheet'!AJ7</f>
        <v>0</v>
      </c>
      <c r="AK65" s="713">
        <f>AK64-'Balance Sheet'!AK7</f>
        <v>0</v>
      </c>
      <c r="AL65" s="283">
        <f>AL64-'Balance Sheet'!AL7</f>
        <v>0</v>
      </c>
      <c r="AM65" s="283">
        <f>AM64-'Balance Sheet'!AM7</f>
        <v>0</v>
      </c>
      <c r="AN65" s="283">
        <f>AN64-'Balance Sheet'!AN7</f>
        <v>0</v>
      </c>
      <c r="AO65" s="713">
        <f>AO64-'Balance Sheet'!AO7</f>
        <v>0</v>
      </c>
      <c r="AP65" s="283">
        <f>AP64-'Balance Sheet'!AP7</f>
        <v>0</v>
      </c>
      <c r="AQ65" s="283">
        <f>AQ64-'Balance Sheet'!AQ7</f>
        <v>0</v>
      </c>
      <c r="AR65" s="283">
        <f>AR64-'Balance Sheet'!AR7</f>
        <v>0</v>
      </c>
      <c r="AS65" s="713">
        <f>AS64-'Balance Sheet'!AS7</f>
        <v>0</v>
      </c>
      <c r="AT65" s="283">
        <f>AT64-'Balance Sheet'!AT7</f>
        <v>0</v>
      </c>
      <c r="AU65" s="283">
        <f>AU64-'Balance Sheet'!AU7</f>
        <v>0</v>
      </c>
      <c r="AV65" s="283">
        <f>AV64-'Balance Sheet'!AV7</f>
        <v>0</v>
      </c>
      <c r="AW65" s="713">
        <f>AW64-'Balance Sheet'!AW7</f>
        <v>0</v>
      </c>
      <c r="AX65" s="283">
        <f>AX64-'Balance Sheet'!AX7</f>
        <v>0</v>
      </c>
      <c r="AY65" s="283">
        <f>AY64-'Balance Sheet'!AY7</f>
        <v>0</v>
      </c>
      <c r="AZ65" s="283">
        <f>AZ64-'Balance Sheet'!AZ7</f>
        <v>0</v>
      </c>
      <c r="BA65" s="713">
        <f>BA64-'Balance Sheet'!BA7</f>
        <v>0</v>
      </c>
      <c r="BB65" s="283">
        <f>BB64-'Balance Sheet'!BB7</f>
        <v>0</v>
      </c>
      <c r="BC65" s="283">
        <f>BC64-'Balance Sheet'!BC7</f>
        <v>0</v>
      </c>
      <c r="BD65" s="283">
        <f>BD64-'Balance Sheet'!BD7</f>
        <v>0</v>
      </c>
      <c r="BE65" s="713">
        <f>BE64-'Balance Sheet'!BE7</f>
        <v>0</v>
      </c>
      <c r="BF65" s="283">
        <f>BF64-'Balance Sheet'!BF7</f>
        <v>0</v>
      </c>
      <c r="BG65" s="283">
        <f>BG64-'Balance Sheet'!BG7</f>
        <v>0</v>
      </c>
      <c r="BH65" s="283">
        <f>BH64-'Balance Sheet'!BH7</f>
        <v>0</v>
      </c>
      <c r="BI65" s="713">
        <f>BI64-'Balance Sheet'!BI7</f>
        <v>0</v>
      </c>
      <c r="BJ65" s="332">
        <f>BJ64-'Balance Sheet'!BJ7</f>
        <v>0</v>
      </c>
      <c r="BK65" s="332">
        <f>BK64-'Balance Sheet'!BK7</f>
        <v>0</v>
      </c>
      <c r="BL65" s="332">
        <f>BL64-'Balance Sheet'!BL7</f>
        <v>0</v>
      </c>
      <c r="BM65" s="725">
        <f>BM64-'Balance Sheet'!BM7</f>
        <v>0</v>
      </c>
      <c r="BN65" s="332">
        <f>BN64-'Balance Sheet'!BN7</f>
        <v>0</v>
      </c>
      <c r="BO65" s="332">
        <f>BO64-'Balance Sheet'!BO7</f>
        <v>0</v>
      </c>
      <c r="BP65" s="332">
        <f>BP64-'Balance Sheet'!BP7</f>
        <v>0</v>
      </c>
      <c r="BQ65" s="725">
        <f>BQ64-'Balance Sheet'!BQ7</f>
        <v>0</v>
      </c>
      <c r="BR65" s="332">
        <f>BR64-'Balance Sheet'!BR7</f>
        <v>0</v>
      </c>
      <c r="BS65" s="332">
        <f>BS64-'Balance Sheet'!BS7</f>
        <v>0</v>
      </c>
      <c r="BT65" s="332">
        <f>BT64-'Balance Sheet'!BT7</f>
        <v>0</v>
      </c>
      <c r="BU65" s="725">
        <f>BU64-'Balance Sheet'!BU7</f>
        <v>0</v>
      </c>
      <c r="BV65" s="332">
        <f>BV64-'Balance Sheet'!BV7</f>
        <v>0</v>
      </c>
      <c r="BW65" s="283">
        <f>BW64-'Balance Sheet'!BW7</f>
        <v>0</v>
      </c>
      <c r="BX65" s="283">
        <f>BX64-'Balance Sheet'!BX7</f>
        <v>0</v>
      </c>
      <c r="BY65" s="713">
        <f>BY64-'Balance Sheet'!BY7</f>
        <v>0</v>
      </c>
      <c r="BZ65" s="332">
        <f>BZ64-'Balance Sheet'!BZ7</f>
        <v>0</v>
      </c>
      <c r="CA65" s="283">
        <f>CA64-'Balance Sheet'!CA7</f>
        <v>0</v>
      </c>
      <c r="CB65" s="283">
        <f>CB64-'Balance Sheet'!CB7</f>
        <v>0</v>
      </c>
      <c r="CC65" s="713">
        <f>CC64-'Balance Sheet'!CC7</f>
        <v>0</v>
      </c>
      <c r="CD65" s="735">
        <f>CD64-'Balance Sheet'!CD7</f>
        <v>0</v>
      </c>
      <c r="CE65" s="1148">
        <f>CE64-'Balance Sheet'!CE7</f>
        <v>0</v>
      </c>
      <c r="CF65" s="1148">
        <f>CF64-'Balance Sheet'!CF7</f>
        <v>0</v>
      </c>
      <c r="CG65" s="713">
        <f>CG64-'Balance Sheet'!CG7</f>
        <v>0</v>
      </c>
      <c r="CH65" s="1147">
        <f>ROUND(CH64-'Balance Sheet'!CH7,6)</f>
        <v>0</v>
      </c>
      <c r="CI65" s="1156">
        <f>CI64-'Balance Sheet'!CI7</f>
        <v>0</v>
      </c>
      <c r="CJ65" s="1148">
        <f>CJ64-'Balance Sheet'!CJ7</f>
        <v>0</v>
      </c>
      <c r="CK65" s="713">
        <f>CK64-'Balance Sheet'!CK7</f>
        <v>0</v>
      </c>
      <c r="CL65" s="1637">
        <f>CL64-'Balance Sheet'!CL7</f>
        <v>0</v>
      </c>
      <c r="CM65" s="1637">
        <f>CM64-'Balance Sheet'!CM7</f>
        <v>0</v>
      </c>
      <c r="CN65" s="1638">
        <f>CN64-'Balance Sheet'!CN7</f>
        <v>0</v>
      </c>
      <c r="CO65" s="1639">
        <f>CO64-'Balance Sheet'!CO7</f>
        <v>0</v>
      </c>
      <c r="CP65" s="1638">
        <f>CP64-'Balance Sheet'!CP7</f>
        <v>0</v>
      </c>
      <c r="CQ65" s="1638">
        <f>CQ64-'Balance Sheet'!CQ7</f>
        <v>0</v>
      </c>
      <c r="CR65" s="1638">
        <f>CR64-'Balance Sheet'!CR7</f>
        <v>0</v>
      </c>
      <c r="CS65" s="725">
        <f>CS64-'Balance Sheet'!CS7</f>
        <v>0</v>
      </c>
      <c r="CT65" s="1148">
        <f>CT64-'Balance Sheet'!CT7</f>
        <v>0</v>
      </c>
      <c r="CU65" s="1638">
        <f>CU64-'Balance Sheet'!CU7</f>
        <v>0</v>
      </c>
      <c r="CV65" s="1638">
        <f>CV64-'Balance Sheet'!CV7</f>
        <v>0</v>
      </c>
      <c r="CW65" s="725">
        <f>CW64-'Balance Sheet'!CW7</f>
        <v>0</v>
      </c>
      <c r="CX65" s="2807">
        <f>CX64-'Balance Sheet'!CX7</f>
        <v>0</v>
      </c>
      <c r="CY65" s="1148">
        <f>CY64-'Balance Sheet'!CY7</f>
        <v>0</v>
      </c>
      <c r="CZ65" s="1148">
        <f>CZ64-'Balance Sheet'!CZ7</f>
        <v>0</v>
      </c>
      <c r="DA65" s="713">
        <f>DA64-'Balance Sheet'!DA7</f>
        <v>0</v>
      </c>
      <c r="DB65" s="735"/>
      <c r="DC65" s="725"/>
      <c r="DD65" s="1336"/>
      <c r="DE65" s="283"/>
      <c r="DF65" s="283"/>
      <c r="DG65" s="283"/>
      <c r="DH65" s="283"/>
      <c r="DI65" s="283"/>
      <c r="DJ65" s="283"/>
      <c r="DK65" s="283"/>
      <c r="DL65" s="283"/>
      <c r="DM65" s="283"/>
      <c r="DN65" s="283"/>
      <c r="DO65" s="283"/>
      <c r="DP65" s="283">
        <f>DP64-'Balance Sheet'!DP7</f>
        <v>0</v>
      </c>
      <c r="DQ65" s="283">
        <f>DQ64-'Balance Sheet'!DQ7</f>
        <v>0</v>
      </c>
      <c r="DR65" s="283">
        <f>DR64-'Balance Sheet'!DR7</f>
        <v>0</v>
      </c>
      <c r="DS65" s="283">
        <f>DS64-'Balance Sheet'!DS7</f>
        <v>0</v>
      </c>
      <c r="DT65" s="283">
        <f>DT64-'Balance Sheet'!DT7</f>
        <v>0</v>
      </c>
      <c r="DU65" s="283">
        <f>DU64-'Balance Sheet'!DU7</f>
        <v>0</v>
      </c>
      <c r="DV65" s="283">
        <f>DV64-'Balance Sheet'!DV7</f>
        <v>2.2737367544323206E-13</v>
      </c>
      <c r="DW65" s="283">
        <f>DW64-'Balance Sheet'!DW7</f>
        <v>0</v>
      </c>
      <c r="DX65" s="283">
        <f>DX64-'Balance Sheet'!DX7</f>
        <v>0</v>
      </c>
      <c r="DY65" s="283">
        <f>DY64-'Balance Sheet'!DY7</f>
        <v>0</v>
      </c>
      <c r="DZ65" s="283">
        <f>DZ64-'Balance Sheet'!DZ7</f>
        <v>0</v>
      </c>
      <c r="EA65" s="332">
        <f>EA64-'Balance Sheet'!EA7</f>
        <v>0</v>
      </c>
      <c r="EB65" s="332">
        <f>EB64-'Balance Sheet'!EB7</f>
        <v>0</v>
      </c>
      <c r="EC65" s="332">
        <f>EC64-'Balance Sheet'!EC7</f>
        <v>0</v>
      </c>
      <c r="ED65" s="283">
        <f>ED64-'Balance Sheet'!ED7</f>
        <v>0</v>
      </c>
      <c r="EE65" s="283">
        <f>EE64-'Balance Sheet'!EE7</f>
        <v>0</v>
      </c>
      <c r="EF65" s="1133">
        <f>EF64-'Balance Sheet'!EF7</f>
        <v>0</v>
      </c>
      <c r="EG65" s="1134">
        <f>EG64-'Balance Sheet'!EG7</f>
        <v>0</v>
      </c>
      <c r="EH65" s="1134">
        <f>EH64-'Balance Sheet'!EH7</f>
        <v>0</v>
      </c>
      <c r="EI65" s="1134">
        <f>EI64-'Balance Sheet'!EI7</f>
        <v>0</v>
      </c>
      <c r="EJ65" s="1134">
        <f>EJ64-'Balance Sheet'!EJ7</f>
        <v>0</v>
      </c>
      <c r="EK65" s="332">
        <f>EK64-'Balance Sheet'!EK7</f>
        <v>0</v>
      </c>
      <c r="EL65" s="332">
        <f>EL64-'Balance Sheet'!EL7</f>
        <v>0</v>
      </c>
      <c r="EM65" s="2672">
        <f>EM64-'Balance Sheet'!EM7</f>
        <v>5.6843418860808015E-13</v>
      </c>
      <c r="EN65" s="283">
        <f>EN64-'Balance Sheet'!EN7</f>
        <v>0</v>
      </c>
      <c r="EO65" s="283">
        <f>EO64-'Balance Sheet'!EO7</f>
        <v>0</v>
      </c>
      <c r="EP65" s="283">
        <f>EP64-'Balance Sheet'!EP7</f>
        <v>0</v>
      </c>
      <c r="EQ65" s="283">
        <f>EQ64-'Balance Sheet'!EQ7</f>
        <v>0</v>
      </c>
      <c r="ER65" s="283">
        <f>ER64-'Balance Sheet'!ER7</f>
        <v>0</v>
      </c>
      <c r="ES65" s="283">
        <f>ES64-'Balance Sheet'!ES7</f>
        <v>0</v>
      </c>
      <c r="ET65" s="283">
        <f>ET64-'Balance Sheet'!ET7</f>
        <v>0</v>
      </c>
      <c r="EU65" s="283">
        <f>EU64-'Balance Sheet'!EU7</f>
        <v>0</v>
      </c>
      <c r="EV65" s="413"/>
      <c r="EW65"/>
      <c r="EX65"/>
      <c r="EY65"/>
      <c r="EZ65"/>
      <c r="FA65"/>
      <c r="FB65"/>
      <c r="FC65" s="4"/>
      <c r="FD65" s="4"/>
      <c r="FE65" s="4"/>
      <c r="FF65" s="4"/>
      <c r="FG65" s="1148"/>
      <c r="FH65" s="1148"/>
      <c r="FI65" s="1148"/>
      <c r="FJ65" s="1148"/>
      <c r="FK65" s="1148"/>
      <c r="FL65"/>
      <c r="FM65"/>
      <c r="FN65"/>
      <c r="FO65"/>
      <c r="FP65"/>
      <c r="FQ65"/>
      <c r="FR65"/>
      <c r="FS65"/>
      <c r="FT65"/>
      <c r="FU65"/>
      <c r="FV65"/>
      <c r="FW65"/>
      <c r="FX65"/>
      <c r="FY65"/>
      <c r="FZ65"/>
      <c r="GA65"/>
      <c r="GB65"/>
      <c r="GC65"/>
      <c r="GD65"/>
      <c r="GE65"/>
      <c r="GF65"/>
      <c r="GG65"/>
      <c r="GH65"/>
      <c r="GI65"/>
      <c r="GJ65"/>
      <c r="GK65"/>
      <c r="GL65"/>
      <c r="GM65"/>
      <c r="GN65"/>
      <c r="GO65"/>
      <c r="GP65"/>
      <c r="GQ65"/>
      <c r="GR65"/>
      <c r="GS65"/>
      <c r="GT65"/>
      <c r="GU65"/>
      <c r="GV65"/>
      <c r="GW65"/>
      <c r="GX65"/>
      <c r="GY65"/>
      <c r="GZ65"/>
      <c r="HA65"/>
      <c r="HB65"/>
      <c r="HC65"/>
      <c r="HD65"/>
      <c r="HE65"/>
      <c r="HF65"/>
      <c r="HG65"/>
      <c r="HH65"/>
      <c r="HI65"/>
      <c r="HJ65"/>
      <c r="HK65"/>
      <c r="HL65"/>
      <c r="HM65"/>
      <c r="HN65"/>
      <c r="HO65"/>
      <c r="HP65"/>
      <c r="HQ65"/>
      <c r="HR65"/>
      <c r="HS65"/>
      <c r="HT65"/>
      <c r="HU65"/>
      <c r="HV65"/>
      <c r="HW65"/>
      <c r="HX65"/>
      <c r="HY65"/>
      <c r="HZ65"/>
      <c r="IA65"/>
      <c r="IB65"/>
      <c r="IC65"/>
      <c r="ID65"/>
      <c r="IE65"/>
      <c r="IF65"/>
      <c r="IG65"/>
      <c r="IH65"/>
      <c r="II65"/>
      <c r="IJ65"/>
      <c r="IK65"/>
      <c r="IL65"/>
      <c r="IM65"/>
      <c r="IN65"/>
      <c r="IO65"/>
      <c r="IP65"/>
      <c r="IQ65"/>
      <c r="IR65"/>
      <c r="IS65"/>
      <c r="IT65"/>
      <c r="IU65"/>
      <c r="IV65"/>
      <c r="IW65"/>
      <c r="IX65"/>
      <c r="IY65"/>
      <c r="IZ65"/>
    </row>
    <row r="66" spans="1:260" s="7" customFormat="1" x14ac:dyDescent="0.2">
      <c r="A66" s="4"/>
      <c r="B66" s="283"/>
      <c r="C66" s="283"/>
      <c r="D66" s="283"/>
      <c r="E66" s="713"/>
      <c r="F66" s="283"/>
      <c r="G66" s="283"/>
      <c r="H66" s="283"/>
      <c r="I66" s="713"/>
      <c r="J66" s="283"/>
      <c r="K66" s="283"/>
      <c r="L66" s="283"/>
      <c r="M66" s="713"/>
      <c r="N66" s="283"/>
      <c r="O66" s="283"/>
      <c r="P66" s="283"/>
      <c r="Q66" s="713"/>
      <c r="R66" s="283"/>
      <c r="S66" s="283"/>
      <c r="T66" s="283"/>
      <c r="U66" s="713"/>
      <c r="V66" s="283"/>
      <c r="W66" s="283"/>
      <c r="X66" s="283"/>
      <c r="Y66" s="713"/>
      <c r="Z66" s="283"/>
      <c r="AA66" s="283"/>
      <c r="AB66" s="283"/>
      <c r="AC66" s="713"/>
      <c r="AD66" s="283"/>
      <c r="AE66" s="283"/>
      <c r="AF66" s="283"/>
      <c r="AG66" s="713"/>
      <c r="AH66" s="283"/>
      <c r="AI66" s="283"/>
      <c r="AJ66" s="283"/>
      <c r="AK66" s="713"/>
      <c r="AL66" s="283"/>
      <c r="AM66" s="283"/>
      <c r="AN66" s="283"/>
      <c r="AO66" s="713"/>
      <c r="AP66" s="283"/>
      <c r="AQ66" s="283"/>
      <c r="AR66" s="283"/>
      <c r="AS66" s="713"/>
      <c r="AT66" s="283"/>
      <c r="AU66" s="283"/>
      <c r="AV66" s="283"/>
      <c r="AW66" s="713"/>
      <c r="AX66" s="283"/>
      <c r="AY66" s="283"/>
      <c r="AZ66" s="283"/>
      <c r="BA66" s="713"/>
      <c r="BB66" s="283"/>
      <c r="BC66" s="283"/>
      <c r="BD66" s="283"/>
      <c r="BE66" s="713"/>
      <c r="BF66" s="283"/>
      <c r="BG66" s="283"/>
      <c r="BH66" s="283"/>
      <c r="BI66" s="713"/>
      <c r="BJ66" s="332"/>
      <c r="BK66" s="332"/>
      <c r="BL66" s="332"/>
      <c r="BM66" s="725"/>
      <c r="BN66" s="332"/>
      <c r="BO66" s="332"/>
      <c r="BP66" s="332"/>
      <c r="BQ66" s="725"/>
      <c r="BR66" s="332"/>
      <c r="BS66" s="332"/>
      <c r="BT66" s="332"/>
      <c r="BU66" s="725"/>
      <c r="BV66" s="332"/>
      <c r="BW66" s="283"/>
      <c r="BX66" s="283"/>
      <c r="BY66" s="713"/>
      <c r="BZ66" s="332"/>
      <c r="CA66" s="283"/>
      <c r="CB66" s="283"/>
      <c r="CC66" s="713"/>
      <c r="CD66" s="735"/>
      <c r="CE66" s="1148"/>
      <c r="CF66" s="1148"/>
      <c r="CG66" s="713"/>
      <c r="CH66" s="735"/>
      <c r="CI66" s="1148"/>
      <c r="CJ66" s="1148"/>
      <c r="CK66" s="713"/>
      <c r="CL66" s="1638"/>
      <c r="CM66" s="1638"/>
      <c r="CN66" s="1640"/>
      <c r="CO66" s="1641"/>
      <c r="CP66" s="1640"/>
      <c r="CQ66" s="1640"/>
      <c r="CR66" s="1640"/>
      <c r="CS66" s="1921"/>
      <c r="CT66" s="1148"/>
      <c r="CU66" s="1640"/>
      <c r="CV66" s="1640"/>
      <c r="CW66" s="1921"/>
      <c r="CX66" s="2807"/>
      <c r="CY66" s="1134"/>
      <c r="CZ66" s="1134"/>
      <c r="DA66" s="713"/>
      <c r="DB66" s="735"/>
      <c r="DC66" s="725"/>
      <c r="DD66" s="1336"/>
      <c r="DE66" s="283"/>
      <c r="DF66" s="283"/>
      <c r="DG66" s="283"/>
      <c r="DH66" s="283"/>
      <c r="DI66" s="283"/>
      <c r="DJ66" s="283"/>
      <c r="DK66" s="283"/>
      <c r="DL66" s="283"/>
      <c r="DM66" s="283"/>
      <c r="DN66" s="283"/>
      <c r="DO66" s="283"/>
      <c r="DP66" s="283"/>
      <c r="DQ66" s="283"/>
      <c r="DR66" s="283"/>
      <c r="DS66" s="283"/>
      <c r="DT66" s="283"/>
      <c r="DU66" s="283"/>
      <c r="DV66" s="283"/>
      <c r="DW66" s="283"/>
      <c r="DX66" s="283"/>
      <c r="DY66" s="283"/>
      <c r="DZ66" s="283"/>
      <c r="EA66" s="332"/>
      <c r="EB66" s="332"/>
      <c r="EC66" s="332"/>
      <c r="ED66" s="283"/>
      <c r="EE66" s="283"/>
      <c r="EF66" s="1133"/>
      <c r="EG66" s="1134"/>
      <c r="EH66" s="1134"/>
      <c r="EI66" s="1134"/>
      <c r="EJ66" s="1134"/>
      <c r="EK66" s="332"/>
      <c r="EL66" s="332"/>
      <c r="EM66" s="1694"/>
      <c r="EN66" s="283"/>
      <c r="EO66" s="283"/>
      <c r="EP66" s="283"/>
      <c r="EQ66" s="283"/>
      <c r="ER66" s="283"/>
      <c r="ES66" s="283"/>
      <c r="ET66" s="283"/>
      <c r="EU66" s="283"/>
      <c r="EV66" s="413"/>
      <c r="EW66"/>
      <c r="EX66"/>
      <c r="EY66"/>
      <c r="EZ66"/>
      <c r="FA66"/>
      <c r="FB66"/>
      <c r="FC66" s="4"/>
      <c r="FD66" s="4"/>
      <c r="FE66" s="4"/>
      <c r="FF66" s="4"/>
      <c r="FG66" s="1148"/>
      <c r="FH66" s="1148"/>
      <c r="FI66" s="1148"/>
      <c r="FJ66" s="1148"/>
      <c r="FK66" s="1148"/>
      <c r="FL66"/>
      <c r="FM66"/>
      <c r="FN66"/>
      <c r="FO66"/>
      <c r="FP66"/>
      <c r="FQ66"/>
      <c r="FR66"/>
      <c r="FS66"/>
      <c r="FT66"/>
      <c r="FU66"/>
      <c r="FV66"/>
      <c r="FW66"/>
      <c r="FX66"/>
      <c r="FY66"/>
      <c r="FZ66"/>
      <c r="GA66"/>
      <c r="GB66"/>
      <c r="GC66"/>
      <c r="GD66"/>
      <c r="GE66"/>
      <c r="GF66"/>
      <c r="GG66"/>
      <c r="GH66"/>
      <c r="GI66"/>
      <c r="GJ66"/>
      <c r="GK66"/>
      <c r="GL66"/>
      <c r="GM66"/>
      <c r="GN66"/>
      <c r="GO66"/>
      <c r="GP66"/>
      <c r="GQ66"/>
      <c r="GR66"/>
      <c r="GS66"/>
      <c r="GT66"/>
      <c r="GU66"/>
      <c r="GV66"/>
      <c r="GW66"/>
      <c r="GX66"/>
      <c r="GY66"/>
      <c r="GZ66"/>
      <c r="HA66"/>
      <c r="HB66"/>
      <c r="HC66"/>
      <c r="HD66"/>
      <c r="HE66"/>
      <c r="HF66"/>
      <c r="HG66"/>
      <c r="HH66"/>
      <c r="HI66"/>
      <c r="HJ66"/>
      <c r="HK66"/>
      <c r="HL66"/>
      <c r="HM66"/>
      <c r="HN66"/>
      <c r="HO66"/>
      <c r="HP66"/>
      <c r="HQ66"/>
      <c r="HR66"/>
      <c r="HS66"/>
      <c r="HT66"/>
      <c r="HU66"/>
      <c r="HV66"/>
      <c r="HW66"/>
      <c r="HX66"/>
      <c r="HY66"/>
      <c r="HZ66"/>
      <c r="IA66"/>
      <c r="IB66"/>
      <c r="IC66"/>
      <c r="ID66"/>
      <c r="IE66"/>
      <c r="IF66"/>
      <c r="IG66"/>
      <c r="IH66"/>
      <c r="II66"/>
      <c r="IJ66"/>
      <c r="IK66"/>
      <c r="IL66"/>
      <c r="IM66"/>
      <c r="IN66"/>
      <c r="IO66"/>
      <c r="IP66"/>
      <c r="IQ66"/>
      <c r="IR66"/>
      <c r="IS66"/>
      <c r="IT66"/>
      <c r="IU66"/>
      <c r="IV66"/>
      <c r="IW66"/>
      <c r="IX66"/>
      <c r="IY66"/>
      <c r="IZ66"/>
    </row>
    <row r="67" spans="1:260" s="342" customFormat="1" ht="12.2" customHeight="1" x14ac:dyDescent="0.2">
      <c r="A67" s="326" t="s">
        <v>598</v>
      </c>
      <c r="B67" s="327"/>
      <c r="C67" s="327"/>
      <c r="D67" s="327"/>
      <c r="E67" s="708"/>
      <c r="F67" s="327"/>
      <c r="G67" s="327"/>
      <c r="H67" s="327"/>
      <c r="I67" s="717"/>
      <c r="J67" s="104"/>
      <c r="K67" s="104"/>
      <c r="L67" s="104"/>
      <c r="M67" s="453"/>
      <c r="N67" s="104"/>
      <c r="O67" s="104"/>
      <c r="P67" s="104"/>
      <c r="Q67" s="453"/>
      <c r="R67" s="104"/>
      <c r="S67" s="104"/>
      <c r="T67" s="104"/>
      <c r="U67" s="453"/>
      <c r="V67" s="104"/>
      <c r="W67" s="104"/>
      <c r="X67" s="104"/>
      <c r="Y67" s="453"/>
      <c r="Z67" s="104"/>
      <c r="AA67" s="104"/>
      <c r="AB67" s="104"/>
      <c r="AC67" s="453"/>
      <c r="AD67" s="104"/>
      <c r="AE67" s="104"/>
      <c r="AF67" s="104"/>
      <c r="AG67" s="453"/>
      <c r="AH67" s="104"/>
      <c r="AI67" s="104"/>
      <c r="AJ67" s="104"/>
      <c r="AK67" s="453"/>
      <c r="AL67" s="104"/>
      <c r="AM67" s="1333"/>
      <c r="AN67" s="1333"/>
      <c r="AO67" s="1334"/>
      <c r="AP67" s="1333"/>
      <c r="AQ67" s="343"/>
      <c r="AR67" s="343"/>
      <c r="AS67" s="718"/>
      <c r="AT67" s="343"/>
      <c r="AU67" s="343"/>
      <c r="AV67" s="343"/>
      <c r="AW67" s="718"/>
      <c r="AX67" s="343"/>
      <c r="AY67" s="343"/>
      <c r="AZ67" s="343"/>
      <c r="BA67" s="718"/>
      <c r="BB67" s="343"/>
      <c r="BC67" s="343"/>
      <c r="BD67" s="343"/>
      <c r="BE67" s="718"/>
      <c r="BF67" s="343"/>
      <c r="BG67" s="343"/>
      <c r="BH67" s="343"/>
      <c r="BI67" s="718"/>
      <c r="BJ67" s="343"/>
      <c r="BK67" s="343"/>
      <c r="BL67" s="343"/>
      <c r="BM67" s="718"/>
      <c r="BN67" s="343"/>
      <c r="BO67" s="343"/>
      <c r="BP67" s="343"/>
      <c r="BQ67" s="718"/>
      <c r="BR67" s="343"/>
      <c r="BS67" s="343"/>
      <c r="BT67" s="343"/>
      <c r="BU67" s="718"/>
      <c r="BV67" s="343"/>
      <c r="BW67" s="343"/>
      <c r="BX67" s="343"/>
      <c r="BY67" s="718"/>
      <c r="BZ67" s="343"/>
      <c r="CA67" s="343"/>
      <c r="CB67" s="343"/>
      <c r="CC67" s="718"/>
      <c r="CD67" s="1142"/>
      <c r="CE67" s="343"/>
      <c r="CF67" s="343"/>
      <c r="CG67" s="718"/>
      <c r="CH67" s="1142"/>
      <c r="CI67" s="343"/>
      <c r="CJ67" s="343"/>
      <c r="CK67" s="718"/>
      <c r="CL67" s="1642"/>
      <c r="CM67" s="1642"/>
      <c r="CN67" s="1642"/>
      <c r="CO67" s="1643"/>
      <c r="CP67" s="1642"/>
      <c r="CQ67" s="1642"/>
      <c r="CR67" s="1642"/>
      <c r="CS67" s="718"/>
      <c r="CT67" s="343"/>
      <c r="CU67" s="1642"/>
      <c r="CV67" s="1642"/>
      <c r="CW67" s="718"/>
      <c r="CX67" s="343"/>
      <c r="CY67" s="343"/>
      <c r="CZ67" s="343"/>
      <c r="DA67" s="718"/>
      <c r="DB67" s="730"/>
      <c r="DC67" s="535"/>
      <c r="DD67" s="327"/>
      <c r="DE67" s="327"/>
      <c r="DF67" s="327"/>
      <c r="DG67" s="327"/>
      <c r="DH67" s="327"/>
      <c r="DI67" s="327"/>
      <c r="DJ67" s="327"/>
      <c r="DK67" s="327"/>
      <c r="DL67" s="327"/>
      <c r="DM67" s="326"/>
      <c r="DN67" s="104"/>
      <c r="DO67" s="104"/>
      <c r="DP67" s="104"/>
      <c r="DQ67" s="104"/>
      <c r="DR67" s="104"/>
      <c r="DS67" s="104"/>
      <c r="DT67" s="104"/>
      <c r="DU67" s="1333"/>
      <c r="DV67" s="343"/>
      <c r="DW67" s="343"/>
      <c r="DX67" s="343"/>
      <c r="DY67" s="343"/>
      <c r="DZ67" s="343"/>
      <c r="EA67" s="343"/>
      <c r="EB67" s="343"/>
      <c r="EC67" s="343"/>
      <c r="ED67" s="343"/>
      <c r="EE67" s="327"/>
      <c r="EF67" s="1124"/>
      <c r="EG67" s="343"/>
      <c r="EH67" s="343"/>
      <c r="EI67" s="343"/>
      <c r="EJ67" s="343"/>
      <c r="EK67" s="171"/>
      <c r="EL67" s="171"/>
      <c r="EM67" s="171"/>
      <c r="EN67" s="171"/>
      <c r="EO67" s="171"/>
      <c r="EP67" s="171"/>
      <c r="EQ67" s="171"/>
      <c r="ER67" s="171"/>
      <c r="ES67" s="171"/>
      <c r="ET67" s="171"/>
      <c r="EU67" s="171"/>
      <c r="EV67" s="413"/>
      <c r="EW67"/>
      <c r="EX67"/>
      <c r="EY67"/>
      <c r="EZ67"/>
      <c r="FA67"/>
      <c r="FB67"/>
      <c r="FC67" s="4"/>
      <c r="FD67" s="4"/>
      <c r="FE67" s="4"/>
      <c r="FF67" s="4"/>
      <c r="FG67"/>
      <c r="FH67"/>
      <c r="FI67" s="1516"/>
      <c r="FJ67" s="1516"/>
      <c r="FK67" s="1516"/>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c r="IW67"/>
      <c r="IX67"/>
      <c r="IY67"/>
      <c r="IZ67"/>
    </row>
    <row r="68" spans="1:260" s="4" customFormat="1" x14ac:dyDescent="0.2">
      <c r="A68" s="4" t="s">
        <v>105</v>
      </c>
      <c r="E68" s="470"/>
      <c r="I68" s="470"/>
      <c r="M68" s="470"/>
      <c r="Q68" s="470"/>
      <c r="U68" s="470"/>
      <c r="Y68" s="470"/>
      <c r="AC68" s="470"/>
      <c r="AG68" s="470"/>
      <c r="AK68" s="470"/>
      <c r="AO68" s="470"/>
      <c r="AS68" s="470"/>
      <c r="AW68" s="470"/>
      <c r="BA68" s="470"/>
      <c r="BE68" s="470"/>
      <c r="BI68" s="470"/>
      <c r="BM68" s="470"/>
      <c r="BQ68" s="470"/>
      <c r="BU68" s="470"/>
      <c r="BY68" s="470"/>
      <c r="CC68" s="470"/>
      <c r="CD68" s="413"/>
      <c r="CE68" s="3"/>
      <c r="CF68" s="3"/>
      <c r="CG68" s="470"/>
      <c r="CH68" s="413"/>
      <c r="CI68" s="3"/>
      <c r="CJ68" s="7"/>
      <c r="CK68" s="470"/>
      <c r="CL68" s="1522"/>
      <c r="CM68" s="1474"/>
      <c r="CN68" s="1435"/>
      <c r="CO68" s="503"/>
      <c r="CP68" s="1435"/>
      <c r="CQ68" s="1435"/>
      <c r="CR68" s="1435"/>
      <c r="CS68" s="484"/>
      <c r="CT68" s="7"/>
      <c r="CU68" s="1435"/>
      <c r="CV68" s="1435"/>
      <c r="CW68" s="484"/>
      <c r="CX68" s="1671"/>
      <c r="CY68" s="3"/>
      <c r="CZ68" s="3"/>
      <c r="DA68" s="470"/>
      <c r="DB68" s="671"/>
      <c r="DC68" s="484"/>
      <c r="DW68" s="11">
        <f>'Revenue Model'!EI380-'Revenue Model'!AV265</f>
        <v>80</v>
      </c>
      <c r="DX68" s="11">
        <f>'Revenue Model'!EJ380-'Revenue Model'!AZ265</f>
        <v>103</v>
      </c>
      <c r="DY68" s="11">
        <f>'Revenue Model'!EK380-'Revenue Model'!BA265</f>
        <v>231</v>
      </c>
      <c r="DZ68" s="11">
        <f>'Revenue Model'!EL380-'Revenue Model'!BB265</f>
        <v>142</v>
      </c>
      <c r="EA68" s="11">
        <f>'Revenue Model'!EM380-'Revenue Model'!BC265</f>
        <v>2628</v>
      </c>
      <c r="EB68" s="11">
        <f>'Revenue Model'!EN380</f>
        <v>83</v>
      </c>
      <c r="EC68" s="11">
        <f>'Revenue Model'!EO380</f>
        <v>147</v>
      </c>
      <c r="ED68" s="11"/>
      <c r="EE68" s="11"/>
      <c r="EF68" s="687">
        <f>'Revenue Model'!ES380</f>
        <v>71</v>
      </c>
      <c r="EG68" s="373"/>
      <c r="EH68" s="373">
        <f>'Revenue Model'!EU380+2389</f>
        <v>-211</v>
      </c>
      <c r="EI68" s="373">
        <f>'Revenue Model'!EV380</f>
        <v>-50</v>
      </c>
      <c r="EJ68" s="373">
        <f>'Revenue Model'!EW380</f>
        <v>-98</v>
      </c>
      <c r="EK68" s="242">
        <f>'Revenue Model'!EX380</f>
        <v>-56</v>
      </c>
      <c r="EL68" s="242">
        <f>'Revenue Model'!EY380</f>
        <v>-67</v>
      </c>
      <c r="EM68" s="1686">
        <f>'Revenue Model'!EZ380</f>
        <v>-261</v>
      </c>
      <c r="EN68" s="373">
        <f>'Revenue Model'!FA380</f>
        <v>2</v>
      </c>
      <c r="EO68" s="373">
        <f>'Revenue Model'!FB380</f>
        <v>3</v>
      </c>
      <c r="EP68" s="373">
        <f>'Revenue Model'!FC380</f>
        <v>6</v>
      </c>
      <c r="EQ68" s="373">
        <f>'Revenue Model'!FD380</f>
        <v>6</v>
      </c>
      <c r="ER68" s="373">
        <f>'Revenue Model'!FE380</f>
        <v>6</v>
      </c>
      <c r="ES68" s="373">
        <f>'Revenue Model'!FF380</f>
        <v>6</v>
      </c>
      <c r="ET68" s="373">
        <f>'Revenue Model'!FG380</f>
        <v>6</v>
      </c>
      <c r="EU68" s="373">
        <f>'Revenue Model'!FH380</f>
        <v>6</v>
      </c>
      <c r="EV68" s="413"/>
      <c r="EW68"/>
      <c r="EX68"/>
      <c r="EY68"/>
      <c r="EZ68"/>
      <c r="FA68"/>
      <c r="FB68"/>
      <c r="FG68" s="242"/>
      <c r="FH68" s="242"/>
      <c r="FI68" s="242"/>
      <c r="FJ68" s="242"/>
      <c r="FK68" s="242"/>
      <c r="FL68"/>
      <c r="FM68"/>
      <c r="FN68"/>
      <c r="FO68"/>
      <c r="FP68"/>
      <c r="FQ68"/>
      <c r="FR68"/>
      <c r="FS68"/>
      <c r="FT68"/>
      <c r="FU68"/>
      <c r="FV68"/>
      <c r="FW68"/>
      <c r="FX68"/>
      <c r="FY68"/>
      <c r="FZ68"/>
      <c r="GA68"/>
      <c r="GB68"/>
      <c r="GC68"/>
      <c r="GD68"/>
      <c r="GE68"/>
      <c r="GF68"/>
      <c r="GG68"/>
      <c r="GH68"/>
      <c r="GI68"/>
      <c r="GJ68"/>
      <c r="GK68"/>
      <c r="GL68"/>
      <c r="GM68"/>
      <c r="GN68"/>
      <c r="GO68"/>
      <c r="GP68"/>
      <c r="GQ68"/>
      <c r="GR68"/>
      <c r="GS68"/>
      <c r="GT68"/>
      <c r="GU68"/>
      <c r="GV68"/>
      <c r="GW68"/>
      <c r="GX68"/>
      <c r="GY68"/>
      <c r="GZ68"/>
      <c r="HA68"/>
      <c r="HB68"/>
      <c r="HC68"/>
      <c r="HD68"/>
      <c r="HE68"/>
      <c r="HF68"/>
      <c r="HG68"/>
      <c r="HH68"/>
      <c r="HI68"/>
      <c r="HJ68"/>
      <c r="HK68"/>
      <c r="HL68"/>
      <c r="HM68"/>
      <c r="HN68"/>
      <c r="HO68"/>
      <c r="HP68"/>
      <c r="HQ68"/>
      <c r="HR68"/>
      <c r="HS68"/>
      <c r="HT68"/>
      <c r="HU68"/>
      <c r="HV68"/>
      <c r="HW68"/>
      <c r="HX68"/>
      <c r="HY68"/>
      <c r="HZ68"/>
      <c r="IA68"/>
      <c r="IB68"/>
      <c r="IC68"/>
      <c r="ID68"/>
      <c r="IE68"/>
      <c r="IF68"/>
      <c r="IG68"/>
      <c r="IH68"/>
      <c r="II68"/>
      <c r="IJ68"/>
      <c r="IK68"/>
      <c r="IL68"/>
      <c r="IM68"/>
      <c r="IN68"/>
      <c r="IO68"/>
      <c r="IP68"/>
      <c r="IQ68"/>
      <c r="IR68"/>
      <c r="IS68"/>
      <c r="IT68"/>
      <c r="IU68"/>
      <c r="IV68"/>
      <c r="IW68"/>
      <c r="IX68"/>
      <c r="IY68"/>
      <c r="IZ68"/>
    </row>
    <row r="69" spans="1:260" s="4" customFormat="1" x14ac:dyDescent="0.2">
      <c r="A69" s="4" t="s">
        <v>490</v>
      </c>
      <c r="E69" s="470"/>
      <c r="I69" s="470"/>
      <c r="M69" s="470"/>
      <c r="Q69" s="470"/>
      <c r="U69" s="470"/>
      <c r="Y69" s="470"/>
      <c r="AC69" s="470"/>
      <c r="AG69" s="470"/>
      <c r="AK69" s="470"/>
      <c r="AO69" s="470"/>
      <c r="AS69" s="470"/>
      <c r="AW69" s="470"/>
      <c r="BA69" s="470"/>
      <c r="BE69" s="470"/>
      <c r="BI69" s="470"/>
      <c r="BM69" s="470"/>
      <c r="BQ69" s="470"/>
      <c r="BU69" s="470"/>
      <c r="BY69" s="470"/>
      <c r="CC69" s="470"/>
      <c r="CD69" s="413"/>
      <c r="CE69" s="3"/>
      <c r="CF69" s="3"/>
      <c r="CG69" s="470"/>
      <c r="CH69" s="413"/>
      <c r="CI69" s="3"/>
      <c r="CJ69" s="7"/>
      <c r="CK69" s="470"/>
      <c r="CL69" s="1522"/>
      <c r="CM69" s="1474"/>
      <c r="CN69" s="1435"/>
      <c r="CO69" s="1587"/>
      <c r="CP69" s="1435"/>
      <c r="CQ69" s="1435"/>
      <c r="CR69" s="1435"/>
      <c r="CS69" s="484"/>
      <c r="CT69" s="7"/>
      <c r="CU69" s="1435"/>
      <c r="CV69" s="1435"/>
      <c r="CW69" s="484"/>
      <c r="CX69" s="1671"/>
      <c r="CY69" s="3"/>
      <c r="CZ69" s="3"/>
      <c r="DA69" s="470"/>
      <c r="DB69" s="671"/>
      <c r="DC69" s="2460"/>
      <c r="DD69" s="2461"/>
      <c r="DE69" s="2461"/>
      <c r="DF69" s="2461"/>
      <c r="DG69" s="2461"/>
      <c r="DH69" s="2461"/>
      <c r="DI69" s="2461"/>
      <c r="DJ69" s="2461"/>
      <c r="DK69" s="2461"/>
      <c r="DL69" s="2461"/>
      <c r="DM69" s="2461"/>
      <c r="DN69" s="2461"/>
      <c r="DO69" s="2461"/>
      <c r="DP69" s="2461"/>
      <c r="DQ69" s="2461"/>
      <c r="DR69" s="2461"/>
      <c r="DS69" s="2461"/>
      <c r="DT69" s="2461"/>
      <c r="DU69" s="2461"/>
      <c r="DV69" s="2461"/>
      <c r="DW69" s="2461">
        <f t="shared" ref="DW69:EC69" si="146">DW70/DW68</f>
        <v>2.2749999999999999</v>
      </c>
      <c r="DX69" s="2461">
        <f t="shared" si="146"/>
        <v>2.3689320388349513</v>
      </c>
      <c r="DY69" s="2461">
        <f t="shared" si="146"/>
        <v>1.0952380952380953</v>
      </c>
      <c r="DZ69" s="2461">
        <f t="shared" si="146"/>
        <v>1.880281690140845</v>
      </c>
      <c r="EA69" s="2461">
        <f t="shared" si="146"/>
        <v>0.14726027397260275</v>
      </c>
      <c r="EB69" s="2461">
        <f t="shared" si="146"/>
        <v>2.7590361445783134</v>
      </c>
      <c r="EC69" s="2461">
        <f t="shared" si="146"/>
        <v>1.3129251700680271</v>
      </c>
      <c r="ED69" s="2462"/>
      <c r="EE69" s="2462"/>
      <c r="EF69" s="2463">
        <f>EC69*0.9</f>
        <v>1.1816326530612244</v>
      </c>
      <c r="EG69" s="2462"/>
      <c r="EH69" s="2462">
        <f>EF69*0.9</f>
        <v>1.063469387755102</v>
      </c>
      <c r="EI69" s="2464">
        <f t="shared" ref="EI69:EJ69" si="147">+IFERROR(EI70/EI68,"NA")</f>
        <v>-0.06</v>
      </c>
      <c r="EJ69" s="2464">
        <f t="shared" si="147"/>
        <v>-5.1020408163265307E-2</v>
      </c>
      <c r="EK69" s="2465">
        <f>+IFERROR(EK70/EK68,"NA")</f>
        <v>-5.3571428571428568E-2</v>
      </c>
      <c r="EL69" s="2465">
        <f>+IFERROR(EL70/EL68,"NA")</f>
        <v>0</v>
      </c>
      <c r="EM69" s="2466">
        <f t="shared" ref="EM69:EP69" si="148">EL69*1.02</f>
        <v>0</v>
      </c>
      <c r="EN69" s="2467">
        <f t="shared" si="148"/>
        <v>0</v>
      </c>
      <c r="EO69" s="2467">
        <f t="shared" si="148"/>
        <v>0</v>
      </c>
      <c r="EP69" s="2467">
        <f t="shared" si="148"/>
        <v>0</v>
      </c>
      <c r="EQ69" s="2467">
        <f>EP69*1.02</f>
        <v>0</v>
      </c>
      <c r="ER69" s="2467">
        <f>EQ69*1.02</f>
        <v>0</v>
      </c>
      <c r="ES69" s="2467">
        <f>ER69*1.02</f>
        <v>0</v>
      </c>
      <c r="ET69" s="2467">
        <f>ES69*1.02</f>
        <v>0</v>
      </c>
      <c r="EU69" s="2467">
        <f>ET69*1.02</f>
        <v>0</v>
      </c>
      <c r="EV69" s="2468"/>
      <c r="EW69"/>
      <c r="EX69"/>
      <c r="EY69"/>
      <c r="EZ69"/>
      <c r="FA69"/>
      <c r="FB69"/>
      <c r="FG69"/>
      <c r="FH69"/>
      <c r="FI69" s="2658"/>
      <c r="FJ69" s="2658"/>
      <c r="FK69" s="2658"/>
      <c r="FL69"/>
      <c r="FM69"/>
      <c r="FN69"/>
      <c r="FO69"/>
      <c r="FP69"/>
      <c r="FQ69"/>
      <c r="FR69"/>
      <c r="FS69"/>
      <c r="FT69"/>
      <c r="FU69"/>
      <c r="FV69"/>
      <c r="FW69"/>
      <c r="FX69"/>
      <c r="FY69"/>
      <c r="FZ69"/>
      <c r="GA69"/>
      <c r="GB69"/>
      <c r="GC69"/>
      <c r="GD69"/>
      <c r="GE69"/>
      <c r="GF69"/>
      <c r="GG69"/>
      <c r="GH69"/>
      <c r="GI69"/>
      <c r="GJ69"/>
      <c r="GK69"/>
      <c r="GL69"/>
      <c r="GM69"/>
      <c r="GN69"/>
      <c r="GO69"/>
      <c r="GP69"/>
      <c r="GQ69"/>
      <c r="GR69"/>
      <c r="GS69"/>
      <c r="GT69"/>
      <c r="GU69"/>
      <c r="GV69"/>
      <c r="GW69"/>
      <c r="GX69"/>
      <c r="GY69"/>
      <c r="GZ69"/>
      <c r="HA69"/>
      <c r="HB69"/>
      <c r="HC69"/>
      <c r="HD69"/>
      <c r="HE69"/>
      <c r="HF69"/>
      <c r="HG69"/>
      <c r="HH69"/>
      <c r="HI69"/>
      <c r="HJ69"/>
      <c r="HK69"/>
      <c r="HL69"/>
      <c r="HM69"/>
      <c r="HN69"/>
      <c r="HO69"/>
      <c r="HP69"/>
      <c r="HQ69"/>
      <c r="HR69"/>
      <c r="HS69"/>
      <c r="HT69"/>
      <c r="HU69"/>
      <c r="HV69"/>
      <c r="HW69"/>
      <c r="HX69"/>
      <c r="HY69"/>
      <c r="HZ69"/>
      <c r="IA69"/>
      <c r="IB69"/>
      <c r="IC69"/>
      <c r="ID69"/>
      <c r="IE69"/>
      <c r="IF69"/>
      <c r="IG69"/>
      <c r="IH69"/>
      <c r="II69"/>
      <c r="IJ69"/>
      <c r="IK69"/>
      <c r="IL69"/>
      <c r="IM69"/>
      <c r="IN69"/>
      <c r="IO69"/>
      <c r="IP69"/>
      <c r="IQ69"/>
      <c r="IR69"/>
      <c r="IS69"/>
      <c r="IT69"/>
      <c r="IU69"/>
      <c r="IV69"/>
      <c r="IW69"/>
      <c r="IX69"/>
      <c r="IY69"/>
      <c r="IZ69"/>
    </row>
    <row r="70" spans="1:260" s="4" customFormat="1" x14ac:dyDescent="0.2">
      <c r="A70" s="4" t="s">
        <v>491</v>
      </c>
      <c r="E70" s="470"/>
      <c r="I70" s="470"/>
      <c r="M70" s="470"/>
      <c r="Q70" s="470"/>
      <c r="U70" s="470"/>
      <c r="Y70" s="470"/>
      <c r="AC70" s="470"/>
      <c r="AG70" s="470"/>
      <c r="AK70" s="470"/>
      <c r="AO70" s="470"/>
      <c r="AS70" s="470"/>
      <c r="AW70" s="470"/>
      <c r="BA70" s="470"/>
      <c r="BE70" s="470"/>
      <c r="BI70" s="470"/>
      <c r="BM70" s="470"/>
      <c r="BQ70" s="470"/>
      <c r="BU70" s="470"/>
      <c r="BY70" s="470"/>
      <c r="CC70" s="470"/>
      <c r="CD70" s="413"/>
      <c r="CE70" s="3"/>
      <c r="CF70" s="3"/>
      <c r="CG70" s="470"/>
      <c r="CH70" s="413"/>
      <c r="CI70" s="3"/>
      <c r="CJ70" s="7"/>
      <c r="CK70" s="470"/>
      <c r="CL70" s="1522"/>
      <c r="CM70" s="1474"/>
      <c r="CN70" s="1435"/>
      <c r="CO70" s="1587"/>
      <c r="CP70" s="1435"/>
      <c r="CQ70" s="1435"/>
      <c r="CR70" s="1435"/>
      <c r="CS70" s="484"/>
      <c r="CT70" s="7"/>
      <c r="CU70" s="1435"/>
      <c r="CV70" s="1435"/>
      <c r="CW70" s="484"/>
      <c r="CX70" s="1671"/>
      <c r="CY70" s="3"/>
      <c r="CZ70" s="3"/>
      <c r="DA70" s="470"/>
      <c r="DB70" s="671"/>
      <c r="DC70" s="484"/>
      <c r="DD70" s="1337"/>
      <c r="DE70" s="1337"/>
      <c r="DF70" s="1337"/>
      <c r="DG70" s="1337"/>
      <c r="DH70" s="1337"/>
      <c r="DI70" s="1337"/>
      <c r="DJ70" s="1337"/>
      <c r="DK70" s="1337"/>
      <c r="DL70" s="1337"/>
      <c r="DM70" s="1337"/>
      <c r="DN70" s="1337"/>
      <c r="DO70" s="1337"/>
      <c r="DP70" s="1337"/>
      <c r="DQ70" s="1337"/>
      <c r="DR70" s="1337"/>
      <c r="DS70" s="1337"/>
      <c r="DT70" s="1337"/>
      <c r="DU70" s="1337"/>
      <c r="DV70" s="1337"/>
      <c r="DW70" s="1337">
        <v>182</v>
      </c>
      <c r="DX70" s="1337">
        <v>244</v>
      </c>
      <c r="DY70" s="1337">
        <v>253</v>
      </c>
      <c r="DZ70" s="1337">
        <v>267</v>
      </c>
      <c r="EA70" s="1337">
        <v>387</v>
      </c>
      <c r="EB70" s="1337">
        <v>229</v>
      </c>
      <c r="EC70" s="1337">
        <v>193</v>
      </c>
      <c r="ED70" s="231"/>
      <c r="EE70" s="231"/>
      <c r="EF70" s="1195">
        <f>EF68*EF69</f>
        <v>83.895918367346937</v>
      </c>
      <c r="EG70" s="1196"/>
      <c r="EH70" s="1196">
        <f>EH68*EH69</f>
        <v>-224.39204081632653</v>
      </c>
      <c r="EI70" s="2243">
        <v>3</v>
      </c>
      <c r="EJ70" s="2243">
        <v>5</v>
      </c>
      <c r="EK70" s="2244">
        <v>3</v>
      </c>
      <c r="EL70" s="2814">
        <v>0</v>
      </c>
      <c r="EM70" s="1675">
        <f t="shared" ref="EM70:EP70" si="149">MAX(EM68*EM69,0)</f>
        <v>0</v>
      </c>
      <c r="EN70" s="1196">
        <f t="shared" si="149"/>
        <v>0</v>
      </c>
      <c r="EO70" s="1196">
        <f t="shared" si="149"/>
        <v>0</v>
      </c>
      <c r="EP70" s="1196">
        <f t="shared" si="149"/>
        <v>0</v>
      </c>
      <c r="EQ70" s="1196">
        <f>MAX(EQ68*EQ69,0)</f>
        <v>0</v>
      </c>
      <c r="ER70" s="1196">
        <f>MAX(ER68*ER69,0)</f>
        <v>0</v>
      </c>
      <c r="ES70" s="1196">
        <f>MAX(ES68*ES69,0)</f>
        <v>0</v>
      </c>
      <c r="ET70" s="1196">
        <f>MAX(ET68*ET69,0)</f>
        <v>0</v>
      </c>
      <c r="EU70" s="1196">
        <f>MAX(EU68*EU69,0)</f>
        <v>0</v>
      </c>
      <c r="EV70" s="413"/>
      <c r="EW70"/>
      <c r="EX70"/>
      <c r="EY70"/>
      <c r="EZ70"/>
      <c r="FA70"/>
      <c r="FB70"/>
      <c r="FG70" s="880"/>
      <c r="FH70" s="880"/>
      <c r="FI70" s="880"/>
      <c r="FJ70" s="880"/>
      <c r="FK70" s="880"/>
      <c r="FL70"/>
      <c r="FM70"/>
      <c r="FN70"/>
      <c r="FO70"/>
      <c r="FP70"/>
      <c r="FQ70"/>
      <c r="FR70"/>
      <c r="FS70"/>
      <c r="FT70"/>
      <c r="FU70"/>
      <c r="FV70"/>
      <c r="FW70"/>
      <c r="FX70"/>
      <c r="FY70"/>
      <c r="FZ70"/>
      <c r="GA70"/>
      <c r="GB70"/>
      <c r="GC70"/>
      <c r="GD70"/>
      <c r="GE70"/>
      <c r="GF70"/>
      <c r="GG70"/>
      <c r="GH70"/>
      <c r="GI70"/>
      <c r="GJ70"/>
      <c r="GK70"/>
      <c r="GL70"/>
      <c r="GM70"/>
      <c r="GN70"/>
      <c r="GO70"/>
      <c r="GP70"/>
      <c r="GQ70"/>
      <c r="GR70"/>
      <c r="GS70"/>
      <c r="GT70"/>
      <c r="GU70"/>
      <c r="GV70"/>
      <c r="GW70"/>
      <c r="GX70"/>
      <c r="GY70"/>
      <c r="GZ70"/>
      <c r="HA70"/>
      <c r="HB70"/>
      <c r="HC70"/>
      <c r="HD70"/>
      <c r="HE70"/>
      <c r="HF70"/>
      <c r="HG70"/>
      <c r="HH70"/>
      <c r="HI70"/>
      <c r="HJ70"/>
      <c r="HK70"/>
      <c r="HL70"/>
      <c r="HM70"/>
      <c r="HN70"/>
      <c r="HO70"/>
      <c r="HP70"/>
      <c r="HQ70"/>
      <c r="HR70"/>
      <c r="HS70"/>
      <c r="HT70"/>
      <c r="HU70"/>
      <c r="HV70"/>
      <c r="HW70"/>
      <c r="HX70"/>
      <c r="HY70"/>
      <c r="HZ70"/>
      <c r="IA70"/>
      <c r="IB70"/>
      <c r="IC70"/>
      <c r="ID70"/>
      <c r="IE70"/>
      <c r="IF70"/>
      <c r="IG70"/>
      <c r="IH70"/>
      <c r="II70"/>
      <c r="IJ70"/>
      <c r="IK70"/>
      <c r="IL70"/>
      <c r="IM70"/>
      <c r="IN70"/>
      <c r="IO70"/>
      <c r="IP70"/>
      <c r="IQ70"/>
      <c r="IR70"/>
      <c r="IS70"/>
      <c r="IT70"/>
      <c r="IU70"/>
      <c r="IV70"/>
      <c r="IW70"/>
      <c r="IX70"/>
      <c r="IY70"/>
      <c r="IZ70"/>
    </row>
    <row r="71" spans="1:260" s="4" customFormat="1" x14ac:dyDescent="0.2">
      <c r="E71" s="470"/>
      <c r="I71" s="470"/>
      <c r="M71" s="470"/>
      <c r="Q71" s="470"/>
      <c r="U71" s="470"/>
      <c r="Y71" s="470"/>
      <c r="AC71" s="470"/>
      <c r="AG71" s="470"/>
      <c r="AK71" s="470"/>
      <c r="AO71" s="470"/>
      <c r="AS71" s="470"/>
      <c r="AW71" s="470"/>
      <c r="BA71" s="470"/>
      <c r="BE71" s="470"/>
      <c r="BI71" s="470"/>
      <c r="BM71" s="470"/>
      <c r="BQ71" s="470"/>
      <c r="BU71" s="470"/>
      <c r="BY71" s="470"/>
      <c r="CC71" s="470"/>
      <c r="CD71" s="413"/>
      <c r="CE71" s="3"/>
      <c r="CF71" s="3"/>
      <c r="CG71" s="470"/>
      <c r="CH71" s="413"/>
      <c r="CI71" s="3"/>
      <c r="CJ71" s="7"/>
      <c r="CK71" s="470"/>
      <c r="CL71" s="1522"/>
      <c r="CM71" s="1474"/>
      <c r="CN71" s="1435"/>
      <c r="CO71" s="1587"/>
      <c r="CP71" s="1435"/>
      <c r="CQ71" s="1435"/>
      <c r="CR71" s="1435"/>
      <c r="CS71" s="484"/>
      <c r="CT71" s="7"/>
      <c r="CU71" s="1435"/>
      <c r="CV71" s="1435"/>
      <c r="CW71" s="484"/>
      <c r="CX71" s="1671"/>
      <c r="CY71" s="3"/>
      <c r="CZ71" s="3"/>
      <c r="DA71" s="470"/>
      <c r="DB71" s="671"/>
      <c r="DC71" s="484"/>
      <c r="EF71" s="413"/>
      <c r="EG71" s="3"/>
      <c r="EH71" s="3"/>
      <c r="EI71" s="3"/>
      <c r="EJ71" s="3"/>
      <c r="EK71" s="7"/>
      <c r="EL71" s="7"/>
      <c r="EM71" s="1671"/>
      <c r="EN71" s="3"/>
      <c r="EO71" s="3"/>
      <c r="EP71" s="3"/>
      <c r="EQ71" s="3"/>
      <c r="ER71" s="3"/>
      <c r="ES71" s="3"/>
      <c r="ET71" s="3"/>
      <c r="EU71" s="3"/>
      <c r="EV71" s="413"/>
      <c r="EW71"/>
      <c r="EX71"/>
      <c r="EY71"/>
      <c r="EZ71"/>
      <c r="FA71"/>
      <c r="FB71"/>
      <c r="FG71" s="7"/>
      <c r="FH71" s="7"/>
      <c r="FI71" s="7"/>
      <c r="FJ71" s="7"/>
      <c r="FK71" s="7"/>
      <c r="FL71"/>
      <c r="FM71"/>
      <c r="FN71"/>
      <c r="FO71"/>
      <c r="FP71"/>
      <c r="FQ71"/>
      <c r="FR71"/>
      <c r="FS71"/>
      <c r="FT71"/>
      <c r="FU71"/>
      <c r="FV71"/>
      <c r="FW71"/>
      <c r="FX71"/>
      <c r="FY71"/>
      <c r="FZ71"/>
      <c r="GA71"/>
      <c r="GB71"/>
      <c r="GC71"/>
      <c r="GD71"/>
      <c r="GE71"/>
      <c r="GF71"/>
      <c r="GG71"/>
      <c r="GH71"/>
      <c r="GI71"/>
      <c r="GJ71"/>
      <c r="GK71"/>
      <c r="GL71"/>
      <c r="GM71"/>
      <c r="GN71"/>
      <c r="GO71"/>
      <c r="GP71"/>
      <c r="GQ71"/>
      <c r="GR71"/>
      <c r="GS71"/>
      <c r="GT71"/>
      <c r="GU71"/>
      <c r="GV71"/>
      <c r="GW71"/>
      <c r="GX71"/>
      <c r="GY71"/>
      <c r="GZ71"/>
      <c r="HA71"/>
      <c r="HB71"/>
      <c r="HC71"/>
      <c r="HD71"/>
      <c r="HE71"/>
      <c r="HF71"/>
      <c r="HG71"/>
      <c r="HH71"/>
      <c r="HI71"/>
      <c r="HJ71"/>
      <c r="HK71"/>
      <c r="HL71"/>
      <c r="HM71"/>
      <c r="HN71"/>
      <c r="HO71"/>
      <c r="HP71"/>
      <c r="HQ71"/>
      <c r="HR71"/>
      <c r="HS71"/>
      <c r="HT71"/>
      <c r="HU71"/>
      <c r="HV71"/>
      <c r="HW71"/>
      <c r="HX71"/>
      <c r="HY71"/>
      <c r="HZ71"/>
      <c r="IA71"/>
      <c r="IB71"/>
      <c r="IC71"/>
      <c r="ID71"/>
      <c r="IE71"/>
      <c r="IF71"/>
      <c r="IG71"/>
      <c r="IH71"/>
      <c r="II71"/>
      <c r="IJ71"/>
      <c r="IK71"/>
      <c r="IL71"/>
      <c r="IM71"/>
      <c r="IN71"/>
      <c r="IO71"/>
      <c r="IP71"/>
      <c r="IQ71"/>
      <c r="IR71"/>
      <c r="IS71"/>
      <c r="IT71"/>
      <c r="IU71"/>
      <c r="IV71"/>
      <c r="IW71"/>
      <c r="IX71"/>
      <c r="IY71"/>
      <c r="IZ71"/>
    </row>
    <row r="72" spans="1:260" s="4" customFormat="1" x14ac:dyDescent="0.2">
      <c r="A72" s="4" t="s">
        <v>493</v>
      </c>
      <c r="E72" s="470"/>
      <c r="I72" s="470"/>
      <c r="M72" s="470"/>
      <c r="Q72" s="470"/>
      <c r="U72" s="470"/>
      <c r="Y72" s="470"/>
      <c r="AC72" s="470"/>
      <c r="AG72" s="470"/>
      <c r="AK72" s="470"/>
      <c r="AO72" s="470"/>
      <c r="AS72" s="470"/>
      <c r="AW72" s="470"/>
      <c r="BA72" s="470"/>
      <c r="BE72" s="470"/>
      <c r="BI72" s="470"/>
      <c r="BM72" s="470"/>
      <c r="BQ72" s="470"/>
      <c r="BU72" s="470"/>
      <c r="BY72" s="470"/>
      <c r="CC72" s="470"/>
      <c r="CD72" s="413"/>
      <c r="CE72" s="3"/>
      <c r="CF72" s="3"/>
      <c r="CG72" s="470"/>
      <c r="CH72" s="413"/>
      <c r="CI72" s="3"/>
      <c r="CJ72" s="7"/>
      <c r="CK72" s="470"/>
      <c r="CL72" s="1522"/>
      <c r="CM72" s="1474"/>
      <c r="CN72" s="1435"/>
      <c r="CO72" s="1587"/>
      <c r="CP72" s="1435"/>
      <c r="CQ72" s="1435"/>
      <c r="CR72" s="1435"/>
      <c r="CS72" s="484"/>
      <c r="CT72" s="7"/>
      <c r="CU72" s="1435"/>
      <c r="CV72" s="1435"/>
      <c r="CW72" s="484"/>
      <c r="CX72" s="1671"/>
      <c r="CY72" s="3"/>
      <c r="CZ72" s="3"/>
      <c r="DA72" s="470"/>
      <c r="DB72" s="671"/>
      <c r="DC72" s="484"/>
      <c r="DD72" s="63"/>
      <c r="DE72" s="63"/>
      <c r="DF72" s="63"/>
      <c r="DG72" s="63"/>
      <c r="DH72" s="63"/>
      <c r="DI72" s="63"/>
      <c r="DJ72" s="63"/>
      <c r="DK72" s="63"/>
      <c r="DL72" s="63"/>
      <c r="DM72" s="63"/>
      <c r="DN72" s="63"/>
      <c r="DO72" s="63"/>
      <c r="DP72" s="63"/>
      <c r="DQ72" s="63"/>
      <c r="DR72" s="63"/>
      <c r="DS72" s="63"/>
      <c r="DT72" s="63"/>
      <c r="DU72" s="63"/>
      <c r="DV72" s="63"/>
      <c r="DW72" s="63">
        <f>'Revenue Model'!EI371-'Revenue Model'!EI380</f>
        <v>758</v>
      </c>
      <c r="DX72" s="63">
        <f>'Revenue Model'!EJ371-'Revenue Model'!EJ380</f>
        <v>838</v>
      </c>
      <c r="DY72" s="63">
        <f>'Revenue Model'!EK371-'Revenue Model'!EK380</f>
        <v>941</v>
      </c>
      <c r="DZ72" s="63">
        <f>'Revenue Model'!EL371-'Revenue Model'!EL380</f>
        <v>1172</v>
      </c>
      <c r="EA72" s="63">
        <f>'Revenue Model'!EM371-'Revenue Model'!EM380</f>
        <v>1314</v>
      </c>
      <c r="EB72" s="63">
        <f>'Revenue Model'!EN371-'Revenue Model'!EN380</f>
        <v>3942</v>
      </c>
      <c r="EC72" s="63">
        <f>'Revenue Model'!EO371-'Revenue Model'!EO380</f>
        <v>4025</v>
      </c>
      <c r="ED72" s="63"/>
      <c r="EE72" s="63"/>
      <c r="EF72" s="677">
        <f>'Revenue Model'!ES371-'Revenue Model'!ES380</f>
        <v>4308</v>
      </c>
      <c r="EG72" s="1037"/>
      <c r="EH72" s="1037">
        <f>'Revenue Model'!EU371-'Revenue Model'!EU380</f>
        <v>4379</v>
      </c>
      <c r="EI72" s="1037">
        <f>'Revenue Model'!EV371-'Revenue Model'!EV380</f>
        <v>1779</v>
      </c>
      <c r="EJ72" s="1037">
        <f>'Revenue Model'!EW371-'Revenue Model'!EW380</f>
        <v>1729</v>
      </c>
      <c r="EK72" s="1095">
        <f>'Revenue Model'!EX371-'Revenue Model'!EX380</f>
        <v>1631</v>
      </c>
      <c r="EL72" s="1095">
        <f>'Revenue Model'!EY371-'Revenue Model'!EY380</f>
        <v>1575</v>
      </c>
      <c r="EM72" s="1676">
        <f>'Revenue Model'!EZ371-'Revenue Model'!EZ380</f>
        <v>1508</v>
      </c>
      <c r="EN72" s="1037">
        <f>'Revenue Model'!FA371-'Revenue Model'!FA380</f>
        <v>1247</v>
      </c>
      <c r="EO72" s="1037">
        <f>'Revenue Model'!FB371-'Revenue Model'!FB380</f>
        <v>1249</v>
      </c>
      <c r="EP72" s="1037">
        <f>'Revenue Model'!FC371-'Revenue Model'!FC380</f>
        <v>1252</v>
      </c>
      <c r="EQ72" s="1037">
        <f>'Revenue Model'!FD371-'Revenue Model'!FD380</f>
        <v>1258</v>
      </c>
      <c r="ER72" s="1037">
        <f>'Revenue Model'!FE371-'Revenue Model'!FE380</f>
        <v>1264</v>
      </c>
      <c r="ES72" s="1037">
        <f>'Revenue Model'!FF371-'Revenue Model'!FF380</f>
        <v>1270</v>
      </c>
      <c r="ET72" s="1037">
        <f>'Revenue Model'!FG371-'Revenue Model'!FG380</f>
        <v>1276</v>
      </c>
      <c r="EU72" s="1037">
        <f>'Revenue Model'!FH371-'Revenue Model'!FH380</f>
        <v>1282</v>
      </c>
      <c r="EV72" s="413"/>
      <c r="EW72"/>
      <c r="EX72"/>
      <c r="EY72"/>
      <c r="EZ72"/>
      <c r="FA72"/>
      <c r="FB72"/>
      <c r="FG72" s="1095"/>
      <c r="FH72" s="1095"/>
      <c r="FI72" s="1095"/>
      <c r="FJ72" s="1095"/>
      <c r="FK72" s="1095"/>
      <c r="FL72"/>
      <c r="FM72"/>
      <c r="FN72"/>
      <c r="FO72"/>
      <c r="FP72"/>
      <c r="FQ72"/>
      <c r="FR72"/>
      <c r="FS72"/>
      <c r="FT72"/>
      <c r="FU72"/>
      <c r="FV72"/>
      <c r="FW72"/>
      <c r="FX72"/>
      <c r="FY72"/>
      <c r="FZ72"/>
      <c r="GA72"/>
      <c r="GB72"/>
      <c r="GC72"/>
      <c r="GD72"/>
      <c r="GE72"/>
      <c r="GF72"/>
      <c r="GG72"/>
      <c r="GH72"/>
      <c r="GI72"/>
      <c r="GJ72"/>
      <c r="GK72"/>
      <c r="GL72"/>
      <c r="GM72"/>
      <c r="GN72"/>
      <c r="GO72"/>
      <c r="GP72"/>
      <c r="GQ72"/>
      <c r="GR72"/>
      <c r="GS72"/>
      <c r="GT72"/>
      <c r="GU72"/>
      <c r="GV72"/>
      <c r="GW72"/>
      <c r="GX72"/>
      <c r="GY72"/>
      <c r="GZ72"/>
      <c r="HA72"/>
      <c r="HB72"/>
      <c r="HC72"/>
      <c r="HD72"/>
      <c r="HE72"/>
      <c r="HF72"/>
      <c r="HG72"/>
      <c r="HH72"/>
      <c r="HI72"/>
      <c r="HJ72"/>
      <c r="HK72"/>
      <c r="HL72"/>
      <c r="HM72"/>
      <c r="HN72"/>
      <c r="HO72"/>
      <c r="HP72"/>
      <c r="HQ72"/>
      <c r="HR72"/>
      <c r="HS72"/>
      <c r="HT72"/>
      <c r="HU72"/>
      <c r="HV72"/>
      <c r="HW72"/>
      <c r="HX72"/>
      <c r="HY72"/>
      <c r="HZ72"/>
      <c r="IA72"/>
      <c r="IB72"/>
      <c r="IC72"/>
      <c r="ID72"/>
      <c r="IE72"/>
      <c r="IF72"/>
      <c r="IG72"/>
      <c r="IH72"/>
      <c r="II72"/>
      <c r="IJ72"/>
      <c r="IK72"/>
      <c r="IL72"/>
      <c r="IM72"/>
      <c r="IN72"/>
      <c r="IO72"/>
      <c r="IP72"/>
      <c r="IQ72"/>
      <c r="IR72"/>
      <c r="IS72"/>
      <c r="IT72"/>
      <c r="IU72"/>
      <c r="IV72"/>
      <c r="IW72"/>
      <c r="IX72"/>
      <c r="IY72"/>
      <c r="IZ72"/>
    </row>
    <row r="73" spans="1:260" s="4" customFormat="1" x14ac:dyDescent="0.2">
      <c r="A73" s="4" t="s">
        <v>492</v>
      </c>
      <c r="E73" s="470"/>
      <c r="I73" s="470"/>
      <c r="M73" s="470"/>
      <c r="Q73" s="470"/>
      <c r="U73" s="470"/>
      <c r="Y73" s="470"/>
      <c r="AC73" s="470"/>
      <c r="AG73" s="470"/>
      <c r="AK73" s="470"/>
      <c r="AO73" s="470"/>
      <c r="AS73" s="470"/>
      <c r="AW73" s="470"/>
      <c r="BA73" s="470"/>
      <c r="BE73" s="470"/>
      <c r="BI73" s="470"/>
      <c r="BM73" s="470"/>
      <c r="BQ73" s="470"/>
      <c r="BU73" s="470"/>
      <c r="BY73" s="470"/>
      <c r="CC73" s="470"/>
      <c r="CD73" s="413"/>
      <c r="CE73" s="3"/>
      <c r="CF73" s="3"/>
      <c r="CG73" s="470"/>
      <c r="CH73" s="413"/>
      <c r="CI73" s="3"/>
      <c r="CJ73" s="7"/>
      <c r="CK73" s="470"/>
      <c r="CL73" s="1522"/>
      <c r="CM73" s="1474"/>
      <c r="CN73" s="1435"/>
      <c r="CO73" s="1587"/>
      <c r="CP73" s="1435"/>
      <c r="CQ73" s="1435"/>
      <c r="CR73" s="1435"/>
      <c r="CS73" s="484"/>
      <c r="CT73" s="7"/>
      <c r="CU73" s="1435"/>
      <c r="CV73" s="1435"/>
      <c r="CW73" s="484"/>
      <c r="CX73" s="1671"/>
      <c r="CY73" s="3"/>
      <c r="CZ73" s="3"/>
      <c r="DA73" s="470"/>
      <c r="DB73" s="671"/>
      <c r="DC73" s="2460"/>
      <c r="DD73" s="2461"/>
      <c r="DE73" s="2461"/>
      <c r="DF73" s="2461"/>
      <c r="DG73" s="2461"/>
      <c r="DH73" s="2461"/>
      <c r="DI73" s="2461"/>
      <c r="DJ73" s="2461"/>
      <c r="DK73" s="2461"/>
      <c r="DL73" s="2461"/>
      <c r="DM73" s="2461"/>
      <c r="DN73" s="2461"/>
      <c r="DO73" s="2461"/>
      <c r="DP73" s="2461"/>
      <c r="DQ73" s="2461"/>
      <c r="DR73" s="2461"/>
      <c r="DS73" s="2461"/>
      <c r="DT73" s="2461"/>
      <c r="DU73" s="2461"/>
      <c r="DV73" s="2461"/>
      <c r="DW73" s="2461">
        <f t="shared" ref="DW73:EC73" si="150">DW74/DW72</f>
        <v>0.19129287598944592</v>
      </c>
      <c r="DX73" s="2461">
        <f t="shared" si="150"/>
        <v>0.24582338902147971</v>
      </c>
      <c r="DY73" s="2461">
        <f t="shared" si="150"/>
        <v>0.26673751328374068</v>
      </c>
      <c r="DZ73" s="2461">
        <f t="shared" si="150"/>
        <v>0.18941979522184299</v>
      </c>
      <c r="EA73" s="2461">
        <f t="shared" si="150"/>
        <v>0.25342465753424659</v>
      </c>
      <c r="EB73" s="2461">
        <f t="shared" si="150"/>
        <v>2.2831050228310501E-2</v>
      </c>
      <c r="EC73" s="2461">
        <f t="shared" si="150"/>
        <v>5.1677018633540371E-2</v>
      </c>
      <c r="ED73" s="2462"/>
      <c r="EE73" s="2462"/>
      <c r="EF73" s="2463">
        <f>EC73*1.3</f>
        <v>6.7180124223602491E-2</v>
      </c>
      <c r="EG73" s="2462"/>
      <c r="EH73" s="2462">
        <f>EF73*1.1</f>
        <v>7.3898136645962745E-2</v>
      </c>
      <c r="EI73" s="2465">
        <f>+IFERROR(EI74/EI72,"NA")</f>
        <v>9.949409780775717E-2</v>
      </c>
      <c r="EJ73" s="2465">
        <f>+IFERROR(EJ74/EJ72,"NA")</f>
        <v>0.13938692886061307</v>
      </c>
      <c r="EK73" s="2465">
        <f>+IFERROR(EK74/EK72,"NA")</f>
        <v>0.12752912323727775</v>
      </c>
      <c r="EL73" s="2465">
        <f>+IFERROR(EL74/EL72,"NA")</f>
        <v>0.08</v>
      </c>
      <c r="EM73" s="2466">
        <f t="shared" ref="EM73:EU73" si="151">EL73*1.025</f>
        <v>8.199999999999999E-2</v>
      </c>
      <c r="EN73" s="2467">
        <f t="shared" si="151"/>
        <v>8.4049999999999986E-2</v>
      </c>
      <c r="EO73" s="2467">
        <f t="shared" si="151"/>
        <v>8.6151249999999985E-2</v>
      </c>
      <c r="EP73" s="2467">
        <f t="shared" si="151"/>
        <v>8.8305031249999971E-2</v>
      </c>
      <c r="EQ73" s="2467">
        <f t="shared" si="151"/>
        <v>9.0512657031249957E-2</v>
      </c>
      <c r="ER73" s="2467">
        <f t="shared" si="151"/>
        <v>9.2775473457031202E-2</v>
      </c>
      <c r="ES73" s="2467">
        <f t="shared" si="151"/>
        <v>9.509486029345697E-2</v>
      </c>
      <c r="ET73" s="2467">
        <f t="shared" si="151"/>
        <v>9.7472231800793382E-2</v>
      </c>
      <c r="EU73" s="2467">
        <f t="shared" si="151"/>
        <v>9.990903759581321E-2</v>
      </c>
      <c r="EV73" s="2468"/>
      <c r="EW73"/>
      <c r="EX73"/>
      <c r="EY73"/>
      <c r="EZ73"/>
      <c r="FA73"/>
      <c r="FB73"/>
      <c r="FG73"/>
      <c r="FH73"/>
      <c r="FI73" s="2658"/>
      <c r="FJ73" s="2658"/>
      <c r="FK73" s="2658"/>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c r="GW73"/>
      <c r="GX73"/>
      <c r="GY73"/>
      <c r="GZ73"/>
      <c r="HA73"/>
      <c r="HB73"/>
      <c r="HC73"/>
      <c r="HD73"/>
      <c r="HE73"/>
      <c r="HF73"/>
      <c r="HG73"/>
      <c r="HH73"/>
      <c r="HI73"/>
      <c r="HJ73"/>
      <c r="HK73"/>
      <c r="HL73"/>
      <c r="HM73"/>
      <c r="HN73"/>
      <c r="HO73"/>
      <c r="HP73"/>
      <c r="HQ73"/>
      <c r="HR73"/>
      <c r="HS73"/>
      <c r="HT73"/>
      <c r="HU73"/>
      <c r="HV73"/>
      <c r="HW73"/>
      <c r="HX73"/>
      <c r="HY73"/>
      <c r="HZ73"/>
      <c r="IA73"/>
      <c r="IB73"/>
      <c r="IC73"/>
      <c r="ID73"/>
      <c r="IE73"/>
      <c r="IF73"/>
      <c r="IG73"/>
      <c r="IH73"/>
      <c r="II73"/>
      <c r="IJ73"/>
      <c r="IK73"/>
      <c r="IL73"/>
      <c r="IM73"/>
      <c r="IN73"/>
      <c r="IO73"/>
      <c r="IP73"/>
      <c r="IQ73"/>
      <c r="IR73"/>
      <c r="IS73"/>
      <c r="IT73"/>
      <c r="IU73"/>
      <c r="IV73"/>
      <c r="IW73"/>
      <c r="IX73"/>
      <c r="IY73"/>
      <c r="IZ73"/>
    </row>
    <row r="74" spans="1:260" s="4" customFormat="1" x14ac:dyDescent="0.2">
      <c r="A74" s="4" t="s">
        <v>494</v>
      </c>
      <c r="E74" s="470"/>
      <c r="I74" s="470"/>
      <c r="M74" s="470"/>
      <c r="Q74" s="470"/>
      <c r="U74" s="470"/>
      <c r="Y74" s="470"/>
      <c r="AC74" s="470"/>
      <c r="AG74" s="470"/>
      <c r="AK74" s="470"/>
      <c r="AO74" s="470"/>
      <c r="AS74" s="470"/>
      <c r="AW74" s="470"/>
      <c r="BA74" s="470"/>
      <c r="BE74" s="470"/>
      <c r="BI74" s="470"/>
      <c r="BM74" s="470"/>
      <c r="BQ74" s="470"/>
      <c r="BU74" s="470"/>
      <c r="BY74" s="470"/>
      <c r="CC74" s="618"/>
      <c r="CD74" s="682"/>
      <c r="CE74" s="1114"/>
      <c r="CF74" s="1114"/>
      <c r="CG74" s="618"/>
      <c r="CH74" s="682"/>
      <c r="CI74" s="1114"/>
      <c r="CJ74" s="1099"/>
      <c r="CK74" s="618"/>
      <c r="CL74" s="1644"/>
      <c r="CM74" s="1645"/>
      <c r="CN74" s="1646"/>
      <c r="CO74" s="1647"/>
      <c r="CP74" s="1646"/>
      <c r="CQ74" s="1646"/>
      <c r="CR74" s="1646"/>
      <c r="CS74" s="657"/>
      <c r="CT74" s="1099"/>
      <c r="CU74" s="1646"/>
      <c r="CV74" s="1646"/>
      <c r="CW74" s="657"/>
      <c r="CX74" s="1728"/>
      <c r="CY74" s="1114"/>
      <c r="CZ74" s="1114"/>
      <c r="DA74" s="618"/>
      <c r="DB74" s="671"/>
      <c r="DC74" s="484"/>
      <c r="DD74" s="1337"/>
      <c r="DE74" s="1337"/>
      <c r="DF74" s="1337"/>
      <c r="DG74" s="1337"/>
      <c r="DH74" s="1337"/>
      <c r="DI74" s="1337"/>
      <c r="DJ74" s="1337"/>
      <c r="DK74" s="1337"/>
      <c r="DL74" s="1337"/>
      <c r="DM74" s="1337"/>
      <c r="DN74" s="1337"/>
      <c r="DO74" s="1337"/>
      <c r="DP74" s="1337"/>
      <c r="DQ74" s="1337"/>
      <c r="DR74" s="1337"/>
      <c r="DS74" s="1337"/>
      <c r="DT74" s="1337"/>
      <c r="DU74" s="1337"/>
      <c r="DV74" s="1337"/>
      <c r="DW74" s="1337">
        <v>145</v>
      </c>
      <c r="DX74" s="1337">
        <v>206</v>
      </c>
      <c r="DY74" s="1337">
        <v>251</v>
      </c>
      <c r="DZ74" s="1337">
        <v>222</v>
      </c>
      <c r="EA74" s="1337">
        <v>333</v>
      </c>
      <c r="EB74" s="1337">
        <v>90</v>
      </c>
      <c r="EC74" s="1337">
        <v>208</v>
      </c>
      <c r="ED74" s="231"/>
      <c r="EE74" s="231"/>
      <c r="EF74" s="1195">
        <f>EF72*EF73</f>
        <v>289.41197515527955</v>
      </c>
      <c r="EG74" s="1196"/>
      <c r="EH74" s="1196">
        <f t="shared" ref="EH74:EP74" si="152">EH72*EH73</f>
        <v>323.59994037267086</v>
      </c>
      <c r="EI74" s="2243">
        <v>177</v>
      </c>
      <c r="EJ74" s="2243">
        <v>241</v>
      </c>
      <c r="EK74" s="2244">
        <v>208</v>
      </c>
      <c r="EL74" s="2814">
        <v>126</v>
      </c>
      <c r="EM74" s="1675">
        <f t="shared" si="152"/>
        <v>123.65599999999998</v>
      </c>
      <c r="EN74" s="1196">
        <f t="shared" si="152"/>
        <v>104.81034999999999</v>
      </c>
      <c r="EO74" s="1196">
        <f t="shared" si="152"/>
        <v>107.60291124999998</v>
      </c>
      <c r="EP74" s="1196">
        <f t="shared" si="152"/>
        <v>110.55789912499996</v>
      </c>
      <c r="EQ74" s="1196">
        <f>EQ72*EQ73</f>
        <v>113.86492254531245</v>
      </c>
      <c r="ER74" s="1196">
        <f>ER72*ER73</f>
        <v>117.26819844968743</v>
      </c>
      <c r="ES74" s="1196">
        <f>ES72*ES73</f>
        <v>120.77047257269035</v>
      </c>
      <c r="ET74" s="1196">
        <f>ET72*ET73</f>
        <v>124.37456777781236</v>
      </c>
      <c r="EU74" s="1196">
        <f>EU72*EU73</f>
        <v>128.08338619783254</v>
      </c>
      <c r="EV74" s="413"/>
      <c r="EW74"/>
      <c r="EX74"/>
      <c r="EY74"/>
      <c r="EZ74"/>
      <c r="FA74"/>
      <c r="FB74"/>
      <c r="FG74" s="880"/>
      <c r="FH74" s="880"/>
      <c r="FI74" s="880"/>
      <c r="FJ74" s="880"/>
      <c r="FK74" s="880"/>
      <c r="FL74"/>
      <c r="FM74"/>
      <c r="FN74"/>
      <c r="FO74"/>
      <c r="FP74"/>
      <c r="FQ74"/>
      <c r="FR74"/>
      <c r="FS74"/>
      <c r="FT74"/>
      <c r="FU74"/>
      <c r="FV74"/>
      <c r="FW74"/>
      <c r="FX74"/>
      <c r="FY74"/>
      <c r="FZ74"/>
      <c r="GA74"/>
      <c r="GB74"/>
      <c r="GC74"/>
      <c r="GD74"/>
      <c r="GE74"/>
      <c r="GF74"/>
      <c r="GG74"/>
      <c r="GH74"/>
      <c r="GI74"/>
      <c r="GJ74"/>
      <c r="GK74"/>
      <c r="GL74"/>
      <c r="GM74"/>
      <c r="GN74"/>
      <c r="GO74"/>
      <c r="GP74"/>
      <c r="GQ74"/>
      <c r="GR74"/>
      <c r="GS74"/>
      <c r="GT74"/>
      <c r="GU74"/>
      <c r="GV74"/>
      <c r="GW74"/>
      <c r="GX74"/>
      <c r="GY74"/>
      <c r="GZ74"/>
      <c r="HA74"/>
      <c r="HB74"/>
      <c r="HC74"/>
      <c r="HD74"/>
      <c r="HE74"/>
      <c r="HF74"/>
      <c r="HG74"/>
      <c r="HH74"/>
      <c r="HI74"/>
      <c r="HJ74"/>
      <c r="HK74"/>
      <c r="HL74"/>
      <c r="HM74"/>
      <c r="HN74"/>
      <c r="HO74"/>
      <c r="HP74"/>
      <c r="HQ74"/>
      <c r="HR74"/>
      <c r="HS74"/>
      <c r="HT74"/>
      <c r="HU74"/>
      <c r="HV74"/>
      <c r="HW74"/>
      <c r="HX74"/>
      <c r="HY74"/>
      <c r="HZ74"/>
      <c r="IA74"/>
      <c r="IB74"/>
      <c r="IC74"/>
      <c r="ID74"/>
      <c r="IE74"/>
      <c r="IF74"/>
      <c r="IG74"/>
      <c r="IH74"/>
      <c r="II74"/>
      <c r="IJ74"/>
      <c r="IK74"/>
      <c r="IL74"/>
      <c r="IM74"/>
      <c r="IN74"/>
      <c r="IO74"/>
      <c r="IP74"/>
      <c r="IQ74"/>
      <c r="IR74"/>
      <c r="IS74"/>
      <c r="IT74"/>
      <c r="IU74"/>
      <c r="IV74"/>
      <c r="IW74"/>
      <c r="IX74"/>
      <c r="IY74"/>
      <c r="IZ74"/>
    </row>
    <row r="75" spans="1:260" s="4" customFormat="1" x14ac:dyDescent="0.2">
      <c r="E75" s="470"/>
      <c r="I75" s="470"/>
      <c r="M75" s="470"/>
      <c r="Q75" s="470"/>
      <c r="U75" s="470"/>
      <c r="Y75" s="470"/>
      <c r="AC75" s="470"/>
      <c r="AG75" s="470"/>
      <c r="AK75" s="470"/>
      <c r="AO75" s="470"/>
      <c r="AS75" s="470"/>
      <c r="AW75" s="470"/>
      <c r="BA75" s="470"/>
      <c r="BE75" s="470"/>
      <c r="BI75" s="470"/>
      <c r="BM75" s="470"/>
      <c r="BQ75" s="470"/>
      <c r="BU75" s="470"/>
      <c r="BY75" s="470"/>
      <c r="CC75" s="470"/>
      <c r="CD75" s="413"/>
      <c r="CE75" s="3"/>
      <c r="CF75" s="3"/>
      <c r="CG75" s="470"/>
      <c r="CH75" s="413"/>
      <c r="CI75" s="3"/>
      <c r="CJ75" s="7"/>
      <c r="CK75" s="470"/>
      <c r="CL75" s="1522"/>
      <c r="CM75" s="1474"/>
      <c r="CN75" s="1435"/>
      <c r="CO75" s="1587"/>
      <c r="CP75" s="1435"/>
      <c r="CQ75" s="1435"/>
      <c r="CR75" s="1435"/>
      <c r="CS75" s="484"/>
      <c r="CT75" s="7"/>
      <c r="CU75" s="1435"/>
      <c r="CV75" s="1435"/>
      <c r="CW75" s="484"/>
      <c r="CX75" s="1671"/>
      <c r="CY75" s="3"/>
      <c r="CZ75" s="3"/>
      <c r="DA75" s="470"/>
      <c r="DB75" s="671"/>
      <c r="DC75" s="484"/>
      <c r="EF75" s="413"/>
      <c r="EG75" s="3"/>
      <c r="EH75" s="3"/>
      <c r="EI75" s="3"/>
      <c r="EJ75" s="3"/>
      <c r="EK75" s="7"/>
      <c r="EL75" s="7"/>
      <c r="EM75" s="1671"/>
      <c r="EN75" s="3"/>
      <c r="EO75" s="3"/>
      <c r="EP75" s="3"/>
      <c r="EQ75" s="3"/>
      <c r="ER75" s="3"/>
      <c r="ES75" s="3"/>
      <c r="ET75" s="3"/>
      <c r="EU75" s="3"/>
      <c r="EV75" s="413"/>
      <c r="EW75"/>
      <c r="EX75"/>
      <c r="EY75"/>
      <c r="EZ75"/>
      <c r="FA75"/>
      <c r="FB75"/>
      <c r="FG75" s="7"/>
      <c r="FH75" s="7"/>
      <c r="FI75" s="7"/>
      <c r="FJ75" s="7"/>
      <c r="FK75" s="7"/>
      <c r="FL75"/>
      <c r="FM75"/>
      <c r="FN75"/>
      <c r="FO75"/>
      <c r="FP75"/>
      <c r="FQ75"/>
      <c r="FR75"/>
      <c r="FS75"/>
      <c r="FT75"/>
      <c r="FU75"/>
      <c r="FV75"/>
      <c r="FW75"/>
      <c r="FX75"/>
      <c r="FY75"/>
      <c r="FZ75"/>
      <c r="GA75"/>
      <c r="GB75"/>
      <c r="GC75"/>
      <c r="GD75"/>
      <c r="GE75"/>
      <c r="GF75"/>
      <c r="GG75"/>
      <c r="GH75"/>
      <c r="GI75"/>
      <c r="GJ75"/>
      <c r="GK75"/>
      <c r="GL75"/>
      <c r="GM75"/>
      <c r="GN75"/>
      <c r="GO75"/>
      <c r="GP75"/>
      <c r="GQ75"/>
      <c r="GR75"/>
      <c r="GS75"/>
      <c r="GT75"/>
      <c r="GU75"/>
      <c r="GV75"/>
      <c r="GW75"/>
      <c r="GX75"/>
      <c r="GY75"/>
      <c r="GZ75"/>
      <c r="HA75"/>
      <c r="HB75"/>
      <c r="HC75"/>
      <c r="HD75"/>
      <c r="HE75"/>
      <c r="HF75"/>
      <c r="HG75"/>
      <c r="HH75"/>
      <c r="HI75"/>
      <c r="HJ75"/>
      <c r="HK75"/>
      <c r="HL75"/>
      <c r="HM75"/>
      <c r="HN75"/>
      <c r="HO75"/>
      <c r="HP75"/>
      <c r="HQ75"/>
      <c r="HR75"/>
      <c r="HS75"/>
      <c r="HT75"/>
      <c r="HU75"/>
      <c r="HV75"/>
      <c r="HW75"/>
      <c r="HX75"/>
      <c r="HY75"/>
      <c r="HZ75"/>
      <c r="IA75"/>
      <c r="IB75"/>
      <c r="IC75"/>
      <c r="ID75"/>
      <c r="IE75"/>
      <c r="IF75"/>
      <c r="IG75"/>
      <c r="IH75"/>
      <c r="II75"/>
      <c r="IJ75"/>
      <c r="IK75"/>
      <c r="IL75"/>
      <c r="IM75"/>
      <c r="IN75"/>
      <c r="IO75"/>
      <c r="IP75"/>
      <c r="IQ75"/>
      <c r="IR75"/>
      <c r="IS75"/>
      <c r="IT75"/>
      <c r="IU75"/>
      <c r="IV75"/>
      <c r="IW75"/>
      <c r="IX75"/>
      <c r="IY75"/>
      <c r="IZ75"/>
    </row>
    <row r="76" spans="1:260" s="4" customFormat="1" x14ac:dyDescent="0.2">
      <c r="A76" s="1388" t="s">
        <v>731</v>
      </c>
      <c r="E76" s="470"/>
      <c r="I76" s="470"/>
      <c r="M76" s="470"/>
      <c r="Q76" s="470"/>
      <c r="U76" s="470"/>
      <c r="Y76" s="470"/>
      <c r="AC76" s="470"/>
      <c r="AG76" s="470"/>
      <c r="AK76" s="470"/>
      <c r="AO76" s="470"/>
      <c r="AS76" s="470"/>
      <c r="AW76" s="470"/>
      <c r="BA76" s="470"/>
      <c r="BE76" s="470"/>
      <c r="BI76" s="470"/>
      <c r="BM76" s="470"/>
      <c r="BQ76" s="470"/>
      <c r="BU76" s="470"/>
      <c r="BY76" s="470"/>
      <c r="CC76" s="470"/>
      <c r="CD76" s="413"/>
      <c r="CE76" s="3"/>
      <c r="CF76" s="3"/>
      <c r="CG76" s="470"/>
      <c r="CH76" s="413"/>
      <c r="CI76" s="3"/>
      <c r="CJ76" s="7"/>
      <c r="CK76" s="470"/>
      <c r="CL76" s="1522"/>
      <c r="CM76" s="1474"/>
      <c r="CN76" s="1435"/>
      <c r="CO76" s="1587"/>
      <c r="CP76" s="1435"/>
      <c r="CQ76" s="1435"/>
      <c r="CR76" s="1435"/>
      <c r="CS76" s="484"/>
      <c r="CT76" s="7"/>
      <c r="CU76" s="1435"/>
      <c r="CV76" s="1435"/>
      <c r="CW76" s="484"/>
      <c r="CX76" s="1671"/>
      <c r="CY76" s="3"/>
      <c r="CZ76" s="3"/>
      <c r="DA76" s="470"/>
      <c r="DB76" s="671"/>
      <c r="DC76" s="484"/>
      <c r="DD76" s="1337"/>
      <c r="DE76" s="1337"/>
      <c r="DF76" s="1337"/>
      <c r="DG76" s="1337"/>
      <c r="DH76" s="1337"/>
      <c r="DI76" s="1337"/>
      <c r="DJ76" s="1337"/>
      <c r="DK76" s="1337"/>
      <c r="DL76" s="1337"/>
      <c r="DM76" s="1337"/>
      <c r="DN76" s="1337"/>
      <c r="DO76" s="1337"/>
      <c r="DP76" s="1337"/>
      <c r="DQ76" s="1337"/>
      <c r="DR76" s="1337"/>
      <c r="DS76" s="1337"/>
      <c r="DT76" s="1337"/>
      <c r="DU76" s="1337"/>
      <c r="DV76" s="1337"/>
      <c r="DW76" s="1337">
        <v>115</v>
      </c>
      <c r="DX76" s="1337">
        <v>115</v>
      </c>
      <c r="DY76" s="1337">
        <v>121</v>
      </c>
      <c r="DZ76" s="1337">
        <v>259</v>
      </c>
      <c r="EA76" s="1337">
        <v>494</v>
      </c>
      <c r="EB76" s="1337">
        <v>275</v>
      </c>
      <c r="EC76" s="1337">
        <v>327</v>
      </c>
      <c r="ED76" s="231"/>
      <c r="EE76" s="231"/>
      <c r="EF76" s="1195">
        <f>EF77*EF87</f>
        <v>322.76549570337363</v>
      </c>
      <c r="EG76" s="1196"/>
      <c r="EH76" s="1196">
        <f t="shared" ref="EH76:EP76" si="153">EH77*EH87</f>
        <v>284.27699999999999</v>
      </c>
      <c r="EI76" s="1196">
        <v>355</v>
      </c>
      <c r="EJ76" s="1196">
        <v>390</v>
      </c>
      <c r="EK76" s="880">
        <v>371</v>
      </c>
      <c r="EL76" s="2815">
        <v>540.59049083064735</v>
      </c>
      <c r="EM76" s="1675">
        <f t="shared" si="153"/>
        <v>719.35512334603118</v>
      </c>
      <c r="EN76" s="1196">
        <f t="shared" si="153"/>
        <v>641.12258607851948</v>
      </c>
      <c r="EO76" s="1196">
        <f t="shared" si="153"/>
        <v>647.49126019455264</v>
      </c>
      <c r="EP76" s="1196">
        <f t="shared" si="153"/>
        <v>609.58910529843672</v>
      </c>
      <c r="EQ76" s="1196">
        <f>EQ77*EQ87</f>
        <v>537.9555403603232</v>
      </c>
      <c r="ER76" s="1196">
        <f>ER77*ER87</f>
        <v>558.36367735005331</v>
      </c>
      <c r="ES76" s="1196">
        <f>ES77*ES87</f>
        <v>565.8286161822565</v>
      </c>
      <c r="ET76" s="1196">
        <f>ET77*ET87</f>
        <v>573.59290707728758</v>
      </c>
      <c r="EU76" s="1196">
        <f>EU77*EU87</f>
        <v>581.67139111676613</v>
      </c>
      <c r="EV76" s="413"/>
      <c r="EW76"/>
      <c r="EX76"/>
      <c r="EY76"/>
      <c r="EZ76"/>
      <c r="FA76"/>
      <c r="FB76"/>
      <c r="FG76" s="880"/>
      <c r="FH76" s="880"/>
      <c r="FI76" s="880"/>
      <c r="FJ76" s="880"/>
      <c r="FK76" s="880"/>
      <c r="FL76"/>
      <c r="FM76"/>
      <c r="FN76"/>
      <c r="FO76"/>
      <c r="FP76"/>
      <c r="FQ76"/>
      <c r="FR76"/>
      <c r="FS76"/>
      <c r="FT76"/>
      <c r="FU76"/>
      <c r="FV76"/>
      <c r="FW76"/>
      <c r="FX76"/>
      <c r="FY76"/>
      <c r="FZ76"/>
      <c r="GA76"/>
      <c r="GB76"/>
      <c r="GC76"/>
      <c r="GD76"/>
      <c r="GE76"/>
      <c r="GF76"/>
      <c r="GG76"/>
      <c r="GH76"/>
      <c r="GI76"/>
      <c r="GJ76"/>
      <c r="GK76"/>
      <c r="GL76"/>
      <c r="GM76"/>
      <c r="GN76"/>
      <c r="GO76"/>
      <c r="GP76"/>
      <c r="GQ76"/>
      <c r="GR76"/>
      <c r="GS76"/>
      <c r="GT76"/>
      <c r="GU76"/>
      <c r="GV76"/>
      <c r="GW76"/>
      <c r="GX76"/>
      <c r="GY76"/>
      <c r="GZ76"/>
      <c r="HA76"/>
      <c r="HB76"/>
      <c r="HC76"/>
      <c r="HD76"/>
      <c r="HE76"/>
      <c r="HF76"/>
      <c r="HG76"/>
      <c r="HH76"/>
      <c r="HI76"/>
      <c r="HJ76"/>
      <c r="HK76"/>
      <c r="HL76"/>
      <c r="HM76"/>
      <c r="HN76"/>
      <c r="HO76"/>
      <c r="HP76"/>
      <c r="HQ76"/>
      <c r="HR76"/>
      <c r="HS76"/>
      <c r="HT76"/>
      <c r="HU76"/>
      <c r="HV76"/>
      <c r="HW76"/>
      <c r="HX76"/>
      <c r="HY76"/>
      <c r="HZ76"/>
      <c r="IA76"/>
      <c r="IB76"/>
      <c r="IC76"/>
      <c r="ID76"/>
      <c r="IE76"/>
      <c r="IF76"/>
      <c r="IG76"/>
      <c r="IH76"/>
      <c r="II76"/>
      <c r="IJ76"/>
      <c r="IK76"/>
      <c r="IL76"/>
      <c r="IM76"/>
      <c r="IN76"/>
      <c r="IO76"/>
      <c r="IP76"/>
      <c r="IQ76"/>
      <c r="IR76"/>
      <c r="IS76"/>
      <c r="IT76"/>
      <c r="IU76"/>
      <c r="IV76"/>
      <c r="IW76"/>
      <c r="IX76"/>
      <c r="IY76"/>
      <c r="IZ76"/>
    </row>
    <row r="77" spans="1:260" s="4" customFormat="1" x14ac:dyDescent="0.2">
      <c r="A77" s="241" t="s">
        <v>65</v>
      </c>
      <c r="E77" s="470"/>
      <c r="I77" s="470"/>
      <c r="M77" s="470"/>
      <c r="Q77" s="470"/>
      <c r="U77" s="470"/>
      <c r="Y77" s="470"/>
      <c r="AC77" s="470"/>
      <c r="AG77" s="470"/>
      <c r="AK77" s="470"/>
      <c r="AO77" s="470"/>
      <c r="AS77" s="470"/>
      <c r="AW77" s="470"/>
      <c r="BA77" s="470"/>
      <c r="BE77" s="470"/>
      <c r="BI77" s="470"/>
      <c r="BM77" s="470"/>
      <c r="BQ77" s="470"/>
      <c r="BU77" s="470"/>
      <c r="BY77" s="470"/>
      <c r="CC77" s="470"/>
      <c r="CD77" s="413"/>
      <c r="CE77" s="3"/>
      <c r="CF77" s="3"/>
      <c r="CG77" s="470"/>
      <c r="CH77" s="413"/>
      <c r="CI77" s="3"/>
      <c r="CJ77" s="7"/>
      <c r="CK77" s="470"/>
      <c r="CL77" s="1522"/>
      <c r="CM77" s="1474"/>
      <c r="CN77" s="1435"/>
      <c r="CO77" s="1587"/>
      <c r="CP77" s="1435"/>
      <c r="CQ77" s="1435"/>
      <c r="CR77" s="1435"/>
      <c r="CS77" s="484"/>
      <c r="CT77" s="7"/>
      <c r="CU77" s="1435"/>
      <c r="CV77" s="1435"/>
      <c r="CW77" s="484"/>
      <c r="CX77" s="1671"/>
      <c r="CY77" s="3"/>
      <c r="CZ77" s="3"/>
      <c r="DA77" s="470"/>
      <c r="DB77" s="671"/>
      <c r="DC77" s="2446"/>
      <c r="DD77" s="2218"/>
      <c r="DE77" s="2218"/>
      <c r="DF77" s="2218"/>
      <c r="DG77" s="2218"/>
      <c r="DH77" s="2218"/>
      <c r="DI77" s="2218"/>
      <c r="DJ77" s="2218"/>
      <c r="DK77" s="2218"/>
      <c r="DL77" s="2218"/>
      <c r="DM77" s="2218"/>
      <c r="DN77" s="2218"/>
      <c r="DO77" s="2218"/>
      <c r="DP77" s="2218"/>
      <c r="DQ77" s="2218"/>
      <c r="DR77" s="2218"/>
      <c r="DS77" s="2218"/>
      <c r="DT77" s="2218"/>
      <c r="DU77" s="2218"/>
      <c r="DV77" s="2218"/>
      <c r="DW77" s="2218">
        <f t="shared" ref="DW77:EC77" si="154">DW76/DW87</f>
        <v>4.1921843102945468E-3</v>
      </c>
      <c r="DX77" s="2218">
        <f t="shared" si="154"/>
        <v>3.7279564315352699E-3</v>
      </c>
      <c r="DY77" s="2218">
        <f t="shared" si="154"/>
        <v>3.3672844659653808E-3</v>
      </c>
      <c r="DZ77" s="2218">
        <f t="shared" si="154"/>
        <v>6.4712790145666239E-3</v>
      </c>
      <c r="EA77" s="2218">
        <f t="shared" si="154"/>
        <v>1.0974119737865155E-2</v>
      </c>
      <c r="EB77" s="2218">
        <f t="shared" si="154"/>
        <v>5.5338672676781909E-3</v>
      </c>
      <c r="EC77" s="2218">
        <f t="shared" si="154"/>
        <v>6.5046148949713554E-3</v>
      </c>
      <c r="ED77" s="2447"/>
      <c r="EE77" s="2447"/>
      <c r="EF77" s="2216">
        <f>EC77</f>
        <v>6.5046148949713554E-3</v>
      </c>
      <c r="EG77" s="2448"/>
      <c r="EH77" s="2448">
        <v>7.0000000000000001E-3</v>
      </c>
      <c r="EI77" s="2449">
        <f>+IFERROR(EI76/EI87,"NA")</f>
        <v>8.8004164704132484E-3</v>
      </c>
      <c r="EJ77" s="2449">
        <f>+IFERROR(EJ76/EJ87,"NA")</f>
        <v>9.8664238008500296E-3</v>
      </c>
      <c r="EK77" s="2449">
        <f>+IFERROR(EK76/EK87,"NA")</f>
        <v>9.4155267365429035E-3</v>
      </c>
      <c r="EL77" s="2449">
        <f>+IFERROR(EL76/EL87,"NA")</f>
        <v>1.2825092900065178E-2</v>
      </c>
      <c r="EM77" s="2221">
        <v>1.7000000000000001E-2</v>
      </c>
      <c r="EN77" s="2451">
        <v>1.4999999999999999E-2</v>
      </c>
      <c r="EO77" s="2451">
        <v>1.4999999999999999E-2</v>
      </c>
      <c r="EP77" s="2451">
        <v>1.4E-2</v>
      </c>
      <c r="EQ77" s="2451">
        <v>1.2200000000000001E-2</v>
      </c>
      <c r="ER77" s="2451">
        <v>1.2500000000000001E-2</v>
      </c>
      <c r="ES77" s="2451">
        <v>1.2500000000000001E-2</v>
      </c>
      <c r="ET77" s="2451">
        <v>1.2500000000000001E-2</v>
      </c>
      <c r="EU77" s="2451">
        <v>1.2500000000000001E-2</v>
      </c>
      <c r="EV77" s="2452"/>
      <c r="EW77"/>
      <c r="EX77"/>
      <c r="EY77"/>
      <c r="EZ77"/>
      <c r="FA77"/>
      <c r="FB77"/>
      <c r="FG77" s="170"/>
      <c r="FH77" s="170"/>
      <c r="FI77" s="2633"/>
      <c r="FJ77" s="2633"/>
      <c r="FK77" s="2633"/>
      <c r="FL77"/>
      <c r="FM77"/>
      <c r="FN77"/>
      <c r="FO77"/>
      <c r="FP77"/>
      <c r="FQ77"/>
      <c r="FR77"/>
      <c r="FS77"/>
      <c r="FT77"/>
      <c r="FU77"/>
      <c r="FV77"/>
      <c r="FW77"/>
      <c r="FX77"/>
      <c r="FY77"/>
      <c r="FZ77"/>
      <c r="GA77"/>
      <c r="GB77"/>
      <c r="GC77"/>
      <c r="GD77"/>
      <c r="GE77"/>
      <c r="GF77"/>
      <c r="GG77"/>
      <c r="GH77"/>
      <c r="GI77"/>
      <c r="GJ77"/>
      <c r="GK77"/>
      <c r="GL77"/>
      <c r="GM77"/>
      <c r="GN77"/>
      <c r="GO77"/>
      <c r="GP77"/>
      <c r="GQ77"/>
      <c r="GR77"/>
      <c r="GS77"/>
      <c r="GT77"/>
      <c r="GU77"/>
      <c r="GV77"/>
      <c r="GW77"/>
      <c r="GX77"/>
      <c r="GY77"/>
      <c r="GZ77"/>
      <c r="HA77"/>
      <c r="HB77"/>
      <c r="HC77"/>
      <c r="HD77"/>
      <c r="HE77"/>
      <c r="HF77"/>
      <c r="HG77"/>
      <c r="HH77"/>
      <c r="HI77"/>
      <c r="HJ77"/>
      <c r="HK77"/>
      <c r="HL77"/>
      <c r="HM77"/>
      <c r="HN77"/>
      <c r="HO77"/>
      <c r="HP77"/>
      <c r="HQ77"/>
      <c r="HR77"/>
      <c r="HS77"/>
      <c r="HT77"/>
      <c r="HU77"/>
      <c r="HV77"/>
      <c r="HW77"/>
      <c r="HX77"/>
      <c r="HY77"/>
      <c r="HZ77"/>
      <c r="IA77"/>
      <c r="IB77"/>
      <c r="IC77"/>
      <c r="ID77"/>
      <c r="IE77"/>
      <c r="IF77"/>
      <c r="IG77"/>
      <c r="IH77"/>
      <c r="II77"/>
      <c r="IJ77"/>
      <c r="IK77"/>
      <c r="IL77"/>
      <c r="IM77"/>
      <c r="IN77"/>
      <c r="IO77"/>
      <c r="IP77"/>
      <c r="IQ77"/>
      <c r="IR77"/>
      <c r="IS77"/>
      <c r="IT77"/>
      <c r="IU77"/>
      <c r="IV77"/>
      <c r="IW77"/>
      <c r="IX77"/>
      <c r="IY77"/>
      <c r="IZ77"/>
    </row>
    <row r="78" spans="1:260" s="4" customFormat="1" x14ac:dyDescent="0.2">
      <c r="A78" s="3"/>
      <c r="E78" s="470"/>
      <c r="I78" s="470"/>
      <c r="M78" s="470"/>
      <c r="Q78" s="470"/>
      <c r="U78" s="470"/>
      <c r="Y78" s="470"/>
      <c r="AC78" s="470"/>
      <c r="AG78" s="470"/>
      <c r="AK78" s="470"/>
      <c r="AO78" s="470"/>
      <c r="AS78" s="470"/>
      <c r="AW78" s="470"/>
      <c r="BA78" s="470"/>
      <c r="BE78" s="470"/>
      <c r="BI78" s="470"/>
      <c r="BM78" s="470"/>
      <c r="BQ78" s="470"/>
      <c r="BU78" s="470"/>
      <c r="BY78" s="470"/>
      <c r="CC78" s="470"/>
      <c r="CD78" s="413"/>
      <c r="CE78" s="3"/>
      <c r="CF78" s="3"/>
      <c r="CG78" s="470"/>
      <c r="CH78" s="413"/>
      <c r="CI78" s="3"/>
      <c r="CJ78" s="7"/>
      <c r="CK78" s="470"/>
      <c r="CL78" s="1522"/>
      <c r="CM78" s="1474"/>
      <c r="CN78" s="1435"/>
      <c r="CO78" s="1587"/>
      <c r="CP78" s="1435"/>
      <c r="CQ78" s="1435"/>
      <c r="CR78" s="1435"/>
      <c r="CS78" s="484"/>
      <c r="CT78" s="7"/>
      <c r="CU78" s="1435"/>
      <c r="CV78" s="1435"/>
      <c r="CW78" s="484"/>
      <c r="CX78" s="1671"/>
      <c r="CY78" s="3"/>
      <c r="CZ78" s="3"/>
      <c r="DA78" s="470"/>
      <c r="DB78" s="671"/>
      <c r="DC78" s="484"/>
      <c r="EF78" s="413"/>
      <c r="EG78" s="3"/>
      <c r="EH78" s="3"/>
      <c r="EI78" s="3"/>
      <c r="EJ78" s="3"/>
      <c r="EK78" s="7"/>
      <c r="EL78" s="7"/>
      <c r="EM78" s="1671"/>
      <c r="EN78" s="3"/>
      <c r="EO78" s="3"/>
      <c r="EP78" s="3"/>
      <c r="EQ78" s="3"/>
      <c r="ER78" s="3"/>
      <c r="ES78" s="3"/>
      <c r="ET78" s="3"/>
      <c r="EU78" s="3"/>
      <c r="EV78" s="413"/>
      <c r="EW78"/>
      <c r="EX78"/>
      <c r="EY78"/>
      <c r="EZ78"/>
      <c r="FA78"/>
      <c r="FB78"/>
      <c r="FG78" s="7"/>
      <c r="FH78" s="7"/>
      <c r="FI78" s="7"/>
      <c r="FJ78" s="7"/>
      <c r="FK78" s="7"/>
      <c r="FL78"/>
      <c r="FM78"/>
      <c r="FN78"/>
      <c r="FO78"/>
      <c r="FP78"/>
      <c r="FQ78"/>
      <c r="FR78"/>
      <c r="FS78"/>
      <c r="FT78"/>
      <c r="FU78"/>
      <c r="FV78"/>
      <c r="FW78"/>
      <c r="FX78"/>
      <c r="FY78"/>
      <c r="FZ78"/>
      <c r="GA78"/>
      <c r="GB78"/>
      <c r="GC78"/>
      <c r="GD78"/>
      <c r="GE78"/>
      <c r="GF78"/>
      <c r="GG78"/>
      <c r="GH78"/>
      <c r="GI78"/>
      <c r="GJ78"/>
      <c r="GK78"/>
      <c r="GL78"/>
      <c r="GM78"/>
      <c r="GN78"/>
      <c r="GO78"/>
      <c r="GP78"/>
      <c r="GQ78"/>
      <c r="GR78"/>
      <c r="GS78"/>
      <c r="GT78"/>
      <c r="GU78"/>
      <c r="GV78"/>
      <c r="GW78"/>
      <c r="GX78"/>
      <c r="GY78"/>
      <c r="GZ78"/>
      <c r="HA78"/>
      <c r="HB78"/>
      <c r="HC78"/>
      <c r="HD78"/>
      <c r="HE78"/>
      <c r="HF78"/>
      <c r="HG78"/>
      <c r="HH78"/>
      <c r="HI78"/>
      <c r="HJ78"/>
      <c r="HK78"/>
      <c r="HL78"/>
      <c r="HM78"/>
      <c r="HN78"/>
      <c r="HO78"/>
      <c r="HP78"/>
      <c r="HQ78"/>
      <c r="HR78"/>
      <c r="HS78"/>
      <c r="HT78"/>
      <c r="HU78"/>
      <c r="HV78"/>
      <c r="HW78"/>
      <c r="HX78"/>
      <c r="HY78"/>
      <c r="HZ78"/>
      <c r="IA78"/>
      <c r="IB78"/>
      <c r="IC78"/>
      <c r="ID78"/>
      <c r="IE78"/>
      <c r="IF78"/>
      <c r="IG78"/>
      <c r="IH78"/>
      <c r="II78"/>
      <c r="IJ78"/>
      <c r="IK78"/>
      <c r="IL78"/>
      <c r="IM78"/>
      <c r="IN78"/>
      <c r="IO78"/>
      <c r="IP78"/>
      <c r="IQ78"/>
      <c r="IR78"/>
      <c r="IS78"/>
      <c r="IT78"/>
      <c r="IU78"/>
      <c r="IV78"/>
      <c r="IW78"/>
      <c r="IX78"/>
      <c r="IY78"/>
      <c r="IZ78"/>
    </row>
    <row r="79" spans="1:260" s="4" customFormat="1" x14ac:dyDescent="0.2">
      <c r="A79" s="3" t="s">
        <v>495</v>
      </c>
      <c r="E79" s="470"/>
      <c r="I79" s="470"/>
      <c r="M79" s="470"/>
      <c r="Q79" s="470"/>
      <c r="U79" s="470"/>
      <c r="Y79" s="470"/>
      <c r="AC79" s="470"/>
      <c r="AG79" s="470"/>
      <c r="AK79" s="470"/>
      <c r="AO79" s="470"/>
      <c r="AS79" s="470"/>
      <c r="AW79" s="470"/>
      <c r="BA79" s="470"/>
      <c r="BE79" s="470"/>
      <c r="BI79" s="470"/>
      <c r="BM79" s="470"/>
      <c r="BQ79" s="470"/>
      <c r="BU79" s="470"/>
      <c r="BY79" s="470"/>
      <c r="CC79" s="470"/>
      <c r="CD79" s="413"/>
      <c r="CE79" s="3"/>
      <c r="CF79" s="3"/>
      <c r="CG79" s="470"/>
      <c r="CH79" s="413"/>
      <c r="CI79" s="3"/>
      <c r="CJ79" s="7"/>
      <c r="CK79" s="470"/>
      <c r="CL79" s="1522"/>
      <c r="CM79" s="1474"/>
      <c r="CN79" s="1435"/>
      <c r="CO79" s="1587"/>
      <c r="CP79" s="1435"/>
      <c r="CQ79" s="1435"/>
      <c r="CR79" s="1435"/>
      <c r="CS79" s="484"/>
      <c r="CT79" s="7"/>
      <c r="CU79" s="1435"/>
      <c r="CV79" s="1435"/>
      <c r="CW79" s="484"/>
      <c r="CX79" s="1671"/>
      <c r="CY79" s="3"/>
      <c r="CZ79" s="3"/>
      <c r="DA79" s="470"/>
      <c r="DB79" s="671"/>
      <c r="DC79" s="484"/>
      <c r="DD79" s="1337"/>
      <c r="DE79" s="1337"/>
      <c r="DF79" s="1337"/>
      <c r="DG79" s="1337"/>
      <c r="DH79" s="1337"/>
      <c r="DI79" s="1337"/>
      <c r="DJ79" s="1337"/>
      <c r="DK79" s="1337"/>
      <c r="DL79" s="1337"/>
      <c r="DM79" s="1337"/>
      <c r="DN79" s="1337"/>
      <c r="DO79" s="1337"/>
      <c r="DP79" s="1337"/>
      <c r="DQ79" s="1337"/>
      <c r="DR79" s="1337"/>
      <c r="DS79" s="1337"/>
      <c r="DT79" s="1337"/>
      <c r="DU79" s="1337"/>
      <c r="DV79" s="1337"/>
      <c r="DW79" s="1337">
        <v>60</v>
      </c>
      <c r="DX79" s="1337">
        <v>83</v>
      </c>
      <c r="DY79" s="1337">
        <v>108</v>
      </c>
      <c r="DZ79" s="1337">
        <v>49</v>
      </c>
      <c r="EA79" s="1337">
        <v>89</v>
      </c>
      <c r="EB79" s="1337">
        <v>21</v>
      </c>
      <c r="EC79" s="1337">
        <v>16</v>
      </c>
      <c r="ED79" s="231"/>
      <c r="EE79" s="231"/>
      <c r="EF79" s="1195">
        <f>EF80*EF87</f>
        <v>50.926032299999996</v>
      </c>
      <c r="EG79" s="1196"/>
      <c r="EH79" s="1196">
        <f t="shared" ref="EH79:EP79" si="155">EH80*EH87</f>
        <v>0</v>
      </c>
      <c r="EI79" s="1196">
        <f>+IFERROR(EI82-EI76-EI74-EI70,"NA")</f>
        <v>26</v>
      </c>
      <c r="EJ79" s="1196">
        <f t="shared" ref="EJ79:EL79" si="156">+IFERROR(EJ82-EJ76-EJ74-EJ70,"NA")</f>
        <v>13</v>
      </c>
      <c r="EK79" s="880">
        <f t="shared" si="156"/>
        <v>-2</v>
      </c>
      <c r="EL79" s="880">
        <f t="shared" si="156"/>
        <v>21.409509169352646</v>
      </c>
      <c r="EM79" s="1675">
        <f t="shared" si="155"/>
        <v>4.2315007255648887</v>
      </c>
      <c r="EN79" s="1196">
        <f t="shared" si="155"/>
        <v>4.2741505738567973</v>
      </c>
      <c r="EO79" s="1196">
        <f t="shared" si="155"/>
        <v>4.3166084012970174</v>
      </c>
      <c r="EP79" s="1196">
        <f t="shared" si="155"/>
        <v>4.3542078949888339</v>
      </c>
      <c r="EQ79" s="1196">
        <f>EQ80*EQ87</f>
        <v>4.4094716422977305</v>
      </c>
      <c r="ER79" s="1196">
        <f>ER80*ER87</f>
        <v>4.4669094188004266</v>
      </c>
      <c r="ES79" s="1196">
        <f>ES80*ES87</f>
        <v>4.5266289294580515</v>
      </c>
      <c r="ET79" s="1196">
        <f>ET80*ET87</f>
        <v>4.5887432566183</v>
      </c>
      <c r="EU79" s="1196">
        <f>EU80*EU87</f>
        <v>4.6533711289341291</v>
      </c>
      <c r="EV79" s="413"/>
      <c r="EW79"/>
      <c r="EX79"/>
      <c r="EY79"/>
      <c r="EZ79"/>
      <c r="FA79"/>
      <c r="FB79"/>
      <c r="FG79" s="880"/>
      <c r="FH79" s="880"/>
      <c r="FI79" s="880"/>
      <c r="FJ79" s="880"/>
      <c r="FK79" s="880"/>
      <c r="FL79"/>
      <c r="FM79"/>
      <c r="FN79"/>
      <c r="FO79"/>
      <c r="FP79"/>
      <c r="FQ79"/>
      <c r="FR79"/>
      <c r="FS79"/>
      <c r="FT79"/>
      <c r="FU79"/>
      <c r="FV79"/>
      <c r="FW79"/>
      <c r="FX79"/>
      <c r="FY79"/>
      <c r="FZ79"/>
      <c r="GA79"/>
      <c r="GB79"/>
      <c r="GC79"/>
      <c r="GD79"/>
      <c r="GE79"/>
      <c r="GF79"/>
      <c r="GG79"/>
      <c r="GH79"/>
      <c r="GI79"/>
      <c r="GJ79"/>
      <c r="GK79"/>
      <c r="GL79"/>
      <c r="GM79"/>
      <c r="GN79"/>
      <c r="GO79"/>
      <c r="GP79"/>
      <c r="GQ79"/>
      <c r="GR79"/>
      <c r="GS79"/>
      <c r="GT79"/>
      <c r="GU79"/>
      <c r="GV79"/>
      <c r="GW79"/>
      <c r="GX79"/>
      <c r="GY79"/>
      <c r="GZ79"/>
      <c r="HA79"/>
      <c r="HB79"/>
      <c r="HC79"/>
      <c r="HD79"/>
      <c r="HE79"/>
      <c r="HF79"/>
      <c r="HG79"/>
      <c r="HH79"/>
      <c r="HI79"/>
      <c r="HJ79"/>
      <c r="HK79"/>
      <c r="HL79"/>
      <c r="HM79"/>
      <c r="HN79"/>
      <c r="HO79"/>
      <c r="HP79"/>
      <c r="HQ79"/>
      <c r="HR79"/>
      <c r="HS79"/>
      <c r="HT79"/>
      <c r="HU79"/>
      <c r="HV79"/>
      <c r="HW79"/>
      <c r="HX79"/>
      <c r="HY79"/>
      <c r="HZ79"/>
      <c r="IA79"/>
      <c r="IB79"/>
      <c r="IC79"/>
      <c r="ID79"/>
      <c r="IE79"/>
      <c r="IF79"/>
      <c r="IG79"/>
      <c r="IH79"/>
      <c r="II79"/>
      <c r="IJ79"/>
      <c r="IK79"/>
      <c r="IL79"/>
      <c r="IM79"/>
      <c r="IN79"/>
      <c r="IO79"/>
      <c r="IP79"/>
      <c r="IQ79"/>
      <c r="IR79"/>
      <c r="IS79"/>
      <c r="IT79"/>
      <c r="IU79"/>
      <c r="IV79"/>
      <c r="IW79"/>
      <c r="IX79"/>
      <c r="IY79"/>
      <c r="IZ79"/>
    </row>
    <row r="80" spans="1:260" s="4" customFormat="1" x14ac:dyDescent="0.2">
      <c r="A80" s="241" t="s">
        <v>65</v>
      </c>
      <c r="E80" s="470"/>
      <c r="I80" s="470"/>
      <c r="M80" s="470"/>
      <c r="Q80" s="470"/>
      <c r="U80" s="470"/>
      <c r="Y80" s="470"/>
      <c r="AC80" s="470"/>
      <c r="AG80" s="470"/>
      <c r="AK80" s="470"/>
      <c r="AO80" s="470"/>
      <c r="AS80" s="470"/>
      <c r="AW80" s="470"/>
      <c r="BA80" s="470"/>
      <c r="BE80" s="470"/>
      <c r="BI80" s="470"/>
      <c r="BM80" s="470"/>
      <c r="BQ80" s="470"/>
      <c r="BU80" s="470"/>
      <c r="BY80" s="470"/>
      <c r="CC80" s="470"/>
      <c r="CD80" s="413"/>
      <c r="CE80" s="3"/>
      <c r="CF80" s="3"/>
      <c r="CG80" s="470"/>
      <c r="CH80" s="413"/>
      <c r="CI80" s="3"/>
      <c r="CJ80" s="7"/>
      <c r="CK80" s="470"/>
      <c r="CL80" s="1522"/>
      <c r="CM80" s="1474"/>
      <c r="CN80" s="1435"/>
      <c r="CO80" s="1587"/>
      <c r="CP80" s="1435"/>
      <c r="CQ80" s="1435"/>
      <c r="CR80" s="1435"/>
      <c r="CS80" s="484"/>
      <c r="CT80" s="7"/>
      <c r="CU80" s="1435"/>
      <c r="CV80" s="1435"/>
      <c r="CW80" s="484"/>
      <c r="CX80" s="1671"/>
      <c r="CY80" s="3"/>
      <c r="CZ80" s="3"/>
      <c r="DA80" s="470"/>
      <c r="DB80" s="671"/>
      <c r="DC80" s="2446"/>
      <c r="DD80" s="2218"/>
      <c r="DE80" s="2218"/>
      <c r="DF80" s="2218"/>
      <c r="DG80" s="2218"/>
      <c r="DH80" s="2218"/>
      <c r="DI80" s="2218"/>
      <c r="DJ80" s="2218"/>
      <c r="DK80" s="2218"/>
      <c r="DL80" s="2218"/>
      <c r="DM80" s="2218"/>
      <c r="DN80" s="2218"/>
      <c r="DO80" s="2218"/>
      <c r="DP80" s="2218"/>
      <c r="DQ80" s="2218"/>
      <c r="DR80" s="2218"/>
      <c r="DS80" s="2218"/>
      <c r="DT80" s="2218"/>
      <c r="DU80" s="2218"/>
      <c r="DV80" s="2218"/>
      <c r="DW80" s="2218">
        <f t="shared" ref="DW80:EC80" si="157">DW79/DW87</f>
        <v>2.1872265966754157E-3</v>
      </c>
      <c r="DX80" s="2218">
        <f t="shared" si="157"/>
        <v>2.6906120331950207E-3</v>
      </c>
      <c r="DY80" s="2218">
        <f t="shared" si="157"/>
        <v>3.005510101853398E-3</v>
      </c>
      <c r="DZ80" s="2218">
        <f t="shared" si="157"/>
        <v>1.2242960297828749E-3</v>
      </c>
      <c r="EA80" s="2218">
        <f t="shared" si="157"/>
        <v>1.9771187381983782E-3</v>
      </c>
      <c r="EB80" s="2218">
        <f t="shared" si="157"/>
        <v>4.2258622771360727E-4</v>
      </c>
      <c r="EC80" s="2218">
        <f t="shared" si="157"/>
        <v>3.1826861871419476E-4</v>
      </c>
      <c r="ED80" s="2447"/>
      <c r="EE80" s="2447"/>
      <c r="EF80" s="2216">
        <v>1.0263E-3</v>
      </c>
      <c r="EG80" s="2448"/>
      <c r="EH80" s="2448">
        <v>0</v>
      </c>
      <c r="EI80" s="2449">
        <f>+IFERROR(EI79/EI87,"NA")</f>
        <v>6.4453754431195622E-4</v>
      </c>
      <c r="EJ80" s="2449">
        <f t="shared" ref="EJ80:EL80" si="158">+IFERROR(EJ79/EJ87,"NA")</f>
        <v>3.2888079336166768E-4</v>
      </c>
      <c r="EK80" s="2450">
        <f t="shared" si="158"/>
        <v>-5.0757556531228588E-5</v>
      </c>
      <c r="EL80" s="2450">
        <f t="shared" si="158"/>
        <v>5.0792411020741252E-4</v>
      </c>
      <c r="EM80" s="2221">
        <v>1E-4</v>
      </c>
      <c r="EN80" s="2451">
        <f t="shared" ref="EM80:EU80" si="159">EM80</f>
        <v>1E-4</v>
      </c>
      <c r="EO80" s="2451">
        <f t="shared" si="159"/>
        <v>1E-4</v>
      </c>
      <c r="EP80" s="2451">
        <f t="shared" si="159"/>
        <v>1E-4</v>
      </c>
      <c r="EQ80" s="2451">
        <f t="shared" si="159"/>
        <v>1E-4</v>
      </c>
      <c r="ER80" s="2451">
        <f t="shared" si="159"/>
        <v>1E-4</v>
      </c>
      <c r="ES80" s="2451">
        <f t="shared" si="159"/>
        <v>1E-4</v>
      </c>
      <c r="ET80" s="2451">
        <f t="shared" si="159"/>
        <v>1E-4</v>
      </c>
      <c r="EU80" s="2451">
        <f t="shared" si="159"/>
        <v>1E-4</v>
      </c>
      <c r="EV80" s="2452"/>
      <c r="EW80"/>
      <c r="EX80"/>
      <c r="EY80"/>
      <c r="EZ80"/>
      <c r="FA80"/>
      <c r="FB80"/>
      <c r="FG80" s="170"/>
      <c r="FH80" s="170"/>
      <c r="FI80" s="2633"/>
      <c r="FJ80" s="2633"/>
      <c r="FK80" s="2633"/>
      <c r="FL80"/>
      <c r="FM80"/>
      <c r="FN80"/>
      <c r="FO80"/>
      <c r="FP80"/>
      <c r="FQ80"/>
      <c r="FR80"/>
      <c r="FS80"/>
      <c r="FT80"/>
      <c r="FU80"/>
      <c r="FV80"/>
      <c r="FW80"/>
      <c r="FX80"/>
      <c r="FY80"/>
      <c r="FZ80"/>
      <c r="GA80"/>
      <c r="GB80"/>
      <c r="GC80"/>
      <c r="GD80"/>
      <c r="GE80"/>
      <c r="GF80"/>
      <c r="GG80"/>
      <c r="GH80"/>
      <c r="GI80"/>
      <c r="GJ80"/>
      <c r="GK80"/>
      <c r="GL80"/>
      <c r="GM80"/>
      <c r="GN80"/>
      <c r="GO80"/>
      <c r="GP80"/>
      <c r="GQ80"/>
      <c r="GR80"/>
      <c r="GS80"/>
      <c r="GT80"/>
      <c r="GU80"/>
      <c r="GV80"/>
      <c r="GW80"/>
      <c r="GX80"/>
      <c r="GY80"/>
      <c r="GZ80"/>
      <c r="HA80"/>
      <c r="HB80"/>
      <c r="HC80"/>
      <c r="HD80"/>
      <c r="HE80"/>
      <c r="HF80"/>
      <c r="HG80"/>
      <c r="HH80"/>
      <c r="HI80"/>
      <c r="HJ80"/>
      <c r="HK80"/>
      <c r="HL80"/>
      <c r="HM80"/>
      <c r="HN80"/>
      <c r="HO80"/>
      <c r="HP80"/>
      <c r="HQ80"/>
      <c r="HR80"/>
      <c r="HS80"/>
      <c r="HT80"/>
      <c r="HU80"/>
      <c r="HV80"/>
      <c r="HW80"/>
      <c r="HX80"/>
      <c r="HY80"/>
      <c r="HZ80"/>
      <c r="IA80"/>
      <c r="IB80"/>
      <c r="IC80"/>
      <c r="ID80"/>
      <c r="IE80"/>
      <c r="IF80"/>
      <c r="IG80"/>
      <c r="IH80"/>
      <c r="II80"/>
      <c r="IJ80"/>
      <c r="IK80"/>
      <c r="IL80"/>
      <c r="IM80"/>
      <c r="IN80"/>
      <c r="IO80"/>
      <c r="IP80"/>
      <c r="IQ80"/>
      <c r="IR80"/>
      <c r="IS80"/>
      <c r="IT80"/>
      <c r="IU80"/>
      <c r="IV80"/>
      <c r="IW80"/>
      <c r="IX80"/>
      <c r="IY80"/>
      <c r="IZ80"/>
    </row>
    <row r="81" spans="1:260" s="4" customFormat="1" x14ac:dyDescent="0.2">
      <c r="E81" s="470"/>
      <c r="I81" s="470"/>
      <c r="M81" s="470"/>
      <c r="Q81" s="470"/>
      <c r="U81" s="470"/>
      <c r="Y81" s="470"/>
      <c r="AC81" s="470"/>
      <c r="AG81" s="470"/>
      <c r="AK81" s="470"/>
      <c r="AO81" s="470"/>
      <c r="AS81" s="470"/>
      <c r="AW81" s="470"/>
      <c r="BA81" s="470"/>
      <c r="BE81" s="470"/>
      <c r="BI81" s="470"/>
      <c r="BM81" s="470"/>
      <c r="BN81" s="413"/>
      <c r="BO81" s="3"/>
      <c r="BP81" s="3"/>
      <c r="BQ81" s="470"/>
      <c r="BU81" s="470"/>
      <c r="BY81" s="470"/>
      <c r="CC81" s="470"/>
      <c r="CD81" s="413"/>
      <c r="CE81" s="3"/>
      <c r="CF81" s="3"/>
      <c r="CG81" s="470"/>
      <c r="CH81" s="413"/>
      <c r="CI81" s="3"/>
      <c r="CJ81" s="7"/>
      <c r="CK81" s="470"/>
      <c r="CL81" s="1522"/>
      <c r="CM81" s="1474"/>
      <c r="CN81" s="1435"/>
      <c r="CO81" s="1587"/>
      <c r="CP81" s="1435"/>
      <c r="CQ81" s="1435"/>
      <c r="CR81" s="1435"/>
      <c r="CS81" s="484"/>
      <c r="CT81" s="7"/>
      <c r="CU81" s="1435"/>
      <c r="CV81" s="1435"/>
      <c r="CW81" s="484"/>
      <c r="CX81" s="1671"/>
      <c r="CY81" s="3"/>
      <c r="CZ81" s="3"/>
      <c r="DA81" s="470"/>
      <c r="DB81" s="671"/>
      <c r="DC81" s="484"/>
      <c r="DD81" s="1242"/>
      <c r="DE81" s="1242"/>
      <c r="DF81" s="1242"/>
      <c r="DG81" s="1242"/>
      <c r="DH81" s="1242"/>
      <c r="DI81" s="1242"/>
      <c r="DJ81" s="1242"/>
      <c r="DK81" s="1242"/>
      <c r="DL81" s="1242"/>
      <c r="DM81" s="1242"/>
      <c r="DN81" s="1242"/>
      <c r="DO81" s="1242"/>
      <c r="DP81" s="1242"/>
      <c r="DQ81" s="1242"/>
      <c r="DR81" s="1242"/>
      <c r="DS81" s="1242"/>
      <c r="DT81" s="1242"/>
      <c r="DU81" s="1242"/>
      <c r="DV81" s="1242"/>
      <c r="DW81" s="1242"/>
      <c r="DX81" s="1242"/>
      <c r="DY81" s="1242"/>
      <c r="DZ81" s="1242"/>
      <c r="EA81" s="1242"/>
      <c r="EB81" s="1242"/>
      <c r="EC81" s="1242"/>
      <c r="ED81" s="1242"/>
      <c r="EE81" s="1242"/>
      <c r="EF81" s="1287"/>
      <c r="EG81" s="1242"/>
      <c r="EH81" s="1242"/>
      <c r="EI81" s="1242"/>
      <c r="EJ81" s="1242"/>
      <c r="EK81" s="8"/>
      <c r="EL81" s="8"/>
      <c r="EM81" s="1692"/>
      <c r="EN81" s="1242"/>
      <c r="EO81" s="1242"/>
      <c r="EP81" s="1242"/>
      <c r="EQ81" s="1242"/>
      <c r="ER81" s="1242"/>
      <c r="ES81" s="1242"/>
      <c r="ET81" s="1242"/>
      <c r="EU81" s="1242"/>
      <c r="EV81" s="413"/>
      <c r="EW81"/>
      <c r="EX81"/>
      <c r="EY81"/>
      <c r="EZ81"/>
      <c r="FA81"/>
      <c r="FB81"/>
      <c r="FG81" s="7"/>
      <c r="FH81" s="7"/>
      <c r="FI81" s="7"/>
      <c r="FJ81" s="7"/>
      <c r="FK81" s="7"/>
      <c r="FL81"/>
      <c r="FM81"/>
      <c r="FN81"/>
      <c r="FO81"/>
      <c r="FP81"/>
      <c r="FQ81"/>
      <c r="FR81"/>
      <c r="FS81"/>
      <c r="FT81"/>
      <c r="FU81"/>
      <c r="FV81"/>
      <c r="FW81"/>
      <c r="FX81"/>
      <c r="FY81"/>
      <c r="FZ81"/>
      <c r="GA81"/>
      <c r="GB81"/>
      <c r="GC81"/>
      <c r="GD81"/>
      <c r="GE81"/>
      <c r="GF81"/>
      <c r="GG81"/>
      <c r="GH81"/>
      <c r="GI81"/>
      <c r="GJ81"/>
      <c r="GK81"/>
      <c r="GL81"/>
      <c r="GM81"/>
      <c r="GN81"/>
      <c r="GO81"/>
      <c r="GP81"/>
      <c r="GQ81"/>
      <c r="GR81"/>
      <c r="GS81"/>
      <c r="GT81"/>
      <c r="GU81"/>
      <c r="GV81"/>
      <c r="GW81"/>
      <c r="GX81"/>
      <c r="GY81"/>
      <c r="GZ81"/>
      <c r="HA81"/>
      <c r="HB81"/>
      <c r="HC81"/>
      <c r="HD81"/>
      <c r="HE81"/>
      <c r="HF81"/>
      <c r="HG81"/>
      <c r="HH81"/>
      <c r="HI81"/>
      <c r="HJ81"/>
      <c r="HK81"/>
      <c r="HL81"/>
      <c r="HM81"/>
      <c r="HN81"/>
      <c r="HO81"/>
      <c r="HP81"/>
      <c r="HQ81"/>
      <c r="HR81"/>
      <c r="HS81"/>
      <c r="HT81"/>
      <c r="HU81"/>
      <c r="HV81"/>
      <c r="HW81"/>
      <c r="HX81"/>
      <c r="HY81"/>
      <c r="HZ81"/>
      <c r="IA81"/>
      <c r="IB81"/>
      <c r="IC81"/>
      <c r="ID81"/>
      <c r="IE81"/>
      <c r="IF81"/>
      <c r="IG81"/>
      <c r="IH81"/>
      <c r="II81"/>
      <c r="IJ81"/>
      <c r="IK81"/>
      <c r="IL81"/>
      <c r="IM81"/>
      <c r="IN81"/>
      <c r="IO81"/>
      <c r="IP81"/>
      <c r="IQ81"/>
      <c r="IR81"/>
      <c r="IS81"/>
      <c r="IT81"/>
      <c r="IU81"/>
      <c r="IV81"/>
      <c r="IW81"/>
      <c r="IX81"/>
      <c r="IY81"/>
      <c r="IZ81"/>
    </row>
    <row r="82" spans="1:260" s="4" customFormat="1" x14ac:dyDescent="0.2">
      <c r="A82" s="19" t="s">
        <v>496</v>
      </c>
      <c r="E82" s="470"/>
      <c r="I82" s="470"/>
      <c r="M82" s="470"/>
      <c r="Q82" s="470"/>
      <c r="U82" s="470"/>
      <c r="Y82" s="470"/>
      <c r="AC82" s="470"/>
      <c r="AG82" s="470"/>
      <c r="AK82" s="470"/>
      <c r="AO82" s="470"/>
      <c r="AS82" s="470"/>
      <c r="AW82" s="470"/>
      <c r="BA82" s="470"/>
      <c r="BE82" s="470"/>
      <c r="BI82" s="470"/>
      <c r="BM82" s="470"/>
      <c r="BQ82" s="470"/>
      <c r="BU82" s="470"/>
      <c r="BY82" s="470"/>
      <c r="CC82" s="470"/>
      <c r="CD82" s="413"/>
      <c r="CE82" s="3"/>
      <c r="CF82" s="3"/>
      <c r="CG82" s="470"/>
      <c r="CH82" s="413"/>
      <c r="CI82" s="3"/>
      <c r="CJ82" s="7"/>
      <c r="CK82" s="470"/>
      <c r="CL82" s="1522"/>
      <c r="CM82" s="1474"/>
      <c r="CN82" s="1435"/>
      <c r="CO82" s="1587"/>
      <c r="CP82" s="1435"/>
      <c r="CQ82" s="1435"/>
      <c r="CR82" s="1435"/>
      <c r="CS82" s="484"/>
      <c r="CT82" s="7"/>
      <c r="CU82" s="1435"/>
      <c r="CV82" s="1435"/>
      <c r="CW82" s="484"/>
      <c r="CX82" s="1671"/>
      <c r="CY82" s="3"/>
      <c r="CZ82" s="3"/>
      <c r="DA82" s="470"/>
      <c r="DB82" s="671"/>
      <c r="DC82" s="484"/>
      <c r="DD82" s="231"/>
      <c r="DE82" s="231"/>
      <c r="DF82" s="231"/>
      <c r="DG82" s="231"/>
      <c r="DH82" s="231"/>
      <c r="DI82" s="231"/>
      <c r="DJ82" s="231"/>
      <c r="DK82" s="231"/>
      <c r="DL82" s="231"/>
      <c r="DM82" s="231"/>
      <c r="DN82" s="231"/>
      <c r="DO82" s="231"/>
      <c r="DP82" s="231"/>
      <c r="DQ82" s="231"/>
      <c r="DR82" s="231"/>
      <c r="DS82" s="231"/>
      <c r="DT82" s="231"/>
      <c r="DU82" s="231"/>
      <c r="DV82" s="231"/>
      <c r="DW82" s="231">
        <f t="shared" ref="DW82:EC82" si="160">DW79+DW76+DW74+DW70</f>
        <v>502</v>
      </c>
      <c r="DX82" s="231">
        <f t="shared" si="160"/>
        <v>648</v>
      </c>
      <c r="DY82" s="231">
        <f t="shared" si="160"/>
        <v>733</v>
      </c>
      <c r="DZ82" s="231">
        <f t="shared" si="160"/>
        <v>797</v>
      </c>
      <c r="EA82" s="231">
        <f t="shared" si="160"/>
        <v>1303</v>
      </c>
      <c r="EB82" s="231">
        <f t="shared" si="160"/>
        <v>615</v>
      </c>
      <c r="EC82" s="231">
        <f t="shared" si="160"/>
        <v>744</v>
      </c>
      <c r="ED82" s="231"/>
      <c r="EE82" s="231"/>
      <c r="EF82" s="1195">
        <f>EF79+EF76+EF74+EF70</f>
        <v>746.99942152600011</v>
      </c>
      <c r="EG82" s="1196"/>
      <c r="EH82" s="1196">
        <f t="shared" ref="EH82:EP82" si="161">EH79+EH76+EH74+EH70</f>
        <v>383.48489955634426</v>
      </c>
      <c r="EI82" s="2469">
        <f>-EI32</f>
        <v>561</v>
      </c>
      <c r="EJ82" s="2094">
        <f t="shared" ref="EJ82:EL82" si="162">-EJ32</f>
        <v>649</v>
      </c>
      <c r="EK82" s="1365">
        <f t="shared" si="162"/>
        <v>580</v>
      </c>
      <c r="EL82" s="1365">
        <f t="shared" si="162"/>
        <v>688</v>
      </c>
      <c r="EM82" s="1917">
        <f t="shared" si="161"/>
        <v>847.24262407159597</v>
      </c>
      <c r="EN82" s="2094">
        <f t="shared" si="161"/>
        <v>750.20708665237623</v>
      </c>
      <c r="EO82" s="2094">
        <f t="shared" si="161"/>
        <v>759.41077984584967</v>
      </c>
      <c r="EP82" s="2094">
        <f t="shared" si="161"/>
        <v>724.50121231842547</v>
      </c>
      <c r="EQ82" s="2094">
        <f>EQ79+EQ76+EQ74+EQ70</f>
        <v>656.22993454793334</v>
      </c>
      <c r="ER82" s="2094">
        <f>ER79+ER76+ER74+ER70</f>
        <v>680.09878521854125</v>
      </c>
      <c r="ES82" s="2094">
        <f>ES79+ES76+ES74+ES70</f>
        <v>691.12571768440489</v>
      </c>
      <c r="ET82" s="2094">
        <f>ET79+ET76+ET74+ET70</f>
        <v>702.55621811171818</v>
      </c>
      <c r="EU82" s="2094">
        <f>EU79+EU76+EU74+EU70</f>
        <v>714.40814844353281</v>
      </c>
      <c r="EV82" s="416"/>
      <c r="EW82"/>
      <c r="EX82"/>
      <c r="EY82"/>
      <c r="EZ82"/>
      <c r="FA82"/>
      <c r="FB82"/>
      <c r="FG82" s="880"/>
      <c r="FH82" s="880"/>
      <c r="FI82" s="1365"/>
      <c r="FJ82" s="1365"/>
      <c r="FK82" s="1365"/>
      <c r="FL82"/>
      <c r="FM82"/>
      <c r="FN82"/>
      <c r="FO82"/>
      <c r="FP82"/>
      <c r="FQ82"/>
      <c r="FR82"/>
      <c r="FS82"/>
      <c r="FT82"/>
      <c r="FU82"/>
      <c r="FV82"/>
      <c r="FW82"/>
      <c r="FX82"/>
      <c r="FY82"/>
      <c r="FZ82"/>
      <c r="GA82"/>
      <c r="GB82"/>
      <c r="GC82"/>
      <c r="GD82"/>
      <c r="GE82"/>
      <c r="GF82"/>
      <c r="GG82"/>
      <c r="GH82"/>
      <c r="GI82"/>
      <c r="GJ82"/>
      <c r="GK82"/>
      <c r="GL82"/>
      <c r="GM82"/>
      <c r="GN82"/>
      <c r="GO82"/>
      <c r="GP82"/>
      <c r="GQ82"/>
      <c r="GR82"/>
      <c r="GS82"/>
      <c r="GT82"/>
      <c r="GU82"/>
      <c r="GV82"/>
      <c r="GW82"/>
      <c r="GX82"/>
      <c r="GY82"/>
      <c r="GZ82"/>
      <c r="HA82"/>
      <c r="HB82"/>
      <c r="HC82"/>
      <c r="HD82"/>
      <c r="HE82"/>
      <c r="HF82"/>
      <c r="HG82"/>
      <c r="HH82"/>
      <c r="HI82"/>
      <c r="HJ82"/>
      <c r="HK82"/>
      <c r="HL82"/>
      <c r="HM82"/>
      <c r="HN82"/>
      <c r="HO82"/>
      <c r="HP82"/>
      <c r="HQ82"/>
      <c r="HR82"/>
      <c r="HS82"/>
      <c r="HT82"/>
      <c r="HU82"/>
      <c r="HV82"/>
      <c r="HW82"/>
      <c r="HX82"/>
      <c r="HY82"/>
      <c r="HZ82"/>
      <c r="IA82"/>
      <c r="IB82"/>
      <c r="IC82"/>
      <c r="ID82"/>
      <c r="IE82"/>
      <c r="IF82"/>
      <c r="IG82"/>
      <c r="IH82"/>
      <c r="II82"/>
      <c r="IJ82"/>
      <c r="IK82"/>
      <c r="IL82"/>
      <c r="IM82"/>
      <c r="IN82"/>
      <c r="IO82"/>
      <c r="IP82"/>
      <c r="IQ82"/>
      <c r="IR82"/>
      <c r="IS82"/>
      <c r="IT82"/>
      <c r="IU82"/>
      <c r="IV82"/>
      <c r="IW82"/>
      <c r="IX82"/>
      <c r="IY82"/>
      <c r="IZ82"/>
    </row>
    <row r="83" spans="1:260" s="4" customFormat="1" x14ac:dyDescent="0.2">
      <c r="A83" s="601" t="s">
        <v>65</v>
      </c>
      <c r="E83" s="470"/>
      <c r="I83" s="470"/>
      <c r="M83" s="470"/>
      <c r="Q83" s="470"/>
      <c r="U83" s="470"/>
      <c r="Y83" s="470"/>
      <c r="AC83" s="470"/>
      <c r="AG83" s="470"/>
      <c r="AK83" s="470"/>
      <c r="AO83" s="470"/>
      <c r="AS83" s="470"/>
      <c r="AW83" s="470"/>
      <c r="BA83" s="470"/>
      <c r="BE83" s="470"/>
      <c r="BI83" s="470"/>
      <c r="BM83" s="470"/>
      <c r="BQ83" s="470"/>
      <c r="BU83" s="470"/>
      <c r="BY83" s="470"/>
      <c r="CC83" s="470"/>
      <c r="CD83" s="413"/>
      <c r="CE83" s="3"/>
      <c r="CF83" s="3"/>
      <c r="CG83" s="470"/>
      <c r="CH83" s="413"/>
      <c r="CI83" s="3"/>
      <c r="CJ83" s="7"/>
      <c r="CK83" s="470"/>
      <c r="CL83" s="1522"/>
      <c r="CM83" s="1474"/>
      <c r="CN83" s="1435"/>
      <c r="CO83" s="1587"/>
      <c r="CP83" s="1435"/>
      <c r="CQ83" s="1435"/>
      <c r="CR83" s="1435"/>
      <c r="CS83" s="484"/>
      <c r="CT83" s="7"/>
      <c r="CU83" s="1435"/>
      <c r="CV83" s="1435"/>
      <c r="CW83" s="484"/>
      <c r="CX83" s="1671"/>
      <c r="CY83" s="3"/>
      <c r="CZ83" s="3"/>
      <c r="DA83" s="470"/>
      <c r="DB83" s="671"/>
      <c r="DC83" s="2446"/>
      <c r="DD83" s="2218"/>
      <c r="DE83" s="2218"/>
      <c r="DF83" s="2218"/>
      <c r="DG83" s="2218"/>
      <c r="DH83" s="2218"/>
      <c r="DI83" s="2218"/>
      <c r="DJ83" s="2218"/>
      <c r="DK83" s="2218"/>
      <c r="DL83" s="2218"/>
      <c r="DM83" s="2218"/>
      <c r="DN83" s="2218"/>
      <c r="DO83" s="2218"/>
      <c r="DP83" s="2218"/>
      <c r="DQ83" s="2218"/>
      <c r="DR83" s="2218"/>
      <c r="DS83" s="2218"/>
      <c r="DT83" s="2218"/>
      <c r="DU83" s="2218"/>
      <c r="DV83" s="2218"/>
      <c r="DW83" s="2218">
        <f t="shared" ref="DW83:EC83" si="163">DW82/DW87</f>
        <v>1.8299795858850977E-2</v>
      </c>
      <c r="DX83" s="2218">
        <f t="shared" si="163"/>
        <v>2.1006224066390043E-2</v>
      </c>
      <c r="DY83" s="2218">
        <f t="shared" si="163"/>
        <v>2.0398508376467971E-2</v>
      </c>
      <c r="DZ83" s="2218">
        <f t="shared" si="163"/>
        <v>1.9913549708917372E-2</v>
      </c>
      <c r="EA83" s="2218">
        <f t="shared" si="163"/>
        <v>2.8945906919915585E-2</v>
      </c>
      <c r="EB83" s="2218">
        <f t="shared" si="163"/>
        <v>1.2375739525898499E-2</v>
      </c>
      <c r="EC83" s="2218">
        <f t="shared" si="163"/>
        <v>1.4799490770210057E-2</v>
      </c>
      <c r="ED83" s="2218"/>
      <c r="EE83" s="2218"/>
      <c r="EF83" s="2219">
        <f>EF82/EF87</f>
        <v>1.5054098497128235E-2</v>
      </c>
      <c r="EG83" s="2220"/>
      <c r="EH83" s="2220">
        <f t="shared" ref="EH83:EP83" si="164">EH82/EH87</f>
        <v>9.4428824593421543E-3</v>
      </c>
      <c r="EI83" s="2220">
        <f t="shared" si="164"/>
        <v>1.3907137013807977E-2</v>
      </c>
      <c r="EJ83" s="2220">
        <f>EJ82/EJ87</f>
        <v>1.6418741145517102E-2</v>
      </c>
      <c r="EK83" s="2213">
        <f t="shared" si="164"/>
        <v>1.4719691394056289E-2</v>
      </c>
      <c r="EL83" s="2213">
        <f>EL82/EL87</f>
        <v>1.6322269934283883E-2</v>
      </c>
      <c r="EM83" s="2215">
        <f t="shared" si="164"/>
        <v>2.0022272924424288E-2</v>
      </c>
      <c r="EN83" s="2220">
        <f t="shared" si="164"/>
        <v>1.7552191334602979E-2</v>
      </c>
      <c r="EO83" s="2220">
        <f t="shared" si="164"/>
        <v>1.7592765181517703E-2</v>
      </c>
      <c r="EP83" s="2220">
        <f t="shared" si="164"/>
        <v>1.6639104741696845E-2</v>
      </c>
      <c r="EQ83" s="2220">
        <f>EQ82/EQ87</f>
        <v>1.4882280413214738E-2</v>
      </c>
      <c r="ER83" s="2220">
        <f>ER82/ER87</f>
        <v>1.5225264751421341E-2</v>
      </c>
      <c r="ES83" s="2220">
        <f>ES82/ES87</f>
        <v>1.5268000281329656E-2</v>
      </c>
      <c r="ET83" s="2220">
        <f>ET82/ET87</f>
        <v>1.5310427688418352E-2</v>
      </c>
      <c r="EU83" s="2220">
        <f>EU82/EU87</f>
        <v>1.5352485942963472E-2</v>
      </c>
      <c r="EV83" s="2223"/>
      <c r="EW83"/>
      <c r="EX83"/>
      <c r="EY83"/>
      <c r="EZ83"/>
      <c r="FA83"/>
      <c r="FB83"/>
      <c r="FG83" s="70"/>
      <c r="FH83" s="70"/>
      <c r="FI83" s="2213"/>
      <c r="FJ83" s="2213"/>
      <c r="FK83" s="2213"/>
      <c r="FL83"/>
      <c r="FM83"/>
      <c r="FN83"/>
      <c r="FO83"/>
      <c r="FP83"/>
      <c r="FQ83"/>
      <c r="FR83"/>
      <c r="FS83"/>
      <c r="FT83"/>
      <c r="FU83"/>
      <c r="FV83"/>
      <c r="FW83"/>
      <c r="FX83"/>
      <c r="FY83"/>
      <c r="FZ83"/>
      <c r="GA83"/>
      <c r="GB83"/>
      <c r="GC83"/>
      <c r="GD83"/>
      <c r="GE83"/>
      <c r="GF83"/>
      <c r="GG83"/>
      <c r="GH83"/>
      <c r="GI83"/>
      <c r="GJ83"/>
      <c r="GK83"/>
      <c r="GL83"/>
      <c r="GM83"/>
      <c r="GN83"/>
      <c r="GO83"/>
      <c r="GP83"/>
      <c r="GQ83"/>
      <c r="GR83"/>
      <c r="GS83"/>
      <c r="GT83"/>
      <c r="GU83"/>
      <c r="GV83"/>
      <c r="GW83"/>
      <c r="GX83"/>
      <c r="GY83"/>
      <c r="GZ83"/>
      <c r="HA83"/>
      <c r="HB83"/>
      <c r="HC83"/>
      <c r="HD83"/>
      <c r="HE83"/>
      <c r="HF83"/>
      <c r="HG83"/>
      <c r="HH83"/>
      <c r="HI83"/>
      <c r="HJ83"/>
      <c r="HK83"/>
      <c r="HL83"/>
      <c r="HM83"/>
      <c r="HN83"/>
      <c r="HO83"/>
      <c r="HP83"/>
      <c r="HQ83"/>
      <c r="HR83"/>
      <c r="HS83"/>
      <c r="HT83"/>
      <c r="HU83"/>
      <c r="HV83"/>
      <c r="HW83"/>
      <c r="HX83"/>
      <c r="HY83"/>
      <c r="HZ83"/>
      <c r="IA83"/>
      <c r="IB83"/>
      <c r="IC83"/>
      <c r="ID83"/>
      <c r="IE83"/>
      <c r="IF83"/>
      <c r="IG83"/>
      <c r="IH83"/>
      <c r="II83"/>
      <c r="IJ83"/>
      <c r="IK83"/>
      <c r="IL83"/>
      <c r="IM83"/>
      <c r="IN83"/>
      <c r="IO83"/>
      <c r="IP83"/>
      <c r="IQ83"/>
      <c r="IR83"/>
      <c r="IS83"/>
      <c r="IT83"/>
      <c r="IU83"/>
      <c r="IV83"/>
      <c r="IW83"/>
      <c r="IX83"/>
      <c r="IY83"/>
      <c r="IZ83"/>
    </row>
    <row r="84" spans="1:260" s="4" customFormat="1" x14ac:dyDescent="0.2">
      <c r="A84" s="601" t="s">
        <v>497</v>
      </c>
      <c r="E84" s="470"/>
      <c r="I84" s="470"/>
      <c r="M84" s="470"/>
      <c r="Q84" s="470"/>
      <c r="U84" s="470"/>
      <c r="Y84" s="470"/>
      <c r="AC84" s="470"/>
      <c r="AG84" s="470"/>
      <c r="AK84" s="470"/>
      <c r="AO84" s="470"/>
      <c r="AS84" s="470"/>
      <c r="AW84" s="470"/>
      <c r="BA84" s="470"/>
      <c r="BE84" s="470"/>
      <c r="BI84" s="470"/>
      <c r="BM84" s="470"/>
      <c r="BQ84" s="470"/>
      <c r="BU84" s="470"/>
      <c r="BY84" s="470"/>
      <c r="CC84" s="470"/>
      <c r="CD84" s="413"/>
      <c r="CE84" s="3"/>
      <c r="CF84" s="3"/>
      <c r="CG84" s="470"/>
      <c r="CH84" s="413"/>
      <c r="CI84" s="3"/>
      <c r="CJ84" s="7"/>
      <c r="CK84" s="470"/>
      <c r="CL84" s="1522"/>
      <c r="CM84" s="1474"/>
      <c r="CN84" s="1435"/>
      <c r="CO84" s="1587"/>
      <c r="CP84" s="1435"/>
      <c r="CQ84" s="1435"/>
      <c r="CR84" s="1435"/>
      <c r="CS84" s="484"/>
      <c r="CT84" s="7"/>
      <c r="CU84" s="1435"/>
      <c r="CV84" s="1435"/>
      <c r="CW84" s="484"/>
      <c r="CX84" s="1671"/>
      <c r="CY84" s="3"/>
      <c r="CZ84" s="3"/>
      <c r="DA84" s="470"/>
      <c r="DB84" s="671"/>
      <c r="DC84" s="484"/>
      <c r="DD84" s="15"/>
      <c r="DE84" s="15"/>
      <c r="DF84" s="15"/>
      <c r="DG84" s="15"/>
      <c r="DH84" s="15"/>
      <c r="DI84" s="15"/>
      <c r="DJ84" s="15"/>
      <c r="DK84" s="15"/>
      <c r="DL84" s="15"/>
      <c r="DM84" s="15"/>
      <c r="DN84" s="15"/>
      <c r="DO84" s="15"/>
      <c r="DP84" s="15"/>
      <c r="DQ84" s="15"/>
      <c r="DR84" s="15"/>
      <c r="DS84" s="15"/>
      <c r="DT84" s="15"/>
      <c r="DU84" s="15"/>
      <c r="DV84" s="15"/>
      <c r="DW84" s="15">
        <f t="shared" ref="DW84:EC84" si="165">DW82/DW88</f>
        <v>1.093681917211329</v>
      </c>
      <c r="DX84" s="15">
        <f t="shared" si="165"/>
        <v>1.4210526315789473</v>
      </c>
      <c r="DY84" s="15">
        <f t="shared" si="165"/>
        <v>1.4400785854616895</v>
      </c>
      <c r="DZ84" s="15">
        <f t="shared" si="165"/>
        <v>1.3741379310344828</v>
      </c>
      <c r="EA84" s="15">
        <f t="shared" si="165"/>
        <v>1.784931506849315</v>
      </c>
      <c r="EB84" s="15">
        <f t="shared" si="165"/>
        <v>0.73389021479713601</v>
      </c>
      <c r="EC84" s="15">
        <f t="shared" si="165"/>
        <v>0.8303571428571429</v>
      </c>
      <c r="ED84" s="15"/>
      <c r="EE84" s="15"/>
      <c r="EF84" s="674">
        <f>EF82/EF88</f>
        <v>0.85273906566894986</v>
      </c>
      <c r="EG84" s="161"/>
      <c r="EH84" s="161">
        <f t="shared" ref="EH84:EP84" si="166">EH82/EH88</f>
        <v>0.5470540649876523</v>
      </c>
      <c r="EI84" s="161">
        <f t="shared" si="166"/>
        <v>0.85518292682926833</v>
      </c>
      <c r="EJ84" s="161">
        <f>EJ82/EJ88</f>
        <v>0.9878234398782344</v>
      </c>
      <c r="EK84" s="70">
        <f t="shared" si="166"/>
        <v>0.88685015290519875</v>
      </c>
      <c r="EL84" s="70">
        <f>EL82/EL88</f>
        <v>1.0073206442166911</v>
      </c>
      <c r="EM84" s="1673">
        <f t="shared" si="166"/>
        <v>1.1376291434331982</v>
      </c>
      <c r="EN84" s="161">
        <f t="shared" si="166"/>
        <v>0.99728359855698756</v>
      </c>
      <c r="EO84" s="161">
        <f t="shared" si="166"/>
        <v>0.99958893076805155</v>
      </c>
      <c r="EP84" s="161">
        <f t="shared" si="166"/>
        <v>0.94540367850550266</v>
      </c>
      <c r="EQ84" s="161">
        <f>EQ82/EQ88</f>
        <v>0.84558411438720105</v>
      </c>
      <c r="ER84" s="161">
        <f>ER82/ER88</f>
        <v>0.86507186087621268</v>
      </c>
      <c r="ES84" s="161">
        <f>ES82/ES88</f>
        <v>0.86750001598463966</v>
      </c>
      <c r="ET84" s="161">
        <f>ET82/ET88</f>
        <v>0.86991066411467921</v>
      </c>
      <c r="EU84" s="161">
        <f>EU82/EU88</f>
        <v>0.87230033766837922</v>
      </c>
      <c r="EV84" s="413"/>
      <c r="EW84"/>
      <c r="EX84"/>
      <c r="EY84"/>
      <c r="EZ84"/>
      <c r="FA84"/>
      <c r="FB84"/>
      <c r="FG84" s="70"/>
      <c r="FH84" s="70"/>
      <c r="FI84" s="70"/>
      <c r="FJ84" s="70"/>
      <c r="FK84" s="70"/>
      <c r="FL84"/>
      <c r="FM84"/>
      <c r="FN84"/>
      <c r="FO84"/>
      <c r="FP84"/>
      <c r="FQ84"/>
      <c r="FR84"/>
      <c r="FS84"/>
      <c r="FT84"/>
      <c r="FU84"/>
      <c r="FV84"/>
      <c r="FW84"/>
      <c r="FX84"/>
      <c r="FY84"/>
      <c r="FZ84"/>
      <c r="GA84"/>
      <c r="GB84"/>
      <c r="GC84"/>
      <c r="GD84"/>
      <c r="GE84"/>
      <c r="GF84"/>
      <c r="GG84"/>
      <c r="GH84"/>
      <c r="GI84"/>
      <c r="GJ84"/>
      <c r="GK84"/>
      <c r="GL84"/>
      <c r="GM84"/>
      <c r="GN84"/>
      <c r="GO84"/>
      <c r="GP84"/>
      <c r="GQ84"/>
      <c r="GR84"/>
      <c r="GS84"/>
      <c r="GT84"/>
      <c r="GU84"/>
      <c r="GV84"/>
      <c r="GW84"/>
      <c r="GX84"/>
      <c r="GY84"/>
      <c r="GZ84"/>
      <c r="HA84"/>
      <c r="HB84"/>
      <c r="HC84"/>
      <c r="HD84"/>
      <c r="HE84"/>
      <c r="HF84"/>
      <c r="HG84"/>
      <c r="HH84"/>
      <c r="HI84"/>
      <c r="HJ84"/>
      <c r="HK84"/>
      <c r="HL84"/>
      <c r="HM84"/>
      <c r="HN84"/>
      <c r="HO84"/>
      <c r="HP84"/>
      <c r="HQ84"/>
      <c r="HR84"/>
      <c r="HS84"/>
      <c r="HT84"/>
      <c r="HU84"/>
      <c r="HV84"/>
      <c r="HW84"/>
      <c r="HX84"/>
      <c r="HY84"/>
      <c r="HZ84"/>
      <c r="IA84"/>
      <c r="IB84"/>
      <c r="IC84"/>
      <c r="ID84"/>
      <c r="IE84"/>
      <c r="IF84"/>
      <c r="IG84"/>
      <c r="IH84"/>
      <c r="II84"/>
      <c r="IJ84"/>
      <c r="IK84"/>
      <c r="IL84"/>
      <c r="IM84"/>
      <c r="IN84"/>
      <c r="IO84"/>
      <c r="IP84"/>
      <c r="IQ84"/>
      <c r="IR84"/>
      <c r="IS84"/>
      <c r="IT84"/>
      <c r="IU84"/>
      <c r="IV84"/>
      <c r="IW84"/>
      <c r="IX84"/>
      <c r="IY84"/>
      <c r="IZ84"/>
    </row>
    <row r="85" spans="1:260" s="4" customFormat="1" x14ac:dyDescent="0.2">
      <c r="A85" s="601" t="s">
        <v>499</v>
      </c>
      <c r="E85" s="470"/>
      <c r="I85" s="470"/>
      <c r="M85" s="470"/>
      <c r="Q85" s="470"/>
      <c r="U85" s="470"/>
      <c r="Y85" s="470"/>
      <c r="AC85" s="470"/>
      <c r="AG85" s="470"/>
      <c r="AK85" s="470"/>
      <c r="AO85" s="470"/>
      <c r="AS85" s="470"/>
      <c r="AW85" s="470"/>
      <c r="BA85" s="470"/>
      <c r="BE85" s="470"/>
      <c r="BI85" s="470"/>
      <c r="BM85" s="470"/>
      <c r="BQ85" s="470"/>
      <c r="BU85" s="470"/>
      <c r="BY85" s="470"/>
      <c r="CC85" s="470"/>
      <c r="CD85" s="413"/>
      <c r="CE85" s="3"/>
      <c r="CF85" s="3"/>
      <c r="CG85" s="470"/>
      <c r="CH85" s="413"/>
      <c r="CI85" s="3"/>
      <c r="CJ85" s="7"/>
      <c r="CK85" s="470"/>
      <c r="CL85" s="1522"/>
      <c r="CM85" s="1474"/>
      <c r="CN85" s="1435"/>
      <c r="CO85" s="1587"/>
      <c r="CP85" s="1435"/>
      <c r="CQ85" s="1435"/>
      <c r="CR85" s="1435"/>
      <c r="CS85" s="484"/>
      <c r="CT85" s="7"/>
      <c r="CU85" s="1435"/>
      <c r="CV85" s="1435"/>
      <c r="CW85" s="484"/>
      <c r="CX85" s="1671"/>
      <c r="CY85" s="3"/>
      <c r="CZ85" s="3"/>
      <c r="DA85" s="470"/>
      <c r="DB85" s="671"/>
      <c r="DC85" s="484"/>
      <c r="DD85" s="231"/>
      <c r="DE85" s="231"/>
      <c r="DF85" s="231"/>
      <c r="DG85" s="231"/>
      <c r="DH85" s="231"/>
      <c r="DI85" s="231"/>
      <c r="DJ85" s="231"/>
      <c r="DK85" s="231"/>
      <c r="DL85" s="231"/>
      <c r="DM85" s="231"/>
      <c r="DN85" s="231"/>
      <c r="DO85" s="231"/>
      <c r="DP85" s="231"/>
      <c r="DQ85" s="231"/>
      <c r="DR85" s="231"/>
      <c r="DS85" s="231"/>
      <c r="DT85" s="231"/>
      <c r="DU85" s="231"/>
      <c r="DV85" s="231"/>
      <c r="DW85" s="231">
        <f t="shared" ref="DW85:EC85" si="167">DW82/DW89*1000</f>
        <v>629.07268170426062</v>
      </c>
      <c r="DX85" s="231">
        <f t="shared" si="167"/>
        <v>728.49915682967958</v>
      </c>
      <c r="DY85" s="231">
        <f t="shared" si="167"/>
        <v>693.80028395646002</v>
      </c>
      <c r="DZ85" s="231">
        <f t="shared" si="167"/>
        <v>641.19066773934026</v>
      </c>
      <c r="EA85" s="231">
        <f t="shared" si="167"/>
        <v>495.81430745814311</v>
      </c>
      <c r="EB85" s="231">
        <f t="shared" si="167"/>
        <v>154.38684573867204</v>
      </c>
      <c r="EC85" s="231">
        <f t="shared" si="167"/>
        <v>181.5298279858485</v>
      </c>
      <c r="ED85" s="231"/>
      <c r="EE85" s="231"/>
      <c r="EF85" s="1195">
        <f>EF82/EF89*1000</f>
        <v>171.98098803407393</v>
      </c>
      <c r="EG85" s="1196"/>
      <c r="EH85" s="1196">
        <f t="shared" ref="EH85:EP85" si="168">EH82/EH89*1000</f>
        <v>124.5485221033921</v>
      </c>
      <c r="EI85" s="1196">
        <f t="shared" si="168"/>
        <v>319.84036488027368</v>
      </c>
      <c r="EJ85" s="1196">
        <f>EJ82/EJ89*1000</f>
        <v>386.30952380952385</v>
      </c>
      <c r="EK85" s="880">
        <f t="shared" si="168"/>
        <v>361.82158452900808</v>
      </c>
      <c r="EL85" s="880">
        <f>EL82/EL89*1000</f>
        <v>446.31852092118066</v>
      </c>
      <c r="EM85" s="1675">
        <f t="shared" si="168"/>
        <v>615.05816629516949</v>
      </c>
      <c r="EN85" s="1196">
        <f t="shared" si="168"/>
        <v>601.12747327914758</v>
      </c>
      <c r="EO85" s="1196">
        <f t="shared" si="168"/>
        <v>607.28570959284252</v>
      </c>
      <c r="EP85" s="1196">
        <f t="shared" si="168"/>
        <v>577.29180264416368</v>
      </c>
      <c r="EQ85" s="1196">
        <f>EQ82/EQ89*1000</f>
        <v>520.40438901501454</v>
      </c>
      <c r="ER85" s="1196">
        <f>ER82/ER89*1000</f>
        <v>536.7788360051627</v>
      </c>
      <c r="ES85" s="1196">
        <f>ES82/ES89*1000</f>
        <v>542.91101153527484</v>
      </c>
      <c r="ET85" s="1196">
        <f>ET82/ET89*1000</f>
        <v>549.30118695208614</v>
      </c>
      <c r="EU85" s="1196">
        <f>EU82/EU89*1000</f>
        <v>555.95964859418905</v>
      </c>
      <c r="EV85" s="413"/>
      <c r="EW85"/>
      <c r="EX85"/>
      <c r="EY85"/>
      <c r="EZ85"/>
      <c r="FA85"/>
      <c r="FB85"/>
      <c r="FG85" s="880"/>
      <c r="FH85" s="880"/>
      <c r="FI85" s="880"/>
      <c r="FJ85" s="880"/>
      <c r="FK85" s="880"/>
      <c r="FL85"/>
      <c r="FM85"/>
      <c r="FN85"/>
      <c r="FO85"/>
      <c r="FP85"/>
      <c r="FQ85"/>
      <c r="FR85"/>
      <c r="FS85"/>
      <c r="FT85"/>
      <c r="FU85"/>
      <c r="FV85"/>
      <c r="FW85"/>
      <c r="FX85"/>
      <c r="FY85"/>
      <c r="FZ85"/>
      <c r="GA85"/>
      <c r="GB85"/>
      <c r="GC85"/>
      <c r="GD85"/>
      <c r="GE85"/>
      <c r="GF85"/>
      <c r="GG85"/>
      <c r="GH85"/>
      <c r="GI85"/>
      <c r="GJ85"/>
      <c r="GK85"/>
      <c r="GL85"/>
      <c r="GM85"/>
      <c r="GN85"/>
      <c r="GO85"/>
      <c r="GP85"/>
      <c r="GQ85"/>
      <c r="GR85"/>
      <c r="GS85"/>
      <c r="GT85"/>
      <c r="GU85"/>
      <c r="GV85"/>
      <c r="GW85"/>
      <c r="GX85"/>
      <c r="GY85"/>
      <c r="GZ85"/>
      <c r="HA85"/>
      <c r="HB85"/>
      <c r="HC85"/>
      <c r="HD85"/>
      <c r="HE85"/>
      <c r="HF85"/>
      <c r="HG85"/>
      <c r="HH85"/>
      <c r="HI85"/>
      <c r="HJ85"/>
      <c r="HK85"/>
      <c r="HL85"/>
      <c r="HM85"/>
      <c r="HN85"/>
      <c r="HO85"/>
      <c r="HP85"/>
      <c r="HQ85"/>
      <c r="HR85"/>
      <c r="HS85"/>
      <c r="HT85"/>
      <c r="HU85"/>
      <c r="HV85"/>
      <c r="HW85"/>
      <c r="HX85"/>
      <c r="HY85"/>
      <c r="HZ85"/>
      <c r="IA85"/>
      <c r="IB85"/>
      <c r="IC85"/>
      <c r="ID85"/>
      <c r="IE85"/>
      <c r="IF85"/>
      <c r="IG85"/>
      <c r="IH85"/>
      <c r="II85"/>
      <c r="IJ85"/>
      <c r="IK85"/>
      <c r="IL85"/>
      <c r="IM85"/>
      <c r="IN85"/>
      <c r="IO85"/>
      <c r="IP85"/>
      <c r="IQ85"/>
      <c r="IR85"/>
      <c r="IS85"/>
      <c r="IT85"/>
      <c r="IU85"/>
      <c r="IV85"/>
      <c r="IW85"/>
      <c r="IX85"/>
      <c r="IY85"/>
      <c r="IZ85"/>
    </row>
    <row r="86" spans="1:260" s="4" customFormat="1" x14ac:dyDescent="0.2">
      <c r="E86" s="470"/>
      <c r="I86" s="470"/>
      <c r="M86" s="470"/>
      <c r="Q86" s="470"/>
      <c r="U86" s="470"/>
      <c r="Y86" s="470"/>
      <c r="AC86" s="470"/>
      <c r="AG86" s="470"/>
      <c r="AK86" s="470"/>
      <c r="AO86" s="470"/>
      <c r="AS86" s="470"/>
      <c r="AW86" s="470"/>
      <c r="BA86" s="470"/>
      <c r="BE86" s="470"/>
      <c r="BI86" s="470"/>
      <c r="BM86" s="470"/>
      <c r="BQ86" s="470"/>
      <c r="BU86" s="470"/>
      <c r="BY86" s="470"/>
      <c r="BZ86" s="6"/>
      <c r="CA86" s="6"/>
      <c r="CB86" s="6"/>
      <c r="CC86" s="484"/>
      <c r="CD86" s="671"/>
      <c r="CE86" s="7"/>
      <c r="CF86" s="7"/>
      <c r="CG86" s="484"/>
      <c r="CH86" s="671"/>
      <c r="CI86" s="7"/>
      <c r="CJ86" s="7"/>
      <c r="CK86" s="484"/>
      <c r="CL86" s="1648"/>
      <c r="CM86" s="1435"/>
      <c r="CN86" s="1435"/>
      <c r="CO86" s="503"/>
      <c r="CP86" s="1435"/>
      <c r="CQ86" s="1435"/>
      <c r="CR86" s="1435"/>
      <c r="CS86" s="484"/>
      <c r="CT86" s="7"/>
      <c r="CU86" s="1435"/>
      <c r="CV86" s="1435"/>
      <c r="CW86" s="484"/>
      <c r="CX86" s="1671"/>
      <c r="CY86" s="7"/>
      <c r="CZ86" s="7"/>
      <c r="DA86" s="484"/>
      <c r="DB86" s="671"/>
      <c r="DC86" s="484"/>
      <c r="ED86" s="6"/>
      <c r="EE86" s="6"/>
      <c r="EF86" s="671"/>
      <c r="EG86" s="7"/>
      <c r="EH86" s="7"/>
      <c r="EI86" s="7"/>
      <c r="EJ86" s="7"/>
      <c r="EK86" s="7"/>
      <c r="EL86" s="7"/>
      <c r="EM86" s="1671"/>
      <c r="EN86" s="7"/>
      <c r="EO86" s="7"/>
      <c r="EP86" s="7"/>
      <c r="EQ86" s="7"/>
      <c r="ER86" s="7"/>
      <c r="ES86" s="7"/>
      <c r="ET86" s="7"/>
      <c r="EU86" s="7"/>
      <c r="EV86" s="413"/>
      <c r="EW86"/>
      <c r="EX86"/>
      <c r="EY86"/>
      <c r="EZ86"/>
      <c r="FA86"/>
      <c r="FB86"/>
      <c r="FG86" s="7"/>
      <c r="FH86" s="7"/>
      <c r="FI86" s="7"/>
      <c r="FJ86" s="7"/>
      <c r="FK86" s="7"/>
      <c r="FL86"/>
      <c r="FM86"/>
      <c r="FN86"/>
      <c r="FO86"/>
      <c r="FP86"/>
      <c r="FQ86"/>
      <c r="FR86"/>
      <c r="FS86"/>
      <c r="FT86"/>
      <c r="FU86"/>
      <c r="FV86"/>
      <c r="FW86"/>
      <c r="FX86"/>
      <c r="FY86"/>
      <c r="FZ86"/>
      <c r="GA86"/>
      <c r="GB86"/>
      <c r="GC86"/>
      <c r="GD86"/>
      <c r="GE86"/>
      <c r="GF86"/>
      <c r="GG86"/>
      <c r="GH86"/>
      <c r="GI86"/>
      <c r="GJ86"/>
      <c r="GK86"/>
      <c r="GL86"/>
      <c r="GM86"/>
      <c r="GN86"/>
      <c r="GO86"/>
      <c r="GP86"/>
      <c r="GQ86"/>
      <c r="GR86"/>
      <c r="GS86"/>
      <c r="GT86"/>
      <c r="GU86"/>
      <c r="GV86"/>
      <c r="GW86"/>
      <c r="GX86"/>
      <c r="GY86"/>
      <c r="GZ86"/>
      <c r="HA86"/>
      <c r="HB86"/>
      <c r="HC86"/>
      <c r="HD86"/>
      <c r="HE86"/>
      <c r="HF86"/>
      <c r="HG86"/>
      <c r="HH86"/>
      <c r="HI86"/>
      <c r="HJ86"/>
      <c r="HK86"/>
      <c r="HL86"/>
      <c r="HM86"/>
      <c r="HN86"/>
      <c r="HO86"/>
      <c r="HP86"/>
      <c r="HQ86"/>
      <c r="HR86"/>
      <c r="HS86"/>
      <c r="HT86"/>
      <c r="HU86"/>
      <c r="HV86"/>
      <c r="HW86"/>
      <c r="HX86"/>
      <c r="HY86"/>
      <c r="HZ86"/>
      <c r="IA86"/>
      <c r="IB86"/>
      <c r="IC86"/>
      <c r="ID86"/>
      <c r="IE86"/>
      <c r="IF86"/>
      <c r="IG86"/>
      <c r="IH86"/>
      <c r="II86"/>
      <c r="IJ86"/>
      <c r="IK86"/>
      <c r="IL86"/>
      <c r="IM86"/>
      <c r="IN86"/>
      <c r="IO86"/>
      <c r="IP86"/>
      <c r="IQ86"/>
      <c r="IR86"/>
      <c r="IS86"/>
      <c r="IT86"/>
      <c r="IU86"/>
      <c r="IV86"/>
      <c r="IW86"/>
      <c r="IX86"/>
      <c r="IY86"/>
      <c r="IZ86"/>
    </row>
    <row r="87" spans="1:260" s="4" customFormat="1" x14ac:dyDescent="0.2">
      <c r="A87" s="4" t="s">
        <v>498</v>
      </c>
      <c r="E87" s="470"/>
      <c r="I87" s="470"/>
      <c r="M87" s="470"/>
      <c r="Q87" s="470"/>
      <c r="U87" s="470"/>
      <c r="Y87" s="470"/>
      <c r="AC87" s="470"/>
      <c r="AG87" s="470"/>
      <c r="AK87" s="470"/>
      <c r="AO87" s="470"/>
      <c r="AS87" s="470"/>
      <c r="AW87" s="470"/>
      <c r="BA87" s="470"/>
      <c r="BE87" s="470"/>
      <c r="BI87" s="470"/>
      <c r="BM87" s="470"/>
      <c r="BQ87" s="470"/>
      <c r="BU87" s="470"/>
      <c r="BY87" s="470"/>
      <c r="BZ87" s="6"/>
      <c r="CA87" s="6"/>
      <c r="CB87" s="6"/>
      <c r="CC87" s="484"/>
      <c r="CD87" s="671"/>
      <c r="CE87" s="7"/>
      <c r="CF87" s="7"/>
      <c r="CG87" s="484"/>
      <c r="CH87" s="671"/>
      <c r="CI87" s="7"/>
      <c r="CJ87" s="7"/>
      <c r="CK87" s="484"/>
      <c r="CL87" s="1648"/>
      <c r="CM87" s="1435"/>
      <c r="CN87" s="1435"/>
      <c r="CO87" s="503"/>
      <c r="CP87" s="1435"/>
      <c r="CQ87" s="1435"/>
      <c r="CR87" s="1435"/>
      <c r="CS87" s="484"/>
      <c r="CT87" s="7"/>
      <c r="CU87" s="1435"/>
      <c r="CV87" s="1435"/>
      <c r="CW87" s="484"/>
      <c r="CX87" s="1671"/>
      <c r="CY87" s="7"/>
      <c r="CZ87" s="7"/>
      <c r="DA87" s="484"/>
      <c r="DB87" s="671"/>
      <c r="DC87" s="503"/>
      <c r="DD87" s="2443"/>
      <c r="DE87" s="2443"/>
      <c r="DF87" s="2443"/>
      <c r="DG87" s="2443"/>
      <c r="DH87" s="2443"/>
      <c r="DI87" s="2443"/>
      <c r="DJ87" s="2443"/>
      <c r="DK87" s="2443"/>
      <c r="DL87" s="2443"/>
      <c r="DM87" s="2443"/>
      <c r="DN87" s="2443"/>
      <c r="DO87" s="2443"/>
      <c r="DP87" s="2443"/>
      <c r="DQ87" s="2443"/>
      <c r="DR87" s="2443"/>
      <c r="DS87" s="2443"/>
      <c r="DT87" s="2443"/>
      <c r="DU87" s="2443"/>
      <c r="DV87" s="2443"/>
      <c r="DW87" s="2443">
        <f>'Revenue Model'!EI404</f>
        <v>27432</v>
      </c>
      <c r="DX87" s="2443">
        <f>'Revenue Model'!EJ404</f>
        <v>30848</v>
      </c>
      <c r="DY87" s="2443">
        <f>'Revenue Model'!EK404</f>
        <v>35934</v>
      </c>
      <c r="DZ87" s="2443">
        <f>'Revenue Model'!EL404</f>
        <v>40023</v>
      </c>
      <c r="EA87" s="2443">
        <f>'Revenue Model'!EM404</f>
        <v>45015</v>
      </c>
      <c r="EB87" s="2443">
        <f>'Revenue Model'!EN404</f>
        <v>49694</v>
      </c>
      <c r="EC87" s="2443">
        <f>'Revenue Model'!EO404</f>
        <v>50272</v>
      </c>
      <c r="ED87" s="238"/>
      <c r="EE87" s="238"/>
      <c r="EF87" s="942">
        <f>'Revenue Model'!ES404</f>
        <v>49621</v>
      </c>
      <c r="EG87" s="2444"/>
      <c r="EH87" s="2444">
        <f>'Revenue Model'!EU404</f>
        <v>40611</v>
      </c>
      <c r="EI87" s="2444">
        <f>'Revenue Model'!EV404</f>
        <v>40339</v>
      </c>
      <c r="EJ87" s="2444">
        <f>'Revenue Model'!EW404</f>
        <v>39528</v>
      </c>
      <c r="EK87" s="2444">
        <f>'Revenue Model'!EX404</f>
        <v>39403</v>
      </c>
      <c r="EL87" s="2444">
        <f>'Revenue Model'!EY404</f>
        <v>42151</v>
      </c>
      <c r="EM87" s="2445">
        <f>'Revenue Model'!EZ404</f>
        <v>42315.007255648889</v>
      </c>
      <c r="EN87" s="2444">
        <f>'Revenue Model'!FA404</f>
        <v>42741.505738567968</v>
      </c>
      <c r="EO87" s="2444">
        <f>'Revenue Model'!FB404</f>
        <v>43166.084012970176</v>
      </c>
      <c r="EP87" s="2444">
        <f>'Revenue Model'!FC404</f>
        <v>43542.078949888339</v>
      </c>
      <c r="EQ87" s="2444">
        <f>'Revenue Model'!FD404</f>
        <v>44094.716422977304</v>
      </c>
      <c r="ER87" s="2444">
        <f>'Revenue Model'!FE404</f>
        <v>44669.094188004266</v>
      </c>
      <c r="ES87" s="2444">
        <f>'Revenue Model'!FF404</f>
        <v>45266.289294580514</v>
      </c>
      <c r="ET87" s="2444">
        <f>'Revenue Model'!FG404</f>
        <v>45887.432566183001</v>
      </c>
      <c r="EU87" s="2444">
        <f>'Revenue Model'!FH404</f>
        <v>46533.711289341292</v>
      </c>
      <c r="EV87" s="1522"/>
      <c r="EW87"/>
      <c r="EX87"/>
      <c r="EY87"/>
      <c r="EZ87"/>
      <c r="FA87"/>
      <c r="FB87"/>
      <c r="FG87" s="1338"/>
      <c r="FH87" s="1338"/>
      <c r="FI87" s="2444"/>
      <c r="FJ87" s="2444"/>
      <c r="FK87" s="2444"/>
      <c r="FL87"/>
      <c r="FM87"/>
      <c r="FN87"/>
      <c r="FO87"/>
      <c r="FP87"/>
      <c r="FQ87"/>
      <c r="FR87"/>
      <c r="FS87"/>
      <c r="FT87"/>
      <c r="FU87"/>
      <c r="FV87"/>
      <c r="FW87"/>
      <c r="FX87"/>
      <c r="FY87"/>
      <c r="FZ87"/>
      <c r="GA87"/>
      <c r="GB87"/>
      <c r="GC87"/>
      <c r="GD87"/>
      <c r="GE87"/>
      <c r="GF87"/>
      <c r="GG87"/>
      <c r="GH87"/>
      <c r="GI87"/>
      <c r="GJ87"/>
      <c r="GK87"/>
      <c r="GL87"/>
      <c r="GM87"/>
      <c r="GN87"/>
      <c r="GO87"/>
      <c r="GP87"/>
      <c r="GQ87"/>
      <c r="GR87"/>
      <c r="GS87"/>
      <c r="GT87"/>
      <c r="GU87"/>
      <c r="GV87"/>
      <c r="GW87"/>
      <c r="GX87"/>
      <c r="GY87"/>
      <c r="GZ87"/>
      <c r="HA87"/>
      <c r="HB87"/>
      <c r="HC87"/>
      <c r="HD87"/>
      <c r="HE87"/>
      <c r="HF87"/>
      <c r="HG87"/>
      <c r="HH87"/>
      <c r="HI87"/>
      <c r="HJ87"/>
      <c r="HK87"/>
      <c r="HL87"/>
      <c r="HM87"/>
      <c r="HN87"/>
      <c r="HO87"/>
      <c r="HP87"/>
      <c r="HQ87"/>
      <c r="HR87"/>
      <c r="HS87"/>
      <c r="HT87"/>
      <c r="HU87"/>
      <c r="HV87"/>
      <c r="HW87"/>
      <c r="HX87"/>
      <c r="HY87"/>
      <c r="HZ87"/>
      <c r="IA87"/>
      <c r="IB87"/>
      <c r="IC87"/>
      <c r="ID87"/>
      <c r="IE87"/>
      <c r="IF87"/>
      <c r="IG87"/>
      <c r="IH87"/>
      <c r="II87"/>
      <c r="IJ87"/>
      <c r="IK87"/>
      <c r="IL87"/>
      <c r="IM87"/>
      <c r="IN87"/>
      <c r="IO87"/>
      <c r="IP87"/>
      <c r="IQ87"/>
      <c r="IR87"/>
      <c r="IS87"/>
      <c r="IT87"/>
      <c r="IU87"/>
      <c r="IV87"/>
      <c r="IW87"/>
      <c r="IX87"/>
      <c r="IY87"/>
      <c r="IZ87"/>
    </row>
    <row r="88" spans="1:260" s="4" customFormat="1" x14ac:dyDescent="0.2">
      <c r="A88" s="4" t="s">
        <v>115</v>
      </c>
      <c r="E88" s="470"/>
      <c r="I88" s="470"/>
      <c r="M88" s="470"/>
      <c r="Q88" s="470"/>
      <c r="U88" s="470"/>
      <c r="Y88" s="470"/>
      <c r="AC88" s="470"/>
      <c r="AG88" s="470"/>
      <c r="AK88" s="470"/>
      <c r="AO88" s="470"/>
      <c r="AS88" s="470"/>
      <c r="AW88" s="470"/>
      <c r="BA88" s="470"/>
      <c r="BE88" s="470"/>
      <c r="BI88" s="470"/>
      <c r="BM88" s="470"/>
      <c r="BQ88" s="470"/>
      <c r="BU88" s="470"/>
      <c r="BY88" s="470"/>
      <c r="BZ88" s="6"/>
      <c r="CA88" s="6"/>
      <c r="CB88" s="6"/>
      <c r="CC88" s="484"/>
      <c r="CD88" s="671"/>
      <c r="CE88" s="7"/>
      <c r="CF88" s="7"/>
      <c r="CG88" s="484"/>
      <c r="CH88" s="671"/>
      <c r="CI88" s="7"/>
      <c r="CJ88" s="7"/>
      <c r="CK88" s="484"/>
      <c r="CL88" s="1648"/>
      <c r="CM88" s="1435"/>
      <c r="CN88" s="1435"/>
      <c r="CO88" s="503"/>
      <c r="CP88" s="1435"/>
      <c r="CQ88" s="1435"/>
      <c r="CR88" s="1435"/>
      <c r="CS88" s="484"/>
      <c r="CT88" s="7"/>
      <c r="CU88" s="1435"/>
      <c r="CV88" s="1435"/>
      <c r="CW88" s="484"/>
      <c r="CX88" s="1671"/>
      <c r="CY88" s="7"/>
      <c r="CZ88" s="7"/>
      <c r="DA88" s="484"/>
      <c r="DB88" s="671"/>
      <c r="DC88" s="503"/>
      <c r="DD88" s="2443"/>
      <c r="DE88" s="2443"/>
      <c r="DF88" s="2443"/>
      <c r="DG88" s="2443"/>
      <c r="DH88" s="2443"/>
      <c r="DI88" s="2443"/>
      <c r="DJ88" s="2443"/>
      <c r="DK88" s="2443"/>
      <c r="DL88" s="2443"/>
      <c r="DM88" s="2443"/>
      <c r="DN88" s="2443"/>
      <c r="DO88" s="2443"/>
      <c r="DP88" s="2443"/>
      <c r="DQ88" s="2443"/>
      <c r="DR88" s="2443"/>
      <c r="DS88" s="2443"/>
      <c r="DT88" s="2443"/>
      <c r="DU88" s="2443"/>
      <c r="DV88" s="2443"/>
      <c r="DW88" s="2443">
        <f>'Income Statement'!EI11</f>
        <v>459</v>
      </c>
      <c r="DX88" s="2443">
        <f>'Income Statement'!EJ11</f>
        <v>456</v>
      </c>
      <c r="DY88" s="2443">
        <f>'Income Statement'!EK11</f>
        <v>509</v>
      </c>
      <c r="DZ88" s="2443">
        <f>'Income Statement'!EL11</f>
        <v>580</v>
      </c>
      <c r="EA88" s="2443">
        <f>'Income Statement'!EM11</f>
        <v>730</v>
      </c>
      <c r="EB88" s="2443">
        <f>'Income Statement'!EN11</f>
        <v>838</v>
      </c>
      <c r="EC88" s="2443">
        <f>'Income Statement'!EO11</f>
        <v>896</v>
      </c>
      <c r="ED88" s="238"/>
      <c r="EE88" s="238"/>
      <c r="EF88" s="942">
        <f>'Income Statement'!ES11</f>
        <v>876</v>
      </c>
      <c r="EG88" s="2444"/>
      <c r="EH88" s="2444">
        <f>'Income Statement'!EU11</f>
        <v>701</v>
      </c>
      <c r="EI88" s="2444">
        <f>'Income Statement'!EV11</f>
        <v>656</v>
      </c>
      <c r="EJ88" s="2444">
        <f>'Income Statement'!EW11</f>
        <v>657</v>
      </c>
      <c r="EK88" s="2444">
        <f>'Income Statement'!EX11</f>
        <v>654</v>
      </c>
      <c r="EL88" s="2444">
        <f>'Income Statement'!EY11</f>
        <v>683</v>
      </c>
      <c r="EM88" s="2445">
        <f>'Income Statement'!EZ11</f>
        <v>744.74412769942035</v>
      </c>
      <c r="EN88" s="2444">
        <f>'Income Statement'!FA11</f>
        <v>752.25050099879616</v>
      </c>
      <c r="EO88" s="2444">
        <f>'Income Statement'!FB11</f>
        <v>759.72307862827495</v>
      </c>
      <c r="EP88" s="2444">
        <f>'Income Statement'!FC11</f>
        <v>766.34058951803468</v>
      </c>
      <c r="EQ88" s="2444">
        <f>'Income Statement'!FD11</f>
        <v>776.06700904440049</v>
      </c>
      <c r="ER88" s="2444">
        <f>'Income Statement'!FE11</f>
        <v>786.17605770887496</v>
      </c>
      <c r="ES88" s="2444">
        <f>'Income Statement'!FF11</f>
        <v>796.68669158461694</v>
      </c>
      <c r="ET88" s="2444">
        <f>'Income Statement'!FG11</f>
        <v>807.61881316482072</v>
      </c>
      <c r="EU88" s="2444">
        <f>'Income Statement'!FH11</f>
        <v>818.99331869240666</v>
      </c>
      <c r="EV88" s="1522"/>
      <c r="EW88"/>
      <c r="EX88"/>
      <c r="EY88"/>
      <c r="EZ88"/>
      <c r="FA88"/>
      <c r="FB88"/>
      <c r="FG88" s="1338"/>
      <c r="FH88" s="1338"/>
      <c r="FI88" s="2444"/>
      <c r="FJ88" s="2444"/>
      <c r="FK88" s="2444"/>
      <c r="FL88"/>
      <c r="FM88"/>
      <c r="FN88"/>
      <c r="FO88"/>
      <c r="FP88"/>
      <c r="FQ88"/>
      <c r="FR88"/>
      <c r="FS88"/>
      <c r="FT88"/>
      <c r="FU88"/>
      <c r="FV88"/>
      <c r="FW88"/>
      <c r="FX88"/>
      <c r="FY88"/>
      <c r="FZ88"/>
      <c r="GA88"/>
      <c r="GB88"/>
      <c r="GC88"/>
      <c r="GD88"/>
      <c r="GE88"/>
      <c r="GF88"/>
      <c r="GG88"/>
      <c r="GH88"/>
      <c r="GI88"/>
      <c r="GJ88"/>
      <c r="GK88"/>
      <c r="GL88"/>
      <c r="GM88"/>
      <c r="GN88"/>
      <c r="GO88"/>
      <c r="GP88"/>
      <c r="GQ88"/>
      <c r="GR88"/>
      <c r="GS88"/>
      <c r="GT88"/>
      <c r="GU88"/>
      <c r="GV88"/>
      <c r="GW88"/>
      <c r="GX88"/>
      <c r="GY88"/>
      <c r="GZ88"/>
      <c r="HA88"/>
      <c r="HB88"/>
      <c r="HC88"/>
      <c r="HD88"/>
      <c r="HE88"/>
      <c r="HF88"/>
      <c r="HG88"/>
      <c r="HH88"/>
      <c r="HI88"/>
      <c r="HJ88"/>
      <c r="HK88"/>
      <c r="HL88"/>
      <c r="HM88"/>
      <c r="HN88"/>
      <c r="HO88"/>
      <c r="HP88"/>
      <c r="HQ88"/>
      <c r="HR88"/>
      <c r="HS88"/>
      <c r="HT88"/>
      <c r="HU88"/>
      <c r="HV88"/>
      <c r="HW88"/>
      <c r="HX88"/>
      <c r="HY88"/>
      <c r="HZ88"/>
      <c r="IA88"/>
      <c r="IB88"/>
      <c r="IC88"/>
      <c r="ID88"/>
      <c r="IE88"/>
      <c r="IF88"/>
      <c r="IG88"/>
      <c r="IH88"/>
      <c r="II88"/>
      <c r="IJ88"/>
      <c r="IK88"/>
      <c r="IL88"/>
      <c r="IM88"/>
      <c r="IN88"/>
      <c r="IO88"/>
      <c r="IP88"/>
      <c r="IQ88"/>
      <c r="IR88"/>
      <c r="IS88"/>
      <c r="IT88"/>
      <c r="IU88"/>
      <c r="IV88"/>
      <c r="IW88"/>
      <c r="IX88"/>
      <c r="IY88"/>
      <c r="IZ88"/>
    </row>
    <row r="89" spans="1:260" s="4" customFormat="1" x14ac:dyDescent="0.2">
      <c r="A89" s="4" t="s">
        <v>119</v>
      </c>
      <c r="E89" s="470"/>
      <c r="I89" s="470"/>
      <c r="M89" s="470"/>
      <c r="Q89" s="470"/>
      <c r="U89" s="470"/>
      <c r="Y89" s="470"/>
      <c r="AC89" s="470"/>
      <c r="AG89" s="470"/>
      <c r="AK89" s="470"/>
      <c r="AO89" s="470"/>
      <c r="AS89" s="470"/>
      <c r="AW89" s="470"/>
      <c r="BA89" s="470"/>
      <c r="BE89" s="470"/>
      <c r="BI89" s="470"/>
      <c r="BM89" s="470"/>
      <c r="BQ89" s="470"/>
      <c r="BU89" s="470"/>
      <c r="BY89" s="470"/>
      <c r="BZ89" s="6"/>
      <c r="CA89" s="6"/>
      <c r="CB89" s="6"/>
      <c r="CC89" s="484"/>
      <c r="CD89" s="671"/>
      <c r="CE89" s="7"/>
      <c r="CF89" s="7"/>
      <c r="CG89" s="484"/>
      <c r="CH89" s="671"/>
      <c r="CI89" s="7"/>
      <c r="CJ89" s="7"/>
      <c r="CK89" s="484"/>
      <c r="CL89" s="1648"/>
      <c r="CM89" s="1435"/>
      <c r="CN89" s="1435"/>
      <c r="CO89" s="503"/>
      <c r="CP89" s="1435"/>
      <c r="CQ89" s="1435"/>
      <c r="CR89" s="1435"/>
      <c r="CS89" s="484"/>
      <c r="CT89" s="7"/>
      <c r="CU89" s="1435"/>
      <c r="CV89" s="1435"/>
      <c r="CW89" s="484"/>
      <c r="CX89" s="1671"/>
      <c r="CY89" s="7"/>
      <c r="CZ89" s="7"/>
      <c r="DA89" s="484"/>
      <c r="DB89" s="671"/>
      <c r="DC89" s="484"/>
      <c r="DD89" s="38"/>
      <c r="DE89" s="38"/>
      <c r="DF89" s="38"/>
      <c r="DG89" s="38"/>
      <c r="DH89" s="38"/>
      <c r="DI89" s="38"/>
      <c r="DJ89" s="38"/>
      <c r="DK89" s="38"/>
      <c r="DL89" s="38"/>
      <c r="DM89" s="38"/>
      <c r="DN89" s="38"/>
      <c r="DO89" s="38"/>
      <c r="DP89" s="38"/>
      <c r="DQ89" s="38"/>
      <c r="DR89" s="38"/>
      <c r="DS89" s="38"/>
      <c r="DT89" s="38"/>
      <c r="DU89" s="38"/>
      <c r="DV89" s="38"/>
      <c r="DW89" s="38">
        <f>'Revenue Model'!EI379</f>
        <v>798</v>
      </c>
      <c r="DX89" s="38">
        <f>'Revenue Model'!EJ379</f>
        <v>889.5</v>
      </c>
      <c r="DY89" s="38">
        <f>'Revenue Model'!EK379</f>
        <v>1056.5</v>
      </c>
      <c r="DZ89" s="38">
        <f>'Revenue Model'!EL379</f>
        <v>1243</v>
      </c>
      <c r="EA89" s="38">
        <f>'Revenue Model'!EM379</f>
        <v>2628</v>
      </c>
      <c r="EB89" s="38">
        <f>'Revenue Model'!EN379</f>
        <v>3983.5</v>
      </c>
      <c r="EC89" s="38">
        <f>'Revenue Model'!EO379</f>
        <v>4098.5</v>
      </c>
      <c r="ED89" s="54"/>
      <c r="EE89" s="54"/>
      <c r="EF89" s="731">
        <f>'Revenue Model'!ES379</f>
        <v>4343.5</v>
      </c>
      <c r="EG89" s="428"/>
      <c r="EH89" s="428">
        <f>'Revenue Model'!EU379</f>
        <v>3079</v>
      </c>
      <c r="EI89" s="428">
        <f>'Revenue Model'!EV379</f>
        <v>1754</v>
      </c>
      <c r="EJ89" s="428">
        <f>'Revenue Model'!EW379</f>
        <v>1680</v>
      </c>
      <c r="EK89" s="428">
        <f>'Revenue Model'!EX379</f>
        <v>1603</v>
      </c>
      <c r="EL89" s="428">
        <f>'Revenue Model'!EY379</f>
        <v>1541.5</v>
      </c>
      <c r="EM89" s="1693">
        <f>'Revenue Model'!EZ379</f>
        <v>1377.5</v>
      </c>
      <c r="EN89" s="428">
        <f>'Revenue Model'!FA379</f>
        <v>1248</v>
      </c>
      <c r="EO89" s="428">
        <f>'Revenue Model'!FB379</f>
        <v>1250.5</v>
      </c>
      <c r="EP89" s="428">
        <f>'Revenue Model'!FC379</f>
        <v>1255</v>
      </c>
      <c r="EQ89" s="428">
        <f>'Revenue Model'!FD379</f>
        <v>1261</v>
      </c>
      <c r="ER89" s="428">
        <f>'Revenue Model'!FE379</f>
        <v>1267</v>
      </c>
      <c r="ES89" s="428">
        <f>'Revenue Model'!FF379</f>
        <v>1273</v>
      </c>
      <c r="ET89" s="428">
        <f>'Revenue Model'!FG379</f>
        <v>1279</v>
      </c>
      <c r="EU89" s="428">
        <f>'Revenue Model'!FH379</f>
        <v>1285</v>
      </c>
      <c r="EV89" s="413"/>
      <c r="EW89"/>
      <c r="EX89"/>
      <c r="EY89"/>
      <c r="EZ89"/>
      <c r="FA89"/>
      <c r="FB89"/>
      <c r="FG89" s="428"/>
      <c r="FH89" s="428"/>
      <c r="FI89" s="428"/>
      <c r="FJ89" s="428"/>
      <c r="FK89" s="428"/>
      <c r="FL89"/>
      <c r="FM89"/>
      <c r="FN89"/>
      <c r="FO89"/>
      <c r="FP89"/>
      <c r="FQ89"/>
      <c r="FR89"/>
      <c r="FS89"/>
      <c r="FT89"/>
      <c r="FU89"/>
      <c r="FV89"/>
      <c r="FW89"/>
      <c r="FX89"/>
      <c r="FY89"/>
      <c r="FZ89"/>
      <c r="GA89"/>
      <c r="GB89"/>
      <c r="GC89"/>
      <c r="GD89"/>
      <c r="GE89"/>
      <c r="GF89"/>
      <c r="GG89"/>
      <c r="GH89"/>
      <c r="GI89"/>
      <c r="GJ89"/>
      <c r="GK89"/>
      <c r="GL89"/>
      <c r="GM89"/>
      <c r="GN89"/>
      <c r="GO89"/>
      <c r="GP89"/>
      <c r="GQ89"/>
      <c r="GR89"/>
      <c r="GS89"/>
      <c r="GT89"/>
      <c r="GU89"/>
      <c r="GV89"/>
      <c r="GW89"/>
      <c r="GX89"/>
      <c r="GY89"/>
      <c r="GZ89"/>
      <c r="HA89"/>
      <c r="HB89"/>
      <c r="HC89"/>
      <c r="HD89"/>
      <c r="HE89"/>
      <c r="HF89"/>
      <c r="HG89"/>
      <c r="HH89"/>
      <c r="HI89"/>
      <c r="HJ89"/>
      <c r="HK89"/>
      <c r="HL89"/>
      <c r="HM89"/>
      <c r="HN89"/>
      <c r="HO89"/>
      <c r="HP89"/>
      <c r="HQ89"/>
      <c r="HR89"/>
      <c r="HS89"/>
      <c r="HT89"/>
      <c r="HU89"/>
      <c r="HV89"/>
      <c r="HW89"/>
      <c r="HX89"/>
      <c r="HY89"/>
      <c r="HZ89"/>
      <c r="IA89"/>
      <c r="IB89"/>
      <c r="IC89"/>
      <c r="ID89"/>
      <c r="IE89"/>
      <c r="IF89"/>
      <c r="IG89"/>
      <c r="IH89"/>
      <c r="II89"/>
      <c r="IJ89"/>
      <c r="IK89"/>
      <c r="IL89"/>
      <c r="IM89"/>
      <c r="IN89"/>
      <c r="IO89"/>
      <c r="IP89"/>
      <c r="IQ89"/>
      <c r="IR89"/>
      <c r="IS89"/>
      <c r="IT89"/>
      <c r="IU89"/>
      <c r="IV89"/>
      <c r="IW89"/>
      <c r="IX89"/>
      <c r="IY89"/>
      <c r="IZ89"/>
    </row>
    <row r="90" spans="1:260" s="7" customFormat="1" x14ac:dyDescent="0.2">
      <c r="A90" s="4" t="s">
        <v>611</v>
      </c>
      <c r="B90" s="283"/>
      <c r="C90" s="283"/>
      <c r="D90" s="283"/>
      <c r="E90" s="713"/>
      <c r="F90" s="283"/>
      <c r="G90" s="283"/>
      <c r="H90" s="283"/>
      <c r="I90" s="713"/>
      <c r="J90" s="283"/>
      <c r="K90" s="283"/>
      <c r="L90" s="283"/>
      <c r="M90" s="713"/>
      <c r="N90" s="283"/>
      <c r="O90" s="283"/>
      <c r="P90" s="283"/>
      <c r="Q90" s="713"/>
      <c r="R90" s="283"/>
      <c r="S90" s="283"/>
      <c r="T90" s="283"/>
      <c r="U90" s="713"/>
      <c r="V90" s="283"/>
      <c r="W90" s="283"/>
      <c r="X90" s="283"/>
      <c r="Y90" s="713"/>
      <c r="Z90" s="283"/>
      <c r="AA90" s="283"/>
      <c r="AB90" s="283"/>
      <c r="AC90" s="713"/>
      <c r="AD90" s="283"/>
      <c r="AE90" s="283"/>
      <c r="AF90" s="283"/>
      <c r="AG90" s="713"/>
      <c r="AH90" s="283"/>
      <c r="AI90" s="283"/>
      <c r="AJ90" s="283"/>
      <c r="AK90" s="713"/>
      <c r="AL90" s="283"/>
      <c r="AM90" s="283"/>
      <c r="AN90" s="283"/>
      <c r="AO90" s="713"/>
      <c r="AP90" s="283"/>
      <c r="AQ90" s="283"/>
      <c r="AR90" s="283"/>
      <c r="AS90" s="713"/>
      <c r="AT90" s="283"/>
      <c r="AU90" s="283"/>
      <c r="AV90" s="283"/>
      <c r="AW90" s="713"/>
      <c r="AX90" s="283"/>
      <c r="AY90" s="283"/>
      <c r="AZ90" s="283"/>
      <c r="BA90" s="713"/>
      <c r="BB90" s="283"/>
      <c r="BC90" s="283"/>
      <c r="BD90" s="283"/>
      <c r="BE90" s="713"/>
      <c r="BF90" s="283"/>
      <c r="BG90" s="283"/>
      <c r="BH90" s="283"/>
      <c r="BI90" s="713"/>
      <c r="BJ90" s="332"/>
      <c r="BK90" s="332"/>
      <c r="BL90" s="332"/>
      <c r="BM90" s="725"/>
      <c r="BN90" s="332"/>
      <c r="BO90" s="332"/>
      <c r="BP90" s="332"/>
      <c r="BQ90" s="725"/>
      <c r="BR90" s="332"/>
      <c r="BS90" s="332"/>
      <c r="BT90" s="332"/>
      <c r="BU90" s="725"/>
      <c r="BV90" s="332"/>
      <c r="BW90" s="283"/>
      <c r="BX90" s="283"/>
      <c r="BY90" s="713"/>
      <c r="BZ90" s="332"/>
      <c r="CA90" s="283"/>
      <c r="CB90" s="283"/>
      <c r="CC90" s="713"/>
      <c r="CD90" s="735"/>
      <c r="CE90" s="1148"/>
      <c r="CF90" s="1148"/>
      <c r="CG90" s="713"/>
      <c r="CH90" s="735"/>
      <c r="CI90" s="1148"/>
      <c r="CJ90" s="1148"/>
      <c r="CK90" s="713"/>
      <c r="CL90" s="1649"/>
      <c r="CM90" s="1638"/>
      <c r="CN90" s="1638"/>
      <c r="CO90" s="1650"/>
      <c r="CP90" s="1638"/>
      <c r="CQ90" s="1638"/>
      <c r="CR90" s="1638"/>
      <c r="CS90" s="725"/>
      <c r="CT90" s="1148"/>
      <c r="CU90" s="1638"/>
      <c r="CV90" s="1638"/>
      <c r="CW90" s="725"/>
      <c r="CX90" s="2807"/>
      <c r="CY90" s="1134"/>
      <c r="CZ90" s="1134"/>
      <c r="DA90" s="713"/>
      <c r="DB90" s="735"/>
      <c r="DC90" s="2453"/>
      <c r="DD90" s="2454"/>
      <c r="DE90" s="2454"/>
      <c r="DF90" s="2454"/>
      <c r="DG90" s="2454"/>
      <c r="DH90" s="2454"/>
      <c r="DI90" s="2454"/>
      <c r="DJ90" s="2454"/>
      <c r="DK90" s="2454"/>
      <c r="DL90" s="2454"/>
      <c r="DM90" s="2454"/>
      <c r="DN90" s="2454"/>
      <c r="DO90" s="2454"/>
      <c r="DP90" s="2454"/>
      <c r="DQ90" s="2454"/>
      <c r="DR90" s="2454"/>
      <c r="DS90" s="2454"/>
      <c r="DT90" s="2454"/>
      <c r="DU90" s="2454"/>
      <c r="DV90" s="2454"/>
      <c r="DW90" s="2454"/>
      <c r="DX90" s="2454"/>
      <c r="DY90" s="2454"/>
      <c r="DZ90" s="2454"/>
      <c r="EA90" s="2455"/>
      <c r="EB90" s="2455"/>
      <c r="EC90" s="2455"/>
      <c r="ED90" s="2454"/>
      <c r="EE90" s="2454"/>
      <c r="EF90" s="2456"/>
      <c r="EG90" s="2457"/>
      <c r="EH90" s="2449">
        <f>+EH88/EH87</f>
        <v>1.7261333136342372E-2</v>
      </c>
      <c r="EI90" s="2457">
        <f t="shared" ref="EI90:ER90" si="169">+EI88/EI87</f>
        <v>1.6262178041101662E-2</v>
      </c>
      <c r="EJ90" s="2457">
        <f>+EJ88/EJ87</f>
        <v>1.6621129326047358E-2</v>
      </c>
      <c r="EK90" s="2455">
        <f t="shared" si="169"/>
        <v>1.6597720985711748E-2</v>
      </c>
      <c r="EL90" s="2455">
        <f>+EL88/EL87</f>
        <v>1.6203648786505657E-2</v>
      </c>
      <c r="EM90" s="2458">
        <f t="shared" si="169"/>
        <v>1.7599999999999998E-2</v>
      </c>
      <c r="EN90" s="2454">
        <f t="shared" si="169"/>
        <v>1.7599999999999998E-2</v>
      </c>
      <c r="EO90" s="2454">
        <f t="shared" si="169"/>
        <v>1.7599999999999998E-2</v>
      </c>
      <c r="EP90" s="2454">
        <f t="shared" si="169"/>
        <v>1.7599999999999998E-2</v>
      </c>
      <c r="EQ90" s="2454">
        <f t="shared" si="169"/>
        <v>1.7599999999999998E-2</v>
      </c>
      <c r="ER90" s="2454">
        <f t="shared" si="169"/>
        <v>1.7599999999999998E-2</v>
      </c>
      <c r="ES90" s="2454">
        <f>+ES88/ES87</f>
        <v>1.7599999999999998E-2</v>
      </c>
      <c r="ET90" s="2454">
        <f>+ET88/ET87</f>
        <v>1.7599999999999998E-2</v>
      </c>
      <c r="EU90" s="2454">
        <f>+EU88/EU87</f>
        <v>1.7599999999999998E-2</v>
      </c>
      <c r="EV90" s="2459"/>
      <c r="EW90"/>
      <c r="EX90"/>
      <c r="EY90"/>
      <c r="EZ90"/>
      <c r="FA90"/>
      <c r="FB90"/>
      <c r="FC90" s="4"/>
      <c r="FD90" s="4"/>
      <c r="FE90" s="4"/>
      <c r="FF90" s="4"/>
      <c r="FG90"/>
      <c r="FH90"/>
      <c r="FI90" s="2659"/>
      <c r="FJ90" s="2659"/>
      <c r="FK90" s="2659"/>
      <c r="FL90"/>
      <c r="FM90"/>
      <c r="FN90"/>
      <c r="FO90"/>
      <c r="FP90"/>
      <c r="FQ90"/>
      <c r="FR90"/>
      <c r="FS90"/>
      <c r="FT90"/>
      <c r="FU90"/>
      <c r="FV90"/>
      <c r="FW90"/>
      <c r="FX90"/>
      <c r="FY90"/>
      <c r="FZ90"/>
      <c r="GA90"/>
      <c r="GB90"/>
      <c r="GC90"/>
      <c r="GD90"/>
      <c r="GE90"/>
      <c r="GF90"/>
      <c r="GG90"/>
      <c r="GH90"/>
      <c r="GI90"/>
      <c r="GJ90"/>
      <c r="GK90"/>
      <c r="GL90"/>
      <c r="GM90"/>
      <c r="GN90"/>
      <c r="GO90"/>
      <c r="GP90"/>
      <c r="GQ90"/>
      <c r="GR90"/>
      <c r="GS90"/>
      <c r="GT90"/>
      <c r="GU90"/>
      <c r="GV90"/>
      <c r="GW90"/>
      <c r="GX90"/>
      <c r="GY90"/>
      <c r="GZ90"/>
      <c r="HA90"/>
      <c r="HB90"/>
      <c r="HC90"/>
      <c r="HD90"/>
      <c r="HE90"/>
      <c r="HF90"/>
      <c r="HG90"/>
      <c r="HH90"/>
      <c r="HI90"/>
      <c r="HJ90"/>
      <c r="HK90"/>
      <c r="HL90"/>
      <c r="HM90"/>
      <c r="HN90"/>
      <c r="HO90"/>
      <c r="HP90"/>
      <c r="HQ90"/>
      <c r="HR90"/>
      <c r="HS90"/>
      <c r="HT90"/>
      <c r="HU90"/>
      <c r="HV90"/>
      <c r="HW90"/>
      <c r="HX90"/>
      <c r="HY90"/>
      <c r="HZ90"/>
      <c r="IA90"/>
      <c r="IB90"/>
      <c r="IC90"/>
      <c r="ID90"/>
      <c r="IE90"/>
      <c r="IF90"/>
      <c r="IG90"/>
      <c r="IH90"/>
      <c r="II90"/>
      <c r="IJ90"/>
      <c r="IK90"/>
      <c r="IL90"/>
      <c r="IM90"/>
      <c r="IN90"/>
      <c r="IO90"/>
      <c r="IP90"/>
      <c r="IQ90"/>
      <c r="IR90"/>
      <c r="IS90"/>
      <c r="IT90"/>
      <c r="IU90"/>
      <c r="IV90"/>
      <c r="IW90"/>
      <c r="IX90"/>
      <c r="IY90"/>
      <c r="IZ90"/>
    </row>
    <row r="91" spans="1:260" s="7" customFormat="1" x14ac:dyDescent="0.2">
      <c r="A91" s="4"/>
      <c r="B91" s="283"/>
      <c r="C91" s="283"/>
      <c r="D91" s="283"/>
      <c r="E91" s="713"/>
      <c r="F91" s="283"/>
      <c r="G91" s="283"/>
      <c r="H91" s="283"/>
      <c r="I91" s="713"/>
      <c r="J91" s="283"/>
      <c r="K91" s="283"/>
      <c r="L91" s="283"/>
      <c r="M91" s="713"/>
      <c r="N91" s="283"/>
      <c r="O91" s="283"/>
      <c r="P91" s="283"/>
      <c r="Q91" s="713"/>
      <c r="R91" s="283"/>
      <c r="S91" s="283"/>
      <c r="T91" s="283"/>
      <c r="U91" s="713"/>
      <c r="V91" s="283"/>
      <c r="W91" s="283"/>
      <c r="X91" s="283"/>
      <c r="Y91" s="713"/>
      <c r="Z91" s="283"/>
      <c r="AA91" s="283"/>
      <c r="AB91" s="283"/>
      <c r="AC91" s="713"/>
      <c r="AD91" s="283"/>
      <c r="AE91" s="283"/>
      <c r="AF91" s="283"/>
      <c r="AG91" s="713"/>
      <c r="AH91" s="283"/>
      <c r="AI91" s="283"/>
      <c r="AJ91" s="283"/>
      <c r="AK91" s="713"/>
      <c r="AL91" s="283"/>
      <c r="AM91" s="283"/>
      <c r="AN91" s="283"/>
      <c r="AO91" s="713"/>
      <c r="AP91" s="283"/>
      <c r="AQ91" s="283"/>
      <c r="AR91" s="283"/>
      <c r="AS91" s="713"/>
      <c r="AT91" s="283"/>
      <c r="AU91" s="283"/>
      <c r="AV91" s="283"/>
      <c r="AW91" s="713"/>
      <c r="AX91" s="283"/>
      <c r="AY91" s="283"/>
      <c r="AZ91" s="283"/>
      <c r="BA91" s="713"/>
      <c r="BB91" s="283"/>
      <c r="BC91" s="283"/>
      <c r="BD91" s="283"/>
      <c r="BE91" s="713"/>
      <c r="BF91" s="283"/>
      <c r="BG91" s="283"/>
      <c r="BH91" s="283"/>
      <c r="BI91" s="713"/>
      <c r="BJ91" s="332"/>
      <c r="BK91" s="332"/>
      <c r="BL91" s="332"/>
      <c r="BM91" s="725"/>
      <c r="BN91" s="332"/>
      <c r="BO91" s="332"/>
      <c r="BP91" s="332"/>
      <c r="BQ91" s="725"/>
      <c r="BR91" s="332"/>
      <c r="BS91" s="332"/>
      <c r="BT91" s="332"/>
      <c r="BU91" s="725"/>
      <c r="BV91" s="332"/>
      <c r="BW91" s="283"/>
      <c r="BX91" s="283"/>
      <c r="BY91" s="713"/>
      <c r="BZ91" s="332"/>
      <c r="CA91" s="283"/>
      <c r="CB91" s="283"/>
      <c r="CC91" s="713"/>
      <c r="CD91" s="735"/>
      <c r="CE91" s="1148"/>
      <c r="CF91" s="1148"/>
      <c r="CG91" s="713"/>
      <c r="CH91" s="735"/>
      <c r="CI91" s="1148"/>
      <c r="CJ91" s="1148"/>
      <c r="CK91" s="713"/>
      <c r="CL91" s="1649"/>
      <c r="CM91" s="1638"/>
      <c r="CN91" s="1638"/>
      <c r="CO91" s="1650"/>
      <c r="CP91" s="1638"/>
      <c r="CQ91" s="1638"/>
      <c r="CR91" s="1638"/>
      <c r="CS91" s="725"/>
      <c r="CT91" s="1148"/>
      <c r="CU91" s="1638"/>
      <c r="CV91" s="1638"/>
      <c r="CW91" s="725"/>
      <c r="CX91" s="2807"/>
      <c r="CY91" s="1134"/>
      <c r="CZ91" s="1134"/>
      <c r="DA91" s="713"/>
      <c r="DB91" s="735"/>
      <c r="DC91" s="725"/>
      <c r="DD91" s="283"/>
      <c r="DE91" s="283"/>
      <c r="DF91" s="283"/>
      <c r="DG91" s="283"/>
      <c r="DH91" s="283"/>
      <c r="DI91" s="283"/>
      <c r="DJ91" s="283"/>
      <c r="DK91" s="283"/>
      <c r="DL91" s="283"/>
      <c r="DM91" s="283"/>
      <c r="DN91" s="283"/>
      <c r="DO91" s="283"/>
      <c r="DP91" s="283"/>
      <c r="DQ91" s="283"/>
      <c r="DR91" s="283"/>
      <c r="DS91" s="283"/>
      <c r="DT91" s="283"/>
      <c r="DU91" s="283"/>
      <c r="DV91" s="283"/>
      <c r="DW91" s="283"/>
      <c r="DX91" s="283"/>
      <c r="DY91" s="283"/>
      <c r="DZ91" s="283"/>
      <c r="EA91" s="332"/>
      <c r="EB91" s="332"/>
      <c r="EC91" s="332"/>
      <c r="ED91" s="283"/>
      <c r="EE91" s="348"/>
      <c r="EF91" s="1135"/>
      <c r="EG91" s="1134"/>
      <c r="EH91" s="1134"/>
      <c r="EI91" s="1134"/>
      <c r="EJ91" s="1134"/>
      <c r="EK91" s="332"/>
      <c r="EL91" s="332"/>
      <c r="EM91" s="1694"/>
      <c r="EN91" s="283"/>
      <c r="EO91" s="283"/>
      <c r="EP91" s="283"/>
      <c r="EQ91" s="283"/>
      <c r="ER91" s="283"/>
      <c r="ES91" s="283"/>
      <c r="ET91" s="283"/>
      <c r="EU91" s="283"/>
      <c r="EV91" s="413"/>
      <c r="EW91"/>
      <c r="EX91"/>
      <c r="EY91"/>
      <c r="EZ91"/>
      <c r="FA91"/>
      <c r="FB91"/>
      <c r="FC91" s="4"/>
      <c r="FD91" s="4"/>
      <c r="FE91" s="4"/>
      <c r="FF91" s="4"/>
      <c r="FG91" s="1148"/>
      <c r="FH91" s="1148"/>
      <c r="FI91" s="1148"/>
      <c r="FJ91" s="1148"/>
      <c r="FK91" s="1148"/>
      <c r="FL91"/>
      <c r="FM91"/>
      <c r="FN91"/>
      <c r="FO91"/>
      <c r="FP91"/>
      <c r="FQ91"/>
      <c r="FR91"/>
      <c r="FS91"/>
      <c r="FT91"/>
      <c r="FU91"/>
      <c r="FV91"/>
      <c r="FW91"/>
      <c r="FX91"/>
      <c r="FY91"/>
      <c r="FZ91"/>
      <c r="GA91"/>
      <c r="GB91"/>
      <c r="GC91"/>
      <c r="GD91"/>
      <c r="GE91"/>
      <c r="GF91"/>
      <c r="GG91"/>
      <c r="GH91"/>
      <c r="GI91"/>
      <c r="GJ91"/>
      <c r="GK91"/>
      <c r="GL91"/>
      <c r="GM91"/>
      <c r="GN91"/>
      <c r="GO91"/>
      <c r="GP91"/>
      <c r="GQ91"/>
      <c r="GR91"/>
      <c r="GS91"/>
      <c r="GT91"/>
      <c r="GU91"/>
      <c r="GV91"/>
      <c r="GW91"/>
      <c r="GX91"/>
      <c r="GY91"/>
      <c r="GZ91"/>
      <c r="HA91"/>
      <c r="HB91"/>
      <c r="HC91"/>
      <c r="HD91"/>
      <c r="HE91"/>
      <c r="HF91"/>
      <c r="HG91"/>
      <c r="HH91"/>
      <c r="HI91"/>
      <c r="HJ91"/>
      <c r="HK91"/>
      <c r="HL91"/>
      <c r="HM91"/>
      <c r="HN91"/>
      <c r="HO91"/>
      <c r="HP91"/>
      <c r="HQ91"/>
      <c r="HR91"/>
      <c r="HS91"/>
      <c r="HT91"/>
      <c r="HU91"/>
      <c r="HV91"/>
      <c r="HW91"/>
      <c r="HX91"/>
      <c r="HY91"/>
      <c r="HZ91"/>
      <c r="IA91"/>
      <c r="IB91"/>
      <c r="IC91"/>
      <c r="ID91"/>
      <c r="IE91"/>
      <c r="IF91"/>
      <c r="IG91"/>
      <c r="IH91"/>
      <c r="II91"/>
      <c r="IJ91"/>
      <c r="IK91"/>
      <c r="IL91"/>
      <c r="IM91"/>
      <c r="IN91"/>
      <c r="IO91"/>
      <c r="IP91"/>
      <c r="IQ91"/>
      <c r="IR91"/>
      <c r="IS91"/>
      <c r="IT91"/>
      <c r="IU91"/>
      <c r="IV91"/>
      <c r="IW91"/>
      <c r="IX91"/>
      <c r="IY91"/>
      <c r="IZ91"/>
    </row>
    <row r="92" spans="1:260" s="342" customFormat="1" ht="12.2" customHeight="1" x14ac:dyDescent="0.2">
      <c r="A92" s="447" t="s">
        <v>136</v>
      </c>
      <c r="B92" s="449"/>
      <c r="C92" s="449"/>
      <c r="D92" s="449"/>
      <c r="E92" s="2477"/>
      <c r="F92" s="449"/>
      <c r="G92" s="449"/>
      <c r="H92" s="449"/>
      <c r="I92" s="2478"/>
      <c r="J92" s="435"/>
      <c r="K92" s="435"/>
      <c r="L92" s="435"/>
      <c r="M92" s="464"/>
      <c r="N92" s="435"/>
      <c r="O92" s="435"/>
      <c r="P92" s="435"/>
      <c r="Q92" s="464"/>
      <c r="R92" s="435"/>
      <c r="S92" s="435"/>
      <c r="T92" s="435"/>
      <c r="U92" s="464"/>
      <c r="V92" s="435"/>
      <c r="W92" s="435"/>
      <c r="X92" s="435"/>
      <c r="Y92" s="464"/>
      <c r="Z92" s="435"/>
      <c r="AA92" s="435"/>
      <c r="AB92" s="435"/>
      <c r="AC92" s="464"/>
      <c r="AD92" s="435"/>
      <c r="AE92" s="435"/>
      <c r="AF92" s="435"/>
      <c r="AG92" s="464"/>
      <c r="AH92" s="435"/>
      <c r="AI92" s="435"/>
      <c r="AJ92" s="435"/>
      <c r="AK92" s="464"/>
      <c r="AL92" s="435"/>
      <c r="AM92" s="2479"/>
      <c r="AN92" s="2479"/>
      <c r="AO92" s="2480"/>
      <c r="AP92" s="2479"/>
      <c r="AQ92" s="450"/>
      <c r="AR92" s="450"/>
      <c r="AS92" s="505"/>
      <c r="AT92" s="450"/>
      <c r="AU92" s="450"/>
      <c r="AV92" s="450"/>
      <c r="AW92" s="505"/>
      <c r="AX92" s="450"/>
      <c r="AY92" s="450"/>
      <c r="AZ92" s="450"/>
      <c r="BA92" s="505"/>
      <c r="BB92" s="450"/>
      <c r="BC92" s="450"/>
      <c r="BD92" s="450"/>
      <c r="BE92" s="505"/>
      <c r="BF92" s="450"/>
      <c r="BG92" s="450"/>
      <c r="BH92" s="450"/>
      <c r="BI92" s="505"/>
      <c r="BJ92" s="450"/>
      <c r="BK92" s="450"/>
      <c r="BL92" s="450"/>
      <c r="BM92" s="505"/>
      <c r="BN92" s="450"/>
      <c r="BO92" s="450"/>
      <c r="BP92" s="450"/>
      <c r="BQ92" s="505"/>
      <c r="BR92" s="450"/>
      <c r="BS92" s="450"/>
      <c r="BT92" s="450"/>
      <c r="BU92" s="505"/>
      <c r="BV92" s="450"/>
      <c r="BW92" s="450"/>
      <c r="BX92" s="450"/>
      <c r="BY92" s="505"/>
      <c r="BZ92" s="450"/>
      <c r="CA92" s="450"/>
      <c r="CB92" s="450"/>
      <c r="CC92" s="505"/>
      <c r="CD92" s="1067"/>
      <c r="CE92" s="450"/>
      <c r="CF92" s="450"/>
      <c r="CG92" s="505"/>
      <c r="CH92" s="1067"/>
      <c r="CI92" s="450"/>
      <c r="CJ92" s="450"/>
      <c r="CK92" s="505"/>
      <c r="CL92" s="1067"/>
      <c r="CM92" s="450"/>
      <c r="CN92" s="450"/>
      <c r="CO92" s="505"/>
      <c r="CP92" s="450"/>
      <c r="CQ92" s="450"/>
      <c r="CR92" s="450"/>
      <c r="CS92" s="505"/>
      <c r="CT92" s="450"/>
      <c r="CU92" s="450"/>
      <c r="CV92" s="450"/>
      <c r="CW92" s="505"/>
      <c r="CX92" s="1762"/>
      <c r="CY92" s="450"/>
      <c r="CZ92" s="450"/>
      <c r="DA92" s="505"/>
      <c r="DB92" s="730"/>
      <c r="DC92" s="535"/>
      <c r="DD92" s="449"/>
      <c r="DE92" s="449"/>
      <c r="DF92" s="449"/>
      <c r="DG92" s="449"/>
      <c r="DH92" s="449"/>
      <c r="DI92" s="449"/>
      <c r="DJ92" s="449"/>
      <c r="DK92" s="449"/>
      <c r="DL92" s="449"/>
      <c r="DM92" s="447"/>
      <c r="DN92" s="435"/>
      <c r="DO92" s="435"/>
      <c r="DP92" s="435"/>
      <c r="DQ92" s="435"/>
      <c r="DR92" s="435"/>
      <c r="DS92" s="435"/>
      <c r="DT92" s="435"/>
      <c r="DU92" s="2479"/>
      <c r="DV92" s="450"/>
      <c r="DW92" s="450"/>
      <c r="DX92" s="450"/>
      <c r="DY92" s="450"/>
      <c r="DZ92" s="450"/>
      <c r="EA92" s="450"/>
      <c r="EB92" s="450"/>
      <c r="EC92" s="450"/>
      <c r="ED92" s="450"/>
      <c r="EE92" s="449"/>
      <c r="EF92" s="2481"/>
      <c r="EG92" s="450"/>
      <c r="EH92" s="450"/>
      <c r="EI92" s="450"/>
      <c r="EJ92" s="450"/>
      <c r="EK92" s="2482"/>
      <c r="EL92" s="2482"/>
      <c r="EM92" s="2482"/>
      <c r="EN92" s="2482"/>
      <c r="EO92" s="2482"/>
      <c r="EP92" s="2482"/>
      <c r="EQ92" s="2482"/>
      <c r="ER92" s="2482"/>
      <c r="ES92" s="2482"/>
      <c r="ET92" s="2482"/>
      <c r="EU92" s="2482"/>
      <c r="EV92" s="671"/>
      <c r="EW92"/>
      <c r="EX92"/>
      <c r="EY92"/>
      <c r="EZ92"/>
      <c r="FA92"/>
      <c r="FB92"/>
      <c r="FC92" s="6"/>
      <c r="FD92" s="6"/>
      <c r="FE92" s="6"/>
      <c r="FF92" s="6"/>
      <c r="FG92" s="39"/>
      <c r="FH92" s="39"/>
      <c r="FI92" s="1516"/>
      <c r="FJ92" s="1516"/>
      <c r="FK92" s="1516"/>
      <c r="FL92" s="39"/>
      <c r="FM92" s="39"/>
      <c r="FN92" s="39"/>
      <c r="FO92" s="39"/>
      <c r="FP92" s="39"/>
      <c r="FQ92" s="39"/>
      <c r="FR92" s="39"/>
      <c r="FS92" s="39"/>
      <c r="FT92" s="39"/>
      <c r="FU92" s="39"/>
      <c r="FV92" s="39"/>
      <c r="FW92" s="39"/>
      <c r="FX92" s="39"/>
      <c r="FY92" s="39"/>
      <c r="FZ92" s="39"/>
      <c r="GA92" s="39"/>
      <c r="GB92" s="39"/>
      <c r="GC92" s="39"/>
      <c r="GD92" s="39"/>
      <c r="GE92" s="39"/>
      <c r="GF92" s="39"/>
      <c r="GG92" s="39"/>
      <c r="GH92" s="39"/>
      <c r="GI92" s="39"/>
      <c r="GJ92" s="39"/>
      <c r="GK92" s="39"/>
      <c r="GL92" s="39"/>
      <c r="GM92" s="39"/>
      <c r="GN92" s="39"/>
      <c r="GO92" s="39"/>
      <c r="GP92" s="39"/>
      <c r="GQ92" s="39"/>
      <c r="GR92" s="39"/>
      <c r="GS92" s="39"/>
      <c r="GT92" s="39"/>
      <c r="GU92" s="39"/>
      <c r="GV92" s="39"/>
      <c r="GW92" s="39"/>
      <c r="GX92" s="39"/>
      <c r="GY92" s="39"/>
      <c r="GZ92" s="39"/>
      <c r="HA92" s="39"/>
      <c r="HB92" s="39"/>
      <c r="HC92" s="39"/>
      <c r="HD92" s="39"/>
      <c r="HE92" s="39"/>
      <c r="HF92" s="39"/>
      <c r="HG92" s="39"/>
      <c r="HH92" s="39"/>
      <c r="HI92" s="39"/>
      <c r="HJ92" s="39"/>
      <c r="HK92" s="39"/>
      <c r="HL92" s="39"/>
      <c r="HM92" s="39"/>
      <c r="HN92" s="39"/>
      <c r="HO92" s="39"/>
      <c r="HP92" s="39"/>
      <c r="HQ92" s="39"/>
      <c r="HR92" s="39"/>
      <c r="HS92" s="39"/>
      <c r="HT92" s="39"/>
      <c r="HU92" s="39"/>
      <c r="HV92" s="39"/>
      <c r="HW92" s="39"/>
      <c r="HX92" s="39"/>
      <c r="HY92" s="39"/>
      <c r="HZ92" s="39"/>
      <c r="IA92" s="39"/>
      <c r="IB92" s="39"/>
      <c r="IC92" s="39"/>
      <c r="ID92" s="39"/>
      <c r="IE92" s="39"/>
      <c r="IF92" s="39"/>
      <c r="IG92" s="39"/>
      <c r="IH92" s="39"/>
      <c r="II92" s="39"/>
      <c r="IJ92" s="39"/>
      <c r="IK92" s="39"/>
      <c r="IL92" s="39"/>
      <c r="IM92" s="39"/>
      <c r="IN92" s="39"/>
      <c r="IO92" s="39"/>
      <c r="IP92" s="39"/>
      <c r="IQ92" s="39"/>
      <c r="IR92" s="39"/>
      <c r="IS92" s="39"/>
      <c r="IT92" s="39"/>
      <c r="IU92" s="39"/>
      <c r="IV92" s="39"/>
      <c r="IW92" s="39"/>
      <c r="IX92" s="39"/>
      <c r="IY92" s="39"/>
      <c r="IZ92" s="39"/>
    </row>
    <row r="93" spans="1:260" s="4" customFormat="1" x14ac:dyDescent="0.2">
      <c r="A93" s="344" t="s">
        <v>540</v>
      </c>
      <c r="B93" s="100"/>
      <c r="C93" s="100"/>
      <c r="D93" s="100"/>
      <c r="E93" s="614"/>
      <c r="F93" s="100"/>
      <c r="G93" s="100"/>
      <c r="H93" s="100"/>
      <c r="I93" s="614"/>
      <c r="J93" s="100"/>
      <c r="K93" s="100"/>
      <c r="L93" s="100"/>
      <c r="M93" s="614"/>
      <c r="N93" s="100"/>
      <c r="O93" s="100"/>
      <c r="P93" s="100"/>
      <c r="Q93" s="614"/>
      <c r="R93" s="100"/>
      <c r="S93" s="100"/>
      <c r="T93" s="100"/>
      <c r="U93" s="614"/>
      <c r="V93" s="100"/>
      <c r="W93" s="100"/>
      <c r="X93" s="100"/>
      <c r="Y93" s="614"/>
      <c r="Z93" s="100"/>
      <c r="AA93" s="100"/>
      <c r="AB93" s="100"/>
      <c r="AC93" s="614"/>
      <c r="AD93" s="100"/>
      <c r="AE93" s="100"/>
      <c r="AF93" s="100"/>
      <c r="AG93" s="614"/>
      <c r="AH93" s="100"/>
      <c r="AI93" s="100"/>
      <c r="AJ93" s="100"/>
      <c r="AK93" s="614"/>
      <c r="AL93" s="100"/>
      <c r="AM93" s="100"/>
      <c r="AN93" s="100"/>
      <c r="AO93" s="614"/>
      <c r="AP93" s="243">
        <v>0</v>
      </c>
      <c r="AQ93" s="243">
        <v>0</v>
      </c>
      <c r="AR93" s="243">
        <v>0.2</v>
      </c>
      <c r="AS93" s="496">
        <v>0</v>
      </c>
      <c r="AT93" s="243">
        <v>6.6669999999999993E-2</v>
      </c>
      <c r="AU93" s="243">
        <v>6.6669999999999993E-2</v>
      </c>
      <c r="AV93" s="243">
        <v>7.3330000000000006E-2</v>
      </c>
      <c r="AW93" s="496">
        <v>7.3330000000000006E-2</v>
      </c>
      <c r="AX93" s="243">
        <v>7.3330000000000006E-2</v>
      </c>
      <c r="AY93" s="243">
        <v>7.3330000000000006E-2</v>
      </c>
      <c r="AZ93" s="243">
        <v>0.08</v>
      </c>
      <c r="BA93" s="496">
        <v>0.08</v>
      </c>
      <c r="BB93" s="243">
        <v>0.08</v>
      </c>
      <c r="BC93" s="243">
        <v>0.08</v>
      </c>
      <c r="BD93" s="243">
        <v>0.1</v>
      </c>
      <c r="BE93" s="496">
        <v>0.1</v>
      </c>
      <c r="BF93" s="243">
        <v>0.1</v>
      </c>
      <c r="BG93" s="243">
        <v>0.1</v>
      </c>
      <c r="BH93" s="243">
        <v>0.13</v>
      </c>
      <c r="BI93" s="496">
        <v>0.13</v>
      </c>
      <c r="BJ93" s="243">
        <v>0.13</v>
      </c>
      <c r="BK93" s="243">
        <v>0.13</v>
      </c>
      <c r="BL93" s="243">
        <v>0.13</v>
      </c>
      <c r="BM93" s="496">
        <v>0.14000000000000001</v>
      </c>
      <c r="BN93" s="243">
        <v>0.14000000000000001</v>
      </c>
      <c r="BO93" s="243">
        <v>0.14000000000000001</v>
      </c>
      <c r="BP93" s="243">
        <v>0.14000000000000001</v>
      </c>
      <c r="BQ93" s="496">
        <v>0.14000000000000001</v>
      </c>
      <c r="BR93" s="243">
        <v>0.14000000000000001</v>
      </c>
      <c r="BS93" s="243">
        <v>0.14000000000000001</v>
      </c>
      <c r="BT93" s="243">
        <v>0.15</v>
      </c>
      <c r="BU93" s="496">
        <v>0.15</v>
      </c>
      <c r="BV93" s="243">
        <v>0.15</v>
      </c>
      <c r="BW93" s="243">
        <f>BV93</f>
        <v>0.15</v>
      </c>
      <c r="BX93" s="243">
        <v>0.16</v>
      </c>
      <c r="BY93" s="496">
        <f>BX93</f>
        <v>0.16</v>
      </c>
      <c r="BZ93" s="243">
        <f>BY93</f>
        <v>0.16</v>
      </c>
      <c r="CA93" s="243">
        <f>BZ93</f>
        <v>0.16</v>
      </c>
      <c r="CB93" s="243">
        <v>0.17</v>
      </c>
      <c r="CC93" s="496">
        <f>CB93</f>
        <v>0.17</v>
      </c>
      <c r="CD93" s="1149">
        <f>CC93</f>
        <v>0.17</v>
      </c>
      <c r="CE93" s="243">
        <f>CD93</f>
        <v>0.17</v>
      </c>
      <c r="CF93" s="243">
        <f>CB93*1.07</f>
        <v>0.18190000000000003</v>
      </c>
      <c r="CG93" s="496">
        <f>CC93*1.07</f>
        <v>0.18190000000000003</v>
      </c>
      <c r="CH93" s="1149">
        <v>0.23</v>
      </c>
      <c r="CI93" s="243">
        <f>CH93</f>
        <v>0.23</v>
      </c>
      <c r="CJ93" s="243">
        <f>+CI93</f>
        <v>0.23</v>
      </c>
      <c r="CK93" s="1300">
        <f>+CJ93</f>
        <v>0.23</v>
      </c>
      <c r="CL93" s="1574">
        <v>0.23</v>
      </c>
      <c r="CM93" s="1574">
        <v>0.23</v>
      </c>
      <c r="CN93" s="1574">
        <v>0.23</v>
      </c>
      <c r="CO93" s="1652">
        <v>0.23</v>
      </c>
      <c r="CP93" s="1574">
        <v>0.23</v>
      </c>
      <c r="CQ93" s="1574">
        <f>0.28</f>
        <v>0.28000000000000003</v>
      </c>
      <c r="CR93" s="1574">
        <f>0.28</f>
        <v>0.28000000000000003</v>
      </c>
      <c r="CS93" s="1652">
        <f>+CR93</f>
        <v>0.28000000000000003</v>
      </c>
      <c r="CT93" s="1574">
        <v>0.34</v>
      </c>
      <c r="CU93" s="1574">
        <f>+CT93*1.01</f>
        <v>0.34340000000000004</v>
      </c>
      <c r="CV93" s="1574">
        <f>+CU93*1.01</f>
        <v>0.34683400000000003</v>
      </c>
      <c r="CW93" s="2813">
        <f>+CV93*1.01</f>
        <v>0.35030234000000005</v>
      </c>
      <c r="CX93" s="2692">
        <v>0.4</v>
      </c>
      <c r="CY93" s="1574">
        <v>0.45</v>
      </c>
      <c r="CZ93" s="1574">
        <v>0.45</v>
      </c>
      <c r="DA93" s="1573">
        <v>0.45</v>
      </c>
      <c r="DB93" s="736"/>
      <c r="DC93" s="504"/>
      <c r="DD93" s="100"/>
      <c r="DE93" s="100"/>
      <c r="DF93" s="100"/>
      <c r="DG93" s="100"/>
      <c r="DH93" s="100"/>
      <c r="DI93" s="100"/>
      <c r="DJ93" s="100"/>
      <c r="DK93" s="100"/>
      <c r="DL93" s="100"/>
      <c r="DM93" s="100"/>
      <c r="DN93" s="100"/>
      <c r="DO93" s="100"/>
      <c r="DP93" s="100"/>
      <c r="DQ93" s="100"/>
      <c r="DR93" s="100"/>
      <c r="DS93" s="100"/>
      <c r="DT93" s="100"/>
      <c r="DU93" s="100"/>
      <c r="DV93" s="245">
        <f>SUM(AP93:AS93)</f>
        <v>0.2</v>
      </c>
      <c r="DW93" s="245">
        <f>SUM(AT93:AW93)</f>
        <v>0.28000000000000003</v>
      </c>
      <c r="DX93" s="245">
        <f>SUM(AX93:BA93)</f>
        <v>0.30666000000000004</v>
      </c>
      <c r="DY93" s="245">
        <f>SUM(BB93:BE93)</f>
        <v>0.36</v>
      </c>
      <c r="DZ93" s="245">
        <f>SUM(BF93:BI93)</f>
        <v>0.46</v>
      </c>
      <c r="EA93" s="245">
        <f>SUM(BJ93:BM93)</f>
        <v>0.53</v>
      </c>
      <c r="EB93" s="245">
        <f>SUM(BN93:BQ93)</f>
        <v>0.56000000000000005</v>
      </c>
      <c r="EC93" s="245">
        <f>SUM(BR93:BU93)</f>
        <v>0.58000000000000007</v>
      </c>
      <c r="ED93" s="245">
        <f>SUM(BV93:BY93)</f>
        <v>0.62</v>
      </c>
      <c r="EE93" s="245">
        <f>EC93</f>
        <v>0.58000000000000007</v>
      </c>
      <c r="EF93" s="736">
        <f>ED93</f>
        <v>0.62</v>
      </c>
      <c r="EG93" s="245">
        <f>SUM(BZ93:CC93)</f>
        <v>0.66</v>
      </c>
      <c r="EH93" s="245">
        <f>SUM(CD93:CG93)</f>
        <v>0.70380000000000009</v>
      </c>
      <c r="EI93" s="245">
        <f>SUM(CH93:CK93)</f>
        <v>0.92</v>
      </c>
      <c r="EJ93" s="245">
        <f>+SUM(CL93:CO93)</f>
        <v>0.92</v>
      </c>
      <c r="EK93" s="1651">
        <f>+SUM(CP93:CS93)</f>
        <v>1.07</v>
      </c>
      <c r="EL93" s="1651">
        <f>+SUM(CT93:CW93)</f>
        <v>1.3805363400000001</v>
      </c>
      <c r="EM93" s="1687">
        <f>+SUM(CX93:DA93)</f>
        <v>1.75</v>
      </c>
      <c r="EN93" s="1574">
        <f t="shared" ref="EN93:EU93" si="170">EM93*1.07</f>
        <v>1.8725000000000001</v>
      </c>
      <c r="EO93" s="1574">
        <f t="shared" si="170"/>
        <v>2.0035750000000001</v>
      </c>
      <c r="EP93" s="1574">
        <f t="shared" si="170"/>
        <v>2.1438252500000003</v>
      </c>
      <c r="EQ93" s="1574">
        <f t="shared" si="170"/>
        <v>2.2938930175000003</v>
      </c>
      <c r="ER93" s="1574">
        <f t="shared" si="170"/>
        <v>2.4544655287250006</v>
      </c>
      <c r="ES93" s="1574">
        <f t="shared" si="170"/>
        <v>2.6262781157357509</v>
      </c>
      <c r="ET93" s="1574">
        <f t="shared" si="170"/>
        <v>2.8101175838372536</v>
      </c>
      <c r="EU93" s="1574">
        <f t="shared" si="170"/>
        <v>3.0068258147058615</v>
      </c>
      <c r="EV93" s="2442"/>
      <c r="EW93"/>
      <c r="EX93"/>
      <c r="EY93"/>
      <c r="EZ93"/>
      <c r="FA93"/>
      <c r="FB93"/>
      <c r="FG93" s="1339"/>
      <c r="FH93" s="1339"/>
      <c r="FI93" s="1574"/>
      <c r="FJ93" s="1574"/>
      <c r="FK93" s="1574"/>
      <c r="FL93"/>
      <c r="FM93"/>
      <c r="FN93"/>
      <c r="FO93"/>
      <c r="FP93"/>
      <c r="FQ93"/>
      <c r="FR93"/>
      <c r="FS93"/>
      <c r="FT93"/>
      <c r="FU93"/>
      <c r="FV93"/>
      <c r="FW93"/>
      <c r="FX93"/>
      <c r="FY93"/>
      <c r="FZ93"/>
      <c r="GA93"/>
      <c r="GB93"/>
      <c r="GC93"/>
      <c r="GD93"/>
      <c r="GE93"/>
      <c r="GF93"/>
      <c r="GG93"/>
      <c r="GH93"/>
      <c r="GI93"/>
      <c r="GJ93"/>
      <c r="GK93"/>
      <c r="GL93"/>
      <c r="GM93"/>
      <c r="GN93"/>
      <c r="GO93"/>
      <c r="GP93"/>
      <c r="GQ93"/>
      <c r="GR93"/>
      <c r="GS93"/>
      <c r="GT93"/>
      <c r="GU93"/>
      <c r="GV93"/>
      <c r="GW93"/>
      <c r="GX93"/>
      <c r="GY93"/>
      <c r="GZ93"/>
      <c r="HA93"/>
      <c r="HB93"/>
      <c r="HC93"/>
      <c r="HD93"/>
      <c r="HE93"/>
      <c r="HF93"/>
      <c r="HG93"/>
      <c r="HH93"/>
      <c r="HI93"/>
      <c r="HJ93"/>
      <c r="HK93"/>
      <c r="HL93"/>
      <c r="HM93"/>
      <c r="HN93"/>
      <c r="HO93"/>
      <c r="HP93"/>
      <c r="HQ93"/>
      <c r="HR93"/>
      <c r="HS93"/>
      <c r="HT93"/>
      <c r="HU93"/>
      <c r="HV93"/>
      <c r="HW93"/>
      <c r="HX93"/>
      <c r="HY93"/>
      <c r="HZ93"/>
      <c r="IA93"/>
      <c r="IB93"/>
      <c r="IC93"/>
      <c r="ID93"/>
      <c r="IE93"/>
      <c r="IF93"/>
      <c r="IG93"/>
      <c r="IH93"/>
      <c r="II93"/>
      <c r="IJ93"/>
      <c r="IK93"/>
      <c r="IL93"/>
      <c r="IM93"/>
      <c r="IN93"/>
      <c r="IO93"/>
      <c r="IP93"/>
      <c r="IQ93"/>
      <c r="IR93"/>
      <c r="IS93"/>
      <c r="IT93"/>
      <c r="IU93"/>
      <c r="IV93"/>
      <c r="IW93"/>
      <c r="IX93"/>
      <c r="IY93"/>
      <c r="IZ93"/>
    </row>
    <row r="94" spans="1:260" s="4" customFormat="1" x14ac:dyDescent="0.2">
      <c r="A94" s="344" t="s">
        <v>541</v>
      </c>
      <c r="B94" s="100"/>
      <c r="C94" s="100"/>
      <c r="D94" s="100"/>
      <c r="E94" s="614"/>
      <c r="F94" s="100"/>
      <c r="G94" s="100"/>
      <c r="H94" s="100"/>
      <c r="I94" s="614"/>
      <c r="J94" s="100"/>
      <c r="K94" s="100"/>
      <c r="L94" s="100"/>
      <c r="M94" s="614"/>
      <c r="N94" s="100"/>
      <c r="O94" s="100"/>
      <c r="P94" s="100"/>
      <c r="Q94" s="614"/>
      <c r="R94" s="100"/>
      <c r="S94" s="100"/>
      <c r="T94" s="100"/>
      <c r="U94" s="614"/>
      <c r="V94" s="100"/>
      <c r="W94" s="100"/>
      <c r="X94" s="100"/>
      <c r="Y94" s="614"/>
      <c r="Z94" s="100"/>
      <c r="AA94" s="100"/>
      <c r="AB94" s="100"/>
      <c r="AC94" s="614"/>
      <c r="AD94" s="100"/>
      <c r="AE94" s="100"/>
      <c r="AF94" s="100"/>
      <c r="AG94" s="614"/>
      <c r="AH94" s="100"/>
      <c r="AI94" s="100"/>
      <c r="AJ94" s="100"/>
      <c r="AK94" s="614"/>
      <c r="AL94" s="100"/>
      <c r="AM94" s="100"/>
      <c r="AN94" s="100"/>
      <c r="AO94" s="614"/>
      <c r="AP94" s="77">
        <f t="shared" ref="AP94:CK94" si="171">AP93/AP108</f>
        <v>0</v>
      </c>
      <c r="AQ94" s="77">
        <f t="shared" si="171"/>
        <v>0</v>
      </c>
      <c r="AR94" s="77">
        <f t="shared" si="171"/>
        <v>0.81270491803278699</v>
      </c>
      <c r="AS94" s="487">
        <f t="shared" si="171"/>
        <v>0</v>
      </c>
      <c r="AT94" s="77">
        <f t="shared" si="171"/>
        <v>0.294757309299712</v>
      </c>
      <c r="AU94" s="77">
        <f t="shared" si="171"/>
        <v>0.22278736537694449</v>
      </c>
      <c r="AV94" s="77">
        <f t="shared" si="171"/>
        <v>0.25098183445945949</v>
      </c>
      <c r="AW94" s="487">
        <f t="shared" si="171"/>
        <v>7.1307103448275871E-2</v>
      </c>
      <c r="AX94" s="77">
        <f t="shared" si="171"/>
        <v>0.21477076854859978</v>
      </c>
      <c r="AY94" s="77">
        <f t="shared" si="171"/>
        <v>0.19857607978723407</v>
      </c>
      <c r="AZ94" s="77">
        <f t="shared" si="171"/>
        <v>0.29402898550724638</v>
      </c>
      <c r="BA94" s="487">
        <f t="shared" si="171"/>
        <v>6.2472049689440992E-2</v>
      </c>
      <c r="BB94" s="77">
        <f t="shared" si="171"/>
        <v>0.17121367521367523</v>
      </c>
      <c r="BC94" s="77">
        <f t="shared" si="171"/>
        <v>0.17269565217391306</v>
      </c>
      <c r="BD94" s="77">
        <f t="shared" si="171"/>
        <v>0.33053333333333335</v>
      </c>
      <c r="BE94" s="487">
        <f t="shared" si="171"/>
        <v>6.4823066841415478E-2</v>
      </c>
      <c r="BF94" s="77">
        <f t="shared" si="171"/>
        <v>0.25598958333333338</v>
      </c>
      <c r="BG94" s="77">
        <f t="shared" si="171"/>
        <v>0.18248</v>
      </c>
      <c r="BH94" s="77">
        <f t="shared" si="171"/>
        <v>0.24563157894736842</v>
      </c>
      <c r="BI94" s="487">
        <f t="shared" si="171"/>
        <v>7.6094979647218453E-2</v>
      </c>
      <c r="BJ94" s="77">
        <f t="shared" si="171"/>
        <v>0.30749720670391062</v>
      </c>
      <c r="BK94" s="77">
        <f t="shared" si="171"/>
        <v>0.27242079207920794</v>
      </c>
      <c r="BL94" s="77">
        <f t="shared" si="171"/>
        <v>0.33704294478527608</v>
      </c>
      <c r="BM94" s="487">
        <f t="shared" si="171"/>
        <v>8.2980392156862759E-2</v>
      </c>
      <c r="BN94" s="77">
        <f t="shared" si="171"/>
        <v>0.29072195121951222</v>
      </c>
      <c r="BO94" s="77">
        <f t="shared" si="171"/>
        <v>0.37835443037974686</v>
      </c>
      <c r="BP94" s="77">
        <f t="shared" si="171"/>
        <v>0.26433480176211455</v>
      </c>
      <c r="BQ94" s="487">
        <f t="shared" si="171"/>
        <v>7.7206675224646998E-2</v>
      </c>
      <c r="BR94" s="77">
        <f t="shared" si="171"/>
        <v>0.38992258064516133</v>
      </c>
      <c r="BS94" s="77">
        <f t="shared" si="171"/>
        <v>0.23348031496062996</v>
      </c>
      <c r="BT94" s="77">
        <f t="shared" si="171"/>
        <v>0.28188940092165898</v>
      </c>
      <c r="BU94" s="487">
        <f t="shared" si="171"/>
        <v>6.9312714776632298E-2</v>
      </c>
      <c r="BV94" s="77">
        <f t="shared" si="171"/>
        <v>0.43173913043478263</v>
      </c>
      <c r="BW94" s="77">
        <f t="shared" si="171"/>
        <v>0.31960893854748601</v>
      </c>
      <c r="BX94" s="77">
        <f t="shared" si="171"/>
        <v>0.34306976744186046</v>
      </c>
      <c r="BY94" s="487">
        <f t="shared" si="171"/>
        <v>6.4753157290470736E-2</v>
      </c>
      <c r="BZ94" s="77">
        <f t="shared" si="171"/>
        <v>0.22295934959349595</v>
      </c>
      <c r="CA94" s="77">
        <f t="shared" si="171"/>
        <v>0.79670588235294126</v>
      </c>
      <c r="CB94" s="77">
        <f t="shared" si="171"/>
        <v>5.7324000000000002</v>
      </c>
      <c r="CC94" s="487">
        <f t="shared" si="171"/>
        <v>0.1037490974729242</v>
      </c>
      <c r="CD94" s="580">
        <f t="shared" si="171"/>
        <v>0.46376000000000001</v>
      </c>
      <c r="CE94" s="70">
        <f t="shared" si="171"/>
        <v>0.56296153846153851</v>
      </c>
      <c r="CF94" s="70">
        <f t="shared" si="171"/>
        <v>0.93330750000000007</v>
      </c>
      <c r="CG94" s="487">
        <f t="shared" si="171"/>
        <v>0.1512687264150944</v>
      </c>
      <c r="CH94" s="580">
        <f t="shared" si="171"/>
        <v>0.65521951219512198</v>
      </c>
      <c r="CI94" s="70">
        <f t="shared" si="171"/>
        <v>0.54733783783783785</v>
      </c>
      <c r="CJ94" s="70">
        <f t="shared" si="171"/>
        <v>0.67289256198347103</v>
      </c>
      <c r="CK94" s="487">
        <f t="shared" si="171"/>
        <v>0.15575285171102662</v>
      </c>
      <c r="CL94" s="70">
        <f t="shared" ref="CL94:CS94" si="172">CL93/CL108</f>
        <v>0.65918538786482339</v>
      </c>
      <c r="CM94" s="70">
        <f t="shared" si="172"/>
        <v>0.49331515151515154</v>
      </c>
      <c r="CN94" s="70">
        <f t="shared" si="172"/>
        <v>0.58166666666666667</v>
      </c>
      <c r="CO94" s="487">
        <f>CO93/CO108</f>
        <v>0.15497834645669292</v>
      </c>
      <c r="CP94" s="70">
        <f>CP93/CP108</f>
        <v>0.53291489361702127</v>
      </c>
      <c r="CQ94" s="70">
        <f t="shared" si="172"/>
        <v>0.49405464480874317</v>
      </c>
      <c r="CR94" s="70">
        <f t="shared" si="172"/>
        <v>0.46424870466321244</v>
      </c>
      <c r="CS94" s="487">
        <f t="shared" si="172"/>
        <v>0.14491707317073171</v>
      </c>
      <c r="CT94" s="70">
        <f>CT93/CT108</f>
        <v>0.56968085106382982</v>
      </c>
      <c r="CU94" s="70">
        <f t="shared" ref="CU94" si="173">CU93/CU108</f>
        <v>0.49873233644859821</v>
      </c>
      <c r="CV94" s="70">
        <f t="shared" ref="CV94:DA94" si="174">CV93/CV108</f>
        <v>0.44693292658227846</v>
      </c>
      <c r="CW94" s="487">
        <f t="shared" si="174"/>
        <v>0.14475585554039</v>
      </c>
      <c r="CX94" s="1673">
        <f t="shared" si="174"/>
        <v>0.53865291390132364</v>
      </c>
      <c r="CY94" s="70">
        <f t="shared" si="174"/>
        <v>0.54929536988789152</v>
      </c>
      <c r="CZ94" s="70">
        <f t="shared" si="174"/>
        <v>0.48225117538320239</v>
      </c>
      <c r="DA94" s="487">
        <f t="shared" si="174"/>
        <v>0.17773822134902387</v>
      </c>
      <c r="DB94" s="580"/>
      <c r="DC94" s="487"/>
      <c r="DD94" s="100"/>
      <c r="DE94" s="100"/>
      <c r="DF94" s="100"/>
      <c r="DG94" s="100"/>
      <c r="DH94" s="100"/>
      <c r="DI94" s="100"/>
      <c r="DJ94" s="100"/>
      <c r="DK94" s="100"/>
      <c r="DL94" s="100"/>
      <c r="DM94" s="100"/>
      <c r="DN94" s="100"/>
      <c r="DO94" s="100"/>
      <c r="DP94" s="100"/>
      <c r="DQ94" s="100"/>
      <c r="DR94" s="100"/>
      <c r="DS94" s="100"/>
      <c r="DT94" s="100"/>
      <c r="DU94" s="100"/>
      <c r="DV94" s="77">
        <f t="shared" ref="DV94:EC94" si="175">DV93/DV108</f>
        <v>0.12528613421727439</v>
      </c>
      <c r="DW94" s="77">
        <f t="shared" si="175"/>
        <v>0.15136688229678183</v>
      </c>
      <c r="DX94" s="77">
        <f t="shared" si="175"/>
        <v>0.13579120000000003</v>
      </c>
      <c r="DY94" s="77">
        <f t="shared" si="175"/>
        <v>0.12969714521140993</v>
      </c>
      <c r="DZ94" s="77">
        <f t="shared" si="175"/>
        <v>0.14806965174129352</v>
      </c>
      <c r="EA94" s="77">
        <f t="shared" si="175"/>
        <v>0.17816931637519873</v>
      </c>
      <c r="EB94" s="77">
        <f t="shared" si="175"/>
        <v>0.17487216946676409</v>
      </c>
      <c r="EC94" s="77">
        <f t="shared" si="175"/>
        <v>0.16115410273515679</v>
      </c>
      <c r="ED94" s="77">
        <f t="shared" ref="ED94:EI94" si="176">ED93/ED108</f>
        <v>0.17094448529411763</v>
      </c>
      <c r="EE94" s="77">
        <f t="shared" si="176"/>
        <v>0.15630888030888032</v>
      </c>
      <c r="EF94" s="580">
        <f t="shared" si="176"/>
        <v>0.16833113553113555</v>
      </c>
      <c r="EG94" s="70">
        <f t="shared" si="176"/>
        <v>0.25496070615034178</v>
      </c>
      <c r="EH94" s="70">
        <f t="shared" si="176"/>
        <v>0.33845361303744803</v>
      </c>
      <c r="EI94" s="70">
        <f t="shared" si="176"/>
        <v>0.35437037037037045</v>
      </c>
      <c r="EJ94" s="70">
        <f t="shared" ref="EJ94:EL94" si="177">EJ93/EI108</f>
        <v>0.35437037037037045</v>
      </c>
      <c r="EK94" s="77">
        <f t="shared" si="177"/>
        <v>0.40133582887700536</v>
      </c>
      <c r="EL94" s="77">
        <f t="shared" si="177"/>
        <v>0.39342846579858665</v>
      </c>
      <c r="EM94" s="1680">
        <f>EM93/EL108</f>
        <v>0.39603905674281503</v>
      </c>
      <c r="EN94" s="77">
        <f t="shared" ref="EN94:EO94" si="178">EN93/EM108</f>
        <v>0.37433503381988681</v>
      </c>
      <c r="EO94" s="77">
        <f t="shared" si="178"/>
        <v>0.37798933945397278</v>
      </c>
      <c r="EP94" s="77">
        <f t="shared" ref="EJ94:EP94" si="179">EP93/EP108</f>
        <v>0.37810941645713297</v>
      </c>
      <c r="EQ94" s="77">
        <f>EQ93/EQ108</f>
        <v>0.39944036769051527</v>
      </c>
      <c r="ER94" s="77">
        <f>ER93/ER108</f>
        <v>0.42106659723517742</v>
      </c>
      <c r="ES94" s="77">
        <f>ES93/ES108</f>
        <v>0.44905600245359456</v>
      </c>
      <c r="ET94" s="77">
        <f>ET93/ET108</f>
        <v>0.48071076204605573</v>
      </c>
      <c r="EU94" s="77">
        <f>EU93/EU108</f>
        <v>0.51245740075151858</v>
      </c>
      <c r="EV94" s="413"/>
      <c r="EW94"/>
      <c r="EX94"/>
      <c r="EY94"/>
      <c r="EZ94"/>
      <c r="FA94"/>
      <c r="FB94"/>
      <c r="FG94" s="70"/>
      <c r="FH94" s="70"/>
      <c r="FI94" s="70"/>
      <c r="FJ94" s="70"/>
      <c r="FK94" s="70"/>
      <c r="FL94"/>
      <c r="FM94"/>
      <c r="FN94"/>
      <c r="FO94"/>
      <c r="FP94"/>
      <c r="FQ94"/>
      <c r="FR94"/>
      <c r="FS94"/>
      <c r="FT94"/>
      <c r="FU94"/>
      <c r="FV94"/>
      <c r="FW94"/>
      <c r="FX94"/>
      <c r="FY94"/>
      <c r="FZ94"/>
      <c r="GA94"/>
      <c r="GB94"/>
      <c r="GC94"/>
      <c r="GD94"/>
      <c r="GE94"/>
      <c r="GF94"/>
      <c r="GG94"/>
      <c r="GH94"/>
      <c r="GI94"/>
      <c r="GJ94"/>
      <c r="GK94"/>
      <c r="GL94"/>
      <c r="GM94"/>
      <c r="GN94"/>
      <c r="GO94"/>
      <c r="GP94"/>
      <c r="GQ94"/>
      <c r="GR94"/>
      <c r="GS94"/>
      <c r="GT94"/>
      <c r="GU94"/>
      <c r="GV94"/>
      <c r="GW94"/>
      <c r="GX94"/>
      <c r="GY94"/>
      <c r="GZ94"/>
      <c r="HA94"/>
      <c r="HB94"/>
      <c r="HC94"/>
      <c r="HD94"/>
      <c r="HE94"/>
      <c r="HF94"/>
      <c r="HG94"/>
      <c r="HH94"/>
      <c r="HI94"/>
      <c r="HJ94"/>
      <c r="HK94"/>
      <c r="HL94"/>
      <c r="HM94"/>
      <c r="HN94"/>
      <c r="HO94"/>
      <c r="HP94"/>
      <c r="HQ94"/>
      <c r="HR94"/>
      <c r="HS94"/>
      <c r="HT94"/>
      <c r="HU94"/>
      <c r="HV94"/>
      <c r="HW94"/>
      <c r="HX94"/>
      <c r="HY94"/>
      <c r="HZ94"/>
      <c r="IA94"/>
      <c r="IB94"/>
      <c r="IC94"/>
      <c r="ID94"/>
      <c r="IE94"/>
      <c r="IF94"/>
      <c r="IG94"/>
      <c r="IH94"/>
      <c r="II94"/>
      <c r="IJ94"/>
      <c r="IK94"/>
      <c r="IL94"/>
      <c r="IM94"/>
      <c r="IN94"/>
      <c r="IO94"/>
      <c r="IP94"/>
      <c r="IQ94"/>
      <c r="IR94"/>
      <c r="IS94"/>
      <c r="IT94"/>
      <c r="IU94"/>
      <c r="IV94"/>
      <c r="IW94"/>
      <c r="IX94"/>
      <c r="IY94"/>
      <c r="IZ94"/>
    </row>
    <row r="95" spans="1:260" s="4" customFormat="1" x14ac:dyDescent="0.2">
      <c r="A95" s="345" t="s">
        <v>542</v>
      </c>
      <c r="B95" s="100"/>
      <c r="C95" s="100"/>
      <c r="D95" s="100"/>
      <c r="E95" s="614"/>
      <c r="F95" s="100"/>
      <c r="G95" s="100"/>
      <c r="H95" s="100"/>
      <c r="I95" s="614"/>
      <c r="J95" s="100"/>
      <c r="K95" s="100"/>
      <c r="L95" s="100"/>
      <c r="M95" s="614"/>
      <c r="N95" s="100"/>
      <c r="O95" s="100"/>
      <c r="P95" s="100"/>
      <c r="Q95" s="614"/>
      <c r="R95" s="100"/>
      <c r="S95" s="100"/>
      <c r="T95" s="100"/>
      <c r="U95" s="614"/>
      <c r="V95" s="100"/>
      <c r="W95" s="100"/>
      <c r="X95" s="100"/>
      <c r="Y95" s="614"/>
      <c r="Z95" s="100"/>
      <c r="AA95" s="100"/>
      <c r="AB95" s="100"/>
      <c r="AC95" s="614"/>
      <c r="AD95" s="100"/>
      <c r="AE95" s="100"/>
      <c r="AF95" s="100"/>
      <c r="AG95" s="614"/>
      <c r="AH95" s="100"/>
      <c r="AI95" s="100"/>
      <c r="AJ95" s="100"/>
      <c r="AK95" s="614"/>
      <c r="AL95" s="100"/>
      <c r="AM95" s="100"/>
      <c r="AN95" s="100"/>
      <c r="AO95" s="614"/>
      <c r="AP95" s="77"/>
      <c r="AQ95" s="77"/>
      <c r="AR95" s="77"/>
      <c r="AS95" s="487"/>
      <c r="AT95" s="77"/>
      <c r="AU95" s="77"/>
      <c r="AV95" s="77">
        <f>(AV93/AR93)-1</f>
        <v>-0.63334999999999997</v>
      </c>
      <c r="AW95" s="487"/>
      <c r="AX95" s="77">
        <f t="shared" ref="AX95:CK95" si="180">(AX93/AT93)-1</f>
        <v>9.9895005249737823E-2</v>
      </c>
      <c r="AY95" s="77">
        <f t="shared" si="180"/>
        <v>9.9895005249737823E-2</v>
      </c>
      <c r="AZ95" s="77">
        <f t="shared" si="180"/>
        <v>9.0958679939997289E-2</v>
      </c>
      <c r="BA95" s="487">
        <f t="shared" si="180"/>
        <v>9.0958679939997289E-2</v>
      </c>
      <c r="BB95" s="77">
        <f t="shared" si="180"/>
        <v>9.0958679939997289E-2</v>
      </c>
      <c r="BC95" s="77">
        <f t="shared" si="180"/>
        <v>9.0958679939997289E-2</v>
      </c>
      <c r="BD95" s="77">
        <f t="shared" si="180"/>
        <v>0.25</v>
      </c>
      <c r="BE95" s="487">
        <f t="shared" si="180"/>
        <v>0.25</v>
      </c>
      <c r="BF95" s="77">
        <f t="shared" si="180"/>
        <v>0.25</v>
      </c>
      <c r="BG95" s="77">
        <f t="shared" si="180"/>
        <v>0.25</v>
      </c>
      <c r="BH95" s="77">
        <f t="shared" si="180"/>
        <v>0.30000000000000004</v>
      </c>
      <c r="BI95" s="487">
        <f t="shared" si="180"/>
        <v>0.30000000000000004</v>
      </c>
      <c r="BJ95" s="77">
        <f t="shared" si="180"/>
        <v>0.30000000000000004</v>
      </c>
      <c r="BK95" s="77">
        <f t="shared" si="180"/>
        <v>0.30000000000000004</v>
      </c>
      <c r="BL95" s="77">
        <f t="shared" si="180"/>
        <v>0</v>
      </c>
      <c r="BM95" s="487">
        <f t="shared" si="180"/>
        <v>7.6923076923077094E-2</v>
      </c>
      <c r="BN95" s="77">
        <f t="shared" si="180"/>
        <v>7.6923076923077094E-2</v>
      </c>
      <c r="BO95" s="77">
        <f t="shared" si="180"/>
        <v>7.6923076923077094E-2</v>
      </c>
      <c r="BP95" s="77">
        <f t="shared" si="180"/>
        <v>7.6923076923077094E-2</v>
      </c>
      <c r="BQ95" s="487">
        <f t="shared" si="180"/>
        <v>0</v>
      </c>
      <c r="BR95" s="77">
        <f t="shared" si="180"/>
        <v>0</v>
      </c>
      <c r="BS95" s="77">
        <f t="shared" si="180"/>
        <v>0</v>
      </c>
      <c r="BT95" s="77">
        <f t="shared" si="180"/>
        <v>7.1428571428571397E-2</v>
      </c>
      <c r="BU95" s="487">
        <f t="shared" si="180"/>
        <v>7.1428571428571397E-2</v>
      </c>
      <c r="BV95" s="77">
        <f t="shared" si="180"/>
        <v>7.1428571428571397E-2</v>
      </c>
      <c r="BW95" s="77">
        <f t="shared" si="180"/>
        <v>7.1428571428571397E-2</v>
      </c>
      <c r="BX95" s="77">
        <f t="shared" si="180"/>
        <v>6.6666666666666652E-2</v>
      </c>
      <c r="BY95" s="487">
        <f t="shared" si="180"/>
        <v>6.6666666666666652E-2</v>
      </c>
      <c r="BZ95" s="77">
        <f t="shared" si="180"/>
        <v>6.6666666666666652E-2</v>
      </c>
      <c r="CA95" s="77">
        <f t="shared" si="180"/>
        <v>6.6666666666666652E-2</v>
      </c>
      <c r="CB95" s="77">
        <f t="shared" si="180"/>
        <v>6.25E-2</v>
      </c>
      <c r="CC95" s="487">
        <f t="shared" si="180"/>
        <v>6.25E-2</v>
      </c>
      <c r="CD95" s="580">
        <f t="shared" si="180"/>
        <v>6.25E-2</v>
      </c>
      <c r="CE95" s="70">
        <f t="shared" si="180"/>
        <v>6.25E-2</v>
      </c>
      <c r="CF95" s="70">
        <f t="shared" si="180"/>
        <v>7.0000000000000062E-2</v>
      </c>
      <c r="CG95" s="487">
        <f t="shared" si="180"/>
        <v>7.0000000000000062E-2</v>
      </c>
      <c r="CH95" s="580">
        <f t="shared" si="180"/>
        <v>0.35294117647058809</v>
      </c>
      <c r="CI95" s="70">
        <f t="shared" si="180"/>
        <v>0.35294117647058809</v>
      </c>
      <c r="CJ95" s="70">
        <f t="shared" si="180"/>
        <v>0.26443100604727854</v>
      </c>
      <c r="CK95" s="487">
        <f t="shared" si="180"/>
        <v>0.26443100604727854</v>
      </c>
      <c r="CL95" s="70">
        <f t="shared" ref="CL95:CU95" si="181">(CL93/CH93)-1</f>
        <v>0</v>
      </c>
      <c r="CM95" s="70">
        <f t="shared" si="181"/>
        <v>0</v>
      </c>
      <c r="CN95" s="70">
        <f t="shared" si="181"/>
        <v>0</v>
      </c>
      <c r="CO95" s="487">
        <f t="shared" si="181"/>
        <v>0</v>
      </c>
      <c r="CP95" s="70">
        <f t="shared" si="181"/>
        <v>0</v>
      </c>
      <c r="CQ95" s="70">
        <f t="shared" si="181"/>
        <v>0.21739130434782616</v>
      </c>
      <c r="CR95" s="70">
        <f t="shared" si="181"/>
        <v>0.21739130434782616</v>
      </c>
      <c r="CS95" s="487">
        <f t="shared" si="181"/>
        <v>0.21739130434782616</v>
      </c>
      <c r="CT95" s="70">
        <f>(CT93/CP93)-1</f>
        <v>0.47826086956521752</v>
      </c>
      <c r="CU95" s="70">
        <f t="shared" si="181"/>
        <v>0.22642857142857142</v>
      </c>
      <c r="CV95" s="70">
        <f t="shared" ref="CV95:DA95" si="182">(CV93/CR93)-1</f>
        <v>0.23869285714285704</v>
      </c>
      <c r="CW95" s="487">
        <f t="shared" si="182"/>
        <v>0.25107978571428569</v>
      </c>
      <c r="CX95" s="1673">
        <f t="shared" si="182"/>
        <v>0.17647058823529416</v>
      </c>
      <c r="CY95" s="70">
        <f t="shared" si="182"/>
        <v>0.31042516016307498</v>
      </c>
      <c r="CZ95" s="70">
        <f t="shared" si="182"/>
        <v>0.29745065362680689</v>
      </c>
      <c r="DA95" s="487">
        <f t="shared" si="182"/>
        <v>0.28460460755129402</v>
      </c>
      <c r="DB95" s="580"/>
      <c r="DC95" s="487"/>
      <c r="DD95" s="100"/>
      <c r="DE95" s="100"/>
      <c r="DF95" s="100"/>
      <c r="DG95" s="100"/>
      <c r="DH95" s="100"/>
      <c r="DI95" s="100"/>
      <c r="DJ95" s="100"/>
      <c r="DK95" s="100"/>
      <c r="DL95" s="100"/>
      <c r="DM95" s="100"/>
      <c r="DN95" s="100"/>
      <c r="DO95" s="100"/>
      <c r="DP95" s="100"/>
      <c r="DQ95" s="100"/>
      <c r="DR95" s="100"/>
      <c r="DS95" s="100"/>
      <c r="DT95" s="100"/>
      <c r="DU95" s="100"/>
      <c r="DV95" s="77"/>
      <c r="DW95" s="77">
        <f t="shared" ref="DW95:EC95" si="183">(DW93/DV93)-1</f>
        <v>0.40000000000000013</v>
      </c>
      <c r="DX95" s="77">
        <f t="shared" si="183"/>
        <v>9.5214285714285696E-2</v>
      </c>
      <c r="DY95" s="77">
        <f t="shared" si="183"/>
        <v>0.17393856388182338</v>
      </c>
      <c r="DZ95" s="77">
        <f t="shared" si="183"/>
        <v>0.2777777777777779</v>
      </c>
      <c r="EA95" s="77">
        <f t="shared" si="183"/>
        <v>0.15217391304347827</v>
      </c>
      <c r="EB95" s="77">
        <f t="shared" si="183"/>
        <v>5.6603773584905648E-2</v>
      </c>
      <c r="EC95" s="77">
        <f t="shared" si="183"/>
        <v>3.5714285714285809E-2</v>
      </c>
      <c r="ED95" s="77">
        <f>(ED93/EC93)-1</f>
        <v>6.8965517241379226E-2</v>
      </c>
      <c r="EE95" s="77">
        <f>(EE93/EB93)-1</f>
        <v>3.5714285714285809E-2</v>
      </c>
      <c r="EF95" s="580">
        <f t="shared" ref="EF95:EP95" si="184">(EF93/EE93)-1</f>
        <v>6.8965517241379226E-2</v>
      </c>
      <c r="EG95" s="70">
        <f>(EG93/ED93)-1</f>
        <v>6.4516129032258229E-2</v>
      </c>
      <c r="EH95" s="70">
        <f>(EH93/EG93)-1</f>
        <v>6.6363636363636402E-2</v>
      </c>
      <c r="EI95" s="70">
        <f>(EI93/EH93)-1</f>
        <v>0.30718954248365993</v>
      </c>
      <c r="EJ95" s="70">
        <f>(EJ93/EI93)-1</f>
        <v>0</v>
      </c>
      <c r="EK95" s="77">
        <f t="shared" si="184"/>
        <v>0.16304347826086962</v>
      </c>
      <c r="EL95" s="77">
        <f t="shared" si="184"/>
        <v>0.29022087850467293</v>
      </c>
      <c r="EM95" s="1680">
        <f t="shared" si="184"/>
        <v>0.26762327748648751</v>
      </c>
      <c r="EN95" s="77">
        <f t="shared" si="184"/>
        <v>7.0000000000000062E-2</v>
      </c>
      <c r="EO95" s="77">
        <f t="shared" si="184"/>
        <v>7.0000000000000062E-2</v>
      </c>
      <c r="EP95" s="77">
        <f t="shared" si="184"/>
        <v>7.0000000000000062E-2</v>
      </c>
      <c r="EQ95" s="77">
        <f>(EQ93/EP93)-1</f>
        <v>7.0000000000000062E-2</v>
      </c>
      <c r="ER95" s="77">
        <f>(ER93/EQ93)-1</f>
        <v>7.0000000000000062E-2</v>
      </c>
      <c r="ES95" s="77">
        <f>(ES93/ER93)-1</f>
        <v>7.0000000000000062E-2</v>
      </c>
      <c r="ET95" s="77">
        <f>(ET93/ES93)-1</f>
        <v>7.0000000000000062E-2</v>
      </c>
      <c r="EU95" s="77">
        <f>(EU93/ET93)-1</f>
        <v>7.0000000000000062E-2</v>
      </c>
      <c r="EV95" s="413"/>
      <c r="EW95"/>
      <c r="EX95"/>
      <c r="EY95"/>
      <c r="EZ95"/>
      <c r="FA95"/>
      <c r="FB95"/>
      <c r="FG95" s="70"/>
      <c r="FH95" s="70"/>
      <c r="FI95" s="70"/>
      <c r="FJ95" s="70"/>
      <c r="FK95" s="70"/>
      <c r="FL95"/>
      <c r="FM95"/>
      <c r="FN95"/>
      <c r="FO95"/>
      <c r="FP95"/>
      <c r="FQ95"/>
      <c r="FR95"/>
      <c r="FS95"/>
      <c r="FT95"/>
      <c r="FU95"/>
      <c r="FV95"/>
      <c r="FW95"/>
      <c r="FX95"/>
      <c r="FY95"/>
      <c r="FZ95"/>
      <c r="GA95"/>
      <c r="GB95"/>
      <c r="GC95"/>
      <c r="GD95"/>
      <c r="GE95"/>
      <c r="GF95"/>
      <c r="GG95"/>
      <c r="GH95"/>
      <c r="GI95"/>
      <c r="GJ95"/>
      <c r="GK95"/>
      <c r="GL95"/>
      <c r="GM95"/>
      <c r="GN95"/>
      <c r="GO95"/>
      <c r="GP95"/>
      <c r="GQ95"/>
      <c r="GR95"/>
      <c r="GS95"/>
      <c r="GT95"/>
      <c r="GU95"/>
      <c r="GV95"/>
      <c r="GW95"/>
      <c r="GX95"/>
      <c r="GY95"/>
      <c r="GZ95"/>
      <c r="HA95"/>
      <c r="HB95"/>
      <c r="HC95"/>
      <c r="HD95"/>
      <c r="HE95"/>
      <c r="HF95"/>
      <c r="HG95"/>
      <c r="HH95"/>
      <c r="HI95"/>
      <c r="HJ95"/>
      <c r="HK95"/>
      <c r="HL95"/>
      <c r="HM95"/>
      <c r="HN95"/>
      <c r="HO95"/>
      <c r="HP95"/>
      <c r="HQ95"/>
      <c r="HR95"/>
      <c r="HS95"/>
      <c r="HT95"/>
      <c r="HU95"/>
      <c r="HV95"/>
      <c r="HW95"/>
      <c r="HX95"/>
      <c r="HY95"/>
      <c r="HZ95"/>
      <c r="IA95"/>
      <c r="IB95"/>
      <c r="IC95"/>
      <c r="ID95"/>
      <c r="IE95"/>
      <c r="IF95"/>
      <c r="IG95"/>
      <c r="IH95"/>
      <c r="II95"/>
      <c r="IJ95"/>
      <c r="IK95"/>
      <c r="IL95"/>
      <c r="IM95"/>
      <c r="IN95"/>
      <c r="IO95"/>
      <c r="IP95"/>
      <c r="IQ95"/>
      <c r="IR95"/>
      <c r="IS95"/>
      <c r="IT95"/>
      <c r="IU95"/>
      <c r="IV95"/>
      <c r="IW95"/>
      <c r="IX95"/>
      <c r="IY95"/>
      <c r="IZ95"/>
    </row>
    <row r="96" spans="1:260" s="4" customFormat="1" x14ac:dyDescent="0.2">
      <c r="A96" s="345" t="s">
        <v>543</v>
      </c>
      <c r="B96" s="100"/>
      <c r="C96" s="100"/>
      <c r="D96" s="100"/>
      <c r="E96" s="614"/>
      <c r="F96" s="100"/>
      <c r="G96" s="100"/>
      <c r="H96" s="100"/>
      <c r="I96" s="614"/>
      <c r="J96" s="100"/>
      <c r="K96" s="100"/>
      <c r="L96" s="100"/>
      <c r="M96" s="614"/>
      <c r="N96" s="100"/>
      <c r="O96" s="100"/>
      <c r="P96" s="100"/>
      <c r="Q96" s="614"/>
      <c r="R96" s="100"/>
      <c r="S96" s="100"/>
      <c r="T96" s="100"/>
      <c r="U96" s="614"/>
      <c r="V96" s="100"/>
      <c r="W96" s="100"/>
      <c r="X96" s="100"/>
      <c r="Y96" s="614"/>
      <c r="Z96" s="100"/>
      <c r="AA96" s="100"/>
      <c r="AB96" s="100"/>
      <c r="AC96" s="614"/>
      <c r="AD96" s="100"/>
      <c r="AE96" s="100"/>
      <c r="AF96" s="100"/>
      <c r="AG96" s="614"/>
      <c r="AH96" s="100"/>
      <c r="AI96" s="100"/>
      <c r="AJ96" s="100"/>
      <c r="AK96" s="614"/>
      <c r="AL96" s="100"/>
      <c r="AM96" s="100"/>
      <c r="AN96" s="100"/>
      <c r="AO96" s="614"/>
      <c r="AP96" s="77">
        <f t="shared" ref="AP96:CK96" si="185">(AP108/AL108)-1</f>
        <v>-0.12362791349432489</v>
      </c>
      <c r="AQ96" s="77">
        <f t="shared" si="185"/>
        <v>0.68580558151388993</v>
      </c>
      <c r="AR96" s="77">
        <f t="shared" si="185"/>
        <v>0.39113394082257313</v>
      </c>
      <c r="AS96" s="487">
        <f t="shared" si="185"/>
        <v>0.21497379861675214</v>
      </c>
      <c r="AT96" s="77">
        <f t="shared" si="185"/>
        <v>0.59903723562704791</v>
      </c>
      <c r="AU96" s="77">
        <f t="shared" si="185"/>
        <v>9.3732907191714787E-2</v>
      </c>
      <c r="AV96" s="77">
        <f t="shared" si="185"/>
        <v>0.18725029976164698</v>
      </c>
      <c r="AW96" s="487">
        <f t="shared" si="185"/>
        <v>0.10379712380347494</v>
      </c>
      <c r="AX96" s="77">
        <f t="shared" si="185"/>
        <v>0.50952615409690938</v>
      </c>
      <c r="AY96" s="77">
        <f t="shared" si="185"/>
        <v>0.23399913359858138</v>
      </c>
      <c r="AZ96" s="77">
        <f t="shared" si="185"/>
        <v>-6.8762522380424462E-2</v>
      </c>
      <c r="BA96" s="487">
        <f t="shared" si="185"/>
        <v>0.24524653561069942</v>
      </c>
      <c r="BB96" s="77">
        <f t="shared" si="185"/>
        <v>0.36850069863323953</v>
      </c>
      <c r="BC96" s="77">
        <f t="shared" si="185"/>
        <v>0.25445137237256543</v>
      </c>
      <c r="BD96" s="77">
        <f t="shared" si="185"/>
        <v>0.11194906782187752</v>
      </c>
      <c r="BE96" s="487">
        <f t="shared" si="185"/>
        <v>0.20466472687635151</v>
      </c>
      <c r="BF96" s="77">
        <f t="shared" si="185"/>
        <v>-0.16396170801053811</v>
      </c>
      <c r="BG96" s="77">
        <f t="shared" si="185"/>
        <v>0.18297657396641442</v>
      </c>
      <c r="BH96" s="77">
        <f t="shared" si="185"/>
        <v>0.74934076137418737</v>
      </c>
      <c r="BI96" s="487">
        <f t="shared" si="185"/>
        <v>0.10743162406405204</v>
      </c>
      <c r="BJ96" s="77">
        <f t="shared" si="185"/>
        <v>8.2242215792788675E-2</v>
      </c>
      <c r="BK96" s="77">
        <f t="shared" si="185"/>
        <v>-0.12920009449562964</v>
      </c>
      <c r="BL96" s="77">
        <f t="shared" si="185"/>
        <v>-0.27121578200114582</v>
      </c>
      <c r="BM96" s="487">
        <f t="shared" si="185"/>
        <v>-1.2436100986731535E-2</v>
      </c>
      <c r="BN96" s="77">
        <f t="shared" si="185"/>
        <v>0.13906375696683604</v>
      </c>
      <c r="BO96" s="77">
        <f t="shared" si="185"/>
        <v>-0.22459943886660316</v>
      </c>
      <c r="BP96" s="77">
        <f t="shared" si="185"/>
        <v>0.37314240400333221</v>
      </c>
      <c r="BQ96" s="487">
        <f t="shared" si="185"/>
        <v>7.4782613231512141E-2</v>
      </c>
      <c r="BR96" s="77">
        <f t="shared" si="185"/>
        <v>-0.25441109171341891</v>
      </c>
      <c r="BS96" s="77">
        <f t="shared" si="185"/>
        <v>0.62049820107337927</v>
      </c>
      <c r="BT96" s="77">
        <f t="shared" si="185"/>
        <v>4.7055976735592697E-3</v>
      </c>
      <c r="BU96" s="487">
        <f t="shared" si="185"/>
        <v>0.19345257226285195</v>
      </c>
      <c r="BV96" s="77">
        <f t="shared" si="185"/>
        <v>-3.2345775265568699E-2</v>
      </c>
      <c r="BW96" s="77">
        <f t="shared" si="185"/>
        <v>-0.21730136381090792</v>
      </c>
      <c r="BX96" s="77">
        <f t="shared" si="185"/>
        <v>-0.12355428491458154</v>
      </c>
      <c r="BY96" s="487">
        <f t="shared" si="185"/>
        <v>0.14177540558764501</v>
      </c>
      <c r="BZ96" s="77">
        <f t="shared" si="185"/>
        <v>1.0654964233169295</v>
      </c>
      <c r="CA96" s="77">
        <f t="shared" si="185"/>
        <v>-0.57209277768794942</v>
      </c>
      <c r="CB96" s="77">
        <f t="shared" si="185"/>
        <v>-0.93641203895279868</v>
      </c>
      <c r="CC96" s="487">
        <f t="shared" si="185"/>
        <v>-0.33685948796730292</v>
      </c>
      <c r="CD96" s="580">
        <f t="shared" si="185"/>
        <v>-0.48918770712633808</v>
      </c>
      <c r="CE96" s="70">
        <f t="shared" si="185"/>
        <v>0.50365512058481943</v>
      </c>
      <c r="CF96" s="70">
        <f t="shared" si="185"/>
        <v>5.5719690455717972</v>
      </c>
      <c r="CG96" s="487">
        <f t="shared" si="185"/>
        <v>-0.26613030381836023</v>
      </c>
      <c r="CH96" s="580">
        <f t="shared" si="185"/>
        <v>-4.2397260273972615E-2</v>
      </c>
      <c r="CI96" s="70">
        <f t="shared" si="185"/>
        <v>0.39156073909055156</v>
      </c>
      <c r="CJ96" s="70">
        <f t="shared" si="185"/>
        <v>0.75377617148554332</v>
      </c>
      <c r="CK96" s="487">
        <f t="shared" si="185"/>
        <v>0.22802803173964192</v>
      </c>
      <c r="CL96" s="70">
        <f t="shared" ref="CL96:CU96" si="186">(CL108/CH108)-1</f>
        <v>-6.0163282480325542E-3</v>
      </c>
      <c r="CM96" s="70">
        <f t="shared" si="186"/>
        <v>0.10950948122465509</v>
      </c>
      <c r="CN96" s="70">
        <f t="shared" si="186"/>
        <v>0.15683535011484984</v>
      </c>
      <c r="CO96" s="487">
        <f t="shared" si="186"/>
        <v>4.9975062454941099E-3</v>
      </c>
      <c r="CP96" s="70">
        <f t="shared" si="186"/>
        <v>0.23694307620260702</v>
      </c>
      <c r="CQ96" s="70">
        <f t="shared" si="186"/>
        <v>0.21556913201385197</v>
      </c>
      <c r="CR96" s="70">
        <f t="shared" si="186"/>
        <v>0.52529438405797113</v>
      </c>
      <c r="CS96" s="487">
        <f t="shared" si="186"/>
        <v>0.30191210193918994</v>
      </c>
      <c r="CT96" s="70">
        <f>(CT108/CP108)-1</f>
        <v>0.38285714285714278</v>
      </c>
      <c r="CU96" s="70">
        <f t="shared" si="186"/>
        <v>0.21492569853225585</v>
      </c>
      <c r="CV96" s="70">
        <f t="shared" ref="CV96:DA96" si="187">(CV108/CR108)-1</f>
        <v>0.28668424320775276</v>
      </c>
      <c r="CW96" s="487">
        <f t="shared" si="187"/>
        <v>0.25247313949378114</v>
      </c>
      <c r="CX96" s="1673">
        <f t="shared" si="187"/>
        <v>0.24423863430584514</v>
      </c>
      <c r="CY96" s="70">
        <f t="shared" si="187"/>
        <v>0.18979958269545483</v>
      </c>
      <c r="CZ96" s="70">
        <f t="shared" si="187"/>
        <v>0.20243028388835915</v>
      </c>
      <c r="DA96" s="487">
        <f t="shared" si="187"/>
        <v>4.6224259395829526E-2</v>
      </c>
      <c r="DB96" s="580"/>
      <c r="DC96" s="487"/>
      <c r="DD96" s="100"/>
      <c r="DE96" s="100"/>
      <c r="DF96" s="100"/>
      <c r="DG96" s="100"/>
      <c r="DH96" s="100"/>
      <c r="DI96" s="100"/>
      <c r="DJ96" s="100"/>
      <c r="DK96" s="100"/>
      <c r="DL96" s="100"/>
      <c r="DM96" s="100"/>
      <c r="DN96" s="100"/>
      <c r="DO96" s="100"/>
      <c r="DP96" s="100"/>
      <c r="DQ96" s="100"/>
      <c r="DR96" s="100"/>
      <c r="DS96" s="100"/>
      <c r="DT96" s="100"/>
      <c r="DU96" s="100"/>
      <c r="DV96" s="77">
        <f t="shared" ref="DV96:EC96" si="188">(DV108/DU108)-1</f>
        <v>0.25048160684063081</v>
      </c>
      <c r="DW96" s="77">
        <f t="shared" si="188"/>
        <v>0.15877783331944384</v>
      </c>
      <c r="DX96" s="77">
        <f t="shared" si="188"/>
        <v>0.22083884578285073</v>
      </c>
      <c r="DY96" s="77">
        <f t="shared" si="188"/>
        <v>0.22909818913859614</v>
      </c>
      <c r="DZ96" s="77">
        <f t="shared" si="188"/>
        <v>0.11923090277749426</v>
      </c>
      <c r="EA96" s="77">
        <f t="shared" si="188"/>
        <v>-4.2472668579542572E-2</v>
      </c>
      <c r="EB96" s="77">
        <f t="shared" si="188"/>
        <v>7.6525627794977513E-2</v>
      </c>
      <c r="EC96" s="77">
        <f t="shared" si="188"/>
        <v>0.12387833146406857</v>
      </c>
      <c r="ED96" s="77">
        <f>(ED108/EC108)-1</f>
        <v>7.7434114909418206E-3</v>
      </c>
      <c r="EE96" s="77">
        <f>(EE108/EB108)-1</f>
        <v>0.15871602261287077</v>
      </c>
      <c r="EF96" s="580">
        <f t="shared" ref="EF96:EP96" si="189">(EF108/EE108)-1</f>
        <v>-7.3802890856318193E-3</v>
      </c>
      <c r="EG96" s="70">
        <f>(EG108/ED108)-1</f>
        <v>-0.28626977657724861</v>
      </c>
      <c r="EH96" s="70">
        <f>(EH108/EG108)-1</f>
        <v>-0.19669693196557225</v>
      </c>
      <c r="EI96" s="70">
        <f>(EI108/EH108)-1</f>
        <v>0.24847634161954524</v>
      </c>
      <c r="EJ96" s="70">
        <f>(EJ108/EI108)-1</f>
        <v>2.6940827340029116E-2</v>
      </c>
      <c r="EK96" s="77">
        <f t="shared" si="189"/>
        <v>0.31615251747996709</v>
      </c>
      <c r="EL96" s="77">
        <f t="shared" si="189"/>
        <v>0.25926742017252491</v>
      </c>
      <c r="EM96" s="1680">
        <f t="shared" si="189"/>
        <v>0.13203882198936046</v>
      </c>
      <c r="EN96" s="77">
        <f t="shared" si="189"/>
        <v>5.9655509771465054E-2</v>
      </c>
      <c r="EO96" s="77">
        <f t="shared" si="189"/>
        <v>5.7270914423987795E-2</v>
      </c>
      <c r="EP96" s="77">
        <f t="shared" si="189"/>
        <v>1.1718172944179317E-2</v>
      </c>
      <c r="EQ96" s="77">
        <f>(EQ108/EP108)-1</f>
        <v>1.2859761641810241E-2</v>
      </c>
      <c r="ER96" s="77">
        <f>(ER108/EQ108)-1</f>
        <v>1.5044166968523287E-2</v>
      </c>
      <c r="ES96" s="77">
        <f>(ES108/ER108)-1</f>
        <v>3.3075085956542072E-3</v>
      </c>
      <c r="ET96" s="77">
        <f>(ET108/ES108)-1</f>
        <v>-4.5940186520809778E-4</v>
      </c>
      <c r="EU96" s="77">
        <f>(EU108/ET108)-1</f>
        <v>3.7137030999456755E-3</v>
      </c>
      <c r="EV96" s="413"/>
      <c r="EW96"/>
      <c r="EX96"/>
      <c r="EY96"/>
      <c r="EZ96"/>
      <c r="FA96"/>
      <c r="FB96"/>
      <c r="FG96" s="70"/>
      <c r="FH96" s="70"/>
      <c r="FI96" s="70"/>
      <c r="FJ96" s="70"/>
      <c r="FK96" s="70"/>
      <c r="FL96"/>
      <c r="FM96"/>
      <c r="FN96"/>
      <c r="FO96"/>
      <c r="FP96"/>
      <c r="FQ96"/>
      <c r="FR96"/>
      <c r="FS96"/>
      <c r="FT96"/>
      <c r="FU96"/>
      <c r="FV96"/>
      <c r="FW96"/>
      <c r="FX96"/>
      <c r="FY96"/>
      <c r="FZ96"/>
      <c r="GA96"/>
      <c r="GB96"/>
      <c r="GC96"/>
      <c r="GD96"/>
      <c r="GE96"/>
      <c r="GF96"/>
      <c r="GG96"/>
      <c r="GH96"/>
      <c r="GI96"/>
      <c r="GJ96"/>
      <c r="GK96"/>
      <c r="GL96"/>
      <c r="GM96"/>
      <c r="GN96"/>
      <c r="GO96"/>
      <c r="GP96"/>
      <c r="GQ96"/>
      <c r="GR96"/>
      <c r="GS96"/>
      <c r="GT96"/>
      <c r="GU96"/>
      <c r="GV96"/>
      <c r="GW96"/>
      <c r="GX96"/>
      <c r="GY96"/>
      <c r="GZ96"/>
      <c r="HA96"/>
      <c r="HB96"/>
      <c r="HC96"/>
      <c r="HD96"/>
      <c r="HE96"/>
      <c r="HF96"/>
      <c r="HG96"/>
      <c r="HH96"/>
      <c r="HI96"/>
      <c r="HJ96"/>
      <c r="HK96"/>
      <c r="HL96"/>
      <c r="HM96"/>
      <c r="HN96"/>
      <c r="HO96"/>
      <c r="HP96"/>
      <c r="HQ96"/>
      <c r="HR96"/>
      <c r="HS96"/>
      <c r="HT96"/>
      <c r="HU96"/>
      <c r="HV96"/>
      <c r="HW96"/>
      <c r="HX96"/>
      <c r="HY96"/>
      <c r="HZ96"/>
      <c r="IA96"/>
      <c r="IB96"/>
      <c r="IC96"/>
      <c r="ID96"/>
      <c r="IE96"/>
      <c r="IF96"/>
      <c r="IG96"/>
      <c r="IH96"/>
      <c r="II96"/>
      <c r="IJ96"/>
      <c r="IK96"/>
      <c r="IL96"/>
      <c r="IM96"/>
      <c r="IN96"/>
      <c r="IO96"/>
      <c r="IP96"/>
      <c r="IQ96"/>
      <c r="IR96"/>
      <c r="IS96"/>
      <c r="IT96"/>
      <c r="IU96"/>
      <c r="IV96"/>
      <c r="IW96"/>
      <c r="IX96"/>
      <c r="IY96"/>
      <c r="IZ96"/>
    </row>
    <row r="97" spans="1:260" s="4" customFormat="1" x14ac:dyDescent="0.2">
      <c r="A97" s="345"/>
      <c r="B97" s="100"/>
      <c r="C97" s="100"/>
      <c r="D97" s="100"/>
      <c r="E97" s="614"/>
      <c r="F97" s="100"/>
      <c r="G97" s="100"/>
      <c r="H97" s="100"/>
      <c r="I97" s="614"/>
      <c r="J97" s="100"/>
      <c r="K97" s="100"/>
      <c r="L97" s="100"/>
      <c r="M97" s="614"/>
      <c r="N97" s="100"/>
      <c r="O97" s="100"/>
      <c r="P97" s="100"/>
      <c r="Q97" s="614"/>
      <c r="R97" s="100"/>
      <c r="S97" s="100"/>
      <c r="T97" s="100"/>
      <c r="U97" s="614"/>
      <c r="V97" s="100"/>
      <c r="W97" s="100"/>
      <c r="X97" s="100"/>
      <c r="Y97" s="614"/>
      <c r="Z97" s="100"/>
      <c r="AA97" s="100"/>
      <c r="AB97" s="100"/>
      <c r="AC97" s="614"/>
      <c r="AD97" s="100"/>
      <c r="AE97" s="100"/>
      <c r="AF97" s="100"/>
      <c r="AG97" s="614"/>
      <c r="AH97" s="100"/>
      <c r="AI97" s="100"/>
      <c r="AJ97" s="100"/>
      <c r="AK97" s="614"/>
      <c r="AL97" s="100"/>
      <c r="AM97" s="100"/>
      <c r="AN97" s="100"/>
      <c r="AO97" s="614"/>
      <c r="AP97" s="77"/>
      <c r="AQ97" s="100"/>
      <c r="AR97" s="100"/>
      <c r="AS97" s="614"/>
      <c r="AT97" s="100"/>
      <c r="AU97" s="100"/>
      <c r="AV97" s="100"/>
      <c r="AW97" s="614"/>
      <c r="AX97" s="182"/>
      <c r="AY97" s="182"/>
      <c r="AZ97" s="182"/>
      <c r="BA97" s="722"/>
      <c r="BB97" s="182"/>
      <c r="BC97" s="182"/>
      <c r="BD97" s="182"/>
      <c r="BE97" s="722"/>
      <c r="BF97" s="182"/>
      <c r="BG97" s="182"/>
      <c r="BH97" s="182"/>
      <c r="BI97" s="722"/>
      <c r="BJ97" s="333"/>
      <c r="BK97" s="333"/>
      <c r="BL97" s="333"/>
      <c r="BM97" s="726"/>
      <c r="BN97" s="333"/>
      <c r="BO97" s="333"/>
      <c r="BP97" s="333"/>
      <c r="BQ97" s="726"/>
      <c r="BR97" s="333"/>
      <c r="BS97" s="333"/>
      <c r="BT97" s="333"/>
      <c r="BU97" s="726"/>
      <c r="BV97" s="333"/>
      <c r="BW97" s="182"/>
      <c r="BX97" s="182"/>
      <c r="BY97" s="722"/>
      <c r="BZ97" s="333"/>
      <c r="CA97" s="182"/>
      <c r="CB97" s="182"/>
      <c r="CC97" s="722"/>
      <c r="CD97" s="737"/>
      <c r="CE97" s="1137"/>
      <c r="CF97" s="1137"/>
      <c r="CG97" s="722"/>
      <c r="CH97" s="737"/>
      <c r="CI97" s="1137"/>
      <c r="CJ97" s="1137"/>
      <c r="CK97" s="726"/>
      <c r="CL97" s="1137"/>
      <c r="CM97" s="1137"/>
      <c r="CN97" s="1137"/>
      <c r="CO97" s="726"/>
      <c r="CP97" s="1137"/>
      <c r="CQ97" s="1137"/>
      <c r="CR97" s="1137"/>
      <c r="CS97" s="726"/>
      <c r="CT97" s="1137"/>
      <c r="CU97" s="1137"/>
      <c r="CV97" s="1137"/>
      <c r="CW97" s="726"/>
      <c r="CX97" s="2808"/>
      <c r="CY97" s="1136"/>
      <c r="CZ97" s="1136"/>
      <c r="DA97" s="722"/>
      <c r="DB97" s="737"/>
      <c r="DC97" s="726"/>
      <c r="DD97" s="100"/>
      <c r="DE97" s="100"/>
      <c r="DF97" s="100"/>
      <c r="DG97" s="100"/>
      <c r="DH97" s="100"/>
      <c r="DI97" s="100"/>
      <c r="DJ97" s="100"/>
      <c r="DK97" s="100"/>
      <c r="DL97" s="100"/>
      <c r="DM97" s="100"/>
      <c r="DN97" s="100"/>
      <c r="DO97" s="100"/>
      <c r="DP97" s="100"/>
      <c r="DQ97" s="100"/>
      <c r="DR97" s="100"/>
      <c r="DS97" s="100"/>
      <c r="DT97" s="100"/>
      <c r="DU97" s="100"/>
      <c r="DV97" s="182"/>
      <c r="DW97" s="182"/>
      <c r="DX97" s="182"/>
      <c r="DY97" s="182"/>
      <c r="DZ97" s="182"/>
      <c r="EA97" s="333"/>
      <c r="EB97" s="333"/>
      <c r="EC97" s="333"/>
      <c r="ED97" s="182"/>
      <c r="EE97" s="333"/>
      <c r="EF97" s="737"/>
      <c r="EG97" s="1136"/>
      <c r="EH97" s="1136"/>
      <c r="EI97" s="1136"/>
      <c r="EJ97" s="1136"/>
      <c r="EK97" s="333"/>
      <c r="EL97" s="333"/>
      <c r="EM97" s="1688"/>
      <c r="EN97" s="333"/>
      <c r="EO97" s="333"/>
      <c r="EP97" s="333"/>
      <c r="EQ97" s="333"/>
      <c r="ER97" s="333"/>
      <c r="ES97" s="333"/>
      <c r="ET97" s="333"/>
      <c r="EU97" s="333"/>
      <c r="EV97" s="413"/>
      <c r="EW97"/>
      <c r="EX97"/>
      <c r="EY97"/>
      <c r="EZ97"/>
      <c r="FA97"/>
      <c r="FB97"/>
      <c r="FG97" s="1137"/>
      <c r="FH97" s="1137"/>
      <c r="FI97" s="1137"/>
      <c r="FJ97" s="1137"/>
      <c r="FK97" s="1137"/>
      <c r="FL97"/>
      <c r="FM97"/>
      <c r="FN97"/>
      <c r="FO97"/>
      <c r="FP97"/>
      <c r="FQ97"/>
      <c r="FR97"/>
      <c r="FS97"/>
      <c r="FT97"/>
      <c r="FU97"/>
      <c r="FV97"/>
      <c r="FW97"/>
      <c r="FX97"/>
      <c r="FY97"/>
      <c r="FZ97"/>
      <c r="GA97"/>
      <c r="GB97"/>
      <c r="GC97"/>
      <c r="GD97"/>
      <c r="GE97"/>
      <c r="GF97"/>
      <c r="GG97"/>
      <c r="GH97"/>
      <c r="GI97"/>
      <c r="GJ97"/>
      <c r="GK97"/>
      <c r="GL97"/>
      <c r="GM97"/>
      <c r="GN97"/>
      <c r="GO97"/>
      <c r="GP97"/>
      <c r="GQ97"/>
      <c r="GR97"/>
      <c r="GS97"/>
      <c r="GT97"/>
      <c r="GU97"/>
      <c r="GV97"/>
      <c r="GW97"/>
      <c r="GX97"/>
      <c r="GY97"/>
      <c r="GZ97"/>
      <c r="HA97"/>
      <c r="HB97"/>
      <c r="HC97"/>
      <c r="HD97"/>
      <c r="HE97"/>
      <c r="HF97"/>
      <c r="HG97"/>
      <c r="HH97"/>
      <c r="HI97"/>
      <c r="HJ97"/>
      <c r="HK97"/>
      <c r="HL97"/>
      <c r="HM97"/>
      <c r="HN97"/>
      <c r="HO97"/>
      <c r="HP97"/>
      <c r="HQ97"/>
      <c r="HR97"/>
      <c r="HS97"/>
      <c r="HT97"/>
      <c r="HU97"/>
      <c r="HV97"/>
      <c r="HW97"/>
      <c r="HX97"/>
      <c r="HY97"/>
      <c r="HZ97"/>
      <c r="IA97"/>
      <c r="IB97"/>
      <c r="IC97"/>
      <c r="ID97"/>
      <c r="IE97"/>
      <c r="IF97"/>
      <c r="IG97"/>
      <c r="IH97"/>
      <c r="II97"/>
      <c r="IJ97"/>
      <c r="IK97"/>
      <c r="IL97"/>
      <c r="IM97"/>
      <c r="IN97"/>
      <c r="IO97"/>
      <c r="IP97"/>
      <c r="IQ97"/>
      <c r="IR97"/>
      <c r="IS97"/>
      <c r="IT97"/>
      <c r="IU97"/>
      <c r="IV97"/>
      <c r="IW97"/>
      <c r="IX97"/>
      <c r="IY97"/>
      <c r="IZ97"/>
    </row>
    <row r="98" spans="1:260" s="4" customFormat="1" x14ac:dyDescent="0.2">
      <c r="A98" s="345" t="s">
        <v>141</v>
      </c>
      <c r="B98" s="131"/>
      <c r="C98" s="131"/>
      <c r="D98" s="131"/>
      <c r="E98" s="714"/>
      <c r="F98" s="131"/>
      <c r="G98" s="131"/>
      <c r="H98" s="131"/>
      <c r="I98" s="714"/>
      <c r="J98" s="131"/>
      <c r="K98" s="131"/>
      <c r="L98" s="131"/>
      <c r="M98" s="714"/>
      <c r="N98" s="131"/>
      <c r="O98" s="131"/>
      <c r="P98" s="131"/>
      <c r="Q98" s="714"/>
      <c r="R98" s="131"/>
      <c r="S98" s="131"/>
      <c r="T98" s="131"/>
      <c r="U98" s="714"/>
      <c r="V98" s="131"/>
      <c r="W98" s="131"/>
      <c r="X98" s="131"/>
      <c r="Y98" s="714"/>
      <c r="Z98" s="131"/>
      <c r="AA98" s="131"/>
      <c r="AB98" s="131"/>
      <c r="AC98" s="714"/>
      <c r="AD98" s="131"/>
      <c r="AE98" s="131"/>
      <c r="AF98" s="131"/>
      <c r="AG98" s="714"/>
      <c r="AH98" s="131"/>
      <c r="AI98" s="131"/>
      <c r="AJ98" s="131"/>
      <c r="AK98" s="714"/>
      <c r="AL98" s="131"/>
      <c r="AM98" s="131"/>
      <c r="AN98" s="131"/>
      <c r="AO98" s="714"/>
      <c r="AP98" s="898">
        <f>AP42</f>
        <v>-505</v>
      </c>
      <c r="AQ98" s="898">
        <f t="shared" ref="AQ98:BY98" si="190">AQ42</f>
        <v>344</v>
      </c>
      <c r="AR98" s="898">
        <f t="shared" si="190"/>
        <v>4686</v>
      </c>
      <c r="AS98" s="909">
        <f t="shared" si="190"/>
        <v>-3796</v>
      </c>
      <c r="AT98" s="898">
        <f t="shared" si="190"/>
        <v>-475</v>
      </c>
      <c r="AU98" s="898">
        <f t="shared" si="190"/>
        <v>363</v>
      </c>
      <c r="AV98" s="898">
        <f t="shared" si="190"/>
        <v>564</v>
      </c>
      <c r="AW98" s="909">
        <f t="shared" si="190"/>
        <v>937</v>
      </c>
      <c r="AX98" s="898">
        <f t="shared" si="190"/>
        <v>-524</v>
      </c>
      <c r="AY98" s="898">
        <f t="shared" si="190"/>
        <v>47</v>
      </c>
      <c r="AZ98" s="898">
        <f t="shared" si="190"/>
        <v>391</v>
      </c>
      <c r="BA98" s="909">
        <f t="shared" si="190"/>
        <v>1178</v>
      </c>
      <c r="BB98" s="898">
        <f t="shared" si="190"/>
        <v>-880</v>
      </c>
      <c r="BC98" s="898">
        <f t="shared" si="190"/>
        <v>550</v>
      </c>
      <c r="BD98" s="898">
        <f t="shared" si="190"/>
        <v>67</v>
      </c>
      <c r="BE98" s="909">
        <f t="shared" si="190"/>
        <v>1292</v>
      </c>
      <c r="BF98" s="898">
        <f t="shared" si="190"/>
        <v>-607</v>
      </c>
      <c r="BG98" s="898">
        <f t="shared" si="190"/>
        <v>362</v>
      </c>
      <c r="BH98" s="898">
        <f t="shared" si="190"/>
        <v>907</v>
      </c>
      <c r="BI98" s="909">
        <f t="shared" si="190"/>
        <v>566</v>
      </c>
      <c r="BJ98" s="898">
        <f t="shared" si="190"/>
        <v>-281</v>
      </c>
      <c r="BK98" s="898">
        <f t="shared" si="190"/>
        <v>-171</v>
      </c>
      <c r="BL98" s="898">
        <f t="shared" si="190"/>
        <v>-555</v>
      </c>
      <c r="BM98" s="909">
        <f t="shared" si="190"/>
        <v>1581</v>
      </c>
      <c r="BN98" s="898">
        <f t="shared" si="190"/>
        <v>-239</v>
      </c>
      <c r="BO98" s="898">
        <f t="shared" si="190"/>
        <v>167</v>
      </c>
      <c r="BP98" s="898">
        <f t="shared" si="190"/>
        <v>282</v>
      </c>
      <c r="BQ98" s="909">
        <f t="shared" si="190"/>
        <v>1381</v>
      </c>
      <c r="BR98" s="898">
        <f t="shared" si="190"/>
        <v>8</v>
      </c>
      <c r="BS98" s="898">
        <f t="shared" si="190"/>
        <v>-266</v>
      </c>
      <c r="BT98" s="898">
        <f t="shared" si="190"/>
        <v>274</v>
      </c>
      <c r="BU98" s="909">
        <f t="shared" si="190"/>
        <v>430</v>
      </c>
      <c r="BV98" s="898">
        <f>BV42</f>
        <v>1122</v>
      </c>
      <c r="BW98" s="898">
        <f t="shared" si="190"/>
        <v>4</v>
      </c>
      <c r="BX98" s="898">
        <f t="shared" si="190"/>
        <v>885</v>
      </c>
      <c r="BY98" s="909">
        <f t="shared" si="190"/>
        <v>516</v>
      </c>
      <c r="BZ98" s="898">
        <f t="shared" ref="BZ98:CK98" si="191">BZ42</f>
        <v>238</v>
      </c>
      <c r="CA98" s="898">
        <f t="shared" si="191"/>
        <v>-776</v>
      </c>
      <c r="CB98" s="898">
        <f t="shared" si="191"/>
        <v>-105</v>
      </c>
      <c r="CC98" s="909">
        <f t="shared" si="191"/>
        <v>1323</v>
      </c>
      <c r="CD98" s="917">
        <f t="shared" si="191"/>
        <v>-179</v>
      </c>
      <c r="CE98" s="910">
        <f t="shared" si="191"/>
        <v>-103</v>
      </c>
      <c r="CF98" s="910">
        <f t="shared" si="191"/>
        <v>184</v>
      </c>
      <c r="CG98" s="909">
        <f t="shared" si="191"/>
        <v>645</v>
      </c>
      <c r="CH98" s="917">
        <f t="shared" si="191"/>
        <v>197</v>
      </c>
      <c r="CI98" s="910">
        <f t="shared" si="191"/>
        <v>32</v>
      </c>
      <c r="CJ98" s="910">
        <f t="shared" si="191"/>
        <v>120</v>
      </c>
      <c r="CK98" s="909">
        <f t="shared" si="191"/>
        <v>1025</v>
      </c>
      <c r="CL98" s="910">
        <f t="shared" ref="CL98:CS98" si="192">CL42</f>
        <v>-134</v>
      </c>
      <c r="CM98" s="910">
        <f t="shared" si="192"/>
        <v>149</v>
      </c>
      <c r="CN98" s="910">
        <f t="shared" si="192"/>
        <v>-45</v>
      </c>
      <c r="CO98" s="909">
        <f>CO42</f>
        <v>703</v>
      </c>
      <c r="CP98" s="910">
        <f>CP42</f>
        <v>347</v>
      </c>
      <c r="CQ98" s="910">
        <f t="shared" si="192"/>
        <v>665</v>
      </c>
      <c r="CR98" s="910">
        <f t="shared" si="192"/>
        <v>-62</v>
      </c>
      <c r="CS98" s="909">
        <f t="shared" si="192"/>
        <v>1027</v>
      </c>
      <c r="CT98" s="910">
        <f>CT42</f>
        <v>90</v>
      </c>
      <c r="CU98" s="910">
        <f t="shared" ref="CU98" si="193">CU42</f>
        <v>306</v>
      </c>
      <c r="CV98" s="910">
        <f t="shared" ref="CV98:DA98" si="194">CV42</f>
        <v>318</v>
      </c>
      <c r="CW98" s="909">
        <f t="shared" si="194"/>
        <v>739</v>
      </c>
      <c r="CX98" s="1674">
        <f t="shared" si="194"/>
        <v>10.910045266123205</v>
      </c>
      <c r="CY98" s="910">
        <f t="shared" si="194"/>
        <v>199.93170657150759</v>
      </c>
      <c r="CZ98" s="910">
        <f t="shared" si="194"/>
        <v>401.07228743582789</v>
      </c>
      <c r="DA98" s="909">
        <f t="shared" si="194"/>
        <v>801.60867591797512</v>
      </c>
      <c r="DB98" s="665"/>
      <c r="DC98" s="512"/>
      <c r="DD98" s="131"/>
      <c r="DE98" s="131"/>
      <c r="DF98" s="131"/>
      <c r="DG98" s="131"/>
      <c r="DH98" s="131"/>
      <c r="DI98" s="131"/>
      <c r="DJ98" s="131"/>
      <c r="DK98" s="131"/>
      <c r="DL98" s="131"/>
      <c r="DM98" s="131"/>
      <c r="DN98" s="131"/>
      <c r="DO98" s="131"/>
      <c r="DP98" s="131"/>
      <c r="DQ98" s="131"/>
      <c r="DR98" s="131"/>
      <c r="DS98" s="131"/>
      <c r="DT98" s="131"/>
      <c r="DU98" s="131"/>
      <c r="DV98" s="898">
        <f t="shared" ref="DV98:EC98" si="195">DV42</f>
        <v>729</v>
      </c>
      <c r="DW98" s="898">
        <f t="shared" si="195"/>
        <v>1389</v>
      </c>
      <c r="DX98" s="898">
        <f t="shared" si="195"/>
        <v>1092</v>
      </c>
      <c r="DY98" s="898">
        <f t="shared" si="195"/>
        <v>1029</v>
      </c>
      <c r="DZ98" s="898">
        <f t="shared" si="195"/>
        <v>1228</v>
      </c>
      <c r="EA98" s="898">
        <f t="shared" si="195"/>
        <v>574</v>
      </c>
      <c r="EB98" s="898">
        <f t="shared" si="195"/>
        <v>1591</v>
      </c>
      <c r="EC98" s="898">
        <f t="shared" si="195"/>
        <v>446</v>
      </c>
      <c r="ED98" s="898">
        <f t="shared" ref="ED98:EI98" si="196">ED42</f>
        <v>2527</v>
      </c>
      <c r="EE98" s="898">
        <f t="shared" si="196"/>
        <v>510</v>
      </c>
      <c r="EF98" s="917">
        <f t="shared" si="196"/>
        <v>2323</v>
      </c>
      <c r="EG98" s="910">
        <f t="shared" si="196"/>
        <v>680</v>
      </c>
      <c r="EH98" s="910">
        <f t="shared" si="196"/>
        <v>547</v>
      </c>
      <c r="EI98" s="910">
        <f t="shared" si="196"/>
        <v>1374</v>
      </c>
      <c r="EJ98" s="910">
        <f t="shared" ref="EJ98:EP98" si="197">EJ42</f>
        <v>673</v>
      </c>
      <c r="EK98" s="898">
        <f t="shared" si="197"/>
        <v>1977</v>
      </c>
      <c r="EL98" s="898">
        <f>EL42</f>
        <v>1453</v>
      </c>
      <c r="EM98" s="1689">
        <f>EM42</f>
        <v>1413.5227151914341</v>
      </c>
      <c r="EN98" s="898">
        <f t="shared" si="197"/>
        <v>1607.7587981834081</v>
      </c>
      <c r="EO98" s="898">
        <f t="shared" si="197"/>
        <v>1617.5706489257857</v>
      </c>
      <c r="EP98" s="898">
        <f t="shared" si="197"/>
        <v>1636.9055129399171</v>
      </c>
      <c r="EQ98" s="898">
        <f>EQ42</f>
        <v>1714.5150030627065</v>
      </c>
      <c r="ER98" s="898">
        <f>ER42</f>
        <v>1707.6301388843681</v>
      </c>
      <c r="ES98" s="898">
        <f>ES42</f>
        <v>1703.1378081972873</v>
      </c>
      <c r="ET98" s="898">
        <f>ET42</f>
        <v>1699.0790099847557</v>
      </c>
      <c r="EU98" s="898">
        <f>EU42</f>
        <v>1706.7236545127748</v>
      </c>
      <c r="EV98" s="413"/>
      <c r="EW98"/>
      <c r="EX98"/>
      <c r="EY98"/>
      <c r="EZ98"/>
      <c r="FA98"/>
      <c r="FB98"/>
      <c r="FG98" s="910"/>
      <c r="FH98" s="910"/>
      <c r="FI98" s="910"/>
      <c r="FJ98" s="910"/>
      <c r="FK98" s="910"/>
      <c r="FL98"/>
      <c r="FM98"/>
      <c r="FN98"/>
      <c r="FO98"/>
      <c r="FP98"/>
      <c r="FQ98"/>
      <c r="FR98"/>
      <c r="FS98"/>
      <c r="FT98"/>
      <c r="FU98"/>
      <c r="FV98"/>
      <c r="FW98"/>
      <c r="FX98"/>
      <c r="FY98"/>
      <c r="FZ98"/>
      <c r="GA98"/>
      <c r="GB98"/>
      <c r="GC98"/>
      <c r="GD98"/>
      <c r="GE98"/>
      <c r="GF98"/>
      <c r="GG98"/>
      <c r="GH98"/>
      <c r="GI98"/>
      <c r="GJ98"/>
      <c r="GK98"/>
      <c r="GL98"/>
      <c r="GM98"/>
      <c r="GN98"/>
      <c r="GO98"/>
      <c r="GP98"/>
      <c r="GQ98"/>
      <c r="GR98"/>
      <c r="GS98"/>
      <c r="GT98"/>
      <c r="GU98"/>
      <c r="GV98"/>
      <c r="GW98"/>
      <c r="GX98"/>
      <c r="GY98"/>
      <c r="GZ98"/>
      <c r="HA98"/>
      <c r="HB98"/>
      <c r="HC98"/>
      <c r="HD98"/>
      <c r="HE98"/>
      <c r="HF98"/>
      <c r="HG98"/>
      <c r="HH98"/>
      <c r="HI98"/>
      <c r="HJ98"/>
      <c r="HK98"/>
      <c r="HL98"/>
      <c r="HM98"/>
      <c r="HN98"/>
      <c r="HO98"/>
      <c r="HP98"/>
      <c r="HQ98"/>
      <c r="HR98"/>
      <c r="HS98"/>
      <c r="HT98"/>
      <c r="HU98"/>
      <c r="HV98"/>
      <c r="HW98"/>
      <c r="HX98"/>
      <c r="HY98"/>
      <c r="HZ98"/>
      <c r="IA98"/>
      <c r="IB98"/>
      <c r="IC98"/>
      <c r="ID98"/>
      <c r="IE98"/>
      <c r="IF98"/>
      <c r="IG98"/>
      <c r="IH98"/>
      <c r="II98"/>
      <c r="IJ98"/>
      <c r="IK98"/>
      <c r="IL98"/>
      <c r="IM98"/>
      <c r="IN98"/>
      <c r="IO98"/>
      <c r="IP98"/>
      <c r="IQ98"/>
      <c r="IR98"/>
      <c r="IS98"/>
      <c r="IT98"/>
      <c r="IU98"/>
      <c r="IV98"/>
      <c r="IW98"/>
      <c r="IX98"/>
      <c r="IY98"/>
      <c r="IZ98"/>
    </row>
    <row r="99" spans="1:260" s="4" customFormat="1" x14ac:dyDescent="0.2">
      <c r="A99" s="345" t="s">
        <v>544</v>
      </c>
      <c r="B99" s="131"/>
      <c r="C99" s="131"/>
      <c r="D99" s="131"/>
      <c r="E99" s="714"/>
      <c r="F99" s="131"/>
      <c r="G99" s="131"/>
      <c r="H99" s="131"/>
      <c r="I99" s="714"/>
      <c r="J99" s="131"/>
      <c r="K99" s="131"/>
      <c r="L99" s="131"/>
      <c r="M99" s="714"/>
      <c r="N99" s="131"/>
      <c r="O99" s="131"/>
      <c r="P99" s="131"/>
      <c r="Q99" s="714"/>
      <c r="R99" s="131"/>
      <c r="S99" s="131"/>
      <c r="T99" s="131"/>
      <c r="U99" s="714"/>
      <c r="V99" s="131"/>
      <c r="W99" s="131"/>
      <c r="X99" s="131"/>
      <c r="Y99" s="714"/>
      <c r="Z99" s="131"/>
      <c r="AA99" s="131"/>
      <c r="AB99" s="131"/>
      <c r="AC99" s="714"/>
      <c r="AD99" s="131"/>
      <c r="AE99" s="131"/>
      <c r="AF99" s="131"/>
      <c r="AG99" s="714"/>
      <c r="AH99" s="131"/>
      <c r="AI99" s="131"/>
      <c r="AJ99" s="131"/>
      <c r="AK99" s="714"/>
      <c r="AL99" s="131"/>
      <c r="AM99" s="131"/>
      <c r="AN99" s="131"/>
      <c r="AO99" s="714"/>
      <c r="AP99" s="910">
        <f t="shared" ref="AP99:CK99" si="198">AP98/AP109</f>
        <v>-1.035260352603526</v>
      </c>
      <c r="AQ99" s="910">
        <f t="shared" si="198"/>
        <v>0.69961358551962582</v>
      </c>
      <c r="AR99" s="910">
        <f t="shared" si="198"/>
        <v>9.4523449319213313</v>
      </c>
      <c r="AS99" s="909">
        <f t="shared" si="198"/>
        <v>-7.5407230830353598</v>
      </c>
      <c r="AT99" s="910">
        <f t="shared" si="198"/>
        <v>-0.94330255188164036</v>
      </c>
      <c r="AU99" s="910">
        <f t="shared" si="198"/>
        <v>0.72217248582512683</v>
      </c>
      <c r="AV99" s="910">
        <f t="shared" si="198"/>
        <v>1.1134142730233936</v>
      </c>
      <c r="AW99" s="909">
        <f t="shared" si="198"/>
        <v>1.8459416863672182</v>
      </c>
      <c r="AX99" s="910">
        <f t="shared" si="198"/>
        <v>-1.0370077181872155</v>
      </c>
      <c r="AY99" s="910">
        <f t="shared" si="198"/>
        <v>9.23197800039285E-2</v>
      </c>
      <c r="AZ99" s="910">
        <f t="shared" si="198"/>
        <v>0.77089905362776023</v>
      </c>
      <c r="BA99" s="909">
        <f t="shared" si="198"/>
        <v>2.3424139988069199</v>
      </c>
      <c r="BB99" s="910">
        <f t="shared" si="198"/>
        <v>-1.7571884984025559</v>
      </c>
      <c r="BC99" s="910">
        <f t="shared" si="198"/>
        <v>1.107754279959718</v>
      </c>
      <c r="BD99" s="910">
        <f t="shared" si="198"/>
        <v>0.13513513513513514</v>
      </c>
      <c r="BE99" s="909">
        <f t="shared" si="198"/>
        <v>2.6122118883946621</v>
      </c>
      <c r="BF99" s="910">
        <f t="shared" si="198"/>
        <v>-1.2349949135300102</v>
      </c>
      <c r="BG99" s="910">
        <f t="shared" si="198"/>
        <v>0.79351161771153</v>
      </c>
      <c r="BH99" s="910">
        <f t="shared" si="198"/>
        <v>2.1053853296193128</v>
      </c>
      <c r="BI99" s="909">
        <f t="shared" si="198"/>
        <v>1.3120074177097822</v>
      </c>
      <c r="BJ99" s="910">
        <f t="shared" si="198"/>
        <v>-0.66367501180916399</v>
      </c>
      <c r="BK99" s="910">
        <f t="shared" si="198"/>
        <v>-0.40396881644223953</v>
      </c>
      <c r="BL99" s="910">
        <f t="shared" si="198"/>
        <v>-1.3132986275437766</v>
      </c>
      <c r="BM99" s="909">
        <f t="shared" si="198"/>
        <v>3.7358223062381852</v>
      </c>
      <c r="BN99" s="910">
        <f t="shared" si="198"/>
        <v>-0.56142823584684054</v>
      </c>
      <c r="BO99" s="910">
        <f t="shared" si="198"/>
        <v>0.3911007025761124</v>
      </c>
      <c r="BP99" s="910">
        <f t="shared" si="198"/>
        <v>0.65795613625758276</v>
      </c>
      <c r="BQ99" s="909">
        <f t="shared" si="198"/>
        <v>3.2146182495344506</v>
      </c>
      <c r="BR99" s="910">
        <f t="shared" si="198"/>
        <v>1.8531387537641882E-2</v>
      </c>
      <c r="BS99" s="910">
        <f t="shared" si="198"/>
        <v>-0.62795089707271012</v>
      </c>
      <c r="BT99" s="910">
        <f t="shared" si="198"/>
        <v>0.67189798921039723</v>
      </c>
      <c r="BU99" s="909">
        <f t="shared" si="198"/>
        <v>1.065939514129896</v>
      </c>
      <c r="BV99" s="910">
        <f t="shared" si="198"/>
        <v>2.8247734138972809</v>
      </c>
      <c r="BW99" s="910">
        <f t="shared" si="198"/>
        <v>1.048767697954903E-2</v>
      </c>
      <c r="BX99" s="910">
        <f t="shared" si="198"/>
        <v>2.3996746203904555</v>
      </c>
      <c r="BY99" s="909">
        <f t="shared" si="198"/>
        <v>1.4638297872340424</v>
      </c>
      <c r="BZ99" s="910">
        <f t="shared" si="198"/>
        <v>0.69428238039673273</v>
      </c>
      <c r="CA99" s="910">
        <f t="shared" si="198"/>
        <v>-2.2917897223862962</v>
      </c>
      <c r="CB99" s="910">
        <f t="shared" si="198"/>
        <v>-0.31138790035587188</v>
      </c>
      <c r="CC99" s="909">
        <f t="shared" si="198"/>
        <v>3.9130434782608692</v>
      </c>
      <c r="CD99" s="917">
        <f t="shared" si="198"/>
        <v>-0.52492668621700878</v>
      </c>
      <c r="CE99" s="910">
        <f t="shared" si="198"/>
        <v>-0.2990708478513357</v>
      </c>
      <c r="CF99" s="910">
        <f t="shared" si="198"/>
        <v>0.52737173975351104</v>
      </c>
      <c r="CG99" s="909">
        <f t="shared" si="198"/>
        <v>1.8292682926829267</v>
      </c>
      <c r="CH99" s="917">
        <f t="shared" si="198"/>
        <v>0.56221461187214616</v>
      </c>
      <c r="CI99" s="1153">
        <f t="shared" si="198"/>
        <v>9.0857467348097673E-2</v>
      </c>
      <c r="CJ99" s="910">
        <f t="shared" si="198"/>
        <v>0.33898305084745761</v>
      </c>
      <c r="CK99" s="909">
        <f t="shared" si="198"/>
        <v>2.8775968556990454</v>
      </c>
      <c r="CL99" s="1153">
        <f t="shared" ref="CL99:CS99" si="199">CL98/CL109</f>
        <v>-0.37705384808642495</v>
      </c>
      <c r="CM99" s="1153">
        <f t="shared" si="199"/>
        <v>0.4210228878214185</v>
      </c>
      <c r="CN99" s="910">
        <f t="shared" si="199"/>
        <v>-0.12893982808022922</v>
      </c>
      <c r="CO99" s="909">
        <f>CO98/CO109</f>
        <v>2.0537540169442008</v>
      </c>
      <c r="CP99" s="910">
        <f>CP98/CP109</f>
        <v>1.0621365166819712</v>
      </c>
      <c r="CQ99" s="910">
        <f t="shared" si="199"/>
        <v>2.059461133477857</v>
      </c>
      <c r="CR99" s="910">
        <f t="shared" si="199"/>
        <v>-0.19375000000000001</v>
      </c>
      <c r="CS99" s="909">
        <f t="shared" si="199"/>
        <v>3.2265158655356583</v>
      </c>
      <c r="CT99" s="910">
        <f>CT98/CT109</f>
        <v>0.2857142857142857</v>
      </c>
      <c r="CU99" s="910">
        <f t="shared" ref="CU99" si="200">CU98/CU109</f>
        <v>0.98455598455598448</v>
      </c>
      <c r="CV99" s="910">
        <f t="shared" ref="CV99:DA99" si="201">CV98/CV109</f>
        <v>1.0412573673870336</v>
      </c>
      <c r="CW99" s="909">
        <f t="shared" si="201"/>
        <v>2.4907313784967982</v>
      </c>
      <c r="CX99" s="1674">
        <f t="shared" si="201"/>
        <v>3.7557954547830431E-2</v>
      </c>
      <c r="CY99" s="910">
        <f t="shared" si="201"/>
        <v>0.70482558119133953</v>
      </c>
      <c r="CZ99" s="910">
        <f t="shared" si="201"/>
        <v>1.4199366118139283</v>
      </c>
      <c r="DA99" s="909">
        <f t="shared" si="201"/>
        <v>2.8564441778004546</v>
      </c>
      <c r="DB99" s="665"/>
      <c r="DC99" s="512"/>
      <c r="DD99" s="131"/>
      <c r="DE99" s="131"/>
      <c r="DF99" s="131"/>
      <c r="DG99" s="131"/>
      <c r="DH99" s="131"/>
      <c r="DI99" s="131"/>
      <c r="DJ99" s="131"/>
      <c r="DK99" s="131"/>
      <c r="DL99" s="131"/>
      <c r="DM99" s="131"/>
      <c r="DN99" s="131"/>
      <c r="DO99" s="131"/>
      <c r="DP99" s="131"/>
      <c r="DQ99" s="131"/>
      <c r="DR99" s="131"/>
      <c r="DS99" s="131"/>
      <c r="DT99" s="131"/>
      <c r="DU99" s="131"/>
      <c r="DV99" s="910">
        <f t="shared" ref="DV99:EC99" si="202">DV98/DV109</f>
        <v>1.4556709265175718</v>
      </c>
      <c r="DW99" s="910">
        <f t="shared" si="202"/>
        <v>2.7500185611403967</v>
      </c>
      <c r="DX99" s="910">
        <f t="shared" si="202"/>
        <v>2.1632329635499206</v>
      </c>
      <c r="DY99" s="910">
        <f t="shared" si="202"/>
        <v>2.0737605804111245</v>
      </c>
      <c r="DZ99" s="910">
        <f t="shared" si="202"/>
        <v>2.7114153234709648</v>
      </c>
      <c r="EA99" s="910">
        <f t="shared" si="202"/>
        <v>1.3572948687633011</v>
      </c>
      <c r="EB99" s="910">
        <f t="shared" si="202"/>
        <v>3.721637426900585</v>
      </c>
      <c r="EC99" s="910">
        <f t="shared" si="202"/>
        <v>1.0708283313325331</v>
      </c>
      <c r="ED99" s="910">
        <f t="shared" ref="ED99:EI99" si="203">ED98/ED109</f>
        <v>6.7391159410627379</v>
      </c>
      <c r="EE99" s="910">
        <f t="shared" si="203"/>
        <v>1.2177650429799427</v>
      </c>
      <c r="EF99" s="917">
        <f t="shared" si="203"/>
        <v>6.2682137075013484</v>
      </c>
      <c r="EG99" s="910">
        <f t="shared" si="203"/>
        <v>2.0048647453379518</v>
      </c>
      <c r="EH99" s="1439">
        <f t="shared" si="203"/>
        <v>1.577619150623693</v>
      </c>
      <c r="EI99" s="1439">
        <f t="shared" si="203"/>
        <v>3.8857466063348416</v>
      </c>
      <c r="EJ99" s="1439">
        <f t="shared" ref="EJ99:EP99" si="204">EJ98/EJ109</f>
        <v>1.9190191046478473</v>
      </c>
      <c r="EK99" s="1439">
        <f t="shared" si="204"/>
        <v>6.128332300061996</v>
      </c>
      <c r="EL99" s="1439">
        <f>EL98/EL109</f>
        <v>4.7313578638879843</v>
      </c>
      <c r="EM99" s="1690">
        <f>EM98/EM109</f>
        <v>4.9717814569506844</v>
      </c>
      <c r="EN99" s="910">
        <f t="shared" si="204"/>
        <v>5.8625897114893126</v>
      </c>
      <c r="EO99" s="910">
        <f t="shared" si="204"/>
        <v>6.1164253973341953</v>
      </c>
      <c r="EP99" s="910">
        <f t="shared" si="204"/>
        <v>6.352888587530618</v>
      </c>
      <c r="EQ99" s="910">
        <f>EQ98/EQ109</f>
        <v>6.7530536169546282</v>
      </c>
      <c r="ER99" s="910">
        <f>ER98/ER109</f>
        <v>6.7964902374656324</v>
      </c>
      <c r="ES99" s="910">
        <f>ES98/ES109</f>
        <v>6.8210324644908642</v>
      </c>
      <c r="ET99" s="910">
        <f>ET98/ET109</f>
        <v>6.8198404210961092</v>
      </c>
      <c r="EU99" s="910">
        <f>EU98/EU109</f>
        <v>6.839471015191223</v>
      </c>
      <c r="EV99" s="413"/>
      <c r="EW99"/>
      <c r="EX99"/>
      <c r="EY99"/>
      <c r="EZ99"/>
      <c r="FA99"/>
      <c r="FB99"/>
      <c r="FG99" s="1439"/>
      <c r="FH99" s="1439"/>
      <c r="FI99" s="1439"/>
      <c r="FJ99" s="910"/>
      <c r="FK99" s="910"/>
      <c r="FL99"/>
      <c r="FM99"/>
      <c r="FN99"/>
      <c r="FO99"/>
      <c r="FP99"/>
      <c r="FQ99"/>
      <c r="FR99"/>
      <c r="FS99"/>
      <c r="FT99"/>
      <c r="FU99"/>
      <c r="FV99"/>
      <c r="FW99"/>
      <c r="FX99"/>
      <c r="FY99"/>
      <c r="FZ99"/>
      <c r="GA99"/>
      <c r="GB99"/>
      <c r="GC99"/>
      <c r="GD99"/>
      <c r="GE99"/>
      <c r="GF99"/>
      <c r="GG99"/>
      <c r="GH99"/>
      <c r="GI99"/>
      <c r="GJ99"/>
      <c r="GK99"/>
      <c r="GL99"/>
      <c r="GM99"/>
      <c r="GN99"/>
      <c r="GO99"/>
      <c r="GP99"/>
      <c r="GQ99"/>
      <c r="GR99"/>
      <c r="GS99"/>
      <c r="GT99"/>
      <c r="GU99"/>
      <c r="GV99"/>
      <c r="GW99"/>
      <c r="GX99"/>
      <c r="GY99"/>
      <c r="GZ99"/>
      <c r="HA99"/>
      <c r="HB99"/>
      <c r="HC99"/>
      <c r="HD99"/>
      <c r="HE99"/>
      <c r="HF99"/>
      <c r="HG99"/>
      <c r="HH99"/>
      <c r="HI99"/>
      <c r="HJ99"/>
      <c r="HK99"/>
      <c r="HL99"/>
      <c r="HM99"/>
      <c r="HN99"/>
      <c r="HO99"/>
      <c r="HP99"/>
      <c r="HQ99"/>
      <c r="HR99"/>
      <c r="HS99"/>
      <c r="HT99"/>
      <c r="HU99"/>
      <c r="HV99"/>
      <c r="HW99"/>
      <c r="HX99"/>
      <c r="HY99"/>
      <c r="HZ99"/>
      <c r="IA99"/>
      <c r="IB99"/>
      <c r="IC99"/>
      <c r="ID99"/>
      <c r="IE99"/>
      <c r="IF99"/>
      <c r="IG99"/>
      <c r="IH99"/>
      <c r="II99"/>
      <c r="IJ99"/>
      <c r="IK99"/>
      <c r="IL99"/>
      <c r="IM99"/>
      <c r="IN99"/>
      <c r="IO99"/>
      <c r="IP99"/>
      <c r="IQ99"/>
      <c r="IR99"/>
      <c r="IS99"/>
      <c r="IT99"/>
      <c r="IU99"/>
      <c r="IV99"/>
      <c r="IW99"/>
      <c r="IX99"/>
      <c r="IY99"/>
      <c r="IZ99"/>
    </row>
    <row r="100" spans="1:260" s="4" customFormat="1" x14ac:dyDescent="0.2">
      <c r="A100" s="345" t="s">
        <v>545</v>
      </c>
      <c r="B100" s="131"/>
      <c r="C100" s="131"/>
      <c r="D100" s="131"/>
      <c r="E100" s="714"/>
      <c r="F100" s="131"/>
      <c r="G100" s="131"/>
      <c r="H100" s="131"/>
      <c r="I100" s="714"/>
      <c r="J100" s="131"/>
      <c r="K100" s="131"/>
      <c r="L100" s="131"/>
      <c r="M100" s="714"/>
      <c r="N100" s="131"/>
      <c r="O100" s="131"/>
      <c r="P100" s="131"/>
      <c r="Q100" s="714"/>
      <c r="R100" s="131"/>
      <c r="S100" s="131"/>
      <c r="T100" s="131"/>
      <c r="U100" s="714"/>
      <c r="V100" s="131"/>
      <c r="W100" s="131"/>
      <c r="X100" s="131"/>
      <c r="Y100" s="714"/>
      <c r="Z100" s="131"/>
      <c r="AA100" s="131"/>
      <c r="AB100" s="131"/>
      <c r="AC100" s="714"/>
      <c r="AD100" s="131"/>
      <c r="AE100" s="131"/>
      <c r="AF100" s="131"/>
      <c r="AG100" s="714"/>
      <c r="AH100" s="131"/>
      <c r="AI100" s="131"/>
      <c r="AJ100" s="131"/>
      <c r="AK100" s="714"/>
      <c r="AL100" s="131"/>
      <c r="AM100" s="131"/>
      <c r="AN100" s="131"/>
      <c r="AO100" s="714"/>
      <c r="AP100" s="77">
        <f t="shared" ref="AP100:CK100" si="205">AP98/AP107</f>
        <v>-7.3188405797101446</v>
      </c>
      <c r="AQ100" s="77">
        <f t="shared" si="205"/>
        <v>2.4668339906776624</v>
      </c>
      <c r="AR100" s="77">
        <f t="shared" si="205"/>
        <v>38.409836065573771</v>
      </c>
      <c r="AS100" s="487">
        <f t="shared" si="205"/>
        <v>-10.149732620320856</v>
      </c>
      <c r="AT100" s="77">
        <f t="shared" si="205"/>
        <v>-4.1704713071574071</v>
      </c>
      <c r="AU100" s="77">
        <f t="shared" si="205"/>
        <v>2.4132429198244911</v>
      </c>
      <c r="AV100" s="77">
        <f t="shared" si="205"/>
        <v>3.810810810810811</v>
      </c>
      <c r="AW100" s="487">
        <f t="shared" si="205"/>
        <v>1.6381118881118881</v>
      </c>
      <c r="AX100" s="77">
        <f t="shared" si="205"/>
        <v>-3.0823529411764707</v>
      </c>
      <c r="AY100" s="77">
        <f t="shared" si="205"/>
        <v>0.25</v>
      </c>
      <c r="AZ100" s="77">
        <f t="shared" si="205"/>
        <v>2.8333333333333335</v>
      </c>
      <c r="BA100" s="487">
        <f t="shared" si="205"/>
        <v>1.829192546583851</v>
      </c>
      <c r="BB100" s="77">
        <f t="shared" si="205"/>
        <v>-3.7606837606837606</v>
      </c>
      <c r="BC100" s="77">
        <f t="shared" si="205"/>
        <v>2.3913043478260869</v>
      </c>
      <c r="BD100" s="77">
        <f t="shared" si="205"/>
        <v>0.44666666666666666</v>
      </c>
      <c r="BE100" s="487">
        <f t="shared" si="205"/>
        <v>1.6933158584534731</v>
      </c>
      <c r="BF100" s="77">
        <f t="shared" si="205"/>
        <v>-3.1614583333333335</v>
      </c>
      <c r="BG100" s="77">
        <f t="shared" si="205"/>
        <v>1.448</v>
      </c>
      <c r="BH100" s="77">
        <f t="shared" si="205"/>
        <v>3.9780701754385963</v>
      </c>
      <c r="BI100" s="487">
        <f t="shared" si="205"/>
        <v>0.76797829036635001</v>
      </c>
      <c r="BJ100" s="77">
        <f t="shared" si="205"/>
        <v>-1.5698324022346368</v>
      </c>
      <c r="BK100" s="77">
        <f t="shared" si="205"/>
        <v>-0.84653465346534651</v>
      </c>
      <c r="BL100" s="77">
        <f t="shared" si="205"/>
        <v>-10.673076923076923</v>
      </c>
      <c r="BM100" s="487">
        <f t="shared" si="205"/>
        <v>2.7736842105263158</v>
      </c>
      <c r="BN100" s="77">
        <f t="shared" si="205"/>
        <v>-1.5620915032679739</v>
      </c>
      <c r="BO100" s="77">
        <f t="shared" si="205"/>
        <v>1.0569620253164558</v>
      </c>
      <c r="BP100" s="77">
        <f t="shared" si="205"/>
        <v>1.2422907488986785</v>
      </c>
      <c r="BQ100" s="487">
        <f t="shared" si="205"/>
        <v>1.772785622593068</v>
      </c>
      <c r="BR100" s="77">
        <f t="shared" si="205"/>
        <v>5.1612903225806452E-2</v>
      </c>
      <c r="BS100" s="77">
        <f t="shared" si="205"/>
        <v>-1.0472440944881889</v>
      </c>
      <c r="BT100" s="77">
        <f t="shared" si="205"/>
        <v>1.2626728110599079</v>
      </c>
      <c r="BU100" s="487">
        <f t="shared" si="205"/>
        <v>0.66052227342549918</v>
      </c>
      <c r="BV100" s="77">
        <f t="shared" si="205"/>
        <v>8.25</v>
      </c>
      <c r="BW100" s="77">
        <f t="shared" si="205"/>
        <v>2.2598870056497175E-2</v>
      </c>
      <c r="BX100" s="77">
        <f t="shared" si="205"/>
        <v>5.7467532467532472</v>
      </c>
      <c r="BY100" s="487">
        <f t="shared" si="205"/>
        <v>-0.303886925795053</v>
      </c>
      <c r="BZ100" s="77">
        <f t="shared" si="205"/>
        <v>1.5354838709677419</v>
      </c>
      <c r="CA100" s="77">
        <f t="shared" si="205"/>
        <v>-64.666666666666671</v>
      </c>
      <c r="CB100" s="77">
        <f t="shared" si="205"/>
        <v>7.8358208955223869</v>
      </c>
      <c r="CC100" s="487">
        <f t="shared" si="205"/>
        <v>-3.2347188264058682</v>
      </c>
      <c r="CD100" s="580">
        <f t="shared" si="205"/>
        <v>2.7121212121212119</v>
      </c>
      <c r="CE100" s="70">
        <f t="shared" si="205"/>
        <v>-0.39615384615384613</v>
      </c>
      <c r="CF100" s="70">
        <f t="shared" si="205"/>
        <v>2.6666666666666665</v>
      </c>
      <c r="CG100" s="487">
        <f t="shared" si="205"/>
        <v>2.1009771986970684</v>
      </c>
      <c r="CH100" s="580">
        <f t="shared" si="205"/>
        <v>0.42094017094017094</v>
      </c>
      <c r="CI100" s="70">
        <f t="shared" si="205"/>
        <v>0.21621621621621623</v>
      </c>
      <c r="CJ100" s="70">
        <f t="shared" si="205"/>
        <v>0.99173553719008267</v>
      </c>
      <c r="CK100" s="487">
        <f t="shared" si="205"/>
        <v>1.9941634241245136</v>
      </c>
      <c r="CL100" s="70">
        <f t="shared" ref="CL100:CS100" si="206">CL98/CL107</f>
        <v>-1.098360655737705</v>
      </c>
      <c r="CM100" s="70">
        <f t="shared" si="206"/>
        <v>0.96129032258064517</v>
      </c>
      <c r="CN100" s="70">
        <f t="shared" si="206"/>
        <v>-0.37815126050420167</v>
      </c>
      <c r="CO100" s="487">
        <f>CO98/CO107</f>
        <v>1.5249457700650759</v>
      </c>
      <c r="CP100" s="70">
        <f>CP98/CP107</f>
        <v>1.5353982300884956</v>
      </c>
      <c r="CQ100" s="70">
        <f t="shared" si="206"/>
        <v>3.6944444444444446</v>
      </c>
      <c r="CR100" s="70">
        <f t="shared" si="206"/>
        <v>-0.33155080213903743</v>
      </c>
      <c r="CS100" s="487">
        <f t="shared" si="206"/>
        <v>1.7088186356073212</v>
      </c>
      <c r="CT100" s="70">
        <f>CT98/CT107</f>
        <v>0.47872340425531917</v>
      </c>
      <c r="CU100" s="70">
        <f t="shared" ref="CU100" si="207">CU98/CU107</f>
        <v>1.4641148325358853</v>
      </c>
      <c r="CV100" s="70">
        <f t="shared" ref="CV100:DA100" si="208">CV98/CV107</f>
        <v>1.3305439330543933</v>
      </c>
      <c r="CW100" s="487">
        <f t="shared" si="208"/>
        <v>2.0302197802197801</v>
      </c>
      <c r="CX100" s="1673">
        <f t="shared" si="208"/>
        <v>5.0576754143405817E-2</v>
      </c>
      <c r="CY100" s="70">
        <f t="shared" si="208"/>
        <v>0.86034984072654441</v>
      </c>
      <c r="CZ100" s="70">
        <f t="shared" si="208"/>
        <v>1.5217024444820195</v>
      </c>
      <c r="DA100" s="487">
        <f t="shared" si="208"/>
        <v>1.1282206834333948</v>
      </c>
      <c r="DB100" s="580"/>
      <c r="DC100" s="487"/>
      <c r="DD100" s="131"/>
      <c r="DE100" s="131"/>
      <c r="DF100" s="131"/>
      <c r="DG100" s="131"/>
      <c r="DH100" s="131"/>
      <c r="DI100" s="131"/>
      <c r="DJ100" s="131"/>
      <c r="DK100" s="131"/>
      <c r="DL100" s="131"/>
      <c r="DM100" s="131"/>
      <c r="DN100" s="131"/>
      <c r="DO100" s="131"/>
      <c r="DP100" s="131"/>
      <c r="DQ100" s="131"/>
      <c r="DR100" s="131"/>
      <c r="DS100" s="131"/>
      <c r="DT100" s="131"/>
      <c r="DU100" s="131"/>
      <c r="DV100" s="77">
        <f t="shared" ref="DV100:EC100" si="209">DV98/DV107</f>
        <v>1.0348498828873589</v>
      </c>
      <c r="DW100" s="77">
        <f t="shared" si="209"/>
        <v>1.4111321973837669</v>
      </c>
      <c r="DX100" s="77">
        <f t="shared" si="209"/>
        <v>0.95789473684210524</v>
      </c>
      <c r="DY100" s="77">
        <f t="shared" si="209"/>
        <v>0.74727668845315909</v>
      </c>
      <c r="DZ100" s="77">
        <f t="shared" si="209"/>
        <v>0.87277896233120111</v>
      </c>
      <c r="EA100" s="77">
        <f t="shared" si="209"/>
        <v>0.57228315054835488</v>
      </c>
      <c r="EB100" s="77">
        <f t="shared" si="209"/>
        <v>1.208048595292331</v>
      </c>
      <c r="EC100" s="77">
        <f t="shared" si="209"/>
        <v>0.34925606891151134</v>
      </c>
      <c r="ED100" s="77">
        <f t="shared" ref="ED100:EI100" si="210">ED98/ED107</f>
        <v>-2.0528025995125914</v>
      </c>
      <c r="EE100" s="77">
        <f t="shared" si="210"/>
        <v>0.39719626168224298</v>
      </c>
      <c r="EF100" s="580">
        <f t="shared" si="210"/>
        <v>-1.913509060955519</v>
      </c>
      <c r="EG100" s="70">
        <f t="shared" si="210"/>
        <v>-2.6624902114330462</v>
      </c>
      <c r="EH100" s="70">
        <f t="shared" si="210"/>
        <v>0.95964912280701753</v>
      </c>
      <c r="EI100" s="70">
        <f t="shared" si="210"/>
        <v>1.0983213429256595</v>
      </c>
      <c r="EJ100" s="70">
        <f t="shared" ref="EJ100:EP100" si="211">EJ98/EJ107</f>
        <v>0.78529754959159859</v>
      </c>
      <c r="EK100" s="77">
        <f t="shared" si="211"/>
        <v>1.6557788944723617</v>
      </c>
      <c r="EL100" s="77">
        <f>EL98/EL107</f>
        <v>1.4530000000000001</v>
      </c>
      <c r="EM100" s="1680">
        <f>EM98/EM107</f>
        <v>0.99391828028449691</v>
      </c>
      <c r="EN100" s="77">
        <f t="shared" si="211"/>
        <v>1.1060211933845761</v>
      </c>
      <c r="EO100" s="77">
        <f t="shared" si="211"/>
        <v>1.0914035082853157</v>
      </c>
      <c r="EP100" s="77">
        <f t="shared" si="211"/>
        <v>1.1204677231263984</v>
      </c>
      <c r="EQ100" s="77">
        <f>EQ98/EQ107</f>
        <v>1.1759232881444177</v>
      </c>
      <c r="ER100" s="77">
        <f>ER98/ER107</f>
        <v>1.1659463064117008</v>
      </c>
      <c r="ES100" s="77">
        <f>ES98/ES107</f>
        <v>1.1662990118060486</v>
      </c>
      <c r="ET100" s="77">
        <f>ET98/ET107</f>
        <v>1.1666311419541899</v>
      </c>
      <c r="EU100" s="77">
        <f>EU98/EU107</f>
        <v>1.1656603192037946</v>
      </c>
      <c r="EV100" s="413"/>
      <c r="EW100"/>
      <c r="EX100"/>
      <c r="EY100"/>
      <c r="EZ100"/>
      <c r="FA100"/>
      <c r="FB100"/>
      <c r="FG100" s="70"/>
      <c r="FH100" s="70"/>
      <c r="FI100" s="70"/>
      <c r="FJ100" s="70"/>
      <c r="FK100" s="70"/>
      <c r="FL100"/>
      <c r="FM100"/>
      <c r="FN100"/>
      <c r="FO100"/>
      <c r="FP100"/>
      <c r="FQ100"/>
      <c r="FR100"/>
      <c r="FS100"/>
      <c r="FT100"/>
      <c r="FU100"/>
      <c r="FV100"/>
      <c r="FW100"/>
      <c r="FX100"/>
      <c r="FY100"/>
      <c r="FZ100"/>
      <c r="GA100"/>
      <c r="GB100"/>
      <c r="GC100"/>
      <c r="GD100"/>
      <c r="GE100"/>
      <c r="GF100"/>
      <c r="GG100"/>
      <c r="GH100"/>
      <c r="GI100"/>
      <c r="GJ100"/>
      <c r="GK100"/>
      <c r="GL100"/>
      <c r="GM100"/>
      <c r="GN100"/>
      <c r="GO100"/>
      <c r="GP100"/>
      <c r="GQ100"/>
      <c r="GR100"/>
      <c r="GS100"/>
      <c r="GT100"/>
      <c r="GU100"/>
      <c r="GV100"/>
      <c r="GW100"/>
      <c r="GX100"/>
      <c r="GY100"/>
      <c r="GZ100"/>
      <c r="HA100"/>
      <c r="HB100"/>
      <c r="HC100"/>
      <c r="HD100"/>
      <c r="HE100"/>
      <c r="HF100"/>
      <c r="HG100"/>
      <c r="HH100"/>
      <c r="HI100"/>
      <c r="HJ100"/>
      <c r="HK100"/>
      <c r="HL100"/>
      <c r="HM100"/>
      <c r="HN100"/>
      <c r="HO100"/>
      <c r="HP100"/>
      <c r="HQ100"/>
      <c r="HR100"/>
      <c r="HS100"/>
      <c r="HT100"/>
      <c r="HU100"/>
      <c r="HV100"/>
      <c r="HW100"/>
      <c r="HX100"/>
      <c r="HY100"/>
      <c r="HZ100"/>
      <c r="IA100"/>
      <c r="IB100"/>
      <c r="IC100"/>
      <c r="ID100"/>
      <c r="IE100"/>
      <c r="IF100"/>
      <c r="IG100"/>
      <c r="IH100"/>
      <c r="II100"/>
      <c r="IJ100"/>
      <c r="IK100"/>
      <c r="IL100"/>
      <c r="IM100"/>
      <c r="IN100"/>
      <c r="IO100"/>
      <c r="IP100"/>
      <c r="IQ100"/>
      <c r="IR100"/>
      <c r="IS100"/>
      <c r="IT100"/>
      <c r="IU100"/>
      <c r="IV100"/>
      <c r="IW100"/>
      <c r="IX100"/>
      <c r="IY100"/>
      <c r="IZ100"/>
    </row>
    <row r="101" spans="1:260" s="4" customFormat="1" x14ac:dyDescent="0.2">
      <c r="A101" s="29"/>
      <c r="B101" s="131"/>
      <c r="C101" s="131"/>
      <c r="D101" s="131"/>
      <c r="E101" s="714"/>
      <c r="F101" s="131"/>
      <c r="G101" s="131"/>
      <c r="H101" s="131"/>
      <c r="I101" s="714"/>
      <c r="J101" s="131"/>
      <c r="K101" s="131"/>
      <c r="L101" s="131"/>
      <c r="M101" s="714"/>
      <c r="N101" s="131"/>
      <c r="O101" s="131"/>
      <c r="P101" s="131"/>
      <c r="Q101" s="714"/>
      <c r="R101" s="131"/>
      <c r="S101" s="131"/>
      <c r="T101" s="131"/>
      <c r="U101" s="714"/>
      <c r="V101" s="131"/>
      <c r="W101" s="131"/>
      <c r="X101" s="131"/>
      <c r="Y101" s="714"/>
      <c r="Z101" s="131"/>
      <c r="AA101" s="131"/>
      <c r="AB101" s="131"/>
      <c r="AC101" s="714"/>
      <c r="AD101" s="131"/>
      <c r="AE101" s="131"/>
      <c r="AF101" s="131"/>
      <c r="AG101" s="714"/>
      <c r="AH101" s="131"/>
      <c r="AI101" s="131"/>
      <c r="AJ101" s="131"/>
      <c r="AK101" s="714"/>
      <c r="AL101" s="131"/>
      <c r="AM101" s="131"/>
      <c r="AN101" s="131"/>
      <c r="AO101" s="714"/>
      <c r="AP101" s="131"/>
      <c r="AQ101" s="131"/>
      <c r="AR101" s="131"/>
      <c r="AS101" s="714"/>
      <c r="AT101" s="183"/>
      <c r="AU101" s="183"/>
      <c r="AV101" s="183"/>
      <c r="AW101" s="720"/>
      <c r="AX101" s="183"/>
      <c r="AY101" s="183"/>
      <c r="AZ101" s="183"/>
      <c r="BA101" s="720"/>
      <c r="BB101" s="183"/>
      <c r="BC101" s="183"/>
      <c r="BD101" s="184"/>
      <c r="BE101" s="720"/>
      <c r="BF101" s="183"/>
      <c r="BG101" s="183"/>
      <c r="BH101" s="183"/>
      <c r="BI101" s="720"/>
      <c r="BJ101" s="184"/>
      <c r="BK101" s="184"/>
      <c r="BL101" s="184"/>
      <c r="BM101" s="727"/>
      <c r="BN101" s="184"/>
      <c r="BO101" s="184"/>
      <c r="BP101" s="184"/>
      <c r="BQ101" s="727"/>
      <c r="BR101" s="184"/>
      <c r="BS101" s="184"/>
      <c r="BT101" s="184"/>
      <c r="BU101" s="727"/>
      <c r="BV101" s="184"/>
      <c r="BW101" s="183"/>
      <c r="BX101" s="183"/>
      <c r="BY101" s="720"/>
      <c r="BZ101" s="184"/>
      <c r="CA101" s="183"/>
      <c r="CB101" s="183"/>
      <c r="CC101" s="720"/>
      <c r="CD101" s="1138"/>
      <c r="CE101" s="1151"/>
      <c r="CF101" s="1151"/>
      <c r="CG101" s="1140"/>
      <c r="CH101" s="1150"/>
      <c r="CI101" s="1151"/>
      <c r="CJ101" s="1151"/>
      <c r="CK101" s="1301"/>
      <c r="CL101" s="1151"/>
      <c r="CM101" s="1151"/>
      <c r="CN101" s="1151"/>
      <c r="CO101" s="1301"/>
      <c r="CP101" s="1151"/>
      <c r="CQ101" s="1151"/>
      <c r="CR101" s="1151"/>
      <c r="CS101" s="1301"/>
      <c r="CT101" s="1151"/>
      <c r="CU101" s="1151"/>
      <c r="CV101" s="1151"/>
      <c r="CW101" s="1301"/>
      <c r="CX101" s="2809"/>
      <c r="CY101" s="2608"/>
      <c r="CZ101" s="2608"/>
      <c r="DA101" s="1140"/>
      <c r="DB101" s="738"/>
      <c r="DC101" s="727"/>
      <c r="DD101" s="131"/>
      <c r="DE101" s="131"/>
      <c r="DF101" s="131"/>
      <c r="DG101" s="131"/>
      <c r="DH101" s="131"/>
      <c r="DI101" s="131"/>
      <c r="DJ101" s="131"/>
      <c r="DK101" s="131"/>
      <c r="DL101" s="131"/>
      <c r="DM101" s="131"/>
      <c r="DN101" s="131"/>
      <c r="DO101" s="131"/>
      <c r="DP101" s="131"/>
      <c r="DQ101" s="131"/>
      <c r="DR101" s="131"/>
      <c r="DS101" s="131"/>
      <c r="DT101" s="131"/>
      <c r="DU101" s="131"/>
      <c r="DV101" s="183"/>
      <c r="DW101" s="183"/>
      <c r="DX101" s="183"/>
      <c r="DY101" s="183"/>
      <c r="DZ101" s="183"/>
      <c r="EA101" s="184"/>
      <c r="EB101" s="184"/>
      <c r="EC101" s="184"/>
      <c r="ED101" s="183"/>
      <c r="EE101" s="183"/>
      <c r="EF101" s="1138"/>
      <c r="EG101" s="1139"/>
      <c r="EH101" s="1139"/>
      <c r="EI101" s="1139"/>
      <c r="EJ101" s="1139"/>
      <c r="EK101" s="184"/>
      <c r="EL101" s="184"/>
      <c r="EM101" s="1691"/>
      <c r="EN101" s="183"/>
      <c r="EO101" s="183"/>
      <c r="EP101" s="183"/>
      <c r="EQ101" s="183"/>
      <c r="ER101" s="183"/>
      <c r="ES101" s="183"/>
      <c r="ET101" s="183"/>
      <c r="EU101" s="183"/>
      <c r="EV101" s="413"/>
      <c r="EW101"/>
      <c r="EX101"/>
      <c r="EY101"/>
      <c r="EZ101"/>
      <c r="FA101"/>
      <c r="FB101"/>
      <c r="FG101"/>
      <c r="FH101"/>
      <c r="FI101" s="2660"/>
      <c r="FJ101" s="2660"/>
      <c r="FK101" s="2660"/>
      <c r="FL101"/>
      <c r="FM101"/>
      <c r="FN101"/>
      <c r="FO101"/>
      <c r="FP101"/>
      <c r="FQ101"/>
      <c r="FR101"/>
      <c r="FS101"/>
      <c r="FT101"/>
      <c r="FU101"/>
      <c r="FV101"/>
      <c r="FW101"/>
      <c r="FX101"/>
      <c r="FY101"/>
      <c r="FZ101"/>
      <c r="GA101"/>
      <c r="GB101"/>
      <c r="GC101"/>
      <c r="GD101"/>
      <c r="GE101"/>
      <c r="GF101"/>
      <c r="GG101"/>
      <c r="GH101"/>
      <c r="GI101"/>
      <c r="GJ101"/>
      <c r="GK101"/>
      <c r="GL101"/>
      <c r="GM101"/>
      <c r="GN101"/>
      <c r="GO101"/>
      <c r="GP101"/>
      <c r="GQ101"/>
      <c r="GR101"/>
      <c r="GS101"/>
      <c r="GT101"/>
      <c r="GU101"/>
      <c r="GV101"/>
      <c r="GW101"/>
      <c r="GX101"/>
      <c r="GY101"/>
      <c r="GZ101"/>
      <c r="HA101"/>
      <c r="HB101"/>
      <c r="HC101"/>
      <c r="HD101"/>
      <c r="HE101"/>
      <c r="HF101"/>
      <c r="HG101"/>
      <c r="HH101"/>
      <c r="HI101"/>
      <c r="HJ101"/>
      <c r="HK101"/>
      <c r="HL101"/>
      <c r="HM101"/>
      <c r="HN101"/>
      <c r="HO101"/>
      <c r="HP101"/>
      <c r="HQ101"/>
      <c r="HR101"/>
      <c r="HS101"/>
      <c r="HT101"/>
      <c r="HU101"/>
      <c r="HV101"/>
      <c r="HW101"/>
      <c r="HX101"/>
      <c r="HY101"/>
      <c r="HZ101"/>
      <c r="IA101"/>
      <c r="IB101"/>
      <c r="IC101"/>
      <c r="ID101"/>
      <c r="IE101"/>
      <c r="IF101"/>
      <c r="IG101"/>
      <c r="IH101"/>
      <c r="II101"/>
      <c r="IJ101"/>
      <c r="IK101"/>
      <c r="IL101"/>
      <c r="IM101"/>
      <c r="IN101"/>
      <c r="IO101"/>
      <c r="IP101"/>
      <c r="IQ101"/>
      <c r="IR101"/>
      <c r="IS101"/>
      <c r="IT101"/>
      <c r="IU101"/>
      <c r="IV101"/>
      <c r="IW101"/>
      <c r="IX101"/>
      <c r="IY101"/>
      <c r="IZ101"/>
    </row>
    <row r="102" spans="1:260" s="342" customFormat="1" ht="12.2" customHeight="1" outlineLevel="1" x14ac:dyDescent="0.2">
      <c r="A102" s="447" t="s">
        <v>348</v>
      </c>
      <c r="B102" s="449"/>
      <c r="C102" s="449"/>
      <c r="D102" s="449"/>
      <c r="E102" s="2477"/>
      <c r="F102" s="449"/>
      <c r="G102" s="449"/>
      <c r="H102" s="449"/>
      <c r="I102" s="2478"/>
      <c r="J102" s="435"/>
      <c r="K102" s="435"/>
      <c r="L102" s="435"/>
      <c r="M102" s="464"/>
      <c r="N102" s="435"/>
      <c r="O102" s="435"/>
      <c r="P102" s="435"/>
      <c r="Q102" s="464"/>
      <c r="R102" s="435"/>
      <c r="S102" s="435"/>
      <c r="T102" s="435"/>
      <c r="U102" s="464"/>
      <c r="V102" s="435"/>
      <c r="W102" s="435"/>
      <c r="X102" s="435"/>
      <c r="Y102" s="464"/>
      <c r="Z102" s="435"/>
      <c r="AA102" s="435"/>
      <c r="AB102" s="435"/>
      <c r="AC102" s="464"/>
      <c r="AD102" s="435"/>
      <c r="AE102" s="435"/>
      <c r="AF102" s="435"/>
      <c r="AG102" s="464"/>
      <c r="AH102" s="435"/>
      <c r="AI102" s="435"/>
      <c r="AJ102" s="435"/>
      <c r="AK102" s="464"/>
      <c r="AL102" s="435"/>
      <c r="AM102" s="2479"/>
      <c r="AN102" s="2479"/>
      <c r="AO102" s="2480"/>
      <c r="AP102" s="2479"/>
      <c r="AQ102" s="450"/>
      <c r="AR102" s="450"/>
      <c r="AS102" s="505"/>
      <c r="AT102" s="450"/>
      <c r="AU102" s="450"/>
      <c r="AV102" s="450"/>
      <c r="AW102" s="505"/>
      <c r="AX102" s="450"/>
      <c r="AY102" s="450"/>
      <c r="AZ102" s="450"/>
      <c r="BA102" s="505"/>
      <c r="BB102" s="450"/>
      <c r="BC102" s="450"/>
      <c r="BD102" s="450"/>
      <c r="BE102" s="505"/>
      <c r="BF102" s="450"/>
      <c r="BG102" s="450"/>
      <c r="BH102" s="450"/>
      <c r="BI102" s="505"/>
      <c r="BJ102" s="450"/>
      <c r="BK102" s="450"/>
      <c r="BL102" s="450"/>
      <c r="BM102" s="505"/>
      <c r="BN102" s="450"/>
      <c r="BO102" s="450"/>
      <c r="BP102" s="450"/>
      <c r="BQ102" s="505"/>
      <c r="BR102" s="450"/>
      <c r="BS102" s="450"/>
      <c r="BT102" s="450"/>
      <c r="BU102" s="505"/>
      <c r="BV102" s="450"/>
      <c r="BW102" s="450"/>
      <c r="BX102" s="450"/>
      <c r="BY102" s="505"/>
      <c r="BZ102" s="450"/>
      <c r="CA102" s="450"/>
      <c r="CB102" s="450"/>
      <c r="CC102" s="505"/>
      <c r="CD102" s="450"/>
      <c r="CE102" s="450"/>
      <c r="CF102" s="450"/>
      <c r="CG102" s="505"/>
      <c r="CH102" s="450"/>
      <c r="CI102" s="450"/>
      <c r="CJ102" s="450"/>
      <c r="CK102" s="505"/>
      <c r="CL102" s="450"/>
      <c r="CM102" s="450"/>
      <c r="CN102" s="450"/>
      <c r="CO102" s="505"/>
      <c r="CP102" s="450"/>
      <c r="CQ102" s="450"/>
      <c r="CR102" s="450"/>
      <c r="CS102" s="505"/>
      <c r="CT102" s="450"/>
      <c r="CU102" s="450"/>
      <c r="CV102" s="450"/>
      <c r="CW102" s="505"/>
      <c r="CX102" s="1762"/>
      <c r="CY102" s="450"/>
      <c r="CZ102" s="450"/>
      <c r="DA102" s="505"/>
      <c r="DB102" s="730"/>
      <c r="DC102" s="535"/>
      <c r="DD102" s="449"/>
      <c r="DE102" s="449"/>
      <c r="DF102" s="449"/>
      <c r="DG102" s="449"/>
      <c r="DH102" s="449"/>
      <c r="DI102" s="449"/>
      <c r="DJ102" s="449"/>
      <c r="DK102" s="449"/>
      <c r="DL102" s="449"/>
      <c r="DM102" s="447"/>
      <c r="DN102" s="435"/>
      <c r="DO102" s="435"/>
      <c r="DP102" s="435"/>
      <c r="DQ102" s="435"/>
      <c r="DR102" s="435"/>
      <c r="DS102" s="435"/>
      <c r="DT102" s="435"/>
      <c r="DU102" s="2479"/>
      <c r="DV102" s="450"/>
      <c r="DW102" s="450"/>
      <c r="DX102" s="450"/>
      <c r="DY102" s="450"/>
      <c r="DZ102" s="450"/>
      <c r="EA102" s="450"/>
      <c r="EB102" s="450"/>
      <c r="EC102" s="450"/>
      <c r="ED102" s="450"/>
      <c r="EE102" s="449"/>
      <c r="EF102" s="449"/>
      <c r="EG102" s="450"/>
      <c r="EH102" s="450"/>
      <c r="EI102" s="450"/>
      <c r="EJ102" s="450"/>
      <c r="EK102" s="450"/>
      <c r="EL102" s="450"/>
      <c r="EM102" s="449"/>
      <c r="EN102" s="449"/>
      <c r="EO102" s="447"/>
      <c r="EP102" s="449"/>
      <c r="EQ102" s="449"/>
      <c r="ER102" s="449"/>
      <c r="ES102" s="449"/>
      <c r="ET102" s="449"/>
      <c r="EU102" s="449"/>
      <c r="EV102" s="671"/>
      <c r="EW102"/>
      <c r="EX102"/>
      <c r="EY102"/>
      <c r="EZ102"/>
      <c r="FA102"/>
      <c r="FB102"/>
      <c r="FC102" s="6"/>
      <c r="FD102" s="6"/>
      <c r="FE102" s="6"/>
      <c r="FF102" s="6"/>
      <c r="FG102" s="39"/>
      <c r="FH102" s="39"/>
      <c r="FI102" s="2661"/>
      <c r="FJ102" s="2661"/>
      <c r="FK102" s="398"/>
      <c r="FL102" s="39"/>
      <c r="FM102" s="39"/>
      <c r="FN102" s="39"/>
      <c r="FO102" s="39"/>
      <c r="FP102" s="39"/>
      <c r="FQ102" s="39"/>
      <c r="FR102" s="39"/>
      <c r="FS102" s="39"/>
      <c r="FT102" s="39"/>
      <c r="FU102" s="39"/>
      <c r="FV102" s="39"/>
      <c r="FW102" s="39"/>
      <c r="FX102" s="39"/>
      <c r="FY102" s="39"/>
      <c r="FZ102" s="39"/>
      <c r="GA102" s="39"/>
      <c r="GB102" s="39"/>
      <c r="GC102" s="39"/>
      <c r="GD102" s="39"/>
      <c r="GE102" s="39"/>
      <c r="GF102" s="39"/>
      <c r="GG102" s="39"/>
      <c r="GH102" s="39"/>
      <c r="GI102" s="39"/>
      <c r="GJ102" s="39"/>
      <c r="GK102" s="39"/>
      <c r="GL102" s="39"/>
      <c r="GM102" s="39"/>
      <c r="GN102" s="39"/>
      <c r="GO102" s="39"/>
      <c r="GP102" s="39"/>
      <c r="GQ102" s="39"/>
      <c r="GR102" s="39"/>
      <c r="GS102" s="39"/>
      <c r="GT102" s="39"/>
      <c r="GU102" s="39"/>
      <c r="GV102" s="39"/>
      <c r="GW102" s="39"/>
      <c r="GX102" s="39"/>
      <c r="GY102" s="39"/>
      <c r="GZ102" s="39"/>
      <c r="HA102" s="39"/>
      <c r="HB102" s="39"/>
      <c r="HC102" s="39"/>
      <c r="HD102" s="39"/>
      <c r="HE102" s="39"/>
      <c r="HF102" s="39"/>
      <c r="HG102" s="39"/>
      <c r="HH102" s="39"/>
      <c r="HI102" s="39"/>
      <c r="HJ102" s="39"/>
      <c r="HK102" s="39"/>
      <c r="HL102" s="39"/>
      <c r="HM102" s="39"/>
      <c r="HN102" s="39"/>
      <c r="HO102" s="39"/>
      <c r="HP102" s="39"/>
      <c r="HQ102" s="39"/>
      <c r="HR102" s="39"/>
      <c r="HS102" s="39"/>
      <c r="HT102" s="39"/>
      <c r="HU102" s="39"/>
      <c r="HV102" s="39"/>
      <c r="HW102" s="39"/>
      <c r="HX102" s="39"/>
      <c r="HY102" s="39"/>
      <c r="HZ102" s="39"/>
      <c r="IA102" s="39"/>
      <c r="IB102" s="39"/>
      <c r="IC102" s="39"/>
      <c r="ID102" s="39"/>
      <c r="IE102" s="39"/>
      <c r="IF102" s="39"/>
      <c r="IG102" s="39"/>
      <c r="IH102" s="39"/>
      <c r="II102" s="39"/>
      <c r="IJ102" s="39"/>
      <c r="IK102" s="39"/>
      <c r="IL102" s="39"/>
      <c r="IM102" s="39"/>
      <c r="IN102" s="39"/>
      <c r="IO102" s="39"/>
      <c r="IP102" s="39"/>
      <c r="IQ102" s="39"/>
      <c r="IR102" s="39"/>
      <c r="IS102" s="39"/>
      <c r="IT102" s="39"/>
      <c r="IU102" s="39"/>
      <c r="IV102" s="39"/>
      <c r="IW102" s="39"/>
      <c r="IX102" s="39"/>
      <c r="IY102" s="39"/>
      <c r="IZ102" s="39"/>
    </row>
    <row r="103" spans="1:260" s="4" customFormat="1" outlineLevel="1" x14ac:dyDescent="0.2">
      <c r="A103" s="6" t="s">
        <v>157</v>
      </c>
      <c r="B103" s="372">
        <f>'Income Statement'!B7</f>
        <v>441.91899999999998</v>
      </c>
      <c r="C103" s="372">
        <f>'Income Statement'!C7</f>
        <v>562.98</v>
      </c>
      <c r="D103" s="372">
        <f>'Income Statement'!D7</f>
        <v>808.476</v>
      </c>
      <c r="E103" s="715">
        <f>'Income Statement'!E7</f>
        <v>1193.1590000000001</v>
      </c>
      <c r="F103" s="372">
        <f>'Income Statement'!F7</f>
        <v>849.4</v>
      </c>
      <c r="G103" s="372">
        <f>'Income Statement'!G7</f>
        <v>933.17200000000003</v>
      </c>
      <c r="H103" s="372">
        <f>'Income Statement'!H7</f>
        <v>1349.8710000000001</v>
      </c>
      <c r="I103" s="715">
        <f>'Income Statement'!I7</f>
        <v>1947.1110000000001</v>
      </c>
      <c r="J103" s="372">
        <f>'Income Statement'!J7</f>
        <v>1274.6690000000001</v>
      </c>
      <c r="K103" s="372">
        <f>'Income Statement'!K7</f>
        <v>1437.9110000000001</v>
      </c>
      <c r="L103" s="372">
        <f>'Income Statement'!L7</f>
        <v>1929.277</v>
      </c>
      <c r="M103" s="715">
        <f>'Income Statement'!M7</f>
        <v>2575.5639999999999</v>
      </c>
      <c r="N103" s="372">
        <f>'Income Statement'!N7</f>
        <v>1637.184</v>
      </c>
      <c r="O103" s="372">
        <f>'Income Statement'!O7</f>
        <v>1778.64</v>
      </c>
      <c r="P103" s="372">
        <f>'Income Statement'!P7</f>
        <v>2007.3240000000001</v>
      </c>
      <c r="Q103" s="715">
        <f>'Income Statement'!Q7</f>
        <v>2347.5349999999999</v>
      </c>
      <c r="R103" s="372">
        <f>'Income Statement'!R7</f>
        <v>1606.5509999999999</v>
      </c>
      <c r="S103" s="372">
        <f>'Income Statement'!S7</f>
        <v>1793.204</v>
      </c>
      <c r="T103" s="372">
        <f>'Income Statement'!T7</f>
        <v>2106.3409999999999</v>
      </c>
      <c r="U103" s="715">
        <f>'Income Statement'!U7</f>
        <v>2852.096</v>
      </c>
      <c r="V103" s="372">
        <f>'Income Statement'!V7</f>
        <v>1938.383</v>
      </c>
      <c r="W103" s="372">
        <f>'Income Statement'!W7</f>
        <v>2177.7660000000001</v>
      </c>
      <c r="X103" s="372">
        <f>'Income Statement'!X7</f>
        <v>2492.4670000000001</v>
      </c>
      <c r="Y103" s="715">
        <f>'Income Statement'!Y7</f>
        <v>3456.03</v>
      </c>
      <c r="Z103" s="372">
        <f>'Income Statement'!Z7</f>
        <v>2385.431</v>
      </c>
      <c r="AA103" s="372">
        <f>'Income Statement'!AA7</f>
        <v>2686.64</v>
      </c>
      <c r="AB103" s="372">
        <f>'Income Statement'!AB7</f>
        <v>3107.337</v>
      </c>
      <c r="AC103" s="715">
        <f>'Income Statement'!AC7</f>
        <v>4314.6149999999998</v>
      </c>
      <c r="AD103" s="372">
        <f>'Income Statement'!AD7</f>
        <v>2963.7179999999998</v>
      </c>
      <c r="AE103" s="372">
        <f>'Income Statement'!AE7</f>
        <v>3169.1709999999998</v>
      </c>
      <c r="AF103" s="372">
        <f>'Income Statement'!AF7</f>
        <v>3732.08</v>
      </c>
      <c r="AG103" s="715">
        <f>'Income Statement'!AG7</f>
        <v>5461.6</v>
      </c>
      <c r="AH103" s="372">
        <f>'Income Statement'!AH7</f>
        <v>3697</v>
      </c>
      <c r="AI103" s="372">
        <f>'Income Statement'!AI7</f>
        <v>4164</v>
      </c>
      <c r="AJ103" s="372">
        <f>'Income Statement'!AJ7</f>
        <v>4756</v>
      </c>
      <c r="AK103" s="715">
        <f>'Income Statement'!AK7</f>
        <v>6980</v>
      </c>
      <c r="AL103" s="372">
        <f>'Income Statement'!AL7</f>
        <v>4202</v>
      </c>
      <c r="AM103" s="372">
        <f>'Income Statement'!AM7</f>
        <v>4624</v>
      </c>
      <c r="AN103" s="372">
        <f>'Income Statement'!AN7</f>
        <v>5131</v>
      </c>
      <c r="AO103" s="715">
        <f>'Income Statement'!AO7</f>
        <v>6989</v>
      </c>
      <c r="AP103" s="372">
        <f>'Income Statement'!AP7</f>
        <v>4668</v>
      </c>
      <c r="AQ103" s="372">
        <f>'Income Statement'!AQ7</f>
        <v>5396</v>
      </c>
      <c r="AR103" s="372">
        <f>'Income Statement'!AR7</f>
        <v>6032</v>
      </c>
      <c r="AS103" s="715">
        <f>'Income Statement'!AS7</f>
        <v>8449</v>
      </c>
      <c r="AT103" s="372">
        <f>'Income Statement'!AT7</f>
        <v>5479</v>
      </c>
      <c r="AU103" s="372">
        <f>'Income Statement'!AU7</f>
        <v>6080</v>
      </c>
      <c r="AV103" s="372">
        <f>'Income Statement'!AV7</f>
        <v>6647</v>
      </c>
      <c r="AW103" s="715">
        <f>'Income Statement'!AW7</f>
        <v>9227</v>
      </c>
      <c r="AX103" s="372">
        <f>'Income Statement'!AX7</f>
        <v>6118</v>
      </c>
      <c r="AY103" s="372">
        <f>'Income Statement'!AY7</f>
        <v>6702</v>
      </c>
      <c r="AZ103" s="372">
        <f>'Income Statement'!AZ7</f>
        <v>7335</v>
      </c>
      <c r="BA103" s="715">
        <f>'Income Statement'!BA7</f>
        <v>10693</v>
      </c>
      <c r="BB103" s="372">
        <f>'Income Statement'!BB7</f>
        <v>6959</v>
      </c>
      <c r="BC103" s="372">
        <f>'Income Statement'!BC7</f>
        <v>7603</v>
      </c>
      <c r="BD103" s="372">
        <f>'Income Statement'!BD7</f>
        <v>8473</v>
      </c>
      <c r="BE103" s="715">
        <f>'Income Statement'!BE7</f>
        <v>12899</v>
      </c>
      <c r="BF103" s="372">
        <f>'Income Statement'!BF7</f>
        <v>7927</v>
      </c>
      <c r="BG103" s="372">
        <f>'Income Statement'!BG7</f>
        <v>8750</v>
      </c>
      <c r="BH103" s="372">
        <f>'Income Statement'!BH7</f>
        <v>9928</v>
      </c>
      <c r="BI103" s="715">
        <f>'Income Statement'!BI7</f>
        <v>13418</v>
      </c>
      <c r="BJ103" s="372">
        <f>'Income Statement'!BJ7</f>
        <v>8990</v>
      </c>
      <c r="BK103" s="372">
        <f>'Income Statement'!BK7</f>
        <v>9801</v>
      </c>
      <c r="BL103" s="372">
        <f>'Income Statement'!BL7</f>
        <v>11500</v>
      </c>
      <c r="BM103" s="715">
        <f>'Income Statement'!BM7</f>
        <v>14724</v>
      </c>
      <c r="BN103" s="372">
        <f>'Income Statement'!BN7</f>
        <v>10095</v>
      </c>
      <c r="BO103" s="372">
        <f>'Income Statement'!BO7</f>
        <v>11022</v>
      </c>
      <c r="BP103" s="372">
        <f>'Income Statement'!BP7</f>
        <v>12024</v>
      </c>
      <c r="BQ103" s="715">
        <f>'Income Statement'!BQ7</f>
        <v>16553</v>
      </c>
      <c r="BR103" s="372">
        <f>'Income Statement'!BR7</f>
        <v>10787</v>
      </c>
      <c r="BS103" s="372">
        <f>'Income Statement'!BS7</f>
        <v>11339</v>
      </c>
      <c r="BT103" s="372">
        <f>'Income Statement'!BT7</f>
        <v>11890</v>
      </c>
      <c r="BU103" s="715">
        <f>'Income Statement'!BU7</f>
        <v>16256</v>
      </c>
      <c r="BV103" s="372">
        <f>'Income Statement'!BV7</f>
        <v>10940</v>
      </c>
      <c r="BW103" s="372">
        <f>'Income Statement'!BW7</f>
        <v>11347</v>
      </c>
      <c r="BX103" s="372">
        <f>'Income Statement'!BX7</f>
        <v>12099</v>
      </c>
      <c r="BY103" s="715">
        <f>'Income Statement'!BY7</f>
        <v>16630</v>
      </c>
      <c r="BZ103" s="372">
        <f>'Income Statement'!CH7</f>
        <v>11610</v>
      </c>
      <c r="CA103" s="372">
        <f>'Income Statement'!CI7</f>
        <v>10547</v>
      </c>
      <c r="CB103" s="372">
        <f>'Income Statement'!CJ7</f>
        <v>10753</v>
      </c>
      <c r="CC103" s="715">
        <f>'Income Statement'!CK7</f>
        <v>16711</v>
      </c>
      <c r="CD103" s="389">
        <f>'Income Statement'!CP7</f>
        <v>8928</v>
      </c>
      <c r="CE103" s="389">
        <f>'Income Statement'!CQ7</f>
        <v>8734</v>
      </c>
      <c r="CF103" s="389">
        <f>'Income Statement'!CR7</f>
        <v>8924</v>
      </c>
      <c r="CG103" s="715">
        <f>'Income Statement'!CS7</f>
        <v>14025</v>
      </c>
      <c r="CH103" s="389">
        <f>'Income Statement'!CT7</f>
        <v>8639</v>
      </c>
      <c r="CI103" s="389">
        <f>'Income Statement'!CU7</f>
        <v>8459</v>
      </c>
      <c r="CJ103" s="389">
        <f>'Income Statement'!CV7</f>
        <v>9032</v>
      </c>
      <c r="CK103" s="740">
        <f>'Income Statement'!CW7</f>
        <v>14209</v>
      </c>
      <c r="CL103" s="1347">
        <f>'Income Statement'!CX7</f>
        <v>8558</v>
      </c>
      <c r="CM103" s="389">
        <f>'Income Statement'!CY7</f>
        <v>8528</v>
      </c>
      <c r="CN103" s="389">
        <f>'Income Statement'!CZ7</f>
        <v>8819</v>
      </c>
      <c r="CO103" s="740">
        <f>'Income Statement'!DA7</f>
        <v>13623</v>
      </c>
      <c r="CP103" s="389">
        <f>'Income Statement'!DB7</f>
        <v>8443</v>
      </c>
      <c r="CQ103" s="389">
        <f>'Income Statement'!DC7</f>
        <v>8533</v>
      </c>
      <c r="CR103" s="389">
        <f>'Income Statement'!DD7</f>
        <v>8945</v>
      </c>
      <c r="CS103" s="740">
        <f>'Income Statement'!DE7</f>
        <v>13482</v>
      </c>
      <c r="CT103" s="1347">
        <f>'Income Statement'!DF7</f>
        <v>8528</v>
      </c>
      <c r="CU103" s="389">
        <f>'Income Statement'!DG7</f>
        <v>8940</v>
      </c>
      <c r="CV103" s="389">
        <f>'Income Statement'!DH7</f>
        <v>9320</v>
      </c>
      <c r="CW103" s="740">
        <f>'Income Statement'!DI7</f>
        <v>15363</v>
      </c>
      <c r="CX103" s="2810">
        <f>'Income Statement'!DJ7</f>
        <v>8711.2301459186638</v>
      </c>
      <c r="CY103" s="2609">
        <f>'Income Statement'!DK7</f>
        <v>8988.9687197025032</v>
      </c>
      <c r="CZ103" s="2609">
        <f>'Income Statement'!DL7</f>
        <v>9397.9518577439158</v>
      </c>
      <c r="DA103" s="715">
        <f>'Income Statement'!DM7</f>
        <v>15216.8565322838</v>
      </c>
      <c r="DB103" s="739"/>
      <c r="DC103" s="740"/>
      <c r="DD103" s="252"/>
      <c r="DE103" s="252"/>
      <c r="DF103" s="252"/>
      <c r="DG103" s="252"/>
      <c r="DH103" s="252"/>
      <c r="DI103" s="252"/>
      <c r="DJ103" s="252"/>
      <c r="DK103" s="252"/>
      <c r="DL103" s="998">
        <f>'Income Statement'!DX7</f>
        <v>3006.5340000000001</v>
      </c>
      <c r="DM103" s="998">
        <f>'Income Statement'!DY7</f>
        <v>5079.5540000000001</v>
      </c>
      <c r="DN103" s="998">
        <f>'Income Statement'!DZ7</f>
        <v>7217.4210000000003</v>
      </c>
      <c r="DO103" s="998">
        <f>'Income Statement'!EA7</f>
        <v>7770.683</v>
      </c>
      <c r="DP103" s="998">
        <f>'Income Statement'!EB7</f>
        <v>8358.1919999999991</v>
      </c>
      <c r="DQ103" s="998">
        <f>'Income Statement'!EC7</f>
        <v>10064.646000000001</v>
      </c>
      <c r="DR103" s="998">
        <f>'Income Statement'!ED7</f>
        <v>12494.022999999999</v>
      </c>
      <c r="DS103" s="998">
        <f>'Income Statement'!EE7</f>
        <v>15326.569</v>
      </c>
      <c r="DT103" s="998">
        <f>'Income Statement'!EF7</f>
        <v>19597</v>
      </c>
      <c r="DU103" s="998">
        <f>'Income Statement'!EG7</f>
        <v>20946</v>
      </c>
      <c r="DV103" s="998">
        <f>'Income Statement'!EH7</f>
        <v>24545</v>
      </c>
      <c r="DW103" s="998">
        <f>'Income Statement'!EI7</f>
        <v>27433</v>
      </c>
      <c r="DX103" s="998">
        <f>'Income Statement'!EJ7</f>
        <v>30848</v>
      </c>
      <c r="DY103" s="998">
        <f>'Income Statement'!EK7</f>
        <v>35934</v>
      </c>
      <c r="DZ103" s="998">
        <f>'Income Statement'!EL7</f>
        <v>40023</v>
      </c>
      <c r="EA103" s="998">
        <f>'Income Statement'!EM7</f>
        <v>45015</v>
      </c>
      <c r="EB103" s="998">
        <f>'Income Statement'!EN7</f>
        <v>49694</v>
      </c>
      <c r="EC103" s="998">
        <f>'Income Statement'!EO7</f>
        <v>50272</v>
      </c>
      <c r="ED103" s="998">
        <f>'Income Statement'!EP7</f>
        <v>51016</v>
      </c>
      <c r="EE103" s="998">
        <f>'Income Statement'!EQ7</f>
        <v>49902</v>
      </c>
      <c r="EF103" s="998">
        <f>'Income Statement'!ER7</f>
        <v>50041</v>
      </c>
      <c r="EG103" s="998">
        <f>'Income Statement'!ES7</f>
        <v>49621</v>
      </c>
      <c r="EH103" s="998">
        <f>'Income Statement'!EU7</f>
        <v>40611</v>
      </c>
      <c r="EI103" s="998">
        <f>'Income Statement'!EV7</f>
        <v>40339</v>
      </c>
      <c r="EJ103" s="998">
        <f>'Income Statement'!EW7</f>
        <v>39528</v>
      </c>
      <c r="EK103" s="1919">
        <f>'Income Statement'!EX7</f>
        <v>39403</v>
      </c>
      <c r="EL103" s="1919">
        <f>'Income Statement'!EY7</f>
        <v>42151</v>
      </c>
      <c r="EM103" s="1683">
        <f>'Income Statement'!EZ7</f>
        <v>42315.007255648889</v>
      </c>
      <c r="EN103" s="998">
        <f>'Income Statement'!FA7</f>
        <v>42741.505738567968</v>
      </c>
      <c r="EO103" s="998">
        <f>'Income Statement'!FB7</f>
        <v>43166.084012970176</v>
      </c>
      <c r="EP103" s="998">
        <f>'Income Statement'!FC7</f>
        <v>43542.078949888339</v>
      </c>
      <c r="EQ103" s="998">
        <f>'Income Statement'!FD7</f>
        <v>44094.716422977304</v>
      </c>
      <c r="ER103" s="998">
        <f>'Income Statement'!FE7</f>
        <v>44669.094188004266</v>
      </c>
      <c r="ES103" s="998">
        <f>'Income Statement'!FF7</f>
        <v>45266.289294580514</v>
      </c>
      <c r="ET103" s="998">
        <f>'Income Statement'!FG7</f>
        <v>45887.432566183001</v>
      </c>
      <c r="EU103" s="998">
        <f>'Income Statement'!FH7</f>
        <v>46533.711289341292</v>
      </c>
      <c r="EV103" s="413"/>
      <c r="EW103"/>
      <c r="EX103"/>
      <c r="EY103"/>
      <c r="EZ103"/>
      <c r="FA103"/>
      <c r="FB103"/>
      <c r="FG103"/>
      <c r="FH103"/>
      <c r="FI103" s="2662"/>
      <c r="FJ103" s="2662"/>
      <c r="FK103" s="2662"/>
      <c r="FL103"/>
      <c r="FM103"/>
      <c r="FN103"/>
      <c r="FO103"/>
      <c r="FP103"/>
      <c r="FQ103"/>
      <c r="FR103"/>
      <c r="FS103"/>
      <c r="FT103"/>
      <c r="FU103"/>
      <c r="FV103"/>
      <c r="FW103"/>
      <c r="FX103"/>
      <c r="FY103"/>
      <c r="FZ103"/>
      <c r="GA103"/>
      <c r="GB103"/>
      <c r="GC103"/>
      <c r="GD103"/>
      <c r="GE103"/>
      <c r="GF103"/>
      <c r="GG103"/>
      <c r="GH103"/>
      <c r="GI103"/>
      <c r="GJ103"/>
      <c r="GK103"/>
      <c r="GL103"/>
      <c r="GM103"/>
      <c r="GN103"/>
      <c r="GO103"/>
      <c r="GP103"/>
      <c r="GQ103"/>
      <c r="GR103"/>
      <c r="GS103"/>
      <c r="GT103"/>
      <c r="GU103"/>
      <c r="GV103"/>
      <c r="GW103"/>
      <c r="GX103"/>
      <c r="GY103"/>
      <c r="GZ103"/>
      <c r="HA103"/>
      <c r="HB103"/>
      <c r="HC103"/>
      <c r="HD103"/>
      <c r="HE103"/>
      <c r="HF103"/>
      <c r="HG103"/>
      <c r="HH103"/>
      <c r="HI103"/>
      <c r="HJ103"/>
      <c r="HK103"/>
      <c r="HL103"/>
      <c r="HM103"/>
      <c r="HN103"/>
      <c r="HO103"/>
      <c r="HP103"/>
      <c r="HQ103"/>
      <c r="HR103"/>
      <c r="HS103"/>
      <c r="HT103"/>
      <c r="HU103"/>
      <c r="HV103"/>
      <c r="HW103"/>
      <c r="HX103"/>
      <c r="HY103"/>
      <c r="HZ103"/>
      <c r="IA103"/>
      <c r="IB103"/>
      <c r="IC103"/>
      <c r="ID103"/>
      <c r="IE103"/>
      <c r="IF103"/>
      <c r="IG103"/>
      <c r="IH103"/>
      <c r="II103"/>
      <c r="IJ103"/>
      <c r="IK103"/>
      <c r="IL103"/>
      <c r="IM103"/>
      <c r="IN103"/>
      <c r="IO103"/>
      <c r="IP103"/>
      <c r="IQ103"/>
      <c r="IR103"/>
      <c r="IS103"/>
      <c r="IT103"/>
      <c r="IU103"/>
      <c r="IV103"/>
      <c r="IW103"/>
      <c r="IX103"/>
      <c r="IY103"/>
      <c r="IZ103"/>
    </row>
    <row r="104" spans="1:260" s="4" customFormat="1" outlineLevel="1" x14ac:dyDescent="0.2">
      <c r="A104" s="6" t="s">
        <v>546</v>
      </c>
      <c r="B104" s="372">
        <f>'Income Statement'!B17</f>
        <v>3.6739999999999924</v>
      </c>
      <c r="C104" s="372">
        <f>'Income Statement'!C17</f>
        <v>13.090000000000032</v>
      </c>
      <c r="D104" s="372">
        <f>'Income Statement'!D17</f>
        <v>20.848999999999947</v>
      </c>
      <c r="E104" s="715">
        <f>'Income Statement'!E17</f>
        <v>39.565000000000026</v>
      </c>
      <c r="F104" s="372">
        <f>'Income Statement'!F17</f>
        <v>11.700000000000003</v>
      </c>
      <c r="G104" s="372">
        <f>'Income Statement'!G17</f>
        <v>17.658999999999963</v>
      </c>
      <c r="H104" s="372">
        <f>'Income Statement'!H17</f>
        <v>38.013000000000062</v>
      </c>
      <c r="I104" s="715">
        <f>'Income Statement'!I17</f>
        <v>54.568999999999988</v>
      </c>
      <c r="J104" s="372">
        <f>'Income Statement'!J17</f>
        <v>16.336000000000183</v>
      </c>
      <c r="K104" s="372">
        <f>'Income Statement'!K17</f>
        <v>19.203000000000088</v>
      </c>
      <c r="L104" s="372">
        <f>'Income Statement'!L17</f>
        <v>42.588000000000051</v>
      </c>
      <c r="M104" s="715">
        <f>'Income Statement'!M17</f>
        <v>44.428999999999974</v>
      </c>
      <c r="N104" s="372">
        <f>'Income Statement'!N17</f>
        <v>12.951999999999856</v>
      </c>
      <c r="O104" s="372">
        <f>'Income Statement'!O17</f>
        <v>19.684000000000168</v>
      </c>
      <c r="P104" s="372">
        <f>'Income Statement'!P17</f>
        <v>-3.1099999999999568</v>
      </c>
      <c r="Q104" s="715">
        <f>'Income Statement'!Q17</f>
        <v>23.679999999999779</v>
      </c>
      <c r="R104" s="372">
        <f>'Income Statement'!R17</f>
        <v>5.2160000000000366</v>
      </c>
      <c r="S104" s="372">
        <f>'Income Statement'!S17</f>
        <v>19.925999999999874</v>
      </c>
      <c r="T104" s="372">
        <f>'Income Statement'!T17</f>
        <v>52.898999999999887</v>
      </c>
      <c r="U104" s="715">
        <f>'Income Statement'!U17</f>
        <v>108.79699999999985</v>
      </c>
      <c r="V104" s="372">
        <f>'Income Statement'!V17</f>
        <v>22.784000000000106</v>
      </c>
      <c r="W104" s="372">
        <f>'Income Statement'!W17</f>
        <v>68.437000000000012</v>
      </c>
      <c r="X104" s="372">
        <f>'Income Statement'!X17</f>
        <v>90.230000000000132</v>
      </c>
      <c r="Y104" s="715">
        <f>'Income Statement'!Y17</f>
        <v>169.79100000000034</v>
      </c>
      <c r="Z104" s="372">
        <f>'Income Statement'!Z17</f>
        <v>71.700999999999965</v>
      </c>
      <c r="AA104" s="372">
        <f>'Income Statement'!AA17</f>
        <v>89.605999999999995</v>
      </c>
      <c r="AB104" s="372">
        <f>'Income Statement'!AB17</f>
        <v>122.58800000000019</v>
      </c>
      <c r="AC104" s="715">
        <f>'Income Statement'!AC17</f>
        <v>255.36399999999992</v>
      </c>
      <c r="AD104" s="372">
        <f>'Income Statement'!AD17</f>
        <v>108.51799999999986</v>
      </c>
      <c r="AE104" s="372">
        <f>'Income Statement'!AE17</f>
        <v>115.34999999999991</v>
      </c>
      <c r="AF104" s="372">
        <f>'Income Statement'!AF17</f>
        <v>85.012999999999693</v>
      </c>
      <c r="AG104" s="715">
        <f>'Income Statement'!AG17</f>
        <v>295.70000000000005</v>
      </c>
      <c r="AH104" s="372">
        <f>'Income Statement'!AH17</f>
        <v>90</v>
      </c>
      <c r="AI104" s="372">
        <f>'Income Statement'!AI17</f>
        <v>148</v>
      </c>
      <c r="AJ104" s="372">
        <f>'Income Statement'!AJ17</f>
        <v>129</v>
      </c>
      <c r="AK104" s="715">
        <f>'Income Statement'!AK17</f>
        <v>570</v>
      </c>
      <c r="AL104" s="372">
        <f>'Income Statement'!AL17</f>
        <v>129</v>
      </c>
      <c r="AM104" s="372">
        <f>'Income Statement'!AM17</f>
        <v>129</v>
      </c>
      <c r="AN104" s="372">
        <f>'Income Statement'!AN17</f>
        <v>140</v>
      </c>
      <c r="AO104" s="715">
        <f>'Income Statement'!AO17</f>
        <v>612</v>
      </c>
      <c r="AP104" s="372">
        <f>'Income Statement'!AP17</f>
        <v>114</v>
      </c>
      <c r="AQ104" s="372">
        <f>'Income Statement'!AQ17</f>
        <v>229</v>
      </c>
      <c r="AR104" s="372">
        <f>'Income Statement'!AR17</f>
        <v>202</v>
      </c>
      <c r="AS104" s="715">
        <f>'Income Statement'!AS17</f>
        <v>759</v>
      </c>
      <c r="AT104" s="372">
        <f>'Income Statement'!AT17</f>
        <v>184</v>
      </c>
      <c r="AU104" s="372">
        <f>'Income Statement'!AU17</f>
        <v>242</v>
      </c>
      <c r="AV104" s="372">
        <f>'Income Statement'!AV17</f>
        <v>233</v>
      </c>
      <c r="AW104" s="715">
        <f>'Income Statement'!AW17</f>
        <v>783</v>
      </c>
      <c r="AX104" s="372">
        <f>'Income Statement'!AX17</f>
        <v>239</v>
      </c>
      <c r="AY104" s="372">
        <f>'Income Statement'!AY17</f>
        <v>261</v>
      </c>
      <c r="AZ104" s="372">
        <f>'Income Statement'!AZ17</f>
        <v>189</v>
      </c>
      <c r="BA104" s="715">
        <f>'Income Statement'!BA17</f>
        <v>955</v>
      </c>
      <c r="BB104" s="372">
        <f>'Income Statement'!BB17</f>
        <v>337</v>
      </c>
      <c r="BC104" s="372">
        <f>'Income Statement'!BC17</f>
        <v>330</v>
      </c>
      <c r="BD104" s="372">
        <f>'Income Statement'!BD17</f>
        <v>196</v>
      </c>
      <c r="BE104" s="715">
        <f>'Income Statement'!BE17</f>
        <v>1136</v>
      </c>
      <c r="BF104" s="372">
        <f>'Income Statement'!BF17</f>
        <v>266</v>
      </c>
      <c r="BG104" s="372">
        <f>'Income Statement'!BG17</f>
        <v>401</v>
      </c>
      <c r="BH104" s="372">
        <f>'Income Statement'!BH17</f>
        <v>351</v>
      </c>
      <c r="BI104" s="715">
        <f>'Income Statement'!BI17</f>
        <v>1143</v>
      </c>
      <c r="BJ104" s="372">
        <f>'Income Statement'!BJ17</f>
        <v>277</v>
      </c>
      <c r="BK104" s="372">
        <f>'Income Statement'!BK17</f>
        <v>339</v>
      </c>
      <c r="BL104" s="372">
        <f>'Income Statement'!BL17</f>
        <v>274</v>
      </c>
      <c r="BM104" s="715">
        <f>'Income Statement'!BM17</f>
        <v>1124</v>
      </c>
      <c r="BN104" s="372">
        <f>'Income Statement'!BN17</f>
        <v>348</v>
      </c>
      <c r="BO104" s="372">
        <f>'Income Statement'!BO17</f>
        <v>280</v>
      </c>
      <c r="BP104" s="372">
        <f>'Income Statement'!BP17</f>
        <v>376</v>
      </c>
      <c r="BQ104" s="715">
        <f>'Income Statement'!BQ17</f>
        <v>1283</v>
      </c>
      <c r="BR104" s="372">
        <f>'Income Statement'!BR17</f>
        <v>313</v>
      </c>
      <c r="BS104" s="372">
        <f>'Income Statement'!BS17</f>
        <v>411</v>
      </c>
      <c r="BT104" s="372">
        <f>'Income Statement'!BT17</f>
        <v>385</v>
      </c>
      <c r="BU104" s="715">
        <f>'Income Statement'!BU17</f>
        <v>1227</v>
      </c>
      <c r="BV104" s="372">
        <f>'Income Statement'!BV17</f>
        <v>284</v>
      </c>
      <c r="BW104" s="372">
        <f>'Income Statement'!BW17</f>
        <v>289</v>
      </c>
      <c r="BX104" s="372">
        <f>'Income Statement'!BX17</f>
        <v>328</v>
      </c>
      <c r="BY104" s="715">
        <f>'Income Statement'!BY17</f>
        <v>1357</v>
      </c>
      <c r="BZ104" s="372">
        <f>'Income Statement'!CH17</f>
        <v>389</v>
      </c>
      <c r="CA104" s="372">
        <f>'Income Statement'!CI17</f>
        <v>124</v>
      </c>
      <c r="CB104" s="372">
        <f>'Income Statement'!CJ17</f>
        <v>48</v>
      </c>
      <c r="CC104" s="715">
        <f>'Income Statement'!CK17</f>
        <v>924</v>
      </c>
      <c r="CD104" s="389">
        <f>'Income Statement'!CP17</f>
        <v>204</v>
      </c>
      <c r="CE104" s="389">
        <f>'Income Statement'!CQ17</f>
        <v>195</v>
      </c>
      <c r="CF104" s="389">
        <f>'Income Statement'!CR17</f>
        <v>135</v>
      </c>
      <c r="CG104" s="715">
        <f>'Income Statement'!CS17</f>
        <v>629</v>
      </c>
      <c r="CH104" s="389">
        <f>'Income Statement'!CT17</f>
        <v>221</v>
      </c>
      <c r="CI104" s="389">
        <f>'Income Statement'!CU17</f>
        <v>242</v>
      </c>
      <c r="CJ104" s="389">
        <f>'Income Statement'!CV17</f>
        <v>216</v>
      </c>
      <c r="CK104" s="740">
        <f>'Income Statement'!CW17</f>
        <v>818</v>
      </c>
      <c r="CL104" s="1347">
        <f>'Income Statement'!CX17</f>
        <v>208</v>
      </c>
      <c r="CM104" s="389">
        <f>'Income Statement'!CY17</f>
        <v>278</v>
      </c>
      <c r="CN104" s="389">
        <f>'Income Statement'!CZ17</f>
        <v>238</v>
      </c>
      <c r="CO104" s="740">
        <f>'Income Statement'!DA17</f>
        <v>781</v>
      </c>
      <c r="CP104" s="389">
        <f>'Income Statement'!DB17</f>
        <v>240</v>
      </c>
      <c r="CQ104" s="389">
        <f>'Income Statement'!DC17</f>
        <v>290</v>
      </c>
      <c r="CR104" s="389">
        <f>'Income Statement'!DD17</f>
        <v>313</v>
      </c>
      <c r="CS104" s="740">
        <f>'Income Statement'!DE17</f>
        <v>890</v>
      </c>
      <c r="CT104" s="1347">
        <f>'Income Statement'!DF17</f>
        <v>300</v>
      </c>
      <c r="CU104" s="389">
        <f>'Income Statement'!DG17</f>
        <v>330</v>
      </c>
      <c r="CV104" s="389">
        <f>'Income Statement'!DH17</f>
        <v>348</v>
      </c>
      <c r="CW104" s="740">
        <f>'Income Statement'!DI17</f>
        <v>982</v>
      </c>
      <c r="CX104" s="2810">
        <f>'Income Statement'!DJ17</f>
        <v>287.26389305794919</v>
      </c>
      <c r="CY104" s="2609">
        <f>'Income Statement'!DK17</f>
        <v>320.83269816988627</v>
      </c>
      <c r="CZ104" s="2609">
        <f>'Income Statement'!DL17</f>
        <v>356.8481661674989</v>
      </c>
      <c r="DA104" s="715">
        <f>'Income Statement'!DM17</f>
        <v>965.26764633230459</v>
      </c>
      <c r="DB104" s="739"/>
      <c r="DC104" s="740"/>
      <c r="DD104" s="252"/>
      <c r="DE104" s="252"/>
      <c r="DF104" s="252"/>
      <c r="DG104" s="252"/>
      <c r="DH104" s="252"/>
      <c r="DI104" s="252"/>
      <c r="DJ104" s="252"/>
      <c r="DK104" s="252"/>
      <c r="DL104" s="998">
        <f>'Income Statement'!DX17</f>
        <v>77.177999999999997</v>
      </c>
      <c r="DM104" s="998">
        <f>'Income Statement'!DY17</f>
        <v>121.94100000000002</v>
      </c>
      <c r="DN104" s="998">
        <f>'Income Statement'!DZ17</f>
        <v>122.5560000000003</v>
      </c>
      <c r="DO104" s="998">
        <f>'Income Statement'!EA17</f>
        <v>53.205999999999449</v>
      </c>
      <c r="DP104" s="998">
        <f>'Income Statement'!EB17</f>
        <v>186.83799999999965</v>
      </c>
      <c r="DQ104" s="998">
        <f>'Income Statement'!EC17</f>
        <v>351.2420000000011</v>
      </c>
      <c r="DR104" s="998">
        <f>'Income Statement'!ED17</f>
        <v>539.25900000000001</v>
      </c>
      <c r="DS104" s="998">
        <f>'Income Statement'!EE17</f>
        <v>604.58099999999945</v>
      </c>
      <c r="DT104" s="998">
        <f>'Income Statement'!EF17</f>
        <v>937</v>
      </c>
      <c r="DU104" s="998">
        <f>'Income Statement'!EG17</f>
        <v>1010</v>
      </c>
      <c r="DV104" s="998">
        <f>'Income Statement'!EH17</f>
        <v>1304</v>
      </c>
      <c r="DW104" s="998">
        <f>'Income Statement'!EI17</f>
        <v>1442</v>
      </c>
      <c r="DX104" s="998">
        <f>'Income Statement'!EJ17</f>
        <v>1644</v>
      </c>
      <c r="DY104" s="998">
        <f>'Income Statement'!EK17</f>
        <v>1999</v>
      </c>
      <c r="DZ104" s="998">
        <f>'Income Statement'!EL17</f>
        <v>2161</v>
      </c>
      <c r="EA104" s="998">
        <f>'Income Statement'!EM17</f>
        <v>2014</v>
      </c>
      <c r="EB104" s="998">
        <f>'Income Statement'!EN17</f>
        <v>2287</v>
      </c>
      <c r="EC104" s="998">
        <f>'Income Statement'!EO17</f>
        <v>2336</v>
      </c>
      <c r="ED104" s="998">
        <f>'Income Statement'!EP17</f>
        <v>2258</v>
      </c>
      <c r="EE104" s="998">
        <f>'Income Statement'!EQ17</f>
        <v>2517</v>
      </c>
      <c r="EF104" s="998">
        <f>'Income Statement'!ER17</f>
        <v>2299</v>
      </c>
      <c r="EG104" s="998">
        <f>'Income Statement'!ES17</f>
        <v>1485</v>
      </c>
      <c r="EH104" s="998">
        <f>'Income Statement'!EU17</f>
        <v>1163</v>
      </c>
      <c r="EI104" s="998">
        <f>'Income Statement'!EV17</f>
        <v>1497</v>
      </c>
      <c r="EJ104" s="998">
        <f>'Income Statement'!EW17</f>
        <v>1505</v>
      </c>
      <c r="EK104" s="1919">
        <f>'Income Statement'!EX17</f>
        <v>1733</v>
      </c>
      <c r="EL104" s="1919">
        <f>'Income Statement'!EY17</f>
        <v>1960</v>
      </c>
      <c r="EM104" s="1683">
        <f>'Income Statement'!EZ17</f>
        <v>1930.212403727639</v>
      </c>
      <c r="EN104" s="998">
        <f>'Income Statement'!FA17</f>
        <v>1970.2898091238112</v>
      </c>
      <c r="EO104" s="998">
        <f>'Income Statement'!FB17</f>
        <v>2023.2288854708386</v>
      </c>
      <c r="EP104" s="998">
        <f>'Income Statement'!FC17</f>
        <v>2023.3573856411185</v>
      </c>
      <c r="EQ104" s="998">
        <f>'Income Statement'!FD17</f>
        <v>2031.6208703920365</v>
      </c>
      <c r="ER104" s="998">
        <f>'Income Statement'!FE17</f>
        <v>2040.3809692951563</v>
      </c>
      <c r="ES104" s="998">
        <f>'Income Statement'!FF17</f>
        <v>2049.6557417359854</v>
      </c>
      <c r="ET104" s="998">
        <f>'Income Statement'!FG17</f>
        <v>2059.4635994397304</v>
      </c>
      <c r="EU104" s="998">
        <f>'Income Statement'!FH17</f>
        <v>2069.8232959995712</v>
      </c>
      <c r="EV104" s="413"/>
      <c r="EW104"/>
      <c r="EX104"/>
      <c r="EY104"/>
      <c r="EZ104"/>
      <c r="FA104"/>
      <c r="FB104"/>
      <c r="FG104"/>
      <c r="FH104"/>
      <c r="FI104" s="2662"/>
      <c r="FJ104" s="2662"/>
      <c r="FK104" s="2662"/>
      <c r="FL104"/>
      <c r="FM104"/>
      <c r="FN104"/>
      <c r="FO104"/>
      <c r="FP104"/>
      <c r="FQ104"/>
      <c r="FR104"/>
      <c r="FS104"/>
      <c r="FT104"/>
      <c r="FU104"/>
      <c r="FV104"/>
      <c r="FW104"/>
      <c r="FX104"/>
      <c r="FY104"/>
      <c r="FZ104"/>
      <c r="GA104"/>
      <c r="GB104"/>
      <c r="GC104"/>
      <c r="GD104"/>
      <c r="GE104"/>
      <c r="GF104"/>
      <c r="GG104"/>
      <c r="GH104"/>
      <c r="GI104"/>
      <c r="GJ104"/>
      <c r="GK104"/>
      <c r="GL104"/>
      <c r="GM104"/>
      <c r="GN104"/>
      <c r="GO104"/>
      <c r="GP104"/>
      <c r="GQ104"/>
      <c r="GR104"/>
      <c r="GS104"/>
      <c r="GT104"/>
      <c r="GU104"/>
      <c r="GV104"/>
      <c r="GW104"/>
      <c r="GX104"/>
      <c r="GY104"/>
      <c r="GZ104"/>
      <c r="HA104"/>
      <c r="HB104"/>
      <c r="HC104"/>
      <c r="HD104"/>
      <c r="HE104"/>
      <c r="HF104"/>
      <c r="HG104"/>
      <c r="HH104"/>
      <c r="HI104"/>
      <c r="HJ104"/>
      <c r="HK104"/>
      <c r="HL104"/>
      <c r="HM104"/>
      <c r="HN104"/>
      <c r="HO104"/>
      <c r="HP104"/>
      <c r="HQ104"/>
      <c r="HR104"/>
      <c r="HS104"/>
      <c r="HT104"/>
      <c r="HU104"/>
      <c r="HV104"/>
      <c r="HW104"/>
      <c r="HX104"/>
      <c r="HY104"/>
      <c r="HZ104"/>
      <c r="IA104"/>
      <c r="IB104"/>
      <c r="IC104"/>
      <c r="ID104"/>
      <c r="IE104"/>
      <c r="IF104"/>
      <c r="IG104"/>
      <c r="IH104"/>
      <c r="II104"/>
      <c r="IJ104"/>
      <c r="IK104"/>
      <c r="IL104"/>
      <c r="IM104"/>
      <c r="IN104"/>
      <c r="IO104"/>
      <c r="IP104"/>
      <c r="IQ104"/>
      <c r="IR104"/>
      <c r="IS104"/>
      <c r="IT104"/>
      <c r="IU104"/>
      <c r="IV104"/>
      <c r="IW104"/>
      <c r="IX104"/>
      <c r="IY104"/>
      <c r="IZ104"/>
    </row>
    <row r="105" spans="1:260" s="4" customFormat="1" outlineLevel="1" x14ac:dyDescent="0.2">
      <c r="A105" s="6" t="s">
        <v>32</v>
      </c>
      <c r="B105" s="372">
        <f>'Income Statement'!B11+'Income Statement'!B12</f>
        <v>4.476</v>
      </c>
      <c r="C105" s="372">
        <f>'Income Statement'!C11+'Income Statement'!C12</f>
        <v>4.8929999999999998</v>
      </c>
      <c r="D105" s="372">
        <f>'Income Statement'!D11+'Income Statement'!D12</f>
        <v>5.6859999999999991</v>
      </c>
      <c r="E105" s="715">
        <f>'Income Statement'!E11+'Income Statement'!E12</f>
        <v>7.3569999999999984</v>
      </c>
      <c r="F105" s="372">
        <f>'Income Statement'!F11+'Income Statement'!F12</f>
        <v>8.1389999999999993</v>
      </c>
      <c r="G105" s="372">
        <f>'Income Statement'!G11+'Income Statement'!G12</f>
        <v>8.4930000000000021</v>
      </c>
      <c r="H105" s="372">
        <f>'Income Statement'!H11+'Income Statement'!H12</f>
        <v>10.361999999999998</v>
      </c>
      <c r="I105" s="715">
        <f>'Income Statement'!I11+'Income Statement'!I12</f>
        <v>11.576000000000001</v>
      </c>
      <c r="J105" s="372">
        <f>'Income Statement'!J11+'Income Statement'!J12</f>
        <v>12.763</v>
      </c>
      <c r="K105" s="372">
        <f>'Income Statement'!K11+'Income Statement'!K12</f>
        <v>13.208</v>
      </c>
      <c r="L105" s="372">
        <f>'Income Statement'!L11+'Income Statement'!L12</f>
        <v>14.349000000000002</v>
      </c>
      <c r="M105" s="715">
        <f>'Income Statement'!M11+'Income Statement'!M12</f>
        <v>14.542</v>
      </c>
      <c r="N105" s="372">
        <f>'Income Statement'!N11+'Income Statement'!N12</f>
        <v>17.042000000000002</v>
      </c>
      <c r="O105" s="372">
        <f>'Income Statement'!O11+'Income Statement'!O12</f>
        <v>16.829999999999998</v>
      </c>
      <c r="P105" s="372">
        <f>'Income Statement'!P11+'Income Statement'!P12</f>
        <v>16.871000000000002</v>
      </c>
      <c r="Q105" s="715">
        <f>'Income Statement'!Q11+'Income Statement'!Q12</f>
        <v>16.100999999999992</v>
      </c>
      <c r="R105" s="372">
        <f>'Income Statement'!R11+'Income Statement'!R12</f>
        <v>17.094999999999999</v>
      </c>
      <c r="S105" s="372">
        <f>'Income Statement'!S11+'Income Statement'!S12</f>
        <v>18.246000000000002</v>
      </c>
      <c r="T105" s="372">
        <f>'Income Statement'!T11+'Income Statement'!T12</f>
        <v>17.286999999999999</v>
      </c>
      <c r="U105" s="715">
        <f>'Income Statement'!U11+'Income Statement'!U12</f>
        <v>18.956000000000003</v>
      </c>
      <c r="V105" s="372">
        <f>'Income Statement'!V11+'Income Statement'!V12</f>
        <v>17.603999999999999</v>
      </c>
      <c r="W105" s="372">
        <f>'Income Statement'!W11+'Income Statement'!W12</f>
        <v>18.718000000000004</v>
      </c>
      <c r="X105" s="372">
        <f>'Income Statement'!X11+'Income Statement'!X12</f>
        <v>20.071999999999996</v>
      </c>
      <c r="Y105" s="715">
        <f>'Income Statement'!Y11+'Income Statement'!Y12</f>
        <v>21.973000000000006</v>
      </c>
      <c r="Z105" s="372">
        <f>'Income Statement'!Z11+'Income Statement'!Z12</f>
        <v>23.638000000000002</v>
      </c>
      <c r="AA105" s="372">
        <f>'Income Statement'!AA11+'Income Statement'!AA12</f>
        <v>22.471999999999998</v>
      </c>
      <c r="AB105" s="372">
        <f>'Income Statement'!AB11+'Income Statement'!AB12</f>
        <v>25.024000000000001</v>
      </c>
      <c r="AC105" s="715">
        <f>'Income Statement'!AC11+'Income Statement'!AC12</f>
        <v>38.406999999999996</v>
      </c>
      <c r="AD105" s="372">
        <f>'Income Statement'!AD11+'Income Statement'!AD12</f>
        <v>32</v>
      </c>
      <c r="AE105" s="372">
        <f>'Income Statement'!AE11+'Income Statement'!AE12</f>
        <v>37</v>
      </c>
      <c r="AF105" s="372">
        <f>'Income Statement'!AF11+'Income Statement'!AF12</f>
        <v>43</v>
      </c>
      <c r="AG105" s="715">
        <f>'Income Statement'!AG11+'Income Statement'!AG12</f>
        <v>53</v>
      </c>
      <c r="AH105" s="372">
        <f>'Income Statement'!AH11+'Income Statement'!AH12</f>
        <v>67</v>
      </c>
      <c r="AI105" s="372">
        <f>'Income Statement'!AI11+'Income Statement'!AI12</f>
        <v>67</v>
      </c>
      <c r="AJ105" s="372">
        <f>'Income Statement'!AJ11+'Income Statement'!AJ12</f>
        <v>77</v>
      </c>
      <c r="AK105" s="715">
        <f>'Income Statement'!AK11+'Income Statement'!AK12</f>
        <v>78</v>
      </c>
      <c r="AL105" s="372">
        <f>'Income Statement'!AL11+'Income Statement'!AL12</f>
        <v>85</v>
      </c>
      <c r="AM105" s="372">
        <f>'Income Statement'!AM11+'Income Statement'!AM12</f>
        <v>86</v>
      </c>
      <c r="AN105" s="372">
        <f>'Income Statement'!AN11+'Income Statement'!AN12</f>
        <v>94</v>
      </c>
      <c r="AO105" s="715">
        <f>'Income Statement'!AO11+'Income Statement'!AO12</f>
        <v>45</v>
      </c>
      <c r="AP105" s="372">
        <f>'Income Statement'!AP11+'Income Statement'!AP12</f>
        <v>98</v>
      </c>
      <c r="AQ105" s="372">
        <f>'Income Statement'!AQ11+'Income Statement'!AQ12</f>
        <v>92</v>
      </c>
      <c r="AR105" s="372">
        <f>'Income Statement'!AR11+'Income Statement'!AR12</f>
        <v>93</v>
      </c>
      <c r="AS105" s="715">
        <f>'Income Statement'!AS11+'Income Statement'!AS12</f>
        <v>102</v>
      </c>
      <c r="AT105" s="372">
        <f>'Income Statement'!AT11+'Income Statement'!AT12</f>
        <v>103</v>
      </c>
      <c r="AU105" s="372">
        <f>'Income Statement'!AU11+'Income Statement'!AU12</f>
        <v>103</v>
      </c>
      <c r="AV105" s="372">
        <f>'Income Statement'!AV11+'Income Statement'!AV12</f>
        <v>106</v>
      </c>
      <c r="AW105" s="715">
        <f>'Income Statement'!AW11+'Income Statement'!AW12</f>
        <v>147</v>
      </c>
      <c r="AX105" s="372">
        <f>'Income Statement'!AX11+'Income Statement'!AX12</f>
        <v>109</v>
      </c>
      <c r="AY105" s="372">
        <f>'Income Statement'!AY11+'Income Statement'!AY12</f>
        <v>113</v>
      </c>
      <c r="AZ105" s="372">
        <f>'Income Statement'!AZ11+'Income Statement'!AZ12</f>
        <v>111</v>
      </c>
      <c r="BA105" s="715">
        <f>'Income Statement'!BA11+'Income Statement'!BA12</f>
        <v>123</v>
      </c>
      <c r="BB105" s="372">
        <f>'Income Statement'!BB11+'Income Statement'!BB12</f>
        <v>121</v>
      </c>
      <c r="BC105" s="372">
        <f>'Income Statement'!BC11+'Income Statement'!BC12</f>
        <v>125</v>
      </c>
      <c r="BD105" s="372">
        <f>'Income Statement'!BD11+'Income Statement'!BD12</f>
        <v>123</v>
      </c>
      <c r="BE105" s="715">
        <f>'Income Statement'!BE11+'Income Statement'!BE12</f>
        <v>140</v>
      </c>
      <c r="BF105" s="372">
        <f>'Income Statement'!BF11+'Income Statement'!BF12</f>
        <v>135</v>
      </c>
      <c r="BG105" s="372">
        <f>'Income Statement'!BG11+'Income Statement'!BG12</f>
        <v>144</v>
      </c>
      <c r="BH105" s="372">
        <f>'Income Statement'!BH11+'Income Statement'!BH12</f>
        <v>140</v>
      </c>
      <c r="BI105" s="715">
        <f>'Income Statement'!BI11+'Income Statement'!BI12</f>
        <v>161</v>
      </c>
      <c r="BJ105" s="372">
        <f>'Income Statement'!BJ11+'Income Statement'!BJ12</f>
        <v>153</v>
      </c>
      <c r="BK105" s="372">
        <f>'Income Statement'!BK11+'Income Statement'!BK12</f>
        <v>160</v>
      </c>
      <c r="BL105" s="372">
        <f>'Income Statement'!BL11+'Income Statement'!BL12</f>
        <v>249</v>
      </c>
      <c r="BM105" s="715">
        <f>'Income Statement'!BM11+'Income Statement'!BM12</f>
        <v>231</v>
      </c>
      <c r="BN105" s="372">
        <f>'Income Statement'!BN11+'Income Statement'!BN12</f>
        <v>217</v>
      </c>
      <c r="BO105" s="372">
        <f>'Income Statement'!BO11+'Income Statement'!BO12</f>
        <v>232</v>
      </c>
      <c r="BP105" s="372">
        <f>'Income Statement'!BP11+'Income Statement'!BP12</f>
        <v>231</v>
      </c>
      <c r="BQ105" s="715">
        <f>'Income Statement'!BQ11+'Income Statement'!BQ12</f>
        <v>246</v>
      </c>
      <c r="BR105" s="372">
        <f>'Income Statement'!BR11+'Income Statement'!BR12</f>
        <v>243</v>
      </c>
      <c r="BS105" s="372">
        <f>'Income Statement'!BS11+'Income Statement'!BS12</f>
        <v>238</v>
      </c>
      <c r="BT105" s="372">
        <f>'Income Statement'!BT11+'Income Statement'!BT12</f>
        <v>250</v>
      </c>
      <c r="BU105" s="715">
        <f>'Income Statement'!BU11+'Income Statement'!BU12</f>
        <v>247</v>
      </c>
      <c r="BV105" s="372">
        <f>'Income Statement'!BV11+'Income Statement'!BV12</f>
        <v>236</v>
      </c>
      <c r="BW105" s="372">
        <f>'Income Statement'!BW11+'Income Statement'!BW12</f>
        <v>239</v>
      </c>
      <c r="BX105" s="372">
        <f>'Income Statement'!BX11+'Income Statement'!BX12</f>
        <v>231</v>
      </c>
      <c r="BY105" s="715">
        <f>'Income Statement'!BY11+'Income Statement'!BY12</f>
        <v>239</v>
      </c>
      <c r="BZ105" s="372">
        <f>'Income Statement'!CH11+'Income Statement'!CH12</f>
        <v>237</v>
      </c>
      <c r="CA105" s="372">
        <f>'Income Statement'!CI11+'Income Statement'!CI12</f>
        <v>228</v>
      </c>
      <c r="CB105" s="372">
        <f>'Income Statement'!CJ11+'Income Statement'!CJ12</f>
        <v>222</v>
      </c>
      <c r="CC105" s="715">
        <f>'Income Statement'!CK11+'Income Statement'!CK12</f>
        <v>230</v>
      </c>
      <c r="CD105" s="389">
        <f>'Income Statement'!CP11+'Income Statement'!CP12</f>
        <v>210</v>
      </c>
      <c r="CE105" s="389">
        <f>'Income Statement'!CQ11+'Income Statement'!CQ12</f>
        <v>177</v>
      </c>
      <c r="CF105" s="389">
        <f>'Income Statement'!CR11+'Income Statement'!CR12</f>
        <v>163</v>
      </c>
      <c r="CG105" s="715">
        <f>'Income Statement'!CS11+'Income Statement'!CS12</f>
        <v>166</v>
      </c>
      <c r="CH105" s="389">
        <f>'Income Statement'!CT11+'Income Statement'!CT12</f>
        <v>161</v>
      </c>
      <c r="CI105" s="389">
        <f>'Income Statement'!CU11+'Income Statement'!CU12</f>
        <v>158</v>
      </c>
      <c r="CJ105" s="389">
        <f>'Income Statement'!CV11+'Income Statement'!CV12</f>
        <v>165</v>
      </c>
      <c r="CK105" s="740">
        <f>'Income Statement'!CW11+'Income Statement'!CW12</f>
        <v>172</v>
      </c>
      <c r="CL105" s="1347">
        <f>'Income Statement'!CX11+'Income Statement'!CX12</f>
        <v>163</v>
      </c>
      <c r="CM105" s="389">
        <f>'Income Statement'!CY11+'Income Statement'!CY12</f>
        <v>163</v>
      </c>
      <c r="CN105" s="389">
        <f>'Income Statement'!CZ11+'Income Statement'!CZ12</f>
        <v>168</v>
      </c>
      <c r="CO105" s="740">
        <f>'Income Statement'!DA11+'Income Statement'!DA12</f>
        <v>163</v>
      </c>
      <c r="CP105" s="389">
        <f>'Income Statement'!DB11+'Income Statement'!DB12</f>
        <v>162</v>
      </c>
      <c r="CQ105" s="389">
        <f>'Income Statement'!DC11+'Income Statement'!DC12</f>
        <v>165</v>
      </c>
      <c r="CR105" s="389">
        <f>'Income Statement'!DD11+'Income Statement'!DD12</f>
        <v>164</v>
      </c>
      <c r="CS105" s="740">
        <f>'Income Statement'!DE11+'Income Statement'!DE12</f>
        <v>163</v>
      </c>
      <c r="CT105" s="1347">
        <f>'Income Statement'!DF11+'Income Statement'!DF12</f>
        <v>161</v>
      </c>
      <c r="CU105" s="389">
        <f>'Income Statement'!DG11+'Income Statement'!DG12</f>
        <v>168</v>
      </c>
      <c r="CV105" s="389">
        <f>'Income Statement'!DH11+'Income Statement'!DH12</f>
        <v>171</v>
      </c>
      <c r="CW105" s="740">
        <f>'Income Statement'!DI11+'Income Statement'!DI12</f>
        <v>183</v>
      </c>
      <c r="CX105" s="2810">
        <f>'Income Statement'!DJ11+'Income Statement'!DJ12</f>
        <v>153.31765056816849</v>
      </c>
      <c r="CY105" s="2609">
        <f>'Income Statement'!DK11+'Income Statement'!DK12</f>
        <v>158.20584946676408</v>
      </c>
      <c r="CZ105" s="2609">
        <f>'Income Statement'!DL11+'Income Statement'!DL12</f>
        <v>165.40395269629292</v>
      </c>
      <c r="DA105" s="715">
        <f>'Income Statement'!DM11+'Income Statement'!DM12</f>
        <v>267.81667496819489</v>
      </c>
      <c r="DB105" s="739"/>
      <c r="DC105" s="740"/>
      <c r="DD105" s="252"/>
      <c r="DE105" s="252"/>
      <c r="DF105" s="252"/>
      <c r="DG105" s="252"/>
      <c r="DH105" s="252"/>
      <c r="DI105" s="252"/>
      <c r="DJ105" s="252"/>
      <c r="DK105" s="252"/>
      <c r="DL105" s="998">
        <f>'Income Statement'!DX11+'Income Statement'!DX12</f>
        <v>22.411999999999999</v>
      </c>
      <c r="DM105" s="998">
        <f>'Income Statement'!DY11+'Income Statement'!DY12</f>
        <v>38.57</v>
      </c>
      <c r="DN105" s="998">
        <f>'Income Statement'!DZ11+'Income Statement'!DZ12</f>
        <v>54.862000000000002</v>
      </c>
      <c r="DO105" s="998">
        <f>'Income Statement'!EA11+'Income Statement'!EA12</f>
        <v>66.843999999999994</v>
      </c>
      <c r="DP105" s="998">
        <f>'Income Statement'!EB11+'Income Statement'!EB12</f>
        <v>71.584000000000003</v>
      </c>
      <c r="DQ105" s="998">
        <f>'Income Statement'!EC11+'Income Statement'!EC12</f>
        <v>78.367000000000004</v>
      </c>
      <c r="DR105" s="998">
        <f>'Income Statement'!ED11+'Income Statement'!ED12</f>
        <v>109.541</v>
      </c>
      <c r="DS105" s="998">
        <f>'Income Statement'!EE11+'Income Statement'!EE12</f>
        <v>165</v>
      </c>
      <c r="DT105" s="998">
        <f>'Income Statement'!EF11+'Income Statement'!EF12</f>
        <v>289</v>
      </c>
      <c r="DU105" s="998">
        <f>'Income Statement'!EG11+'Income Statement'!EG12</f>
        <v>310</v>
      </c>
      <c r="DV105" s="998">
        <f>'Income Statement'!EH11+'Income Statement'!EH12</f>
        <v>385</v>
      </c>
      <c r="DW105" s="998">
        <f>'Income Statement'!EI11+'Income Statement'!EI12</f>
        <v>459</v>
      </c>
      <c r="DX105" s="998">
        <f>'Income Statement'!EJ11+'Income Statement'!EJ12</f>
        <v>456</v>
      </c>
      <c r="DY105" s="998">
        <f>'Income Statement'!EK11+'Income Statement'!EK12</f>
        <v>509</v>
      </c>
      <c r="DZ105" s="998">
        <f>'Income Statement'!EL11+'Income Statement'!EL12</f>
        <v>580</v>
      </c>
      <c r="EA105" s="998">
        <f>'Income Statement'!EM11+'Income Statement'!EM12</f>
        <v>793</v>
      </c>
      <c r="EB105" s="998">
        <f>'Income Statement'!EN11+'Income Statement'!EN12</f>
        <v>926</v>
      </c>
      <c r="EC105" s="998">
        <f>'Income Statement'!EO11+'Income Statement'!EO12</f>
        <v>978</v>
      </c>
      <c r="ED105" s="998">
        <f>'Income Statement'!EP11+'Income Statement'!EP12</f>
        <v>945</v>
      </c>
      <c r="EE105" s="998">
        <f>'Income Statement'!EQ11+'Income Statement'!EQ12</f>
        <v>978</v>
      </c>
      <c r="EF105" s="998">
        <f>'Income Statement'!ER11+'Income Statement'!ER12</f>
        <v>945</v>
      </c>
      <c r="EG105" s="998">
        <f>'Income Statement'!ES11+'Income Statement'!ES12</f>
        <v>917</v>
      </c>
      <c r="EH105" s="998">
        <f>'Income Statement'!EU11+'Income Statement'!EU12</f>
        <v>716</v>
      </c>
      <c r="EI105" s="998">
        <f>'Income Statement'!EV11+'Income Statement'!EV12</f>
        <v>656</v>
      </c>
      <c r="EJ105" s="998">
        <f>'Income Statement'!EW11+'Income Statement'!EW12</f>
        <v>657</v>
      </c>
      <c r="EK105" s="1919">
        <f>'Income Statement'!EX11+'Income Statement'!EX12</f>
        <v>654</v>
      </c>
      <c r="EL105" s="1919">
        <f>'Income Statement'!EY11+'Income Statement'!EY12</f>
        <v>683</v>
      </c>
      <c r="EM105" s="1683">
        <f>'Income Statement'!EZ11+'Income Statement'!EZ12</f>
        <v>744.74412769942035</v>
      </c>
      <c r="EN105" s="998">
        <f>'Income Statement'!FA11+'Income Statement'!FA12</f>
        <v>752.25050099879616</v>
      </c>
      <c r="EO105" s="998">
        <f>'Income Statement'!FB11+'Income Statement'!FB12</f>
        <v>759.72307862827495</v>
      </c>
      <c r="EP105" s="998">
        <f>'Income Statement'!FC11+'Income Statement'!FC12</f>
        <v>766.34058951803468</v>
      </c>
      <c r="EQ105" s="998">
        <f>'Income Statement'!FD11+'Income Statement'!FD12</f>
        <v>776.06700904440049</v>
      </c>
      <c r="ER105" s="998">
        <f>'Income Statement'!FE11+'Income Statement'!FE12</f>
        <v>786.17605770887496</v>
      </c>
      <c r="ES105" s="998">
        <f>'Income Statement'!FF11+'Income Statement'!FF12</f>
        <v>796.68669158461694</v>
      </c>
      <c r="ET105" s="998">
        <f>'Income Statement'!FG11+'Income Statement'!FG12</f>
        <v>807.61881316482072</v>
      </c>
      <c r="EU105" s="998">
        <f>'Income Statement'!FH11+'Income Statement'!FH12</f>
        <v>818.99331869240666</v>
      </c>
      <c r="EV105" s="413"/>
      <c r="EW105"/>
      <c r="EX105"/>
      <c r="EY105"/>
      <c r="EZ105"/>
      <c r="FA105"/>
      <c r="FB105"/>
      <c r="FG105"/>
      <c r="FH105"/>
      <c r="FI105" s="2662"/>
      <c r="FJ105" s="2662"/>
      <c r="FK105" s="2662"/>
      <c r="FL105"/>
      <c r="FM105"/>
      <c r="FN105"/>
      <c r="FO105"/>
      <c r="FP105"/>
      <c r="FQ105"/>
      <c r="FR105"/>
      <c r="FS105"/>
      <c r="FT105"/>
      <c r="FU105"/>
      <c r="FV105"/>
      <c r="FW105"/>
      <c r="FX105"/>
      <c r="FY105"/>
      <c r="FZ105"/>
      <c r="GA105"/>
      <c r="GB105"/>
      <c r="GC105"/>
      <c r="GD105"/>
      <c r="GE105"/>
      <c r="GF105"/>
      <c r="GG105"/>
      <c r="GH105"/>
      <c r="GI105"/>
      <c r="GJ105"/>
      <c r="GK105"/>
      <c r="GL105"/>
      <c r="GM105"/>
      <c r="GN105"/>
      <c r="GO105"/>
      <c r="GP105"/>
      <c r="GQ105"/>
      <c r="GR105"/>
      <c r="GS105"/>
      <c r="GT105"/>
      <c r="GU105"/>
      <c r="GV105"/>
      <c r="GW105"/>
      <c r="GX105"/>
      <c r="GY105"/>
      <c r="GZ105"/>
      <c r="HA105"/>
      <c r="HB105"/>
      <c r="HC105"/>
      <c r="HD105"/>
      <c r="HE105"/>
      <c r="HF105"/>
      <c r="HG105"/>
      <c r="HH105"/>
      <c r="HI105"/>
      <c r="HJ105"/>
      <c r="HK105"/>
      <c r="HL105"/>
      <c r="HM105"/>
      <c r="HN105"/>
      <c r="HO105"/>
      <c r="HP105"/>
      <c r="HQ105"/>
      <c r="HR105"/>
      <c r="HS105"/>
      <c r="HT105"/>
      <c r="HU105"/>
      <c r="HV105"/>
      <c r="HW105"/>
      <c r="HX105"/>
      <c r="HY105"/>
      <c r="HZ105"/>
      <c r="IA105"/>
      <c r="IB105"/>
      <c r="IC105"/>
      <c r="ID105"/>
      <c r="IE105"/>
      <c r="IF105"/>
      <c r="IG105"/>
      <c r="IH105"/>
      <c r="II105"/>
      <c r="IJ105"/>
      <c r="IK105"/>
      <c r="IL105"/>
      <c r="IM105"/>
      <c r="IN105"/>
      <c r="IO105"/>
      <c r="IP105"/>
      <c r="IQ105"/>
      <c r="IR105"/>
      <c r="IS105"/>
      <c r="IT105"/>
      <c r="IU105"/>
      <c r="IV105"/>
      <c r="IW105"/>
      <c r="IX105"/>
      <c r="IY105"/>
      <c r="IZ105"/>
    </row>
    <row r="106" spans="1:260" s="4" customFormat="1" outlineLevel="1" x14ac:dyDescent="0.2">
      <c r="A106" s="6" t="s">
        <v>349</v>
      </c>
      <c r="B106" s="9">
        <f>B104+B105</f>
        <v>8.1499999999999915</v>
      </c>
      <c r="C106" s="9">
        <f t="shared" ref="C106:AS106" si="212">C104+C105</f>
        <v>17.983000000000033</v>
      </c>
      <c r="D106" s="9">
        <f t="shared" si="212"/>
        <v>26.534999999999947</v>
      </c>
      <c r="E106" s="645">
        <f t="shared" si="212"/>
        <v>46.922000000000025</v>
      </c>
      <c r="F106" s="9">
        <f t="shared" si="212"/>
        <v>19.839000000000002</v>
      </c>
      <c r="G106" s="9">
        <f t="shared" si="212"/>
        <v>26.151999999999965</v>
      </c>
      <c r="H106" s="9">
        <f t="shared" si="212"/>
        <v>48.375000000000057</v>
      </c>
      <c r="I106" s="645">
        <f t="shared" si="212"/>
        <v>66.144999999999982</v>
      </c>
      <c r="J106" s="9">
        <f t="shared" si="212"/>
        <v>29.099000000000181</v>
      </c>
      <c r="K106" s="9">
        <f t="shared" si="212"/>
        <v>32.411000000000087</v>
      </c>
      <c r="L106" s="9">
        <f t="shared" si="212"/>
        <v>56.937000000000054</v>
      </c>
      <c r="M106" s="645">
        <f t="shared" si="212"/>
        <v>58.970999999999975</v>
      </c>
      <c r="N106" s="9">
        <f t="shared" si="212"/>
        <v>29.993999999999858</v>
      </c>
      <c r="O106" s="9">
        <f t="shared" si="212"/>
        <v>36.514000000000166</v>
      </c>
      <c r="P106" s="9">
        <f t="shared" si="212"/>
        <v>13.761000000000045</v>
      </c>
      <c r="Q106" s="645">
        <f t="shared" si="212"/>
        <v>39.780999999999771</v>
      </c>
      <c r="R106" s="9">
        <f t="shared" si="212"/>
        <v>22.311000000000035</v>
      </c>
      <c r="S106" s="9">
        <f t="shared" si="212"/>
        <v>38.171999999999876</v>
      </c>
      <c r="T106" s="9">
        <f t="shared" si="212"/>
        <v>70.185999999999893</v>
      </c>
      <c r="U106" s="645">
        <f t="shared" si="212"/>
        <v>127.75299999999986</v>
      </c>
      <c r="V106" s="9">
        <f t="shared" si="212"/>
        <v>40.388000000000105</v>
      </c>
      <c r="W106" s="9">
        <f t="shared" si="212"/>
        <v>87.155000000000015</v>
      </c>
      <c r="X106" s="9">
        <f t="shared" si="212"/>
        <v>110.30200000000013</v>
      </c>
      <c r="Y106" s="645">
        <f t="shared" si="212"/>
        <v>191.76400000000035</v>
      </c>
      <c r="Z106" s="9">
        <f t="shared" si="212"/>
        <v>95.33899999999997</v>
      </c>
      <c r="AA106" s="9">
        <f t="shared" si="212"/>
        <v>112.07799999999999</v>
      </c>
      <c r="AB106" s="9">
        <f t="shared" si="212"/>
        <v>147.61200000000019</v>
      </c>
      <c r="AC106" s="645">
        <f t="shared" si="212"/>
        <v>293.7709999999999</v>
      </c>
      <c r="AD106" s="9">
        <f t="shared" si="212"/>
        <v>140.51799999999986</v>
      </c>
      <c r="AE106" s="9">
        <f t="shared" si="212"/>
        <v>152.34999999999991</v>
      </c>
      <c r="AF106" s="9">
        <f t="shared" si="212"/>
        <v>128.01299999999969</v>
      </c>
      <c r="AG106" s="645">
        <f t="shared" si="212"/>
        <v>348.70000000000005</v>
      </c>
      <c r="AH106" s="9">
        <f t="shared" si="212"/>
        <v>157</v>
      </c>
      <c r="AI106" s="9">
        <f t="shared" si="212"/>
        <v>215</v>
      </c>
      <c r="AJ106" s="9">
        <f t="shared" si="212"/>
        <v>206</v>
      </c>
      <c r="AK106" s="645">
        <f t="shared" si="212"/>
        <v>648</v>
      </c>
      <c r="AL106" s="9">
        <f t="shared" si="212"/>
        <v>214</v>
      </c>
      <c r="AM106" s="9">
        <f t="shared" si="212"/>
        <v>215</v>
      </c>
      <c r="AN106" s="9">
        <f t="shared" si="212"/>
        <v>234</v>
      </c>
      <c r="AO106" s="645">
        <f t="shared" si="212"/>
        <v>657</v>
      </c>
      <c r="AP106" s="9">
        <f t="shared" si="212"/>
        <v>212</v>
      </c>
      <c r="AQ106" s="9">
        <f t="shared" si="212"/>
        <v>321</v>
      </c>
      <c r="AR106" s="9">
        <f t="shared" si="212"/>
        <v>295</v>
      </c>
      <c r="AS106" s="645">
        <f t="shared" si="212"/>
        <v>861</v>
      </c>
      <c r="AT106" s="9">
        <f t="shared" ref="AT106:BY106" si="213">AT104+AT105</f>
        <v>287</v>
      </c>
      <c r="AU106" s="9">
        <f t="shared" si="213"/>
        <v>345</v>
      </c>
      <c r="AV106" s="9">
        <f t="shared" si="213"/>
        <v>339</v>
      </c>
      <c r="AW106" s="645">
        <f t="shared" si="213"/>
        <v>930</v>
      </c>
      <c r="AX106" s="9">
        <f t="shared" si="213"/>
        <v>348</v>
      </c>
      <c r="AY106" s="9">
        <f t="shared" si="213"/>
        <v>374</v>
      </c>
      <c r="AZ106" s="9">
        <f t="shared" si="213"/>
        <v>300</v>
      </c>
      <c r="BA106" s="645">
        <f t="shared" si="213"/>
        <v>1078</v>
      </c>
      <c r="BB106" s="9">
        <f t="shared" si="213"/>
        <v>458</v>
      </c>
      <c r="BC106" s="9">
        <f t="shared" si="213"/>
        <v>455</v>
      </c>
      <c r="BD106" s="9">
        <f t="shared" si="213"/>
        <v>319</v>
      </c>
      <c r="BE106" s="645">
        <f t="shared" si="213"/>
        <v>1276</v>
      </c>
      <c r="BF106" s="9">
        <f t="shared" si="213"/>
        <v>401</v>
      </c>
      <c r="BG106" s="9">
        <f t="shared" si="213"/>
        <v>545</v>
      </c>
      <c r="BH106" s="9">
        <f t="shared" si="213"/>
        <v>491</v>
      </c>
      <c r="BI106" s="645">
        <f t="shared" si="213"/>
        <v>1304</v>
      </c>
      <c r="BJ106" s="9">
        <f t="shared" si="213"/>
        <v>430</v>
      </c>
      <c r="BK106" s="9">
        <f t="shared" si="213"/>
        <v>499</v>
      </c>
      <c r="BL106" s="9">
        <f t="shared" si="213"/>
        <v>523</v>
      </c>
      <c r="BM106" s="645">
        <f t="shared" si="213"/>
        <v>1355</v>
      </c>
      <c r="BN106" s="9">
        <f t="shared" si="213"/>
        <v>565</v>
      </c>
      <c r="BO106" s="9">
        <f t="shared" si="213"/>
        <v>512</v>
      </c>
      <c r="BP106" s="9">
        <f t="shared" si="213"/>
        <v>607</v>
      </c>
      <c r="BQ106" s="645">
        <f t="shared" si="213"/>
        <v>1529</v>
      </c>
      <c r="BR106" s="9">
        <f t="shared" si="213"/>
        <v>556</v>
      </c>
      <c r="BS106" s="9">
        <f t="shared" si="213"/>
        <v>649</v>
      </c>
      <c r="BT106" s="9">
        <f t="shared" si="213"/>
        <v>635</v>
      </c>
      <c r="BU106" s="645">
        <f t="shared" si="213"/>
        <v>1474</v>
      </c>
      <c r="BV106" s="9">
        <f t="shared" si="213"/>
        <v>520</v>
      </c>
      <c r="BW106" s="9">
        <f t="shared" si="213"/>
        <v>528</v>
      </c>
      <c r="BX106" s="9">
        <f t="shared" si="213"/>
        <v>559</v>
      </c>
      <c r="BY106" s="645">
        <f t="shared" si="213"/>
        <v>1596</v>
      </c>
      <c r="BZ106" s="9">
        <f t="shared" ref="BZ106:CK106" si="214">BZ104+BZ105</f>
        <v>626</v>
      </c>
      <c r="CA106" s="9">
        <f t="shared" si="214"/>
        <v>352</v>
      </c>
      <c r="CB106" s="9">
        <f t="shared" si="214"/>
        <v>270</v>
      </c>
      <c r="CC106" s="645">
        <f t="shared" si="214"/>
        <v>1154</v>
      </c>
      <c r="CD106" s="10">
        <f t="shared" si="214"/>
        <v>414</v>
      </c>
      <c r="CE106" s="10">
        <f t="shared" si="214"/>
        <v>372</v>
      </c>
      <c r="CF106" s="10">
        <f t="shared" si="214"/>
        <v>298</v>
      </c>
      <c r="CG106" s="645">
        <f t="shared" si="214"/>
        <v>795</v>
      </c>
      <c r="CH106" s="10">
        <f t="shared" si="214"/>
        <v>382</v>
      </c>
      <c r="CI106" s="10">
        <f t="shared" si="214"/>
        <v>400</v>
      </c>
      <c r="CJ106" s="10">
        <f t="shared" si="214"/>
        <v>381</v>
      </c>
      <c r="CK106" s="524">
        <f t="shared" si="214"/>
        <v>990</v>
      </c>
      <c r="CL106" s="172">
        <f t="shared" ref="CL106:CS106" si="215">CL104+CL105</f>
        <v>371</v>
      </c>
      <c r="CM106" s="10">
        <f t="shared" si="215"/>
        <v>441</v>
      </c>
      <c r="CN106" s="10">
        <f t="shared" si="215"/>
        <v>406</v>
      </c>
      <c r="CO106" s="524">
        <f>CO104+CO105</f>
        <v>944</v>
      </c>
      <c r="CP106" s="10">
        <f>CP104+CP105</f>
        <v>402</v>
      </c>
      <c r="CQ106" s="10">
        <f t="shared" si="215"/>
        <v>455</v>
      </c>
      <c r="CR106" s="10">
        <f t="shared" si="215"/>
        <v>477</v>
      </c>
      <c r="CS106" s="524">
        <f t="shared" si="215"/>
        <v>1053</v>
      </c>
      <c r="CT106" s="172">
        <f>CT104+CT105</f>
        <v>461</v>
      </c>
      <c r="CU106" s="10">
        <f t="shared" ref="CU106" si="216">CU104+CU105</f>
        <v>498</v>
      </c>
      <c r="CV106" s="10">
        <f t="shared" ref="CV106:DA106" si="217">CV104+CV105</f>
        <v>519</v>
      </c>
      <c r="CW106" s="524">
        <f t="shared" si="217"/>
        <v>1165</v>
      </c>
      <c r="CX106" s="2720">
        <f t="shared" si="217"/>
        <v>440.58154362611765</v>
      </c>
      <c r="CY106" s="93">
        <f t="shared" si="217"/>
        <v>479.03854763665038</v>
      </c>
      <c r="CZ106" s="93">
        <f t="shared" si="217"/>
        <v>522.25211886379179</v>
      </c>
      <c r="DA106" s="645">
        <f t="shared" si="217"/>
        <v>1233.0843213004996</v>
      </c>
      <c r="DB106" s="667"/>
      <c r="DC106" s="524"/>
      <c r="DD106" s="252"/>
      <c r="DE106" s="252"/>
      <c r="DF106" s="252"/>
      <c r="DG106" s="252"/>
      <c r="DH106" s="252"/>
      <c r="DI106" s="252"/>
      <c r="DJ106" s="252"/>
      <c r="DK106" s="252"/>
      <c r="DL106" s="9">
        <f t="shared" ref="DL106:EC106" si="218">DL104+DL105</f>
        <v>99.59</v>
      </c>
      <c r="DM106" s="9">
        <f t="shared" si="218"/>
        <v>160.51100000000002</v>
      </c>
      <c r="DN106" s="9">
        <f t="shared" si="218"/>
        <v>177.41800000000029</v>
      </c>
      <c r="DO106" s="9">
        <f t="shared" si="218"/>
        <v>120.04999999999944</v>
      </c>
      <c r="DP106" s="9">
        <f t="shared" si="218"/>
        <v>258.42199999999968</v>
      </c>
      <c r="DQ106" s="9">
        <f t="shared" si="218"/>
        <v>429.60900000000112</v>
      </c>
      <c r="DR106" s="9">
        <f t="shared" si="218"/>
        <v>648.79999999999995</v>
      </c>
      <c r="DS106" s="9">
        <f t="shared" si="218"/>
        <v>769.58099999999945</v>
      </c>
      <c r="DT106" s="9">
        <f t="shared" si="218"/>
        <v>1226</v>
      </c>
      <c r="DU106" s="9">
        <f t="shared" si="218"/>
        <v>1320</v>
      </c>
      <c r="DV106" s="9">
        <f t="shared" si="218"/>
        <v>1689</v>
      </c>
      <c r="DW106" s="9">
        <f t="shared" si="218"/>
        <v>1901</v>
      </c>
      <c r="DX106" s="9">
        <f t="shared" si="218"/>
        <v>2100</v>
      </c>
      <c r="DY106" s="9">
        <f t="shared" si="218"/>
        <v>2508</v>
      </c>
      <c r="DZ106" s="9">
        <f t="shared" si="218"/>
        <v>2741</v>
      </c>
      <c r="EA106" s="9">
        <f t="shared" si="218"/>
        <v>2807</v>
      </c>
      <c r="EB106" s="9">
        <f t="shared" si="218"/>
        <v>3213</v>
      </c>
      <c r="EC106" s="9">
        <f t="shared" si="218"/>
        <v>3314</v>
      </c>
      <c r="ED106" s="9">
        <f t="shared" ref="ED106:EI106" si="219">ED104+ED105</f>
        <v>3203</v>
      </c>
      <c r="EE106" s="10">
        <f t="shared" si="219"/>
        <v>3495</v>
      </c>
      <c r="EF106" s="10">
        <f t="shared" si="219"/>
        <v>3244</v>
      </c>
      <c r="EG106" s="9">
        <f t="shared" si="219"/>
        <v>2402</v>
      </c>
      <c r="EH106" s="9">
        <f t="shared" si="219"/>
        <v>1879</v>
      </c>
      <c r="EI106" s="9">
        <f t="shared" si="219"/>
        <v>2153</v>
      </c>
      <c r="EJ106" s="9">
        <f t="shared" ref="EJ106:EP106" si="220">EJ104+EJ105</f>
        <v>2162</v>
      </c>
      <c r="EK106" s="10">
        <f t="shared" si="220"/>
        <v>2387</v>
      </c>
      <c r="EL106" s="10">
        <f t="shared" si="220"/>
        <v>2643</v>
      </c>
      <c r="EM106" s="1684">
        <f t="shared" ref="EM106" si="221">EM104+EM105</f>
        <v>2674.9565314270594</v>
      </c>
      <c r="EN106" s="9">
        <f t="shared" si="220"/>
        <v>2722.5403101226075</v>
      </c>
      <c r="EO106" s="9">
        <f t="shared" si="220"/>
        <v>2782.9519640991134</v>
      </c>
      <c r="EP106" s="9">
        <f t="shared" si="220"/>
        <v>2789.6979751591534</v>
      </c>
      <c r="EQ106" s="9">
        <f>EQ104+EQ105</f>
        <v>2807.687879436437</v>
      </c>
      <c r="ER106" s="9">
        <f>ER104+ER105</f>
        <v>2826.5570270040312</v>
      </c>
      <c r="ES106" s="9">
        <f>ES104+ES105</f>
        <v>2846.3424333206021</v>
      </c>
      <c r="ET106" s="9">
        <f>ET104+ET105</f>
        <v>2867.0824126045509</v>
      </c>
      <c r="EU106" s="9">
        <f>EU104+EU105</f>
        <v>2888.816614691978</v>
      </c>
      <c r="EV106" s="413"/>
      <c r="EW106"/>
      <c r="EX106"/>
      <c r="EY106"/>
      <c r="EZ106"/>
      <c r="FA106"/>
      <c r="FB106"/>
      <c r="FG106" s="172"/>
      <c r="FH106" s="172"/>
      <c r="FI106" s="172"/>
      <c r="FJ106" s="172"/>
      <c r="FK106" s="172"/>
      <c r="FL106"/>
      <c r="FM106"/>
      <c r="FN106"/>
      <c r="FO106"/>
      <c r="FP106"/>
      <c r="FQ106"/>
      <c r="FR106"/>
      <c r="FS106"/>
      <c r="FT106"/>
      <c r="FU106"/>
      <c r="FV106"/>
      <c r="FW106"/>
      <c r="FX106"/>
      <c r="FY106"/>
      <c r="FZ106"/>
      <c r="GA106"/>
      <c r="GB106"/>
      <c r="GC106"/>
      <c r="GD106"/>
      <c r="GE106"/>
      <c r="GF106"/>
      <c r="GG106"/>
      <c r="GH106"/>
      <c r="GI106"/>
      <c r="GJ106"/>
      <c r="GK106"/>
      <c r="GL106"/>
      <c r="GM106"/>
      <c r="GN106"/>
      <c r="GO106"/>
      <c r="GP106"/>
      <c r="GQ106"/>
      <c r="GR106"/>
      <c r="GS106"/>
      <c r="GT106"/>
      <c r="GU106"/>
      <c r="GV106"/>
      <c r="GW106"/>
      <c r="GX106"/>
      <c r="GY106"/>
      <c r="GZ106"/>
      <c r="HA106"/>
      <c r="HB106"/>
      <c r="HC106"/>
      <c r="HD106"/>
      <c r="HE106"/>
      <c r="HF106"/>
      <c r="HG106"/>
      <c r="HH106"/>
      <c r="HI106"/>
      <c r="HJ106"/>
      <c r="HK106"/>
      <c r="HL106"/>
      <c r="HM106"/>
      <c r="HN106"/>
      <c r="HO106"/>
      <c r="HP106"/>
      <c r="HQ106"/>
      <c r="HR106"/>
      <c r="HS106"/>
      <c r="HT106"/>
      <c r="HU106"/>
      <c r="HV106"/>
      <c r="HW106"/>
      <c r="HX106"/>
      <c r="HY106"/>
      <c r="HZ106"/>
      <c r="IA106"/>
      <c r="IB106"/>
      <c r="IC106"/>
      <c r="ID106"/>
      <c r="IE106"/>
      <c r="IF106"/>
      <c r="IG106"/>
      <c r="IH106"/>
      <c r="II106"/>
      <c r="IJ106"/>
      <c r="IK106"/>
      <c r="IL106"/>
      <c r="IM106"/>
      <c r="IN106"/>
      <c r="IO106"/>
      <c r="IP106"/>
      <c r="IQ106"/>
      <c r="IR106"/>
      <c r="IS106"/>
      <c r="IT106"/>
      <c r="IU106"/>
      <c r="IV106"/>
      <c r="IW106"/>
      <c r="IX106"/>
      <c r="IY106"/>
      <c r="IZ106"/>
    </row>
    <row r="107" spans="1:260" s="4" customFormat="1" outlineLevel="1" x14ac:dyDescent="0.2">
      <c r="A107" s="6" t="s">
        <v>547</v>
      </c>
      <c r="B107" s="372">
        <f>'Income Statement'!B34</f>
        <v>1.5159999999999922</v>
      </c>
      <c r="C107" s="372">
        <f>'Income Statement'!C34</f>
        <v>7.5940000000000314</v>
      </c>
      <c r="D107" s="372">
        <f>'Income Statement'!D34</f>
        <v>11.160999999999948</v>
      </c>
      <c r="E107" s="715">
        <f>'Income Statement'!E34</f>
        <v>21.439000000000028</v>
      </c>
      <c r="F107" s="372">
        <f>'Income Statement'!F34</f>
        <v>4.2310000000000025</v>
      </c>
      <c r="G107" s="372">
        <f>'Income Statement'!G34</f>
        <v>7.5999999999999632</v>
      </c>
      <c r="H107" s="372">
        <f>'Income Statement'!H34</f>
        <v>17.702000000000062</v>
      </c>
      <c r="I107" s="715">
        <f>'Income Statement'!I34</f>
        <v>28.107999999999986</v>
      </c>
      <c r="J107" s="372">
        <f>'Income Statement'!J34</f>
        <v>4.6450000000001834</v>
      </c>
      <c r="K107" s="372">
        <f>'Income Statement'!K34</f>
        <v>5.7140000000000875</v>
      </c>
      <c r="L107" s="372">
        <f>'Income Statement'!L34</f>
        <v>17.802000000000049</v>
      </c>
      <c r="M107" s="715">
        <f>'Income Statement'!M34</f>
        <v>19.830999999999971</v>
      </c>
      <c r="N107" s="372">
        <f>'Income Statement'!N34</f>
        <v>0.40899999999985548</v>
      </c>
      <c r="O107" s="372">
        <f>'Income Statement'!O34</f>
        <v>3.7880000000001686</v>
      </c>
      <c r="P107" s="372">
        <f>'Income Statement'!P34</f>
        <v>-10.972999999999956</v>
      </c>
      <c r="Q107" s="715">
        <f>'Income Statement'!Q34</f>
        <v>8.5239999999997806</v>
      </c>
      <c r="R107" s="372">
        <f>'Income Statement'!R34</f>
        <v>-2.6389999999999625</v>
      </c>
      <c r="S107" s="372">
        <f>'Income Statement'!S34</f>
        <v>6.6479999999998745</v>
      </c>
      <c r="T107" s="372">
        <f>'Income Statement'!T34</f>
        <v>26.39799999999989</v>
      </c>
      <c r="U107" s="715">
        <f>'Income Statement'!U34</f>
        <v>64.025999999999854</v>
      </c>
      <c r="V107" s="372">
        <f>'Income Statement'!V34</f>
        <v>12.477000000000103</v>
      </c>
      <c r="W107" s="372">
        <f>'Income Statement'!W34</f>
        <v>41.455000000000005</v>
      </c>
      <c r="X107" s="372">
        <f>'Income Statement'!X34</f>
        <v>53.543000000000134</v>
      </c>
      <c r="Y107" s="715">
        <f>'Income Statement'!Y34</f>
        <v>108.80700000000033</v>
      </c>
      <c r="Z107" s="372">
        <f>'Income Statement'!Z34</f>
        <v>46.808999999999962</v>
      </c>
      <c r="AA107" s="372">
        <f>'Income Statement'!AA34</f>
        <v>58.066999999999993</v>
      </c>
      <c r="AB107" s="372">
        <f>'Income Statement'!AB34</f>
        <v>78.389000000000181</v>
      </c>
      <c r="AC107" s="715">
        <f>'Income Statement'!AC34</f>
        <v>163.80499999999989</v>
      </c>
      <c r="AD107" s="372">
        <f>'Income Statement'!AD34</f>
        <v>72.157999999999859</v>
      </c>
      <c r="AE107" s="372">
        <f>'Income Statement'!AE34</f>
        <v>76.747999999999905</v>
      </c>
      <c r="AF107" s="372">
        <f>'Income Statement'!AF34</f>
        <v>57.262999999999693</v>
      </c>
      <c r="AG107" s="715">
        <f>'Income Statement'!AG34</f>
        <v>190.00000000000006</v>
      </c>
      <c r="AH107" s="372">
        <f>'Income Statement'!AH34</f>
        <v>55</v>
      </c>
      <c r="AI107" s="372">
        <f>'Income Statement'!AI34</f>
        <v>85</v>
      </c>
      <c r="AJ107" s="372">
        <f>'Income Statement'!AJ34</f>
        <v>80</v>
      </c>
      <c r="AK107" s="715">
        <f>'Income Statement'!AK34</f>
        <v>350</v>
      </c>
      <c r="AL107" s="372">
        <f>'Income Statement'!AL34</f>
        <v>79</v>
      </c>
      <c r="AM107" s="372">
        <f>'Income Statement'!AM34</f>
        <v>79</v>
      </c>
      <c r="AN107" s="372">
        <f>'Income Statement'!AN34</f>
        <v>86</v>
      </c>
      <c r="AO107" s="715">
        <f>'Income Statement'!AO34</f>
        <v>-145</v>
      </c>
      <c r="AP107" s="372">
        <f>'Income Statement'!AP34</f>
        <v>69</v>
      </c>
      <c r="AQ107" s="372">
        <f>'Income Statement'!AQ34</f>
        <v>139.44999999999999</v>
      </c>
      <c r="AR107" s="372">
        <f>'Income Statement'!AR34</f>
        <v>122</v>
      </c>
      <c r="AS107" s="715">
        <f>'Income Statement'!AS34</f>
        <v>374</v>
      </c>
      <c r="AT107" s="372">
        <f>'Income Statement'!AT34</f>
        <v>113.896</v>
      </c>
      <c r="AU107" s="372">
        <f>'Income Statement'!AU34</f>
        <v>150.42000000000002</v>
      </c>
      <c r="AV107" s="372">
        <f>'Income Statement'!AV34</f>
        <v>148</v>
      </c>
      <c r="AW107" s="715">
        <f>'Income Statement'!AW34</f>
        <v>572</v>
      </c>
      <c r="AX107" s="372">
        <f>'Income Statement'!AX34</f>
        <v>170</v>
      </c>
      <c r="AY107" s="372">
        <f>'Income Statement'!AY34</f>
        <v>188</v>
      </c>
      <c r="AZ107" s="372">
        <f>'Income Statement'!AZ34</f>
        <v>138</v>
      </c>
      <c r="BA107" s="715">
        <f>'Income Statement'!BA34</f>
        <v>644</v>
      </c>
      <c r="BB107" s="372">
        <f>'Income Statement'!BB34</f>
        <v>234</v>
      </c>
      <c r="BC107" s="372">
        <f>'Income Statement'!BC34</f>
        <v>230</v>
      </c>
      <c r="BD107" s="372">
        <f>'Income Statement'!BD34</f>
        <v>150</v>
      </c>
      <c r="BE107" s="715">
        <f>'Income Statement'!BE34</f>
        <v>763</v>
      </c>
      <c r="BF107" s="372">
        <f>'Income Statement'!BF34</f>
        <v>192</v>
      </c>
      <c r="BG107" s="372">
        <f>'Income Statement'!BG34</f>
        <v>250</v>
      </c>
      <c r="BH107" s="372">
        <f>'Income Statement'!BH34</f>
        <v>228</v>
      </c>
      <c r="BI107" s="715">
        <f>'Income Statement'!BI34</f>
        <v>737</v>
      </c>
      <c r="BJ107" s="372">
        <f>'Income Statement'!BJ34</f>
        <v>179</v>
      </c>
      <c r="BK107" s="372">
        <f>'Income Statement'!BK34</f>
        <v>202</v>
      </c>
      <c r="BL107" s="372">
        <f>'Income Statement'!BL34</f>
        <v>52</v>
      </c>
      <c r="BM107" s="715">
        <f>'Income Statement'!BM34</f>
        <v>570</v>
      </c>
      <c r="BN107" s="372">
        <f>'Income Statement'!BN34</f>
        <v>153</v>
      </c>
      <c r="BO107" s="372">
        <f>'Income Statement'!BO34</f>
        <v>158</v>
      </c>
      <c r="BP107" s="372">
        <f>'Income Statement'!BP34</f>
        <v>227</v>
      </c>
      <c r="BQ107" s="715">
        <f>'Income Statement'!BQ34</f>
        <v>779</v>
      </c>
      <c r="BR107" s="372">
        <f>'Income Statement'!BR34</f>
        <v>155</v>
      </c>
      <c r="BS107" s="372">
        <f>'Income Statement'!BS34</f>
        <v>254</v>
      </c>
      <c r="BT107" s="372">
        <f>'Income Statement'!BT34</f>
        <v>217</v>
      </c>
      <c r="BU107" s="715">
        <f>'Income Statement'!BU34</f>
        <v>651</v>
      </c>
      <c r="BV107" s="372">
        <f>'Income Statement'!BV34</f>
        <v>136</v>
      </c>
      <c r="BW107" s="372">
        <f>'Income Statement'!BW34</f>
        <v>177</v>
      </c>
      <c r="BX107" s="372">
        <f>'Income Statement'!BX34</f>
        <v>154</v>
      </c>
      <c r="BY107" s="715">
        <f>'Income Statement'!BY34</f>
        <v>-1698</v>
      </c>
      <c r="BZ107" s="372">
        <f>'Income Statement'!CH34</f>
        <v>155</v>
      </c>
      <c r="CA107" s="372">
        <f>'Income Statement'!CI34</f>
        <v>12</v>
      </c>
      <c r="CB107" s="372">
        <f>'Income Statement'!CJ34</f>
        <v>-13.400000000000002</v>
      </c>
      <c r="CC107" s="715">
        <f>'Income Statement'!CK34</f>
        <v>-409</v>
      </c>
      <c r="CD107" s="389">
        <f>'Income Statement'!CP34</f>
        <v>-66</v>
      </c>
      <c r="CE107" s="389">
        <f>'Income Statement'!CQ34</f>
        <v>260</v>
      </c>
      <c r="CF107" s="389">
        <f>'Income Statement'!CR34</f>
        <v>69</v>
      </c>
      <c r="CG107" s="715">
        <f>'Income Statement'!CS34</f>
        <v>307</v>
      </c>
      <c r="CH107" s="389">
        <f>'Income Statement'!CT34</f>
        <v>468</v>
      </c>
      <c r="CI107" s="389">
        <f>'Income Statement'!CU34</f>
        <v>148</v>
      </c>
      <c r="CJ107" s="389">
        <f>'Income Statement'!CV34</f>
        <v>121</v>
      </c>
      <c r="CK107" s="740">
        <f>'Income Statement'!CW34</f>
        <v>514</v>
      </c>
      <c r="CL107" s="1347">
        <f>'Income Statement'!CX34</f>
        <v>122</v>
      </c>
      <c r="CM107" s="389">
        <f>'Income Statement'!CY34</f>
        <v>155</v>
      </c>
      <c r="CN107" s="389">
        <f>'Income Statement'!CZ34</f>
        <v>119</v>
      </c>
      <c r="CO107" s="740">
        <f>'Income Statement'!DA34</f>
        <v>461</v>
      </c>
      <c r="CP107" s="389">
        <f>'Income Statement'!DB34</f>
        <v>226</v>
      </c>
      <c r="CQ107" s="389">
        <f>'Income Statement'!DC34</f>
        <v>180</v>
      </c>
      <c r="CR107" s="389">
        <f>'Income Statement'!DD34</f>
        <v>187</v>
      </c>
      <c r="CS107" s="740">
        <f>'Income Statement'!DE34</f>
        <v>601</v>
      </c>
      <c r="CT107" s="1347">
        <f>'Income Statement'!DF34</f>
        <v>188</v>
      </c>
      <c r="CU107" s="389">
        <f>'Income Statement'!DG34</f>
        <v>209</v>
      </c>
      <c r="CV107" s="389">
        <f>'Income Statement'!DH34</f>
        <v>239</v>
      </c>
      <c r="CW107" s="740">
        <f>'Income Statement'!DI34</f>
        <v>364</v>
      </c>
      <c r="CX107" s="2810">
        <f>'Income Statement'!DJ34</f>
        <v>215.71264211991061</v>
      </c>
      <c r="CY107" s="2609">
        <f>'Income Statement'!DK34</f>
        <v>232.38419664571583</v>
      </c>
      <c r="CZ107" s="2609">
        <f>'Income Statement'!DL34</f>
        <v>263.56814296394919</v>
      </c>
      <c r="DA107" s="715">
        <f>'Income Statement'!DM34</f>
        <v>710.50698474922842</v>
      </c>
      <c r="DB107" s="739"/>
      <c r="DC107" s="740"/>
      <c r="DD107" s="252"/>
      <c r="DE107" s="252"/>
      <c r="DF107" s="252"/>
      <c r="DG107" s="252"/>
      <c r="DH107" s="252"/>
      <c r="DI107" s="252"/>
      <c r="DJ107" s="252"/>
      <c r="DK107" s="252"/>
      <c r="DL107" s="998">
        <f>'Income Statement'!DX34</f>
        <v>41.71</v>
      </c>
      <c r="DM107" s="998">
        <f>'Income Statement'!DY34</f>
        <v>57.641000000000012</v>
      </c>
      <c r="DN107" s="998">
        <f>'Income Statement'!DZ34</f>
        <v>47.992000000000303</v>
      </c>
      <c r="DO107" s="998">
        <f>'Income Statement'!EA34</f>
        <v>1.7479999999994549</v>
      </c>
      <c r="DP107" s="998">
        <f>'Income Statement'!EB34</f>
        <v>94.432999999999666</v>
      </c>
      <c r="DQ107" s="998">
        <f>'Income Statement'!EC34</f>
        <v>216.28200000000109</v>
      </c>
      <c r="DR107" s="998">
        <f>'Income Statement'!ED34</f>
        <v>347.07000000000005</v>
      </c>
      <c r="DS107" s="998">
        <f>'Income Statement'!EE34</f>
        <v>396.16899999999953</v>
      </c>
      <c r="DT107" s="998">
        <f>'Income Statement'!EF34</f>
        <v>570</v>
      </c>
      <c r="DU107" s="998">
        <f>'Income Statement'!EG34</f>
        <v>99</v>
      </c>
      <c r="DV107" s="998">
        <f>'Income Statement'!EH34</f>
        <v>704.45</v>
      </c>
      <c r="DW107" s="998">
        <f>'Income Statement'!EI34</f>
        <v>984.31600000000003</v>
      </c>
      <c r="DX107" s="998">
        <f>'Income Statement'!EJ34</f>
        <v>1140</v>
      </c>
      <c r="DY107" s="998">
        <f>'Income Statement'!EK34</f>
        <v>1377</v>
      </c>
      <c r="DZ107" s="998">
        <f>'Income Statement'!EL34</f>
        <v>1407</v>
      </c>
      <c r="EA107" s="998">
        <f>'Income Statement'!EM34</f>
        <v>1003</v>
      </c>
      <c r="EB107" s="998">
        <f>'Income Statement'!EN34</f>
        <v>1317</v>
      </c>
      <c r="EC107" s="998">
        <f>'Income Statement'!EO34</f>
        <v>1277</v>
      </c>
      <c r="ED107" s="998">
        <f>'Income Statement'!EP34</f>
        <v>-1231</v>
      </c>
      <c r="EE107" s="998">
        <f>'Income Statement'!EQ34</f>
        <v>1284</v>
      </c>
      <c r="EF107" s="998">
        <f>'Income Statement'!ER34</f>
        <v>-1214</v>
      </c>
      <c r="EG107" s="998">
        <f>'Income Statement'!ES34</f>
        <v>-255.4</v>
      </c>
      <c r="EH107" s="998">
        <f>'Income Statement'!EU34</f>
        <v>570</v>
      </c>
      <c r="EI107" s="998">
        <f>'Income Statement'!EV34</f>
        <v>1251</v>
      </c>
      <c r="EJ107" s="998">
        <f>'Income Statement'!EW34</f>
        <v>857</v>
      </c>
      <c r="EK107" s="1919">
        <f>'Income Statement'!EX34</f>
        <v>1194</v>
      </c>
      <c r="EL107" s="1919">
        <f>'Income Statement'!EY34</f>
        <v>1000</v>
      </c>
      <c r="EM107" s="1683">
        <f>'Income Statement'!EZ34</f>
        <v>1422.1719664788041</v>
      </c>
      <c r="EN107" s="998">
        <f>'Income Statement'!FA34</f>
        <v>1453.6419444761691</v>
      </c>
      <c r="EO107" s="998">
        <f>'Income Statement'!FB34</f>
        <v>1482.1013828946927</v>
      </c>
      <c r="EP107" s="998">
        <f>'Income Statement'!FC34</f>
        <v>1460.9126877591102</v>
      </c>
      <c r="EQ107" s="998">
        <f>'Income Statement'!FD34</f>
        <v>1458.016029062725</v>
      </c>
      <c r="ER107" s="998">
        <f>'Income Statement'!FE34</f>
        <v>1464.5872880199306</v>
      </c>
      <c r="ES107" s="998">
        <f>'Income Statement'!FF34</f>
        <v>1460.2925930288907</v>
      </c>
      <c r="ET107" s="998">
        <f>'Income Statement'!FG34</f>
        <v>1456.3977840833888</v>
      </c>
      <c r="EU107" s="998">
        <f>'Income Statement'!FH34</f>
        <v>1464.1689576244253</v>
      </c>
      <c r="EV107" s="413"/>
      <c r="EW107"/>
      <c r="EX107"/>
      <c r="EY107"/>
      <c r="EZ107"/>
      <c r="FA107"/>
      <c r="FB107"/>
      <c r="FG107"/>
      <c r="FH107"/>
      <c r="FI107" s="2662"/>
      <c r="FJ107" s="2662"/>
      <c r="FK107" s="2662"/>
      <c r="FL107"/>
      <c r="FM107"/>
      <c r="FN107"/>
      <c r="FO107"/>
      <c r="FP107"/>
      <c r="FQ107"/>
      <c r="FR107"/>
      <c r="FS107"/>
      <c r="FT107"/>
      <c r="FU107"/>
      <c r="FV107"/>
      <c r="FW107"/>
      <c r="FX107"/>
      <c r="FY107"/>
      <c r="FZ107"/>
      <c r="GA107"/>
      <c r="GB107"/>
      <c r="GC107"/>
      <c r="GD107"/>
      <c r="GE107"/>
      <c r="GF107"/>
      <c r="GG107"/>
      <c r="GH107"/>
      <c r="GI107"/>
      <c r="GJ107"/>
      <c r="GK107"/>
      <c r="GL107"/>
      <c r="GM107"/>
      <c r="GN107"/>
      <c r="GO107"/>
      <c r="GP107"/>
      <c r="GQ107"/>
      <c r="GR107"/>
      <c r="GS107"/>
      <c r="GT107"/>
      <c r="GU107"/>
      <c r="GV107"/>
      <c r="GW107"/>
      <c r="GX107"/>
      <c r="GY107"/>
      <c r="GZ107"/>
      <c r="HA107"/>
      <c r="HB107"/>
      <c r="HC107"/>
      <c r="HD107"/>
      <c r="HE107"/>
      <c r="HF107"/>
      <c r="HG107"/>
      <c r="HH107"/>
      <c r="HI107"/>
      <c r="HJ107"/>
      <c r="HK107"/>
      <c r="HL107"/>
      <c r="HM107"/>
      <c r="HN107"/>
      <c r="HO107"/>
      <c r="HP107"/>
      <c r="HQ107"/>
      <c r="HR107"/>
      <c r="HS107"/>
      <c r="HT107"/>
      <c r="HU107"/>
      <c r="HV107"/>
      <c r="HW107"/>
      <c r="HX107"/>
      <c r="HY107"/>
      <c r="HZ107"/>
      <c r="IA107"/>
      <c r="IB107"/>
      <c r="IC107"/>
      <c r="ID107"/>
      <c r="IE107"/>
      <c r="IF107"/>
      <c r="IG107"/>
      <c r="IH107"/>
      <c r="II107"/>
      <c r="IJ107"/>
      <c r="IK107"/>
      <c r="IL107"/>
      <c r="IM107"/>
      <c r="IN107"/>
      <c r="IO107"/>
      <c r="IP107"/>
      <c r="IQ107"/>
      <c r="IR107"/>
      <c r="IS107"/>
      <c r="IT107"/>
      <c r="IU107"/>
      <c r="IV107"/>
      <c r="IW107"/>
      <c r="IX107"/>
      <c r="IY107"/>
      <c r="IZ107"/>
    </row>
    <row r="108" spans="1:260" s="4" customFormat="1" outlineLevel="1" x14ac:dyDescent="0.2">
      <c r="A108" s="6" t="s">
        <v>548</v>
      </c>
      <c r="B108" s="346">
        <f>'Income Statement'!B37</f>
        <v>4.6603708622300691E-3</v>
      </c>
      <c r="C108" s="346">
        <f>'Income Statement'!C37</f>
        <v>1.9857332622088424E-2</v>
      </c>
      <c r="D108" s="346">
        <f>'Income Statement'!D37</f>
        <v>2.8762202224489868E-2</v>
      </c>
      <c r="E108" s="716">
        <f>'Income Statement'!E37</f>
        <v>5.5307896705621411E-2</v>
      </c>
      <c r="F108" s="346">
        <f>'Income Statement'!F37</f>
        <v>1.086786210581204E-2</v>
      </c>
      <c r="G108" s="346">
        <f>'Income Statement'!G37</f>
        <v>1.9543705898084626E-2</v>
      </c>
      <c r="H108" s="346">
        <f>'Income Statement'!H37</f>
        <v>4.5114199937815867E-2</v>
      </c>
      <c r="I108" s="716">
        <f>'Income Statement'!I37</f>
        <v>6.4929544929544905E-2</v>
      </c>
      <c r="J108" s="346">
        <f>'Income Statement'!J37</f>
        <v>1.1885662232253218E-2</v>
      </c>
      <c r="K108" s="346">
        <f>'Income Statement'!K37</f>
        <v>1.4553994197760324E-2</v>
      </c>
      <c r="L108" s="346">
        <f>'Income Statement'!L37</f>
        <v>4.5445146467547506E-2</v>
      </c>
      <c r="M108" s="716">
        <f>'Income Statement'!M37</f>
        <v>5.0624800561618409E-2</v>
      </c>
      <c r="N108" s="346">
        <f>'Income Statement'!N37</f>
        <v>1.043165100643384E-3</v>
      </c>
      <c r="O108" s="346">
        <f>'Income Statement'!O37</f>
        <v>9.6062648671408138E-3</v>
      </c>
      <c r="P108" s="346">
        <f>'Income Statement'!P37</f>
        <v>-2.7908124206794185E-2</v>
      </c>
      <c r="Q108" s="716">
        <f>'Income Statement'!Q37</f>
        <v>2.1813789467757309E-2</v>
      </c>
      <c r="R108" s="346">
        <f>'Income Statement'!R37</f>
        <v>-6.7316105103932163E-3</v>
      </c>
      <c r="S108" s="346">
        <f>'Income Statement'!S37</f>
        <v>1.6652388896403192E-2</v>
      </c>
      <c r="T108" s="346">
        <f>'Income Statement'!T37</f>
        <v>5.8051520229408592E-2</v>
      </c>
      <c r="U108" s="716">
        <f>'Income Statement'!U37</f>
        <v>0.13858261581018397</v>
      </c>
      <c r="V108" s="346">
        <f>'Income Statement'!V37</f>
        <v>2.7757060648076537E-2</v>
      </c>
      <c r="W108" s="346">
        <f>'Income Statement'!W37</f>
        <v>8.7818249799546472E-2</v>
      </c>
      <c r="X108" s="346">
        <f>'Income Statement'!X37</f>
        <v>0.11329370180288581</v>
      </c>
      <c r="Y108" s="716">
        <f>'Income Statement'!Y37</f>
        <v>0.22813059216837037</v>
      </c>
      <c r="Z108" s="346">
        <f>'Income Statement'!Z37</f>
        <v>9.75435931338762E-2</v>
      </c>
      <c r="AA108" s="346">
        <f>'Income Statement'!AA37</f>
        <v>0.12064848534903277</v>
      </c>
      <c r="AB108" s="346">
        <f>'Income Statement'!AB37</f>
        <v>0.16264433727915348</v>
      </c>
      <c r="AC108" s="716">
        <f>'Income Statement'!AC37</f>
        <v>0.3460625756262552</v>
      </c>
      <c r="AD108" s="346">
        <f>'Income Statement'!AD37</f>
        <v>0.1516172021795574</v>
      </c>
      <c r="AE108" s="346">
        <f>'Income Statement'!AE37</f>
        <v>0.1597399137486053</v>
      </c>
      <c r="AF108" s="346">
        <f>'Income Statement'!AF37</f>
        <v>0.11948068477666034</v>
      </c>
      <c r="AG108" s="716">
        <f>'Income Statement'!AG37</f>
        <v>0.39738562091503282</v>
      </c>
      <c r="AH108" s="346">
        <f>'Income Statement'!AH37</f>
        <v>0.11454753722794961</v>
      </c>
      <c r="AI108" s="346">
        <f>'Income Statement'!AI37</f>
        <v>0.17554729450640233</v>
      </c>
      <c r="AJ108" s="346">
        <f>'Income Statement'!AJ37</f>
        <v>0.16552865714876888</v>
      </c>
      <c r="AK108" s="716">
        <f>'Income Statement'!AK37</f>
        <v>0.717838281290058</v>
      </c>
      <c r="AL108" s="346">
        <f>'Income Statement'!AL37</f>
        <v>0.16140565941362756</v>
      </c>
      <c r="AM108" s="346">
        <f>'Income Statement'!AM37</f>
        <v>0.1623009758602979</v>
      </c>
      <c r="AN108" s="346">
        <f>'Income Statement'!AN37</f>
        <v>0.17690013370358942</v>
      </c>
      <c r="AO108" s="716">
        <f>'Income Statement'!AO37</f>
        <v>0.76681874229346481</v>
      </c>
      <c r="AP108" s="346">
        <f>'Income Statement'!AP37</f>
        <v>0.14145141451414514</v>
      </c>
      <c r="AQ108" s="346">
        <f>'Income Statement'!AQ37</f>
        <v>0.2736078909904413</v>
      </c>
      <c r="AR108" s="346">
        <f>'Income Statement'!AR37</f>
        <v>0.24609178013111446</v>
      </c>
      <c r="AS108" s="716">
        <f>'Income Statement'!AS37</f>
        <v>0.9316646801748113</v>
      </c>
      <c r="AT108" s="346">
        <f>'Income Statement'!AT37</f>
        <v>0.22618607884023434</v>
      </c>
      <c r="AU108" s="346">
        <f>'Income Statement'!AU37</f>
        <v>0.29925395404356914</v>
      </c>
      <c r="AV108" s="346">
        <f>'Income Statement'!AV37</f>
        <v>0.29217253972954299</v>
      </c>
      <c r="AW108" s="716">
        <f>'Income Statement'!AW37</f>
        <v>1.0283687943262412</v>
      </c>
      <c r="AX108" s="346">
        <f>'Income Statement'!AX37</f>
        <v>0.34143380170195925</v>
      </c>
      <c r="AY108" s="346">
        <f>'Income Statement'!AY37</f>
        <v>0.369279120015714</v>
      </c>
      <c r="AZ108" s="346">
        <f>'Income Statement'!AZ37</f>
        <v>0.27208201892744482</v>
      </c>
      <c r="BA108" s="716">
        <f>'Income Statement'!BA37</f>
        <v>1.2805726784649036</v>
      </c>
      <c r="BB108" s="346">
        <f>'Income Statement'!BB37</f>
        <v>0.46725239616613418</v>
      </c>
      <c r="BC108" s="346">
        <f>'Income Statement'!BC37</f>
        <v>0.46324269889224573</v>
      </c>
      <c r="BD108" s="346">
        <f>'Income Statement'!BD37</f>
        <v>0.30254134731746674</v>
      </c>
      <c r="BE108" s="716">
        <f>'Income Statement'!BE37</f>
        <v>1.5426607359482409</v>
      </c>
      <c r="BF108" s="346">
        <f>'Income Statement'!BF37</f>
        <v>0.3906408952187182</v>
      </c>
      <c r="BG108" s="346">
        <f>'Income Statement'!BG37</f>
        <v>0.54800526085050416</v>
      </c>
      <c r="BH108" s="346">
        <f>'Income Statement'!BH37</f>
        <v>0.52924791086350975</v>
      </c>
      <c r="BI108" s="716">
        <f>'Income Statement'!BI37</f>
        <v>1.7083912841910061</v>
      </c>
      <c r="BJ108" s="346">
        <f>'Income Statement'!BJ37</f>
        <v>0.42276806802078415</v>
      </c>
      <c r="BK108" s="346">
        <f>'Income Statement'!BK37</f>
        <v>0.47720292936451686</v>
      </c>
      <c r="BL108" s="346">
        <f>'Income Statement'!BL37</f>
        <v>0.38570752484619025</v>
      </c>
      <c r="BM108" s="716">
        <f>'Income Statement'!BM37</f>
        <v>1.6871455576559546</v>
      </c>
      <c r="BN108" s="346">
        <f>'Income Statement'!BN37</f>
        <v>0.4815597838853653</v>
      </c>
      <c r="BO108" s="346">
        <f>'Income Statement'!BO37</f>
        <v>0.37002341920374709</v>
      </c>
      <c r="BP108" s="346">
        <f>'Income Statement'!BP37</f>
        <v>0.52963135790947269</v>
      </c>
      <c r="BQ108" s="716">
        <f>'Income Statement'!BQ37</f>
        <v>1.8133147113594039</v>
      </c>
      <c r="BR108" s="346">
        <f>'Income Statement'!BR37</f>
        <v>0.35904563354181146</v>
      </c>
      <c r="BS108" s="346">
        <f>'Income Statement'!BS37</f>
        <v>0.59962228517469307</v>
      </c>
      <c r="BT108" s="346">
        <f>'Income Statement'!BT37</f>
        <v>0.53212358999509557</v>
      </c>
      <c r="BU108" s="716">
        <f>'Income Statement'!BU37</f>
        <v>2.1641051065939516</v>
      </c>
      <c r="BV108" s="346">
        <f>'Income Statement'!BV37</f>
        <v>0.34743202416918428</v>
      </c>
      <c r="BW108" s="346">
        <f>'Income Statement'!BW37</f>
        <v>0.46932354483481914</v>
      </c>
      <c r="BX108" s="346">
        <f>'Income Statement'!BX37</f>
        <v>0.46637744034707157</v>
      </c>
      <c r="BY108" s="716">
        <f>'Income Statement'!BY37</f>
        <v>2.4709219858156026</v>
      </c>
      <c r="BZ108" s="346">
        <f>'Income Statement'!CH37</f>
        <v>0.71761960326721119</v>
      </c>
      <c r="CA108" s="346">
        <f>'Income Statement'!CI37</f>
        <v>0.20082693443591257</v>
      </c>
      <c r="CB108" s="346">
        <f>'Income Statement'!CJ37</f>
        <v>2.9655990510083038E-2</v>
      </c>
      <c r="CC108" s="716">
        <f>'Income Statement'!CK37</f>
        <v>1.6385684708666075</v>
      </c>
      <c r="CD108" s="346">
        <f>'Income Statement'!CP37</f>
        <v>0.36656891495601174</v>
      </c>
      <c r="CE108" s="346">
        <f>'Income Statement'!CQ37</f>
        <v>0.30197444831591175</v>
      </c>
      <c r="CF108" s="346">
        <f>'Income Statement'!CR37</f>
        <v>0.1948982516480367</v>
      </c>
      <c r="CG108" s="716">
        <f>'Income Statement'!CS37</f>
        <v>1.2024957458876913</v>
      </c>
      <c r="CH108" s="346">
        <f>'Income Statement'!CT37</f>
        <v>0.35102739726027399</v>
      </c>
      <c r="CI108" s="346">
        <f>'Income Statement'!CU37</f>
        <v>0.42021578648495173</v>
      </c>
      <c r="CJ108" s="346">
        <f>'Income Statement'!CV37</f>
        <v>0.34180790960451979</v>
      </c>
      <c r="CK108" s="716">
        <f>'Income Statement'!CW37</f>
        <v>1.4766984839977542</v>
      </c>
      <c r="CL108" s="1348">
        <f>'Income Statement'!CX37</f>
        <v>0.34891550121430365</v>
      </c>
      <c r="CM108" s="346">
        <f>'Income Statement'!CY37</f>
        <v>0.4662333992653292</v>
      </c>
      <c r="CN108" s="346">
        <f>'Income Statement'!CZ37</f>
        <v>0.39541547277936961</v>
      </c>
      <c r="CO108" s="716">
        <f>'Income Statement'!DA37</f>
        <v>1.4840782938942447</v>
      </c>
      <c r="CP108" s="346">
        <f>'Income Statement'!DB37</f>
        <v>0.43158861340679522</v>
      </c>
      <c r="CQ108" s="346">
        <f>'Income Statement'!DC37</f>
        <v>0.56673892846082385</v>
      </c>
      <c r="CR108" s="346">
        <f>'Income Statement'!DD37</f>
        <v>0.60312500000000002</v>
      </c>
      <c r="CS108" s="716">
        <f>'Income Statement'!DE37</f>
        <v>1.9321394910461829</v>
      </c>
      <c r="CT108" s="1348">
        <f>'Income Statement'!DF37</f>
        <v>0.59682539682539681</v>
      </c>
      <c r="CU108" s="346">
        <f>'Income Statement'!DG37</f>
        <v>0.68854568854568854</v>
      </c>
      <c r="CV108" s="346">
        <f>'Income Statement'!DH37</f>
        <v>0.77603143418467591</v>
      </c>
      <c r="CW108" s="716">
        <f>'Income Statement'!DI37</f>
        <v>2.4199528142905291</v>
      </c>
      <c r="CX108" s="2811">
        <f>'Income Statement'!DJ37</f>
        <v>0.74259321666507583</v>
      </c>
      <c r="CY108" s="1348">
        <f>'Income Statement'!DK37</f>
        <v>0.81923137289841486</v>
      </c>
      <c r="CZ108" s="1348">
        <f>'Income Statement'!DL37</f>
        <v>0.93312369771297043</v>
      </c>
      <c r="DA108" s="716">
        <f>'Income Statement'!DM37</f>
        <v>2.531813340903962</v>
      </c>
      <c r="DB108" s="741"/>
      <c r="DC108" s="716"/>
      <c r="DD108" s="252"/>
      <c r="DE108" s="252"/>
      <c r="DF108" s="252"/>
      <c r="DG108" s="252"/>
      <c r="DH108" s="252"/>
      <c r="DI108" s="252"/>
      <c r="DJ108" s="252"/>
      <c r="DK108" s="252"/>
      <c r="DL108" s="999">
        <f>'Income Statement'!DX37</f>
        <v>0.10858780241442978</v>
      </c>
      <c r="DM108" s="999">
        <f>'Income Statement'!DY37</f>
        <v>0.14045531287125745</v>
      </c>
      <c r="DN108" s="999">
        <f>'Income Statement'!DZ37</f>
        <v>0.12250960345917947</v>
      </c>
      <c r="DO108" s="999">
        <f>'Income Statement'!EA37</f>
        <v>4.5550952287473218E-3</v>
      </c>
      <c r="DP108" s="999">
        <f>'Income Statement'!EB37</f>
        <v>0.20655491442560253</v>
      </c>
      <c r="DQ108" s="999">
        <f>'Income Statement'!EC37</f>
        <v>0.45699960441887921</v>
      </c>
      <c r="DR108" s="999">
        <f>'Income Statement'!ED37</f>
        <v>0.72689899138831771</v>
      </c>
      <c r="DS108" s="999">
        <f>'Income Statement'!EE37</f>
        <v>0.82803932972056615</v>
      </c>
      <c r="DT108" s="999">
        <f>'Income Statement'!EF37</f>
        <v>1.1781575785761347</v>
      </c>
      <c r="DU108" s="999">
        <f>'Income Statement'!EG37</f>
        <v>1.2765848277277507</v>
      </c>
      <c r="DV108" s="999">
        <f>'Income Statement'!EH37</f>
        <v>1.5963458466453675</v>
      </c>
      <c r="DW108" s="999">
        <f>'Income Statement'!EI37</f>
        <v>1.8498101814042123</v>
      </c>
      <c r="DX108" s="999">
        <f>'Income Statement'!EJ37</f>
        <v>2.2583201267828841</v>
      </c>
      <c r="DY108" s="999">
        <f>'Income Statement'!EK37</f>
        <v>2.7756971783240876</v>
      </c>
      <c r="DZ108" s="999">
        <f>'Income Statement'!EL37</f>
        <v>3.1066460587326121</v>
      </c>
      <c r="EA108" s="999">
        <f>'Income Statement'!EM37</f>
        <v>2.9746985102861196</v>
      </c>
      <c r="EB108" s="999">
        <f>'Income Statement'!EN37</f>
        <v>3.2023391812865496</v>
      </c>
      <c r="EC108" s="999">
        <f>'Income Statement'!EO37</f>
        <v>3.5990396158463387</v>
      </c>
      <c r="ED108" s="999">
        <f>'Income Statement'!EP37</f>
        <v>3.6269084605640378</v>
      </c>
      <c r="EE108" s="999">
        <f>'Income Statement'!EQ37</f>
        <v>3.7106017191977076</v>
      </c>
      <c r="EF108" s="999">
        <f>'Income Statement'!ER37</f>
        <v>3.6832164058283863</v>
      </c>
      <c r="EG108" s="999">
        <f>'Income Statement'!ES37</f>
        <v>2.5886341858922379</v>
      </c>
      <c r="EH108" s="999">
        <f>'Income Statement'!EU37</f>
        <v>2.0794577835460379</v>
      </c>
      <c r="EI108" s="999">
        <f>'Income Statement'!EV37</f>
        <v>2.5961538461538458</v>
      </c>
      <c r="EJ108" s="999">
        <f>'Income Statement'!EW37</f>
        <v>2.6660963786712291</v>
      </c>
      <c r="EK108" s="999">
        <f>'Income Statement'!EX37</f>
        <v>3.5089894606323617</v>
      </c>
      <c r="EL108" s="999">
        <f>'Income Statement'!EY37</f>
        <v>4.4187561055030935</v>
      </c>
      <c r="EM108" s="1685">
        <f>'Income Statement'!EZ37</f>
        <v>5.0022034563320164</v>
      </c>
      <c r="EN108" s="999">
        <f>'Income Statement'!FA37</f>
        <v>5.3006124535000874</v>
      </c>
      <c r="EO108" s="999">
        <f>'Income Statement'!FB37</f>
        <v>5.6041833757192148</v>
      </c>
      <c r="EP108" s="999">
        <f>'Income Statement'!FC37</f>
        <v>5.6698541657267878</v>
      </c>
      <c r="EQ108" s="999">
        <f>'Income Statement'!FD37</f>
        <v>5.7427671388418586</v>
      </c>
      <c r="ER108" s="999">
        <f>'Income Statement'!FE37</f>
        <v>5.8291622865399439</v>
      </c>
      <c r="ES108" s="999">
        <f>'Income Statement'!FF37</f>
        <v>5.8484422909081379</v>
      </c>
      <c r="ET108" s="999">
        <f>'Income Statement'!FG37</f>
        <v>5.845755505611133</v>
      </c>
      <c r="EU108" s="999">
        <f>'Income Statement'!FH37</f>
        <v>5.8674649059538462</v>
      </c>
      <c r="EV108" s="413"/>
      <c r="EW108"/>
      <c r="EX108"/>
      <c r="EY108"/>
      <c r="EZ108"/>
      <c r="FA108"/>
      <c r="FB108"/>
      <c r="FG108"/>
      <c r="FH108"/>
      <c r="FI108" s="2663"/>
      <c r="FJ108" s="2663"/>
      <c r="FK108" s="2663"/>
      <c r="FL108"/>
      <c r="FM108"/>
      <c r="FN108"/>
      <c r="FO108"/>
      <c r="FP108"/>
      <c r="FQ108"/>
      <c r="FR108"/>
      <c r="FS108"/>
      <c r="FT108"/>
      <c r="FU108"/>
      <c r="FV108"/>
      <c r="FW108"/>
      <c r="FX108"/>
      <c r="FY108"/>
      <c r="FZ108"/>
      <c r="GA108"/>
      <c r="GB108"/>
      <c r="GC108"/>
      <c r="GD108"/>
      <c r="GE108"/>
      <c r="GF108"/>
      <c r="GG108"/>
      <c r="GH108"/>
      <c r="GI108"/>
      <c r="GJ108"/>
      <c r="GK108"/>
      <c r="GL108"/>
      <c r="GM108"/>
      <c r="GN108"/>
      <c r="GO108"/>
      <c r="GP108"/>
      <c r="GQ108"/>
      <c r="GR108"/>
      <c r="GS108"/>
      <c r="GT108"/>
      <c r="GU108"/>
      <c r="GV108"/>
      <c r="GW108"/>
      <c r="GX108"/>
      <c r="GY108"/>
      <c r="GZ108"/>
      <c r="HA108"/>
      <c r="HB108"/>
      <c r="HC108"/>
      <c r="HD108"/>
      <c r="HE108"/>
      <c r="HF108"/>
      <c r="HG108"/>
      <c r="HH108"/>
      <c r="HI108"/>
      <c r="HJ108"/>
      <c r="HK108"/>
      <c r="HL108"/>
      <c r="HM108"/>
      <c r="HN108"/>
      <c r="HO108"/>
      <c r="HP108"/>
      <c r="HQ108"/>
      <c r="HR108"/>
      <c r="HS108"/>
      <c r="HT108"/>
      <c r="HU108"/>
      <c r="HV108"/>
      <c r="HW108"/>
      <c r="HX108"/>
      <c r="HY108"/>
      <c r="HZ108"/>
      <c r="IA108"/>
      <c r="IB108"/>
      <c r="IC108"/>
      <c r="ID108"/>
      <c r="IE108"/>
      <c r="IF108"/>
      <c r="IG108"/>
      <c r="IH108"/>
      <c r="II108"/>
      <c r="IJ108"/>
      <c r="IK108"/>
      <c r="IL108"/>
      <c r="IM108"/>
      <c r="IN108"/>
      <c r="IO108"/>
      <c r="IP108"/>
      <c r="IQ108"/>
      <c r="IR108"/>
      <c r="IS108"/>
      <c r="IT108"/>
      <c r="IU108"/>
      <c r="IV108"/>
      <c r="IW108"/>
      <c r="IX108"/>
      <c r="IY108"/>
      <c r="IZ108"/>
    </row>
    <row r="109" spans="1:260" s="4" customFormat="1" outlineLevel="1" x14ac:dyDescent="0.2">
      <c r="A109" s="6" t="s">
        <v>549</v>
      </c>
      <c r="B109" s="372">
        <f>'Income Statement'!B65</f>
        <v>325.29599999999994</v>
      </c>
      <c r="C109" s="372">
        <f>'Income Statement'!C65</f>
        <v>382.428</v>
      </c>
      <c r="D109" s="372">
        <f>'Income Statement'!D65</f>
        <v>388.04400000000004</v>
      </c>
      <c r="E109" s="715">
        <f>'Income Statement'!E65</f>
        <v>387.63</v>
      </c>
      <c r="F109" s="372">
        <f>'Income Statement'!F65</f>
        <v>389.31299999999999</v>
      </c>
      <c r="G109" s="372">
        <f>'Income Statement'!G65</f>
        <v>388.87199999999996</v>
      </c>
      <c r="H109" s="372">
        <f>'Income Statement'!H65</f>
        <v>392.38199999999995</v>
      </c>
      <c r="I109" s="715">
        <f>'Income Statement'!I65</f>
        <v>432.9</v>
      </c>
      <c r="J109" s="372">
        <f>'Income Statement'!J65</f>
        <v>390.80700000000002</v>
      </c>
      <c r="K109" s="372">
        <f>'Income Statement'!K65</f>
        <v>392.60699999999997</v>
      </c>
      <c r="L109" s="372">
        <f>'Income Statement'!L65</f>
        <v>391.72500000000002</v>
      </c>
      <c r="M109" s="715">
        <f>'Income Statement'!M65</f>
        <v>391.72500000000002</v>
      </c>
      <c r="N109" s="372">
        <f>'Income Statement'!N65</f>
        <v>392.07600000000002</v>
      </c>
      <c r="O109" s="372">
        <f>'Income Statement'!O65</f>
        <v>394.32600000000002</v>
      </c>
      <c r="P109" s="372">
        <f>'Income Statement'!P65</f>
        <v>393.18299999999994</v>
      </c>
      <c r="Q109" s="715">
        <f>'Income Statement'!Q65</f>
        <v>390.76199999999994</v>
      </c>
      <c r="R109" s="372">
        <f>'Income Statement'!R65</f>
        <v>392.03099999999995</v>
      </c>
      <c r="S109" s="372">
        <f>'Income Statement'!S65</f>
        <v>399.22199999999998</v>
      </c>
      <c r="T109" s="372">
        <f>'Income Statement'!T65</f>
        <v>454.73400000000004</v>
      </c>
      <c r="U109" s="715">
        <f>'Income Statement'!U65</f>
        <v>462.00600000000003</v>
      </c>
      <c r="V109" s="372">
        <f>'Income Statement'!V65</f>
        <v>449.50725000000006</v>
      </c>
      <c r="W109" s="372">
        <f>'Income Statement'!W65</f>
        <v>472.05449999999996</v>
      </c>
      <c r="X109" s="372">
        <f>'Income Statement'!X65</f>
        <v>472.60349999999994</v>
      </c>
      <c r="Y109" s="715">
        <f>'Income Statement'!Y65</f>
        <v>476.95049999999998</v>
      </c>
      <c r="Z109" s="372">
        <f>'Income Statement'!Z65</f>
        <v>479.87774999999999</v>
      </c>
      <c r="AA109" s="372">
        <f>'Income Statement'!AA65</f>
        <v>481.29075</v>
      </c>
      <c r="AB109" s="372">
        <f>'Income Statement'!AB65</f>
        <v>481.96575000000007</v>
      </c>
      <c r="AC109" s="715">
        <f>'Income Statement'!AC65</f>
        <v>473.33924999999994</v>
      </c>
      <c r="AD109" s="372">
        <f>'Income Statement'!AD65</f>
        <v>475.92224999999996</v>
      </c>
      <c r="AE109" s="372">
        <f>'Income Statement'!AE65</f>
        <v>480.45599999999996</v>
      </c>
      <c r="AF109" s="372">
        <f>'Income Statement'!AF65</f>
        <v>479.26574999999997</v>
      </c>
      <c r="AG109" s="715">
        <f>'Income Statement'!AG65</f>
        <v>478.125</v>
      </c>
      <c r="AH109" s="372">
        <f>'Income Statement'!AH65</f>
        <v>480.15</v>
      </c>
      <c r="AI109" s="372">
        <f>'Income Statement'!AI65</f>
        <v>484.2</v>
      </c>
      <c r="AJ109" s="372">
        <f>'Income Statement'!AJ65</f>
        <v>483.3</v>
      </c>
      <c r="AK109" s="715">
        <f>'Income Statement'!AK65</f>
        <v>487.57499999999999</v>
      </c>
      <c r="AL109" s="372">
        <f>'Income Statement'!AL65</f>
        <v>489.45</v>
      </c>
      <c r="AM109" s="372">
        <f>'Income Statement'!AM65</f>
        <v>486.75</v>
      </c>
      <c r="AN109" s="372">
        <f>'Income Statement'!AN65</f>
        <v>486.15</v>
      </c>
      <c r="AO109" s="715">
        <f>'Income Statement'!AO65</f>
        <v>486.6</v>
      </c>
      <c r="AP109" s="372">
        <f>'Income Statement'!AP65</f>
        <v>487.8</v>
      </c>
      <c r="AQ109" s="372">
        <f>'Income Statement'!AQ65</f>
        <v>491.7</v>
      </c>
      <c r="AR109" s="372">
        <f>'Income Statement'!AR65</f>
        <v>495.75</v>
      </c>
      <c r="AS109" s="715">
        <f>'Income Statement'!AS65</f>
        <v>503.4</v>
      </c>
      <c r="AT109" s="372">
        <f>'Income Statement'!AT65</f>
        <v>503.55</v>
      </c>
      <c r="AU109" s="372">
        <f>'Income Statement'!AU65</f>
        <v>502.65</v>
      </c>
      <c r="AV109" s="372">
        <f>'Income Statement'!AV65</f>
        <v>506.55</v>
      </c>
      <c r="AW109" s="715">
        <f>'Income Statement'!AW65</f>
        <v>507.6</v>
      </c>
      <c r="AX109" s="372">
        <f>'Income Statement'!AX65</f>
        <v>505.3</v>
      </c>
      <c r="AY109" s="372">
        <f>'Income Statement'!AY65</f>
        <v>509.1</v>
      </c>
      <c r="AZ109" s="372">
        <f>'Income Statement'!AZ65</f>
        <v>507.2</v>
      </c>
      <c r="BA109" s="715">
        <f>'Income Statement'!BA65</f>
        <v>502.9</v>
      </c>
      <c r="BB109" s="372">
        <f>'Income Statement'!BB65</f>
        <v>500.8</v>
      </c>
      <c r="BC109" s="372">
        <f>'Income Statement'!BC65</f>
        <v>496.5</v>
      </c>
      <c r="BD109" s="372">
        <f>'Income Statement'!BD65</f>
        <v>495.8</v>
      </c>
      <c r="BE109" s="715">
        <f>'Income Statement'!BE65</f>
        <v>494.6</v>
      </c>
      <c r="BF109" s="372">
        <f>'Income Statement'!BF65</f>
        <v>491.5</v>
      </c>
      <c r="BG109" s="372">
        <f>'Income Statement'!BG65</f>
        <v>456.2</v>
      </c>
      <c r="BH109" s="372">
        <f>'Income Statement'!BH65</f>
        <v>430.8</v>
      </c>
      <c r="BI109" s="715">
        <f>'Income Statement'!BI65</f>
        <v>431.4</v>
      </c>
      <c r="BJ109" s="372">
        <f>'Income Statement'!BJ65</f>
        <v>423.4</v>
      </c>
      <c r="BK109" s="372">
        <f>'Income Statement'!BK65</f>
        <v>423.3</v>
      </c>
      <c r="BL109" s="372">
        <f>'Income Statement'!BL65</f>
        <v>422.6</v>
      </c>
      <c r="BM109" s="715">
        <f>'Income Statement'!BM65</f>
        <v>423.2</v>
      </c>
      <c r="BN109" s="372">
        <f>'Income Statement'!BN65</f>
        <v>425.7</v>
      </c>
      <c r="BO109" s="372">
        <f>'Income Statement'!BO65</f>
        <v>427</v>
      </c>
      <c r="BP109" s="372">
        <f>'Income Statement'!BP65</f>
        <v>428.6</v>
      </c>
      <c r="BQ109" s="715">
        <f>'Income Statement'!BQ65</f>
        <v>429.6</v>
      </c>
      <c r="BR109" s="372">
        <f>'Income Statement'!BR65</f>
        <v>431.7</v>
      </c>
      <c r="BS109" s="372">
        <f>'Income Statement'!BS65</f>
        <v>423.6</v>
      </c>
      <c r="BT109" s="372">
        <f>'Income Statement'!BT65</f>
        <v>407.8</v>
      </c>
      <c r="BU109" s="715">
        <f>'Income Statement'!BU65</f>
        <v>403.4</v>
      </c>
      <c r="BV109" s="372">
        <f>'Income Statement'!BV65</f>
        <v>397.2</v>
      </c>
      <c r="BW109" s="372">
        <f>'Income Statement'!BW65</f>
        <v>381.4</v>
      </c>
      <c r="BX109" s="372">
        <f>'Income Statement'!BX65</f>
        <v>368.8</v>
      </c>
      <c r="BY109" s="715">
        <f>'Income Statement'!BY65</f>
        <v>352.5</v>
      </c>
      <c r="BZ109" s="372">
        <f>'Income Statement'!CH65</f>
        <v>342.8</v>
      </c>
      <c r="CA109" s="372">
        <f>'Income Statement'!CI65</f>
        <v>338.6</v>
      </c>
      <c r="CB109" s="372">
        <f>'Income Statement'!CJ65</f>
        <v>337.2</v>
      </c>
      <c r="CC109" s="715">
        <f>'Income Statement'!CK65</f>
        <v>338.1</v>
      </c>
      <c r="CD109" s="389">
        <f>'Income Statement'!CP65</f>
        <v>341</v>
      </c>
      <c r="CE109" s="389">
        <f>'Income Statement'!CQ65</f>
        <v>344.4</v>
      </c>
      <c r="CF109" s="389">
        <f>'Income Statement'!CR65</f>
        <v>348.9</v>
      </c>
      <c r="CG109" s="715">
        <f>'Income Statement'!CS65</f>
        <v>352.6</v>
      </c>
      <c r="CH109" s="389">
        <f>'Income Statement'!CT65</f>
        <v>350.4</v>
      </c>
      <c r="CI109" s="389">
        <f>'Income Statement'!CU65</f>
        <v>352.2</v>
      </c>
      <c r="CJ109" s="389">
        <f>'Income Statement'!CV65</f>
        <v>354</v>
      </c>
      <c r="CK109" s="740">
        <f>'Income Statement'!CW65</f>
        <v>356.2</v>
      </c>
      <c r="CL109" s="1347">
        <f>'Income Statement'!CX65</f>
        <v>355.38690476190476</v>
      </c>
      <c r="CM109" s="389">
        <f>'Income Statement'!CY65</f>
        <v>353.9</v>
      </c>
      <c r="CN109" s="389">
        <f>'Income Statement'!CZ65</f>
        <v>349</v>
      </c>
      <c r="CO109" s="740">
        <f>'Income Statement'!DA65</f>
        <v>342.3</v>
      </c>
      <c r="CP109" s="389">
        <f>'Income Statement'!DB65</f>
        <v>326.7</v>
      </c>
      <c r="CQ109" s="389">
        <f>'Income Statement'!DC65</f>
        <v>322.89999999999998</v>
      </c>
      <c r="CR109" s="389">
        <f>'Income Statement'!DD65</f>
        <v>320</v>
      </c>
      <c r="CS109" s="740">
        <f>'Income Statement'!DE65</f>
        <v>318.3</v>
      </c>
      <c r="CT109" s="1347">
        <f>'Income Statement'!DF65</f>
        <v>315</v>
      </c>
      <c r="CU109" s="389">
        <f>'Income Statement'!DG65</f>
        <v>310.8</v>
      </c>
      <c r="CV109" s="389">
        <f>'Income Statement'!DH65</f>
        <v>305.39999999999998</v>
      </c>
      <c r="CW109" s="740">
        <f>'Income Statement'!DI65</f>
        <v>296.7</v>
      </c>
      <c r="CX109" s="2810">
        <f>'Income Statement'!DJ65</f>
        <v>290.48560810810807</v>
      </c>
      <c r="CY109" s="2609">
        <f>'Income Statement'!DK65</f>
        <v>283.66125167246446</v>
      </c>
      <c r="CZ109" s="2609">
        <f>'Income Statement'!DL65</f>
        <v>282.4578816398498</v>
      </c>
      <c r="DA109" s="715">
        <f>'Income Statement'!DM65</f>
        <v>280.63166161196864</v>
      </c>
      <c r="DB109" s="739"/>
      <c r="DC109" s="740"/>
      <c r="DD109" s="252"/>
      <c r="DE109" s="252"/>
      <c r="DF109" s="252"/>
      <c r="DG109" s="252"/>
      <c r="DH109" s="252"/>
      <c r="DI109" s="252"/>
      <c r="DJ109" s="252"/>
      <c r="DK109" s="252"/>
      <c r="DL109" s="998">
        <f>'Income Statement'!DX65</f>
        <v>372.024</v>
      </c>
      <c r="DM109" s="998">
        <f>'Income Statement'!DY65</f>
        <v>391.23899999999992</v>
      </c>
      <c r="DN109" s="998">
        <f>'Income Statement'!DZ65</f>
        <v>392.76</v>
      </c>
      <c r="DO109" s="998">
        <f>'Income Statement'!EA65</f>
        <v>392.60699999999997</v>
      </c>
      <c r="DP109" s="998">
        <f>'Income Statement'!EB65</f>
        <v>450.56700000000006</v>
      </c>
      <c r="DQ109" s="998">
        <f>'Income Statement'!EC65</f>
        <v>472.5</v>
      </c>
      <c r="DR109" s="998">
        <f>'Income Statement'!ED65</f>
        <v>478.30500000000001</v>
      </c>
      <c r="DS109" s="998">
        <f>'Income Statement'!EE65</f>
        <v>478.44225</v>
      </c>
      <c r="DT109" s="998">
        <f>'Income Statement'!EF65</f>
        <v>483.80624999999998</v>
      </c>
      <c r="DU109" s="998">
        <f>'Income Statement'!EG65</f>
        <v>487.23750000000001</v>
      </c>
      <c r="DV109" s="998">
        <f>'Income Statement'!EH65</f>
        <v>500.8</v>
      </c>
      <c r="DW109" s="998">
        <f>'Income Statement'!EI65</f>
        <v>505.08749999999998</v>
      </c>
      <c r="DX109" s="998">
        <f>'Income Statement'!EJ65</f>
        <v>504.8</v>
      </c>
      <c r="DY109" s="998">
        <f>'Income Statement'!EK65</f>
        <v>496.2</v>
      </c>
      <c r="DZ109" s="998">
        <f>'Income Statement'!EL65</f>
        <v>452.9</v>
      </c>
      <c r="EA109" s="998">
        <f>'Income Statement'!EM65</f>
        <v>422.9</v>
      </c>
      <c r="EB109" s="998">
        <f>'Income Statement'!EN65</f>
        <v>427.5</v>
      </c>
      <c r="EC109" s="998">
        <f>'Income Statement'!EO65</f>
        <v>416.5</v>
      </c>
      <c r="ED109" s="998">
        <f>'Income Statement'!EP65</f>
        <v>374.97499999999997</v>
      </c>
      <c r="EE109" s="998">
        <f>'Income Statement'!EQ65</f>
        <v>418.8</v>
      </c>
      <c r="EF109" s="998">
        <f>'Income Statement'!ER65</f>
        <v>370.6</v>
      </c>
      <c r="EG109" s="998">
        <f>'Income Statement'!ES65</f>
        <v>339.17500000000007</v>
      </c>
      <c r="EH109" s="998">
        <f>'Income Statement'!EU65</f>
        <v>346.72500000000002</v>
      </c>
      <c r="EI109" s="998">
        <f>'Income Statement'!EV65</f>
        <v>353.6</v>
      </c>
      <c r="EJ109" s="998">
        <f>'Income Statement'!EW65</f>
        <v>350.7</v>
      </c>
      <c r="EK109" s="1919">
        <f>'Income Statement'!EX65</f>
        <v>322.60000000000002</v>
      </c>
      <c r="EL109" s="1919">
        <f>'Income Statement'!EY65</f>
        <v>307.10000000000002</v>
      </c>
      <c r="EM109" s="1683">
        <f>'Income Statement'!EZ65</f>
        <v>284.30910075809777</v>
      </c>
      <c r="EN109" s="998">
        <f>'Income Statement'!FA65</f>
        <v>274.24037452809887</v>
      </c>
      <c r="EO109" s="998">
        <f>'Income Statement'!FB65</f>
        <v>264.46339877386447</v>
      </c>
      <c r="EP109" s="998">
        <f>'Income Statement'!FC65</f>
        <v>257.66318586993918</v>
      </c>
      <c r="EQ109" s="998">
        <f>'Income Statement'!FD65</f>
        <v>253.88736715463662</v>
      </c>
      <c r="ER109" s="998">
        <f>'Income Statement'!FE65</f>
        <v>251.2517607207117</v>
      </c>
      <c r="ES109" s="998">
        <f>'Income Statement'!FF65</f>
        <v>249.68915146842261</v>
      </c>
      <c r="ET109" s="998">
        <f>'Income Statement'!FG65</f>
        <v>249.13764913456342</v>
      </c>
      <c r="EU109" s="998">
        <f>'Income Statement'!FH65</f>
        <v>249.54030081009955</v>
      </c>
      <c r="EV109" s="413"/>
      <c r="EW109"/>
      <c r="EX109"/>
      <c r="EY109"/>
      <c r="EZ109"/>
      <c r="FA109"/>
      <c r="FB109"/>
      <c r="FG109"/>
      <c r="FH109"/>
      <c r="FI109" s="2662"/>
      <c r="FJ109" s="2662"/>
      <c r="FK109" s="2662"/>
      <c r="FL109"/>
      <c r="FM109"/>
      <c r="FN109"/>
      <c r="FO109"/>
      <c r="FP109"/>
      <c r="FQ109"/>
      <c r="FR109"/>
      <c r="FS109"/>
      <c r="FT109"/>
      <c r="FU109"/>
      <c r="FV109"/>
      <c r="FW109"/>
      <c r="FX109"/>
      <c r="FY109"/>
      <c r="FZ109"/>
      <c r="GA109"/>
      <c r="GB109"/>
      <c r="GC109"/>
      <c r="GD109"/>
      <c r="GE109"/>
      <c r="GF109"/>
      <c r="GG109"/>
      <c r="GH109"/>
      <c r="GI109"/>
      <c r="GJ109"/>
      <c r="GK109"/>
      <c r="GL109"/>
      <c r="GM109"/>
      <c r="GN109"/>
      <c r="GO109"/>
      <c r="GP109"/>
      <c r="GQ109"/>
      <c r="GR109"/>
      <c r="GS109"/>
      <c r="GT109"/>
      <c r="GU109"/>
      <c r="GV109"/>
      <c r="GW109"/>
      <c r="GX109"/>
      <c r="GY109"/>
      <c r="GZ109"/>
      <c r="HA109"/>
      <c r="HB109"/>
      <c r="HC109"/>
      <c r="HD109"/>
      <c r="HE109"/>
      <c r="HF109"/>
      <c r="HG109"/>
      <c r="HH109"/>
      <c r="HI109"/>
      <c r="HJ109"/>
      <c r="HK109"/>
      <c r="HL109"/>
      <c r="HM109"/>
      <c r="HN109"/>
      <c r="HO109"/>
      <c r="HP109"/>
      <c r="HQ109"/>
      <c r="HR109"/>
      <c r="HS109"/>
      <c r="HT109"/>
      <c r="HU109"/>
      <c r="HV109"/>
      <c r="HW109"/>
      <c r="HX109"/>
      <c r="HY109"/>
      <c r="HZ109"/>
      <c r="IA109"/>
      <c r="IB109"/>
      <c r="IC109"/>
      <c r="ID109"/>
      <c r="IE109"/>
      <c r="IF109"/>
      <c r="IG109"/>
      <c r="IH109"/>
      <c r="II109"/>
      <c r="IJ109"/>
      <c r="IK109"/>
      <c r="IL109"/>
      <c r="IM109"/>
      <c r="IN109"/>
      <c r="IO109"/>
      <c r="IP109"/>
      <c r="IQ109"/>
      <c r="IR109"/>
      <c r="IS109"/>
      <c r="IT109"/>
      <c r="IU109"/>
      <c r="IV109"/>
      <c r="IW109"/>
      <c r="IX109"/>
      <c r="IY109"/>
      <c r="IZ109"/>
    </row>
    <row r="110" spans="1:260" s="4" customFormat="1" outlineLevel="1" x14ac:dyDescent="0.2">
      <c r="A110" s="6" t="s">
        <v>551</v>
      </c>
      <c r="B110" s="372">
        <f>'Income Statement'!B62</f>
        <v>0</v>
      </c>
      <c r="C110" s="372">
        <f>'Income Statement'!C62</f>
        <v>373.113</v>
      </c>
      <c r="D110" s="372">
        <f>'Income Statement'!D62</f>
        <v>375.02549999999997</v>
      </c>
      <c r="E110" s="715">
        <f>'Income Statement'!E62</f>
        <v>375.52499999999998</v>
      </c>
      <c r="F110" s="372">
        <f>'Income Statement'!F62</f>
        <v>376.18200000000002</v>
      </c>
      <c r="G110" s="372">
        <f>'Income Statement'!G62</f>
        <v>377.64449999999999</v>
      </c>
      <c r="H110" s="372">
        <f>'Income Statement'!H62</f>
        <v>379.04399999999998</v>
      </c>
      <c r="I110" s="715">
        <f>'Income Statement'!I62</f>
        <v>379.71450000000004</v>
      </c>
      <c r="J110" s="372">
        <f>'Income Statement'!J62</f>
        <v>381.64499999999998</v>
      </c>
      <c r="K110" s="372">
        <f>'Income Statement'!K62</f>
        <v>383.68799999999999</v>
      </c>
      <c r="L110" s="372">
        <f>'Income Statement'!L62</f>
        <v>384.1875</v>
      </c>
      <c r="M110" s="715">
        <f>'Income Statement'!M62</f>
        <v>384.9615</v>
      </c>
      <c r="N110" s="372">
        <f>'Income Statement'!N62</f>
        <v>386.84699999999998</v>
      </c>
      <c r="O110" s="372">
        <f>'Income Statement'!O62</f>
        <v>388.55700000000002</v>
      </c>
      <c r="P110" s="372">
        <f>'Income Statement'!P62</f>
        <v>389.22750000000002</v>
      </c>
      <c r="Q110" s="715">
        <f>'Income Statement'!Q62</f>
        <v>389.52</v>
      </c>
      <c r="R110" s="372">
        <f>'Income Statement'!R62</f>
        <v>391.91849999999999</v>
      </c>
      <c r="S110" s="372">
        <f>'Income Statement'!S62</f>
        <v>394.28549999999996</v>
      </c>
      <c r="T110" s="372">
        <f>'Income Statement'!T62</f>
        <v>394.7355</v>
      </c>
      <c r="U110" s="715">
        <f>'Income Statement'!U62</f>
        <v>398.39400000000001</v>
      </c>
      <c r="V110" s="372">
        <f>'Income Statement'!V62</f>
        <v>426.5145</v>
      </c>
      <c r="W110" s="372">
        <f>'Income Statement'!W62</f>
        <v>452.42999999999995</v>
      </c>
      <c r="X110" s="372">
        <f>'Income Statement'!X62</f>
        <v>453.71699999999998</v>
      </c>
      <c r="Y110" s="715">
        <f>'Income Statement'!Y62</f>
        <v>456.05925000000002</v>
      </c>
      <c r="Z110" s="372">
        <f>'Income Statement'!Z62</f>
        <v>458.35650000000004</v>
      </c>
      <c r="AA110" s="372">
        <f>'Income Statement'!AA62</f>
        <v>460.21050000000002</v>
      </c>
      <c r="AB110" s="372">
        <f>'Income Statement'!AB62</f>
        <v>460.89112499999999</v>
      </c>
      <c r="AC110" s="715">
        <f>'Income Statement'!AC62</f>
        <v>455.38874999999996</v>
      </c>
      <c r="AD110" s="372">
        <f>'Income Statement'!AD62</f>
        <v>458.02575000000002</v>
      </c>
      <c r="AE110" s="372">
        <f>'Income Statement'!AE62</f>
        <v>466.14375000000001</v>
      </c>
      <c r="AF110" s="372">
        <f>'Income Statement'!AF62</f>
        <v>467.27324999999996</v>
      </c>
      <c r="AG110" s="715">
        <f>'Income Statement'!AG62</f>
        <v>467.88412499999998</v>
      </c>
      <c r="AH110" s="372">
        <f>'Income Statement'!AH62</f>
        <v>470.39175</v>
      </c>
      <c r="AI110" s="372">
        <f>'Income Statement'!AI62</f>
        <v>473.45400000000001</v>
      </c>
      <c r="AJ110" s="372">
        <f>'Income Statement'!AJ62</f>
        <v>475.34625</v>
      </c>
      <c r="AK110" s="715">
        <f>'Income Statement'!AK62</f>
        <v>477.47474999999997</v>
      </c>
      <c r="AL110" s="372">
        <f>'Income Statement'!AL62</f>
        <v>480.37950000000001</v>
      </c>
      <c r="AM110" s="372">
        <f>'Income Statement'!AM62</f>
        <v>482.21775000000002</v>
      </c>
      <c r="AN110" s="372">
        <f>'Income Statement'!AN62</f>
        <v>482.47800000000001</v>
      </c>
      <c r="AO110" s="715">
        <f>'Income Statement'!AO62</f>
        <v>482.76824999999997</v>
      </c>
      <c r="AP110" s="372">
        <f>'Income Statement'!AP62</f>
        <v>483.27375000000001</v>
      </c>
      <c r="AQ110" s="372">
        <f>'Income Statement'!AQ62</f>
        <v>484.51949999999999</v>
      </c>
      <c r="AR110" s="372">
        <f>'Income Statement'!AR62</f>
        <v>486.2235</v>
      </c>
      <c r="AS110" s="715">
        <f>'Income Statement'!AS62</f>
        <v>486.98924999999997</v>
      </c>
      <c r="AT110" s="372">
        <f>'Income Statement'!AT62</f>
        <v>487.11975000000001</v>
      </c>
      <c r="AU110" s="372">
        <f>'Income Statement'!AU62</f>
        <v>486.93150000000003</v>
      </c>
      <c r="AV110" s="372">
        <f>'Income Statement'!AV62</f>
        <v>489.35400000000004</v>
      </c>
      <c r="AW110" s="715">
        <f>'Income Statement'!AW62</f>
        <v>492.31274999999999</v>
      </c>
      <c r="AX110" s="372">
        <f>'Income Statement'!AX62</f>
        <v>490.11450000000002</v>
      </c>
      <c r="AY110" s="372">
        <f>'Income Statement'!AY62</f>
        <v>490.08000000000004</v>
      </c>
      <c r="AZ110" s="372">
        <f>'Income Statement'!AZ62</f>
        <v>491.185</v>
      </c>
      <c r="BA110" s="715">
        <f>'Income Statement'!BA62</f>
        <v>487.512</v>
      </c>
      <c r="BB110" s="372">
        <f>'Income Statement'!BB62</f>
        <v>484.55600000000004</v>
      </c>
      <c r="BC110" s="372">
        <f>'Income Statement'!BC62</f>
        <v>482.13200000000001</v>
      </c>
      <c r="BD110" s="372">
        <f>'Income Statement'!BD62</f>
        <v>481.08850000000001</v>
      </c>
      <c r="BE110" s="715">
        <f>'Income Statement'!BE62</f>
        <v>481.291</v>
      </c>
      <c r="BF110" s="372">
        <f>'Income Statement'!BF62</f>
        <v>478.8</v>
      </c>
      <c r="BG110" s="372">
        <f>'Income Statement'!BG62</f>
        <v>444.1</v>
      </c>
      <c r="BH110" s="372">
        <f>'Income Statement'!BH62</f>
        <v>418.7</v>
      </c>
      <c r="BI110" s="715">
        <f>'Income Statement'!BI62</f>
        <v>418.2</v>
      </c>
      <c r="BJ110" s="372">
        <f>'Income Statement'!BJ62</f>
        <v>411.4</v>
      </c>
      <c r="BK110" s="372">
        <f>'Income Statement'!BK62</f>
        <v>412.1</v>
      </c>
      <c r="BL110" s="372">
        <f>'Income Statement'!BL62</f>
        <v>412.9</v>
      </c>
      <c r="BM110" s="715">
        <f>'Income Statement'!BM62</f>
        <v>413.6</v>
      </c>
      <c r="BN110" s="372">
        <f>'Income Statement'!BN62</f>
        <v>415.2</v>
      </c>
      <c r="BO110" s="372">
        <f>'Income Statement'!BO62</f>
        <v>416.5</v>
      </c>
      <c r="BP110" s="372">
        <f>'Income Statement'!BP62</f>
        <v>417.1</v>
      </c>
      <c r="BQ110" s="715">
        <f>'Income Statement'!BQ62</f>
        <v>418.5</v>
      </c>
      <c r="BR110" s="372">
        <f>'Income Statement'!BR62</f>
        <v>420.3</v>
      </c>
      <c r="BS110" s="372">
        <f>'Income Statement'!BS62</f>
        <v>413.5</v>
      </c>
      <c r="BT110" s="372">
        <f>'Income Statement'!BT62</f>
        <v>397.1</v>
      </c>
      <c r="BU110" s="715">
        <f>'Income Statement'!BU62</f>
        <v>393.3</v>
      </c>
      <c r="BV110" s="372">
        <f>'Income Statement'!BV62</f>
        <v>387.7</v>
      </c>
      <c r="BW110" s="372">
        <f>'Income Statement'!BW62</f>
        <v>371.9</v>
      </c>
      <c r="BX110" s="372">
        <f>'Income Statement'!BX62</f>
        <v>359.7</v>
      </c>
      <c r="BY110" s="715">
        <f>'Income Statement'!BY62</f>
        <v>347.5</v>
      </c>
      <c r="BZ110" s="372">
        <f>'Income Statement'!CH62</f>
        <v>342.2</v>
      </c>
      <c r="CA110" s="372">
        <f>'Income Statement'!CI62</f>
        <v>338.2</v>
      </c>
      <c r="CB110" s="372">
        <f>'Income Statement'!CJ62</f>
        <v>337.2</v>
      </c>
      <c r="CC110" s="715">
        <f>'Income Statement'!CK62</f>
        <v>338.1</v>
      </c>
      <c r="CD110" s="389">
        <f>'Income Statement'!CP62</f>
        <v>339</v>
      </c>
      <c r="CE110" s="389">
        <f>'Income Statement'!CQ62</f>
        <v>340.4</v>
      </c>
      <c r="CF110" s="389">
        <f>'Income Statement'!CR62</f>
        <v>342.8</v>
      </c>
      <c r="CG110" s="715">
        <f>'Income Statement'!CS62</f>
        <v>342.11500000000001</v>
      </c>
      <c r="CH110" s="389">
        <f>'Income Statement'!CT62</f>
        <v>347.4</v>
      </c>
      <c r="CI110" s="389">
        <f>'Income Statement'!CU62</f>
        <v>348.35</v>
      </c>
      <c r="CJ110" s="389">
        <f>'Income Statement'!CV62</f>
        <v>349.70000000000005</v>
      </c>
      <c r="CK110" s="740">
        <f>'Income Statement'!CW62</f>
        <v>351.2</v>
      </c>
      <c r="CL110" s="1347">
        <f>'Income Statement'!CX62</f>
        <v>352.4</v>
      </c>
      <c r="CM110" s="389">
        <f>'Income Statement'!CY62</f>
        <v>349.6</v>
      </c>
      <c r="CN110" s="389">
        <f>'Income Statement'!CZ62</f>
        <v>344.7</v>
      </c>
      <c r="CO110" s="740">
        <f>'Income Statement'!DA62</f>
        <v>339.3</v>
      </c>
      <c r="CP110" s="389">
        <f>'Income Statement'!DB62</f>
        <v>323.60000000000002</v>
      </c>
      <c r="CQ110" s="389">
        <f>'Income Statement'!DC62</f>
        <v>320.8</v>
      </c>
      <c r="CR110" s="389">
        <f>'Income Statement'!DD62</f>
        <v>316.2</v>
      </c>
      <c r="CS110" s="740">
        <f>'Income Statement'!DE62</f>
        <v>313.3</v>
      </c>
      <c r="CT110" s="1347">
        <f>'Income Statement'!DF62</f>
        <v>309.2</v>
      </c>
      <c r="CU110" s="389">
        <f>'Income Statement'!DG62</f>
        <v>304.10000000000002</v>
      </c>
      <c r="CV110" s="389">
        <f>'Income Statement'!DH62</f>
        <v>299.10000000000002</v>
      </c>
      <c r="CW110" s="740">
        <f>'Income Statement'!DI62</f>
        <v>289.89999999999998</v>
      </c>
      <c r="CX110" s="2810">
        <f>'Income Statement'!DJ62</f>
        <v>286.5706081081081</v>
      </c>
      <c r="CY110" s="2609">
        <f>'Income Statement'!DK62</f>
        <v>282.63125167246449</v>
      </c>
      <c r="CZ110" s="2609">
        <f>'Income Statement'!DL62</f>
        <v>281.42788163984983</v>
      </c>
      <c r="DA110" s="715">
        <f>'Income Statement'!DM62</f>
        <v>279.60166161196867</v>
      </c>
      <c r="DB110" s="739"/>
      <c r="DC110" s="740"/>
      <c r="DD110" s="252"/>
      <c r="DE110" s="252"/>
      <c r="DF110" s="252"/>
      <c r="DG110" s="252"/>
      <c r="DH110" s="252"/>
      <c r="DI110" s="252"/>
      <c r="DJ110" s="252"/>
      <c r="DK110" s="252"/>
      <c r="DL110" s="998">
        <f>'Income Statement'!DX62</f>
        <v>374.55450000000002</v>
      </c>
      <c r="DM110" s="998">
        <f>'Income Statement'!DY62</f>
        <v>378.14625000000001</v>
      </c>
      <c r="DN110" s="998">
        <f>'Income Statement'!DZ62</f>
        <v>383.62049999999999</v>
      </c>
      <c r="DO110" s="998">
        <f>'Income Statement'!EA62</f>
        <v>388.53787499999999</v>
      </c>
      <c r="DP110" s="998">
        <f>'Income Statement'!EB62</f>
        <v>394.83337499999999</v>
      </c>
      <c r="DQ110" s="998">
        <f>'Income Statement'!EC62</f>
        <v>447.18018749999999</v>
      </c>
      <c r="DR110" s="998">
        <f>'Income Statement'!ED62</f>
        <v>458.71171875000005</v>
      </c>
      <c r="DS110" s="998">
        <f>'Income Statement'!EE62</f>
        <v>464.83171874999999</v>
      </c>
      <c r="DT110" s="998">
        <f>'Income Statement'!EF62</f>
        <v>474.16668749999997</v>
      </c>
      <c r="DU110" s="998">
        <f>'Income Statement'!EG62</f>
        <v>481.96087499999999</v>
      </c>
      <c r="DV110" s="998">
        <f>'Income Statement'!EH62</f>
        <v>485.25149999999996</v>
      </c>
      <c r="DW110" s="998">
        <f>'Income Statement'!EI62</f>
        <v>488.92950000000002</v>
      </c>
      <c r="DX110" s="998">
        <f>'Income Statement'!EJ62</f>
        <v>489.72287499999999</v>
      </c>
      <c r="DY110" s="998">
        <f>'Income Statement'!EK62</f>
        <v>482.26687500000003</v>
      </c>
      <c r="DZ110" s="998">
        <f>'Income Statement'!EL62</f>
        <v>439.9</v>
      </c>
      <c r="EA110" s="998">
        <f>'Income Statement'!EM62</f>
        <v>412.5</v>
      </c>
      <c r="EB110" s="998">
        <f>'Income Statement'!EN62</f>
        <v>416.8</v>
      </c>
      <c r="EC110" s="998">
        <f>'Income Statement'!EO62</f>
        <v>406.1</v>
      </c>
      <c r="ED110" s="998">
        <f>'Income Statement'!EP62</f>
        <v>366.995</v>
      </c>
      <c r="EE110" s="998">
        <f>'Income Statement'!EQ62</f>
        <v>408.1</v>
      </c>
      <c r="EF110" s="998">
        <f>'Income Statement'!ER62</f>
        <v>370.6</v>
      </c>
      <c r="EG110" s="998">
        <f>'Income Statement'!ES62</f>
        <v>338.92499999999995</v>
      </c>
      <c r="EH110" s="998">
        <f>'Income Statement'!EU62</f>
        <v>341.07875000000001</v>
      </c>
      <c r="EI110" s="998">
        <f>'Income Statement'!EV62</f>
        <v>349.5</v>
      </c>
      <c r="EJ110" s="998">
        <f>'Income Statement'!EW62</f>
        <v>346.5</v>
      </c>
      <c r="EK110" s="1919">
        <f>'Income Statement'!EX62</f>
        <v>318.47500000000002</v>
      </c>
      <c r="EL110" s="1919">
        <f>'Income Statement'!EY62</f>
        <v>300.57499999999999</v>
      </c>
      <c r="EM110" s="1683">
        <f>'Income Statement'!EZ62</f>
        <v>282.55785075809774</v>
      </c>
      <c r="EN110" s="998">
        <f>'Income Statement'!FA62</f>
        <v>273.19492452809885</v>
      </c>
      <c r="EO110" s="998">
        <f>'Income Statement'!FB62</f>
        <v>263.38658527386451</v>
      </c>
      <c r="EP110" s="998">
        <f>'Income Statement'!FC62</f>
        <v>256.55406796493918</v>
      </c>
      <c r="EQ110" s="998">
        <f>'Income Statement'!FD62</f>
        <v>252.74497571248662</v>
      </c>
      <c r="ER110" s="998">
        <f>'Income Statement'!FE62</f>
        <v>250.0750975352972</v>
      </c>
      <c r="ES110" s="998">
        <f>'Income Statement'!FF62</f>
        <v>248.47718838744566</v>
      </c>
      <c r="ET110" s="998">
        <f>'Income Statement'!FG62</f>
        <v>247.88932716115715</v>
      </c>
      <c r="EU110" s="998">
        <f>'Income Statement'!FH62</f>
        <v>248.25452917749112</v>
      </c>
      <c r="EV110" s="413"/>
      <c r="EW110"/>
      <c r="EX110"/>
      <c r="EY110"/>
      <c r="EZ110"/>
      <c r="FA110"/>
      <c r="FB110"/>
      <c r="FG110"/>
      <c r="FH110"/>
      <c r="FI110" s="2662"/>
      <c r="FJ110" s="2662"/>
      <c r="FK110" s="2662"/>
      <c r="FL110"/>
      <c r="FM110"/>
      <c r="FN110"/>
      <c r="FO110"/>
      <c r="FP110"/>
      <c r="FQ110"/>
      <c r="FR110"/>
      <c r="FS110"/>
      <c r="FT110"/>
      <c r="FU110"/>
      <c r="FV110"/>
      <c r="FW110"/>
      <c r="FX110"/>
      <c r="FY110"/>
      <c r="FZ110"/>
      <c r="GA110"/>
      <c r="GB110"/>
      <c r="GC110"/>
      <c r="GD110"/>
      <c r="GE110"/>
      <c r="GF110"/>
      <c r="GG110"/>
      <c r="GH110"/>
      <c r="GI110"/>
      <c r="GJ110"/>
      <c r="GK110"/>
      <c r="GL110"/>
      <c r="GM110"/>
      <c r="GN110"/>
      <c r="GO110"/>
      <c r="GP110"/>
      <c r="GQ110"/>
      <c r="GR110"/>
      <c r="GS110"/>
      <c r="GT110"/>
      <c r="GU110"/>
      <c r="GV110"/>
      <c r="GW110"/>
      <c r="GX110"/>
      <c r="GY110"/>
      <c r="GZ110"/>
      <c r="HA110"/>
      <c r="HB110"/>
      <c r="HC110"/>
      <c r="HD110"/>
      <c r="HE110"/>
      <c r="HF110"/>
      <c r="HG110"/>
      <c r="HH110"/>
      <c r="HI110"/>
      <c r="HJ110"/>
      <c r="HK110"/>
      <c r="HL110"/>
      <c r="HM110"/>
      <c r="HN110"/>
      <c r="HO110"/>
      <c r="HP110"/>
      <c r="HQ110"/>
      <c r="HR110"/>
      <c r="HS110"/>
      <c r="HT110"/>
      <c r="HU110"/>
      <c r="HV110"/>
      <c r="HW110"/>
      <c r="HX110"/>
      <c r="HY110"/>
      <c r="HZ110"/>
      <c r="IA110"/>
      <c r="IB110"/>
      <c r="IC110"/>
      <c r="ID110"/>
      <c r="IE110"/>
      <c r="IF110"/>
      <c r="IG110"/>
      <c r="IH110"/>
      <c r="II110"/>
      <c r="IJ110"/>
      <c r="IK110"/>
      <c r="IL110"/>
      <c r="IM110"/>
      <c r="IN110"/>
      <c r="IO110"/>
      <c r="IP110"/>
      <c r="IQ110"/>
      <c r="IR110"/>
      <c r="IS110"/>
      <c r="IT110"/>
      <c r="IU110"/>
      <c r="IV110"/>
      <c r="IW110"/>
      <c r="IX110"/>
      <c r="IY110"/>
      <c r="IZ110"/>
    </row>
    <row r="111" spans="1:260" s="4" customFormat="1" outlineLevel="1" x14ac:dyDescent="0.2">
      <c r="A111" s="299"/>
      <c r="B111" s="373"/>
      <c r="C111" s="373"/>
      <c r="D111" s="373"/>
      <c r="E111" s="640"/>
      <c r="F111" s="373"/>
      <c r="G111" s="373"/>
      <c r="H111" s="373"/>
      <c r="I111" s="640"/>
      <c r="J111" s="373"/>
      <c r="K111" s="373"/>
      <c r="L111" s="373"/>
      <c r="M111" s="640"/>
      <c r="N111" s="373"/>
      <c r="O111" s="373"/>
      <c r="P111" s="373"/>
      <c r="Q111" s="640"/>
      <c r="R111" s="373"/>
      <c r="S111" s="373"/>
      <c r="T111" s="373"/>
      <c r="U111" s="640"/>
      <c r="V111" s="373"/>
      <c r="W111" s="373"/>
      <c r="X111" s="373"/>
      <c r="Y111" s="640"/>
      <c r="Z111" s="373"/>
      <c r="AA111" s="373"/>
      <c r="AB111" s="373"/>
      <c r="AC111" s="640"/>
      <c r="AD111" s="373"/>
      <c r="AE111" s="373"/>
      <c r="AF111" s="373"/>
      <c r="AG111" s="640"/>
      <c r="AH111" s="373"/>
      <c r="AI111" s="373"/>
      <c r="AJ111" s="373"/>
      <c r="AK111" s="640"/>
      <c r="AL111" s="373"/>
      <c r="AM111" s="373"/>
      <c r="AN111" s="373"/>
      <c r="AO111" s="640"/>
      <c r="AP111" s="373"/>
      <c r="AQ111" s="373"/>
      <c r="AR111" s="373"/>
      <c r="AS111" s="640"/>
      <c r="AT111" s="373"/>
      <c r="AU111" s="373"/>
      <c r="AV111" s="373"/>
      <c r="AW111" s="640"/>
      <c r="AX111" s="373"/>
      <c r="AY111" s="373"/>
      <c r="AZ111" s="373"/>
      <c r="BA111" s="640"/>
      <c r="BB111" s="373"/>
      <c r="BC111" s="373"/>
      <c r="BD111" s="242"/>
      <c r="BE111" s="640"/>
      <c r="BF111" s="373"/>
      <c r="BG111" s="373"/>
      <c r="BH111" s="242"/>
      <c r="BI111" s="660"/>
      <c r="BJ111" s="242"/>
      <c r="BK111" s="242"/>
      <c r="BL111" s="242"/>
      <c r="BM111" s="660"/>
      <c r="BN111" s="242"/>
      <c r="BO111" s="242"/>
      <c r="BP111" s="242"/>
      <c r="BQ111" s="660"/>
      <c r="BR111" s="242"/>
      <c r="BS111" s="242"/>
      <c r="BT111" s="242"/>
      <c r="BU111" s="660"/>
      <c r="BV111" s="242"/>
      <c r="BW111" s="373"/>
      <c r="BX111" s="373"/>
      <c r="BY111" s="640"/>
      <c r="BZ111" s="242"/>
      <c r="CA111" s="373"/>
      <c r="CB111" s="373"/>
      <c r="CC111" s="640"/>
      <c r="CD111" s="242"/>
      <c r="CE111" s="242"/>
      <c r="CF111" s="242"/>
      <c r="CG111" s="640"/>
      <c r="CH111" s="242"/>
      <c r="CI111" s="242"/>
      <c r="CJ111" s="242"/>
      <c r="CK111" s="660"/>
      <c r="CL111" s="242"/>
      <c r="CM111" s="242"/>
      <c r="CN111" s="242"/>
      <c r="CO111" s="660"/>
      <c r="CP111" s="242"/>
      <c r="CQ111" s="242"/>
      <c r="CR111" s="242"/>
      <c r="CS111" s="660"/>
      <c r="CT111" s="242"/>
      <c r="CU111" s="242"/>
      <c r="CV111" s="242"/>
      <c r="CW111" s="660"/>
      <c r="CX111" s="1686"/>
      <c r="CY111" s="373"/>
      <c r="CZ111" s="373"/>
      <c r="DA111" s="640"/>
      <c r="DB111" s="742"/>
      <c r="DC111" s="660"/>
      <c r="DD111" s="252"/>
      <c r="DE111" s="252"/>
      <c r="DF111" s="252"/>
      <c r="DG111" s="252"/>
      <c r="DH111" s="252"/>
      <c r="DI111" s="252"/>
      <c r="DJ111" s="252"/>
      <c r="DK111" s="252"/>
      <c r="DL111" s="373"/>
      <c r="DM111" s="373"/>
      <c r="DN111" s="373"/>
      <c r="DO111" s="373"/>
      <c r="DP111" s="373"/>
      <c r="DQ111" s="373"/>
      <c r="DR111" s="373"/>
      <c r="DS111" s="373"/>
      <c r="DT111" s="373"/>
      <c r="DU111" s="373"/>
      <c r="DV111" s="373"/>
      <c r="DW111" s="373"/>
      <c r="DX111" s="373"/>
      <c r="DY111" s="373"/>
      <c r="DZ111" s="373"/>
      <c r="EA111" s="242"/>
      <c r="EB111" s="242"/>
      <c r="EC111" s="242"/>
      <c r="ED111" s="373"/>
      <c r="EE111" s="242"/>
      <c r="EF111" s="242"/>
      <c r="EG111" s="373"/>
      <c r="EH111" s="373"/>
      <c r="EI111" s="373"/>
      <c r="EJ111" s="373"/>
      <c r="EK111" s="242"/>
      <c r="EL111" s="242"/>
      <c r="EM111" s="1686"/>
      <c r="EN111" s="242"/>
      <c r="EO111" s="242"/>
      <c r="EP111" s="242"/>
      <c r="EQ111" s="242"/>
      <c r="ER111" s="242"/>
      <c r="ES111" s="242"/>
      <c r="ET111" s="242"/>
      <c r="EU111" s="242"/>
      <c r="EV111" s="413"/>
      <c r="EW111"/>
      <c r="EX111"/>
      <c r="EY111"/>
      <c r="EZ111"/>
      <c r="FA111"/>
      <c r="FB111"/>
      <c r="FG111" s="242"/>
      <c r="FH111" s="242"/>
      <c r="FI111" s="242"/>
      <c r="FJ111" s="242"/>
      <c r="FK111" s="242"/>
      <c r="FL111"/>
      <c r="FM111"/>
      <c r="FN111"/>
      <c r="FO111"/>
      <c r="FP111"/>
      <c r="FQ111"/>
      <c r="FR111"/>
      <c r="FS111"/>
      <c r="FT111"/>
      <c r="FU111"/>
      <c r="FV111"/>
      <c r="FW111"/>
      <c r="FX111"/>
      <c r="FY111"/>
      <c r="FZ111"/>
      <c r="GA111"/>
      <c r="GB111"/>
      <c r="GC111"/>
      <c r="GD111"/>
      <c r="GE111"/>
      <c r="GF111"/>
      <c r="GG111"/>
      <c r="GH111"/>
      <c r="GI111"/>
      <c r="GJ111"/>
      <c r="GK111"/>
      <c r="GL111"/>
      <c r="GM111"/>
      <c r="GN111"/>
      <c r="GO111"/>
      <c r="GP111"/>
      <c r="GQ111"/>
      <c r="GR111"/>
      <c r="GS111"/>
      <c r="GT111"/>
      <c r="GU111"/>
      <c r="GV111"/>
      <c r="GW111"/>
      <c r="GX111"/>
      <c r="GY111"/>
      <c r="GZ111"/>
      <c r="HA111"/>
      <c r="HB111"/>
      <c r="HC111"/>
      <c r="HD111"/>
      <c r="HE111"/>
      <c r="HF111"/>
      <c r="HG111"/>
      <c r="HH111"/>
      <c r="HI111"/>
      <c r="HJ111"/>
      <c r="HK111"/>
      <c r="HL111"/>
      <c r="HM111"/>
      <c r="HN111"/>
      <c r="HO111"/>
      <c r="HP111"/>
      <c r="HQ111"/>
      <c r="HR111"/>
      <c r="HS111"/>
      <c r="HT111"/>
      <c r="HU111"/>
      <c r="HV111"/>
      <c r="HW111"/>
      <c r="HX111"/>
      <c r="HY111"/>
      <c r="HZ111"/>
      <c r="IA111"/>
      <c r="IB111"/>
      <c r="IC111"/>
      <c r="ID111"/>
      <c r="IE111"/>
      <c r="IF111"/>
      <c r="IG111"/>
      <c r="IH111"/>
      <c r="II111"/>
      <c r="IJ111"/>
      <c r="IK111"/>
      <c r="IL111"/>
      <c r="IM111"/>
      <c r="IN111"/>
      <c r="IO111"/>
      <c r="IP111"/>
      <c r="IQ111"/>
      <c r="IR111"/>
      <c r="IS111"/>
      <c r="IT111"/>
      <c r="IU111"/>
      <c r="IV111"/>
      <c r="IW111"/>
      <c r="IX111"/>
      <c r="IY111"/>
      <c r="IZ111"/>
    </row>
    <row r="112" spans="1:260" s="4" customFormat="1" outlineLevel="1" x14ac:dyDescent="0.2">
      <c r="A112" s="299" t="s">
        <v>552</v>
      </c>
      <c r="B112" s="372"/>
      <c r="C112" s="372"/>
      <c r="D112" s="372"/>
      <c r="E112" s="715"/>
      <c r="F112" s="372">
        <f>'Revenue Model'!F382</f>
        <v>5245</v>
      </c>
      <c r="G112" s="372">
        <f>'Revenue Model'!G382</f>
        <v>5920</v>
      </c>
      <c r="H112" s="372">
        <f>'Revenue Model'!H382</f>
        <v>7450</v>
      </c>
      <c r="I112" s="715">
        <f>'Revenue Model'!I382</f>
        <v>7791</v>
      </c>
      <c r="J112" s="372">
        <f>'Revenue Model'!J382</f>
        <v>8196</v>
      </c>
      <c r="K112" s="372">
        <f>'Revenue Model'!K382</f>
        <v>8691</v>
      </c>
      <c r="L112" s="372">
        <f>'Revenue Model'!L382</f>
        <v>9906</v>
      </c>
      <c r="M112" s="715">
        <f>'Revenue Model'!M382</f>
        <v>10400</v>
      </c>
      <c r="N112" s="372">
        <f>'Revenue Model'!N382</f>
        <v>10940</v>
      </c>
      <c r="O112" s="372">
        <f>'Revenue Model'!O382</f>
        <v>11118</v>
      </c>
      <c r="P112" s="372">
        <f>'Revenue Model'!P382</f>
        <v>11683</v>
      </c>
      <c r="Q112" s="715">
        <f>'Revenue Model'!Q382</f>
        <v>11692</v>
      </c>
      <c r="R112" s="372">
        <f>'Revenue Model'!R382</f>
        <v>11816</v>
      </c>
      <c r="S112" s="372">
        <f>'Revenue Model'!S382</f>
        <v>12103</v>
      </c>
      <c r="T112" s="372">
        <f>'Revenue Model'!T382</f>
        <v>12362</v>
      </c>
      <c r="U112" s="715">
        <f>'Revenue Model'!U382</f>
        <v>12334</v>
      </c>
      <c r="V112" s="372">
        <f>'Revenue Model'!V382</f>
        <v>12559</v>
      </c>
      <c r="W112" s="372">
        <f>'Revenue Model'!W382</f>
        <v>12567</v>
      </c>
      <c r="X112" s="372">
        <f>'Revenue Model'!X382</f>
        <v>13662</v>
      </c>
      <c r="Y112" s="715">
        <f>'Revenue Model'!Y382</f>
        <v>13634</v>
      </c>
      <c r="Z112" s="372">
        <f>'Revenue Model'!Z382</f>
        <v>13749</v>
      </c>
      <c r="AA112" s="372">
        <f>'Revenue Model'!AA382</f>
        <v>14576</v>
      </c>
      <c r="AB112" s="372">
        <f>'Revenue Model'!AB382</f>
        <v>15683</v>
      </c>
      <c r="AC112" s="715">
        <f>'Revenue Model'!AC382</f>
        <v>15773</v>
      </c>
      <c r="AD112" s="372">
        <f>'Revenue Model'!AD382</f>
        <v>15961</v>
      </c>
      <c r="AE112" s="372">
        <f>'Revenue Model'!AE382</f>
        <v>16411</v>
      </c>
      <c r="AF112" s="372">
        <f>'Revenue Model'!AF382</f>
        <v>18247</v>
      </c>
      <c r="AG112" s="715">
        <f>'Revenue Model'!AG382</f>
        <v>18628.599999999999</v>
      </c>
      <c r="AH112" s="372">
        <f>'Revenue Model'!AH382</f>
        <v>19557</v>
      </c>
      <c r="AI112" s="372">
        <f>'Revenue Model'!AI382</f>
        <v>19980</v>
      </c>
      <c r="AJ112" s="372">
        <f>'Revenue Model'!AJ382</f>
        <v>24052</v>
      </c>
      <c r="AK112" s="715">
        <f>'Revenue Model'!AK382</f>
        <v>24235</v>
      </c>
      <c r="AL112" s="372">
        <f>'Revenue Model'!AL382</f>
        <v>24776</v>
      </c>
      <c r="AM112" s="372">
        <f>'Revenue Model'!AM382</f>
        <v>25846</v>
      </c>
      <c r="AN112" s="372">
        <f>'Revenue Model'!AN382</f>
        <v>27472</v>
      </c>
      <c r="AO112" s="715">
        <f>'Revenue Model'!AO382</f>
        <v>27547</v>
      </c>
      <c r="AP112" s="372">
        <f>'Revenue Model'!AP382</f>
        <v>27785</v>
      </c>
      <c r="AQ112" s="372">
        <f>'Revenue Model'!AQ382</f>
        <v>28480</v>
      </c>
      <c r="AR112" s="372">
        <f>'Revenue Model'!AR382</f>
        <v>29995</v>
      </c>
      <c r="AS112" s="715">
        <f>'Revenue Model'!AS382</f>
        <v>30286</v>
      </c>
      <c r="AT112" s="372">
        <f>'Revenue Model'!AT382</f>
        <v>30666</v>
      </c>
      <c r="AU112" s="372">
        <f>'Revenue Model'!AU382</f>
        <v>31034</v>
      </c>
      <c r="AV112" s="372">
        <f>'Revenue Model'!AV382</f>
        <v>32222</v>
      </c>
      <c r="AW112" s="715">
        <f>'Revenue Model'!AW382</f>
        <v>32570</v>
      </c>
      <c r="AX112" s="372">
        <f>'Revenue Model'!AX382</f>
        <v>32996</v>
      </c>
      <c r="AY112" s="372">
        <f>'Revenue Model'!AY382</f>
        <v>33573</v>
      </c>
      <c r="AZ112" s="372">
        <f>'Revenue Model'!AZ382</f>
        <v>35240</v>
      </c>
      <c r="BA112" s="715">
        <f>'Revenue Model'!BA382</f>
        <v>35525.75</v>
      </c>
      <c r="BB112" s="372">
        <f>'Revenue Model'!BB382</f>
        <v>36443.979999999996</v>
      </c>
      <c r="BC112" s="372">
        <f>'Revenue Model'!BC382</f>
        <v>41331</v>
      </c>
      <c r="BD112" s="372">
        <f>'Revenue Model'!BD382</f>
        <v>43002</v>
      </c>
      <c r="BE112" s="715">
        <f>'Revenue Model'!BE382</f>
        <v>43511</v>
      </c>
      <c r="BF112" s="372">
        <f>'Revenue Model'!BF382</f>
        <v>44517</v>
      </c>
      <c r="BG112" s="372">
        <f>'Revenue Model'!BG382</f>
        <v>45520</v>
      </c>
      <c r="BH112" s="372">
        <f>'Revenue Model'!BH382</f>
        <v>47785</v>
      </c>
      <c r="BI112" s="715">
        <f>'Revenue Model'!BI382</f>
        <v>48580</v>
      </c>
      <c r="BJ112" s="372">
        <f>'Revenue Model'!BJ382</f>
        <v>49812</v>
      </c>
      <c r="BK112" s="372">
        <f>'Revenue Model'!BK382</f>
        <v>50699</v>
      </c>
      <c r="BL112" s="372">
        <f>'Revenue Model'!BL382</f>
        <v>53340</v>
      </c>
      <c r="BM112" s="715">
        <f>'Revenue Model'!BM382</f>
        <v>54255</v>
      </c>
      <c r="BN112" s="372">
        <f>'Revenue Model'!BN382</f>
        <v>54506</v>
      </c>
      <c r="BO112" s="372">
        <f>'Revenue Model'!BO382</f>
        <v>55128</v>
      </c>
      <c r="BP112" s="372">
        <f>'Revenue Model'!BP382</f>
        <v>56038</v>
      </c>
      <c r="BQ112" s="715">
        <f>'Revenue Model'!BQ382</f>
        <v>56103.044836100002</v>
      </c>
      <c r="BR112" s="372">
        <f>'Revenue Model'!BR382</f>
        <v>56583</v>
      </c>
      <c r="BS112" s="372">
        <f>'Revenue Model'!BS382</f>
        <v>57338</v>
      </c>
      <c r="BT112" s="372">
        <f>'Revenue Model'!BT382</f>
        <v>57881</v>
      </c>
      <c r="BU112" s="715">
        <f>'Revenue Model'!BU382</f>
        <v>58105</v>
      </c>
      <c r="BV112" s="372">
        <f>'Revenue Model'!BV382</f>
        <v>58181</v>
      </c>
      <c r="BW112" s="372">
        <f>'Revenue Model'!BW382</f>
        <v>58855</v>
      </c>
      <c r="BX112" s="372">
        <f>'Revenue Model'!BX382</f>
        <v>59357</v>
      </c>
      <c r="BY112" s="715">
        <f>'Revenue Model'!BY382</f>
        <v>59637</v>
      </c>
      <c r="BZ112" s="372">
        <f>'Revenue Model'!CH382</f>
        <v>59695</v>
      </c>
      <c r="CA112" s="372">
        <f>'Revenue Model'!CI382</f>
        <v>58503</v>
      </c>
      <c r="CB112" s="372">
        <f>'Revenue Model'!CJ382</f>
        <v>58605</v>
      </c>
      <c r="CC112" s="715">
        <f>'Revenue Model'!CK382</f>
        <v>57281</v>
      </c>
      <c r="CD112" s="389">
        <f>'Revenue Model'!CP382</f>
        <v>48825</v>
      </c>
      <c r="CE112" s="389">
        <f>'Revenue Model'!CQ382</f>
        <v>48847</v>
      </c>
      <c r="CF112" s="389">
        <f>'Revenue Model'!CR382</f>
        <v>48793</v>
      </c>
      <c r="CG112" s="715">
        <f>'Revenue Model'!CS382</f>
        <v>48687</v>
      </c>
      <c r="CH112" s="389">
        <f>'Revenue Model'!CT382</f>
        <v>48586</v>
      </c>
      <c r="CI112" s="389">
        <f>'Revenue Model'!CU382</f>
        <v>48409</v>
      </c>
      <c r="CJ112" s="389">
        <f>'Revenue Model'!CV382</f>
        <v>48386</v>
      </c>
      <c r="CK112" s="740">
        <f>'Revenue Model'!CW382</f>
        <v>48186</v>
      </c>
      <c r="CL112" s="1347">
        <f>'Revenue Model'!CX382</f>
        <v>46221</v>
      </c>
      <c r="CM112" s="389">
        <f>'Revenue Model'!CY382</f>
        <v>46149</v>
      </c>
      <c r="CN112" s="389">
        <f>'Revenue Model'!CZ382</f>
        <v>46144</v>
      </c>
      <c r="CO112" s="740">
        <f>'Revenue Model'!DA382</f>
        <v>45759</v>
      </c>
      <c r="CP112" s="389">
        <f>'Revenue Model'!DB382</f>
        <v>45668</v>
      </c>
      <c r="CQ112" s="389">
        <f>'Revenue Model'!DC382</f>
        <v>45624</v>
      </c>
      <c r="CR112" s="389">
        <f>'Revenue Model'!DD382</f>
        <v>45361</v>
      </c>
      <c r="CS112" s="740">
        <f>'Revenue Model'!DE382</f>
        <v>45338</v>
      </c>
      <c r="CT112" s="1347">
        <f>'Revenue Model'!DF382</f>
        <v>45267</v>
      </c>
      <c r="CU112" s="389">
        <f>'Revenue Model'!DG382</f>
        <v>45301</v>
      </c>
      <c r="CV112" s="389">
        <f>'Revenue Model'!DH382</f>
        <v>44779</v>
      </c>
      <c r="CW112" s="740">
        <f>'Revenue Model'!DI382</f>
        <v>44746</v>
      </c>
      <c r="CX112" s="2810">
        <f>'Revenue Model'!DJ382</f>
        <v>43935</v>
      </c>
      <c r="CY112" s="2609">
        <f>'Revenue Model'!DK382</f>
        <v>43818.34</v>
      </c>
      <c r="CZ112" s="2609">
        <f>'Revenue Model'!DL382</f>
        <v>43701.989168000007</v>
      </c>
      <c r="DA112" s="715">
        <f>'Revenue Model'!DM382</f>
        <v>43761.883868540004</v>
      </c>
      <c r="DB112" s="739"/>
      <c r="DC112" s="740"/>
      <c r="DD112" s="252"/>
      <c r="DE112" s="252"/>
      <c r="DF112" s="252"/>
      <c r="DG112" s="252"/>
      <c r="DH112" s="252"/>
      <c r="DI112" s="252"/>
      <c r="DJ112" s="252"/>
      <c r="DK112" s="252"/>
      <c r="DL112" s="998">
        <f>'Revenue Model'!DX382</f>
        <v>0</v>
      </c>
      <c r="DM112" s="998">
        <f>'Revenue Model'!DY382</f>
        <v>7791</v>
      </c>
      <c r="DN112" s="998">
        <f>'Revenue Model'!DZ382</f>
        <v>10400</v>
      </c>
      <c r="DO112" s="998">
        <f>'Revenue Model'!EA382</f>
        <v>11692</v>
      </c>
      <c r="DP112" s="998">
        <f>'Revenue Model'!EB382</f>
        <v>12334</v>
      </c>
      <c r="DQ112" s="998">
        <f>'Revenue Model'!EC382</f>
        <v>13634</v>
      </c>
      <c r="DR112" s="998">
        <f>'Revenue Model'!ED382</f>
        <v>15773</v>
      </c>
      <c r="DS112" s="998">
        <f>'Revenue Model'!EE382</f>
        <v>18628.599999999999</v>
      </c>
      <c r="DT112" s="998">
        <f>'Revenue Model'!EF382</f>
        <v>23759</v>
      </c>
      <c r="DU112" s="998">
        <f>'Revenue Model'!EG382</f>
        <v>26962</v>
      </c>
      <c r="DV112" s="998">
        <f>'Revenue Model'!EH382</f>
        <v>29638</v>
      </c>
      <c r="DW112" s="998">
        <f>'Revenue Model'!EI382</f>
        <v>31846.998</v>
      </c>
      <c r="DX112" s="998">
        <f>'Revenue Model'!EJ382</f>
        <v>34752.75</v>
      </c>
      <c r="DY112" s="998">
        <f>'Revenue Model'!EK382</f>
        <v>42649</v>
      </c>
      <c r="DZ112" s="998">
        <f>'Revenue Model'!EL382</f>
        <v>47665</v>
      </c>
      <c r="EA112" s="998">
        <f>'Revenue Model'!EM382</f>
        <v>54255</v>
      </c>
      <c r="EB112" s="998">
        <f>'Revenue Model'!EN382</f>
        <v>56103.044836100002</v>
      </c>
      <c r="EC112" s="998">
        <f>'Revenue Model'!EO382</f>
        <v>58105</v>
      </c>
      <c r="ED112" s="998">
        <f>'Revenue Model'!EP382</f>
        <v>59637</v>
      </c>
      <c r="EE112" s="998">
        <f>'Revenue Model'!EQ382</f>
        <v>58105</v>
      </c>
      <c r="EF112" s="998">
        <f>'Revenue Model'!ER382</f>
        <v>59637</v>
      </c>
      <c r="EG112" s="998">
        <f>'Revenue Model'!ES382</f>
        <v>57399</v>
      </c>
      <c r="EH112" s="998">
        <f>'Revenue Model'!EU382</f>
        <v>48687</v>
      </c>
      <c r="EI112" s="998">
        <f>'Revenue Model'!EV382</f>
        <v>48310</v>
      </c>
      <c r="EJ112" s="998">
        <f>'Revenue Model'!EW382</f>
        <v>46310</v>
      </c>
      <c r="EK112" s="1919">
        <f>'Revenue Model'!EX382</f>
        <v>45338</v>
      </c>
      <c r="EL112" s="1919">
        <f>'Revenue Model'!EY382</f>
        <v>44746</v>
      </c>
      <c r="EM112" s="1683">
        <f>'Revenue Model'!EZ382</f>
        <v>43761.883868540004</v>
      </c>
      <c r="EN112" s="998">
        <f>'Revenue Model'!FA382</f>
        <v>43418.144062156491</v>
      </c>
      <c r="EO112" s="998">
        <f>'Revenue Model'!FB382</f>
        <v>43125.405876122029</v>
      </c>
      <c r="EP112" s="998">
        <f>'Revenue Model'!FC382</f>
        <v>42945.511733769265</v>
      </c>
      <c r="EQ112" s="998">
        <f>'Revenue Model'!FD382</f>
        <v>42765.788654888063</v>
      </c>
      <c r="ER112" s="998">
        <f>'Revenue Model'!FE382</f>
        <v>42586.253336760768</v>
      </c>
      <c r="ES112" s="998">
        <f>'Revenue Model'!FF382</f>
        <v>42406.92212561769</v>
      </c>
      <c r="ET112" s="998">
        <f>'Revenue Model'!FG382</f>
        <v>42227.81102198852</v>
      </c>
      <c r="EU112" s="998">
        <f>'Revenue Model'!FH382</f>
        <v>42048.935685981603</v>
      </c>
      <c r="EV112" s="413"/>
      <c r="EW112"/>
      <c r="EX112"/>
      <c r="EY112"/>
      <c r="EZ112"/>
      <c r="FA112"/>
      <c r="FB112"/>
      <c r="FG112"/>
      <c r="FH112"/>
      <c r="FI112" s="2662"/>
      <c r="FJ112" s="2662"/>
      <c r="FK112" s="2662"/>
      <c r="FL112"/>
      <c r="FM112"/>
      <c r="FN112"/>
      <c r="FO112"/>
      <c r="FP112"/>
      <c r="FQ112"/>
      <c r="FR112"/>
      <c r="FS112"/>
      <c r="FT112"/>
      <c r="FU112"/>
      <c r="FV112"/>
      <c r="FW112"/>
      <c r="FX112"/>
      <c r="FY112"/>
      <c r="FZ112"/>
      <c r="GA112"/>
      <c r="GB112"/>
      <c r="GC112"/>
      <c r="GD112"/>
      <c r="GE112"/>
      <c r="GF112"/>
      <c r="GG112"/>
      <c r="GH112"/>
      <c r="GI112"/>
      <c r="GJ112"/>
      <c r="GK112"/>
      <c r="GL112"/>
      <c r="GM112"/>
      <c r="GN112"/>
      <c r="GO112"/>
      <c r="GP112"/>
      <c r="GQ112"/>
      <c r="GR112"/>
      <c r="GS112"/>
      <c r="GT112"/>
      <c r="GU112"/>
      <c r="GV112"/>
      <c r="GW112"/>
      <c r="GX112"/>
      <c r="GY112"/>
      <c r="GZ112"/>
      <c r="HA112"/>
      <c r="HB112"/>
      <c r="HC112"/>
      <c r="HD112"/>
      <c r="HE112"/>
      <c r="HF112"/>
      <c r="HG112"/>
      <c r="HH112"/>
      <c r="HI112"/>
      <c r="HJ112"/>
      <c r="HK112"/>
      <c r="HL112"/>
      <c r="HM112"/>
      <c r="HN112"/>
      <c r="HO112"/>
      <c r="HP112"/>
      <c r="HQ112"/>
      <c r="HR112"/>
      <c r="HS112"/>
      <c r="HT112"/>
      <c r="HU112"/>
      <c r="HV112"/>
      <c r="HW112"/>
      <c r="HX112"/>
      <c r="HY112"/>
      <c r="HZ112"/>
      <c r="IA112"/>
      <c r="IB112"/>
      <c r="IC112"/>
      <c r="ID112"/>
      <c r="IE112"/>
      <c r="IF112"/>
      <c r="IG112"/>
      <c r="IH112"/>
      <c r="II112"/>
      <c r="IJ112"/>
      <c r="IK112"/>
      <c r="IL112"/>
      <c r="IM112"/>
      <c r="IN112"/>
      <c r="IO112"/>
      <c r="IP112"/>
      <c r="IQ112"/>
      <c r="IR112"/>
      <c r="IS112"/>
      <c r="IT112"/>
      <c r="IU112"/>
      <c r="IV112"/>
      <c r="IW112"/>
      <c r="IX112"/>
      <c r="IY112"/>
      <c r="IZ112"/>
    </row>
    <row r="113" spans="1:260" s="4" customFormat="1" outlineLevel="1" x14ac:dyDescent="0.2">
      <c r="A113" s="299" t="s">
        <v>553</v>
      </c>
      <c r="B113" s="9"/>
      <c r="C113" s="9"/>
      <c r="D113" s="9"/>
      <c r="E113" s="645"/>
      <c r="F113" s="9">
        <f>F112-DL112</f>
        <v>5245</v>
      </c>
      <c r="G113" s="9">
        <f>G112-F112</f>
        <v>675</v>
      </c>
      <c r="H113" s="9">
        <f>H112-G112</f>
        <v>1530</v>
      </c>
      <c r="I113" s="645">
        <f>I112-H112</f>
        <v>341</v>
      </c>
      <c r="J113" s="9">
        <f>J112-DM112</f>
        <v>405</v>
      </c>
      <c r="K113" s="9">
        <f>K112-J112</f>
        <v>495</v>
      </c>
      <c r="L113" s="9">
        <f>L112-K112</f>
        <v>1215</v>
      </c>
      <c r="M113" s="645">
        <f>M112-L112</f>
        <v>494</v>
      </c>
      <c r="N113" s="9">
        <f>N112-DN112</f>
        <v>540</v>
      </c>
      <c r="O113" s="9">
        <f>O112-N112</f>
        <v>178</v>
      </c>
      <c r="P113" s="9">
        <f>P112-O112</f>
        <v>565</v>
      </c>
      <c r="Q113" s="645">
        <f>Q112-P112</f>
        <v>9</v>
      </c>
      <c r="R113" s="9">
        <f>R112-DO112</f>
        <v>124</v>
      </c>
      <c r="S113" s="9">
        <f>S112-R112</f>
        <v>287</v>
      </c>
      <c r="T113" s="9">
        <f>T112-S112</f>
        <v>259</v>
      </c>
      <c r="U113" s="645">
        <f>U112-T112</f>
        <v>-28</v>
      </c>
      <c r="V113" s="9">
        <f>V112-DP112</f>
        <v>225</v>
      </c>
      <c r="W113" s="9">
        <f>W112-V112</f>
        <v>8</v>
      </c>
      <c r="X113" s="9">
        <f>X112-W112</f>
        <v>1095</v>
      </c>
      <c r="Y113" s="645">
        <f>Y112-X112</f>
        <v>-28</v>
      </c>
      <c r="Z113" s="9">
        <f>Z112-DQ112</f>
        <v>115</v>
      </c>
      <c r="AA113" s="9">
        <f>AA112-Z112</f>
        <v>827</v>
      </c>
      <c r="AB113" s="9">
        <f>AB112-AA112</f>
        <v>1107</v>
      </c>
      <c r="AC113" s="645">
        <f>AC112-AB112</f>
        <v>90</v>
      </c>
      <c r="AD113" s="9">
        <f>AD112-DR112</f>
        <v>188</v>
      </c>
      <c r="AE113" s="9">
        <f>AE112-AD112</f>
        <v>450</v>
      </c>
      <c r="AF113" s="9">
        <f>AF112-AE112</f>
        <v>1836</v>
      </c>
      <c r="AG113" s="645">
        <f>AG112-AF112</f>
        <v>381.59999999999854</v>
      </c>
      <c r="AH113" s="9">
        <f>AH112-DS112</f>
        <v>928.40000000000146</v>
      </c>
      <c r="AI113" s="9">
        <f>AI112-AH112</f>
        <v>423</v>
      </c>
      <c r="AJ113" s="9">
        <f>AJ112-AI112</f>
        <v>4072</v>
      </c>
      <c r="AK113" s="645">
        <f>AK112-AJ112</f>
        <v>183</v>
      </c>
      <c r="AL113" s="9">
        <f>AL112-DT112</f>
        <v>1017</v>
      </c>
      <c r="AM113" s="9">
        <f>AM112-AL112</f>
        <v>1070</v>
      </c>
      <c r="AN113" s="9">
        <f>AN112-AM112</f>
        <v>1626</v>
      </c>
      <c r="AO113" s="645">
        <f>AO112-AN112</f>
        <v>75</v>
      </c>
      <c r="AP113" s="9">
        <f>AP112-DU112</f>
        <v>823</v>
      </c>
      <c r="AQ113" s="9">
        <f>AQ112-AP112</f>
        <v>695</v>
      </c>
      <c r="AR113" s="9">
        <f>AR112-AQ112</f>
        <v>1515</v>
      </c>
      <c r="AS113" s="645">
        <f>AS112-AR112</f>
        <v>291</v>
      </c>
      <c r="AT113" s="9">
        <f>AT112-DV112</f>
        <v>1028</v>
      </c>
      <c r="AU113" s="9">
        <f>AU112-AT112</f>
        <v>368</v>
      </c>
      <c r="AV113" s="9">
        <f>AV112-AU112</f>
        <v>1188</v>
      </c>
      <c r="AW113" s="645">
        <f>AW112-AV112</f>
        <v>348</v>
      </c>
      <c r="AX113" s="9">
        <f>AX112-DW112</f>
        <v>1149.0020000000004</v>
      </c>
      <c r="AY113" s="9">
        <f>AY112-AX112</f>
        <v>577</v>
      </c>
      <c r="AZ113" s="9">
        <f>AZ112-AY112</f>
        <v>1667</v>
      </c>
      <c r="BA113" s="645">
        <f>BA112-AZ112</f>
        <v>285.75</v>
      </c>
      <c r="BB113" s="9">
        <f>BB112-DX112</f>
        <v>1691.2299999999959</v>
      </c>
      <c r="BC113" s="9">
        <f>BC112-BB112</f>
        <v>4887.0200000000041</v>
      </c>
      <c r="BD113" s="9">
        <f>BD112-BC112</f>
        <v>1671</v>
      </c>
      <c r="BE113" s="645">
        <f>BE112-BD112</f>
        <v>509</v>
      </c>
      <c r="BF113" s="9">
        <f>BF112-DY112</f>
        <v>1868</v>
      </c>
      <c r="BG113" s="9">
        <f>BG112-BF112</f>
        <v>1003</v>
      </c>
      <c r="BH113" s="9">
        <f>BH112-BG112</f>
        <v>2265</v>
      </c>
      <c r="BI113" s="645">
        <f>BI112-BH112</f>
        <v>795</v>
      </c>
      <c r="BJ113" s="9">
        <f>BJ112-DZ112</f>
        <v>2147</v>
      </c>
      <c r="BK113" s="9">
        <f>BK112-BJ112</f>
        <v>887</v>
      </c>
      <c r="BL113" s="9">
        <f>BL112-BK112</f>
        <v>2641</v>
      </c>
      <c r="BM113" s="645">
        <f>BM112-BL112</f>
        <v>915</v>
      </c>
      <c r="BN113" s="9">
        <f>BN112-EA112</f>
        <v>251</v>
      </c>
      <c r="BO113" s="9">
        <f>BO112-BN112</f>
        <v>622</v>
      </c>
      <c r="BP113" s="9">
        <f>BP112-BO112</f>
        <v>910</v>
      </c>
      <c r="BQ113" s="645">
        <f>BQ112-BP112</f>
        <v>65.044836100001703</v>
      </c>
      <c r="BR113" s="9">
        <f>BR112-EB112</f>
        <v>479.9551638999983</v>
      </c>
      <c r="BS113" s="9">
        <f>BS112-BR112</f>
        <v>755</v>
      </c>
      <c r="BT113" s="9">
        <f>BT112-BS112</f>
        <v>543</v>
      </c>
      <c r="BU113" s="645">
        <f>BU112-BT112</f>
        <v>224</v>
      </c>
      <c r="BV113" s="9">
        <f>BV112-EC112</f>
        <v>76</v>
      </c>
      <c r="BW113" s="9">
        <f>BW112-BV112</f>
        <v>674</v>
      </c>
      <c r="BX113" s="9">
        <f>BX112-BW112</f>
        <v>502</v>
      </c>
      <c r="BY113" s="645">
        <f>BY112-BX112</f>
        <v>280</v>
      </c>
      <c r="BZ113" s="9">
        <f>BZ112-ED112</f>
        <v>58</v>
      </c>
      <c r="CA113" s="9">
        <f>CA112-BZ112</f>
        <v>-1192</v>
      </c>
      <c r="CB113" s="9">
        <f>CB112-CA112</f>
        <v>102</v>
      </c>
      <c r="CC113" s="645">
        <f>CC112-CB112</f>
        <v>-1324</v>
      </c>
      <c r="CD113" s="10">
        <f>CD112-EG112</f>
        <v>-8574</v>
      </c>
      <c r="CE113" s="10">
        <f>CE112-CD112</f>
        <v>22</v>
      </c>
      <c r="CF113" s="10">
        <f>CF112-CE112</f>
        <v>-54</v>
      </c>
      <c r="CG113" s="645">
        <f>CG112-CF112</f>
        <v>-106</v>
      </c>
      <c r="CH113" s="10">
        <f>CH112-EH112</f>
        <v>-101</v>
      </c>
      <c r="CI113" s="10">
        <f>CI112-CH112</f>
        <v>-177</v>
      </c>
      <c r="CJ113" s="10">
        <f>CJ112-CI112</f>
        <v>-23</v>
      </c>
      <c r="CK113" s="524">
        <f>CK112-CJ112</f>
        <v>-200</v>
      </c>
      <c r="CL113" s="172">
        <f>CL112-EL112</f>
        <v>1475</v>
      </c>
      <c r="CM113" s="10">
        <f t="shared" ref="CM113:CU113" si="222">CM112-CL112</f>
        <v>-72</v>
      </c>
      <c r="CN113" s="10">
        <f t="shared" si="222"/>
        <v>-5</v>
      </c>
      <c r="CO113" s="524">
        <f t="shared" si="222"/>
        <v>-385</v>
      </c>
      <c r="CP113" s="10">
        <f t="shared" si="222"/>
        <v>-91</v>
      </c>
      <c r="CQ113" s="10">
        <f t="shared" si="222"/>
        <v>-44</v>
      </c>
      <c r="CR113" s="10">
        <f t="shared" si="222"/>
        <v>-263</v>
      </c>
      <c r="CS113" s="524">
        <f t="shared" si="222"/>
        <v>-23</v>
      </c>
      <c r="CT113" s="172">
        <f>CT112-CS112</f>
        <v>-71</v>
      </c>
      <c r="CU113" s="10">
        <f t="shared" si="222"/>
        <v>34</v>
      </c>
      <c r="CV113" s="10">
        <f t="shared" ref="CV113:DA113" si="223">CV112-CU112</f>
        <v>-522</v>
      </c>
      <c r="CW113" s="524">
        <f t="shared" si="223"/>
        <v>-33</v>
      </c>
      <c r="CX113" s="2720">
        <f t="shared" si="223"/>
        <v>-811</v>
      </c>
      <c r="CY113" s="93">
        <f t="shared" si="223"/>
        <v>-116.66000000000349</v>
      </c>
      <c r="CZ113" s="93">
        <f t="shared" si="223"/>
        <v>-116.35083199998917</v>
      </c>
      <c r="DA113" s="645">
        <f t="shared" si="223"/>
        <v>59.894700539996848</v>
      </c>
      <c r="DB113" s="667"/>
      <c r="DC113" s="524"/>
      <c r="DD113" s="252"/>
      <c r="DE113" s="252"/>
      <c r="DF113" s="252"/>
      <c r="DG113" s="252"/>
      <c r="DH113" s="252"/>
      <c r="DI113" s="252"/>
      <c r="DJ113" s="252"/>
      <c r="DK113" s="252"/>
      <c r="DL113" s="9"/>
      <c r="DM113" s="9">
        <f t="shared" ref="DM113:EC113" si="224">DM112-DL112</f>
        <v>7791</v>
      </c>
      <c r="DN113" s="9">
        <f t="shared" si="224"/>
        <v>2609</v>
      </c>
      <c r="DO113" s="9">
        <f t="shared" si="224"/>
        <v>1292</v>
      </c>
      <c r="DP113" s="9">
        <f t="shared" si="224"/>
        <v>642</v>
      </c>
      <c r="DQ113" s="9">
        <f t="shared" si="224"/>
        <v>1300</v>
      </c>
      <c r="DR113" s="9">
        <f t="shared" si="224"/>
        <v>2139</v>
      </c>
      <c r="DS113" s="9">
        <f t="shared" si="224"/>
        <v>2855.5999999999985</v>
      </c>
      <c r="DT113" s="9">
        <f t="shared" si="224"/>
        <v>5130.4000000000015</v>
      </c>
      <c r="DU113" s="9">
        <f t="shared" si="224"/>
        <v>3203</v>
      </c>
      <c r="DV113" s="9">
        <f t="shared" si="224"/>
        <v>2676</v>
      </c>
      <c r="DW113" s="9">
        <f t="shared" si="224"/>
        <v>2208.9979999999996</v>
      </c>
      <c r="DX113" s="9">
        <f t="shared" si="224"/>
        <v>2905.7520000000004</v>
      </c>
      <c r="DY113" s="9">
        <f t="shared" si="224"/>
        <v>7896.25</v>
      </c>
      <c r="DZ113" s="9">
        <f t="shared" si="224"/>
        <v>5016</v>
      </c>
      <c r="EA113" s="9">
        <f t="shared" si="224"/>
        <v>6590</v>
      </c>
      <c r="EB113" s="9">
        <f t="shared" si="224"/>
        <v>1848.0448361000017</v>
      </c>
      <c r="EC113" s="9">
        <f t="shared" si="224"/>
        <v>2001.9551638999983</v>
      </c>
      <c r="ED113" s="9">
        <f>ED112-EC112</f>
        <v>1532</v>
      </c>
      <c r="EE113" s="9">
        <f>EE112-EB112</f>
        <v>2001.9551638999983</v>
      </c>
      <c r="EF113" s="9">
        <f>EF112-EE112</f>
        <v>1532</v>
      </c>
      <c r="EG113" s="9">
        <f>EG112-ED112</f>
        <v>-2238</v>
      </c>
      <c r="EH113" s="9">
        <f t="shared" ref="EH113:EP113" si="225">EH112-EG112</f>
        <v>-8712</v>
      </c>
      <c r="EI113" s="9">
        <f t="shared" si="225"/>
        <v>-377</v>
      </c>
      <c r="EJ113" s="9">
        <f t="shared" si="225"/>
        <v>-2000</v>
      </c>
      <c r="EK113" s="10">
        <f t="shared" si="225"/>
        <v>-972</v>
      </c>
      <c r="EL113" s="10">
        <f t="shared" si="225"/>
        <v>-592</v>
      </c>
      <c r="EM113" s="1684">
        <f t="shared" si="225"/>
        <v>-984.11613145999581</v>
      </c>
      <c r="EN113" s="9">
        <f t="shared" si="225"/>
        <v>-343.7398063835135</v>
      </c>
      <c r="EO113" s="9">
        <f t="shared" si="225"/>
        <v>-292.73818603446125</v>
      </c>
      <c r="EP113" s="9">
        <f t="shared" si="225"/>
        <v>-179.8941423527649</v>
      </c>
      <c r="EQ113" s="9">
        <f>EQ112-EP112</f>
        <v>-179.72307888120122</v>
      </c>
      <c r="ER113" s="9">
        <f>ER112-EQ112</f>
        <v>-179.53531812729489</v>
      </c>
      <c r="ES113" s="9">
        <f>ES112-ER112</f>
        <v>-179.33121114307869</v>
      </c>
      <c r="ET113" s="9">
        <f>ET112-ES112</f>
        <v>-179.11110362916952</v>
      </c>
      <c r="EU113" s="9">
        <f>EU112-ET112</f>
        <v>-178.87533600691677</v>
      </c>
      <c r="EV113" s="413"/>
      <c r="EW113"/>
      <c r="EX113"/>
      <c r="EY113"/>
      <c r="EZ113"/>
      <c r="FA113"/>
      <c r="FB113"/>
      <c r="FG113" s="172"/>
      <c r="FH113" s="172"/>
      <c r="FI113" s="172"/>
      <c r="FJ113" s="172"/>
      <c r="FK113" s="172"/>
      <c r="FL113"/>
      <c r="FM113"/>
      <c r="FN113"/>
      <c r="FO113"/>
      <c r="FP113"/>
      <c r="FQ113"/>
      <c r="FR113"/>
      <c r="FS113"/>
      <c r="FT113"/>
      <c r="FU113"/>
      <c r="FV113"/>
      <c r="FW113"/>
      <c r="FX113"/>
      <c r="FY113"/>
      <c r="FZ113"/>
      <c r="GA113"/>
      <c r="GB113"/>
      <c r="GC113"/>
      <c r="GD113"/>
      <c r="GE113"/>
      <c r="GF113"/>
      <c r="GG113"/>
      <c r="GH113"/>
      <c r="GI113"/>
      <c r="GJ113"/>
      <c r="GK113"/>
      <c r="GL113"/>
      <c r="GM113"/>
      <c r="GN113"/>
      <c r="GO113"/>
      <c r="GP113"/>
      <c r="GQ113"/>
      <c r="GR113"/>
      <c r="GS113"/>
      <c r="GT113"/>
      <c r="GU113"/>
      <c r="GV113"/>
      <c r="GW113"/>
      <c r="GX113"/>
      <c r="GY113"/>
      <c r="GZ113"/>
      <c r="HA113"/>
      <c r="HB113"/>
      <c r="HC113"/>
      <c r="HD113"/>
      <c r="HE113"/>
      <c r="HF113"/>
      <c r="HG113"/>
      <c r="HH113"/>
      <c r="HI113"/>
      <c r="HJ113"/>
      <c r="HK113"/>
      <c r="HL113"/>
      <c r="HM113"/>
      <c r="HN113"/>
      <c r="HO113"/>
      <c r="HP113"/>
      <c r="HQ113"/>
      <c r="HR113"/>
      <c r="HS113"/>
      <c r="HT113"/>
      <c r="HU113"/>
      <c r="HV113"/>
      <c r="HW113"/>
      <c r="HX113"/>
      <c r="HY113"/>
      <c r="HZ113"/>
      <c r="IA113"/>
      <c r="IB113"/>
      <c r="IC113"/>
      <c r="ID113"/>
      <c r="IE113"/>
      <c r="IF113"/>
      <c r="IG113"/>
      <c r="IH113"/>
      <c r="II113"/>
      <c r="IJ113"/>
      <c r="IK113"/>
      <c r="IL113"/>
      <c r="IM113"/>
      <c r="IN113"/>
      <c r="IO113"/>
      <c r="IP113"/>
      <c r="IQ113"/>
      <c r="IR113"/>
      <c r="IS113"/>
      <c r="IT113"/>
      <c r="IU113"/>
      <c r="IV113"/>
      <c r="IW113"/>
      <c r="IX113"/>
      <c r="IY113"/>
      <c r="IZ113"/>
    </row>
    <row r="114" spans="1:260" s="4" customFormat="1" outlineLevel="1" x14ac:dyDescent="0.2">
      <c r="A114" s="299"/>
      <c r="B114" s="9"/>
      <c r="C114" s="9"/>
      <c r="D114" s="9"/>
      <c r="E114" s="645"/>
      <c r="F114" s="9"/>
      <c r="G114" s="9"/>
      <c r="H114" s="9"/>
      <c r="I114" s="645"/>
      <c r="J114" s="9"/>
      <c r="K114" s="9"/>
      <c r="L114" s="9"/>
      <c r="M114" s="645"/>
      <c r="N114" s="9"/>
      <c r="O114" s="9"/>
      <c r="P114" s="9"/>
      <c r="Q114" s="645"/>
      <c r="R114" s="9"/>
      <c r="S114" s="9"/>
      <c r="T114" s="9"/>
      <c r="U114" s="645"/>
      <c r="V114" s="9"/>
      <c r="W114" s="9"/>
      <c r="X114" s="9"/>
      <c r="Y114" s="645"/>
      <c r="Z114" s="9"/>
      <c r="AA114" s="9"/>
      <c r="AB114" s="9"/>
      <c r="AC114" s="645"/>
      <c r="AD114" s="9"/>
      <c r="AE114" s="9"/>
      <c r="AF114" s="9"/>
      <c r="AG114" s="645"/>
      <c r="AH114" s="9"/>
      <c r="AI114" s="9"/>
      <c r="AJ114" s="9"/>
      <c r="AK114" s="645"/>
      <c r="AL114" s="9"/>
      <c r="AM114" s="9"/>
      <c r="AN114" s="9"/>
      <c r="AO114" s="645"/>
      <c r="AP114" s="9"/>
      <c r="AQ114" s="9"/>
      <c r="AR114" s="9"/>
      <c r="AS114" s="645"/>
      <c r="AT114" s="9"/>
      <c r="AU114" s="9"/>
      <c r="AV114" s="9"/>
      <c r="AW114" s="645"/>
      <c r="AX114" s="9"/>
      <c r="AY114" s="9"/>
      <c r="AZ114" s="9"/>
      <c r="BA114" s="645"/>
      <c r="BB114" s="9"/>
      <c r="BC114" s="9"/>
      <c r="BD114" s="9"/>
      <c r="BE114" s="645"/>
      <c r="BF114" s="9"/>
      <c r="BG114" s="9"/>
      <c r="BH114" s="9"/>
      <c r="BI114" s="645"/>
      <c r="BJ114" s="9"/>
      <c r="BK114" s="9"/>
      <c r="BL114" s="9"/>
      <c r="BM114" s="645"/>
      <c r="BN114" s="9"/>
      <c r="BO114" s="9"/>
      <c r="BP114" s="9"/>
      <c r="BQ114" s="645"/>
      <c r="BR114" s="9"/>
      <c r="BS114" s="9"/>
      <c r="BT114" s="9"/>
      <c r="BU114" s="645"/>
      <c r="BV114" s="9"/>
      <c r="BW114" s="9"/>
      <c r="BX114" s="9"/>
      <c r="BY114" s="645"/>
      <c r="BZ114" s="9"/>
      <c r="CA114" s="9"/>
      <c r="CB114" s="9"/>
      <c r="CC114" s="645"/>
      <c r="CD114" s="9"/>
      <c r="CE114" s="10"/>
      <c r="CF114" s="10"/>
      <c r="CG114" s="645"/>
      <c r="CH114" s="9"/>
      <c r="CI114" s="10"/>
      <c r="CJ114" s="10"/>
      <c r="CK114" s="524"/>
      <c r="CL114" s="172"/>
      <c r="CM114" s="10"/>
      <c r="CN114" s="10"/>
      <c r="CO114" s="524"/>
      <c r="CP114" s="10"/>
      <c r="CQ114" s="10"/>
      <c r="CR114" s="10"/>
      <c r="CS114" s="524"/>
      <c r="CT114" s="172"/>
      <c r="CU114" s="10"/>
      <c r="CV114" s="10"/>
      <c r="CW114" s="524"/>
      <c r="CX114" s="2720"/>
      <c r="CY114" s="93"/>
      <c r="CZ114" s="93"/>
      <c r="DA114" s="645"/>
      <c r="DB114" s="667"/>
      <c r="DC114" s="524"/>
      <c r="DD114" s="252"/>
      <c r="DE114" s="252"/>
      <c r="DF114" s="252"/>
      <c r="DG114" s="252"/>
      <c r="DH114" s="252"/>
      <c r="DI114" s="252"/>
      <c r="DJ114" s="252"/>
      <c r="DK114" s="252"/>
      <c r="DL114" s="9"/>
      <c r="DM114" s="9"/>
      <c r="DN114" s="9"/>
      <c r="DO114" s="9"/>
      <c r="DP114" s="9"/>
      <c r="DQ114" s="9"/>
      <c r="DR114" s="9"/>
      <c r="DS114" s="9"/>
      <c r="DT114" s="9"/>
      <c r="DU114" s="9"/>
      <c r="DV114" s="9"/>
      <c r="DW114" s="9"/>
      <c r="DX114" s="9"/>
      <c r="DY114" s="9"/>
      <c r="DZ114" s="9"/>
      <c r="EA114" s="9"/>
      <c r="EB114" s="9"/>
      <c r="EC114" s="9"/>
      <c r="ED114" s="9"/>
      <c r="EE114" s="148"/>
      <c r="EF114" s="148"/>
      <c r="EG114" s="9"/>
      <c r="EH114" s="9"/>
      <c r="EI114" s="9"/>
      <c r="EJ114" s="9"/>
      <c r="EK114" s="10"/>
      <c r="EL114" s="10"/>
      <c r="EM114" s="1684"/>
      <c r="EN114" s="9"/>
      <c r="EO114" s="9"/>
      <c r="EP114" s="9"/>
      <c r="EQ114" s="9"/>
      <c r="ER114" s="9"/>
      <c r="ES114" s="9"/>
      <c r="ET114" s="9"/>
      <c r="EU114" s="9"/>
      <c r="EV114" s="413"/>
      <c r="EW114"/>
      <c r="EX114"/>
      <c r="EY114"/>
      <c r="EZ114"/>
      <c r="FA114"/>
      <c r="FB114"/>
      <c r="FG114" s="172"/>
      <c r="FH114" s="172"/>
      <c r="FI114" s="172"/>
      <c r="FJ114" s="172"/>
      <c r="FK114" s="172"/>
      <c r="FL114"/>
      <c r="FM114"/>
      <c r="FN114"/>
      <c r="FO114"/>
      <c r="FP114"/>
      <c r="FQ114"/>
      <c r="FR114"/>
      <c r="FS114"/>
      <c r="FT114"/>
      <c r="FU114"/>
      <c r="FV114"/>
      <c r="FW114"/>
      <c r="FX114"/>
      <c r="FY114"/>
      <c r="FZ114"/>
      <c r="GA114"/>
      <c r="GB114"/>
      <c r="GC114"/>
      <c r="GD114"/>
      <c r="GE114"/>
      <c r="GF114"/>
      <c r="GG114"/>
      <c r="GH114"/>
      <c r="GI114"/>
      <c r="GJ114"/>
      <c r="GK114"/>
      <c r="GL114"/>
      <c r="GM114"/>
      <c r="GN114"/>
      <c r="GO114"/>
      <c r="GP114"/>
      <c r="GQ114"/>
      <c r="GR114"/>
      <c r="GS114"/>
      <c r="GT114"/>
      <c r="GU114"/>
      <c r="GV114"/>
      <c r="GW114"/>
      <c r="GX114"/>
      <c r="GY114"/>
      <c r="GZ114"/>
      <c r="HA114"/>
      <c r="HB114"/>
      <c r="HC114"/>
      <c r="HD114"/>
      <c r="HE114"/>
      <c r="HF114"/>
      <c r="HG114"/>
      <c r="HH114"/>
      <c r="HI114"/>
      <c r="HJ114"/>
      <c r="HK114"/>
      <c r="HL114"/>
      <c r="HM114"/>
      <c r="HN114"/>
      <c r="HO114"/>
      <c r="HP114"/>
      <c r="HQ114"/>
      <c r="HR114"/>
      <c r="HS114"/>
      <c r="HT114"/>
      <c r="HU114"/>
      <c r="HV114"/>
      <c r="HW114"/>
      <c r="HX114"/>
      <c r="HY114"/>
      <c r="HZ114"/>
      <c r="IA114"/>
      <c r="IB114"/>
      <c r="IC114"/>
      <c r="ID114"/>
      <c r="IE114"/>
      <c r="IF114"/>
      <c r="IG114"/>
      <c r="IH114"/>
      <c r="II114"/>
      <c r="IJ114"/>
      <c r="IK114"/>
      <c r="IL114"/>
      <c r="IM114"/>
      <c r="IN114"/>
      <c r="IO114"/>
      <c r="IP114"/>
      <c r="IQ114"/>
      <c r="IR114"/>
      <c r="IS114"/>
      <c r="IT114"/>
      <c r="IU114"/>
      <c r="IV114"/>
      <c r="IW114"/>
      <c r="IX114"/>
      <c r="IY114"/>
      <c r="IZ114"/>
    </row>
    <row r="115" spans="1:260" s="6" customFormat="1" ht="12.75" outlineLevel="1" x14ac:dyDescent="0.2">
      <c r="A115" s="447" t="s">
        <v>98</v>
      </c>
      <c r="B115" s="449"/>
      <c r="C115" s="449"/>
      <c r="D115" s="449"/>
      <c r="E115" s="2477"/>
      <c r="F115" s="449"/>
      <c r="G115" s="449"/>
      <c r="H115" s="449"/>
      <c r="I115" s="2478"/>
      <c r="J115" s="435"/>
      <c r="K115" s="435"/>
      <c r="L115" s="435"/>
      <c r="M115" s="464"/>
      <c r="N115" s="435"/>
      <c r="O115" s="435"/>
      <c r="P115" s="435"/>
      <c r="Q115" s="464"/>
      <c r="R115" s="435"/>
      <c r="S115" s="435"/>
      <c r="T115" s="435"/>
      <c r="U115" s="464"/>
      <c r="V115" s="435"/>
      <c r="W115" s="435"/>
      <c r="X115" s="435"/>
      <c r="Y115" s="464"/>
      <c r="Z115" s="435"/>
      <c r="AA115" s="435"/>
      <c r="AB115" s="435"/>
      <c r="AC115" s="464"/>
      <c r="AD115" s="435"/>
      <c r="AE115" s="435"/>
      <c r="AF115" s="435"/>
      <c r="AG115" s="464"/>
      <c r="AH115" s="435"/>
      <c r="AI115" s="435"/>
      <c r="AJ115" s="435"/>
      <c r="AK115" s="464"/>
      <c r="AL115" s="435"/>
      <c r="AM115" s="2479"/>
      <c r="AN115" s="2479"/>
      <c r="AO115" s="2480"/>
      <c r="AP115" s="2479"/>
      <c r="AQ115" s="450"/>
      <c r="AR115" s="450"/>
      <c r="AS115" s="505"/>
      <c r="AT115" s="450"/>
      <c r="AU115" s="450"/>
      <c r="AV115" s="450"/>
      <c r="AW115" s="505"/>
      <c r="AX115" s="450"/>
      <c r="AY115" s="450"/>
      <c r="AZ115" s="450"/>
      <c r="BA115" s="505"/>
      <c r="BB115" s="450"/>
      <c r="BC115" s="450"/>
      <c r="BD115" s="450"/>
      <c r="BE115" s="505"/>
      <c r="BF115" s="450"/>
      <c r="BG115" s="450"/>
      <c r="BH115" s="450"/>
      <c r="BI115" s="505"/>
      <c r="BJ115" s="450"/>
      <c r="BK115" s="450"/>
      <c r="BL115" s="450"/>
      <c r="BM115" s="505"/>
      <c r="BN115" s="450"/>
      <c r="BO115" s="450"/>
      <c r="BP115" s="450"/>
      <c r="BQ115" s="505"/>
      <c r="BR115" s="450"/>
      <c r="BS115" s="450"/>
      <c r="BT115" s="450"/>
      <c r="BU115" s="505"/>
      <c r="BV115" s="450"/>
      <c r="BW115" s="450"/>
      <c r="BX115" s="450"/>
      <c r="BY115" s="505"/>
      <c r="BZ115" s="450"/>
      <c r="CA115" s="450"/>
      <c r="CB115" s="450"/>
      <c r="CC115" s="505"/>
      <c r="CD115" s="450"/>
      <c r="CE115" s="450"/>
      <c r="CF115" s="450"/>
      <c r="CG115" s="505"/>
      <c r="CH115" s="450"/>
      <c r="CI115" s="450"/>
      <c r="CJ115" s="450"/>
      <c r="CK115" s="505"/>
      <c r="CL115" s="450"/>
      <c r="CM115" s="450"/>
      <c r="CN115" s="450"/>
      <c r="CO115" s="505"/>
      <c r="CP115" s="450"/>
      <c r="CQ115" s="450"/>
      <c r="CR115" s="450"/>
      <c r="CS115" s="505"/>
      <c r="CT115" s="450"/>
      <c r="CU115" s="450"/>
      <c r="CV115" s="450"/>
      <c r="CW115" s="505"/>
      <c r="CX115" s="1762"/>
      <c r="CY115" s="450"/>
      <c r="CZ115" s="450"/>
      <c r="DA115" s="505"/>
      <c r="DB115" s="730"/>
      <c r="DC115" s="535"/>
      <c r="DD115" s="449"/>
      <c r="DE115" s="449"/>
      <c r="DF115" s="449"/>
      <c r="DG115" s="449"/>
      <c r="DH115" s="449"/>
      <c r="DI115" s="449"/>
      <c r="DJ115" s="449"/>
      <c r="DK115" s="449"/>
      <c r="DL115" s="449"/>
      <c r="DM115" s="447"/>
      <c r="DN115" s="435"/>
      <c r="DO115" s="435"/>
      <c r="DP115" s="435"/>
      <c r="DQ115" s="435"/>
      <c r="DR115" s="435"/>
      <c r="DS115" s="435"/>
      <c r="DT115" s="435"/>
      <c r="DU115" s="2479"/>
      <c r="DV115" s="450"/>
      <c r="DW115" s="450"/>
      <c r="DX115" s="450"/>
      <c r="DY115" s="450"/>
      <c r="DZ115" s="450"/>
      <c r="EA115" s="450"/>
      <c r="EB115" s="450"/>
      <c r="EC115" s="450"/>
      <c r="ED115" s="450"/>
      <c r="EE115" s="449"/>
      <c r="EF115" s="449"/>
      <c r="EG115" s="450"/>
      <c r="EH115" s="450"/>
      <c r="EI115" s="450"/>
      <c r="EJ115" s="450"/>
      <c r="EK115" s="450"/>
      <c r="EL115" s="450"/>
      <c r="EM115" s="449"/>
      <c r="EN115" s="449"/>
      <c r="EO115" s="447"/>
      <c r="EP115" s="449"/>
      <c r="EQ115" s="449"/>
      <c r="ER115" s="449"/>
      <c r="ES115" s="449"/>
      <c r="ET115" s="449"/>
      <c r="EU115" s="449"/>
      <c r="EV115" s="671"/>
      <c r="EW115"/>
      <c r="EX115"/>
      <c r="EY115"/>
      <c r="EZ115"/>
      <c r="FA115"/>
      <c r="FB115"/>
      <c r="FG115" s="39"/>
      <c r="FH115" s="39"/>
      <c r="FI115" s="2661"/>
      <c r="FJ115" s="2661"/>
      <c r="FK115" s="398"/>
      <c r="FL115" s="39"/>
      <c r="FM115" s="39"/>
      <c r="FN115" s="39"/>
      <c r="FO115" s="39"/>
      <c r="FP115" s="39"/>
      <c r="FQ115" s="39"/>
      <c r="FR115" s="39"/>
      <c r="FS115" s="39"/>
      <c r="FT115" s="39"/>
      <c r="FU115" s="39"/>
      <c r="FV115" s="39"/>
      <c r="FW115" s="39"/>
      <c r="FX115" s="39"/>
      <c r="FY115" s="39"/>
      <c r="FZ115" s="39"/>
      <c r="GA115" s="39"/>
      <c r="GB115" s="39"/>
      <c r="GC115" s="39"/>
      <c r="GD115" s="39"/>
      <c r="GE115" s="39"/>
      <c r="GF115" s="39"/>
      <c r="GG115" s="39"/>
      <c r="GH115" s="39"/>
      <c r="GI115" s="39"/>
      <c r="GJ115" s="39"/>
      <c r="GK115" s="39"/>
      <c r="GL115" s="39"/>
      <c r="GM115" s="39"/>
      <c r="GN115" s="39"/>
      <c r="GO115" s="39"/>
      <c r="GP115" s="39"/>
      <c r="GQ115" s="39"/>
      <c r="GR115" s="39"/>
      <c r="GS115" s="39"/>
      <c r="GT115" s="39"/>
      <c r="GU115" s="39"/>
      <c r="GV115" s="39"/>
      <c r="GW115" s="39"/>
      <c r="GX115" s="39"/>
      <c r="GY115" s="39"/>
      <c r="GZ115" s="39"/>
      <c r="HA115" s="39"/>
      <c r="HB115" s="39"/>
      <c r="HC115" s="39"/>
      <c r="HD115" s="39"/>
      <c r="HE115" s="39"/>
      <c r="HF115" s="39"/>
      <c r="HG115" s="39"/>
      <c r="HH115" s="39"/>
      <c r="HI115" s="39"/>
      <c r="HJ115" s="39"/>
      <c r="HK115" s="39"/>
      <c r="HL115" s="39"/>
      <c r="HM115" s="39"/>
      <c r="HN115" s="39"/>
      <c r="HO115" s="39"/>
      <c r="HP115" s="39"/>
      <c r="HQ115" s="39"/>
      <c r="HR115" s="39"/>
      <c r="HS115" s="39"/>
      <c r="HT115" s="39"/>
      <c r="HU115" s="39"/>
      <c r="HV115" s="39"/>
      <c r="HW115" s="39"/>
      <c r="HX115" s="39"/>
      <c r="HY115" s="39"/>
      <c r="HZ115" s="39"/>
      <c r="IA115" s="39"/>
      <c r="IB115" s="39"/>
      <c r="IC115" s="39"/>
      <c r="ID115" s="39"/>
      <c r="IE115" s="39"/>
      <c r="IF115" s="39"/>
      <c r="IG115" s="39"/>
      <c r="IH115" s="39"/>
      <c r="II115" s="39"/>
      <c r="IJ115" s="39"/>
      <c r="IK115" s="39"/>
      <c r="IL115" s="39"/>
      <c r="IM115" s="39"/>
      <c r="IN115" s="39"/>
      <c r="IO115" s="39"/>
      <c r="IP115" s="39"/>
      <c r="IQ115" s="39"/>
      <c r="IR115" s="39"/>
      <c r="IS115" s="39"/>
      <c r="IT115" s="39"/>
      <c r="IU115" s="39"/>
      <c r="IV115" s="39"/>
      <c r="IW115" s="39"/>
      <c r="IX115" s="39"/>
      <c r="IY115" s="39"/>
      <c r="IZ115" s="39"/>
    </row>
    <row r="116" spans="1:260" s="4" customFormat="1" outlineLevel="1" x14ac:dyDescent="0.2">
      <c r="A116" s="358" t="s">
        <v>187</v>
      </c>
      <c r="B116" s="915">
        <f>'Income Statement'!B34-'Income Statement'!B29</f>
        <v>1.5159999999999922</v>
      </c>
      <c r="C116" s="915">
        <f>'Income Statement'!C34-'Income Statement'!C29</f>
        <v>7.5940000000000314</v>
      </c>
      <c r="D116" s="915">
        <f>'Income Statement'!D34-'Income Statement'!D29</f>
        <v>11.160999999999948</v>
      </c>
      <c r="E116" s="916">
        <f>'Income Statement'!E34-'Income Statement'!E29</f>
        <v>21.439000000000028</v>
      </c>
      <c r="F116" s="915">
        <f>'Income Statement'!F34-'Income Statement'!F29</f>
        <v>4.2310000000000025</v>
      </c>
      <c r="G116" s="915">
        <f>'Income Statement'!G34-'Income Statement'!G29</f>
        <v>7.5999999999999632</v>
      </c>
      <c r="H116" s="915">
        <f>'Income Statement'!H34-'Income Statement'!H29</f>
        <v>17.702000000000062</v>
      </c>
      <c r="I116" s="916">
        <f>'Income Statement'!I34-'Income Statement'!I29</f>
        <v>28.107999999999986</v>
      </c>
      <c r="J116" s="915">
        <f>'Income Statement'!J34-'Income Statement'!J29</f>
        <v>4.6450000000001834</v>
      </c>
      <c r="K116" s="915">
        <f>'Income Statement'!K34-'Income Statement'!K29</f>
        <v>5.7140000000000875</v>
      </c>
      <c r="L116" s="915">
        <f>'Income Statement'!L34-'Income Statement'!L29</f>
        <v>17.802000000000049</v>
      </c>
      <c r="M116" s="916">
        <f>'Income Statement'!M34-'Income Statement'!M29</f>
        <v>19.830999999999971</v>
      </c>
      <c r="N116" s="915">
        <f>'Income Statement'!N34-'Income Statement'!N29</f>
        <v>0.40899999999985548</v>
      </c>
      <c r="O116" s="915">
        <f>'Income Statement'!O34-'Income Statement'!O29</f>
        <v>3.7880000000001686</v>
      </c>
      <c r="P116" s="915">
        <f>'Income Statement'!P34-'Income Statement'!P29</f>
        <v>-10.972999999999956</v>
      </c>
      <c r="Q116" s="916">
        <f>'Income Statement'!Q34-'Income Statement'!Q29</f>
        <v>8.5239999999997806</v>
      </c>
      <c r="R116" s="915">
        <f>'Income Statement'!R34-'Income Statement'!R29</f>
        <v>-2.6389999999999625</v>
      </c>
      <c r="S116" s="915">
        <f>'Income Statement'!S34-'Income Statement'!S29</f>
        <v>6.6479999999998745</v>
      </c>
      <c r="T116" s="915">
        <f>'Income Statement'!T34-'Income Statement'!T29</f>
        <v>26.39799999999989</v>
      </c>
      <c r="U116" s="916">
        <f>'Income Statement'!U34-'Income Statement'!U29</f>
        <v>64.025999999999854</v>
      </c>
      <c r="V116" s="915">
        <f>'Income Statement'!V34-'Income Statement'!V29</f>
        <v>12.477000000000103</v>
      </c>
      <c r="W116" s="915">
        <f>'Income Statement'!W34-'Income Statement'!W29</f>
        <v>41.455000000000005</v>
      </c>
      <c r="X116" s="915">
        <f>'Income Statement'!X34-'Income Statement'!X29</f>
        <v>53.543000000000134</v>
      </c>
      <c r="Y116" s="916">
        <f>'Income Statement'!Y34-'Income Statement'!Y29</f>
        <v>108.80700000000033</v>
      </c>
      <c r="Z116" s="915">
        <f>'Income Statement'!Z34-'Income Statement'!Z29</f>
        <v>46.808999999999962</v>
      </c>
      <c r="AA116" s="915">
        <f>'Income Statement'!AA34-'Income Statement'!AA29</f>
        <v>58.066999999999993</v>
      </c>
      <c r="AB116" s="915">
        <f>'Income Statement'!AB34-'Income Statement'!AB29</f>
        <v>78.389000000000181</v>
      </c>
      <c r="AC116" s="916">
        <f>'Income Statement'!AC34-'Income Statement'!AC29</f>
        <v>163.80499999999989</v>
      </c>
      <c r="AD116" s="915">
        <f>'Income Statement'!AD34-'Income Statement'!AD29</f>
        <v>72.157999999999859</v>
      </c>
      <c r="AE116" s="915">
        <f>'Income Statement'!AE34-'Income Statement'!AE29</f>
        <v>76.747999999999905</v>
      </c>
      <c r="AF116" s="915">
        <f>'Income Statement'!AF34-'Income Statement'!AF29</f>
        <v>57.262999999999693</v>
      </c>
      <c r="AG116" s="916">
        <f>'Income Statement'!AG34-'Income Statement'!AG29</f>
        <v>190.00000000000006</v>
      </c>
      <c r="AH116" s="915">
        <f>'Income Statement'!AH34-'Income Statement'!AH29</f>
        <v>55</v>
      </c>
      <c r="AI116" s="915">
        <f>'Income Statement'!AI34-'Income Statement'!AI29</f>
        <v>85</v>
      </c>
      <c r="AJ116" s="915">
        <f>'Income Statement'!AJ34-'Income Statement'!AJ29</f>
        <v>80</v>
      </c>
      <c r="AK116" s="916">
        <f>'Income Statement'!AK34-'Income Statement'!AK29</f>
        <v>350</v>
      </c>
      <c r="AL116" s="915">
        <f>'Income Statement'!AL34-'Income Statement'!AL29</f>
        <v>79</v>
      </c>
      <c r="AM116" s="915">
        <f>'Income Statement'!AM34-'Income Statement'!AM29</f>
        <v>79</v>
      </c>
      <c r="AN116" s="915">
        <f>'Income Statement'!AN34-'Income Statement'!AN29</f>
        <v>86</v>
      </c>
      <c r="AO116" s="916">
        <f>'Income Statement'!AO34-'Income Statement'!AO29</f>
        <v>-145</v>
      </c>
      <c r="AP116" s="915">
        <f>'Income Statement'!AP34-'Income Statement'!AP29</f>
        <v>69</v>
      </c>
      <c r="AQ116" s="915">
        <f>'Income Statement'!AQ34-'Income Statement'!AQ29</f>
        <v>139.44999999999999</v>
      </c>
      <c r="AR116" s="915">
        <f>'Income Statement'!AR34-'Income Statement'!AR29</f>
        <v>122</v>
      </c>
      <c r="AS116" s="916">
        <f>'Income Statement'!AS34-'Income Statement'!AS29</f>
        <v>374</v>
      </c>
      <c r="AT116" s="915">
        <f>'Income Statement'!AT34-'Income Statement'!AT29</f>
        <v>113.896</v>
      </c>
      <c r="AU116" s="915">
        <f>'Income Statement'!AU34-'Income Statement'!AU29</f>
        <v>150.42000000000002</v>
      </c>
      <c r="AV116" s="915">
        <f>'Income Statement'!AV34-'Income Statement'!AV29</f>
        <v>148</v>
      </c>
      <c r="AW116" s="916">
        <f>'Income Statement'!AW34-'Income Statement'!AW29</f>
        <v>572</v>
      </c>
      <c r="AX116" s="915">
        <f>'Income Statement'!AX34-'Income Statement'!AX29</f>
        <v>170</v>
      </c>
      <c r="AY116" s="915">
        <f>'Income Statement'!AY34-'Income Statement'!AY29</f>
        <v>188</v>
      </c>
      <c r="AZ116" s="915">
        <f>'Income Statement'!AZ34-'Income Statement'!AZ29</f>
        <v>138</v>
      </c>
      <c r="BA116" s="916">
        <f>'Income Statement'!BA34-'Income Statement'!BA29</f>
        <v>644</v>
      </c>
      <c r="BB116" s="915">
        <f>'Income Statement'!BB34-'Income Statement'!BB29</f>
        <v>234</v>
      </c>
      <c r="BC116" s="915">
        <f>'Income Statement'!BC34-'Income Statement'!BC29</f>
        <v>230</v>
      </c>
      <c r="BD116" s="915">
        <f>'Income Statement'!BD34-'Income Statement'!BD29</f>
        <v>150</v>
      </c>
      <c r="BE116" s="916">
        <f>'Income Statement'!BE34-'Income Statement'!BE29</f>
        <v>764</v>
      </c>
      <c r="BF116" s="915">
        <f>'Income Statement'!BF34-'Income Statement'!BF29</f>
        <v>190</v>
      </c>
      <c r="BG116" s="915">
        <f>'Income Statement'!BG34-'Income Statement'!BG29</f>
        <v>256</v>
      </c>
      <c r="BH116" s="915">
        <f>'Income Statement'!BH34-'Income Statement'!BH29</f>
        <v>231</v>
      </c>
      <c r="BI116" s="916">
        <f>'Income Statement'!BI34-'Income Statement'!BI29</f>
        <v>736</v>
      </c>
      <c r="BJ116" s="915">
        <f>'Income Statement'!BJ34-'Income Statement'!BJ29</f>
        <v>179</v>
      </c>
      <c r="BK116" s="915">
        <f>'Income Statement'!BK34-'Income Statement'!BK29</f>
        <v>205</v>
      </c>
      <c r="BL116" s="915">
        <f>'Income Statement'!BL34-'Income Statement'!BL29</f>
        <v>57</v>
      </c>
      <c r="BM116" s="916">
        <f>'Income Statement'!BM34-'Income Statement'!BM29</f>
        <v>585</v>
      </c>
      <c r="BN116" s="915">
        <f>'Income Statement'!BN34-'Income Statement'!BN29</f>
        <v>156</v>
      </c>
      <c r="BO116" s="915">
        <f>'Income Statement'!BO34-'Income Statement'!BO29</f>
        <v>157</v>
      </c>
      <c r="BP116" s="915">
        <f>'Income Statement'!BP34-'Income Statement'!BP29</f>
        <v>271</v>
      </c>
      <c r="BQ116" s="916">
        <f>'Income Statement'!BQ34-'Income Statement'!BQ29</f>
        <v>810</v>
      </c>
      <c r="BR116" s="915">
        <f>'Income Statement'!BZ34-'Income Statement'!BZ29</f>
        <v>234</v>
      </c>
      <c r="BS116" s="915">
        <f>'Income Statement'!CA34-'Income Statement'!CA29</f>
        <v>208</v>
      </c>
      <c r="BT116" s="915">
        <f>'Income Statement'!CB34-'Income Statement'!CB29</f>
        <v>261</v>
      </c>
      <c r="BU116" s="916">
        <f>'Income Statement'!CC34-'Income Statement'!CC29</f>
        <v>709</v>
      </c>
      <c r="BV116" s="915">
        <f>'Income Statement'!CD34-'Income Statement'!CD29</f>
        <v>250</v>
      </c>
      <c r="BW116" s="915">
        <f>'Income Statement'!CE34-'Income Statement'!CE29</f>
        <v>126</v>
      </c>
      <c r="BX116" s="915">
        <f>'Income Statement'!CF34-'Income Statement'!CF29</f>
        <v>203</v>
      </c>
      <c r="BY116" s="916">
        <f>'Income Statement'!CG34-'Income Statement'!CG29</f>
        <v>-1692</v>
      </c>
      <c r="BZ116" s="915">
        <f>'Income Statement'!CL34-'Income Statement'!CL29</f>
        <v>158</v>
      </c>
      <c r="CA116" s="915">
        <f>'Income Statement'!CM34-'Income Statement'!CM29</f>
        <v>12</v>
      </c>
      <c r="CB116" s="915">
        <f>'Income Statement'!CN34-'Income Statement'!CN29</f>
        <v>-10</v>
      </c>
      <c r="CC116" s="916">
        <f>'Income Statement'!CO34-'Income Statement'!CO29</f>
        <v>-409</v>
      </c>
      <c r="CD116" s="915">
        <f>'Income Statement'!CP34-'Income Statement'!CP29</f>
        <v>-66</v>
      </c>
      <c r="CE116" s="915">
        <f>'Income Statement'!CQ34-'Income Statement'!CQ29</f>
        <v>260</v>
      </c>
      <c r="CF116" s="915">
        <f>'Income Statement'!CR34-'Income Statement'!CR29</f>
        <v>69</v>
      </c>
      <c r="CG116" s="916">
        <f>'Income Statement'!CS34-'Income Statement'!CS29</f>
        <v>307</v>
      </c>
      <c r="CH116" s="915">
        <f>'Income Statement'!CT34-'Income Statement'!CT29</f>
        <v>468</v>
      </c>
      <c r="CI116" s="915">
        <f>'Income Statement'!CU34-'Income Statement'!CU29</f>
        <v>148</v>
      </c>
      <c r="CJ116" s="915">
        <f>'Income Statement'!CV34-'Income Statement'!CV29</f>
        <v>121</v>
      </c>
      <c r="CK116" s="909">
        <f>'Income Statement'!CW34-'Income Statement'!CW29</f>
        <v>514</v>
      </c>
      <c r="CL116" s="910">
        <f>'Income Statement'!CX34-'Income Statement'!CX29</f>
        <v>122</v>
      </c>
      <c r="CM116" s="915">
        <f>'Income Statement'!CY34-'Income Statement'!CY29</f>
        <v>155</v>
      </c>
      <c r="CN116" s="915">
        <f>'Income Statement'!CZ34-'Income Statement'!CZ29</f>
        <v>119</v>
      </c>
      <c r="CO116" s="916">
        <f>'Income Statement'!DA34-'Income Statement'!DA29</f>
        <v>461</v>
      </c>
      <c r="CP116" s="915">
        <f>'Income Statement'!DB34-'Income Statement'!DB29</f>
        <v>226</v>
      </c>
      <c r="CQ116" s="915">
        <f>'Income Statement'!DC34-'Income Statement'!DC29</f>
        <v>180</v>
      </c>
      <c r="CR116" s="915">
        <f>'Income Statement'!DD34-'Income Statement'!DD29</f>
        <v>187</v>
      </c>
      <c r="CS116" s="909">
        <f>'Income Statement'!DE34-'Income Statement'!DE29</f>
        <v>601</v>
      </c>
      <c r="CT116" s="910">
        <f>'Income Statement'!DF34-'Income Statement'!DF29</f>
        <v>188</v>
      </c>
      <c r="CU116" s="915">
        <f>'Income Statement'!DG34-'Income Statement'!DG29</f>
        <v>209</v>
      </c>
      <c r="CV116" s="915">
        <f>'Income Statement'!DH34-'Income Statement'!DH29</f>
        <v>239</v>
      </c>
      <c r="CW116" s="909">
        <f>'Income Statement'!DI34-'Income Statement'!DI29</f>
        <v>364</v>
      </c>
      <c r="CX116" s="1674">
        <f>'Income Statement'!DJ34-'Income Statement'!DJ29</f>
        <v>215.71264211991061</v>
      </c>
      <c r="CY116" s="920">
        <f>'Income Statement'!DK34-'Income Statement'!DK29</f>
        <v>232.38419664571583</v>
      </c>
      <c r="CZ116" s="920">
        <f>'Income Statement'!DL34-'Income Statement'!DL29</f>
        <v>263.56814296394919</v>
      </c>
      <c r="DA116" s="916">
        <f>'Income Statement'!DM34-'Income Statement'!DM29</f>
        <v>710.50698474922842</v>
      </c>
      <c r="DB116" s="667"/>
      <c r="DC116" s="524"/>
      <c r="DD116" s="132"/>
      <c r="DE116" s="132"/>
      <c r="DF116" s="132"/>
      <c r="DG116" s="132"/>
      <c r="DH116" s="132"/>
      <c r="DI116" s="132"/>
      <c r="DJ116" s="132"/>
      <c r="DK116" s="132"/>
      <c r="DL116" s="9"/>
      <c r="DM116" s="9"/>
      <c r="DN116" s="9"/>
      <c r="DO116" s="9"/>
      <c r="DP116" s="298">
        <f>'Income Statement'!EB34-'Income Statement'!EB29</f>
        <v>94.432999999999666</v>
      </c>
      <c r="DQ116" s="298">
        <f>'Income Statement'!EC34-'Income Statement'!EC29</f>
        <v>216.28200000000109</v>
      </c>
      <c r="DR116" s="298">
        <f>'Income Statement'!ED34-'Income Statement'!ED29</f>
        <v>347.07000000000005</v>
      </c>
      <c r="DS116" s="298">
        <f>'Income Statement'!EE34-'Income Statement'!EE29</f>
        <v>396.16899999999953</v>
      </c>
      <c r="DT116" s="298">
        <f>'Income Statement'!EF34-'Income Statement'!EF29</f>
        <v>570</v>
      </c>
      <c r="DU116" s="298">
        <f>'Income Statement'!EG34-'Income Statement'!EG29</f>
        <v>99</v>
      </c>
      <c r="DV116" s="298">
        <f>'Income Statement'!EH34-'Income Statement'!EH29</f>
        <v>704.45</v>
      </c>
      <c r="DW116" s="298">
        <f>'Income Statement'!EI34-'Income Statement'!EI29</f>
        <v>984.31600000000003</v>
      </c>
      <c r="DX116" s="298">
        <f>'Income Statement'!EJ34-'Income Statement'!EJ29</f>
        <v>1140</v>
      </c>
      <c r="DY116" s="298">
        <f>'Income Statement'!EK34-'Income Statement'!EK29</f>
        <v>1378</v>
      </c>
      <c r="DZ116" s="298">
        <f>'Income Statement'!EL34-'Income Statement'!EL29</f>
        <v>1413</v>
      </c>
      <c r="EA116" s="298">
        <f>'Income Statement'!EM34-'Income Statement'!EM29</f>
        <v>1026</v>
      </c>
      <c r="EB116" s="298">
        <f>'Income Statement'!EN34-'Income Statement'!EN29</f>
        <v>1394</v>
      </c>
      <c r="EC116" s="298"/>
      <c r="ED116" s="298"/>
      <c r="EE116" s="298">
        <f>'Income Statement'!EQ34-'Income Statement'!EQ29</f>
        <v>1412</v>
      </c>
      <c r="EF116" s="1340">
        <f>'Income Statement'!ER34-'Income Statement'!ER29</f>
        <v>-1113</v>
      </c>
      <c r="EG116" s="1340">
        <f>'Income Statement'!ET34-'Income Statement'!ET29</f>
        <v>-249</v>
      </c>
      <c r="EH116" s="356">
        <f>'Income Statement'!EU34-'Income Statement'!EU29</f>
        <v>570</v>
      </c>
      <c r="EI116" s="356">
        <f>'Income Statement'!EV34-'Income Statement'!EV29</f>
        <v>1251</v>
      </c>
      <c r="EJ116" s="356">
        <f>'Income Statement'!EW34-'Income Statement'!EW29</f>
        <v>857</v>
      </c>
      <c r="EK116" s="356">
        <f>'Income Statement'!EX34-'Income Statement'!EX29</f>
        <v>1194</v>
      </c>
      <c r="EL116" s="356">
        <f>'Income Statement'!EY34-'Income Statement'!EY29</f>
        <v>1000</v>
      </c>
      <c r="EM116" s="1681">
        <f>'Income Statement'!EZ34-'Income Statement'!EZ29</f>
        <v>1422.1719664788041</v>
      </c>
      <c r="EN116" s="298">
        <f>'Income Statement'!FA34-'Income Statement'!FA29</f>
        <v>1453.6419444761691</v>
      </c>
      <c r="EO116" s="298">
        <f>'Income Statement'!FB34-'Income Statement'!FB29</f>
        <v>1482.1013828946927</v>
      </c>
      <c r="EP116" s="298">
        <f>'Income Statement'!FC34-'Income Statement'!FC29</f>
        <v>1460.9126877591102</v>
      </c>
      <c r="EQ116" s="298">
        <f>'Income Statement'!FD34-'Income Statement'!FD29</f>
        <v>1458.016029062725</v>
      </c>
      <c r="ER116" s="298">
        <f>'Income Statement'!FE34-'Income Statement'!FE29</f>
        <v>1464.5872880199306</v>
      </c>
      <c r="ES116" s="298">
        <f>'Income Statement'!FF34-'Income Statement'!FF29</f>
        <v>1460.2925930288907</v>
      </c>
      <c r="ET116" s="298">
        <f>'Income Statement'!FG34-'Income Statement'!FG29</f>
        <v>1456.3977840833888</v>
      </c>
      <c r="EU116" s="298">
        <f>'Income Statement'!FH34-'Income Statement'!FH29</f>
        <v>1464.1689576244253</v>
      </c>
      <c r="EV116" s="413"/>
      <c r="EW116"/>
      <c r="EX116"/>
      <c r="EY116"/>
      <c r="EZ116"/>
      <c r="FA116"/>
      <c r="FB116"/>
      <c r="FG116" s="1367"/>
      <c r="FH116" s="1367"/>
      <c r="FI116" s="1367"/>
      <c r="FJ116" s="1367"/>
      <c r="FK116" s="1367"/>
      <c r="FL116"/>
      <c r="FM116"/>
      <c r="FN116"/>
      <c r="FO116"/>
      <c r="FP116"/>
      <c r="FQ116"/>
      <c r="FR116"/>
      <c r="FS116"/>
      <c r="FT116"/>
      <c r="FU116"/>
      <c r="FV116"/>
      <c r="FW116"/>
      <c r="FX116"/>
      <c r="FY116"/>
      <c r="FZ116"/>
      <c r="GA116"/>
      <c r="GB116"/>
      <c r="GC116"/>
      <c r="GD116"/>
      <c r="GE116"/>
      <c r="GF116"/>
      <c r="GG116"/>
      <c r="GH116"/>
      <c r="GI116"/>
      <c r="GJ116"/>
      <c r="GK116"/>
      <c r="GL116"/>
      <c r="GM116"/>
      <c r="GN116"/>
      <c r="GO116"/>
      <c r="GP116"/>
      <c r="GQ116"/>
      <c r="GR116"/>
      <c r="GS116"/>
      <c r="GT116"/>
      <c r="GU116"/>
      <c r="GV116"/>
      <c r="GW116"/>
      <c r="GX116"/>
      <c r="GY116"/>
      <c r="GZ116"/>
      <c r="HA116"/>
      <c r="HB116"/>
      <c r="HC116"/>
      <c r="HD116"/>
      <c r="HE116"/>
      <c r="HF116"/>
      <c r="HG116"/>
      <c r="HH116"/>
      <c r="HI116"/>
      <c r="HJ116"/>
      <c r="HK116"/>
      <c r="HL116"/>
      <c r="HM116"/>
      <c r="HN116"/>
      <c r="HO116"/>
      <c r="HP116"/>
      <c r="HQ116"/>
      <c r="HR116"/>
      <c r="HS116"/>
      <c r="HT116"/>
      <c r="HU116"/>
      <c r="HV116"/>
      <c r="HW116"/>
      <c r="HX116"/>
      <c r="HY116"/>
      <c r="HZ116"/>
      <c r="IA116"/>
      <c r="IB116"/>
      <c r="IC116"/>
      <c r="ID116"/>
      <c r="IE116"/>
      <c r="IF116"/>
      <c r="IG116"/>
      <c r="IH116"/>
      <c r="II116"/>
      <c r="IJ116"/>
      <c r="IK116"/>
      <c r="IL116"/>
      <c r="IM116"/>
      <c r="IN116"/>
      <c r="IO116"/>
      <c r="IP116"/>
      <c r="IQ116"/>
      <c r="IR116"/>
      <c r="IS116"/>
      <c r="IT116"/>
      <c r="IU116"/>
      <c r="IV116"/>
      <c r="IW116"/>
      <c r="IX116"/>
      <c r="IY116"/>
      <c r="IZ116"/>
    </row>
    <row r="117" spans="1:260" s="4" customFormat="1" outlineLevel="1" x14ac:dyDescent="0.2">
      <c r="A117" s="358" t="s">
        <v>96</v>
      </c>
      <c r="B117" s="915">
        <f t="shared" ref="B117:BM117" si="226">B46+B45+B48</f>
        <v>82.602999999999994</v>
      </c>
      <c r="C117" s="915">
        <f t="shared" si="226"/>
        <v>3.9100000000000108</v>
      </c>
      <c r="D117" s="915">
        <f t="shared" si="226"/>
        <v>0.98199999999999932</v>
      </c>
      <c r="E117" s="916">
        <f t="shared" si="226"/>
        <v>-0.98199999999999998</v>
      </c>
      <c r="F117" s="915">
        <f t="shared" si="226"/>
        <v>1.9239999999999999</v>
      </c>
      <c r="G117" s="915">
        <f t="shared" si="226"/>
        <v>2.4369999999999998</v>
      </c>
      <c r="H117" s="915">
        <f t="shared" si="226"/>
        <v>1.8770000000000007</v>
      </c>
      <c r="I117" s="916">
        <f t="shared" si="226"/>
        <v>-3.8720000000000003</v>
      </c>
      <c r="J117" s="915">
        <f t="shared" si="226"/>
        <v>1.6120000000000001</v>
      </c>
      <c r="K117" s="915">
        <f t="shared" si="226"/>
        <v>0.70199999999999996</v>
      </c>
      <c r="L117" s="915">
        <f t="shared" si="226"/>
        <v>0.29400000000000004</v>
      </c>
      <c r="M117" s="916">
        <f t="shared" si="226"/>
        <v>0.52500000000000002</v>
      </c>
      <c r="N117" s="915">
        <f t="shared" si="226"/>
        <v>1.244</v>
      </c>
      <c r="O117" s="915">
        <f t="shared" si="226"/>
        <v>0.92500000000000004</v>
      </c>
      <c r="P117" s="915">
        <f t="shared" si="226"/>
        <v>0.48599999999999977</v>
      </c>
      <c r="Q117" s="916">
        <f t="shared" si="226"/>
        <v>8.5000000000000409E-2</v>
      </c>
      <c r="R117" s="915">
        <f t="shared" si="226"/>
        <v>3.387</v>
      </c>
      <c r="S117" s="915">
        <f t="shared" si="226"/>
        <v>9.2999999999999972E-2</v>
      </c>
      <c r="T117" s="915">
        <f t="shared" si="226"/>
        <v>0.99299999999999988</v>
      </c>
      <c r="U117" s="916">
        <f t="shared" si="226"/>
        <v>10.396000000000001</v>
      </c>
      <c r="V117" s="915">
        <f t="shared" si="226"/>
        <v>6.165</v>
      </c>
      <c r="W117" s="915">
        <f t="shared" si="226"/>
        <v>3.9249999999999998</v>
      </c>
      <c r="X117" s="915">
        <f t="shared" si="226"/>
        <v>-0.40399999999999991</v>
      </c>
      <c r="Y117" s="916">
        <f t="shared" si="226"/>
        <v>8.4959999999999987</v>
      </c>
      <c r="Z117" s="915">
        <f t="shared" si="226"/>
        <v>-43.298000000000002</v>
      </c>
      <c r="AA117" s="915">
        <f t="shared" si="226"/>
        <v>-27.117000000000004</v>
      </c>
      <c r="AB117" s="915">
        <f t="shared" si="226"/>
        <v>-58.457000000000008</v>
      </c>
      <c r="AC117" s="916">
        <f t="shared" si="226"/>
        <v>-236.35000000000002</v>
      </c>
      <c r="AD117" s="915">
        <f t="shared" si="226"/>
        <v>226</v>
      </c>
      <c r="AE117" s="915">
        <f t="shared" si="226"/>
        <v>5</v>
      </c>
      <c r="AF117" s="915">
        <f t="shared" si="226"/>
        <v>2</v>
      </c>
      <c r="AG117" s="916">
        <f t="shared" si="226"/>
        <v>2</v>
      </c>
      <c r="AH117" s="915">
        <f t="shared" si="226"/>
        <v>19</v>
      </c>
      <c r="AI117" s="915">
        <f t="shared" si="226"/>
        <v>10</v>
      </c>
      <c r="AJ117" s="915">
        <f t="shared" si="226"/>
        <v>7</v>
      </c>
      <c r="AK117" s="916">
        <f t="shared" si="226"/>
        <v>12</v>
      </c>
      <c r="AL117" s="915">
        <f t="shared" si="226"/>
        <v>36</v>
      </c>
      <c r="AM117" s="915">
        <f t="shared" si="226"/>
        <v>36</v>
      </c>
      <c r="AN117" s="915">
        <f t="shared" si="226"/>
        <v>3</v>
      </c>
      <c r="AO117" s="916">
        <f t="shared" si="226"/>
        <v>-35</v>
      </c>
      <c r="AP117" s="915">
        <f t="shared" si="226"/>
        <v>5</v>
      </c>
      <c r="AQ117" s="915">
        <f t="shared" si="226"/>
        <v>31</v>
      </c>
      <c r="AR117" s="915">
        <f t="shared" si="226"/>
        <v>-2</v>
      </c>
      <c r="AS117" s="916">
        <f t="shared" si="226"/>
        <v>-20</v>
      </c>
      <c r="AT117" s="915">
        <f t="shared" si="226"/>
        <v>-13</v>
      </c>
      <c r="AU117" s="915">
        <f t="shared" si="226"/>
        <v>-37</v>
      </c>
      <c r="AV117" s="915">
        <f t="shared" si="226"/>
        <v>105</v>
      </c>
      <c r="AW117" s="916">
        <f t="shared" si="226"/>
        <v>1</v>
      </c>
      <c r="AX117" s="915">
        <f t="shared" si="226"/>
        <v>-176</v>
      </c>
      <c r="AY117" s="915">
        <f t="shared" si="226"/>
        <v>101</v>
      </c>
      <c r="AZ117" s="915">
        <f t="shared" si="226"/>
        <v>-131</v>
      </c>
      <c r="BA117" s="916">
        <f t="shared" si="226"/>
        <v>-274</v>
      </c>
      <c r="BB117" s="915">
        <f t="shared" si="226"/>
        <v>-149</v>
      </c>
      <c r="BC117" s="915">
        <f t="shared" si="226"/>
        <v>-196</v>
      </c>
      <c r="BD117" s="915">
        <f t="shared" si="226"/>
        <v>52</v>
      </c>
      <c r="BE117" s="916">
        <f t="shared" si="226"/>
        <v>-89</v>
      </c>
      <c r="BF117" s="915">
        <f t="shared" si="226"/>
        <v>-370</v>
      </c>
      <c r="BG117" s="915">
        <f t="shared" si="226"/>
        <v>-3032</v>
      </c>
      <c r="BH117" s="915">
        <f t="shared" si="226"/>
        <v>51</v>
      </c>
      <c r="BI117" s="916">
        <f t="shared" si="226"/>
        <v>36</v>
      </c>
      <c r="BJ117" s="915">
        <f t="shared" si="226"/>
        <v>39</v>
      </c>
      <c r="BK117" s="915">
        <f t="shared" si="226"/>
        <v>11</v>
      </c>
      <c r="BL117" s="915">
        <f t="shared" si="226"/>
        <v>33</v>
      </c>
      <c r="BM117" s="916">
        <f t="shared" si="226"/>
        <v>6</v>
      </c>
      <c r="BN117" s="915">
        <f t="shared" ref="BN117:CK117" si="227">BN46+BN45+BN48</f>
        <v>73</v>
      </c>
      <c r="BO117" s="915">
        <f t="shared" si="227"/>
        <v>5</v>
      </c>
      <c r="BP117" s="915">
        <f t="shared" si="227"/>
        <v>45</v>
      </c>
      <c r="BQ117" s="916">
        <f t="shared" si="227"/>
        <v>22</v>
      </c>
      <c r="BR117" s="915">
        <f t="shared" si="227"/>
        <v>9</v>
      </c>
      <c r="BS117" s="915">
        <f t="shared" si="227"/>
        <v>-553</v>
      </c>
      <c r="BT117" s="915">
        <f t="shared" si="227"/>
        <v>-400</v>
      </c>
      <c r="BU117" s="916">
        <f t="shared" si="227"/>
        <v>-59</v>
      </c>
      <c r="BV117" s="915">
        <f t="shared" si="227"/>
        <v>-433</v>
      </c>
      <c r="BW117" s="915">
        <f t="shared" si="227"/>
        <v>-364</v>
      </c>
      <c r="BX117" s="915">
        <f t="shared" si="227"/>
        <v>-304</v>
      </c>
      <c r="BY117" s="916">
        <f t="shared" si="227"/>
        <v>-332</v>
      </c>
      <c r="BZ117" s="915">
        <f t="shared" si="227"/>
        <v>-119</v>
      </c>
      <c r="CA117" s="915">
        <f t="shared" si="227"/>
        <v>-121</v>
      </c>
      <c r="CB117" s="915">
        <f t="shared" si="227"/>
        <v>11</v>
      </c>
      <c r="CC117" s="916">
        <f t="shared" si="227"/>
        <v>1</v>
      </c>
      <c r="CD117" s="915">
        <f t="shared" si="227"/>
        <v>9</v>
      </c>
      <c r="CE117" s="915">
        <f t="shared" si="227"/>
        <v>13</v>
      </c>
      <c r="CF117" s="915">
        <f t="shared" si="227"/>
        <v>133</v>
      </c>
      <c r="CG117" s="916">
        <f t="shared" si="227"/>
        <v>16</v>
      </c>
      <c r="CH117" s="915">
        <f t="shared" si="227"/>
        <v>9</v>
      </c>
      <c r="CI117" s="915">
        <f t="shared" si="227"/>
        <v>-9</v>
      </c>
      <c r="CJ117" s="915">
        <f t="shared" si="227"/>
        <v>0</v>
      </c>
      <c r="CK117" s="909">
        <f t="shared" si="227"/>
        <v>0</v>
      </c>
      <c r="CL117" s="910">
        <f t="shared" ref="CL117:CS117" si="228">CL46+CL45+CL48</f>
        <v>25</v>
      </c>
      <c r="CM117" s="915">
        <f t="shared" si="228"/>
        <v>-318</v>
      </c>
      <c r="CN117" s="915">
        <f t="shared" si="228"/>
        <v>-48</v>
      </c>
      <c r="CO117" s="916">
        <f>CO46+CO45+CO48</f>
        <v>-714</v>
      </c>
      <c r="CP117" s="915">
        <f>CP46+CP45+CP48</f>
        <v>-31</v>
      </c>
      <c r="CQ117" s="915">
        <f t="shared" si="228"/>
        <v>-217</v>
      </c>
      <c r="CR117" s="915">
        <f t="shared" si="228"/>
        <v>-158</v>
      </c>
      <c r="CS117" s="909">
        <f t="shared" si="228"/>
        <v>-292</v>
      </c>
      <c r="CT117" s="910">
        <f>CT46+CT45+CT48</f>
        <v>-298</v>
      </c>
      <c r="CU117" s="915">
        <f t="shared" ref="CU117" si="229">CU46+CU45+CU48</f>
        <v>-348</v>
      </c>
      <c r="CV117" s="915">
        <f t="shared" ref="CV117:DA117" si="230">CV46+CV45+CV48</f>
        <v>-347</v>
      </c>
      <c r="CW117" s="909">
        <f t="shared" si="230"/>
        <v>-1011</v>
      </c>
      <c r="CX117" s="1674">
        <f t="shared" si="230"/>
        <v>-650</v>
      </c>
      <c r="CY117" s="920">
        <f t="shared" si="230"/>
        <v>-250</v>
      </c>
      <c r="CZ117" s="920">
        <f t="shared" si="230"/>
        <v>-250</v>
      </c>
      <c r="DA117" s="916">
        <f t="shared" si="230"/>
        <v>-350</v>
      </c>
      <c r="DB117" s="667"/>
      <c r="DC117" s="524"/>
      <c r="DD117" s="132"/>
      <c r="DE117" s="132"/>
      <c r="DF117" s="132"/>
      <c r="DG117" s="132"/>
      <c r="DH117" s="132"/>
      <c r="DI117" s="132"/>
      <c r="DJ117" s="132"/>
      <c r="DK117" s="132"/>
      <c r="DL117" s="9"/>
      <c r="DM117" s="9"/>
      <c r="DN117" s="9"/>
      <c r="DO117" s="9"/>
      <c r="DP117" s="298">
        <f t="shared" ref="DP117:EF117" si="231">DP46+DP45+DP48</f>
        <v>14.869</v>
      </c>
      <c r="DQ117" s="298">
        <f t="shared" si="231"/>
        <v>18.181999999999999</v>
      </c>
      <c r="DR117" s="298">
        <f t="shared" si="231"/>
        <v>-365.22200000000004</v>
      </c>
      <c r="DS117" s="298">
        <f t="shared" si="231"/>
        <v>235</v>
      </c>
      <c r="DT117" s="298">
        <f t="shared" si="231"/>
        <v>48</v>
      </c>
      <c r="DU117" s="298">
        <f t="shared" si="231"/>
        <v>40</v>
      </c>
      <c r="DV117" s="298">
        <f t="shared" si="231"/>
        <v>14</v>
      </c>
      <c r="DW117" s="298">
        <f t="shared" si="231"/>
        <v>56</v>
      </c>
      <c r="DX117" s="1340">
        <f t="shared" si="231"/>
        <v>-480</v>
      </c>
      <c r="DY117" s="1340">
        <f t="shared" si="231"/>
        <v>-382</v>
      </c>
      <c r="DZ117" s="1340">
        <f t="shared" si="231"/>
        <v>-3315</v>
      </c>
      <c r="EA117" s="298">
        <f t="shared" si="231"/>
        <v>89</v>
      </c>
      <c r="EB117" s="298">
        <f t="shared" si="231"/>
        <v>145</v>
      </c>
      <c r="EC117" s="1340">
        <f t="shared" si="231"/>
        <v>-1003</v>
      </c>
      <c r="ED117" s="1340">
        <f t="shared" si="231"/>
        <v>-1433</v>
      </c>
      <c r="EE117" s="1340">
        <f t="shared" si="231"/>
        <v>-956.30199999999991</v>
      </c>
      <c r="EF117" s="1340">
        <f t="shared" si="231"/>
        <v>-1138.2280000000001</v>
      </c>
      <c r="EG117" s="1340">
        <f>EG46+EG45+EG48</f>
        <v>-228</v>
      </c>
      <c r="EH117" s="356">
        <f t="shared" ref="EH117:EQ117" si="232">EH46+EH45+EH48</f>
        <v>171</v>
      </c>
      <c r="EI117" s="356">
        <f t="shared" si="232"/>
        <v>0</v>
      </c>
      <c r="EJ117" s="356">
        <f t="shared" si="232"/>
        <v>-1055</v>
      </c>
      <c r="EK117" s="1341">
        <f t="shared" si="232"/>
        <v>-698</v>
      </c>
      <c r="EL117" s="1341">
        <f t="shared" si="232"/>
        <v>-2004</v>
      </c>
      <c r="EM117" s="1682">
        <f t="shared" ref="EM117" si="233">EM46+EM45+EM48</f>
        <v>-1500</v>
      </c>
      <c r="EN117" s="1340">
        <f t="shared" si="232"/>
        <v>-1500</v>
      </c>
      <c r="EO117" s="1340">
        <f t="shared" si="232"/>
        <v>-1500</v>
      </c>
      <c r="EP117" s="1340">
        <f t="shared" si="232"/>
        <v>-1200</v>
      </c>
      <c r="EQ117" s="1340">
        <f t="shared" si="232"/>
        <v>-1200</v>
      </c>
      <c r="ER117" s="1340">
        <f>ER46+ER45+ER48</f>
        <v>-1200</v>
      </c>
      <c r="ES117" s="1340">
        <f>ES46+ES45+ES48</f>
        <v>-1200</v>
      </c>
      <c r="ET117" s="1340">
        <f>ET46+ET45+ET48</f>
        <v>-1200</v>
      </c>
      <c r="EU117" s="1340">
        <f>EU46+EU45+EU48</f>
        <v>-1200</v>
      </c>
      <c r="EV117" s="413"/>
      <c r="EW117"/>
      <c r="EX117"/>
      <c r="EY117"/>
      <c r="EZ117"/>
      <c r="FA117"/>
      <c r="FB117"/>
      <c r="FG117"/>
      <c r="FH117"/>
      <c r="FI117" s="2664"/>
      <c r="FJ117" s="2664"/>
      <c r="FK117" s="2664"/>
      <c r="FL117"/>
      <c r="FM117"/>
      <c r="FN117"/>
      <c r="FO117"/>
      <c r="FP117"/>
      <c r="FQ117"/>
      <c r="FR117"/>
      <c r="FS117"/>
      <c r="FT117"/>
      <c r="FU117"/>
      <c r="FV117"/>
      <c r="FW117"/>
      <c r="FX117"/>
      <c r="FY117"/>
      <c r="FZ117"/>
      <c r="GA117"/>
      <c r="GB117"/>
      <c r="GC117"/>
      <c r="GD117"/>
      <c r="GE117"/>
      <c r="GF117"/>
      <c r="GG117"/>
      <c r="GH117"/>
      <c r="GI117"/>
      <c r="GJ117"/>
      <c r="GK117"/>
      <c r="GL117"/>
      <c r="GM117"/>
      <c r="GN117"/>
      <c r="GO117"/>
      <c r="GP117"/>
      <c r="GQ117"/>
      <c r="GR117"/>
      <c r="GS117"/>
      <c r="GT117"/>
      <c r="GU117"/>
      <c r="GV117"/>
      <c r="GW117"/>
      <c r="GX117"/>
      <c r="GY117"/>
      <c r="GZ117"/>
      <c r="HA117"/>
      <c r="HB117"/>
      <c r="HC117"/>
      <c r="HD117"/>
      <c r="HE117"/>
      <c r="HF117"/>
      <c r="HG117"/>
      <c r="HH117"/>
      <c r="HI117"/>
      <c r="HJ117"/>
      <c r="HK117"/>
      <c r="HL117"/>
      <c r="HM117"/>
      <c r="HN117"/>
      <c r="HO117"/>
      <c r="HP117"/>
      <c r="HQ117"/>
      <c r="HR117"/>
      <c r="HS117"/>
      <c r="HT117"/>
      <c r="HU117"/>
      <c r="HV117"/>
      <c r="HW117"/>
      <c r="HX117"/>
      <c r="HY117"/>
      <c r="HZ117"/>
      <c r="IA117"/>
      <c r="IB117"/>
      <c r="IC117"/>
      <c r="ID117"/>
      <c r="IE117"/>
      <c r="IF117"/>
      <c r="IG117"/>
      <c r="IH117"/>
      <c r="II117"/>
      <c r="IJ117"/>
      <c r="IK117"/>
      <c r="IL117"/>
      <c r="IM117"/>
      <c r="IN117"/>
      <c r="IO117"/>
      <c r="IP117"/>
      <c r="IQ117"/>
      <c r="IR117"/>
      <c r="IS117"/>
      <c r="IT117"/>
      <c r="IU117"/>
      <c r="IV117"/>
      <c r="IW117"/>
      <c r="IX117"/>
      <c r="IY117"/>
      <c r="IZ117"/>
    </row>
    <row r="118" spans="1:260" s="4" customFormat="1" outlineLevel="1" x14ac:dyDescent="0.2">
      <c r="A118" s="358" t="s">
        <v>97</v>
      </c>
      <c r="B118" s="915">
        <f t="shared" ref="B118:BM118" si="234">B47</f>
        <v>0</v>
      </c>
      <c r="C118" s="915">
        <f t="shared" si="234"/>
        <v>0</v>
      </c>
      <c r="D118" s="915">
        <f t="shared" si="234"/>
        <v>0</v>
      </c>
      <c r="E118" s="916">
        <f t="shared" si="234"/>
        <v>0</v>
      </c>
      <c r="F118" s="915">
        <f t="shared" si="234"/>
        <v>0</v>
      </c>
      <c r="G118" s="915">
        <f t="shared" si="234"/>
        <v>0</v>
      </c>
      <c r="H118" s="915">
        <f t="shared" si="234"/>
        <v>0</v>
      </c>
      <c r="I118" s="916">
        <f t="shared" si="234"/>
        <v>0</v>
      </c>
      <c r="J118" s="915">
        <f t="shared" si="234"/>
        <v>0</v>
      </c>
      <c r="K118" s="915">
        <f t="shared" si="234"/>
        <v>0</v>
      </c>
      <c r="L118" s="915">
        <f t="shared" si="234"/>
        <v>0</v>
      </c>
      <c r="M118" s="916">
        <f t="shared" si="234"/>
        <v>0</v>
      </c>
      <c r="N118" s="915">
        <f t="shared" si="234"/>
        <v>0</v>
      </c>
      <c r="O118" s="915">
        <f t="shared" si="234"/>
        <v>0</v>
      </c>
      <c r="P118" s="915">
        <f t="shared" si="234"/>
        <v>0</v>
      </c>
      <c r="Q118" s="916">
        <f t="shared" si="234"/>
        <v>0</v>
      </c>
      <c r="R118" s="915">
        <f t="shared" si="234"/>
        <v>0</v>
      </c>
      <c r="S118" s="915">
        <f t="shared" si="234"/>
        <v>0</v>
      </c>
      <c r="T118" s="915">
        <f t="shared" si="234"/>
        <v>0</v>
      </c>
      <c r="U118" s="916">
        <f t="shared" si="234"/>
        <v>0</v>
      </c>
      <c r="V118" s="915">
        <f t="shared" si="234"/>
        <v>0</v>
      </c>
      <c r="W118" s="915">
        <f t="shared" si="234"/>
        <v>0</v>
      </c>
      <c r="X118" s="915">
        <f t="shared" si="234"/>
        <v>0</v>
      </c>
      <c r="Y118" s="916">
        <f t="shared" si="234"/>
        <v>0</v>
      </c>
      <c r="Z118" s="915">
        <f t="shared" si="234"/>
        <v>0</v>
      </c>
      <c r="AA118" s="915">
        <f t="shared" si="234"/>
        <v>0</v>
      </c>
      <c r="AB118" s="915">
        <f t="shared" si="234"/>
        <v>0</v>
      </c>
      <c r="AC118" s="916">
        <f t="shared" si="234"/>
        <v>0</v>
      </c>
      <c r="AD118" s="915">
        <f t="shared" si="234"/>
        <v>0</v>
      </c>
      <c r="AE118" s="915">
        <f t="shared" si="234"/>
        <v>0</v>
      </c>
      <c r="AF118" s="915">
        <f t="shared" si="234"/>
        <v>0</v>
      </c>
      <c r="AG118" s="916">
        <f t="shared" si="234"/>
        <v>0</v>
      </c>
      <c r="AH118" s="915">
        <f t="shared" si="234"/>
        <v>0</v>
      </c>
      <c r="AI118" s="915">
        <f t="shared" si="234"/>
        <v>0</v>
      </c>
      <c r="AJ118" s="915">
        <f t="shared" si="234"/>
        <v>0</v>
      </c>
      <c r="AK118" s="916">
        <f t="shared" si="234"/>
        <v>0</v>
      </c>
      <c r="AL118" s="915">
        <f t="shared" si="234"/>
        <v>0</v>
      </c>
      <c r="AM118" s="915">
        <f t="shared" si="234"/>
        <v>0</v>
      </c>
      <c r="AN118" s="915">
        <f t="shared" si="234"/>
        <v>0</v>
      </c>
      <c r="AO118" s="916">
        <f t="shared" si="234"/>
        <v>0</v>
      </c>
      <c r="AP118" s="915">
        <f t="shared" si="234"/>
        <v>0</v>
      </c>
      <c r="AQ118" s="915">
        <f t="shared" si="234"/>
        <v>0</v>
      </c>
      <c r="AR118" s="915">
        <f t="shared" si="234"/>
        <v>0</v>
      </c>
      <c r="AS118" s="916">
        <f t="shared" si="234"/>
        <v>-130</v>
      </c>
      <c r="AT118" s="915">
        <f t="shared" si="234"/>
        <v>-32</v>
      </c>
      <c r="AU118" s="915">
        <f t="shared" si="234"/>
        <v>-33</v>
      </c>
      <c r="AV118" s="915">
        <f t="shared" si="234"/>
        <v>-35</v>
      </c>
      <c r="AW118" s="916">
        <f t="shared" si="234"/>
        <v>-37</v>
      </c>
      <c r="AX118" s="915">
        <f t="shared" si="234"/>
        <v>-36</v>
      </c>
      <c r="AY118" s="915">
        <f t="shared" si="234"/>
        <v>-37</v>
      </c>
      <c r="AZ118" s="915">
        <f t="shared" si="234"/>
        <v>-39</v>
      </c>
      <c r="BA118" s="916">
        <f t="shared" si="234"/>
        <v>-39</v>
      </c>
      <c r="BB118" s="915">
        <f t="shared" si="234"/>
        <v>-38</v>
      </c>
      <c r="BC118" s="915">
        <f t="shared" si="234"/>
        <v>-40</v>
      </c>
      <c r="BD118" s="915">
        <f t="shared" si="234"/>
        <v>-47</v>
      </c>
      <c r="BE118" s="916">
        <f t="shared" si="234"/>
        <v>-49</v>
      </c>
      <c r="BF118" s="915">
        <f t="shared" si="234"/>
        <v>-48</v>
      </c>
      <c r="BG118" s="915">
        <f t="shared" si="234"/>
        <v>-45</v>
      </c>
      <c r="BH118" s="915">
        <f t="shared" si="234"/>
        <v>-55</v>
      </c>
      <c r="BI118" s="916">
        <f t="shared" si="234"/>
        <v>-56</v>
      </c>
      <c r="BJ118" s="915">
        <f t="shared" si="234"/>
        <v>-54</v>
      </c>
      <c r="BK118" s="915">
        <f t="shared" si="234"/>
        <v>-53</v>
      </c>
      <c r="BL118" s="915">
        <f t="shared" si="234"/>
        <v>-58</v>
      </c>
      <c r="BM118" s="916">
        <f t="shared" si="234"/>
        <v>-58</v>
      </c>
      <c r="BN118" s="915">
        <f t="shared" ref="BN118:CK118" si="235">BN47</f>
        <v>-58</v>
      </c>
      <c r="BO118" s="915">
        <f t="shared" si="235"/>
        <v>-59</v>
      </c>
      <c r="BP118" s="915">
        <f t="shared" si="235"/>
        <v>-58</v>
      </c>
      <c r="BQ118" s="916">
        <f t="shared" si="235"/>
        <v>-59</v>
      </c>
      <c r="BR118" s="915">
        <f t="shared" si="235"/>
        <v>-59</v>
      </c>
      <c r="BS118" s="915">
        <f t="shared" si="235"/>
        <v>-59</v>
      </c>
      <c r="BT118" s="915">
        <f t="shared" si="235"/>
        <v>-60</v>
      </c>
      <c r="BU118" s="916">
        <f t="shared" si="235"/>
        <v>-59</v>
      </c>
      <c r="BV118" s="915">
        <f t="shared" si="235"/>
        <v>-59</v>
      </c>
      <c r="BW118" s="915">
        <f t="shared" si="235"/>
        <v>-56</v>
      </c>
      <c r="BX118" s="915">
        <f t="shared" si="235"/>
        <v>-57</v>
      </c>
      <c r="BY118" s="916">
        <f t="shared" si="235"/>
        <v>-56</v>
      </c>
      <c r="BZ118" s="915">
        <f t="shared" si="235"/>
        <v>-54.752000000000002</v>
      </c>
      <c r="CA118" s="915">
        <f t="shared" si="235"/>
        <v>-54.247999999999998</v>
      </c>
      <c r="CB118" s="915">
        <f t="shared" si="235"/>
        <v>-57.000000000000007</v>
      </c>
      <c r="CC118" s="916">
        <f t="shared" si="235"/>
        <v>-57.999999999999993</v>
      </c>
      <c r="CD118" s="915">
        <f t="shared" si="235"/>
        <v>-58</v>
      </c>
      <c r="CE118" s="915">
        <f t="shared" si="235"/>
        <v>-58</v>
      </c>
      <c r="CF118" s="915">
        <f t="shared" si="235"/>
        <v>-58</v>
      </c>
      <c r="CG118" s="916">
        <f t="shared" si="235"/>
        <v>-59</v>
      </c>
      <c r="CH118" s="915">
        <f t="shared" si="235"/>
        <v>-59</v>
      </c>
      <c r="CI118" s="915">
        <f t="shared" si="235"/>
        <v>-59</v>
      </c>
      <c r="CJ118" s="915">
        <f t="shared" si="235"/>
        <v>-67</v>
      </c>
      <c r="CK118" s="909">
        <f t="shared" si="235"/>
        <v>-66</v>
      </c>
      <c r="CL118" s="910">
        <f t="shared" ref="CL118:CS118" si="236">CL47</f>
        <v>-261</v>
      </c>
      <c r="CM118" s="915">
        <f t="shared" si="236"/>
        <v>-80</v>
      </c>
      <c r="CN118" s="915">
        <f t="shared" si="236"/>
        <v>-80</v>
      </c>
      <c r="CO118" s="916">
        <f>CO47</f>
        <v>-78</v>
      </c>
      <c r="CP118" s="915">
        <f>CP47</f>
        <v>-238</v>
      </c>
      <c r="CQ118" s="915">
        <f t="shared" si="236"/>
        <v>-90</v>
      </c>
      <c r="CR118" s="915">
        <f t="shared" si="236"/>
        <v>-89</v>
      </c>
      <c r="CS118" s="909">
        <f t="shared" si="236"/>
        <v>-88</v>
      </c>
      <c r="CT118" s="910">
        <f>CT47</f>
        <v>-105</v>
      </c>
      <c r="CU118" s="915">
        <f t="shared" ref="CU118" si="237">CU47</f>
        <v>-103</v>
      </c>
      <c r="CV118" s="915">
        <f t="shared" ref="CV118:DA118" si="238">CV47</f>
        <v>-102</v>
      </c>
      <c r="CW118" s="909">
        <f t="shared" si="238"/>
        <v>-99</v>
      </c>
      <c r="CX118" s="1674">
        <f t="shared" si="238"/>
        <v>-114.62824324324325</v>
      </c>
      <c r="CY118" s="920">
        <f t="shared" si="238"/>
        <v>-127.18406325260902</v>
      </c>
      <c r="CZ118" s="920">
        <f t="shared" si="238"/>
        <v>-126.64254673793242</v>
      </c>
      <c r="DA118" s="916">
        <f t="shared" si="238"/>
        <v>-125.8207477253859</v>
      </c>
      <c r="DB118" s="667"/>
      <c r="DC118" s="524"/>
      <c r="DD118" s="132"/>
      <c r="DE118" s="132"/>
      <c r="DF118" s="132"/>
      <c r="DG118" s="132"/>
      <c r="DH118" s="132"/>
      <c r="DI118" s="132"/>
      <c r="DJ118" s="132"/>
      <c r="DK118" s="132"/>
      <c r="DL118" s="9"/>
      <c r="DM118" s="9"/>
      <c r="DN118" s="9"/>
      <c r="DO118" s="9"/>
      <c r="DP118" s="298">
        <f>DP47</f>
        <v>0</v>
      </c>
      <c r="DQ118" s="298">
        <f t="shared" ref="DQ118:DW118" si="239">DQ47</f>
        <v>0</v>
      </c>
      <c r="DR118" s="298">
        <f t="shared" si="239"/>
        <v>0</v>
      </c>
      <c r="DS118" s="298">
        <f t="shared" si="239"/>
        <v>0</v>
      </c>
      <c r="DT118" s="298">
        <f t="shared" si="239"/>
        <v>0</v>
      </c>
      <c r="DU118" s="298">
        <f t="shared" si="239"/>
        <v>0</v>
      </c>
      <c r="DV118" s="1340">
        <f t="shared" si="239"/>
        <v>-130</v>
      </c>
      <c r="DW118" s="1340">
        <f t="shared" si="239"/>
        <v>-137</v>
      </c>
      <c r="DX118" s="1340">
        <f t="shared" ref="DX118:EC118" si="240">DX47</f>
        <v>-151</v>
      </c>
      <c r="DY118" s="1340">
        <f t="shared" si="240"/>
        <v>-174</v>
      </c>
      <c r="DZ118" s="1340">
        <f t="shared" si="240"/>
        <v>-204</v>
      </c>
      <c r="EA118" s="1340">
        <f t="shared" si="240"/>
        <v>-223</v>
      </c>
      <c r="EB118" s="1340">
        <f t="shared" si="240"/>
        <v>-234</v>
      </c>
      <c r="EC118" s="1340">
        <f t="shared" si="240"/>
        <v>-237</v>
      </c>
      <c r="ED118" s="1340">
        <f t="shared" ref="ED118:EI118" si="241">ED47</f>
        <v>-228</v>
      </c>
      <c r="EE118" s="1340">
        <f t="shared" si="241"/>
        <v>-236.69800000000004</v>
      </c>
      <c r="EF118" s="1340">
        <f t="shared" si="241"/>
        <v>-229.77200000000002</v>
      </c>
      <c r="EG118" s="1340">
        <f t="shared" si="241"/>
        <v>-224</v>
      </c>
      <c r="EH118" s="1341">
        <f t="shared" si="241"/>
        <v>-233</v>
      </c>
      <c r="EI118" s="1341">
        <f t="shared" si="241"/>
        <v>-251</v>
      </c>
      <c r="EJ118" s="1341">
        <f t="shared" ref="EJ118:EP118" si="242">EJ47</f>
        <v>-499</v>
      </c>
      <c r="EK118" s="1341">
        <f t="shared" si="242"/>
        <v>-505</v>
      </c>
      <c r="EL118" s="1341">
        <f t="shared" si="242"/>
        <v>-409</v>
      </c>
      <c r="EM118" s="1682">
        <f t="shared" ref="EM118" si="243">EM47</f>
        <v>-494.27560095917062</v>
      </c>
      <c r="EN118" s="1340">
        <f t="shared" si="242"/>
        <v>-511.55749617886511</v>
      </c>
      <c r="EO118" s="1340">
        <f t="shared" si="242"/>
        <v>-527.71477759008314</v>
      </c>
      <c r="EP118" s="1340">
        <f t="shared" si="242"/>
        <v>-550.00708889345276</v>
      </c>
      <c r="EQ118" s="1340">
        <f>EQ47</f>
        <v>-579.76993499508023</v>
      </c>
      <c r="ER118" s="1340">
        <f>ER47</f>
        <v>-613.80070649292929</v>
      </c>
      <c r="ES118" s="1340">
        <f>ES47</f>
        <v>-652.57020212149803</v>
      </c>
      <c r="ET118" s="1340">
        <f>ET47</f>
        <v>-696.59815710115345</v>
      </c>
      <c r="EU118" s="1340">
        <f>EU47</f>
        <v>-746.45812694852987</v>
      </c>
      <c r="EV118" s="413"/>
      <c r="EW118"/>
      <c r="EX118"/>
      <c r="EY118"/>
      <c r="EZ118"/>
      <c r="FA118"/>
      <c r="FB118"/>
      <c r="FG118"/>
      <c r="FH118"/>
      <c r="FI118" s="2664"/>
      <c r="FJ118" s="2664"/>
      <c r="FK118" s="2664"/>
      <c r="FL118"/>
      <c r="FM118"/>
      <c r="FN118"/>
      <c r="FO118"/>
      <c r="FP118"/>
      <c r="FQ118"/>
      <c r="FR118"/>
      <c r="FS118"/>
      <c r="FT118"/>
      <c r="FU118"/>
      <c r="FV118"/>
      <c r="FW118"/>
      <c r="FX118"/>
      <c r="FY118"/>
      <c r="FZ118"/>
      <c r="GA118"/>
      <c r="GB118"/>
      <c r="GC118"/>
      <c r="GD118"/>
      <c r="GE118"/>
      <c r="GF118"/>
      <c r="GG118"/>
      <c r="GH118"/>
      <c r="GI118"/>
      <c r="GJ118"/>
      <c r="GK118"/>
      <c r="GL118"/>
      <c r="GM118"/>
      <c r="GN118"/>
      <c r="GO118"/>
      <c r="GP118"/>
      <c r="GQ118"/>
      <c r="GR118"/>
      <c r="GS118"/>
      <c r="GT118"/>
      <c r="GU118"/>
      <c r="GV118"/>
      <c r="GW118"/>
      <c r="GX118"/>
      <c r="GY118"/>
      <c r="GZ118"/>
      <c r="HA118"/>
      <c r="HB118"/>
      <c r="HC118"/>
      <c r="HD118"/>
      <c r="HE118"/>
      <c r="HF118"/>
      <c r="HG118"/>
      <c r="HH118"/>
      <c r="HI118"/>
      <c r="HJ118"/>
      <c r="HK118"/>
      <c r="HL118"/>
      <c r="HM118"/>
      <c r="HN118"/>
      <c r="HO118"/>
      <c r="HP118"/>
      <c r="HQ118"/>
      <c r="HR118"/>
      <c r="HS118"/>
      <c r="HT118"/>
      <c r="HU118"/>
      <c r="HV118"/>
      <c r="HW118"/>
      <c r="HX118"/>
      <c r="HY118"/>
      <c r="HZ118"/>
      <c r="IA118"/>
      <c r="IB118"/>
      <c r="IC118"/>
      <c r="ID118"/>
      <c r="IE118"/>
      <c r="IF118"/>
      <c r="IG118"/>
      <c r="IH118"/>
      <c r="II118"/>
      <c r="IJ118"/>
      <c r="IK118"/>
      <c r="IL118"/>
      <c r="IM118"/>
      <c r="IN118"/>
      <c r="IO118"/>
      <c r="IP118"/>
      <c r="IQ118"/>
      <c r="IR118"/>
      <c r="IS118"/>
      <c r="IT118"/>
      <c r="IU118"/>
      <c r="IV118"/>
      <c r="IW118"/>
      <c r="IX118"/>
      <c r="IY118"/>
      <c r="IZ118"/>
    </row>
    <row r="119" spans="1:260" s="4" customFormat="1" ht="12" outlineLevel="1" thickBot="1" x14ac:dyDescent="0.25">
      <c r="A119" s="358" t="s">
        <v>479</v>
      </c>
      <c r="B119" s="915"/>
      <c r="C119" s="915">
        <f>'Balance Sheet'!C42-'Balance Sheet'!B42-'Cash Flow'!C117-'Cash Flow'!C118-'Income Statement'!C34</f>
        <v>9.999999999532605E-4</v>
      </c>
      <c r="D119" s="915">
        <f>'Balance Sheet'!D42-'Balance Sheet'!C42-'Cash Flow'!D117-'Cash Flow'!D118-'Income Statement'!D34</f>
        <v>-9.9999999989464072E-4</v>
      </c>
      <c r="E119" s="916">
        <f>'Balance Sheet'!E42-'Balance Sheet'!D42-'Cash Flow'!E117-'Cash Flow'!E118-'Income Statement'!E34</f>
        <v>1.3629999999999072</v>
      </c>
      <c r="F119" s="915">
        <f>'Balance Sheet'!F42-'Balance Sheet'!E42-'Cash Flow'!F117-'Cash Flow'!F118-'Income Statement'!F34</f>
        <v>1.0000000000018439E-2</v>
      </c>
      <c r="G119" s="915">
        <f>'Balance Sheet'!G42-'Balance Sheet'!F42-'Cash Flow'!G117-'Cash Flow'!G118-'Income Statement'!G34</f>
        <v>7.1942451995710144E-14</v>
      </c>
      <c r="H119" s="915">
        <f>'Balance Sheet'!H42-'Balance Sheet'!G42-'Cash Flow'!H117-'Cash Flow'!H118-'Income Statement'!H34</f>
        <v>-5.6843418860808015E-14</v>
      </c>
      <c r="I119" s="916">
        <f>'Balance Sheet'!I42-'Balance Sheet'!H42-'Cash Flow'!I117-'Cash Flow'!I118-'Income Statement'!I34</f>
        <v>4.6610000000000049</v>
      </c>
      <c r="J119" s="915">
        <f>'Balance Sheet'!J42-'Balance Sheet'!I42-'Cash Flow'!J117-'Cash Flow'!J118-'Income Statement'!J34</f>
        <v>3.0239999999998224</v>
      </c>
      <c r="K119" s="915">
        <f>'Balance Sheet'!K42-'Balance Sheet'!J42-'Cash Flow'!K117-'Cash Flow'!K118-'Income Statement'!K34</f>
        <v>0.50299999999989531</v>
      </c>
      <c r="L119" s="915">
        <f>'Balance Sheet'!L42-'Balance Sheet'!K42-'Cash Flow'!L117-'Cash Flow'!L118-'Income Statement'!L34</f>
        <v>0.24399999999992517</v>
      </c>
      <c r="M119" s="916">
        <f>'Balance Sheet'!M42-'Balance Sheet'!L42-'Cash Flow'!M117-'Cash Flow'!M118-'Income Statement'!M34</f>
        <v>0.59600000000002851</v>
      </c>
      <c r="N119" s="915">
        <f>'Balance Sheet'!N42-'Balance Sheet'!M42-'Cash Flow'!N117-'Cash Flow'!N118-'Income Statement'!N34</f>
        <v>1.5620000000001764</v>
      </c>
      <c r="O119" s="915">
        <f>'Balance Sheet'!O42-'Balance Sheet'!N42-'Cash Flow'!O117-'Cash Flow'!O118-'Income Statement'!O34</f>
        <v>0.38899999999980706</v>
      </c>
      <c r="P119" s="915">
        <f>'Balance Sheet'!P42-'Balance Sheet'!O42-'Cash Flow'!P117-'Cash Flow'!P118-'Income Statement'!P34</f>
        <v>0.24099999999997479</v>
      </c>
      <c r="Q119" s="916">
        <f>'Balance Sheet'!Q42-'Balance Sheet'!P42-'Cash Flow'!Q117-'Cash Flow'!Q118-'Income Statement'!Q34</f>
        <v>2.1000000000270802E-2</v>
      </c>
      <c r="R119" s="915">
        <f>'Balance Sheet'!R42-'Balance Sheet'!Q42-'Cash Flow'!R117-'Cash Flow'!R118-'Income Statement'!R34</f>
        <v>1.0259999999999065</v>
      </c>
      <c r="S119" s="915">
        <f>'Balance Sheet'!S42-'Balance Sheet'!R42-'Cash Flow'!S117-'Cash Flow'!S118-'Income Statement'!S34</f>
        <v>1.1000000000135124E-2</v>
      </c>
      <c r="T119" s="915">
        <f>'Balance Sheet'!T42-'Balance Sheet'!S42-'Cash Flow'!T117-'Cash Flow'!T118-'Income Statement'!T34</f>
        <v>0.59200000000005915</v>
      </c>
      <c r="U119" s="916">
        <f>'Balance Sheet'!U42-'Balance Sheet'!T42-'Cash Flow'!U117-'Cash Flow'!U118-'Income Statement'!U34</f>
        <v>8.5000000000002842</v>
      </c>
      <c r="V119" s="915">
        <f>'Balance Sheet'!V42-'Balance Sheet'!U42-'Cash Flow'!V117-'Cash Flow'!V118-'Income Statement'!V34</f>
        <v>234.33499999999975</v>
      </c>
      <c r="W119" s="915">
        <f>'Balance Sheet'!W42-'Balance Sheet'!V42-'Cash Flow'!W117-'Cash Flow'!W118-'Income Statement'!W34</f>
        <v>9.3020000000001275</v>
      </c>
      <c r="X119" s="915">
        <f>'Balance Sheet'!X42-'Balance Sheet'!W42-'Cash Flow'!X117-'Cash Flow'!X118-'Income Statement'!X34</f>
        <v>-25.731000000000346</v>
      </c>
      <c r="Y119" s="916">
        <f>'Balance Sheet'!Y42-'Balance Sheet'!X42-'Cash Flow'!Y117-'Cash Flow'!Y118-'Income Statement'!Y34</f>
        <v>54.017999999999802</v>
      </c>
      <c r="Z119" s="915">
        <f>'Balance Sheet'!Z42-'Balance Sheet'!Y42-'Cash Flow'!Z117-'Cash Flow'!Z118-'Income Statement'!Z34</f>
        <v>21.470000000000034</v>
      </c>
      <c r="AA119" s="915">
        <f>'Balance Sheet'!AA42-'Balance Sheet'!Z42-'Cash Flow'!AA117-'Cash Flow'!AA118-'Income Statement'!AA34</f>
        <v>46.050999999999988</v>
      </c>
      <c r="AB119" s="915">
        <f>'Balance Sheet'!AB42-'Balance Sheet'!AA42-'Cash Flow'!AB117-'Cash Flow'!AB118-'Income Statement'!AB34</f>
        <v>-27.659000000000034</v>
      </c>
      <c r="AC119" s="916">
        <f>'Balance Sheet'!AC42-'Balance Sheet'!AB42-'Cash Flow'!AC117-'Cash Flow'!AC118-'Income Statement'!AC34</f>
        <v>10.141000000000133</v>
      </c>
      <c r="AD119" s="915">
        <f>'Balance Sheet'!AD42-'Balance Sheet'!AC42-'Cash Flow'!AD117-'Cash Flow'!AD118-'Income Statement'!AD34</f>
        <v>62.857000000000014</v>
      </c>
      <c r="AE119" s="915">
        <f>'Balance Sheet'!AE42-'Balance Sheet'!AD42-'Cash Flow'!AE117-'Cash Flow'!AE118-'Income Statement'!AE34</f>
        <v>25.252000000000095</v>
      </c>
      <c r="AF119" s="915">
        <f>'Balance Sheet'!AF42-'Balance Sheet'!AE42-'Cash Flow'!AF117-'Cash Flow'!AF118-'Income Statement'!AF34</f>
        <v>2.7370000000003074</v>
      </c>
      <c r="AG119" s="916">
        <f>'Balance Sheet'!AG42-'Balance Sheet'!AF42-'Cash Flow'!AG117-'Cash Flow'!AG118-'Income Statement'!AG34</f>
        <v>3.9999999999999432</v>
      </c>
      <c r="AH119" s="915">
        <f>'Balance Sheet'!AH42-'Balance Sheet'!AG42-'Cash Flow'!AH117-'Cash Flow'!AH118-'Income Statement'!AH34</f>
        <v>31</v>
      </c>
      <c r="AI119" s="915">
        <f>'Balance Sheet'!AI42-'Balance Sheet'!AH42-'Cash Flow'!AI117-'Cash Flow'!AI118-'Income Statement'!AI34</f>
        <v>17</v>
      </c>
      <c r="AJ119" s="915">
        <f>'Balance Sheet'!AJ42-'Balance Sheet'!AI42-'Cash Flow'!AJ117-'Cash Flow'!AJ118-'Income Statement'!AJ34</f>
        <v>17</v>
      </c>
      <c r="AK119" s="916">
        <f>'Balance Sheet'!AK42-'Balance Sheet'!AJ42-'Cash Flow'!AK117-'Cash Flow'!AK118-'Income Statement'!AK34</f>
        <v>16</v>
      </c>
      <c r="AL119" s="915">
        <f>'Balance Sheet'!AL42-'Balance Sheet'!AK42-'Cash Flow'!AL117-'Cash Flow'!AL118-'Income Statement'!AL34</f>
        <v>37</v>
      </c>
      <c r="AM119" s="915">
        <f>'Balance Sheet'!AM42-'Balance Sheet'!AL42-'Cash Flow'!AM117-'Cash Flow'!AM118-'Income Statement'!AM34</f>
        <v>-462</v>
      </c>
      <c r="AN119" s="915">
        <f>'Balance Sheet'!AN42-'Balance Sheet'!AM42-'Cash Flow'!AN117-'Cash Flow'!AN118-'Income Statement'!AN34</f>
        <v>-26</v>
      </c>
      <c r="AO119" s="916">
        <f>'Balance Sheet'!AO42-'Balance Sheet'!AN42-'Cash Flow'!AO117-'Cash Flow'!AO118-'Income Statement'!AO34</f>
        <v>521</v>
      </c>
      <c r="AP119" s="915">
        <f>'Balance Sheet'!AP42-'Balance Sheet'!AO42-'Cash Flow'!AP117-'Cash Flow'!AP118-'Income Statement'!AP34</f>
        <v>-41</v>
      </c>
      <c r="AQ119" s="915">
        <f>'Balance Sheet'!AQ42-'Balance Sheet'!AP42-'Cash Flow'!AQ117-'Cash Flow'!AQ118-'Income Statement'!AQ34</f>
        <v>0.55000000000001137</v>
      </c>
      <c r="AR119" s="915">
        <f>'Balance Sheet'!AR42-'Balance Sheet'!AQ42-'Cash Flow'!AR117-'Cash Flow'!AR118-'Income Statement'!AR34</f>
        <v>-37</v>
      </c>
      <c r="AS119" s="916">
        <f>'Balance Sheet'!AS42-'Balance Sheet'!AR42-'Cash Flow'!AS117-'Cash Flow'!AS118-'Income Statement'!AS34</f>
        <v>181</v>
      </c>
      <c r="AT119" s="915">
        <f>'Balance Sheet'!AT42-'Balance Sheet'!AS42-'Cash Flow'!AT117-'Cash Flow'!AT118-'Income Statement'!AT34</f>
        <v>-6.8960000000000008</v>
      </c>
      <c r="AU119" s="915">
        <f>'Balance Sheet'!AU42-'Balance Sheet'!AT42-'Cash Flow'!AU117-'Cash Flow'!AU118-'Income Statement'!AU34</f>
        <v>36.579999999999984</v>
      </c>
      <c r="AV119" s="915">
        <f>'Balance Sheet'!AV42-'Balance Sheet'!AU42-'Cash Flow'!AV117-'Cash Flow'!AV118-'Income Statement'!AV34</f>
        <v>141</v>
      </c>
      <c r="AW119" s="916">
        <f>'Balance Sheet'!AW42-'Balance Sheet'!AV42-'Cash Flow'!AW117-'Cash Flow'!AW118-'Income Statement'!AW34</f>
        <v>-47</v>
      </c>
      <c r="AX119" s="915">
        <f>'Balance Sheet'!AX42-'Balance Sheet'!AW42-'Cash Flow'!AX117-'Cash Flow'!AX118-'Income Statement'!AX34</f>
        <v>24</v>
      </c>
      <c r="AY119" s="915">
        <f>'Balance Sheet'!AY42-'Balance Sheet'!AX42-'Cash Flow'!AY117-'Cash Flow'!AY118-'Income Statement'!AY34</f>
        <v>140</v>
      </c>
      <c r="AZ119" s="915">
        <f>'Balance Sheet'!AZ42-'Balance Sheet'!AY42-'Cash Flow'!AZ117-'Cash Flow'!AZ118-'Income Statement'!AZ34</f>
        <v>65</v>
      </c>
      <c r="BA119" s="916">
        <f>'Balance Sheet'!BA42-'Balance Sheet'!AZ42-'Cash Flow'!BA117-'Cash Flow'!BA118-'Income Statement'!BA34</f>
        <v>70</v>
      </c>
      <c r="BB119" s="915">
        <f>'Balance Sheet'!BB42-'Balance Sheet'!BA42-'Cash Flow'!BB117-'Cash Flow'!BB118-'Income Statement'!BB34</f>
        <v>105</v>
      </c>
      <c r="BC119" s="915">
        <f>'Balance Sheet'!BC42-'Balance Sheet'!BB42-'Cash Flow'!BC117-'Cash Flow'!BC118-'Income Statement'!BC34</f>
        <v>31</v>
      </c>
      <c r="BD119" s="915">
        <f>'Balance Sheet'!BD42-'Balance Sheet'!BC42-'Cash Flow'!BD117-'Cash Flow'!BD118-'Income Statement'!BD34</f>
        <v>13</v>
      </c>
      <c r="BE119" s="916">
        <f>'Balance Sheet'!BE42-'Balance Sheet'!BD42-'Cash Flow'!BE117-'Cash Flow'!BE118-'Income Statement'!BE34</f>
        <v>-26</v>
      </c>
      <c r="BF119" s="915">
        <f>'Balance Sheet'!BF42-'Balance Sheet'!BE42-'Cash Flow'!BF117-'Cash Flow'!BF118-'Income Statement'!BF34</f>
        <v>195</v>
      </c>
      <c r="BG119" s="915">
        <f>'Balance Sheet'!BG42-'Balance Sheet'!BF42-'Cash Flow'!BG117-'Cash Flow'!BG118-'Income Statement'!BG34</f>
        <v>38</v>
      </c>
      <c r="BH119" s="915">
        <f>'Balance Sheet'!BH42-'Balance Sheet'!BG42-'Cash Flow'!BH117-'Cash Flow'!BH118-'Income Statement'!BH34</f>
        <v>141</v>
      </c>
      <c r="BI119" s="916">
        <f>'Balance Sheet'!BI42-'Balance Sheet'!BH42-'Cash Flow'!BI117-'Cash Flow'!BI118-'Income Statement'!BI34</f>
        <v>21</v>
      </c>
      <c r="BJ119" s="915">
        <f>'Balance Sheet'!BJ42-'Balance Sheet'!BI42-'Cash Flow'!BJ117-'Cash Flow'!BJ118-'Income Statement'!BJ34</f>
        <v>-14</v>
      </c>
      <c r="BK119" s="915">
        <f>'Balance Sheet'!BK42-'Balance Sheet'!BJ42-'Cash Flow'!BK117-'Cash Flow'!BK118-'Income Statement'!BK34</f>
        <v>-42</v>
      </c>
      <c r="BL119" s="915">
        <f>'Balance Sheet'!BL42-'Balance Sheet'!BK42-'Cash Flow'!BL117-'Cash Flow'!BL118-'Income Statement'!BL34</f>
        <v>-219</v>
      </c>
      <c r="BM119" s="916">
        <f>'Balance Sheet'!BM42-'Balance Sheet'!BL42-'Cash Flow'!BM117-'Cash Flow'!BM118-'Income Statement'!BM34</f>
        <v>-435</v>
      </c>
      <c r="BN119" s="915">
        <f>'Balance Sheet'!BN42-'Balance Sheet'!BM42-'Cash Flow'!BN117-'Cash Flow'!BN118-'Income Statement'!BN34</f>
        <v>179</v>
      </c>
      <c r="BO119" s="915">
        <f>'Balance Sheet'!BO42-'Balance Sheet'!BN42-'Cash Flow'!BO117-'Cash Flow'!BO118-'Income Statement'!BO34</f>
        <v>212</v>
      </c>
      <c r="BP119" s="915">
        <f>'Balance Sheet'!BP42-'Balance Sheet'!BO42-'Cash Flow'!BP117-'Cash Flow'!BP118-'Income Statement'!BP34</f>
        <v>9</v>
      </c>
      <c r="BQ119" s="916">
        <f>'Balance Sheet'!BQ42-'Balance Sheet'!BP42-'Cash Flow'!BQ117-'Cash Flow'!BQ118-'Income Statement'!BQ34</f>
        <v>49</v>
      </c>
      <c r="BR119" s="915">
        <f>'Balance Sheet'!BR42-'Balance Sheet'!BQ42-'Cash Flow'!BR117-'Cash Flow'!BR118-'Income Statement'!BZ34</f>
        <v>-104</v>
      </c>
      <c r="BS119" s="915">
        <f>'Balance Sheet'!BS42-'Balance Sheet'!BR42-'Cash Flow'!BS117-'Cash Flow'!BS118-'Income Statement'!CA34</f>
        <v>64</v>
      </c>
      <c r="BT119" s="915">
        <f>'Balance Sheet'!BT42-'Balance Sheet'!BS42-'Cash Flow'!BT117-'Cash Flow'!BT118-'Income Statement'!CB34</f>
        <v>217</v>
      </c>
      <c r="BU119" s="916">
        <f>'Balance Sheet'!BU42-'Balance Sheet'!BT42-'Cash Flow'!BU117-'Cash Flow'!BU118-'Income Statement'!CC34</f>
        <v>61</v>
      </c>
      <c r="BV119" s="915">
        <f>'Balance Sheet'!BV42-'Balance Sheet'!BU42-'Cash Flow'!BV117-'Cash Flow'!BV118-'Income Statement'!CD34</f>
        <v>-3</v>
      </c>
      <c r="BW119" s="915">
        <f>'Balance Sheet'!BW42-'Balance Sheet'!BV42-'Cash Flow'!BW117-'Cash Flow'!BW118-'Income Statement'!CE34</f>
        <v>60</v>
      </c>
      <c r="BX119" s="915">
        <f>'Balance Sheet'!BX42-'Balance Sheet'!BW42-'Cash Flow'!BX117-'Cash Flow'!BX118-'Income Statement'!CF34</f>
        <v>-172</v>
      </c>
      <c r="BY119" s="916">
        <f>'Balance Sheet'!BY42-'Balance Sheet'!BX42-'Cash Flow'!BY117-'Cash Flow'!BY118-'Income Statement'!CG34</f>
        <v>133</v>
      </c>
      <c r="BZ119" s="915">
        <f>'Balance Sheet'!BZ42-'Balance Sheet'!BY42-'Cash Flow'!BZ117-'Cash Flow'!BZ118-'Income Statement'!CL34</f>
        <v>-57.24799999999999</v>
      </c>
      <c r="CA119" s="915">
        <f>'Balance Sheet'!CA42-'Balance Sheet'!BZ42-'Cash Flow'!CA117-'Cash Flow'!CA118-'Income Statement'!CM34</f>
        <v>6.2479999999999976</v>
      </c>
      <c r="CB119" s="915">
        <f>'Balance Sheet'!CB42-'Balance Sheet'!CA42-'Cash Flow'!CB117-'Cash Flow'!CB118-'Income Statement'!CN34</f>
        <v>48.000000000000007</v>
      </c>
      <c r="CC119" s="916">
        <f>'Balance Sheet'!CC42-'Balance Sheet'!CB42-'Cash Flow'!CC117-'Cash Flow'!CC118-'Income Statement'!CO34</f>
        <v>20</v>
      </c>
      <c r="CD119" s="915">
        <f>'Balance Sheet'!CD42-'Balance Sheet'!CC42-'Cash Flow'!CD117-'Cash Flow'!CD118-'Income Statement'!CP34</f>
        <v>-30</v>
      </c>
      <c r="CE119" s="915">
        <f>'Balance Sheet'!CE42-'Balance Sheet'!CD42-'Cash Flow'!CE117-'Cash Flow'!CE118-'Income Statement'!CQ34</f>
        <v>471</v>
      </c>
      <c r="CF119" s="915">
        <f>'Balance Sheet'!CF42-'Balance Sheet'!CE42-'Cash Flow'!CF117-'Cash Flow'!CF118-'Income Statement'!CR34</f>
        <v>-4</v>
      </c>
      <c r="CG119" s="916">
        <f>'Balance Sheet'!CG42-'Balance Sheet'!CF42-'Cash Flow'!CG117-'Cash Flow'!CG118-'Income Statement'!CS34</f>
        <v>-20</v>
      </c>
      <c r="CH119" s="915">
        <f>'Balance Sheet'!CH42-'Balance Sheet'!CG42-'Cash Flow'!CH117-'Cash Flow'!CH118-'Income Statement'!CT34</f>
        <v>20</v>
      </c>
      <c r="CI119" s="915">
        <f>'Balance Sheet'!CI42-'Balance Sheet'!CH42-'Cash Flow'!CI117-'Cash Flow'!CI118-'Income Statement'!CU34</f>
        <v>26</v>
      </c>
      <c r="CJ119" s="915">
        <f>'Balance Sheet'!CJ42-'Balance Sheet'!CI42-'Cash Flow'!CJ117-'Cash Flow'!CJ118-'Income Statement'!CV34</f>
        <v>-11</v>
      </c>
      <c r="CK119" s="909">
        <f>'Balance Sheet'!CK42-'Balance Sheet'!CJ42-'Cash Flow'!CK117-'Cash Flow'!CK118-'Income Statement'!CW34</f>
        <v>-21</v>
      </c>
      <c r="CL119" s="910">
        <f>'Balance Sheet'!CL42-'Balance Sheet'!CK42-'Cash Flow'!CL117-'Cash Flow'!CL118-'Income Statement'!CX34</f>
        <v>-18.000000000001819</v>
      </c>
      <c r="CM119" s="915">
        <f>'Balance Sheet'!CM42-'Balance Sheet'!CL42-'Cash Flow'!CM117-'Cash Flow'!CM118-'Income Statement'!CY34</f>
        <v>-2.999999999998181</v>
      </c>
      <c r="CN119" s="915">
        <f>'Balance Sheet'!CN42-'Balance Sheet'!CM42-'Cash Flow'!CN117-'Cash Flow'!CN118-'Income Statement'!CZ34</f>
        <v>37</v>
      </c>
      <c r="CO119" s="1418">
        <f>'Balance Sheet'!CO42-'Balance Sheet'!CN42-'Cash Flow'!CO117-'Cash Flow'!CO118-'Income Statement'!DA34</f>
        <v>59</v>
      </c>
      <c r="CP119" s="915">
        <f>'Balance Sheet'!CP42-'Balance Sheet'!CO42-'Cash Flow'!CP117-'Cash Flow'!CP118-'Income Statement'!DB34</f>
        <v>91</v>
      </c>
      <c r="CQ119" s="915">
        <f>'Balance Sheet'!CQ42-'Balance Sheet'!CP42-'Cash Flow'!CQ117-'Cash Flow'!CQ118-'Income Statement'!DC34</f>
        <v>20</v>
      </c>
      <c r="CR119" s="915">
        <f>'Balance Sheet'!CR42-'Balance Sheet'!CQ42-'Cash Flow'!CR117-'Cash Flow'!CR118-'Income Statement'!DD34</f>
        <v>2</v>
      </c>
      <c r="CS119" s="1922">
        <f>'Balance Sheet'!CS42-'Balance Sheet'!CR42-'Cash Flow'!CS117-'Cash Flow'!CS118-'Income Statement'!DE34</f>
        <v>227</v>
      </c>
      <c r="CT119" s="910">
        <f>'Balance Sheet'!CT42-'Balance Sheet'!CS42-'Cash Flow'!CT117-'Cash Flow'!CT118-'Income Statement'!DF34</f>
        <v>5</v>
      </c>
      <c r="CU119" s="915">
        <f>'Balance Sheet'!CU42-'Balance Sheet'!CT42-'Cash Flow'!CU117-'Cash Flow'!CU118-'Income Statement'!DG34</f>
        <v>90</v>
      </c>
      <c r="CV119" s="915">
        <f>'Balance Sheet'!CV42-'Balance Sheet'!CU42-'Cash Flow'!CV117-'Cash Flow'!CV118-'Income Statement'!DH34</f>
        <v>15</v>
      </c>
      <c r="CW119" s="1922">
        <f>'Balance Sheet'!CW42-'Balance Sheet'!CV42-'Cash Flow'!CW117-'Cash Flow'!CW118-'Income Statement'!DI34</f>
        <v>206</v>
      </c>
      <c r="CX119" s="2812">
        <f>'Balance Sheet'!CX42-'Balance Sheet'!CW42-'Cash Flow'!CX117-'Cash Flow'!CX118-'Income Statement'!DJ34</f>
        <v>56.999999999999972</v>
      </c>
      <c r="CY119" s="920">
        <f>'Balance Sheet'!CY42-'Balance Sheet'!CX42-'Cash Flow'!CY117-'Cash Flow'!CY118-'Income Statement'!DK34</f>
        <v>35.999999999999801</v>
      </c>
      <c r="CZ119" s="920">
        <f>'Balance Sheet'!CZ42-'Balance Sheet'!CY42-'Cash Flow'!CZ117-'Cash Flow'!CZ118-'Income Statement'!DL34</f>
        <v>30</v>
      </c>
      <c r="DA119" s="916">
        <f>'Balance Sheet'!DA42-'Balance Sheet'!CZ42-'Cash Flow'!DA117-'Cash Flow'!DA118-'Income Statement'!DM34</f>
        <v>31.999999999999773</v>
      </c>
      <c r="DB119" s="667"/>
      <c r="DC119" s="524"/>
      <c r="DD119" s="132"/>
      <c r="DE119" s="132"/>
      <c r="DF119" s="132"/>
      <c r="DG119" s="132"/>
      <c r="DH119" s="132"/>
      <c r="DI119" s="132"/>
      <c r="DJ119" s="132"/>
      <c r="DK119" s="132"/>
      <c r="DL119" s="9"/>
      <c r="DM119" s="9"/>
      <c r="DN119" s="9"/>
      <c r="DO119" s="9"/>
      <c r="DP119" s="1340">
        <f>'Balance Sheet'!DP42-'Balance Sheet'!DO42-'Cash Flow'!DP117-'Cash Flow'!DP118-'Income Statement'!EC34</f>
        <v>-111.72000000000105</v>
      </c>
      <c r="DQ119" s="298">
        <f>'Balance Sheet'!DQ42-'Balance Sheet'!DP42-'Cash Flow'!DQ117-'Cash Flow'!DQ118-'Income Statement'!ED34</f>
        <v>141.13599999999985</v>
      </c>
      <c r="DR119" s="298">
        <f>'Balance Sheet'!DR42-'Balance Sheet'!DQ42-'Cash Flow'!DR117-'Cash Flow'!DR118-'Income Statement'!EE34</f>
        <v>0.90400000000062164</v>
      </c>
      <c r="DS119" s="1340">
        <f>'Balance Sheet'!DS42-'Balance Sheet'!DR42-'Cash Flow'!DS117-'Cash Flow'!DS118-'Income Statement'!EF34</f>
        <v>-78.985000000000127</v>
      </c>
      <c r="DT119" s="298">
        <f>'Balance Sheet'!DT42-'Balance Sheet'!DS42-'Cash Flow'!DT117-'Cash Flow'!DT118-'Income Statement'!EG34</f>
        <v>552</v>
      </c>
      <c r="DU119" s="1340">
        <f>'Balance Sheet'!DU42-'Balance Sheet'!DT42-'Cash Flow'!DU117-'Cash Flow'!DU118-'Income Statement'!EH34</f>
        <v>-535.45000000000005</v>
      </c>
      <c r="DV119" s="1340">
        <f>'Balance Sheet'!DV42-'Balance Sheet'!DU42-'Cash Flow'!DV117-'Cash Flow'!DV118-'Income Statement'!EI34</f>
        <v>-176.31600000000003</v>
      </c>
      <c r="DW119" s="1340">
        <f>'Balance Sheet'!DW42-'Balance Sheet'!DV42-'Cash Flow'!DW117-'Cash Flow'!DW118-'Income Statement'!EJ34</f>
        <v>-32</v>
      </c>
      <c r="DX119" s="298">
        <f>'Balance Sheet'!DX42-'Balance Sheet'!DW42-'Cash Flow'!DX117-'Cash Flow'!DX118-'Income Statement'!EK34</f>
        <v>62</v>
      </c>
      <c r="DY119" s="298">
        <f>'Balance Sheet'!DY42-'Balance Sheet'!DX42-'Cash Flow'!DY117-'Cash Flow'!DY118-'Income Statement'!EL34</f>
        <v>93</v>
      </c>
      <c r="DZ119" s="298">
        <f>'Balance Sheet'!DZ42-'Balance Sheet'!DY42-'Cash Flow'!DZ117-'Cash Flow'!DZ118-'Income Statement'!EM34</f>
        <v>799</v>
      </c>
      <c r="EA119" s="1340">
        <f>'Balance Sheet'!EA42-'Balance Sheet'!DZ42-'Cash Flow'!EA117-'Cash Flow'!EA118-'Income Statement'!EN34</f>
        <v>-1024</v>
      </c>
      <c r="EB119" s="298">
        <f>'Balance Sheet'!EB42-'Balance Sheet'!EA42-'Cash Flow'!EB117-'Cash Flow'!EB118-'Income Statement'!EO34</f>
        <v>489</v>
      </c>
      <c r="EC119" s="359"/>
      <c r="ED119" s="359"/>
      <c r="EE119" s="298">
        <f>'Balance Sheet'!EE42-'Balance Sheet'!EB42-'Cash Flow'!EE117-'Cash Flow'!EE118-'Income Statement'!EQ34</f>
        <v>46</v>
      </c>
      <c r="EF119" s="1340">
        <f>'Balance Sheet'!EF42-'Balance Sheet'!EE42-'Cash Flow'!EF117-'Cash Flow'!EF118-'Income Statement'!ER34</f>
        <v>-246</v>
      </c>
      <c r="EG119" s="298">
        <f>'Balance Sheet'!EG42-'Balance Sheet'!EF42-'Cash Flow'!EG117-'Cash Flow'!EG118-'Income Statement'!ET34</f>
        <v>133</v>
      </c>
      <c r="EH119" s="356">
        <f>'Balance Sheet'!EH42-'Balance Sheet'!EG42-'Cash Flow'!EH117-'Cash Flow'!EH118-'Income Statement'!EU34</f>
        <v>417</v>
      </c>
      <c r="EI119" s="356">
        <f>'Balance Sheet'!EI42-'Balance Sheet'!EH42-'Cash Flow'!EI117-'Cash Flow'!EI118-'Income Statement'!EV34</f>
        <v>14</v>
      </c>
      <c r="EJ119" s="356">
        <f>'Balance Sheet'!EJ42-'Balance Sheet'!EI42-'Cash Flow'!EJ117-'Cash Flow'!EJ118-'Income Statement'!EW34</f>
        <v>75</v>
      </c>
      <c r="EK119" s="356">
        <f>'Balance Sheet'!EK42-'Balance Sheet'!EJ42-'Cash Flow'!EK117-'Cash Flow'!EK118-'Income Statement'!EX34</f>
        <v>340</v>
      </c>
      <c r="EL119" s="356">
        <f>'Balance Sheet'!EL42-'Balance Sheet'!EK42-'Cash Flow'!EL117-'Cash Flow'!EL118-'Income Statement'!EY34</f>
        <v>316</v>
      </c>
      <c r="EM119" s="1681">
        <f>'Balance Sheet'!EM42-'Balance Sheet'!EL42-'Cash Flow'!EM117-'Cash Flow'!EM118-'Income Statement'!EZ34</f>
        <v>154.99999999999955</v>
      </c>
      <c r="EN119" s="298">
        <f>'Balance Sheet'!EN42-'Balance Sheet'!EM42-'Cash Flow'!EN117-'Cash Flow'!EN118-'Income Statement'!FA34</f>
        <v>128.99999999999955</v>
      </c>
      <c r="EO119" s="298">
        <f>'Balance Sheet'!EO42-'Balance Sheet'!EN42-'Cash Flow'!EO117-'Cash Flow'!EO118-'Income Statement'!FB34</f>
        <v>128.99999999999977</v>
      </c>
      <c r="EP119" s="298">
        <f>'Balance Sheet'!EP42-'Balance Sheet'!EO42-'Cash Flow'!EP117-'Cash Flow'!EP118-'Income Statement'!FC34</f>
        <v>129.00000000000091</v>
      </c>
      <c r="EQ119" s="298">
        <f>'Balance Sheet'!EQ42-'Balance Sheet'!EP42-'Cash Flow'!EQ117-'Cash Flow'!EQ118-'Income Statement'!FD34</f>
        <v>129.00000000000091</v>
      </c>
      <c r="ER119" s="298">
        <f>'Balance Sheet'!ER42-'Balance Sheet'!EQ42-'Cash Flow'!ER117-'Cash Flow'!ER118-'Income Statement'!FE34</f>
        <v>129.00000000000023</v>
      </c>
      <c r="ES119" s="298">
        <f>'Balance Sheet'!ES42-'Balance Sheet'!ER42-'Cash Flow'!ES117-'Cash Flow'!ES118-'Income Statement'!FF34</f>
        <v>129</v>
      </c>
      <c r="ET119" s="298">
        <f>'Balance Sheet'!ET42-'Balance Sheet'!ES42-'Cash Flow'!ET117-'Cash Flow'!ET118-'Income Statement'!FG34</f>
        <v>129.00000000000068</v>
      </c>
      <c r="EU119" s="1396">
        <f>'Balance Sheet'!EU42-'Balance Sheet'!ET42-'Cash Flow'!EU117-'Cash Flow'!EU118-'Income Statement'!FH34</f>
        <v>128.99999999999909</v>
      </c>
      <c r="EV119" s="413"/>
      <c r="EW119"/>
      <c r="EX119"/>
      <c r="EY119"/>
      <c r="EZ119"/>
      <c r="FA119"/>
      <c r="FB119"/>
      <c r="FG119" s="1367"/>
      <c r="FH119" s="1367"/>
      <c r="FI119" s="1367"/>
      <c r="FJ119" s="1367"/>
      <c r="FK119" s="1367"/>
      <c r="FL119"/>
      <c r="FM119"/>
      <c r="FN119"/>
      <c r="FO119"/>
      <c r="FP119"/>
      <c r="FQ119"/>
      <c r="FR119"/>
      <c r="FS119"/>
      <c r="FT119"/>
      <c r="FU119"/>
      <c r="FV119"/>
      <c r="FW119"/>
      <c r="FX119"/>
      <c r="FY119"/>
      <c r="FZ119"/>
      <c r="GA119"/>
      <c r="GB119"/>
      <c r="GC119"/>
      <c r="GD119"/>
      <c r="GE119"/>
      <c r="GF119"/>
      <c r="GG119"/>
      <c r="GH119"/>
      <c r="GI119"/>
      <c r="GJ119"/>
      <c r="GK119"/>
      <c r="GL119"/>
      <c r="GM119"/>
      <c r="GN119"/>
      <c r="GO119"/>
      <c r="GP119"/>
      <c r="GQ119"/>
      <c r="GR119"/>
      <c r="GS119"/>
      <c r="GT119"/>
      <c r="GU119"/>
      <c r="GV119"/>
      <c r="GW119"/>
      <c r="GX119"/>
      <c r="GY119"/>
      <c r="GZ119"/>
      <c r="HA119"/>
      <c r="HB119"/>
      <c r="HC119"/>
      <c r="HD119"/>
      <c r="HE119"/>
      <c r="HF119"/>
      <c r="HG119"/>
      <c r="HH119"/>
      <c r="HI119"/>
      <c r="HJ119"/>
      <c r="HK119"/>
      <c r="HL119"/>
      <c r="HM119"/>
      <c r="HN119"/>
      <c r="HO119"/>
      <c r="HP119"/>
      <c r="HQ119"/>
      <c r="HR119"/>
      <c r="HS119"/>
      <c r="HT119"/>
      <c r="HU119"/>
      <c r="HV119"/>
      <c r="HW119"/>
      <c r="HX119"/>
      <c r="HY119"/>
      <c r="HZ119"/>
      <c r="IA119"/>
      <c r="IB119"/>
      <c r="IC119"/>
      <c r="ID119"/>
      <c r="IE119"/>
      <c r="IF119"/>
      <c r="IG119"/>
      <c r="IH119"/>
      <c r="II119"/>
      <c r="IJ119"/>
      <c r="IK119"/>
      <c r="IL119"/>
      <c r="IM119"/>
      <c r="IN119"/>
      <c r="IO119"/>
      <c r="IP119"/>
      <c r="IQ119"/>
      <c r="IR119"/>
      <c r="IS119"/>
      <c r="IT119"/>
      <c r="IU119"/>
      <c r="IV119"/>
      <c r="IW119"/>
      <c r="IX119"/>
      <c r="IY119"/>
      <c r="IZ119"/>
    </row>
    <row r="120" spans="1:260" s="4" customFormat="1" x14ac:dyDescent="0.2">
      <c r="A120" s="743"/>
      <c r="B120" s="744"/>
      <c r="C120" s="744"/>
      <c r="D120" s="744"/>
      <c r="E120" s="744"/>
      <c r="F120" s="744"/>
      <c r="G120" s="744"/>
      <c r="H120" s="744"/>
      <c r="I120" s="744"/>
      <c r="J120" s="744"/>
      <c r="K120" s="744"/>
      <c r="L120" s="744"/>
      <c r="M120" s="744"/>
      <c r="N120" s="744"/>
      <c r="O120" s="744"/>
      <c r="P120" s="744"/>
      <c r="Q120" s="744"/>
      <c r="R120" s="744"/>
      <c r="S120" s="744"/>
      <c r="T120" s="744"/>
      <c r="U120" s="744"/>
      <c r="V120" s="744"/>
      <c r="W120" s="744"/>
      <c r="X120" s="744"/>
      <c r="Y120" s="744"/>
      <c r="Z120" s="744"/>
      <c r="AA120" s="744"/>
      <c r="AB120" s="744"/>
      <c r="AC120" s="744"/>
      <c r="AD120" s="744"/>
      <c r="AE120" s="744"/>
      <c r="AF120" s="744"/>
      <c r="AG120" s="744"/>
      <c r="AH120" s="744"/>
      <c r="AI120" s="744"/>
      <c r="AJ120" s="744"/>
      <c r="AK120" s="744"/>
      <c r="AL120" s="744"/>
      <c r="AM120" s="744"/>
      <c r="AN120" s="744"/>
      <c r="AO120" s="744"/>
      <c r="AP120" s="744"/>
      <c r="AQ120" s="744"/>
      <c r="AR120" s="744"/>
      <c r="AS120" s="744"/>
      <c r="AT120" s="744"/>
      <c r="AU120" s="744"/>
      <c r="AV120" s="744"/>
      <c r="AW120" s="744"/>
      <c r="AX120" s="744"/>
      <c r="AY120" s="744"/>
      <c r="AZ120" s="744"/>
      <c r="BA120" s="744"/>
      <c r="BB120" s="744"/>
      <c r="BC120" s="744"/>
      <c r="BD120" s="744"/>
      <c r="BE120" s="744"/>
      <c r="BF120" s="744"/>
      <c r="BG120" s="744"/>
      <c r="BH120" s="744"/>
      <c r="BI120" s="744"/>
      <c r="BJ120" s="744"/>
      <c r="BK120" s="744"/>
      <c r="BL120" s="744"/>
      <c r="BM120" s="744"/>
      <c r="BN120" s="744"/>
      <c r="BO120" s="744"/>
      <c r="BP120" s="744"/>
      <c r="BQ120" s="744"/>
      <c r="BR120" s="744"/>
      <c r="BS120" s="744"/>
      <c r="BT120" s="744"/>
      <c r="BU120" s="744"/>
      <c r="BV120" s="744"/>
      <c r="BW120" s="744"/>
      <c r="BX120" s="744"/>
      <c r="BY120" s="744"/>
      <c r="BZ120" s="744"/>
      <c r="CA120" s="744"/>
      <c r="CB120" s="744"/>
      <c r="CC120" s="744"/>
      <c r="CD120" s="744"/>
      <c r="CE120" s="744"/>
      <c r="CF120" s="744"/>
      <c r="CG120" s="744"/>
      <c r="CH120" s="744"/>
      <c r="CI120" s="744"/>
      <c r="CJ120" s="744"/>
      <c r="CK120" s="744"/>
      <c r="CL120" s="744"/>
      <c r="CM120" s="744"/>
      <c r="CN120" s="744"/>
      <c r="CO120" s="744"/>
      <c r="CP120" s="744"/>
      <c r="CQ120" s="744"/>
      <c r="CR120" s="744"/>
      <c r="CS120" s="1920"/>
      <c r="CT120" s="1920"/>
      <c r="CU120" s="744"/>
      <c r="CV120" s="744"/>
      <c r="CW120" s="1920"/>
      <c r="CX120" s="744"/>
      <c r="CY120" s="744"/>
      <c r="CZ120" s="744"/>
      <c r="DA120" s="744"/>
      <c r="DB120" s="9"/>
      <c r="DC120" s="9"/>
      <c r="DD120" s="745"/>
      <c r="DE120" s="745"/>
      <c r="DF120" s="745"/>
      <c r="DG120" s="745"/>
      <c r="DH120" s="745"/>
      <c r="DI120" s="745"/>
      <c r="DJ120" s="745"/>
      <c r="DK120" s="745"/>
      <c r="DL120" s="744"/>
      <c r="DM120" s="744"/>
      <c r="DN120" s="744"/>
      <c r="DO120" s="744"/>
      <c r="DP120" s="744"/>
      <c r="DQ120" s="744"/>
      <c r="DR120" s="744"/>
      <c r="DS120" s="744"/>
      <c r="DT120" s="744"/>
      <c r="DU120" s="744"/>
      <c r="DV120" s="744"/>
      <c r="DW120" s="744"/>
      <c r="DX120" s="744"/>
      <c r="DY120" s="744"/>
      <c r="DZ120" s="744"/>
      <c r="EA120" s="744"/>
      <c r="EB120" s="744"/>
      <c r="EC120" s="744"/>
      <c r="ED120" s="744"/>
      <c r="EE120" s="745"/>
      <c r="EF120" s="745"/>
      <c r="EG120" s="744"/>
      <c r="EH120" s="744"/>
      <c r="EI120" s="744"/>
      <c r="EJ120" s="744"/>
      <c r="EK120" s="1920"/>
      <c r="EL120" s="1920"/>
      <c r="EM120" s="744"/>
      <c r="EN120" s="745"/>
      <c r="EO120" s="745"/>
      <c r="EP120" s="745"/>
      <c r="EQ120" s="745"/>
      <c r="ER120" s="745"/>
      <c r="ES120" s="745"/>
      <c r="ET120" s="745"/>
      <c r="EU120" s="132"/>
      <c r="EW120"/>
      <c r="EX120"/>
      <c r="EY120"/>
      <c r="EZ120"/>
      <c r="FA120"/>
      <c r="FB120"/>
      <c r="FG120" s="252"/>
      <c r="FH120" s="252"/>
      <c r="FI120" s="134"/>
      <c r="FJ120" s="134"/>
      <c r="FK120" s="134"/>
      <c r="FL120"/>
      <c r="FM120"/>
      <c r="FN120"/>
      <c r="FO120"/>
      <c r="FP120"/>
      <c r="FQ120"/>
      <c r="FR120"/>
      <c r="FS120"/>
      <c r="FT120"/>
      <c r="FU120"/>
      <c r="FV120"/>
      <c r="FW120"/>
      <c r="FX120"/>
      <c r="FY120"/>
      <c r="FZ120"/>
      <c r="GA120"/>
      <c r="GB120"/>
      <c r="GC120"/>
      <c r="GD120"/>
      <c r="GE120"/>
      <c r="GF120"/>
      <c r="GG120"/>
      <c r="GH120"/>
      <c r="GI120"/>
      <c r="GJ120"/>
      <c r="GK120"/>
      <c r="GL120"/>
      <c r="GM120"/>
      <c r="GN120"/>
      <c r="GO120"/>
      <c r="GP120"/>
      <c r="GQ120"/>
      <c r="GR120"/>
      <c r="GS120"/>
      <c r="GT120"/>
      <c r="GU120"/>
      <c r="GV120"/>
      <c r="GW120"/>
      <c r="GX120"/>
      <c r="GY120"/>
      <c r="GZ120"/>
      <c r="HA120"/>
      <c r="HB120"/>
      <c r="HC120"/>
      <c r="HD120"/>
      <c r="HE120"/>
      <c r="HF120"/>
      <c r="HG120"/>
      <c r="HH120"/>
      <c r="HI120"/>
      <c r="HJ120"/>
      <c r="HK120"/>
      <c r="HL120"/>
      <c r="HM120"/>
      <c r="HN120"/>
      <c r="HO120"/>
      <c r="HP120"/>
      <c r="HQ120"/>
      <c r="HR120"/>
      <c r="HS120"/>
      <c r="HT120"/>
      <c r="HU120"/>
      <c r="HV120"/>
      <c r="HW120"/>
      <c r="HX120"/>
      <c r="HY120"/>
      <c r="HZ120"/>
      <c r="IA120"/>
      <c r="IB120"/>
      <c r="IC120"/>
      <c r="ID120"/>
      <c r="IE120"/>
      <c r="IF120"/>
      <c r="IG120"/>
      <c r="IH120"/>
      <c r="II120"/>
      <c r="IJ120"/>
      <c r="IK120"/>
      <c r="IL120"/>
      <c r="IM120"/>
      <c r="IN120"/>
      <c r="IO120"/>
      <c r="IP120"/>
      <c r="IQ120"/>
      <c r="IR120"/>
      <c r="IS120"/>
      <c r="IT120"/>
      <c r="IU120"/>
      <c r="IV120"/>
      <c r="IW120"/>
      <c r="IX120"/>
      <c r="IY120"/>
      <c r="IZ120"/>
    </row>
    <row r="121" spans="1:260" s="4" customFormat="1" outlineLevel="1" x14ac:dyDescent="0.2">
      <c r="A121" s="1914" t="s">
        <v>704</v>
      </c>
      <c r="B121" s="93"/>
      <c r="C121" s="93"/>
      <c r="D121" s="93"/>
      <c r="E121" s="93"/>
      <c r="F121" s="93"/>
      <c r="G121" s="93"/>
      <c r="H121" s="93"/>
      <c r="I121" s="93"/>
      <c r="J121" s="93"/>
      <c r="K121" s="93"/>
      <c r="L121" s="93"/>
      <c r="M121" s="93"/>
      <c r="N121" s="93"/>
      <c r="O121" s="93"/>
      <c r="P121" s="93"/>
      <c r="Q121" s="93"/>
      <c r="R121" s="93"/>
      <c r="S121" s="93"/>
      <c r="T121" s="93"/>
      <c r="U121" s="93"/>
      <c r="V121" s="93"/>
      <c r="W121" s="93"/>
      <c r="X121" s="93"/>
      <c r="Y121" s="93"/>
      <c r="Z121" s="93"/>
      <c r="AA121" s="93"/>
      <c r="AB121" s="93"/>
      <c r="AC121" s="93"/>
      <c r="AD121" s="93"/>
      <c r="AE121" s="93"/>
      <c r="AF121" s="93"/>
      <c r="AG121" s="93"/>
      <c r="AH121" s="93"/>
      <c r="AI121" s="93"/>
      <c r="AJ121" s="93"/>
      <c r="AK121" s="93"/>
      <c r="AL121" s="93"/>
      <c r="AM121" s="93"/>
      <c r="AN121" s="93"/>
      <c r="AO121" s="93"/>
      <c r="AP121" s="93"/>
      <c r="AQ121" s="93"/>
      <c r="AR121" s="93"/>
      <c r="AS121" s="93"/>
      <c r="AT121" s="93"/>
      <c r="AU121" s="93"/>
      <c r="AV121" s="93"/>
      <c r="AW121" s="93"/>
      <c r="AX121" s="93"/>
      <c r="AY121" s="93"/>
      <c r="AZ121" s="93"/>
      <c r="BA121" s="93"/>
      <c r="BB121" s="93"/>
      <c r="BC121" s="93"/>
      <c r="BD121" s="93"/>
      <c r="BE121" s="93"/>
      <c r="BF121" s="93"/>
      <c r="BG121" s="93"/>
      <c r="BH121" s="93"/>
      <c r="BI121" s="93"/>
      <c r="BJ121" s="93"/>
      <c r="BK121" s="93"/>
      <c r="BL121" s="93"/>
      <c r="BM121" s="93"/>
      <c r="BN121" s="93"/>
      <c r="BO121" s="93"/>
      <c r="BP121" s="93"/>
      <c r="BQ121" s="93"/>
      <c r="BR121" s="93"/>
      <c r="BS121" s="93"/>
      <c r="BT121" s="93"/>
      <c r="BU121" s="93"/>
      <c r="BV121" s="93"/>
      <c r="BW121" s="93"/>
      <c r="BX121" s="93"/>
      <c r="BY121" s="93"/>
      <c r="BZ121" s="93"/>
      <c r="CA121" s="93"/>
      <c r="CB121" s="93"/>
      <c r="CC121" s="93"/>
      <c r="CD121" s="93"/>
      <c r="CE121" s="93"/>
      <c r="CF121" s="93"/>
      <c r="CG121" s="93"/>
      <c r="CH121" s="93"/>
      <c r="CI121" s="93"/>
      <c r="CJ121" s="93"/>
      <c r="CK121" s="93"/>
      <c r="CL121" s="93"/>
      <c r="CM121" s="93"/>
      <c r="CN121" s="93"/>
      <c r="CO121" s="93"/>
      <c r="CP121" s="93"/>
      <c r="CQ121" s="93"/>
      <c r="CR121" s="93"/>
      <c r="CS121" s="172"/>
      <c r="CT121" s="172"/>
      <c r="CU121" s="93"/>
      <c r="CV121" s="93"/>
      <c r="CW121" s="172"/>
      <c r="CX121" s="93"/>
      <c r="CY121" s="93"/>
      <c r="CZ121" s="93"/>
      <c r="DA121" s="93"/>
      <c r="DB121" s="9"/>
      <c r="DC121" s="9"/>
      <c r="DD121" s="132"/>
      <c r="DE121" s="132"/>
      <c r="DF121" s="132"/>
      <c r="DG121" s="132"/>
      <c r="DH121" s="132"/>
      <c r="DI121" s="132"/>
      <c r="DJ121" s="132"/>
      <c r="DK121" s="132"/>
      <c r="DL121" s="93"/>
      <c r="DM121" s="93"/>
      <c r="DN121" s="93"/>
      <c r="DO121" s="93"/>
      <c r="DP121" s="93"/>
      <c r="DQ121" s="93"/>
      <c r="DR121" s="93"/>
      <c r="DS121" s="93"/>
      <c r="DT121" s="93"/>
      <c r="DU121" s="93"/>
      <c r="DV121" s="93"/>
      <c r="DW121" s="93"/>
      <c r="DX121" s="93"/>
      <c r="DY121" s="93"/>
      <c r="DZ121" s="93"/>
      <c r="EA121" s="93"/>
      <c r="EB121" s="93"/>
      <c r="EC121" s="93"/>
      <c r="ED121" s="93"/>
      <c r="EE121" s="132"/>
      <c r="EF121" s="132"/>
      <c r="EG121" s="93"/>
      <c r="EH121" s="93"/>
      <c r="EI121" s="93"/>
      <c r="EJ121" s="93"/>
      <c r="EK121" s="172"/>
      <c r="EL121" s="172"/>
      <c r="EM121" s="93"/>
      <c r="EN121" s="132"/>
      <c r="EO121" s="132"/>
      <c r="EP121" s="132"/>
      <c r="EQ121" s="132"/>
      <c r="ER121" s="132"/>
      <c r="ES121" s="132"/>
      <c r="ET121" s="132"/>
      <c r="EU121" s="132"/>
      <c r="EW121"/>
      <c r="EX121"/>
      <c r="EY121"/>
      <c r="EZ121"/>
      <c r="FA121"/>
      <c r="FB121"/>
      <c r="FG121" s="252"/>
      <c r="FH121" s="252"/>
      <c r="FI121" s="134"/>
      <c r="FJ121" s="134"/>
      <c r="FK121" s="134"/>
      <c r="FL121" s="1900"/>
      <c r="FM121" s="1900"/>
      <c r="FN121" s="1900"/>
      <c r="FO121" s="1900"/>
      <c r="FP121" s="1900"/>
      <c r="FQ121" s="1900"/>
      <c r="FR121" s="1900"/>
      <c r="FS121" s="1900"/>
      <c r="FT121" s="1900"/>
      <c r="FU121" s="1900"/>
      <c r="FV121" s="1900"/>
      <c r="FW121" s="1900"/>
      <c r="FX121" s="1900"/>
      <c r="FY121" s="1900"/>
      <c r="FZ121" s="1900"/>
      <c r="GA121" s="1900"/>
      <c r="GB121" s="1900"/>
      <c r="GC121" s="1900"/>
      <c r="GD121" s="1900"/>
      <c r="GE121" s="1900"/>
      <c r="GF121" s="1900"/>
      <c r="GG121" s="1900"/>
      <c r="GH121" s="1900"/>
      <c r="GI121" s="1900"/>
      <c r="GJ121" s="1900"/>
      <c r="GK121" s="1900"/>
      <c r="GL121" s="1900"/>
      <c r="GM121" s="1900"/>
      <c r="GN121" s="1900"/>
      <c r="GO121" s="1900"/>
      <c r="GP121" s="1900"/>
      <c r="GQ121" s="1900"/>
      <c r="GR121" s="1900"/>
      <c r="GS121" s="1900"/>
      <c r="GT121" s="1900"/>
      <c r="GU121" s="1900"/>
      <c r="GV121" s="1900"/>
      <c r="GW121" s="1900"/>
      <c r="GX121" s="1900"/>
      <c r="GY121" s="1900"/>
      <c r="GZ121" s="1900"/>
      <c r="HA121" s="1900"/>
      <c r="HB121" s="1900"/>
      <c r="HC121" s="1900"/>
      <c r="HD121" s="1900"/>
      <c r="HE121" s="1900"/>
      <c r="HF121" s="1900"/>
      <c r="HG121" s="1900"/>
      <c r="HH121" s="1900"/>
      <c r="HI121" s="1900"/>
      <c r="HJ121" s="1900"/>
      <c r="HK121" s="1900"/>
      <c r="HL121" s="1900"/>
      <c r="HM121" s="1900"/>
      <c r="HN121" s="1900"/>
      <c r="HO121" s="1900"/>
      <c r="HP121" s="1900"/>
      <c r="HQ121" s="1900"/>
      <c r="HR121" s="1900"/>
      <c r="HS121" s="1900"/>
      <c r="HT121" s="1900"/>
      <c r="HU121" s="1900"/>
      <c r="HV121" s="1900"/>
      <c r="HW121" s="1900"/>
      <c r="HX121" s="1900"/>
      <c r="HY121" s="1900"/>
      <c r="HZ121" s="1900"/>
      <c r="IA121" s="1900"/>
      <c r="IB121" s="1900"/>
      <c r="IC121" s="1900"/>
      <c r="ID121" s="1900"/>
      <c r="IE121" s="1900"/>
      <c r="IF121" s="1900"/>
      <c r="IG121" s="1900"/>
      <c r="IH121" s="1900"/>
      <c r="II121" s="1900"/>
      <c r="IJ121" s="1900"/>
      <c r="IK121" s="1900"/>
      <c r="IL121" s="1900"/>
      <c r="IM121" s="1900"/>
      <c r="IN121" s="1900"/>
      <c r="IO121" s="1900"/>
      <c r="IP121" s="1900"/>
      <c r="IQ121" s="1900"/>
      <c r="IR121" s="1900"/>
      <c r="IS121" s="1900"/>
      <c r="IT121" s="1900"/>
      <c r="IU121" s="1900"/>
      <c r="IV121" s="1900"/>
      <c r="IW121" s="1900"/>
      <c r="IX121" s="1900"/>
      <c r="IY121" s="1900"/>
      <c r="IZ121" s="1900"/>
    </row>
    <row r="122" spans="1:260" s="4" customFormat="1" outlineLevel="1" x14ac:dyDescent="0.2">
      <c r="A122" s="1907" t="s">
        <v>700</v>
      </c>
      <c r="B122" s="93"/>
      <c r="C122" s="93"/>
      <c r="D122" s="93"/>
      <c r="E122" s="93"/>
      <c r="F122" s="93"/>
      <c r="G122" s="93"/>
      <c r="H122" s="93"/>
      <c r="I122" s="93"/>
      <c r="J122" s="93"/>
      <c r="K122" s="93"/>
      <c r="L122" s="93"/>
      <c r="M122" s="93"/>
      <c r="N122" s="93"/>
      <c r="O122" s="93"/>
      <c r="P122" s="93"/>
      <c r="Q122" s="93"/>
      <c r="R122" s="93"/>
      <c r="S122" s="93"/>
      <c r="T122" s="93"/>
      <c r="U122" s="93"/>
      <c r="V122" s="93"/>
      <c r="W122" s="93"/>
      <c r="X122" s="93"/>
      <c r="Y122" s="93"/>
      <c r="Z122" s="93"/>
      <c r="AA122" s="93"/>
      <c r="AB122" s="93"/>
      <c r="AC122" s="93"/>
      <c r="AD122" s="93"/>
      <c r="AE122" s="93"/>
      <c r="AF122" s="93"/>
      <c r="AG122" s="93"/>
      <c r="AH122" s="93"/>
      <c r="AI122" s="93"/>
      <c r="AJ122" s="93"/>
      <c r="AK122" s="93"/>
      <c r="AL122" s="93"/>
      <c r="AM122" s="93"/>
      <c r="AN122" s="93"/>
      <c r="AO122" s="93"/>
      <c r="AP122" s="93"/>
      <c r="AQ122" s="93"/>
      <c r="AR122" s="93"/>
      <c r="AS122" s="93"/>
      <c r="AT122" s="93"/>
      <c r="AU122" s="93"/>
      <c r="AV122" s="93"/>
      <c r="AW122" s="93"/>
      <c r="AX122" s="93"/>
      <c r="AY122" s="93"/>
      <c r="AZ122" s="93"/>
      <c r="BA122" s="93"/>
      <c r="BB122" s="93"/>
      <c r="BC122" s="93"/>
      <c r="BD122" s="93"/>
      <c r="BE122" s="93"/>
      <c r="BF122" s="93"/>
      <c r="BG122" s="93"/>
      <c r="BH122" s="93"/>
      <c r="BI122" s="93"/>
      <c r="BJ122" s="93"/>
      <c r="BK122" s="93"/>
      <c r="BL122" s="93"/>
      <c r="BM122" s="93"/>
      <c r="BN122" s="93"/>
      <c r="BO122" s="93"/>
      <c r="BP122" s="93"/>
      <c r="BQ122" s="93"/>
      <c r="BR122" s="93"/>
      <c r="BS122" s="93"/>
      <c r="BT122" s="93"/>
      <c r="BU122" s="93"/>
      <c r="BV122" s="93"/>
      <c r="BW122" s="93"/>
      <c r="BX122" s="93"/>
      <c r="BY122" s="93"/>
      <c r="BZ122" s="93"/>
      <c r="CA122" s="93"/>
      <c r="CB122" s="93"/>
      <c r="CC122" s="93"/>
      <c r="CD122" s="161"/>
      <c r="CE122" s="161"/>
      <c r="CF122" s="161"/>
      <c r="CG122" s="161"/>
      <c r="CH122" s="161"/>
      <c r="CI122" s="161"/>
      <c r="CJ122" s="161"/>
      <c r="CK122" s="161"/>
      <c r="CL122" s="161">
        <f>-CL32/'Income Statement'!CX7</f>
        <v>1.4489366674456649E-2</v>
      </c>
      <c r="CM122" s="161">
        <f>-CM32/'Income Statement'!CY7</f>
        <v>1.9817073170731708E-2</v>
      </c>
      <c r="CN122" s="161">
        <f>-CN32/'Income Statement'!CZ7</f>
        <v>2.2678308198208413E-2</v>
      </c>
      <c r="CO122" s="161">
        <f>-CO32/'Income Statement'!DA7</f>
        <v>1.1451222197753798E-2</v>
      </c>
      <c r="CP122" s="161">
        <f>-CP32/'Income Statement'!DB7</f>
        <v>1.6108018476844725E-2</v>
      </c>
      <c r="CQ122" s="161">
        <f>-CQ32/'Income Statement'!DC7</f>
        <v>1.6406890894175553E-2</v>
      </c>
      <c r="CR122" s="161">
        <f>-CR32/'Income Statement'!DD7</f>
        <v>1.8893236444941307E-2</v>
      </c>
      <c r="CS122" s="70">
        <f>-CS32/'Income Statement'!DE7</f>
        <v>1.0013351134846462E-2</v>
      </c>
      <c r="CT122" s="70">
        <f>-CT32/'Income Statement'!DF7</f>
        <v>1.7940900562851782E-2</v>
      </c>
      <c r="CU122" s="161">
        <f>-CU32/'Income Statement'!DG7</f>
        <v>1.5995525727069353E-2</v>
      </c>
      <c r="CV122" s="161">
        <f>-CV32/'Income Statement'!DH7</f>
        <v>2.070815450643777E-2</v>
      </c>
      <c r="CW122" s="70">
        <f>-CW32/'Income Statement'!DI7</f>
        <v>1.2953199244939139E-2</v>
      </c>
      <c r="CX122" s="161">
        <f>-CX32/'Income Statement'!DJ7</f>
        <v>2.4314666524696896E-2</v>
      </c>
      <c r="CY122" s="161">
        <f>-CY32/'Income Statement'!DK7</f>
        <v>2.3563398941820884E-2</v>
      </c>
      <c r="CZ122" s="161">
        <f>-CZ32/'Income Statement'!DL7</f>
        <v>2.2537959251554045E-2</v>
      </c>
      <c r="DA122" s="161">
        <f>-DA32/'Income Statement'!DM7</f>
        <v>1.3919475127371113E-2</v>
      </c>
      <c r="DB122" s="9"/>
      <c r="DC122" s="9"/>
      <c r="DD122" s="132"/>
      <c r="DE122" s="132"/>
      <c r="DF122" s="132"/>
      <c r="DG122" s="132"/>
      <c r="DH122" s="132"/>
      <c r="DI122" s="132"/>
      <c r="DJ122" s="132"/>
      <c r="DK122" s="132"/>
      <c r="DL122" s="93"/>
      <c r="DM122" s="93"/>
      <c r="DN122" s="93"/>
      <c r="DO122" s="93"/>
      <c r="DP122" s="93"/>
      <c r="DQ122" s="93"/>
      <c r="DR122" s="93"/>
      <c r="DS122" s="93"/>
      <c r="DT122" s="93"/>
      <c r="DU122" s="93"/>
      <c r="DV122" s="93"/>
      <c r="DW122" s="93"/>
      <c r="DX122" s="93"/>
      <c r="DY122" s="93"/>
      <c r="DZ122" s="93"/>
      <c r="EA122" s="93"/>
      <c r="EB122" s="93"/>
      <c r="EC122" s="93"/>
      <c r="ED122" s="93"/>
      <c r="EE122" s="132"/>
      <c r="EF122" s="132"/>
      <c r="EG122" s="93"/>
      <c r="EH122" s="161">
        <f>-EH32/'Income Statement'!EU7</f>
        <v>1.3469257097830638E-2</v>
      </c>
      <c r="EI122" s="161">
        <f>-EI32/'Income Statement'!EV7</f>
        <v>1.3907137013807977E-2</v>
      </c>
      <c r="EJ122" s="161">
        <f>-EJ32/'Income Statement'!EW7</f>
        <v>1.6418741145517102E-2</v>
      </c>
      <c r="EK122" s="70">
        <f>-EK32/'Income Statement'!EX7</f>
        <v>1.4719691394056289E-2</v>
      </c>
      <c r="EL122" s="70">
        <f>-EL32/'Income Statement'!EY7</f>
        <v>1.6322269934283883E-2</v>
      </c>
      <c r="EM122" s="161">
        <f>-EM32/'Income Statement'!EZ7</f>
        <v>2.0022272924424288E-2</v>
      </c>
      <c r="EN122" s="161">
        <f>-EN32/'Income Statement'!FA7</f>
        <v>1.7552191334602979E-2</v>
      </c>
      <c r="EO122" s="132"/>
      <c r="EP122" s="132"/>
      <c r="EQ122" s="132"/>
      <c r="ER122" s="132"/>
      <c r="ES122" s="132"/>
      <c r="ET122" s="132"/>
      <c r="EU122" s="132"/>
      <c r="EW122"/>
      <c r="EX122"/>
      <c r="EY122"/>
      <c r="EZ122"/>
      <c r="FA122"/>
      <c r="FB122"/>
      <c r="FG122" s="252"/>
      <c r="FH122" s="252"/>
      <c r="FI122" s="134"/>
      <c r="FJ122" s="134"/>
      <c r="FK122" s="134"/>
      <c r="FL122" s="1899"/>
      <c r="FM122" s="1899"/>
      <c r="FN122" s="1899"/>
      <c r="FO122" s="1899"/>
      <c r="FP122" s="1899"/>
      <c r="FQ122" s="1899"/>
      <c r="FR122" s="1899"/>
      <c r="FS122" s="1899"/>
      <c r="FT122" s="1899"/>
      <c r="FU122" s="1899"/>
      <c r="FV122" s="1899"/>
      <c r="FW122" s="1899"/>
      <c r="FX122" s="1899"/>
      <c r="FY122" s="1899"/>
      <c r="FZ122" s="1899"/>
      <c r="GA122" s="1899"/>
      <c r="GB122" s="1899"/>
      <c r="GC122" s="1899"/>
      <c r="GD122" s="1899"/>
      <c r="GE122" s="1899"/>
      <c r="GF122" s="1899"/>
      <c r="GG122" s="1899"/>
      <c r="GH122" s="1899"/>
      <c r="GI122" s="1899"/>
      <c r="GJ122" s="1899"/>
      <c r="GK122" s="1899"/>
      <c r="GL122" s="1899"/>
      <c r="GM122" s="1899"/>
      <c r="GN122" s="1899"/>
      <c r="GO122" s="1899"/>
      <c r="GP122" s="1899"/>
      <c r="GQ122" s="1899"/>
      <c r="GR122" s="1899"/>
      <c r="GS122" s="1899"/>
      <c r="GT122" s="1899"/>
      <c r="GU122" s="1899"/>
      <c r="GV122" s="1899"/>
      <c r="GW122" s="1899"/>
      <c r="GX122" s="1899"/>
      <c r="GY122" s="1899"/>
      <c r="GZ122" s="1899"/>
      <c r="HA122" s="1899"/>
      <c r="HB122" s="1899"/>
      <c r="HC122" s="1899"/>
      <c r="HD122" s="1899"/>
      <c r="HE122" s="1899"/>
      <c r="HF122" s="1899"/>
      <c r="HG122" s="1899"/>
      <c r="HH122" s="1899"/>
      <c r="HI122" s="1899"/>
      <c r="HJ122" s="1899"/>
      <c r="HK122" s="1899"/>
      <c r="HL122" s="1899"/>
      <c r="HM122" s="1899"/>
      <c r="HN122" s="1899"/>
      <c r="HO122" s="1899"/>
      <c r="HP122" s="1899"/>
      <c r="HQ122" s="1899"/>
      <c r="HR122" s="1899"/>
      <c r="HS122" s="1899"/>
      <c r="HT122" s="1899"/>
      <c r="HU122" s="1899"/>
      <c r="HV122" s="1899"/>
      <c r="HW122" s="1899"/>
      <c r="HX122" s="1899"/>
      <c r="HY122" s="1899"/>
      <c r="HZ122" s="1899"/>
      <c r="IA122" s="1899"/>
      <c r="IB122" s="1899"/>
      <c r="IC122" s="1899"/>
      <c r="ID122" s="1899"/>
      <c r="IE122" s="1899"/>
      <c r="IF122" s="1899"/>
      <c r="IG122" s="1899"/>
      <c r="IH122" s="1899"/>
      <c r="II122" s="1899"/>
      <c r="IJ122" s="1899"/>
      <c r="IK122" s="1899"/>
      <c r="IL122" s="1899"/>
      <c r="IM122" s="1899"/>
      <c r="IN122" s="1899"/>
      <c r="IO122" s="1899"/>
      <c r="IP122" s="1899"/>
      <c r="IQ122" s="1899"/>
      <c r="IR122" s="1899"/>
      <c r="IS122" s="1899"/>
      <c r="IT122" s="1899"/>
      <c r="IU122" s="1899"/>
      <c r="IV122" s="1899"/>
      <c r="IW122" s="1899"/>
      <c r="IX122" s="1899"/>
      <c r="IY122" s="1899"/>
      <c r="IZ122" s="1899"/>
    </row>
    <row r="123" spans="1:260" s="4" customFormat="1" outlineLevel="1" x14ac:dyDescent="0.2">
      <c r="A123" s="1907" t="s">
        <v>701</v>
      </c>
      <c r="B123" s="93"/>
      <c r="C123" s="93"/>
      <c r="D123" s="93"/>
      <c r="E123" s="93"/>
      <c r="F123" s="161">
        <f t="shared" ref="F123:BQ123" si="244">F32/B32-1</f>
        <v>1.8277653381101659</v>
      </c>
      <c r="G123" s="161">
        <f t="shared" si="244"/>
        <v>1.8730764846688706</v>
      </c>
      <c r="H123" s="161">
        <f t="shared" si="244"/>
        <v>0.88995561784629729</v>
      </c>
      <c r="I123" s="161">
        <f t="shared" si="244"/>
        <v>-2.4979090696196176</v>
      </c>
      <c r="J123" s="161">
        <f t="shared" si="244"/>
        <v>-0.25601799062460406</v>
      </c>
      <c r="K123" s="161">
        <f t="shared" si="244"/>
        <v>-0.36138937930213655</v>
      </c>
      <c r="L123" s="161">
        <f t="shared" si="244"/>
        <v>-0.46464546589378186</v>
      </c>
      <c r="M123" s="161">
        <f t="shared" si="244"/>
        <v>-1.6075847590119263</v>
      </c>
      <c r="N123" s="161">
        <f t="shared" si="244"/>
        <v>-0.31529652177615064</v>
      </c>
      <c r="O123" s="161">
        <f t="shared" si="244"/>
        <v>-0.24620259062529104</v>
      </c>
      <c r="P123" s="161">
        <f t="shared" si="244"/>
        <v>-0.54244488052637663</v>
      </c>
      <c r="Q123" s="161">
        <f t="shared" si="244"/>
        <v>8.0870460226438734E-3</v>
      </c>
      <c r="R123" s="161">
        <f t="shared" si="244"/>
        <v>-0.57825032643163587</v>
      </c>
      <c r="S123" s="161">
        <f t="shared" si="244"/>
        <v>-0.12832241315366566</v>
      </c>
      <c r="T123" s="161">
        <f t="shared" si="244"/>
        <v>1.0091326504869214E-2</v>
      </c>
      <c r="U123" s="161">
        <f t="shared" si="244"/>
        <v>-0.12091598599766606</v>
      </c>
      <c r="V123" s="161">
        <f t="shared" si="244"/>
        <v>0.78151260504201669</v>
      </c>
      <c r="W123" s="161">
        <f t="shared" si="244"/>
        <v>-9.989126837800788E-2</v>
      </c>
      <c r="X123" s="161">
        <f t="shared" si="244"/>
        <v>2.1927668714721018</v>
      </c>
      <c r="Y123" s="161">
        <f t="shared" si="244"/>
        <v>1.9308943089430897</v>
      </c>
      <c r="Z123" s="161">
        <f t="shared" si="244"/>
        <v>2.056686527639854</v>
      </c>
      <c r="AA123" s="161">
        <f t="shared" si="244"/>
        <v>4.6615546218487403</v>
      </c>
      <c r="AB123" s="161">
        <f t="shared" si="244"/>
        <v>0.73494899555666815</v>
      </c>
      <c r="AC123" s="161">
        <f t="shared" si="244"/>
        <v>0.49169237736703542</v>
      </c>
      <c r="AD123" s="161">
        <f t="shared" si="244"/>
        <v>1.13877683623467</v>
      </c>
      <c r="AE123" s="161">
        <f t="shared" si="244"/>
        <v>0.73475824705925996</v>
      </c>
      <c r="AF123" s="161">
        <f t="shared" si="244"/>
        <v>0.84866219981783919</v>
      </c>
      <c r="AG123" s="161">
        <f t="shared" si="244"/>
        <v>0.76470588235294112</v>
      </c>
      <c r="AH123" s="161">
        <f t="shared" si="244"/>
        <v>0.45569620253164556</v>
      </c>
      <c r="AI123" s="161">
        <f t="shared" si="244"/>
        <v>-0.24064171122994649</v>
      </c>
      <c r="AJ123" s="161">
        <f t="shared" si="244"/>
        <v>-0.15121951219512197</v>
      </c>
      <c r="AK123" s="161">
        <f t="shared" si="244"/>
        <v>-0.19354838709677424</v>
      </c>
      <c r="AL123" s="161">
        <f t="shared" si="244"/>
        <v>0.52173913043478271</v>
      </c>
      <c r="AM123" s="161">
        <f t="shared" si="244"/>
        <v>0.85915492957746475</v>
      </c>
      <c r="AN123" s="161">
        <f t="shared" si="244"/>
        <v>0.2068965517241379</v>
      </c>
      <c r="AO123" s="161">
        <f t="shared" si="244"/>
        <v>-0.49333333333333329</v>
      </c>
      <c r="AP123" s="161">
        <f t="shared" si="244"/>
        <v>-0.11428571428571432</v>
      </c>
      <c r="AQ123" s="161">
        <f t="shared" si="244"/>
        <v>-0.48106060606060608</v>
      </c>
      <c r="AR123" s="161">
        <f t="shared" si="244"/>
        <v>-0.25238095238095237</v>
      </c>
      <c r="AS123" s="161">
        <f t="shared" si="244"/>
        <v>0.26315789473684204</v>
      </c>
      <c r="AT123" s="161">
        <f t="shared" si="244"/>
        <v>-0.45161290322580649</v>
      </c>
      <c r="AU123" s="161">
        <f t="shared" si="244"/>
        <v>-0.14598540145985406</v>
      </c>
      <c r="AV123" s="161">
        <f t="shared" si="244"/>
        <v>-4.4585987261146487E-2</v>
      </c>
      <c r="AW123" s="161">
        <f t="shared" si="244"/>
        <v>0.5625</v>
      </c>
      <c r="AX123" s="161">
        <f t="shared" si="244"/>
        <v>0.23529411764705888</v>
      </c>
      <c r="AY123" s="161">
        <f t="shared" si="244"/>
        <v>0.49572649572649574</v>
      </c>
      <c r="AZ123" s="161">
        <f t="shared" si="244"/>
        <v>0.44666666666666677</v>
      </c>
      <c r="BA123" s="161">
        <f t="shared" si="244"/>
        <v>6.6666666666665986E-3</v>
      </c>
      <c r="BB123" s="161">
        <f t="shared" si="244"/>
        <v>0.46666666666666656</v>
      </c>
      <c r="BC123" s="161">
        <f t="shared" si="244"/>
        <v>-0.17142857142857137</v>
      </c>
      <c r="BD123" s="161">
        <f t="shared" si="244"/>
        <v>1.8433179723502224E-2</v>
      </c>
      <c r="BE123" s="161">
        <f t="shared" si="244"/>
        <v>0.41059602649006632</v>
      </c>
      <c r="BF123" s="161">
        <f t="shared" si="244"/>
        <v>0.16233766233766245</v>
      </c>
      <c r="BG123" s="161">
        <f t="shared" si="244"/>
        <v>0.35862068965517246</v>
      </c>
      <c r="BH123" s="161">
        <f t="shared" si="244"/>
        <v>-5.8823529411764719E-2</v>
      </c>
      <c r="BI123" s="161">
        <f t="shared" si="244"/>
        <v>0</v>
      </c>
      <c r="BJ123" s="161">
        <f t="shared" si="244"/>
        <v>0.22905027932960897</v>
      </c>
      <c r="BK123" s="161">
        <f t="shared" si="244"/>
        <v>0.43147208121827418</v>
      </c>
      <c r="BL123" s="161">
        <f t="shared" si="244"/>
        <v>1.0432692307692308</v>
      </c>
      <c r="BM123" s="161">
        <f t="shared" si="244"/>
        <v>0.76525821596244126</v>
      </c>
      <c r="BN123" s="161">
        <f t="shared" si="244"/>
        <v>-0.15454545454545454</v>
      </c>
      <c r="BO123" s="161">
        <f t="shared" si="244"/>
        <v>-0.56028368794326244</v>
      </c>
      <c r="BP123" s="161">
        <f t="shared" si="244"/>
        <v>-0.62588235294117645</v>
      </c>
      <c r="BQ123" s="161">
        <f t="shared" si="244"/>
        <v>-0.61170212765957444</v>
      </c>
      <c r="BR123" s="161">
        <f t="shared" ref="BR123:CO123" si="245">BR32/BN32-1</f>
        <v>-0.13440860215053763</v>
      </c>
      <c r="BS123" s="161">
        <f t="shared" si="245"/>
        <v>0.45967741935483875</v>
      </c>
      <c r="BT123" s="161">
        <f t="shared" si="245"/>
        <v>0.17610062893081757</v>
      </c>
      <c r="BU123" s="161">
        <f t="shared" si="245"/>
        <v>0.47260273972602729</v>
      </c>
      <c r="BV123" s="161">
        <f t="shared" si="245"/>
        <v>0.25465838509316763</v>
      </c>
      <c r="BW123" s="161">
        <f t="shared" si="245"/>
        <v>0.15469613259668513</v>
      </c>
      <c r="BX123" s="161">
        <f t="shared" si="245"/>
        <v>9.625668449197855E-2</v>
      </c>
      <c r="BY123" s="161">
        <f t="shared" si="245"/>
        <v>-0.30232558139534882</v>
      </c>
      <c r="BZ123" s="161">
        <f t="shared" si="245"/>
        <v>-0.30198019801980203</v>
      </c>
      <c r="CA123" s="161">
        <f t="shared" si="245"/>
        <v>-0.16267942583732053</v>
      </c>
      <c r="CB123" s="161">
        <f t="shared" si="245"/>
        <v>4.8780487804878092E-3</v>
      </c>
      <c r="CC123" s="161">
        <f t="shared" si="245"/>
        <v>0.46666666666666656</v>
      </c>
      <c r="CD123" s="161">
        <f t="shared" si="245"/>
        <v>0.23404255319148937</v>
      </c>
      <c r="CE123" s="161">
        <f t="shared" si="245"/>
        <v>-0.27428571428571424</v>
      </c>
      <c r="CF123" s="161">
        <f t="shared" si="245"/>
        <v>-0.41262135922330101</v>
      </c>
      <c r="CG123" s="161">
        <f t="shared" si="245"/>
        <v>-0.43181818181818177</v>
      </c>
      <c r="CH123" s="161">
        <f t="shared" si="245"/>
        <v>-0.36206896551724133</v>
      </c>
      <c r="CI123" s="161">
        <f t="shared" si="245"/>
        <v>0.15748031496062986</v>
      </c>
      <c r="CJ123" s="161">
        <f t="shared" si="245"/>
        <v>0.38016528925619841</v>
      </c>
      <c r="CK123" s="161">
        <f t="shared" si="245"/>
        <v>8.8000000000000078E-2</v>
      </c>
      <c r="CL123" s="161">
        <f t="shared" si="245"/>
        <v>0.11711711711711703</v>
      </c>
      <c r="CM123" s="161">
        <f t="shared" si="245"/>
        <v>0.14965986394557818</v>
      </c>
      <c r="CN123" s="161">
        <f t="shared" si="245"/>
        <v>0.19760479041916157</v>
      </c>
      <c r="CO123" s="161">
        <f t="shared" si="245"/>
        <v>0.14705882352941169</v>
      </c>
      <c r="CP123" s="161">
        <f>CP32/CL32-1</f>
        <v>9.6774193548387011E-2</v>
      </c>
      <c r="CQ123" s="161">
        <f t="shared" ref="CQ123:CX123" si="246">CQ32/CM32-1</f>
        <v>-0.17159763313609466</v>
      </c>
      <c r="CR123" s="161">
        <f t="shared" si="246"/>
        <v>-0.15500000000000003</v>
      </c>
      <c r="CS123" s="70">
        <f t="shared" si="246"/>
        <v>-0.13461538461538458</v>
      </c>
      <c r="CT123" s="70">
        <f t="shared" si="246"/>
        <v>0.125</v>
      </c>
      <c r="CU123" s="161">
        <f t="shared" si="246"/>
        <v>2.1428571428571352E-2</v>
      </c>
      <c r="CV123" s="161">
        <f t="shared" si="246"/>
        <v>0.14201183431952669</v>
      </c>
      <c r="CW123" s="70">
        <f t="shared" si="246"/>
        <v>0.47407407407407409</v>
      </c>
      <c r="CX123" s="161">
        <f t="shared" si="246"/>
        <v>0.38438337266600642</v>
      </c>
      <c r="CY123" s="161">
        <f t="shared" ref="CY123" si="247">CY32/CU32-1</f>
        <v>0.48119339872656641</v>
      </c>
      <c r="CZ123" s="161">
        <f t="shared" ref="CZ123" si="248">CZ32/CV32-1</f>
        <v>9.746453895284457E-2</v>
      </c>
      <c r="DA123" s="161">
        <f t="shared" ref="DA123" si="249">DA32/CW32-1</f>
        <v>6.437515586883924E-2</v>
      </c>
      <c r="DB123" s="161"/>
      <c r="DC123" s="9"/>
      <c r="DD123" s="132"/>
      <c r="DE123" s="132"/>
      <c r="DF123" s="132"/>
      <c r="DG123" s="132"/>
      <c r="DH123" s="132"/>
      <c r="DI123" s="132"/>
      <c r="DJ123" s="132"/>
      <c r="DK123" s="132"/>
      <c r="DL123" s="93"/>
      <c r="DM123" s="93"/>
      <c r="DN123" s="93"/>
      <c r="DO123" s="93"/>
      <c r="DP123" s="93"/>
      <c r="DQ123" s="93"/>
      <c r="DR123" s="93"/>
      <c r="DS123" s="93"/>
      <c r="DT123" s="93"/>
      <c r="DU123" s="93"/>
      <c r="DV123" s="93"/>
      <c r="DW123" s="93"/>
      <c r="DX123" s="93"/>
      <c r="DY123" s="93"/>
      <c r="DZ123" s="93"/>
      <c r="EA123" s="93"/>
      <c r="EB123" s="93"/>
      <c r="EC123" s="93"/>
      <c r="ED123" s="93"/>
      <c r="EE123" s="132"/>
      <c r="EF123" s="132"/>
      <c r="EG123" s="93"/>
      <c r="EH123" s="161">
        <f t="shared" ref="EH123:EM123" si="250">EH32/EG32-1</f>
        <v>-0.26280323450134768</v>
      </c>
      <c r="EI123" s="161">
        <f t="shared" si="250"/>
        <v>2.5594149908592323E-2</v>
      </c>
      <c r="EJ123" s="161">
        <f t="shared" si="250"/>
        <v>0.15686274509803932</v>
      </c>
      <c r="EK123" s="70">
        <f t="shared" si="250"/>
        <v>-0.10631741140215711</v>
      </c>
      <c r="EL123" s="70">
        <f t="shared" si="250"/>
        <v>0.18620689655172407</v>
      </c>
      <c r="EM123" s="161">
        <f t="shared" si="250"/>
        <v>0.23145730242964535</v>
      </c>
      <c r="EN123" s="161">
        <f>EN32/EM32-1</f>
        <v>-0.11453099107891407</v>
      </c>
      <c r="EO123" s="132"/>
      <c r="EP123" s="132"/>
      <c r="EQ123" s="132"/>
      <c r="ER123" s="132"/>
      <c r="ES123" s="132"/>
      <c r="ET123" s="132"/>
      <c r="EU123" s="132"/>
      <c r="EW123"/>
      <c r="EX123"/>
      <c r="EY123"/>
      <c r="EZ123"/>
      <c r="FA123"/>
      <c r="FB123"/>
      <c r="FG123" s="252"/>
      <c r="FH123" s="252"/>
      <c r="FI123" s="134"/>
      <c r="FJ123" s="134"/>
      <c r="FK123" s="134"/>
      <c r="FL123" s="1899"/>
      <c r="FM123" s="1899"/>
      <c r="FN123" s="1899"/>
      <c r="FO123" s="1899"/>
      <c r="FP123" s="1899"/>
      <c r="FQ123" s="1899"/>
      <c r="FR123" s="1899"/>
      <c r="FS123" s="1899"/>
      <c r="FT123" s="1899"/>
      <c r="FU123" s="1899"/>
      <c r="FV123" s="1899"/>
      <c r="FW123" s="1899"/>
      <c r="FX123" s="1899"/>
      <c r="FY123" s="1899"/>
      <c r="FZ123" s="1899"/>
      <c r="GA123" s="1899"/>
      <c r="GB123" s="1899"/>
      <c r="GC123" s="1899"/>
      <c r="GD123" s="1899"/>
      <c r="GE123" s="1899"/>
      <c r="GF123" s="1899"/>
      <c r="GG123" s="1899"/>
      <c r="GH123" s="1899"/>
      <c r="GI123" s="1899"/>
      <c r="GJ123" s="1899"/>
      <c r="GK123" s="1899"/>
      <c r="GL123" s="1899"/>
      <c r="GM123" s="1899"/>
      <c r="GN123" s="1899"/>
      <c r="GO123" s="1899"/>
      <c r="GP123" s="1899"/>
      <c r="GQ123" s="1899"/>
      <c r="GR123" s="1899"/>
      <c r="GS123" s="1899"/>
      <c r="GT123" s="1899"/>
      <c r="GU123" s="1899"/>
      <c r="GV123" s="1899"/>
      <c r="GW123" s="1899"/>
      <c r="GX123" s="1899"/>
      <c r="GY123" s="1899"/>
      <c r="GZ123" s="1899"/>
      <c r="HA123" s="1899"/>
      <c r="HB123" s="1899"/>
      <c r="HC123" s="1899"/>
      <c r="HD123" s="1899"/>
      <c r="HE123" s="1899"/>
      <c r="HF123" s="1899"/>
      <c r="HG123" s="1899"/>
      <c r="HH123" s="1899"/>
      <c r="HI123" s="1899"/>
      <c r="HJ123" s="1899"/>
      <c r="HK123" s="1899"/>
      <c r="HL123" s="1899"/>
      <c r="HM123" s="1899"/>
      <c r="HN123" s="1899"/>
      <c r="HO123" s="1899"/>
      <c r="HP123" s="1899"/>
      <c r="HQ123" s="1899"/>
      <c r="HR123" s="1899"/>
      <c r="HS123" s="1899"/>
      <c r="HT123" s="1899"/>
      <c r="HU123" s="1899"/>
      <c r="HV123" s="1899"/>
      <c r="HW123" s="1899"/>
      <c r="HX123" s="1899"/>
      <c r="HY123" s="1899"/>
      <c r="HZ123" s="1899"/>
      <c r="IA123" s="1899"/>
      <c r="IB123" s="1899"/>
      <c r="IC123" s="1899"/>
      <c r="ID123" s="1899"/>
      <c r="IE123" s="1899"/>
      <c r="IF123" s="1899"/>
      <c r="IG123" s="1899"/>
      <c r="IH123" s="1899"/>
      <c r="II123" s="1899"/>
      <c r="IJ123" s="1899"/>
      <c r="IK123" s="1899"/>
      <c r="IL123" s="1899"/>
      <c r="IM123" s="1899"/>
      <c r="IN123" s="1899"/>
      <c r="IO123" s="1899"/>
      <c r="IP123" s="1899"/>
      <c r="IQ123" s="1899"/>
      <c r="IR123" s="1899"/>
      <c r="IS123" s="1899"/>
      <c r="IT123" s="1899"/>
      <c r="IU123" s="1899"/>
      <c r="IV123" s="1899"/>
      <c r="IW123" s="1899"/>
      <c r="IX123" s="1899"/>
      <c r="IY123" s="1899"/>
      <c r="IZ123" s="1899"/>
    </row>
    <row r="124" spans="1:260" s="4" customFormat="1" outlineLevel="1" x14ac:dyDescent="0.2">
      <c r="A124" s="1907" t="s">
        <v>703</v>
      </c>
      <c r="B124" s="93"/>
      <c r="C124" s="93"/>
      <c r="D124" s="93"/>
      <c r="E124" s="93"/>
      <c r="F124" s="161"/>
      <c r="G124" s="161"/>
      <c r="H124" s="161"/>
      <c r="I124" s="161"/>
      <c r="J124" s="161"/>
      <c r="K124" s="161"/>
      <c r="L124" s="161"/>
      <c r="M124" s="161"/>
      <c r="N124" s="161"/>
      <c r="O124" s="161"/>
      <c r="P124" s="161"/>
      <c r="Q124" s="161"/>
      <c r="R124" s="161"/>
      <c r="S124" s="161"/>
      <c r="T124" s="161"/>
      <c r="U124" s="161"/>
      <c r="V124" s="161"/>
      <c r="W124" s="161"/>
      <c r="X124" s="161"/>
      <c r="Y124" s="161"/>
      <c r="Z124" s="161"/>
      <c r="AA124" s="161"/>
      <c r="AB124" s="161"/>
      <c r="AC124" s="161"/>
      <c r="AD124" s="161"/>
      <c r="AE124" s="161"/>
      <c r="AF124" s="161"/>
      <c r="AG124" s="161"/>
      <c r="AH124" s="161"/>
      <c r="AI124" s="161"/>
      <c r="AJ124" s="161"/>
      <c r="AK124" s="161"/>
      <c r="AL124" s="161"/>
      <c r="AM124" s="161"/>
      <c r="AN124" s="161"/>
      <c r="AO124" s="161"/>
      <c r="AP124" s="161"/>
      <c r="AQ124" s="161"/>
      <c r="AR124" s="161"/>
      <c r="AS124" s="161"/>
      <c r="AT124" s="161"/>
      <c r="AU124" s="161"/>
      <c r="AV124" s="161"/>
      <c r="AW124" s="161"/>
      <c r="AX124" s="161"/>
      <c r="AY124" s="161"/>
      <c r="AZ124" s="161"/>
      <c r="BA124" s="161"/>
      <c r="BB124" s="161"/>
      <c r="BC124" s="161"/>
      <c r="BD124" s="161"/>
      <c r="BE124" s="161"/>
      <c r="BF124" s="161"/>
      <c r="BG124" s="161"/>
      <c r="BH124" s="161"/>
      <c r="BI124" s="161"/>
      <c r="BJ124" s="161"/>
      <c r="BK124" s="161"/>
      <c r="BL124" s="161"/>
      <c r="BM124" s="161"/>
      <c r="BN124" s="161"/>
      <c r="BO124" s="161"/>
      <c r="BP124" s="161"/>
      <c r="BQ124" s="161"/>
      <c r="BR124" s="161"/>
      <c r="BS124" s="161"/>
      <c r="BT124" s="161"/>
      <c r="BU124" s="161"/>
      <c r="BV124" s="161"/>
      <c r="BW124" s="161"/>
      <c r="BX124" s="161"/>
      <c r="BY124" s="161"/>
      <c r="BZ124" s="161"/>
      <c r="CA124" s="161"/>
      <c r="CB124" s="161"/>
      <c r="CC124" s="161"/>
      <c r="CD124" s="161"/>
      <c r="CE124" s="161"/>
      <c r="CF124" s="161"/>
      <c r="CG124" s="161"/>
      <c r="CH124" s="161"/>
      <c r="CI124" s="161"/>
      <c r="CJ124" s="161"/>
      <c r="CK124" s="161"/>
      <c r="CL124" s="161">
        <f>-CL46/CL98</f>
        <v>0</v>
      </c>
      <c r="CM124" s="161">
        <f t="shared" ref="CM124:CW124" si="251">-CM46/CM98</f>
        <v>2.1543624161073827</v>
      </c>
      <c r="CN124" s="161">
        <f t="shared" si="251"/>
        <v>-1.4222222222222223</v>
      </c>
      <c r="CO124" s="161">
        <f t="shared" si="251"/>
        <v>0.95305832147937408</v>
      </c>
      <c r="CP124" s="161">
        <f t="shared" si="251"/>
        <v>0.14985590778097982</v>
      </c>
      <c r="CQ124" s="161">
        <f t="shared" si="251"/>
        <v>0.32932330827067668</v>
      </c>
      <c r="CR124" s="161">
        <f t="shared" si="251"/>
        <v>-3.2419354838709675</v>
      </c>
      <c r="CS124" s="70">
        <f t="shared" si="251"/>
        <v>0.22005842259006816</v>
      </c>
      <c r="CT124" s="70">
        <f t="shared" si="251"/>
        <v>4.1444444444444448</v>
      </c>
      <c r="CU124" s="161">
        <f t="shared" ref="CU124" si="252">-CU46/CU98</f>
        <v>1.3006535947712419</v>
      </c>
      <c r="CV124" s="161">
        <f t="shared" si="251"/>
        <v>1.1540880503144655</v>
      </c>
      <c r="CW124" s="70">
        <f t="shared" si="251"/>
        <v>1.1718538565629228</v>
      </c>
      <c r="CX124" s="161">
        <f t="shared" ref="CX124:DA124" si="253">-CX46/CX98</f>
        <v>59.57812127675728</v>
      </c>
      <c r="CY124" s="161">
        <f t="shared" si="253"/>
        <v>1.2504269797276251</v>
      </c>
      <c r="CZ124" s="161">
        <f t="shared" si="253"/>
        <v>0.62332903028110698</v>
      </c>
      <c r="DA124" s="161">
        <f t="shared" si="253"/>
        <v>0.4366220208372768</v>
      </c>
      <c r="DB124" s="161"/>
      <c r="DC124" s="9"/>
      <c r="DD124" s="132"/>
      <c r="DE124" s="132"/>
      <c r="DF124" s="132"/>
      <c r="DG124" s="132"/>
      <c r="DH124" s="132"/>
      <c r="DI124" s="132"/>
      <c r="DJ124" s="132"/>
      <c r="DK124" s="132"/>
      <c r="DL124" s="93"/>
      <c r="DM124" s="93"/>
      <c r="DN124" s="93"/>
      <c r="DO124" s="93"/>
      <c r="DP124" s="93"/>
      <c r="DQ124" s="93"/>
      <c r="DR124" s="93"/>
      <c r="DS124" s="93"/>
      <c r="DT124" s="93"/>
      <c r="DU124" s="93"/>
      <c r="DV124" s="93"/>
      <c r="DW124" s="93"/>
      <c r="DX124" s="93"/>
      <c r="DY124" s="93"/>
      <c r="DZ124" s="93"/>
      <c r="EA124" s="93"/>
      <c r="EB124" s="93"/>
      <c r="EC124" s="93"/>
      <c r="ED124" s="93"/>
      <c r="EE124" s="132"/>
      <c r="EF124" s="132"/>
      <c r="EG124" s="93"/>
      <c r="EH124" s="161">
        <f t="shared" ref="EH124:EN124" si="254">-EH46/EH98</f>
        <v>0</v>
      </c>
      <c r="EI124" s="161">
        <f t="shared" si="254"/>
        <v>0</v>
      </c>
      <c r="EJ124" s="161">
        <f t="shared" si="254"/>
        <v>1.5676077265973254</v>
      </c>
      <c r="EK124" s="70">
        <f t="shared" si="254"/>
        <v>0.35306019221041984</v>
      </c>
      <c r="EL124" s="70">
        <f t="shared" si="254"/>
        <v>1.3792154163799037</v>
      </c>
      <c r="EM124" s="161">
        <f t="shared" si="254"/>
        <v>1.0611785604003217</v>
      </c>
      <c r="EN124" s="161">
        <f t="shared" si="254"/>
        <v>0.93297576831477225</v>
      </c>
      <c r="EO124" s="132"/>
      <c r="EP124" s="132"/>
      <c r="EQ124" s="132"/>
      <c r="ER124" s="132"/>
      <c r="ES124" s="132"/>
      <c r="ET124" s="132"/>
      <c r="EU124" s="132"/>
      <c r="EW124"/>
      <c r="EX124"/>
      <c r="EY124"/>
      <c r="EZ124"/>
      <c r="FA124"/>
      <c r="FB124"/>
      <c r="FG124" s="252"/>
      <c r="FH124" s="252"/>
      <c r="FI124" s="134"/>
      <c r="FJ124" s="134"/>
      <c r="FK124" s="134"/>
      <c r="FL124" s="1899"/>
      <c r="FM124" s="1899"/>
      <c r="FN124" s="1899"/>
      <c r="FO124" s="1899"/>
      <c r="FP124" s="1899"/>
      <c r="FQ124" s="1899"/>
      <c r="FR124" s="1899"/>
      <c r="FS124" s="1899"/>
      <c r="FT124" s="1899"/>
      <c r="FU124" s="1899"/>
      <c r="FV124" s="1899"/>
      <c r="FW124" s="1899"/>
      <c r="FX124" s="1899"/>
      <c r="FY124" s="1899"/>
      <c r="FZ124" s="1899"/>
      <c r="GA124" s="1899"/>
      <c r="GB124" s="1899"/>
      <c r="GC124" s="1899"/>
      <c r="GD124" s="1899"/>
      <c r="GE124" s="1899"/>
      <c r="GF124" s="1899"/>
      <c r="GG124" s="1899"/>
      <c r="GH124" s="1899"/>
      <c r="GI124" s="1899"/>
      <c r="GJ124" s="1899"/>
      <c r="GK124" s="1899"/>
      <c r="GL124" s="1899"/>
      <c r="GM124" s="1899"/>
      <c r="GN124" s="1899"/>
      <c r="GO124" s="1899"/>
      <c r="GP124" s="1899"/>
      <c r="GQ124" s="1899"/>
      <c r="GR124" s="1899"/>
      <c r="GS124" s="1899"/>
      <c r="GT124" s="1899"/>
      <c r="GU124" s="1899"/>
      <c r="GV124" s="1899"/>
      <c r="GW124" s="1899"/>
      <c r="GX124" s="1899"/>
      <c r="GY124" s="1899"/>
      <c r="GZ124" s="1899"/>
      <c r="HA124" s="1899"/>
      <c r="HB124" s="1899"/>
      <c r="HC124" s="1899"/>
      <c r="HD124" s="1899"/>
      <c r="HE124" s="1899"/>
      <c r="HF124" s="1899"/>
      <c r="HG124" s="1899"/>
      <c r="HH124" s="1899"/>
      <c r="HI124" s="1899"/>
      <c r="HJ124" s="1899"/>
      <c r="HK124" s="1899"/>
      <c r="HL124" s="1899"/>
      <c r="HM124" s="1899"/>
      <c r="HN124" s="1899"/>
      <c r="HO124" s="1899"/>
      <c r="HP124" s="1899"/>
      <c r="HQ124" s="1899"/>
      <c r="HR124" s="1899"/>
      <c r="HS124" s="1899"/>
      <c r="HT124" s="1899"/>
      <c r="HU124" s="1899"/>
      <c r="HV124" s="1899"/>
      <c r="HW124" s="1899"/>
      <c r="HX124" s="1899"/>
      <c r="HY124" s="1899"/>
      <c r="HZ124" s="1899"/>
      <c r="IA124" s="1899"/>
      <c r="IB124" s="1899"/>
      <c r="IC124" s="1899"/>
      <c r="ID124" s="1899"/>
      <c r="IE124" s="1899"/>
      <c r="IF124" s="1899"/>
      <c r="IG124" s="1899"/>
      <c r="IH124" s="1899"/>
      <c r="II124" s="1899"/>
      <c r="IJ124" s="1899"/>
      <c r="IK124" s="1899"/>
      <c r="IL124" s="1899"/>
      <c r="IM124" s="1899"/>
      <c r="IN124" s="1899"/>
      <c r="IO124" s="1899"/>
      <c r="IP124" s="1899"/>
      <c r="IQ124" s="1899"/>
      <c r="IR124" s="1899"/>
      <c r="IS124" s="1899"/>
      <c r="IT124" s="1899"/>
      <c r="IU124" s="1899"/>
      <c r="IV124" s="1899"/>
      <c r="IW124" s="1899"/>
      <c r="IX124" s="1899"/>
      <c r="IY124" s="1899"/>
      <c r="IZ124" s="1899"/>
    </row>
    <row r="125" spans="1:260" s="4" customFormat="1" x14ac:dyDescent="0.2">
      <c r="A125" s="1906"/>
      <c r="B125" s="93"/>
      <c r="C125" s="93"/>
      <c r="D125" s="93"/>
      <c r="E125" s="93"/>
      <c r="F125" s="93"/>
      <c r="G125" s="93"/>
      <c r="H125" s="93"/>
      <c r="I125" s="93"/>
      <c r="J125" s="93"/>
      <c r="K125" s="93"/>
      <c r="L125" s="93"/>
      <c r="M125" s="93"/>
      <c r="N125" s="93"/>
      <c r="O125" s="93"/>
      <c r="P125" s="93"/>
      <c r="Q125" s="93"/>
      <c r="R125" s="93"/>
      <c r="S125" s="93"/>
      <c r="T125" s="93"/>
      <c r="U125" s="93"/>
      <c r="V125" s="93"/>
      <c r="W125" s="93"/>
      <c r="X125" s="93"/>
      <c r="Y125" s="93"/>
      <c r="Z125" s="93"/>
      <c r="AA125" s="93"/>
      <c r="AB125" s="93"/>
      <c r="AC125" s="93"/>
      <c r="AD125" s="93"/>
      <c r="AE125" s="93"/>
      <c r="AF125" s="93"/>
      <c r="AG125" s="93"/>
      <c r="AH125" s="93"/>
      <c r="AI125" s="93"/>
      <c r="AJ125" s="93"/>
      <c r="AK125" s="93"/>
      <c r="AL125" s="93"/>
      <c r="AM125" s="93"/>
      <c r="AN125" s="93"/>
      <c r="AO125" s="93"/>
      <c r="AP125" s="93"/>
      <c r="AQ125" s="93"/>
      <c r="AR125" s="93"/>
      <c r="AS125" s="93"/>
      <c r="AT125" s="93"/>
      <c r="AU125" s="93"/>
      <c r="AV125" s="93"/>
      <c r="AW125" s="93"/>
      <c r="AX125" s="93"/>
      <c r="AY125" s="93"/>
      <c r="AZ125" s="93"/>
      <c r="BA125" s="93"/>
      <c r="BB125" s="93"/>
      <c r="BC125" s="93"/>
      <c r="BD125" s="93"/>
      <c r="BE125" s="93"/>
      <c r="BF125" s="93"/>
      <c r="BG125" s="93"/>
      <c r="BH125" s="93"/>
      <c r="BI125" s="93"/>
      <c r="BJ125" s="93"/>
      <c r="BK125" s="93"/>
      <c r="BL125" s="93"/>
      <c r="BM125" s="93"/>
      <c r="BN125" s="93"/>
      <c r="BO125" s="93"/>
      <c r="BP125" s="93"/>
      <c r="BQ125" s="93"/>
      <c r="BR125" s="93"/>
      <c r="BS125" s="93"/>
      <c r="BT125" s="93"/>
      <c r="BU125" s="93"/>
      <c r="BV125" s="93"/>
      <c r="BW125" s="93"/>
      <c r="BX125" s="93"/>
      <c r="BY125" s="93"/>
      <c r="BZ125" s="93"/>
      <c r="CA125" s="93"/>
      <c r="CB125" s="93"/>
      <c r="CC125" s="93"/>
      <c r="CD125" s="93"/>
      <c r="CE125" s="93"/>
      <c r="CF125" s="93"/>
      <c r="CG125" s="93"/>
      <c r="CH125" s="93"/>
      <c r="CI125" s="93"/>
      <c r="CJ125" s="93"/>
      <c r="CK125" s="93"/>
      <c r="CL125" s="93"/>
      <c r="CM125" s="93"/>
      <c r="CN125" s="93"/>
      <c r="CO125" s="93"/>
      <c r="CP125" s="93"/>
      <c r="CQ125" s="93"/>
      <c r="CR125" s="93"/>
      <c r="CS125" s="172"/>
      <c r="CT125" s="172"/>
      <c r="CU125" s="93"/>
      <c r="CV125" s="93"/>
      <c r="CW125" s="172"/>
      <c r="CX125" s="93"/>
      <c r="CY125" s="93"/>
      <c r="CZ125" s="93"/>
      <c r="DA125" s="93"/>
      <c r="DB125" s="9"/>
      <c r="DC125" s="9"/>
      <c r="DD125" s="132"/>
      <c r="DE125" s="132"/>
      <c r="DF125" s="132"/>
      <c r="DG125" s="132"/>
      <c r="DH125" s="132"/>
      <c r="DI125" s="132"/>
      <c r="DJ125" s="132"/>
      <c r="DK125" s="132"/>
      <c r="DL125" s="93"/>
      <c r="DM125" s="93"/>
      <c r="DN125" s="93"/>
      <c r="DO125" s="93"/>
      <c r="DP125" s="93"/>
      <c r="DQ125" s="93"/>
      <c r="DR125" s="93"/>
      <c r="DS125" s="93"/>
      <c r="DT125" s="93"/>
      <c r="DU125" s="93"/>
      <c r="DV125" s="93"/>
      <c r="DW125" s="93"/>
      <c r="DX125" s="93"/>
      <c r="DY125" s="93"/>
      <c r="DZ125" s="93"/>
      <c r="EA125" s="93"/>
      <c r="EB125" s="93"/>
      <c r="EC125" s="93"/>
      <c r="ED125" s="93"/>
      <c r="EE125" s="132"/>
      <c r="EF125" s="132"/>
      <c r="EG125" s="93"/>
      <c r="EH125" s="93"/>
      <c r="EI125" s="93"/>
      <c r="EJ125" s="93"/>
      <c r="EK125" s="172"/>
      <c r="EL125" s="172"/>
      <c r="EM125" s="93"/>
      <c r="EN125" s="132"/>
      <c r="EO125" s="132"/>
      <c r="EP125" s="132"/>
      <c r="EQ125" s="132"/>
      <c r="ER125" s="132"/>
      <c r="ES125" s="132"/>
      <c r="ET125" s="132"/>
      <c r="EU125" s="132"/>
      <c r="EW125"/>
      <c r="EX125"/>
      <c r="EY125"/>
      <c r="EZ125"/>
      <c r="FA125"/>
      <c r="FB125"/>
      <c r="FG125" s="252"/>
      <c r="FH125" s="252"/>
      <c r="FI125" s="134"/>
      <c r="FJ125" s="134"/>
      <c r="FK125" s="134"/>
      <c r="FL125" s="1899"/>
      <c r="FM125" s="1899"/>
      <c r="FN125" s="1899"/>
      <c r="FO125" s="1899"/>
      <c r="FP125" s="1899"/>
      <c r="FQ125" s="1899"/>
      <c r="FR125" s="1899"/>
      <c r="FS125" s="1899"/>
      <c r="FT125" s="1899"/>
      <c r="FU125" s="1899"/>
      <c r="FV125" s="1899"/>
      <c r="FW125" s="1899"/>
      <c r="FX125" s="1899"/>
      <c r="FY125" s="1899"/>
      <c r="FZ125" s="1899"/>
      <c r="GA125" s="1899"/>
      <c r="GB125" s="1899"/>
      <c r="GC125" s="1899"/>
      <c r="GD125" s="1899"/>
      <c r="GE125" s="1899"/>
      <c r="GF125" s="1899"/>
      <c r="GG125" s="1899"/>
      <c r="GH125" s="1899"/>
      <c r="GI125" s="1899"/>
      <c r="GJ125" s="1899"/>
      <c r="GK125" s="1899"/>
      <c r="GL125" s="1899"/>
      <c r="GM125" s="1899"/>
      <c r="GN125" s="1899"/>
      <c r="GO125" s="1899"/>
      <c r="GP125" s="1899"/>
      <c r="GQ125" s="1899"/>
      <c r="GR125" s="1899"/>
      <c r="GS125" s="1899"/>
      <c r="GT125" s="1899"/>
      <c r="GU125" s="1899"/>
      <c r="GV125" s="1899"/>
      <c r="GW125" s="1899"/>
      <c r="GX125" s="1899"/>
      <c r="GY125" s="1899"/>
      <c r="GZ125" s="1899"/>
      <c r="HA125" s="1899"/>
      <c r="HB125" s="1899"/>
      <c r="HC125" s="1899"/>
      <c r="HD125" s="1899"/>
      <c r="HE125" s="1899"/>
      <c r="HF125" s="1899"/>
      <c r="HG125" s="1899"/>
      <c r="HH125" s="1899"/>
      <c r="HI125" s="1899"/>
      <c r="HJ125" s="1899"/>
      <c r="HK125" s="1899"/>
      <c r="HL125" s="1899"/>
      <c r="HM125" s="1899"/>
      <c r="HN125" s="1899"/>
      <c r="HO125" s="1899"/>
      <c r="HP125" s="1899"/>
      <c r="HQ125" s="1899"/>
      <c r="HR125" s="1899"/>
      <c r="HS125" s="1899"/>
      <c r="HT125" s="1899"/>
      <c r="HU125" s="1899"/>
      <c r="HV125" s="1899"/>
      <c r="HW125" s="1899"/>
      <c r="HX125" s="1899"/>
      <c r="HY125" s="1899"/>
      <c r="HZ125" s="1899"/>
      <c r="IA125" s="1899"/>
      <c r="IB125" s="1899"/>
      <c r="IC125" s="1899"/>
      <c r="ID125" s="1899"/>
      <c r="IE125" s="1899"/>
      <c r="IF125" s="1899"/>
      <c r="IG125" s="1899"/>
      <c r="IH125" s="1899"/>
      <c r="II125" s="1899"/>
      <c r="IJ125" s="1899"/>
      <c r="IK125" s="1899"/>
      <c r="IL125" s="1899"/>
      <c r="IM125" s="1899"/>
      <c r="IN125" s="1899"/>
      <c r="IO125" s="1899"/>
      <c r="IP125" s="1899"/>
      <c r="IQ125" s="1899"/>
      <c r="IR125" s="1899"/>
      <c r="IS125" s="1899"/>
      <c r="IT125" s="1899"/>
      <c r="IU125" s="1899"/>
      <c r="IV125" s="1899"/>
      <c r="IW125" s="1899"/>
      <c r="IX125" s="1899"/>
      <c r="IY125" s="1899"/>
      <c r="IZ125" s="1899"/>
    </row>
    <row r="126" spans="1:260" x14ac:dyDescent="0.2">
      <c r="CW126"/>
      <c r="CX126"/>
      <c r="CY126"/>
      <c r="CZ126"/>
      <c r="DA126"/>
      <c r="EL126"/>
      <c r="EM126"/>
      <c r="FG126"/>
      <c r="FH126"/>
      <c r="FI126"/>
      <c r="FJ126"/>
      <c r="FK126"/>
    </row>
    <row r="127" spans="1:260" x14ac:dyDescent="0.2">
      <c r="CS127" s="39"/>
      <c r="CV127" s="2576"/>
      <c r="CW127" s="39"/>
      <c r="EK127" s="39"/>
      <c r="EL127" s="39"/>
    </row>
    <row r="128" spans="1:260" x14ac:dyDescent="0.2">
      <c r="CS128" s="39"/>
      <c r="CV128" s="2576"/>
      <c r="CW128" s="39"/>
      <c r="EK128" s="39"/>
      <c r="EL128" s="39"/>
    </row>
    <row r="129" spans="97:142" x14ac:dyDescent="0.2">
      <c r="CS129" s="39"/>
      <c r="CV129" s="2576"/>
      <c r="CW129" s="39"/>
      <c r="EK129" s="39"/>
      <c r="EL129" s="39"/>
    </row>
    <row r="130" spans="97:142" x14ac:dyDescent="0.2">
      <c r="CS130" s="39"/>
      <c r="CV130" s="2576"/>
      <c r="CW130" s="39"/>
      <c r="EK130" s="39"/>
      <c r="EL130" s="39"/>
    </row>
    <row r="131" spans="97:142" x14ac:dyDescent="0.2">
      <c r="CS131" s="39"/>
      <c r="CV131" s="2576"/>
      <c r="CW131" s="39"/>
    </row>
    <row r="132" spans="97:142" x14ac:dyDescent="0.2">
      <c r="CS132" s="39"/>
      <c r="CV132" s="2576"/>
      <c r="CW132" s="39"/>
    </row>
    <row r="133" spans="97:142" x14ac:dyDescent="0.2">
      <c r="CV133" s="2576"/>
    </row>
    <row r="134" spans="97:142" x14ac:dyDescent="0.2">
      <c r="CV134" s="2576"/>
    </row>
    <row r="135" spans="97:142" x14ac:dyDescent="0.2">
      <c r="CV135" s="2576"/>
    </row>
    <row r="136" spans="97:142" x14ac:dyDescent="0.2">
      <c r="CV136" s="2576"/>
    </row>
    <row r="137" spans="97:142" x14ac:dyDescent="0.2">
      <c r="CV137" s="2576"/>
    </row>
    <row r="138" spans="97:142" x14ac:dyDescent="0.2">
      <c r="CV138" s="2576"/>
    </row>
    <row r="139" spans="97:142" x14ac:dyDescent="0.2">
      <c r="CV139" s="2576"/>
    </row>
    <row r="140" spans="97:142" x14ac:dyDescent="0.2">
      <c r="CV140" s="2576"/>
    </row>
    <row r="141" spans="97:142" x14ac:dyDescent="0.2">
      <c r="CV141" s="2576"/>
    </row>
    <row r="142" spans="97:142" x14ac:dyDescent="0.2">
      <c r="CV142" s="2576"/>
    </row>
    <row r="143" spans="97:142" x14ac:dyDescent="0.2">
      <c r="CV143" s="2576"/>
    </row>
    <row r="144" spans="97:142" x14ac:dyDescent="0.2">
      <c r="CV144" s="2576"/>
    </row>
    <row r="145" spans="100:100" x14ac:dyDescent="0.2">
      <c r="CV145" s="2576"/>
    </row>
    <row r="146" spans="100:100" x14ac:dyDescent="0.2">
      <c r="CV146" s="2576"/>
    </row>
    <row r="147" spans="100:100" x14ac:dyDescent="0.2">
      <c r="CV147" s="2576"/>
    </row>
    <row r="148" spans="100:100" x14ac:dyDescent="0.2">
      <c r="CV148" s="2576"/>
    </row>
    <row r="149" spans="100:100" x14ac:dyDescent="0.2">
      <c r="CV149" s="2576"/>
    </row>
    <row r="150" spans="100:100" x14ac:dyDescent="0.2">
      <c r="CV150" s="2576"/>
    </row>
    <row r="151" spans="100:100" x14ac:dyDescent="0.2">
      <c r="CV151" s="2576"/>
    </row>
    <row r="152" spans="100:100" x14ac:dyDescent="0.2">
      <c r="CV152" s="2576"/>
    </row>
    <row r="153" spans="100:100" x14ac:dyDescent="0.2">
      <c r="CV153" s="2576"/>
    </row>
    <row r="154" spans="100:100" x14ac:dyDescent="0.2">
      <c r="CV154" s="2576"/>
    </row>
    <row r="155" spans="100:100" x14ac:dyDescent="0.2">
      <c r="CV155" s="2576"/>
    </row>
    <row r="156" spans="100:100" x14ac:dyDescent="0.2">
      <c r="CV156" s="2576"/>
    </row>
    <row r="157" spans="100:100" x14ac:dyDescent="0.2">
      <c r="CV157" s="2576"/>
    </row>
    <row r="158" spans="100:100" x14ac:dyDescent="0.2">
      <c r="CV158" s="2576"/>
    </row>
    <row r="159" spans="100:100" x14ac:dyDescent="0.2">
      <c r="CV159" s="2576"/>
    </row>
    <row r="160" spans="100:100" x14ac:dyDescent="0.2">
      <c r="CV160" s="2576"/>
    </row>
    <row r="161" spans="100:100" x14ac:dyDescent="0.2">
      <c r="CV161" s="2576"/>
    </row>
    <row r="162" spans="100:100" x14ac:dyDescent="0.2">
      <c r="CV162" s="2576"/>
    </row>
    <row r="163" spans="100:100" x14ac:dyDescent="0.2">
      <c r="CV163" s="2576"/>
    </row>
    <row r="164" spans="100:100" x14ac:dyDescent="0.2">
      <c r="CV164" s="2576"/>
    </row>
    <row r="165" spans="100:100" x14ac:dyDescent="0.2">
      <c r="CV165" s="2576"/>
    </row>
    <row r="166" spans="100:100" x14ac:dyDescent="0.2">
      <c r="CV166" s="2576"/>
    </row>
  </sheetData>
  <phoneticPr fontId="0" type="noConversion"/>
  <printOptions horizontalCentered="1"/>
  <pageMargins left="0.25" right="0.25" top="0.25" bottom="0" header="0.5" footer="0.5"/>
  <pageSetup scale="56" orientation="landscape" r:id="rId1"/>
  <headerFooter alignWithMargins="0"/>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43"/>
  <sheetViews>
    <sheetView workbookViewId="0">
      <selection activeCell="B42" sqref="B42"/>
    </sheetView>
  </sheetViews>
  <sheetFormatPr defaultRowHeight="12.75" x14ac:dyDescent="0.2"/>
  <cols>
    <col min="1" max="1" width="34.5" style="2669" bestFit="1" customWidth="1"/>
    <col min="2" max="2" width="23.1640625" style="2864" customWidth="1"/>
    <col min="3" max="3" width="14" style="2669" bestFit="1" customWidth="1"/>
    <col min="4" max="256" width="9.33203125" style="2669"/>
    <col min="257" max="257" width="34.5" style="2669" bestFit="1" customWidth="1"/>
    <col min="258" max="258" width="23.1640625" style="2669" customWidth="1"/>
    <col min="259" max="259" width="14" style="2669" bestFit="1" customWidth="1"/>
    <col min="260" max="512" width="9.33203125" style="2669"/>
    <col min="513" max="513" width="34.5" style="2669" bestFit="1" customWidth="1"/>
    <col min="514" max="514" width="23.1640625" style="2669" customWidth="1"/>
    <col min="515" max="515" width="14" style="2669" bestFit="1" customWidth="1"/>
    <col min="516" max="768" width="9.33203125" style="2669"/>
    <col min="769" max="769" width="34.5" style="2669" bestFit="1" customWidth="1"/>
    <col min="770" max="770" width="23.1640625" style="2669" customWidth="1"/>
    <col min="771" max="771" width="14" style="2669" bestFit="1" customWidth="1"/>
    <col min="772" max="1024" width="9.33203125" style="2669"/>
    <col min="1025" max="1025" width="34.5" style="2669" bestFit="1" customWidth="1"/>
    <col min="1026" max="1026" width="23.1640625" style="2669" customWidth="1"/>
    <col min="1027" max="1027" width="14" style="2669" bestFit="1" customWidth="1"/>
    <col min="1028" max="1280" width="9.33203125" style="2669"/>
    <col min="1281" max="1281" width="34.5" style="2669" bestFit="1" customWidth="1"/>
    <col min="1282" max="1282" width="23.1640625" style="2669" customWidth="1"/>
    <col min="1283" max="1283" width="14" style="2669" bestFit="1" customWidth="1"/>
    <col min="1284" max="1536" width="9.33203125" style="2669"/>
    <col min="1537" max="1537" width="34.5" style="2669" bestFit="1" customWidth="1"/>
    <col min="1538" max="1538" width="23.1640625" style="2669" customWidth="1"/>
    <col min="1539" max="1539" width="14" style="2669" bestFit="1" customWidth="1"/>
    <col min="1540" max="1792" width="9.33203125" style="2669"/>
    <col min="1793" max="1793" width="34.5" style="2669" bestFit="1" customWidth="1"/>
    <col min="1794" max="1794" width="23.1640625" style="2669" customWidth="1"/>
    <col min="1795" max="1795" width="14" style="2669" bestFit="1" customWidth="1"/>
    <col min="1796" max="2048" width="9.33203125" style="2669"/>
    <col min="2049" max="2049" width="34.5" style="2669" bestFit="1" customWidth="1"/>
    <col min="2050" max="2050" width="23.1640625" style="2669" customWidth="1"/>
    <col min="2051" max="2051" width="14" style="2669" bestFit="1" customWidth="1"/>
    <col min="2052" max="2304" width="9.33203125" style="2669"/>
    <col min="2305" max="2305" width="34.5" style="2669" bestFit="1" customWidth="1"/>
    <col min="2306" max="2306" width="23.1640625" style="2669" customWidth="1"/>
    <col min="2307" max="2307" width="14" style="2669" bestFit="1" customWidth="1"/>
    <col min="2308" max="2560" width="9.33203125" style="2669"/>
    <col min="2561" max="2561" width="34.5" style="2669" bestFit="1" customWidth="1"/>
    <col min="2562" max="2562" width="23.1640625" style="2669" customWidth="1"/>
    <col min="2563" max="2563" width="14" style="2669" bestFit="1" customWidth="1"/>
    <col min="2564" max="2816" width="9.33203125" style="2669"/>
    <col min="2817" max="2817" width="34.5" style="2669" bestFit="1" customWidth="1"/>
    <col min="2818" max="2818" width="23.1640625" style="2669" customWidth="1"/>
    <col min="2819" max="2819" width="14" style="2669" bestFit="1" customWidth="1"/>
    <col min="2820" max="3072" width="9.33203125" style="2669"/>
    <col min="3073" max="3073" width="34.5" style="2669" bestFit="1" customWidth="1"/>
    <col min="3074" max="3074" width="23.1640625" style="2669" customWidth="1"/>
    <col min="3075" max="3075" width="14" style="2669" bestFit="1" customWidth="1"/>
    <col min="3076" max="3328" width="9.33203125" style="2669"/>
    <col min="3329" max="3329" width="34.5" style="2669" bestFit="1" customWidth="1"/>
    <col min="3330" max="3330" width="23.1640625" style="2669" customWidth="1"/>
    <col min="3331" max="3331" width="14" style="2669" bestFit="1" customWidth="1"/>
    <col min="3332" max="3584" width="9.33203125" style="2669"/>
    <col min="3585" max="3585" width="34.5" style="2669" bestFit="1" customWidth="1"/>
    <col min="3586" max="3586" width="23.1640625" style="2669" customWidth="1"/>
    <col min="3587" max="3587" width="14" style="2669" bestFit="1" customWidth="1"/>
    <col min="3588" max="3840" width="9.33203125" style="2669"/>
    <col min="3841" max="3841" width="34.5" style="2669" bestFit="1" customWidth="1"/>
    <col min="3842" max="3842" width="23.1640625" style="2669" customWidth="1"/>
    <col min="3843" max="3843" width="14" style="2669" bestFit="1" customWidth="1"/>
    <col min="3844" max="4096" width="9.33203125" style="2669"/>
    <col min="4097" max="4097" width="34.5" style="2669" bestFit="1" customWidth="1"/>
    <col min="4098" max="4098" width="23.1640625" style="2669" customWidth="1"/>
    <col min="4099" max="4099" width="14" style="2669" bestFit="1" customWidth="1"/>
    <col min="4100" max="4352" width="9.33203125" style="2669"/>
    <col min="4353" max="4353" width="34.5" style="2669" bestFit="1" customWidth="1"/>
    <col min="4354" max="4354" width="23.1640625" style="2669" customWidth="1"/>
    <col min="4355" max="4355" width="14" style="2669" bestFit="1" customWidth="1"/>
    <col min="4356" max="4608" width="9.33203125" style="2669"/>
    <col min="4609" max="4609" width="34.5" style="2669" bestFit="1" customWidth="1"/>
    <col min="4610" max="4610" width="23.1640625" style="2669" customWidth="1"/>
    <col min="4611" max="4611" width="14" style="2669" bestFit="1" customWidth="1"/>
    <col min="4612" max="4864" width="9.33203125" style="2669"/>
    <col min="4865" max="4865" width="34.5" style="2669" bestFit="1" customWidth="1"/>
    <col min="4866" max="4866" width="23.1640625" style="2669" customWidth="1"/>
    <col min="4867" max="4867" width="14" style="2669" bestFit="1" customWidth="1"/>
    <col min="4868" max="5120" width="9.33203125" style="2669"/>
    <col min="5121" max="5121" width="34.5" style="2669" bestFit="1" customWidth="1"/>
    <col min="5122" max="5122" width="23.1640625" style="2669" customWidth="1"/>
    <col min="5123" max="5123" width="14" style="2669" bestFit="1" customWidth="1"/>
    <col min="5124" max="5376" width="9.33203125" style="2669"/>
    <col min="5377" max="5377" width="34.5" style="2669" bestFit="1" customWidth="1"/>
    <col min="5378" max="5378" width="23.1640625" style="2669" customWidth="1"/>
    <col min="5379" max="5379" width="14" style="2669" bestFit="1" customWidth="1"/>
    <col min="5380" max="5632" width="9.33203125" style="2669"/>
    <col min="5633" max="5633" width="34.5" style="2669" bestFit="1" customWidth="1"/>
    <col min="5634" max="5634" width="23.1640625" style="2669" customWidth="1"/>
    <col min="5635" max="5635" width="14" style="2669" bestFit="1" customWidth="1"/>
    <col min="5636" max="5888" width="9.33203125" style="2669"/>
    <col min="5889" max="5889" width="34.5" style="2669" bestFit="1" customWidth="1"/>
    <col min="5890" max="5890" width="23.1640625" style="2669" customWidth="1"/>
    <col min="5891" max="5891" width="14" style="2669" bestFit="1" customWidth="1"/>
    <col min="5892" max="6144" width="9.33203125" style="2669"/>
    <col min="6145" max="6145" width="34.5" style="2669" bestFit="1" customWidth="1"/>
    <col min="6146" max="6146" width="23.1640625" style="2669" customWidth="1"/>
    <col min="6147" max="6147" width="14" style="2669" bestFit="1" customWidth="1"/>
    <col min="6148" max="6400" width="9.33203125" style="2669"/>
    <col min="6401" max="6401" width="34.5" style="2669" bestFit="1" customWidth="1"/>
    <col min="6402" max="6402" width="23.1640625" style="2669" customWidth="1"/>
    <col min="6403" max="6403" width="14" style="2669" bestFit="1" customWidth="1"/>
    <col min="6404" max="6656" width="9.33203125" style="2669"/>
    <col min="6657" max="6657" width="34.5" style="2669" bestFit="1" customWidth="1"/>
    <col min="6658" max="6658" width="23.1640625" style="2669" customWidth="1"/>
    <col min="6659" max="6659" width="14" style="2669" bestFit="1" customWidth="1"/>
    <col min="6660" max="6912" width="9.33203125" style="2669"/>
    <col min="6913" max="6913" width="34.5" style="2669" bestFit="1" customWidth="1"/>
    <col min="6914" max="6914" width="23.1640625" style="2669" customWidth="1"/>
    <col min="6915" max="6915" width="14" style="2669" bestFit="1" customWidth="1"/>
    <col min="6916" max="7168" width="9.33203125" style="2669"/>
    <col min="7169" max="7169" width="34.5" style="2669" bestFit="1" customWidth="1"/>
    <col min="7170" max="7170" width="23.1640625" style="2669" customWidth="1"/>
    <col min="7171" max="7171" width="14" style="2669" bestFit="1" customWidth="1"/>
    <col min="7172" max="7424" width="9.33203125" style="2669"/>
    <col min="7425" max="7425" width="34.5" style="2669" bestFit="1" customWidth="1"/>
    <col min="7426" max="7426" width="23.1640625" style="2669" customWidth="1"/>
    <col min="7427" max="7427" width="14" style="2669" bestFit="1" customWidth="1"/>
    <col min="7428" max="7680" width="9.33203125" style="2669"/>
    <col min="7681" max="7681" width="34.5" style="2669" bestFit="1" customWidth="1"/>
    <col min="7682" max="7682" width="23.1640625" style="2669" customWidth="1"/>
    <col min="7683" max="7683" width="14" style="2669" bestFit="1" customWidth="1"/>
    <col min="7684" max="7936" width="9.33203125" style="2669"/>
    <col min="7937" max="7937" width="34.5" style="2669" bestFit="1" customWidth="1"/>
    <col min="7938" max="7938" width="23.1640625" style="2669" customWidth="1"/>
    <col min="7939" max="7939" width="14" style="2669" bestFit="1" customWidth="1"/>
    <col min="7940" max="8192" width="9.33203125" style="2669"/>
    <col min="8193" max="8193" width="34.5" style="2669" bestFit="1" customWidth="1"/>
    <col min="8194" max="8194" width="23.1640625" style="2669" customWidth="1"/>
    <col min="8195" max="8195" width="14" style="2669" bestFit="1" customWidth="1"/>
    <col min="8196" max="8448" width="9.33203125" style="2669"/>
    <col min="8449" max="8449" width="34.5" style="2669" bestFit="1" customWidth="1"/>
    <col min="8450" max="8450" width="23.1640625" style="2669" customWidth="1"/>
    <col min="8451" max="8451" width="14" style="2669" bestFit="1" customWidth="1"/>
    <col min="8452" max="8704" width="9.33203125" style="2669"/>
    <col min="8705" max="8705" width="34.5" style="2669" bestFit="1" customWidth="1"/>
    <col min="8706" max="8706" width="23.1640625" style="2669" customWidth="1"/>
    <col min="8707" max="8707" width="14" style="2669" bestFit="1" customWidth="1"/>
    <col min="8708" max="8960" width="9.33203125" style="2669"/>
    <col min="8961" max="8961" width="34.5" style="2669" bestFit="1" customWidth="1"/>
    <col min="8962" max="8962" width="23.1640625" style="2669" customWidth="1"/>
    <col min="8963" max="8963" width="14" style="2669" bestFit="1" customWidth="1"/>
    <col min="8964" max="9216" width="9.33203125" style="2669"/>
    <col min="9217" max="9217" width="34.5" style="2669" bestFit="1" customWidth="1"/>
    <col min="9218" max="9218" width="23.1640625" style="2669" customWidth="1"/>
    <col min="9219" max="9219" width="14" style="2669" bestFit="1" customWidth="1"/>
    <col min="9220" max="9472" width="9.33203125" style="2669"/>
    <col min="9473" max="9473" width="34.5" style="2669" bestFit="1" customWidth="1"/>
    <col min="9474" max="9474" width="23.1640625" style="2669" customWidth="1"/>
    <col min="9475" max="9475" width="14" style="2669" bestFit="1" customWidth="1"/>
    <col min="9476" max="9728" width="9.33203125" style="2669"/>
    <col min="9729" max="9729" width="34.5" style="2669" bestFit="1" customWidth="1"/>
    <col min="9730" max="9730" width="23.1640625" style="2669" customWidth="1"/>
    <col min="9731" max="9731" width="14" style="2669" bestFit="1" customWidth="1"/>
    <col min="9732" max="9984" width="9.33203125" style="2669"/>
    <col min="9985" max="9985" width="34.5" style="2669" bestFit="1" customWidth="1"/>
    <col min="9986" max="9986" width="23.1640625" style="2669" customWidth="1"/>
    <col min="9987" max="9987" width="14" style="2669" bestFit="1" customWidth="1"/>
    <col min="9988" max="10240" width="9.33203125" style="2669"/>
    <col min="10241" max="10241" width="34.5" style="2669" bestFit="1" customWidth="1"/>
    <col min="10242" max="10242" width="23.1640625" style="2669" customWidth="1"/>
    <col min="10243" max="10243" width="14" style="2669" bestFit="1" customWidth="1"/>
    <col min="10244" max="10496" width="9.33203125" style="2669"/>
    <col min="10497" max="10497" width="34.5" style="2669" bestFit="1" customWidth="1"/>
    <col min="10498" max="10498" width="23.1640625" style="2669" customWidth="1"/>
    <col min="10499" max="10499" width="14" style="2669" bestFit="1" customWidth="1"/>
    <col min="10500" max="10752" width="9.33203125" style="2669"/>
    <col min="10753" max="10753" width="34.5" style="2669" bestFit="1" customWidth="1"/>
    <col min="10754" max="10754" width="23.1640625" style="2669" customWidth="1"/>
    <col min="10755" max="10755" width="14" style="2669" bestFit="1" customWidth="1"/>
    <col min="10756" max="11008" width="9.33203125" style="2669"/>
    <col min="11009" max="11009" width="34.5" style="2669" bestFit="1" customWidth="1"/>
    <col min="11010" max="11010" width="23.1640625" style="2669" customWidth="1"/>
    <col min="11011" max="11011" width="14" style="2669" bestFit="1" customWidth="1"/>
    <col min="11012" max="11264" width="9.33203125" style="2669"/>
    <col min="11265" max="11265" width="34.5" style="2669" bestFit="1" customWidth="1"/>
    <col min="11266" max="11266" width="23.1640625" style="2669" customWidth="1"/>
    <col min="11267" max="11267" width="14" style="2669" bestFit="1" customWidth="1"/>
    <col min="11268" max="11520" width="9.33203125" style="2669"/>
    <col min="11521" max="11521" width="34.5" style="2669" bestFit="1" customWidth="1"/>
    <col min="11522" max="11522" width="23.1640625" style="2669" customWidth="1"/>
    <col min="11523" max="11523" width="14" style="2669" bestFit="1" customWidth="1"/>
    <col min="11524" max="11776" width="9.33203125" style="2669"/>
    <col min="11777" max="11777" width="34.5" style="2669" bestFit="1" customWidth="1"/>
    <col min="11778" max="11778" width="23.1640625" style="2669" customWidth="1"/>
    <col min="11779" max="11779" width="14" style="2669" bestFit="1" customWidth="1"/>
    <col min="11780" max="12032" width="9.33203125" style="2669"/>
    <col min="12033" max="12033" width="34.5" style="2669" bestFit="1" customWidth="1"/>
    <col min="12034" max="12034" width="23.1640625" style="2669" customWidth="1"/>
    <col min="12035" max="12035" width="14" style="2669" bestFit="1" customWidth="1"/>
    <col min="12036" max="12288" width="9.33203125" style="2669"/>
    <col min="12289" max="12289" width="34.5" style="2669" bestFit="1" customWidth="1"/>
    <col min="12290" max="12290" width="23.1640625" style="2669" customWidth="1"/>
    <col min="12291" max="12291" width="14" style="2669" bestFit="1" customWidth="1"/>
    <col min="12292" max="12544" width="9.33203125" style="2669"/>
    <col min="12545" max="12545" width="34.5" style="2669" bestFit="1" customWidth="1"/>
    <col min="12546" max="12546" width="23.1640625" style="2669" customWidth="1"/>
    <col min="12547" max="12547" width="14" style="2669" bestFit="1" customWidth="1"/>
    <col min="12548" max="12800" width="9.33203125" style="2669"/>
    <col min="12801" max="12801" width="34.5" style="2669" bestFit="1" customWidth="1"/>
    <col min="12802" max="12802" width="23.1640625" style="2669" customWidth="1"/>
    <col min="12803" max="12803" width="14" style="2669" bestFit="1" customWidth="1"/>
    <col min="12804" max="13056" width="9.33203125" style="2669"/>
    <col min="13057" max="13057" width="34.5" style="2669" bestFit="1" customWidth="1"/>
    <col min="13058" max="13058" width="23.1640625" style="2669" customWidth="1"/>
    <col min="13059" max="13059" width="14" style="2669" bestFit="1" customWidth="1"/>
    <col min="13060" max="13312" width="9.33203125" style="2669"/>
    <col min="13313" max="13313" width="34.5" style="2669" bestFit="1" customWidth="1"/>
    <col min="13314" max="13314" width="23.1640625" style="2669" customWidth="1"/>
    <col min="13315" max="13315" width="14" style="2669" bestFit="1" customWidth="1"/>
    <col min="13316" max="13568" width="9.33203125" style="2669"/>
    <col min="13569" max="13569" width="34.5" style="2669" bestFit="1" customWidth="1"/>
    <col min="13570" max="13570" width="23.1640625" style="2669" customWidth="1"/>
    <col min="13571" max="13571" width="14" style="2669" bestFit="1" customWidth="1"/>
    <col min="13572" max="13824" width="9.33203125" style="2669"/>
    <col min="13825" max="13825" width="34.5" style="2669" bestFit="1" customWidth="1"/>
    <col min="13826" max="13826" width="23.1640625" style="2669" customWidth="1"/>
    <col min="13827" max="13827" width="14" style="2669" bestFit="1" customWidth="1"/>
    <col min="13828" max="14080" width="9.33203125" style="2669"/>
    <col min="14081" max="14081" width="34.5" style="2669" bestFit="1" customWidth="1"/>
    <col min="14082" max="14082" width="23.1640625" style="2669" customWidth="1"/>
    <col min="14083" max="14083" width="14" style="2669" bestFit="1" customWidth="1"/>
    <col min="14084" max="14336" width="9.33203125" style="2669"/>
    <col min="14337" max="14337" width="34.5" style="2669" bestFit="1" customWidth="1"/>
    <col min="14338" max="14338" width="23.1640625" style="2669" customWidth="1"/>
    <col min="14339" max="14339" width="14" style="2669" bestFit="1" customWidth="1"/>
    <col min="14340" max="14592" width="9.33203125" style="2669"/>
    <col min="14593" max="14593" width="34.5" style="2669" bestFit="1" customWidth="1"/>
    <col min="14594" max="14594" width="23.1640625" style="2669" customWidth="1"/>
    <col min="14595" max="14595" width="14" style="2669" bestFit="1" customWidth="1"/>
    <col min="14596" max="14848" width="9.33203125" style="2669"/>
    <col min="14849" max="14849" width="34.5" style="2669" bestFit="1" customWidth="1"/>
    <col min="14850" max="14850" width="23.1640625" style="2669" customWidth="1"/>
    <col min="14851" max="14851" width="14" style="2669" bestFit="1" customWidth="1"/>
    <col min="14852" max="15104" width="9.33203125" style="2669"/>
    <col min="15105" max="15105" width="34.5" style="2669" bestFit="1" customWidth="1"/>
    <col min="15106" max="15106" width="23.1640625" style="2669" customWidth="1"/>
    <col min="15107" max="15107" width="14" style="2669" bestFit="1" customWidth="1"/>
    <col min="15108" max="15360" width="9.33203125" style="2669"/>
    <col min="15361" max="15361" width="34.5" style="2669" bestFit="1" customWidth="1"/>
    <col min="15362" max="15362" width="23.1640625" style="2669" customWidth="1"/>
    <col min="15363" max="15363" width="14" style="2669" bestFit="1" customWidth="1"/>
    <col min="15364" max="15616" width="9.33203125" style="2669"/>
    <col min="15617" max="15617" width="34.5" style="2669" bestFit="1" customWidth="1"/>
    <col min="15618" max="15618" width="23.1640625" style="2669" customWidth="1"/>
    <col min="15619" max="15619" width="14" style="2669" bestFit="1" customWidth="1"/>
    <col min="15620" max="15872" width="9.33203125" style="2669"/>
    <col min="15873" max="15873" width="34.5" style="2669" bestFit="1" customWidth="1"/>
    <col min="15874" max="15874" width="23.1640625" style="2669" customWidth="1"/>
    <col min="15875" max="15875" width="14" style="2669" bestFit="1" customWidth="1"/>
    <col min="15876" max="16128" width="9.33203125" style="2669"/>
    <col min="16129" max="16129" width="34.5" style="2669" bestFit="1" customWidth="1"/>
    <col min="16130" max="16130" width="23.1640625" style="2669" customWidth="1"/>
    <col min="16131" max="16131" width="14" style="2669" bestFit="1" customWidth="1"/>
    <col min="16132" max="16384" width="9.33203125" style="2669"/>
  </cols>
  <sheetData>
    <row r="1" spans="1:2" x14ac:dyDescent="0.2">
      <c r="A1" s="2669" t="s">
        <v>1049</v>
      </c>
      <c r="B1" s="2863">
        <v>6.1</v>
      </c>
    </row>
    <row r="2" spans="1:2" x14ac:dyDescent="0.2">
      <c r="A2" s="2669" t="s">
        <v>1050</v>
      </c>
      <c r="B2" s="2867">
        <v>43160.557685185187</v>
      </c>
    </row>
    <row r="3" spans="1:2" x14ac:dyDescent="0.2">
      <c r="A3" s="2669" t="s">
        <v>1051</v>
      </c>
      <c r="B3" s="2864" t="s">
        <v>755</v>
      </c>
    </row>
    <row r="4" spans="1:2" x14ac:dyDescent="0.2">
      <c r="A4" s="2669" t="s">
        <v>1052</v>
      </c>
      <c r="B4" s="2864" t="s">
        <v>1053</v>
      </c>
    </row>
    <row r="5" spans="1:2" x14ac:dyDescent="0.2">
      <c r="A5" s="2669" t="s">
        <v>1054</v>
      </c>
      <c r="B5" s="2864" t="s">
        <v>1055</v>
      </c>
    </row>
    <row r="6" spans="1:2" x14ac:dyDescent="0.2">
      <c r="A6" s="2669" t="s">
        <v>1056</v>
      </c>
    </row>
    <row r="7" spans="1:2" x14ac:dyDescent="0.2">
      <c r="A7" s="2669" t="s">
        <v>1057</v>
      </c>
      <c r="B7" s="2864" t="s">
        <v>183</v>
      </c>
    </row>
    <row r="8" spans="1:2" x14ac:dyDescent="0.2">
      <c r="A8" s="2669" t="s">
        <v>1058</v>
      </c>
      <c r="B8" s="2864" t="s">
        <v>1059</v>
      </c>
    </row>
    <row r="9" spans="1:2" x14ac:dyDescent="0.2">
      <c r="A9" s="2669" t="s">
        <v>1060</v>
      </c>
      <c r="B9" s="2864" t="s">
        <v>1097</v>
      </c>
    </row>
    <row r="10" spans="1:2" x14ac:dyDescent="0.2">
      <c r="A10" s="2669" t="s">
        <v>1061</v>
      </c>
    </row>
    <row r="11" spans="1:2" x14ac:dyDescent="0.2">
      <c r="A11" s="2669" t="s">
        <v>1062</v>
      </c>
    </row>
    <row r="12" spans="1:2" x14ac:dyDescent="0.2">
      <c r="A12" s="2669" t="s">
        <v>1063</v>
      </c>
    </row>
    <row r="13" spans="1:2" x14ac:dyDescent="0.2">
      <c r="A13" s="2669" t="s">
        <v>1064</v>
      </c>
    </row>
    <row r="14" spans="1:2" x14ac:dyDescent="0.2">
      <c r="A14" s="2669" t="s">
        <v>1065</v>
      </c>
    </row>
    <row r="15" spans="1:2" x14ac:dyDescent="0.2">
      <c r="A15" s="2669" t="s">
        <v>1066</v>
      </c>
    </row>
    <row r="16" spans="1:2" x14ac:dyDescent="0.2">
      <c r="A16" s="2669" t="s">
        <v>1067</v>
      </c>
    </row>
    <row r="17" spans="1:4" x14ac:dyDescent="0.2">
      <c r="A17" s="2669" t="s">
        <v>1068</v>
      </c>
      <c r="B17" s="2864" t="s">
        <v>1098</v>
      </c>
    </row>
    <row r="18" spans="1:4" x14ac:dyDescent="0.2">
      <c r="A18" s="2669" t="s">
        <v>1069</v>
      </c>
      <c r="B18" s="2864" t="s">
        <v>1101</v>
      </c>
    </row>
    <row r="19" spans="1:4" x14ac:dyDescent="0.2">
      <c r="A19" s="2669" t="s">
        <v>1070</v>
      </c>
      <c r="B19" s="2864" t="s">
        <v>319</v>
      </c>
    </row>
    <row r="20" spans="1:4" x14ac:dyDescent="0.2">
      <c r="A20" s="2669" t="s">
        <v>1071</v>
      </c>
      <c r="B20" s="2865">
        <v>86516101</v>
      </c>
    </row>
    <row r="21" spans="1:4" x14ac:dyDescent="0.2">
      <c r="A21" s="2669" t="s">
        <v>1072</v>
      </c>
      <c r="B21" s="2864" t="s">
        <v>319</v>
      </c>
    </row>
    <row r="22" spans="1:4" x14ac:dyDescent="0.2">
      <c r="A22" s="2669" t="s">
        <v>1073</v>
      </c>
      <c r="B22" s="2865">
        <v>2094670</v>
      </c>
    </row>
    <row r="23" spans="1:4" x14ac:dyDescent="0.2">
      <c r="A23" s="2669" t="s">
        <v>330</v>
      </c>
      <c r="B23" s="2863">
        <v>75.83</v>
      </c>
    </row>
    <row r="24" spans="1:4" x14ac:dyDescent="0.2">
      <c r="A24" s="2669" t="s">
        <v>329</v>
      </c>
      <c r="B24" s="2864" t="s">
        <v>320</v>
      </c>
      <c r="D24" s="2669" t="s">
        <v>612</v>
      </c>
    </row>
    <row r="25" spans="1:4" x14ac:dyDescent="0.2">
      <c r="A25" s="2669" t="s">
        <v>1074</v>
      </c>
      <c r="B25" s="2864" t="s">
        <v>1102</v>
      </c>
    </row>
    <row r="26" spans="1:4" x14ac:dyDescent="0.2">
      <c r="A26" s="2669" t="s">
        <v>1075</v>
      </c>
      <c r="B26" s="2864">
        <v>0</v>
      </c>
    </row>
    <row r="27" spans="1:4" x14ac:dyDescent="0.2">
      <c r="A27" s="2669" t="s">
        <v>1076</v>
      </c>
      <c r="B27" s="2864" t="s">
        <v>1077</v>
      </c>
    </row>
    <row r="28" spans="1:4" x14ac:dyDescent="0.2">
      <c r="A28" s="2669" t="s">
        <v>1078</v>
      </c>
      <c r="B28" s="2864" t="s">
        <v>1079</v>
      </c>
    </row>
    <row r="29" spans="1:4" x14ac:dyDescent="0.2">
      <c r="A29" s="2669" t="s">
        <v>1080</v>
      </c>
    </row>
    <row r="30" spans="1:4" x14ac:dyDescent="0.2">
      <c r="A30" s="2669" t="s">
        <v>1081</v>
      </c>
    </row>
    <row r="31" spans="1:4" x14ac:dyDescent="0.2">
      <c r="A31" s="2669" t="s">
        <v>1082</v>
      </c>
    </row>
    <row r="32" spans="1:4" x14ac:dyDescent="0.2">
      <c r="A32" s="2669" t="s">
        <v>1083</v>
      </c>
      <c r="B32" s="2863"/>
    </row>
    <row r="33" spans="1:2" x14ac:dyDescent="0.2">
      <c r="A33" s="2669" t="s">
        <v>1084</v>
      </c>
      <c r="B33" s="2863"/>
    </row>
    <row r="34" spans="1:2" x14ac:dyDescent="0.2">
      <c r="A34" s="2669" t="s">
        <v>1085</v>
      </c>
      <c r="B34" s="2863"/>
    </row>
    <row r="35" spans="1:2" x14ac:dyDescent="0.2">
      <c r="A35" s="2669" t="s">
        <v>1086</v>
      </c>
      <c r="B35" s="2864">
        <v>1000000</v>
      </c>
    </row>
    <row r="36" spans="1:2" x14ac:dyDescent="0.2">
      <c r="A36" s="2669" t="s">
        <v>1087</v>
      </c>
      <c r="B36" s="2864" t="s">
        <v>1099</v>
      </c>
    </row>
    <row r="37" spans="1:2" x14ac:dyDescent="0.2">
      <c r="A37" s="2669" t="s">
        <v>1088</v>
      </c>
      <c r="B37" s="2864" t="s">
        <v>1089</v>
      </c>
    </row>
    <row r="38" spans="1:2" x14ac:dyDescent="0.2">
      <c r="A38" s="2669" t="s">
        <v>1090</v>
      </c>
      <c r="B38" s="2864" t="s">
        <v>1091</v>
      </c>
    </row>
    <row r="39" spans="1:2" x14ac:dyDescent="0.2">
      <c r="A39" s="2669" t="s">
        <v>1092</v>
      </c>
      <c r="B39" s="2864" t="s">
        <v>1100</v>
      </c>
    </row>
    <row r="40" spans="1:2" x14ac:dyDescent="0.2">
      <c r="A40" s="2669" t="s">
        <v>1093</v>
      </c>
      <c r="B40" s="2864">
        <v>1500005548</v>
      </c>
    </row>
    <row r="41" spans="1:2" x14ac:dyDescent="0.2">
      <c r="A41" s="2669" t="s">
        <v>1094</v>
      </c>
      <c r="B41" s="2864">
        <v>1</v>
      </c>
    </row>
    <row r="42" spans="1:2" x14ac:dyDescent="0.2">
      <c r="A42" s="2866" t="s">
        <v>1095</v>
      </c>
    </row>
    <row r="43" spans="1:2" x14ac:dyDescent="0.2">
      <c r="A43" s="2669" t="s">
        <v>1096</v>
      </c>
    </row>
  </sheetData>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3"/>
  <sheetViews>
    <sheetView workbookViewId="0">
      <selection activeCell="E11" sqref="E11"/>
    </sheetView>
  </sheetViews>
  <sheetFormatPr defaultRowHeight="12.75" x14ac:dyDescent="0.2"/>
  <cols>
    <col min="1" max="1" width="33.33203125" style="2669" bestFit="1" customWidth="1"/>
    <col min="2" max="256" width="9.33203125" style="2669"/>
    <col min="257" max="257" width="33.33203125" style="2669" bestFit="1" customWidth="1"/>
    <col min="258" max="512" width="9.33203125" style="2669"/>
    <col min="513" max="513" width="33.33203125" style="2669" bestFit="1" customWidth="1"/>
    <col min="514" max="768" width="9.33203125" style="2669"/>
    <col min="769" max="769" width="33.33203125" style="2669" bestFit="1" customWidth="1"/>
    <col min="770" max="1024" width="9.33203125" style="2669"/>
    <col min="1025" max="1025" width="33.33203125" style="2669" bestFit="1" customWidth="1"/>
    <col min="1026" max="1280" width="9.33203125" style="2669"/>
    <col min="1281" max="1281" width="33.33203125" style="2669" bestFit="1" customWidth="1"/>
    <col min="1282" max="1536" width="9.33203125" style="2669"/>
    <col min="1537" max="1537" width="33.33203125" style="2669" bestFit="1" customWidth="1"/>
    <col min="1538" max="1792" width="9.33203125" style="2669"/>
    <col min="1793" max="1793" width="33.33203125" style="2669" bestFit="1" customWidth="1"/>
    <col min="1794" max="2048" width="9.33203125" style="2669"/>
    <col min="2049" max="2049" width="33.33203125" style="2669" bestFit="1" customWidth="1"/>
    <col min="2050" max="2304" width="9.33203125" style="2669"/>
    <col min="2305" max="2305" width="33.33203125" style="2669" bestFit="1" customWidth="1"/>
    <col min="2306" max="2560" width="9.33203125" style="2669"/>
    <col min="2561" max="2561" width="33.33203125" style="2669" bestFit="1" customWidth="1"/>
    <col min="2562" max="2816" width="9.33203125" style="2669"/>
    <col min="2817" max="2817" width="33.33203125" style="2669" bestFit="1" customWidth="1"/>
    <col min="2818" max="3072" width="9.33203125" style="2669"/>
    <col min="3073" max="3073" width="33.33203125" style="2669" bestFit="1" customWidth="1"/>
    <col min="3074" max="3328" width="9.33203125" style="2669"/>
    <col min="3329" max="3329" width="33.33203125" style="2669" bestFit="1" customWidth="1"/>
    <col min="3330" max="3584" width="9.33203125" style="2669"/>
    <col min="3585" max="3585" width="33.33203125" style="2669" bestFit="1" customWidth="1"/>
    <col min="3586" max="3840" width="9.33203125" style="2669"/>
    <col min="3841" max="3841" width="33.33203125" style="2669" bestFit="1" customWidth="1"/>
    <col min="3842" max="4096" width="9.33203125" style="2669"/>
    <col min="4097" max="4097" width="33.33203125" style="2669" bestFit="1" customWidth="1"/>
    <col min="4098" max="4352" width="9.33203125" style="2669"/>
    <col min="4353" max="4353" width="33.33203125" style="2669" bestFit="1" customWidth="1"/>
    <col min="4354" max="4608" width="9.33203125" style="2669"/>
    <col min="4609" max="4609" width="33.33203125" style="2669" bestFit="1" customWidth="1"/>
    <col min="4610" max="4864" width="9.33203125" style="2669"/>
    <col min="4865" max="4865" width="33.33203125" style="2669" bestFit="1" customWidth="1"/>
    <col min="4866" max="5120" width="9.33203125" style="2669"/>
    <col min="5121" max="5121" width="33.33203125" style="2669" bestFit="1" customWidth="1"/>
    <col min="5122" max="5376" width="9.33203125" style="2669"/>
    <col min="5377" max="5377" width="33.33203125" style="2669" bestFit="1" customWidth="1"/>
    <col min="5378" max="5632" width="9.33203125" style="2669"/>
    <col min="5633" max="5633" width="33.33203125" style="2669" bestFit="1" customWidth="1"/>
    <col min="5634" max="5888" width="9.33203125" style="2669"/>
    <col min="5889" max="5889" width="33.33203125" style="2669" bestFit="1" customWidth="1"/>
    <col min="5890" max="6144" width="9.33203125" style="2669"/>
    <col min="6145" max="6145" width="33.33203125" style="2669" bestFit="1" customWidth="1"/>
    <col min="6146" max="6400" width="9.33203125" style="2669"/>
    <col min="6401" max="6401" width="33.33203125" style="2669" bestFit="1" customWidth="1"/>
    <col min="6402" max="6656" width="9.33203125" style="2669"/>
    <col min="6657" max="6657" width="33.33203125" style="2669" bestFit="1" customWidth="1"/>
    <col min="6658" max="6912" width="9.33203125" style="2669"/>
    <col min="6913" max="6913" width="33.33203125" style="2669" bestFit="1" customWidth="1"/>
    <col min="6914" max="7168" width="9.33203125" style="2669"/>
    <col min="7169" max="7169" width="33.33203125" style="2669" bestFit="1" customWidth="1"/>
    <col min="7170" max="7424" width="9.33203125" style="2669"/>
    <col min="7425" max="7425" width="33.33203125" style="2669" bestFit="1" customWidth="1"/>
    <col min="7426" max="7680" width="9.33203125" style="2669"/>
    <col min="7681" max="7681" width="33.33203125" style="2669" bestFit="1" customWidth="1"/>
    <col min="7682" max="7936" width="9.33203125" style="2669"/>
    <col min="7937" max="7937" width="33.33203125" style="2669" bestFit="1" customWidth="1"/>
    <col min="7938" max="8192" width="9.33203125" style="2669"/>
    <col min="8193" max="8193" width="33.33203125" style="2669" bestFit="1" customWidth="1"/>
    <col min="8194" max="8448" width="9.33203125" style="2669"/>
    <col min="8449" max="8449" width="33.33203125" style="2669" bestFit="1" customWidth="1"/>
    <col min="8450" max="8704" width="9.33203125" style="2669"/>
    <col min="8705" max="8705" width="33.33203125" style="2669" bestFit="1" customWidth="1"/>
    <col min="8706" max="8960" width="9.33203125" style="2669"/>
    <col min="8961" max="8961" width="33.33203125" style="2669" bestFit="1" customWidth="1"/>
    <col min="8962" max="9216" width="9.33203125" style="2669"/>
    <col min="9217" max="9217" width="33.33203125" style="2669" bestFit="1" customWidth="1"/>
    <col min="9218" max="9472" width="9.33203125" style="2669"/>
    <col min="9473" max="9473" width="33.33203125" style="2669" bestFit="1" customWidth="1"/>
    <col min="9474" max="9728" width="9.33203125" style="2669"/>
    <col min="9729" max="9729" width="33.33203125" style="2669" bestFit="1" customWidth="1"/>
    <col min="9730" max="9984" width="9.33203125" style="2669"/>
    <col min="9985" max="9985" width="33.33203125" style="2669" bestFit="1" customWidth="1"/>
    <col min="9986" max="10240" width="9.33203125" style="2669"/>
    <col min="10241" max="10241" width="33.33203125" style="2669" bestFit="1" customWidth="1"/>
    <col min="10242" max="10496" width="9.33203125" style="2669"/>
    <col min="10497" max="10497" width="33.33203125" style="2669" bestFit="1" customWidth="1"/>
    <col min="10498" max="10752" width="9.33203125" style="2669"/>
    <col min="10753" max="10753" width="33.33203125" style="2669" bestFit="1" customWidth="1"/>
    <col min="10754" max="11008" width="9.33203125" style="2669"/>
    <col min="11009" max="11009" width="33.33203125" style="2669" bestFit="1" customWidth="1"/>
    <col min="11010" max="11264" width="9.33203125" style="2669"/>
    <col min="11265" max="11265" width="33.33203125" style="2669" bestFit="1" customWidth="1"/>
    <col min="11266" max="11520" width="9.33203125" style="2669"/>
    <col min="11521" max="11521" width="33.33203125" style="2669" bestFit="1" customWidth="1"/>
    <col min="11522" max="11776" width="9.33203125" style="2669"/>
    <col min="11777" max="11777" width="33.33203125" style="2669" bestFit="1" customWidth="1"/>
    <col min="11778" max="12032" width="9.33203125" style="2669"/>
    <col min="12033" max="12033" width="33.33203125" style="2669" bestFit="1" customWidth="1"/>
    <col min="12034" max="12288" width="9.33203125" style="2669"/>
    <col min="12289" max="12289" width="33.33203125" style="2669" bestFit="1" customWidth="1"/>
    <col min="12290" max="12544" width="9.33203125" style="2669"/>
    <col min="12545" max="12545" width="33.33203125" style="2669" bestFit="1" customWidth="1"/>
    <col min="12546" max="12800" width="9.33203125" style="2669"/>
    <col min="12801" max="12801" width="33.33203125" style="2669" bestFit="1" customWidth="1"/>
    <col min="12802" max="13056" width="9.33203125" style="2669"/>
    <col min="13057" max="13057" width="33.33203125" style="2669" bestFit="1" customWidth="1"/>
    <col min="13058" max="13312" width="9.33203125" style="2669"/>
    <col min="13313" max="13313" width="33.33203125" style="2669" bestFit="1" customWidth="1"/>
    <col min="13314" max="13568" width="9.33203125" style="2669"/>
    <col min="13569" max="13569" width="33.33203125" style="2669" bestFit="1" customWidth="1"/>
    <col min="13570" max="13824" width="9.33203125" style="2669"/>
    <col min="13825" max="13825" width="33.33203125" style="2669" bestFit="1" customWidth="1"/>
    <col min="13826" max="14080" width="9.33203125" style="2669"/>
    <col min="14081" max="14081" width="33.33203125" style="2669" bestFit="1" customWidth="1"/>
    <col min="14082" max="14336" width="9.33203125" style="2669"/>
    <col min="14337" max="14337" width="33.33203125" style="2669" bestFit="1" customWidth="1"/>
    <col min="14338" max="14592" width="9.33203125" style="2669"/>
    <col min="14593" max="14593" width="33.33203125" style="2669" bestFit="1" customWidth="1"/>
    <col min="14594" max="14848" width="9.33203125" style="2669"/>
    <col min="14849" max="14849" width="33.33203125" style="2669" bestFit="1" customWidth="1"/>
    <col min="14850" max="15104" width="9.33203125" style="2669"/>
    <col min="15105" max="15105" width="33.33203125" style="2669" bestFit="1" customWidth="1"/>
    <col min="15106" max="15360" width="9.33203125" style="2669"/>
    <col min="15361" max="15361" width="33.33203125" style="2669" bestFit="1" customWidth="1"/>
    <col min="15362" max="15616" width="9.33203125" style="2669"/>
    <col min="15617" max="15617" width="33.33203125" style="2669" bestFit="1" customWidth="1"/>
    <col min="15618" max="15872" width="9.33203125" style="2669"/>
    <col min="15873" max="15873" width="33.33203125" style="2669" bestFit="1" customWidth="1"/>
    <col min="15874" max="16128" width="9.33203125" style="2669"/>
    <col min="16129" max="16129" width="33.33203125" style="2669" bestFit="1" customWidth="1"/>
    <col min="16130" max="16384" width="9.33203125" style="2669"/>
  </cols>
  <sheetData>
    <row r="1" spans="1:1" x14ac:dyDescent="0.2">
      <c r="A1" s="2868" t="s">
        <v>1103</v>
      </c>
    </row>
    <row r="2" spans="1:1" x14ac:dyDescent="0.2">
      <c r="A2" s="2868" t="s">
        <v>1108</v>
      </c>
    </row>
    <row r="3" spans="1:1" x14ac:dyDescent="0.2">
      <c r="A3" s="2868" t="s">
        <v>1109</v>
      </c>
    </row>
    <row r="4" spans="1:1" x14ac:dyDescent="0.2">
      <c r="A4" s="2868" t="s">
        <v>1110</v>
      </c>
    </row>
    <row r="5" spans="1:1" x14ac:dyDescent="0.2">
      <c r="A5" s="2868" t="s">
        <v>1111</v>
      </c>
    </row>
    <row r="6" spans="1:1" x14ac:dyDescent="0.2">
      <c r="A6" s="2868" t="s">
        <v>1104</v>
      </c>
    </row>
    <row r="7" spans="1:1" x14ac:dyDescent="0.2">
      <c r="A7" s="2868" t="s">
        <v>1112</v>
      </c>
    </row>
    <row r="8" spans="1:1" x14ac:dyDescent="0.2">
      <c r="A8" s="2868" t="s">
        <v>1113</v>
      </c>
    </row>
    <row r="9" spans="1:1" x14ac:dyDescent="0.2">
      <c r="A9" s="2868" t="s">
        <v>1114</v>
      </c>
    </row>
    <row r="10" spans="1:1" x14ac:dyDescent="0.2">
      <c r="A10" s="2868" t="s">
        <v>1105</v>
      </c>
    </row>
    <row r="11" spans="1:1" x14ac:dyDescent="0.2">
      <c r="A11" s="2868" t="s">
        <v>1115</v>
      </c>
    </row>
    <row r="12" spans="1:1" x14ac:dyDescent="0.2">
      <c r="A12" s="2868" t="s">
        <v>1106</v>
      </c>
    </row>
    <row r="13" spans="1:1" x14ac:dyDescent="0.2">
      <c r="A13" s="2868" t="s">
        <v>1107</v>
      </c>
    </row>
  </sheetData>
  <pageMargins left="0.75" right="0.75" top="1" bottom="1" header="0.5" footer="0.5"/>
  <headerFooter alignWithMargins="0"/>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item1.xml><?xml version="1.0" encoding="utf-8"?>
<lkmtd:Metadata xmlns:lkmtd="thomsonreuters.linking.metadatachange">
  <MetadataChanged>0</MetadataChanged>
</lkmtd:Metadata>
</file>

<file path=customXml/item2.xml><?xml version="1.0" encoding="utf-8"?>
<lk:Links xmlns:lk="thomsonreuters.linking.metadata">
  <Link>
    <GUID>2a1cba46-5f22-48b7-a42d-0fe9b14dd1d1</GUID>
    <SOURCE_ALTADDRESS>$A$2:$EM$106</SOURCE_ALTADDRESS>
    <SOURCETYPE>Table</SOURCETYPE>
    <SOURCE_OBJECTNAME>Linking_Range_53</SOURCE_OBJECTNAME>
    <OBJECTTYPE>Native</OBJECTTYPE>
    <SOURCE_SHEETCODE>Sheet5</SOURCE_SHEETCODE>
    <SOURCE_SHEETNAME>Income Statement</SOURCE_SHEETNAME>
    <SOURCEAPPLICATION>EXCEL_SOURCE</SOURCEAPPLICATION>
    <UPDATEDAT>5/21/2015 11:02:04 AM</UPDATEDAT>
    <SOURCE_ISOUTOFDATE>False</SOURCE_ISOUTOFDATE>
    <SOURCE_WORKBOOKNAME>BBY.xls</SOURCE_WORKBOOKNAME>
    <SOURCE_WORKBOOKPATH>\\Msad\root\NA\NY\LIB\ER\RETAIL\Hardlines\Companies\BBY\Model</SOURCE_WORKBOOKPATH>
    <IMPORTEXPORTINBLACKANDWHITE>False</IMPORTEXPORTINBLACKANDWHITE>
    <IMPORTEXPORTTABLETEXTINBLACKANDWHITE>False</IMPORTEXPORTTABLETEXTINBLACKANDWHITE>
    <TABLEBACKGROUND>Existing</TABLEBACKGROUND>
    <HIDEGRIDLINES>True</HIDEGRIDLINES>
    <TARGETTYPE>Picture</TARGETTYPE>
    <TARGETAPPLICATION>METHODE_TARGET</TARGETAPPLICATION>
    <EXTRACTSOURCEMODE>CopyToClipboard</EXTRACTSOURCEMODE>
    <TARGET_BINARYFULLNAME>/MSResearch/Content/ExternalAssets/2015-05/Images/LGEMe1OzQESZ1-C8iX-vhQ--.png</TARGET_BINARYFULLNAME>
    <TARGET_STORYFULLNAME>/MSResearch/Content/ExternalAssets/2015-05/Sections/20150521_110201_Linking_Range_53.xml</TARGET_STORYFULLNAME>
    <TARGET_UUID>55be72f0-ffca-11e4-816b-9b441484c75b</TARGET_UUID>
  </Link>
</lk:Links>
</file>

<file path=customXml/itemProps1.xml><?xml version="1.0" encoding="utf-8"?>
<ds:datastoreItem xmlns:ds="http://schemas.openxmlformats.org/officeDocument/2006/customXml" ds:itemID="{3C584576-D24D-4294-96D8-63F8E1BB1F32}">
  <ds:schemaRefs>
    <ds:schemaRef ds:uri="thomsonreuters.linking.metadatachange"/>
  </ds:schemaRefs>
</ds:datastoreItem>
</file>

<file path=customXml/itemProps2.xml><?xml version="1.0" encoding="utf-8"?>
<ds:datastoreItem xmlns:ds="http://schemas.openxmlformats.org/officeDocument/2006/customXml" ds:itemID="{CE7A51AC-BFAB-4F1D-A540-8719AFD01461}">
  <ds:schemaRefs>
    <ds:schemaRef ds:uri="thomsonreuters.linking.metadat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98</vt:i4>
      </vt:variant>
    </vt:vector>
  </HeadingPairs>
  <TitlesOfParts>
    <vt:vector size="106" baseType="lpstr">
      <vt:lpstr>ImportantDisclosures</vt:lpstr>
      <vt:lpstr>Cover</vt:lpstr>
      <vt:lpstr>Income Statement</vt:lpstr>
      <vt:lpstr>Revenue Model</vt:lpstr>
      <vt:lpstr>Balance Sheet</vt:lpstr>
      <vt:lpstr>Cash Flow</vt:lpstr>
      <vt:lpstr>IndexInformation</vt:lpstr>
      <vt:lpstr>ModPubIndex</vt:lpstr>
      <vt:lpstr>AdditionalInstructions</vt:lpstr>
      <vt:lpstr>ImportantDisclosures!Address</vt:lpstr>
      <vt:lpstr>ModPubIndex!ANA</vt:lpstr>
      <vt:lpstr>ImportantDisclosures!Authors</vt:lpstr>
      <vt:lpstr>IndexInformation!Authors</vt:lpstr>
      <vt:lpstr>ModPubIndex!BRO</vt:lpstr>
      <vt:lpstr>CopyrightStamp</vt:lpstr>
      <vt:lpstr>ModPubIndex!COU</vt:lpstr>
      <vt:lpstr>IndexInformation!CQEnd</vt:lpstr>
      <vt:lpstr>IndexInformation!Currency</vt:lpstr>
      <vt:lpstr>IndexInformation!CurrentStockPrice</vt:lpstr>
      <vt:lpstr>IndexInformation!CurrQtrEPS</vt:lpstr>
      <vt:lpstr>IndexInformation!CurrYearEPS</vt:lpstr>
      <vt:lpstr>IndexInformation!CurrYearTotalRevenue</vt:lpstr>
      <vt:lpstr>IndexInformation!CurrYearTotalRevenueActual</vt:lpstr>
      <vt:lpstr>IndexInformation!CUSIP</vt:lpstr>
      <vt:lpstr>IndexInformation!CYEnd</vt:lpstr>
      <vt:lpstr>ImportantDisclosures!Date</vt:lpstr>
      <vt:lpstr>IndexInformation!Deleted</vt:lpstr>
      <vt:lpstr>IndexInformation!Description</vt:lpstr>
      <vt:lpstr>IndexInformation!Discipline</vt:lpstr>
      <vt:lpstr>ModPubIndex!DISCIPLINE</vt:lpstr>
      <vt:lpstr>DisclosuresText</vt:lpstr>
      <vt:lpstr>IndexInformation!Distribution</vt:lpstr>
      <vt:lpstr>ModPubIndex!DOCDAT</vt:lpstr>
      <vt:lpstr>ModPubIndex!DOCTIME</vt:lpstr>
      <vt:lpstr>IndexInformation!DocType</vt:lpstr>
      <vt:lpstr>ModPubIndex!EMAIL_ALERT</vt:lpstr>
      <vt:lpstr>IndexInformation!EmailAlert</vt:lpstr>
      <vt:lpstr>IndexInformation!FiveYearGrowthRate</vt:lpstr>
      <vt:lpstr>IndexInformation!FollowingYearEPS</vt:lpstr>
      <vt:lpstr>IndexInformation!FollowingYearTotalRevenue</vt:lpstr>
      <vt:lpstr>IndexInformation!FollowingYearTotalRevenueActual</vt:lpstr>
      <vt:lpstr>ModPubIndex!HL</vt:lpstr>
      <vt:lpstr>ModPubIndex!IND</vt:lpstr>
      <vt:lpstr>ImportantDisclosures!Industry</vt:lpstr>
      <vt:lpstr>IndustryId</vt:lpstr>
      <vt:lpstr>ImportantDisclosures!IndustryRating</vt:lpstr>
      <vt:lpstr>IndexInformation!KeepVersions</vt:lpstr>
      <vt:lpstr>LanguageCode</vt:lpstr>
      <vt:lpstr>ImportantDisclosures!LastCell</vt:lpstr>
      <vt:lpstr>Linking_2</vt:lpstr>
      <vt:lpstr>Linking_3</vt:lpstr>
      <vt:lpstr>Linking_4</vt:lpstr>
      <vt:lpstr>Linking_7</vt:lpstr>
      <vt:lpstr>Linking_Range_10</vt:lpstr>
      <vt:lpstr>Linking_Range_11</vt:lpstr>
      <vt:lpstr>Linking_Range_12</vt:lpstr>
      <vt:lpstr>Linking_Range_13</vt:lpstr>
      <vt:lpstr>Linking_Range_14</vt:lpstr>
      <vt:lpstr>Linking_Range_26</vt:lpstr>
      <vt:lpstr>Linking_Range_27</vt:lpstr>
      <vt:lpstr>Linking_Range_28</vt:lpstr>
      <vt:lpstr>Linking_Range_29</vt:lpstr>
      <vt:lpstr>Linking_Range_3</vt:lpstr>
      <vt:lpstr>Linking_Range_30</vt:lpstr>
      <vt:lpstr>Linking_Range_32</vt:lpstr>
      <vt:lpstr>Linking_Range_36</vt:lpstr>
      <vt:lpstr>Linking_Range_37</vt:lpstr>
      <vt:lpstr>Linking_Range_4</vt:lpstr>
      <vt:lpstr>Linking_Range_46</vt:lpstr>
      <vt:lpstr>Linking_Range_47</vt:lpstr>
      <vt:lpstr>Linking_Range_48</vt:lpstr>
      <vt:lpstr>Linking_Range_49</vt:lpstr>
      <vt:lpstr>Linking_Range_50</vt:lpstr>
      <vt:lpstr>Linking_Range_51</vt:lpstr>
      <vt:lpstr>Linking_Range_52</vt:lpstr>
      <vt:lpstr>Linking_Range_53</vt:lpstr>
      <vt:lpstr>Linking_Range_9</vt:lpstr>
      <vt:lpstr>IndexInformation!MacroVersion</vt:lpstr>
      <vt:lpstr>ImportantDisclosures!ModelPrice</vt:lpstr>
      <vt:lpstr>IndexInformation!Multiplier</vt:lpstr>
      <vt:lpstr>IndexInformation!NextYearEPS</vt:lpstr>
      <vt:lpstr>IndexInformation!NextYearTotalRevenue</vt:lpstr>
      <vt:lpstr>IndexInformation!NextYearTotalRevenueActual</vt:lpstr>
      <vt:lpstr>ObjectType</vt:lpstr>
      <vt:lpstr>ModPubIndex!PANA</vt:lpstr>
      <vt:lpstr>IndexInformation!PathName</vt:lpstr>
      <vt:lpstr>ModPubIndex!PRODUCT</vt:lpstr>
      <vt:lpstr>ModPubIndex!PSYM</vt:lpstr>
      <vt:lpstr>IndexInformation!PublishDate</vt:lpstr>
      <vt:lpstr>IndexInformation!Rating</vt:lpstr>
      <vt:lpstr>ImportantDisclosures!RatingsDefined</vt:lpstr>
      <vt:lpstr>IndexInformation!ResearchTopic</vt:lpstr>
      <vt:lpstr>IndexInformation!RIC</vt:lpstr>
      <vt:lpstr>IndexInformation!SEDOL</vt:lpstr>
      <vt:lpstr>ImportantDisclosures!SourceDefined</vt:lpstr>
      <vt:lpstr>ImportantDisclosures!StockRating</vt:lpstr>
      <vt:lpstr>IndexInformation!SubjectCode</vt:lpstr>
      <vt:lpstr>SubmitterUserId</vt:lpstr>
      <vt:lpstr>ModPubIndex!SUPPRESSED</vt:lpstr>
      <vt:lpstr>ImportantDisclosures!TargetPrice</vt:lpstr>
      <vt:lpstr>TemplateRegion</vt:lpstr>
      <vt:lpstr>Cover!ticker</vt:lpstr>
      <vt:lpstr>ImportantDisclosures!Ticker</vt:lpstr>
      <vt:lpstr>TickerRegion</vt:lpstr>
      <vt:lpstr>IndexInformation!Tickers</vt:lpstr>
      <vt:lpstr>IndexInformation!UpdateReason</vt:lpstr>
    </vt:vector>
  </TitlesOfParts>
  <Company>Morgan Stanley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2003-03-26T13:40:14Z</dcterms:created>
  <dc:creator>Oliver Wintermantel</dc:creator>
  <cp:lastModifiedBy>Siber</cp:lastModifiedBy>
  <cp:lastPrinted>2018-03-01T17:09:14Z</cp:lastPrinted>
  <dcterms:modified xsi:type="dcterms:W3CDTF">2018-03-01T18:23:06Z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name="ModelwareExpressVersionNumber" pid="2">
    <vt:lpwstr>3.00</vt:lpwstr>
  </property>
  <property fmtid="{D5CDD505-2E9C-101B-9397-08002B2CF9AE}" name="LinkingAutoNameNumberLinking_Text_" pid="3">
    <vt:lpwstr>2</vt:lpwstr>
  </property>
  <property fmtid="{D5CDD505-2E9C-101B-9397-08002B2CF9AE}" name="LinkingAutoNameNumberLinking_Range_" pid="4">
    <vt:lpwstr>53</vt:lpwstr>
  </property>
  <property fmtid="{D5CDD505-2E9C-101B-9397-08002B2CF9AE}" name="ERModPubTicket" pid="5">
    <vt:lpwstr>NA</vt:lpwstr>
  </property>
  <property fmtid="{D5CDD505-2E9C-101B-9397-08002B2CF9AE}" name="ERCompanyUploadState" pid="6">
    <vt:lpwstr>P</vt:lpwstr>
  </property>
  <property fmtid="{D5CDD505-2E9C-101B-9397-08002B2CF9AE}" name="ModelId" pid="7">
    <vt:lpwstr>753790</vt:lpwstr>
  </property>
  <property fmtid="{D5CDD505-2E9C-101B-9397-08002B2CF9AE}" name="ERModPubCompanyName" pid="8">
    <vt:lpwstr>Best Buy Co Inc</vt:lpwstr>
  </property>
  <property fmtid="{D5CDD505-2E9C-101B-9397-08002B2CF9AE}" name="MSDH34TAG" pid="9">
    <vt:lpwstr>.TEZUF76X5TAHATHESADREYAK-00-INB160+*94600-06=9dd4b2ec/-1d7d/-11e8/-a36b/-97f10757d665,MD=20180301140624/-0500,ZZ=000Z-5aa8.</vt:lpwstr>
  </property>
</Properties>
</file>